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2024_STATISTICS_RELEASE\Final_Versions\"/>
    </mc:Choice>
  </mc:AlternateContent>
  <xr:revisionPtr revIDLastSave="0" documentId="8_{0A923BB2-77AD-4791-9F1F-5DCCF646F05C}" xr6:coauthVersionLast="47" xr6:coauthVersionMax="47" xr10:uidLastSave="{00000000-0000-0000-0000-000000000000}"/>
  <workbookProtection workbookAlgorithmName="SHA-512" workbookHashValue="zCVlI2slffqS1f26G5beP5MRMPhHIqumvdDBiR2xFReFe/OfL1a5tzWxeIL62EKNuD4JTUGT0+7zKZjeQ2ajQA==" workbookSaltValue="A0/w+GpebUB04Z+VWz2uUQ==" workbookSpinCount="100000" lockStructure="1"/>
  <bookViews>
    <workbookView xWindow="-120" yWindow="-120" windowWidth="29040" windowHeight="15840" xr2:uid="{C443AE31-B773-4F41-B5E2-86075DEDC625}"/>
  </bookViews>
  <sheets>
    <sheet name="Introduction and contents" sheetId="11" r:id="rId1"/>
    <sheet name="Glossary" sheetId="12" r:id="rId2"/>
    <sheet name="Version History" sheetId="13" r:id="rId3"/>
    <sheet name="Area summary" sheetId="1" r:id="rId4"/>
    <sheet name="PRPs in area" sheetId="6" r:id="rId5"/>
    <sheet name="2024_LA_and_Region_Data_final" sheetId="2" state="veryHidden" r:id="rId6"/>
    <sheet name="How to use the search function" sheetId="14" r:id="rId7"/>
    <sheet name="LA-Lookup" sheetId="4" state="veryHidden" r:id="rId8"/>
    <sheet name="Lookup source" sheetId="7" state="veryHidden" r:id="rId9"/>
    <sheet name="totals" sheetId="8" state="veryHidden" r:id="rId10"/>
    <sheet name="SDR24_STOCK_BY_LA" sheetId="9" state="veryHidden" r:id="rId11"/>
    <sheet name="Search Box Config" sheetId="10" state="veryHidden" r:id="rId12"/>
  </sheets>
  <definedNames>
    <definedName name="_xlnm._FilterDatabase" localSheetId="5" hidden="1">'2024_LA_and_Region_Data_final'!$A$3:$FR$310</definedName>
    <definedName name="_xlnm._FilterDatabase" localSheetId="7" hidden="1">'LA-Lookup'!$A$1:$C$308</definedName>
    <definedName name="_xlnm._FilterDatabase" localSheetId="10" hidden="1">SDR24_STOCK_BY_LA!$A$1:$O$9857</definedName>
    <definedName name="LA_Data">'2024_LA_and_Region_Data_final'!$A$4:$FR$310</definedName>
    <definedName name="Lookup_Source">'Lookup source'!$B$1:$MQ$306</definedName>
    <definedName name="_xlnm.Print_Area" localSheetId="3">'Area summary'!$A:$P</definedName>
    <definedName name="Search_Box_List">OFFSET('Search Box Config'!$D$2,,,COUNTIF('Search Box Config'!$D$2:$D$321,"?*"))</definedName>
    <definedName name="Stock_By_LA">SDR24_STOCK_BY_LA!$H$2:$O$11878</definedName>
    <definedName name="Totals">totals!$B$2:$I$1328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1" l="1"/>
  <c r="B183" i="1"/>
  <c r="B6" i="6" l="1"/>
  <c r="BS469" i="6" l="1"/>
  <c r="BS470" i="6"/>
  <c r="R53" i="1" l="1"/>
  <c r="T234" i="1" l="1"/>
  <c r="T235" i="1"/>
  <c r="T236" i="1"/>
  <c r="T237" i="1"/>
  <c r="T238" i="1"/>
  <c r="T239" i="1"/>
  <c r="T240" i="1"/>
  <c r="T233" i="1"/>
  <c r="T213" i="1"/>
  <c r="T214" i="1"/>
  <c r="T215" i="1"/>
  <c r="T216" i="1"/>
  <c r="T217" i="1"/>
  <c r="T218" i="1"/>
  <c r="T219" i="1"/>
  <c r="T220" i="1"/>
  <c r="T221" i="1"/>
  <c r="T212" i="1"/>
  <c r="T189" i="1"/>
  <c r="T190" i="1"/>
  <c r="T191" i="1"/>
  <c r="T192" i="1"/>
  <c r="T193" i="1"/>
  <c r="T195" i="1"/>
  <c r="T188" i="1"/>
  <c r="T168" i="1"/>
  <c r="T169" i="1"/>
  <c r="T170" i="1"/>
  <c r="T171" i="1"/>
  <c r="T172" i="1"/>
  <c r="T173" i="1"/>
  <c r="T174" i="1"/>
  <c r="T175" i="1"/>
  <c r="T176" i="1"/>
  <c r="T167" i="1"/>
  <c r="O42" i="1" l="1"/>
  <c r="M42" i="1"/>
  <c r="O41" i="1"/>
  <c r="M41" i="1"/>
  <c r="O40" i="1"/>
  <c r="M40" i="1"/>
  <c r="O39" i="1"/>
  <c r="M39" i="1"/>
  <c r="O38" i="1"/>
  <c r="M38" i="1"/>
  <c r="O37" i="1"/>
  <c r="M37" i="1"/>
  <c r="O36" i="1"/>
  <c r="M36" i="1"/>
  <c r="B186" i="1" l="1"/>
  <c r="B164" i="1"/>
  <c r="B161" i="1"/>
  <c r="BQ469" i="6" l="1"/>
  <c r="BQ470" i="6"/>
  <c r="BI469" i="6"/>
  <c r="BI470" i="6"/>
  <c r="BA469" i="6" l="1"/>
  <c r="BA470" i="6"/>
  <c r="AS469" i="6"/>
  <c r="AS470" i="6"/>
  <c r="AL469" i="6"/>
  <c r="AL470" i="6"/>
  <c r="AE469" i="6" l="1"/>
  <c r="AE470" i="6"/>
  <c r="A2" i="10" l="1"/>
  <c r="AD470" i="6"/>
  <c r="AD469" i="6"/>
  <c r="B3" i="6"/>
  <c r="D5" i="1"/>
  <c r="C5" i="1" s="1"/>
  <c r="K3" i="1"/>
  <c r="I2" i="1"/>
  <c r="G240" i="1"/>
  <c r="B225" i="1" s="1"/>
  <c r="F240" i="1"/>
  <c r="A240" i="1"/>
  <c r="G239" i="1"/>
  <c r="F239" i="1"/>
  <c r="A239" i="1"/>
  <c r="G238" i="1"/>
  <c r="F238" i="1"/>
  <c r="A238" i="1"/>
  <c r="G237" i="1"/>
  <c r="F237" i="1"/>
  <c r="A237" i="1"/>
  <c r="G236" i="1"/>
  <c r="F236" i="1"/>
  <c r="A236" i="1"/>
  <c r="G235" i="1"/>
  <c r="F235" i="1"/>
  <c r="A235" i="1"/>
  <c r="G234" i="1"/>
  <c r="F234" i="1"/>
  <c r="A234" i="1"/>
  <c r="G233" i="1"/>
  <c r="F233" i="1"/>
  <c r="A233" i="1"/>
  <c r="B230" i="1"/>
  <c r="B227" i="1"/>
  <c r="G220" i="1"/>
  <c r="B203" i="1" s="1"/>
  <c r="F220" i="1"/>
  <c r="A220" i="1"/>
  <c r="G219" i="1"/>
  <c r="F219" i="1"/>
  <c r="A219" i="1"/>
  <c r="G218" i="1"/>
  <c r="F218" i="1"/>
  <c r="A218" i="1"/>
  <c r="G217" i="1"/>
  <c r="F217" i="1"/>
  <c r="A217" i="1"/>
  <c r="G216" i="1"/>
  <c r="F216" i="1"/>
  <c r="A216" i="1"/>
  <c r="G215" i="1"/>
  <c r="F215" i="1"/>
  <c r="A215" i="1"/>
  <c r="G214" i="1"/>
  <c r="F214" i="1"/>
  <c r="A214" i="1"/>
  <c r="G213" i="1"/>
  <c r="F213" i="1"/>
  <c r="A213" i="1"/>
  <c r="G212" i="1"/>
  <c r="F212" i="1"/>
  <c r="A212" i="1"/>
  <c r="G211" i="1"/>
  <c r="F211" i="1"/>
  <c r="A211" i="1"/>
  <c r="B208" i="1"/>
  <c r="B205" i="1"/>
  <c r="G196" i="1"/>
  <c r="B181" i="1" s="1"/>
  <c r="F196" i="1"/>
  <c r="E196" i="1"/>
  <c r="D196" i="1"/>
  <c r="C196" i="1"/>
  <c r="A196" i="1"/>
  <c r="G195" i="1"/>
  <c r="F195" i="1"/>
  <c r="E195" i="1"/>
  <c r="D195" i="1"/>
  <c r="C195" i="1"/>
  <c r="A195" i="1"/>
  <c r="G194" i="1"/>
  <c r="F194" i="1"/>
  <c r="E194" i="1"/>
  <c r="D194" i="1"/>
  <c r="C194" i="1"/>
  <c r="A194" i="1"/>
  <c r="G193" i="1"/>
  <c r="F193" i="1"/>
  <c r="E193" i="1"/>
  <c r="D193" i="1"/>
  <c r="C193" i="1"/>
  <c r="A193" i="1"/>
  <c r="G192" i="1"/>
  <c r="F192" i="1"/>
  <c r="E192" i="1"/>
  <c r="D192" i="1"/>
  <c r="C192" i="1"/>
  <c r="A192" i="1"/>
  <c r="G191" i="1"/>
  <c r="F191" i="1"/>
  <c r="E191" i="1"/>
  <c r="D191" i="1"/>
  <c r="C191" i="1"/>
  <c r="A191" i="1"/>
  <c r="G190" i="1"/>
  <c r="F190" i="1"/>
  <c r="E190" i="1"/>
  <c r="D190" i="1"/>
  <c r="C190" i="1"/>
  <c r="A190" i="1"/>
  <c r="G189" i="1"/>
  <c r="F189" i="1"/>
  <c r="E189" i="1"/>
  <c r="D189" i="1"/>
  <c r="C189" i="1"/>
  <c r="A189" i="1"/>
  <c r="G176" i="1"/>
  <c r="B159" i="1" s="1"/>
  <c r="F176" i="1"/>
  <c r="E176" i="1"/>
  <c r="D176" i="1"/>
  <c r="C176" i="1"/>
  <c r="A176" i="1"/>
  <c r="G175" i="1"/>
  <c r="F175" i="1"/>
  <c r="E175" i="1"/>
  <c r="D175" i="1"/>
  <c r="C175" i="1"/>
  <c r="A175" i="1"/>
  <c r="G174" i="1"/>
  <c r="F174" i="1"/>
  <c r="E174" i="1"/>
  <c r="D174" i="1"/>
  <c r="C174" i="1"/>
  <c r="A174" i="1"/>
  <c r="G173" i="1"/>
  <c r="F173" i="1"/>
  <c r="E173" i="1"/>
  <c r="D173" i="1"/>
  <c r="C173" i="1"/>
  <c r="A173" i="1"/>
  <c r="G172" i="1"/>
  <c r="F172" i="1"/>
  <c r="E172" i="1"/>
  <c r="D172" i="1"/>
  <c r="C172" i="1"/>
  <c r="A172" i="1"/>
  <c r="G171" i="1"/>
  <c r="F171" i="1"/>
  <c r="E171" i="1"/>
  <c r="D171" i="1"/>
  <c r="C171" i="1"/>
  <c r="A171" i="1"/>
  <c r="G170" i="1"/>
  <c r="F170" i="1"/>
  <c r="E170" i="1"/>
  <c r="D170" i="1"/>
  <c r="C170" i="1"/>
  <c r="A170" i="1"/>
  <c r="G169" i="1"/>
  <c r="F169" i="1"/>
  <c r="E169" i="1"/>
  <c r="D169" i="1"/>
  <c r="C169" i="1"/>
  <c r="A169" i="1"/>
  <c r="G168" i="1"/>
  <c r="F168" i="1"/>
  <c r="E168" i="1"/>
  <c r="D168" i="1"/>
  <c r="C168" i="1"/>
  <c r="A168" i="1"/>
  <c r="G167" i="1"/>
  <c r="F167" i="1"/>
  <c r="E167" i="1"/>
  <c r="D167" i="1"/>
  <c r="C167" i="1"/>
  <c r="R151" i="1"/>
  <c r="F147" i="1"/>
  <c r="B147" i="1"/>
  <c r="S146" i="1"/>
  <c r="R126" i="1"/>
  <c r="F126" i="1"/>
  <c r="B126" i="1"/>
  <c r="G126" i="1" s="1"/>
  <c r="S121" i="1"/>
  <c r="R104" i="1"/>
  <c r="G104" i="1"/>
  <c r="F104" i="1"/>
  <c r="E104" i="1"/>
  <c r="D104" i="1"/>
  <c r="C104" i="1"/>
  <c r="S99" i="1"/>
  <c r="R81" i="1"/>
  <c r="G81" i="1"/>
  <c r="F81" i="1"/>
  <c r="E81" i="1"/>
  <c r="D81" i="1"/>
  <c r="C81" i="1"/>
  <c r="S76" i="1"/>
  <c r="G60" i="1"/>
  <c r="E60" i="1"/>
  <c r="G59" i="1"/>
  <c r="E59" i="1"/>
  <c r="S59" i="1" s="1"/>
  <c r="G58" i="1"/>
  <c r="E58" i="1"/>
  <c r="G56" i="1"/>
  <c r="E56" i="1"/>
  <c r="R55" i="1"/>
  <c r="D53" i="1"/>
  <c r="G40" i="1"/>
  <c r="E40" i="1"/>
  <c r="G39" i="1"/>
  <c r="E39" i="1"/>
  <c r="O35" i="1"/>
  <c r="M35" i="1"/>
  <c r="G35" i="1"/>
  <c r="E35" i="1"/>
  <c r="O34" i="1"/>
  <c r="M34" i="1"/>
  <c r="G34" i="1"/>
  <c r="E34" i="1"/>
  <c r="L31" i="1"/>
  <c r="D31" i="1"/>
  <c r="G25" i="1"/>
  <c r="E25" i="1"/>
  <c r="G24" i="1"/>
  <c r="E24" i="1"/>
  <c r="D21" i="1"/>
  <c r="G19" i="1"/>
  <c r="F19" i="1"/>
  <c r="G17" i="1"/>
  <c r="F17" i="1"/>
  <c r="B17" i="1"/>
  <c r="G16" i="1"/>
  <c r="F16" i="1"/>
  <c r="S17" i="1" s="1"/>
  <c r="G15" i="1"/>
  <c r="F15" i="1"/>
  <c r="S16" i="1" s="1"/>
  <c r="G14" i="1"/>
  <c r="F14" i="1"/>
  <c r="S15" i="1" s="1"/>
  <c r="G13" i="1"/>
  <c r="F13" i="1"/>
  <c r="G12" i="1"/>
  <c r="F12" i="1"/>
  <c r="S7" i="1"/>
  <c r="Q7" i="1"/>
  <c r="B7" i="1"/>
  <c r="AC470" i="6"/>
  <c r="AC469" i="6"/>
  <c r="N42" i="1" l="1"/>
  <c r="N41" i="1"/>
  <c r="N40" i="1"/>
  <c r="N37" i="1"/>
  <c r="N39" i="1"/>
  <c r="N36" i="1"/>
  <c r="N38" i="1"/>
  <c r="G61" i="1"/>
  <c r="E61" i="1"/>
  <c r="AB466" i="6"/>
  <c r="B466" i="6" s="1"/>
  <c r="BS466" i="6" s="1"/>
  <c r="AB458" i="6"/>
  <c r="B458" i="6" s="1"/>
  <c r="BS458" i="6" s="1"/>
  <c r="AB450" i="6"/>
  <c r="B450" i="6" s="1"/>
  <c r="BS450" i="6" s="1"/>
  <c r="AB442" i="6"/>
  <c r="B442" i="6" s="1"/>
  <c r="BS442" i="6" s="1"/>
  <c r="AB434" i="6"/>
  <c r="B434" i="6" s="1"/>
  <c r="BS434" i="6" s="1"/>
  <c r="AB426" i="6"/>
  <c r="B426" i="6" s="1"/>
  <c r="BS426" i="6" s="1"/>
  <c r="AB418" i="6"/>
  <c r="B418" i="6" s="1"/>
  <c r="BS418" i="6" s="1"/>
  <c r="AB410" i="6"/>
  <c r="B410" i="6" s="1"/>
  <c r="BS410" i="6" s="1"/>
  <c r="AB402" i="6"/>
  <c r="B402" i="6" s="1"/>
  <c r="BS402" i="6" s="1"/>
  <c r="AB394" i="6"/>
  <c r="B394" i="6" s="1"/>
  <c r="BS394" i="6" s="1"/>
  <c r="AB386" i="6"/>
  <c r="B386" i="6" s="1"/>
  <c r="BS386" i="6" s="1"/>
  <c r="AB378" i="6"/>
  <c r="B378" i="6" s="1"/>
  <c r="BS378" i="6" s="1"/>
  <c r="AB370" i="6"/>
  <c r="AB362" i="6"/>
  <c r="B362" i="6" s="1"/>
  <c r="BS362" i="6" s="1"/>
  <c r="AB354" i="6"/>
  <c r="B354" i="6" s="1"/>
  <c r="BS354" i="6" s="1"/>
  <c r="AB346" i="6"/>
  <c r="B346" i="6" s="1"/>
  <c r="BS346" i="6" s="1"/>
  <c r="AB338" i="6"/>
  <c r="B338" i="6" s="1"/>
  <c r="BS338" i="6" s="1"/>
  <c r="AB330" i="6"/>
  <c r="B330" i="6" s="1"/>
  <c r="BS330" i="6" s="1"/>
  <c r="AB322" i="6"/>
  <c r="B322" i="6" s="1"/>
  <c r="BS322" i="6" s="1"/>
  <c r="AB314" i="6"/>
  <c r="B314" i="6" s="1"/>
  <c r="BS314" i="6" s="1"/>
  <c r="AB306" i="6"/>
  <c r="B306" i="6" s="1"/>
  <c r="BS306" i="6" s="1"/>
  <c r="AB298" i="6"/>
  <c r="B298" i="6" s="1"/>
  <c r="BS298" i="6" s="1"/>
  <c r="AB290" i="6"/>
  <c r="B290" i="6" s="1"/>
  <c r="BS290" i="6" s="1"/>
  <c r="AB282" i="6"/>
  <c r="B282" i="6" s="1"/>
  <c r="BS282" i="6" s="1"/>
  <c r="AB274" i="6"/>
  <c r="B274" i="6" s="1"/>
  <c r="BS274" i="6" s="1"/>
  <c r="AB266" i="6"/>
  <c r="B266" i="6" s="1"/>
  <c r="BS266" i="6" s="1"/>
  <c r="AB258" i="6"/>
  <c r="B258" i="6" s="1"/>
  <c r="BS258" i="6" s="1"/>
  <c r="AB250" i="6"/>
  <c r="B250" i="6" s="1"/>
  <c r="BS250" i="6" s="1"/>
  <c r="AB242" i="6"/>
  <c r="B242" i="6" s="1"/>
  <c r="BS242" i="6" s="1"/>
  <c r="AB234" i="6"/>
  <c r="B234" i="6" s="1"/>
  <c r="BS234" i="6" s="1"/>
  <c r="AB226" i="6"/>
  <c r="B226" i="6" s="1"/>
  <c r="BS226" i="6" s="1"/>
  <c r="AB218" i="6"/>
  <c r="B218" i="6" s="1"/>
  <c r="BS218" i="6" s="1"/>
  <c r="AB210" i="6"/>
  <c r="B210" i="6" s="1"/>
  <c r="BS210" i="6" s="1"/>
  <c r="AB202" i="6"/>
  <c r="B202" i="6" s="1"/>
  <c r="BS202" i="6" s="1"/>
  <c r="AB194" i="6"/>
  <c r="B194" i="6" s="1"/>
  <c r="BS194" i="6" s="1"/>
  <c r="AB186" i="6"/>
  <c r="B186" i="6" s="1"/>
  <c r="BS186" i="6" s="1"/>
  <c r="AB178" i="6"/>
  <c r="B178" i="6" s="1"/>
  <c r="BS178" i="6" s="1"/>
  <c r="AB170" i="6"/>
  <c r="B170" i="6" s="1"/>
  <c r="BS170" i="6" s="1"/>
  <c r="AB162" i="6"/>
  <c r="B162" i="6" s="1"/>
  <c r="BS162" i="6" s="1"/>
  <c r="AB154" i="6"/>
  <c r="B154" i="6" s="1"/>
  <c r="BS154" i="6" s="1"/>
  <c r="AB146" i="6"/>
  <c r="B146" i="6" s="1"/>
  <c r="BS146" i="6" s="1"/>
  <c r="AB138" i="6"/>
  <c r="B138" i="6" s="1"/>
  <c r="BS138" i="6" s="1"/>
  <c r="AB130" i="6"/>
  <c r="B130" i="6" s="1"/>
  <c r="BS130" i="6" s="1"/>
  <c r="AB122" i="6"/>
  <c r="B122" i="6" s="1"/>
  <c r="BS122" i="6" s="1"/>
  <c r="AB114" i="6"/>
  <c r="B114" i="6" s="1"/>
  <c r="BS114" i="6" s="1"/>
  <c r="AB106" i="6"/>
  <c r="B106" i="6" s="1"/>
  <c r="BS106" i="6" s="1"/>
  <c r="AB98" i="6"/>
  <c r="B98" i="6" s="1"/>
  <c r="BS98" i="6" s="1"/>
  <c r="AB90" i="6"/>
  <c r="B90" i="6" s="1"/>
  <c r="BS90" i="6" s="1"/>
  <c r="AB82" i="6"/>
  <c r="B82" i="6" s="1"/>
  <c r="BS82" i="6" s="1"/>
  <c r="AB74" i="6"/>
  <c r="B74" i="6" s="1"/>
  <c r="BS74" i="6" s="1"/>
  <c r="AB66" i="6"/>
  <c r="B66" i="6" s="1"/>
  <c r="BS66" i="6" s="1"/>
  <c r="AB58" i="6"/>
  <c r="B58" i="6" s="1"/>
  <c r="BS58" i="6" s="1"/>
  <c r="AB50" i="6"/>
  <c r="B50" i="6" s="1"/>
  <c r="BS50" i="6" s="1"/>
  <c r="AB42" i="6"/>
  <c r="B42" i="6" s="1"/>
  <c r="BS42" i="6" s="1"/>
  <c r="AB34" i="6"/>
  <c r="B34" i="6" s="1"/>
  <c r="BS34" i="6" s="1"/>
  <c r="AB26" i="6"/>
  <c r="B26" i="6" s="1"/>
  <c r="BS26" i="6" s="1"/>
  <c r="AB18" i="6"/>
  <c r="B18" i="6" s="1"/>
  <c r="BS18" i="6" s="1"/>
  <c r="AB10" i="6"/>
  <c r="B10" i="6" s="1"/>
  <c r="BS10" i="6" s="1"/>
  <c r="AB465" i="6"/>
  <c r="B465" i="6" s="1"/>
  <c r="BS465" i="6" s="1"/>
  <c r="AB457" i="6"/>
  <c r="B457" i="6" s="1"/>
  <c r="BS457" i="6" s="1"/>
  <c r="AB449" i="6"/>
  <c r="B449" i="6" s="1"/>
  <c r="BS449" i="6" s="1"/>
  <c r="AB441" i="6"/>
  <c r="B441" i="6" s="1"/>
  <c r="BS441" i="6" s="1"/>
  <c r="AB433" i="6"/>
  <c r="B433" i="6" s="1"/>
  <c r="BS433" i="6" s="1"/>
  <c r="AB425" i="6"/>
  <c r="B425" i="6" s="1"/>
  <c r="BS425" i="6" s="1"/>
  <c r="AB417" i="6"/>
  <c r="B417" i="6" s="1"/>
  <c r="BS417" i="6" s="1"/>
  <c r="AB409" i="6"/>
  <c r="B409" i="6" s="1"/>
  <c r="BS409" i="6" s="1"/>
  <c r="AB401" i="6"/>
  <c r="B401" i="6" s="1"/>
  <c r="BS401" i="6" s="1"/>
  <c r="AB393" i="6"/>
  <c r="B393" i="6" s="1"/>
  <c r="BS393" i="6" s="1"/>
  <c r="AB385" i="6"/>
  <c r="AB377" i="6"/>
  <c r="B377" i="6" s="1"/>
  <c r="BS377" i="6" s="1"/>
  <c r="AB369" i="6"/>
  <c r="B369" i="6" s="1"/>
  <c r="BS369" i="6" s="1"/>
  <c r="AB361" i="6"/>
  <c r="B361" i="6" s="1"/>
  <c r="BS361" i="6" s="1"/>
  <c r="AB353" i="6"/>
  <c r="B353" i="6" s="1"/>
  <c r="BS353" i="6" s="1"/>
  <c r="AB345" i="6"/>
  <c r="B345" i="6" s="1"/>
  <c r="BS345" i="6" s="1"/>
  <c r="AB337" i="6"/>
  <c r="B337" i="6" s="1"/>
  <c r="BS337" i="6" s="1"/>
  <c r="AB329" i="6"/>
  <c r="B329" i="6" s="1"/>
  <c r="BS329" i="6" s="1"/>
  <c r="AB321" i="6"/>
  <c r="B321" i="6" s="1"/>
  <c r="BS321" i="6" s="1"/>
  <c r="AB313" i="6"/>
  <c r="B313" i="6" s="1"/>
  <c r="BS313" i="6" s="1"/>
  <c r="AB305" i="6"/>
  <c r="B305" i="6" s="1"/>
  <c r="BS305" i="6" s="1"/>
  <c r="AB297" i="6"/>
  <c r="B297" i="6" s="1"/>
  <c r="BS297" i="6" s="1"/>
  <c r="AB289" i="6"/>
  <c r="B289" i="6" s="1"/>
  <c r="BS289" i="6" s="1"/>
  <c r="AB281" i="6"/>
  <c r="B281" i="6" s="1"/>
  <c r="BS281" i="6" s="1"/>
  <c r="AB273" i="6"/>
  <c r="B273" i="6" s="1"/>
  <c r="BS273" i="6" s="1"/>
  <c r="AB265" i="6"/>
  <c r="B265" i="6" s="1"/>
  <c r="BS265" i="6" s="1"/>
  <c r="AB257" i="6"/>
  <c r="AB249" i="6"/>
  <c r="B249" i="6" s="1"/>
  <c r="BS249" i="6" s="1"/>
  <c r="AB241" i="6"/>
  <c r="B241" i="6" s="1"/>
  <c r="BS241" i="6" s="1"/>
  <c r="AB233" i="6"/>
  <c r="B233" i="6" s="1"/>
  <c r="BS233" i="6" s="1"/>
  <c r="AB225" i="6"/>
  <c r="B225" i="6" s="1"/>
  <c r="BS225" i="6" s="1"/>
  <c r="AB217" i="6"/>
  <c r="B217" i="6" s="1"/>
  <c r="BS217" i="6" s="1"/>
  <c r="AB209" i="6"/>
  <c r="B209" i="6" s="1"/>
  <c r="BS209" i="6" s="1"/>
  <c r="AB201" i="6"/>
  <c r="B201" i="6" s="1"/>
  <c r="BS201" i="6" s="1"/>
  <c r="AB193" i="6"/>
  <c r="B193" i="6" s="1"/>
  <c r="BS193" i="6" s="1"/>
  <c r="AB185" i="6"/>
  <c r="B185" i="6" s="1"/>
  <c r="BS185" i="6" s="1"/>
  <c r="AB177" i="6"/>
  <c r="B177" i="6" s="1"/>
  <c r="BS177" i="6" s="1"/>
  <c r="AB169" i="6"/>
  <c r="B169" i="6" s="1"/>
  <c r="BS169" i="6" s="1"/>
  <c r="AB161" i="6"/>
  <c r="B161" i="6" s="1"/>
  <c r="BS161" i="6" s="1"/>
  <c r="AB153" i="6"/>
  <c r="B153" i="6" s="1"/>
  <c r="BS153" i="6" s="1"/>
  <c r="AB145" i="6"/>
  <c r="B145" i="6" s="1"/>
  <c r="BS145" i="6" s="1"/>
  <c r="AB137" i="6"/>
  <c r="B137" i="6" s="1"/>
  <c r="BS137" i="6" s="1"/>
  <c r="AB129" i="6"/>
  <c r="AB121" i="6"/>
  <c r="B121" i="6" s="1"/>
  <c r="BS121" i="6" s="1"/>
  <c r="AB113" i="6"/>
  <c r="B113" i="6" s="1"/>
  <c r="BS113" i="6" s="1"/>
  <c r="AB105" i="6"/>
  <c r="B105" i="6" s="1"/>
  <c r="BS105" i="6" s="1"/>
  <c r="AB97" i="6"/>
  <c r="B97" i="6" s="1"/>
  <c r="BS97" i="6" s="1"/>
  <c r="AB89" i="6"/>
  <c r="B89" i="6" s="1"/>
  <c r="BS89" i="6" s="1"/>
  <c r="AB81" i="6"/>
  <c r="B81" i="6" s="1"/>
  <c r="BS81" i="6" s="1"/>
  <c r="AB73" i="6"/>
  <c r="B73" i="6" s="1"/>
  <c r="BS73" i="6" s="1"/>
  <c r="AB65" i="6"/>
  <c r="B65" i="6" s="1"/>
  <c r="BS65" i="6" s="1"/>
  <c r="AB57" i="6"/>
  <c r="B57" i="6" s="1"/>
  <c r="BS57" i="6" s="1"/>
  <c r="AB49" i="6"/>
  <c r="B49" i="6" s="1"/>
  <c r="BS49" i="6" s="1"/>
  <c r="AB41" i="6"/>
  <c r="B41" i="6" s="1"/>
  <c r="BS41" i="6" s="1"/>
  <c r="AB33" i="6"/>
  <c r="B33" i="6" s="1"/>
  <c r="BS33" i="6" s="1"/>
  <c r="AB25" i="6"/>
  <c r="B25" i="6" s="1"/>
  <c r="BS25" i="6" s="1"/>
  <c r="AB17" i="6"/>
  <c r="B17" i="6" s="1"/>
  <c r="BS17" i="6" s="1"/>
  <c r="AB9" i="6"/>
  <c r="B9" i="6" s="1"/>
  <c r="BS9" i="6" s="1"/>
  <c r="AB292" i="6"/>
  <c r="B292" i="6" s="1"/>
  <c r="BS292" i="6" s="1"/>
  <c r="AB180" i="6"/>
  <c r="B180" i="6" s="1"/>
  <c r="BS180" i="6" s="1"/>
  <c r="AB124" i="6"/>
  <c r="B124" i="6" s="1"/>
  <c r="BS124" i="6" s="1"/>
  <c r="AB84" i="6"/>
  <c r="B84" i="6" s="1"/>
  <c r="BS84" i="6" s="1"/>
  <c r="AB52" i="6"/>
  <c r="B52" i="6" s="1"/>
  <c r="BS52" i="6" s="1"/>
  <c r="AB467" i="6"/>
  <c r="B467" i="6" s="1"/>
  <c r="BS467" i="6" s="1"/>
  <c r="AB411" i="6"/>
  <c r="B411" i="6" s="1"/>
  <c r="BS411" i="6" s="1"/>
  <c r="AB464" i="6"/>
  <c r="B464" i="6" s="1"/>
  <c r="BS464" i="6" s="1"/>
  <c r="AB456" i="6"/>
  <c r="B456" i="6" s="1"/>
  <c r="BS456" i="6" s="1"/>
  <c r="AB448" i="6"/>
  <c r="B448" i="6" s="1"/>
  <c r="BS448" i="6" s="1"/>
  <c r="AB440" i="6"/>
  <c r="B440" i="6" s="1"/>
  <c r="BS440" i="6" s="1"/>
  <c r="AB432" i="6"/>
  <c r="B432" i="6" s="1"/>
  <c r="BS432" i="6" s="1"/>
  <c r="AB424" i="6"/>
  <c r="B424" i="6" s="1"/>
  <c r="BS424" i="6" s="1"/>
  <c r="AB416" i="6"/>
  <c r="B416" i="6" s="1"/>
  <c r="BS416" i="6" s="1"/>
  <c r="AB408" i="6"/>
  <c r="B408" i="6" s="1"/>
  <c r="BS408" i="6" s="1"/>
  <c r="AB400" i="6"/>
  <c r="B400" i="6" s="1"/>
  <c r="BS400" i="6" s="1"/>
  <c r="AB392" i="6"/>
  <c r="B392" i="6" s="1"/>
  <c r="BS392" i="6" s="1"/>
  <c r="AB384" i="6"/>
  <c r="B384" i="6" s="1"/>
  <c r="BS384" i="6" s="1"/>
  <c r="AB376" i="6"/>
  <c r="B376" i="6" s="1"/>
  <c r="BS376" i="6" s="1"/>
  <c r="AB368" i="6"/>
  <c r="B368" i="6" s="1"/>
  <c r="BS368" i="6" s="1"/>
  <c r="AB360" i="6"/>
  <c r="B360" i="6" s="1"/>
  <c r="BS360" i="6" s="1"/>
  <c r="AB352" i="6"/>
  <c r="B352" i="6" s="1"/>
  <c r="BS352" i="6" s="1"/>
  <c r="AB344" i="6"/>
  <c r="B344" i="6" s="1"/>
  <c r="BS344" i="6" s="1"/>
  <c r="AB336" i="6"/>
  <c r="B336" i="6" s="1"/>
  <c r="BS336" i="6" s="1"/>
  <c r="AB328" i="6"/>
  <c r="B328" i="6" s="1"/>
  <c r="BS328" i="6" s="1"/>
  <c r="AB320" i="6"/>
  <c r="B320" i="6" s="1"/>
  <c r="BS320" i="6" s="1"/>
  <c r="AB312" i="6"/>
  <c r="B312" i="6" s="1"/>
  <c r="BS312" i="6" s="1"/>
  <c r="AB304" i="6"/>
  <c r="B304" i="6" s="1"/>
  <c r="BS304" i="6" s="1"/>
  <c r="AB296" i="6"/>
  <c r="B296" i="6" s="1"/>
  <c r="BS296" i="6" s="1"/>
  <c r="AB288" i="6"/>
  <c r="B288" i="6" s="1"/>
  <c r="BS288" i="6" s="1"/>
  <c r="AB280" i="6"/>
  <c r="B280" i="6" s="1"/>
  <c r="BS280" i="6" s="1"/>
  <c r="AB272" i="6"/>
  <c r="B272" i="6" s="1"/>
  <c r="BS272" i="6" s="1"/>
  <c r="AB264" i="6"/>
  <c r="B264" i="6" s="1"/>
  <c r="BS264" i="6" s="1"/>
  <c r="AB256" i="6"/>
  <c r="B256" i="6" s="1"/>
  <c r="BS256" i="6" s="1"/>
  <c r="AB248" i="6"/>
  <c r="B248" i="6" s="1"/>
  <c r="BS248" i="6" s="1"/>
  <c r="AB240" i="6"/>
  <c r="B240" i="6" s="1"/>
  <c r="BS240" i="6" s="1"/>
  <c r="AB232" i="6"/>
  <c r="B232" i="6" s="1"/>
  <c r="BS232" i="6" s="1"/>
  <c r="AB224" i="6"/>
  <c r="B224" i="6" s="1"/>
  <c r="BS224" i="6" s="1"/>
  <c r="AB216" i="6"/>
  <c r="B216" i="6" s="1"/>
  <c r="BS216" i="6" s="1"/>
  <c r="AB208" i="6"/>
  <c r="B208" i="6" s="1"/>
  <c r="BS208" i="6" s="1"/>
  <c r="AB200" i="6"/>
  <c r="B200" i="6" s="1"/>
  <c r="BS200" i="6" s="1"/>
  <c r="AB192" i="6"/>
  <c r="B192" i="6" s="1"/>
  <c r="BS192" i="6" s="1"/>
  <c r="AB184" i="6"/>
  <c r="B184" i="6" s="1"/>
  <c r="BS184" i="6" s="1"/>
  <c r="AB176" i="6"/>
  <c r="B176" i="6" s="1"/>
  <c r="BS176" i="6" s="1"/>
  <c r="AB168" i="6"/>
  <c r="B168" i="6" s="1"/>
  <c r="BS168" i="6" s="1"/>
  <c r="AB160" i="6"/>
  <c r="B160" i="6" s="1"/>
  <c r="BS160" i="6" s="1"/>
  <c r="AB152" i="6"/>
  <c r="B152" i="6" s="1"/>
  <c r="BS152" i="6" s="1"/>
  <c r="AB144" i="6"/>
  <c r="B144" i="6" s="1"/>
  <c r="BS144" i="6" s="1"/>
  <c r="AB136" i="6"/>
  <c r="B136" i="6" s="1"/>
  <c r="BS136" i="6" s="1"/>
  <c r="AB128" i="6"/>
  <c r="B128" i="6" s="1"/>
  <c r="BS128" i="6" s="1"/>
  <c r="AB120" i="6"/>
  <c r="B120" i="6" s="1"/>
  <c r="BS120" i="6" s="1"/>
  <c r="AB112" i="6"/>
  <c r="B112" i="6" s="1"/>
  <c r="BS112" i="6" s="1"/>
  <c r="AB104" i="6"/>
  <c r="B104" i="6" s="1"/>
  <c r="BS104" i="6" s="1"/>
  <c r="AB96" i="6"/>
  <c r="B96" i="6" s="1"/>
  <c r="BS96" i="6" s="1"/>
  <c r="AB88" i="6"/>
  <c r="B88" i="6" s="1"/>
  <c r="BS88" i="6" s="1"/>
  <c r="AB80" i="6"/>
  <c r="B80" i="6" s="1"/>
  <c r="BS80" i="6" s="1"/>
  <c r="AB72" i="6"/>
  <c r="B72" i="6" s="1"/>
  <c r="BS72" i="6" s="1"/>
  <c r="AB64" i="6"/>
  <c r="B64" i="6" s="1"/>
  <c r="BS64" i="6" s="1"/>
  <c r="AB56" i="6"/>
  <c r="B56" i="6" s="1"/>
  <c r="BS56" i="6" s="1"/>
  <c r="AB48" i="6"/>
  <c r="B48" i="6" s="1"/>
  <c r="BS48" i="6" s="1"/>
  <c r="AB40" i="6"/>
  <c r="B40" i="6" s="1"/>
  <c r="BS40" i="6" s="1"/>
  <c r="AB32" i="6"/>
  <c r="B32" i="6" s="1"/>
  <c r="BS32" i="6" s="1"/>
  <c r="AB24" i="6"/>
  <c r="B24" i="6" s="1"/>
  <c r="BS24" i="6" s="1"/>
  <c r="AB16" i="6"/>
  <c r="B16" i="6" s="1"/>
  <c r="BS16" i="6" s="1"/>
  <c r="AB412" i="6"/>
  <c r="B412" i="6" s="1"/>
  <c r="BS412" i="6" s="1"/>
  <c r="AB284" i="6"/>
  <c r="B284" i="6" s="1"/>
  <c r="BS284" i="6" s="1"/>
  <c r="AB228" i="6"/>
  <c r="B228" i="6" s="1"/>
  <c r="BS228" i="6" s="1"/>
  <c r="AB156" i="6"/>
  <c r="B156" i="6" s="1"/>
  <c r="BS156" i="6" s="1"/>
  <c r="AB92" i="6"/>
  <c r="B92" i="6" s="1"/>
  <c r="BS92" i="6" s="1"/>
  <c r="AB12" i="6"/>
  <c r="B12" i="6" s="1"/>
  <c r="BS12" i="6" s="1"/>
  <c r="AB463" i="6"/>
  <c r="B463" i="6" s="1"/>
  <c r="BS463" i="6" s="1"/>
  <c r="AB455" i="6"/>
  <c r="B455" i="6" s="1"/>
  <c r="BS455" i="6" s="1"/>
  <c r="AB447" i="6"/>
  <c r="B447" i="6" s="1"/>
  <c r="BS447" i="6" s="1"/>
  <c r="AB439" i="6"/>
  <c r="B439" i="6" s="1"/>
  <c r="BS439" i="6" s="1"/>
  <c r="AB431" i="6"/>
  <c r="B431" i="6" s="1"/>
  <c r="BS431" i="6" s="1"/>
  <c r="AB423" i="6"/>
  <c r="B423" i="6" s="1"/>
  <c r="BS423" i="6" s="1"/>
  <c r="AB415" i="6"/>
  <c r="B415" i="6" s="1"/>
  <c r="BS415" i="6" s="1"/>
  <c r="AB407" i="6"/>
  <c r="B407" i="6" s="1"/>
  <c r="BS407" i="6" s="1"/>
  <c r="AB399" i="6"/>
  <c r="B399" i="6" s="1"/>
  <c r="BS399" i="6" s="1"/>
  <c r="AB391" i="6"/>
  <c r="B391" i="6" s="1"/>
  <c r="BS391" i="6" s="1"/>
  <c r="AB383" i="6"/>
  <c r="B383" i="6" s="1"/>
  <c r="BS383" i="6" s="1"/>
  <c r="AB375" i="6"/>
  <c r="B375" i="6" s="1"/>
  <c r="BS375" i="6" s="1"/>
  <c r="AB367" i="6"/>
  <c r="B367" i="6" s="1"/>
  <c r="BS367" i="6" s="1"/>
  <c r="AB359" i="6"/>
  <c r="B359" i="6" s="1"/>
  <c r="BS359" i="6" s="1"/>
  <c r="AB351" i="6"/>
  <c r="B351" i="6" s="1"/>
  <c r="BS351" i="6" s="1"/>
  <c r="AB343" i="6"/>
  <c r="B343" i="6" s="1"/>
  <c r="BS343" i="6" s="1"/>
  <c r="AB335" i="6"/>
  <c r="B335" i="6" s="1"/>
  <c r="BS335" i="6" s="1"/>
  <c r="AB327" i="6"/>
  <c r="B327" i="6" s="1"/>
  <c r="BS327" i="6" s="1"/>
  <c r="AB319" i="6"/>
  <c r="B319" i="6" s="1"/>
  <c r="BS319" i="6" s="1"/>
  <c r="AB311" i="6"/>
  <c r="B311" i="6" s="1"/>
  <c r="BS311" i="6" s="1"/>
  <c r="AB303" i="6"/>
  <c r="B303" i="6" s="1"/>
  <c r="BS303" i="6" s="1"/>
  <c r="AB295" i="6"/>
  <c r="B295" i="6" s="1"/>
  <c r="BS295" i="6" s="1"/>
  <c r="AB287" i="6"/>
  <c r="B287" i="6" s="1"/>
  <c r="BS287" i="6" s="1"/>
  <c r="AB279" i="6"/>
  <c r="B279" i="6" s="1"/>
  <c r="BS279" i="6" s="1"/>
  <c r="AB271" i="6"/>
  <c r="B271" i="6" s="1"/>
  <c r="BS271" i="6" s="1"/>
  <c r="AB263" i="6"/>
  <c r="B263" i="6" s="1"/>
  <c r="BS263" i="6" s="1"/>
  <c r="AB255" i="6"/>
  <c r="B255" i="6" s="1"/>
  <c r="BS255" i="6" s="1"/>
  <c r="AB247" i="6"/>
  <c r="B247" i="6" s="1"/>
  <c r="BS247" i="6" s="1"/>
  <c r="AB239" i="6"/>
  <c r="B239" i="6" s="1"/>
  <c r="BS239" i="6" s="1"/>
  <c r="AB231" i="6"/>
  <c r="B231" i="6" s="1"/>
  <c r="BS231" i="6" s="1"/>
  <c r="AB223" i="6"/>
  <c r="B223" i="6" s="1"/>
  <c r="BS223" i="6" s="1"/>
  <c r="AB215" i="6"/>
  <c r="B215" i="6" s="1"/>
  <c r="BS215" i="6" s="1"/>
  <c r="AB207" i="6"/>
  <c r="B207" i="6" s="1"/>
  <c r="BS207" i="6" s="1"/>
  <c r="AB199" i="6"/>
  <c r="B199" i="6" s="1"/>
  <c r="BS199" i="6" s="1"/>
  <c r="AB191" i="6"/>
  <c r="B191" i="6" s="1"/>
  <c r="BS191" i="6" s="1"/>
  <c r="AB183" i="6"/>
  <c r="B183" i="6" s="1"/>
  <c r="BS183" i="6" s="1"/>
  <c r="AB175" i="6"/>
  <c r="B175" i="6" s="1"/>
  <c r="BS175" i="6" s="1"/>
  <c r="AB167" i="6"/>
  <c r="B167" i="6" s="1"/>
  <c r="BS167" i="6" s="1"/>
  <c r="AB159" i="6"/>
  <c r="B159" i="6" s="1"/>
  <c r="BS159" i="6" s="1"/>
  <c r="AB151" i="6"/>
  <c r="B151" i="6" s="1"/>
  <c r="BS151" i="6" s="1"/>
  <c r="AB143" i="6"/>
  <c r="B143" i="6" s="1"/>
  <c r="BS143" i="6" s="1"/>
  <c r="AB135" i="6"/>
  <c r="B135" i="6" s="1"/>
  <c r="BS135" i="6" s="1"/>
  <c r="AB127" i="6"/>
  <c r="B127" i="6" s="1"/>
  <c r="BS127" i="6" s="1"/>
  <c r="AB119" i="6"/>
  <c r="B119" i="6" s="1"/>
  <c r="BS119" i="6" s="1"/>
  <c r="AB111" i="6"/>
  <c r="B111" i="6" s="1"/>
  <c r="BS111" i="6" s="1"/>
  <c r="AB103" i="6"/>
  <c r="B103" i="6" s="1"/>
  <c r="BS103" i="6" s="1"/>
  <c r="AB95" i="6"/>
  <c r="B95" i="6" s="1"/>
  <c r="BS95" i="6" s="1"/>
  <c r="AB87" i="6"/>
  <c r="B87" i="6" s="1"/>
  <c r="BS87" i="6" s="1"/>
  <c r="AB79" i="6"/>
  <c r="B79" i="6" s="1"/>
  <c r="BS79" i="6" s="1"/>
  <c r="AB71" i="6"/>
  <c r="B71" i="6" s="1"/>
  <c r="BS71" i="6" s="1"/>
  <c r="AB63" i="6"/>
  <c r="B63" i="6" s="1"/>
  <c r="BS63" i="6" s="1"/>
  <c r="AB55" i="6"/>
  <c r="B55" i="6" s="1"/>
  <c r="BS55" i="6" s="1"/>
  <c r="AB47" i="6"/>
  <c r="B47" i="6" s="1"/>
  <c r="BS47" i="6" s="1"/>
  <c r="AB39" i="6"/>
  <c r="B39" i="6" s="1"/>
  <c r="BS39" i="6" s="1"/>
  <c r="AB31" i="6"/>
  <c r="B31" i="6" s="1"/>
  <c r="BS31" i="6" s="1"/>
  <c r="AB23" i="6"/>
  <c r="B23" i="6" s="1"/>
  <c r="BS23" i="6" s="1"/>
  <c r="AB15" i="6"/>
  <c r="B15" i="6" s="1"/>
  <c r="BS15" i="6" s="1"/>
  <c r="AB452" i="6"/>
  <c r="B452" i="6" s="1"/>
  <c r="BS452" i="6" s="1"/>
  <c r="AB332" i="6"/>
  <c r="B332" i="6" s="1"/>
  <c r="BS332" i="6" s="1"/>
  <c r="AB276" i="6"/>
  <c r="B276" i="6" s="1"/>
  <c r="BS276" i="6" s="1"/>
  <c r="AB252" i="6"/>
  <c r="B252" i="6" s="1"/>
  <c r="BS252" i="6" s="1"/>
  <c r="AB220" i="6"/>
  <c r="B220" i="6" s="1"/>
  <c r="BS220" i="6" s="1"/>
  <c r="AB188" i="6"/>
  <c r="B188" i="6" s="1"/>
  <c r="BS188" i="6" s="1"/>
  <c r="AB164" i="6"/>
  <c r="B164" i="6" s="1"/>
  <c r="BS164" i="6" s="1"/>
  <c r="AB132" i="6"/>
  <c r="B132" i="6" s="1"/>
  <c r="BS132" i="6" s="1"/>
  <c r="AB116" i="6"/>
  <c r="B116" i="6" s="1"/>
  <c r="BS116" i="6" s="1"/>
  <c r="AB100" i="6"/>
  <c r="B100" i="6" s="1"/>
  <c r="BS100" i="6" s="1"/>
  <c r="AB68" i="6"/>
  <c r="B68" i="6" s="1"/>
  <c r="BS68" i="6" s="1"/>
  <c r="AB44" i="6"/>
  <c r="B44" i="6" s="1"/>
  <c r="BS44" i="6" s="1"/>
  <c r="AB462" i="6"/>
  <c r="B462" i="6" s="1"/>
  <c r="BS462" i="6" s="1"/>
  <c r="AB454" i="6"/>
  <c r="B454" i="6" s="1"/>
  <c r="BS454" i="6" s="1"/>
  <c r="AB446" i="6"/>
  <c r="B446" i="6" s="1"/>
  <c r="BS446" i="6" s="1"/>
  <c r="AB438" i="6"/>
  <c r="B438" i="6" s="1"/>
  <c r="BS438" i="6" s="1"/>
  <c r="AB430" i="6"/>
  <c r="B430" i="6" s="1"/>
  <c r="BS430" i="6" s="1"/>
  <c r="AB422" i="6"/>
  <c r="B422" i="6" s="1"/>
  <c r="BS422" i="6" s="1"/>
  <c r="AB414" i="6"/>
  <c r="B414" i="6" s="1"/>
  <c r="BS414" i="6" s="1"/>
  <c r="AB406" i="6"/>
  <c r="B406" i="6" s="1"/>
  <c r="BS406" i="6" s="1"/>
  <c r="AB398" i="6"/>
  <c r="B398" i="6" s="1"/>
  <c r="BS398" i="6" s="1"/>
  <c r="AB390" i="6"/>
  <c r="B390" i="6" s="1"/>
  <c r="BS390" i="6" s="1"/>
  <c r="AB382" i="6"/>
  <c r="B382" i="6" s="1"/>
  <c r="BS382" i="6" s="1"/>
  <c r="AB374" i="6"/>
  <c r="B374" i="6" s="1"/>
  <c r="BS374" i="6" s="1"/>
  <c r="AB366" i="6"/>
  <c r="B366" i="6" s="1"/>
  <c r="BS366" i="6" s="1"/>
  <c r="AB358" i="6"/>
  <c r="B358" i="6" s="1"/>
  <c r="BS358" i="6" s="1"/>
  <c r="AB350" i="6"/>
  <c r="B350" i="6" s="1"/>
  <c r="BS350" i="6" s="1"/>
  <c r="AB342" i="6"/>
  <c r="B342" i="6" s="1"/>
  <c r="BS342" i="6" s="1"/>
  <c r="AB334" i="6"/>
  <c r="B334" i="6" s="1"/>
  <c r="BS334" i="6" s="1"/>
  <c r="AB326" i="6"/>
  <c r="B326" i="6" s="1"/>
  <c r="BS326" i="6" s="1"/>
  <c r="AB318" i="6"/>
  <c r="B318" i="6" s="1"/>
  <c r="BS318" i="6" s="1"/>
  <c r="AB310" i="6"/>
  <c r="B310" i="6" s="1"/>
  <c r="BS310" i="6" s="1"/>
  <c r="AB302" i="6"/>
  <c r="B302" i="6" s="1"/>
  <c r="BS302" i="6" s="1"/>
  <c r="AB294" i="6"/>
  <c r="B294" i="6" s="1"/>
  <c r="BS294" i="6" s="1"/>
  <c r="AB286" i="6"/>
  <c r="B286" i="6" s="1"/>
  <c r="BS286" i="6" s="1"/>
  <c r="AB278" i="6"/>
  <c r="B278" i="6" s="1"/>
  <c r="BS278" i="6" s="1"/>
  <c r="AB270" i="6"/>
  <c r="B270" i="6" s="1"/>
  <c r="BS270" i="6" s="1"/>
  <c r="AB262" i="6"/>
  <c r="B262" i="6" s="1"/>
  <c r="BS262" i="6" s="1"/>
  <c r="AB254" i="6"/>
  <c r="B254" i="6" s="1"/>
  <c r="BS254" i="6" s="1"/>
  <c r="AB246" i="6"/>
  <c r="B246" i="6" s="1"/>
  <c r="BS246" i="6" s="1"/>
  <c r="AB238" i="6"/>
  <c r="B238" i="6" s="1"/>
  <c r="BS238" i="6" s="1"/>
  <c r="AB230" i="6"/>
  <c r="B230" i="6" s="1"/>
  <c r="BS230" i="6" s="1"/>
  <c r="AB222" i="6"/>
  <c r="B222" i="6" s="1"/>
  <c r="BS222" i="6" s="1"/>
  <c r="AB214" i="6"/>
  <c r="B214" i="6" s="1"/>
  <c r="BS214" i="6" s="1"/>
  <c r="AB206" i="6"/>
  <c r="B206" i="6" s="1"/>
  <c r="BS206" i="6" s="1"/>
  <c r="AB198" i="6"/>
  <c r="B198" i="6" s="1"/>
  <c r="BS198" i="6" s="1"/>
  <c r="AB190" i="6"/>
  <c r="B190" i="6" s="1"/>
  <c r="BS190" i="6" s="1"/>
  <c r="AB182" i="6"/>
  <c r="B182" i="6" s="1"/>
  <c r="BS182" i="6" s="1"/>
  <c r="AB174" i="6"/>
  <c r="B174" i="6" s="1"/>
  <c r="BS174" i="6" s="1"/>
  <c r="AB166" i="6"/>
  <c r="B166" i="6" s="1"/>
  <c r="BS166" i="6" s="1"/>
  <c r="AB158" i="6"/>
  <c r="B158" i="6" s="1"/>
  <c r="BS158" i="6" s="1"/>
  <c r="AB150" i="6"/>
  <c r="B150" i="6" s="1"/>
  <c r="BS150" i="6" s="1"/>
  <c r="AB142" i="6"/>
  <c r="B142" i="6" s="1"/>
  <c r="BS142" i="6" s="1"/>
  <c r="AB134" i="6"/>
  <c r="B134" i="6" s="1"/>
  <c r="BS134" i="6" s="1"/>
  <c r="AB126" i="6"/>
  <c r="B126" i="6" s="1"/>
  <c r="BS126" i="6" s="1"/>
  <c r="AB118" i="6"/>
  <c r="B118" i="6" s="1"/>
  <c r="BS118" i="6" s="1"/>
  <c r="AB110" i="6"/>
  <c r="B110" i="6" s="1"/>
  <c r="BS110" i="6" s="1"/>
  <c r="AB102" i="6"/>
  <c r="B102" i="6" s="1"/>
  <c r="BS102" i="6" s="1"/>
  <c r="AB94" i="6"/>
  <c r="B94" i="6" s="1"/>
  <c r="BS94" i="6" s="1"/>
  <c r="AB86" i="6"/>
  <c r="B86" i="6" s="1"/>
  <c r="BS86" i="6" s="1"/>
  <c r="AB78" i="6"/>
  <c r="B78" i="6" s="1"/>
  <c r="BS78" i="6" s="1"/>
  <c r="AB70" i="6"/>
  <c r="B70" i="6" s="1"/>
  <c r="BS70" i="6" s="1"/>
  <c r="AB62" i="6"/>
  <c r="B62" i="6" s="1"/>
  <c r="BS62" i="6" s="1"/>
  <c r="AB54" i="6"/>
  <c r="B54" i="6" s="1"/>
  <c r="BS54" i="6" s="1"/>
  <c r="AB46" i="6"/>
  <c r="B46" i="6" s="1"/>
  <c r="BS46" i="6" s="1"/>
  <c r="AB38" i="6"/>
  <c r="B38" i="6" s="1"/>
  <c r="BS38" i="6" s="1"/>
  <c r="AB30" i="6"/>
  <c r="B30" i="6" s="1"/>
  <c r="BS30" i="6" s="1"/>
  <c r="AB22" i="6"/>
  <c r="B22" i="6" s="1"/>
  <c r="BS22" i="6" s="1"/>
  <c r="AB14" i="6"/>
  <c r="B14" i="6" s="1"/>
  <c r="BS14" i="6" s="1"/>
  <c r="AB45" i="6"/>
  <c r="B45" i="6" s="1"/>
  <c r="BS45" i="6" s="1"/>
  <c r="AB29" i="6"/>
  <c r="B29" i="6" s="1"/>
  <c r="BS29" i="6" s="1"/>
  <c r="AB13" i="6"/>
  <c r="B13" i="6" s="1"/>
  <c r="BS13" i="6" s="1"/>
  <c r="AB468" i="6"/>
  <c r="B468" i="6" s="1"/>
  <c r="BS468" i="6" s="1"/>
  <c r="AB444" i="6"/>
  <c r="B444" i="6" s="1"/>
  <c r="BS444" i="6" s="1"/>
  <c r="AB436" i="6"/>
  <c r="B436" i="6" s="1"/>
  <c r="BS436" i="6" s="1"/>
  <c r="AB428" i="6"/>
  <c r="B428" i="6" s="1"/>
  <c r="BS428" i="6" s="1"/>
  <c r="AB420" i="6"/>
  <c r="B420" i="6" s="1"/>
  <c r="BS420" i="6" s="1"/>
  <c r="AB404" i="6"/>
  <c r="B404" i="6" s="1"/>
  <c r="BS404" i="6" s="1"/>
  <c r="AB388" i="6"/>
  <c r="B388" i="6" s="1"/>
  <c r="BS388" i="6" s="1"/>
  <c r="AB380" i="6"/>
  <c r="B380" i="6" s="1"/>
  <c r="BS380" i="6" s="1"/>
  <c r="AB364" i="6"/>
  <c r="B364" i="6" s="1"/>
  <c r="BS364" i="6" s="1"/>
  <c r="AB356" i="6"/>
  <c r="B356" i="6" s="1"/>
  <c r="BS356" i="6" s="1"/>
  <c r="AB340" i="6"/>
  <c r="B340" i="6" s="1"/>
  <c r="BS340" i="6" s="1"/>
  <c r="AB324" i="6"/>
  <c r="B324" i="6" s="1"/>
  <c r="BS324" i="6" s="1"/>
  <c r="AB308" i="6"/>
  <c r="B308" i="6" s="1"/>
  <c r="BS308" i="6" s="1"/>
  <c r="AB268" i="6"/>
  <c r="B268" i="6" s="1"/>
  <c r="BS268" i="6" s="1"/>
  <c r="AB244" i="6"/>
  <c r="B244" i="6" s="1"/>
  <c r="BS244" i="6" s="1"/>
  <c r="AB212" i="6"/>
  <c r="B212" i="6" s="1"/>
  <c r="BS212" i="6" s="1"/>
  <c r="AB196" i="6"/>
  <c r="B196" i="6" s="1"/>
  <c r="BS196" i="6" s="1"/>
  <c r="AB172" i="6"/>
  <c r="B172" i="6" s="1"/>
  <c r="BS172" i="6" s="1"/>
  <c r="AB140" i="6"/>
  <c r="B140" i="6" s="1"/>
  <c r="BS140" i="6" s="1"/>
  <c r="AB108" i="6"/>
  <c r="B108" i="6" s="1"/>
  <c r="BS108" i="6" s="1"/>
  <c r="AB60" i="6"/>
  <c r="B60" i="6" s="1"/>
  <c r="BS60" i="6" s="1"/>
  <c r="AB36" i="6"/>
  <c r="B36" i="6" s="1"/>
  <c r="BS36" i="6" s="1"/>
  <c r="AB20" i="6"/>
  <c r="B20" i="6" s="1"/>
  <c r="BS20" i="6" s="1"/>
  <c r="AB451" i="6"/>
  <c r="B451" i="6" s="1"/>
  <c r="BS451" i="6" s="1"/>
  <c r="AB419" i="6"/>
  <c r="B419" i="6" s="1"/>
  <c r="BS419" i="6" s="1"/>
  <c r="AB461" i="6"/>
  <c r="B461" i="6" s="1"/>
  <c r="BS461" i="6" s="1"/>
  <c r="AB453" i="6"/>
  <c r="B453" i="6" s="1"/>
  <c r="BS453" i="6" s="1"/>
  <c r="AB445" i="6"/>
  <c r="B445" i="6" s="1"/>
  <c r="BS445" i="6" s="1"/>
  <c r="AB437" i="6"/>
  <c r="B437" i="6" s="1"/>
  <c r="BS437" i="6" s="1"/>
  <c r="AB429" i="6"/>
  <c r="B429" i="6" s="1"/>
  <c r="BS429" i="6" s="1"/>
  <c r="AB421" i="6"/>
  <c r="B421" i="6" s="1"/>
  <c r="BS421" i="6" s="1"/>
  <c r="AB413" i="6"/>
  <c r="B413" i="6" s="1"/>
  <c r="BS413" i="6" s="1"/>
  <c r="AB405" i="6"/>
  <c r="B405" i="6" s="1"/>
  <c r="BS405" i="6" s="1"/>
  <c r="AB397" i="6"/>
  <c r="B397" i="6" s="1"/>
  <c r="BS397" i="6" s="1"/>
  <c r="AB389" i="6"/>
  <c r="B389" i="6" s="1"/>
  <c r="BS389" i="6" s="1"/>
  <c r="AB381" i="6"/>
  <c r="B381" i="6" s="1"/>
  <c r="BS381" i="6" s="1"/>
  <c r="AB373" i="6"/>
  <c r="B373" i="6" s="1"/>
  <c r="BS373" i="6" s="1"/>
  <c r="AB365" i="6"/>
  <c r="B365" i="6" s="1"/>
  <c r="BS365" i="6" s="1"/>
  <c r="AB357" i="6"/>
  <c r="B357" i="6" s="1"/>
  <c r="BS357" i="6" s="1"/>
  <c r="AB349" i="6"/>
  <c r="B349" i="6" s="1"/>
  <c r="BS349" i="6" s="1"/>
  <c r="AB341" i="6"/>
  <c r="B341" i="6" s="1"/>
  <c r="BS341" i="6" s="1"/>
  <c r="AB333" i="6"/>
  <c r="B333" i="6" s="1"/>
  <c r="BS333" i="6" s="1"/>
  <c r="AB325" i="6"/>
  <c r="B325" i="6" s="1"/>
  <c r="BS325" i="6" s="1"/>
  <c r="AB317" i="6"/>
  <c r="B317" i="6" s="1"/>
  <c r="BS317" i="6" s="1"/>
  <c r="AB309" i="6"/>
  <c r="B309" i="6" s="1"/>
  <c r="BS309" i="6" s="1"/>
  <c r="AB301" i="6"/>
  <c r="B301" i="6" s="1"/>
  <c r="BS301" i="6" s="1"/>
  <c r="AB293" i="6"/>
  <c r="B293" i="6" s="1"/>
  <c r="BS293" i="6" s="1"/>
  <c r="AB285" i="6"/>
  <c r="B285" i="6" s="1"/>
  <c r="BS285" i="6" s="1"/>
  <c r="AB277" i="6"/>
  <c r="B277" i="6" s="1"/>
  <c r="BS277" i="6" s="1"/>
  <c r="AB269" i="6"/>
  <c r="B269" i="6" s="1"/>
  <c r="BS269" i="6" s="1"/>
  <c r="AB261" i="6"/>
  <c r="B261" i="6" s="1"/>
  <c r="BS261" i="6" s="1"/>
  <c r="AB253" i="6"/>
  <c r="B253" i="6" s="1"/>
  <c r="BS253" i="6" s="1"/>
  <c r="AB245" i="6"/>
  <c r="B245" i="6" s="1"/>
  <c r="BS245" i="6" s="1"/>
  <c r="AB237" i="6"/>
  <c r="B237" i="6" s="1"/>
  <c r="BS237" i="6" s="1"/>
  <c r="AB229" i="6"/>
  <c r="B229" i="6" s="1"/>
  <c r="BS229" i="6" s="1"/>
  <c r="AB221" i="6"/>
  <c r="B221" i="6" s="1"/>
  <c r="BS221" i="6" s="1"/>
  <c r="AB213" i="6"/>
  <c r="B213" i="6" s="1"/>
  <c r="BS213" i="6" s="1"/>
  <c r="AB205" i="6"/>
  <c r="B205" i="6" s="1"/>
  <c r="BS205" i="6" s="1"/>
  <c r="AB197" i="6"/>
  <c r="B197" i="6" s="1"/>
  <c r="BS197" i="6" s="1"/>
  <c r="AB189" i="6"/>
  <c r="B189" i="6" s="1"/>
  <c r="BS189" i="6" s="1"/>
  <c r="AB181" i="6"/>
  <c r="B181" i="6" s="1"/>
  <c r="BS181" i="6" s="1"/>
  <c r="AB173" i="6"/>
  <c r="B173" i="6" s="1"/>
  <c r="BS173" i="6" s="1"/>
  <c r="AB165" i="6"/>
  <c r="B165" i="6" s="1"/>
  <c r="BS165" i="6" s="1"/>
  <c r="AB157" i="6"/>
  <c r="B157" i="6" s="1"/>
  <c r="BS157" i="6" s="1"/>
  <c r="AB149" i="6"/>
  <c r="B149" i="6" s="1"/>
  <c r="BS149" i="6" s="1"/>
  <c r="AB141" i="6"/>
  <c r="B141" i="6" s="1"/>
  <c r="BS141" i="6" s="1"/>
  <c r="AB133" i="6"/>
  <c r="B133" i="6" s="1"/>
  <c r="BS133" i="6" s="1"/>
  <c r="AB125" i="6"/>
  <c r="B125" i="6" s="1"/>
  <c r="BS125" i="6" s="1"/>
  <c r="AB117" i="6"/>
  <c r="B117" i="6" s="1"/>
  <c r="BS117" i="6" s="1"/>
  <c r="AB109" i="6"/>
  <c r="B109" i="6" s="1"/>
  <c r="BS109" i="6" s="1"/>
  <c r="AB101" i="6"/>
  <c r="B101" i="6" s="1"/>
  <c r="BS101" i="6" s="1"/>
  <c r="AB93" i="6"/>
  <c r="B93" i="6" s="1"/>
  <c r="BS93" i="6" s="1"/>
  <c r="AB85" i="6"/>
  <c r="B85" i="6" s="1"/>
  <c r="BS85" i="6" s="1"/>
  <c r="AB77" i="6"/>
  <c r="B77" i="6" s="1"/>
  <c r="BS77" i="6" s="1"/>
  <c r="AB69" i="6"/>
  <c r="B69" i="6" s="1"/>
  <c r="BS69" i="6" s="1"/>
  <c r="AB61" i="6"/>
  <c r="B61" i="6" s="1"/>
  <c r="BS61" i="6" s="1"/>
  <c r="AB53" i="6"/>
  <c r="B53" i="6" s="1"/>
  <c r="BS53" i="6" s="1"/>
  <c r="AB37" i="6"/>
  <c r="B37" i="6" s="1"/>
  <c r="BS37" i="6" s="1"/>
  <c r="AB21" i="6"/>
  <c r="B21" i="6" s="1"/>
  <c r="BS21" i="6" s="1"/>
  <c r="AB460" i="6"/>
  <c r="B460" i="6" s="1"/>
  <c r="BS460" i="6" s="1"/>
  <c r="AB396" i="6"/>
  <c r="B396" i="6" s="1"/>
  <c r="BS396" i="6" s="1"/>
  <c r="AB372" i="6"/>
  <c r="B372" i="6" s="1"/>
  <c r="BS372" i="6" s="1"/>
  <c r="AB348" i="6"/>
  <c r="B348" i="6" s="1"/>
  <c r="BS348" i="6" s="1"/>
  <c r="AB316" i="6"/>
  <c r="B316" i="6" s="1"/>
  <c r="BS316" i="6" s="1"/>
  <c r="AB300" i="6"/>
  <c r="B300" i="6" s="1"/>
  <c r="BS300" i="6" s="1"/>
  <c r="AB260" i="6"/>
  <c r="B260" i="6" s="1"/>
  <c r="BS260" i="6" s="1"/>
  <c r="AB236" i="6"/>
  <c r="B236" i="6" s="1"/>
  <c r="BS236" i="6" s="1"/>
  <c r="AB204" i="6"/>
  <c r="B204" i="6" s="1"/>
  <c r="BS204" i="6" s="1"/>
  <c r="AB148" i="6"/>
  <c r="B148" i="6" s="1"/>
  <c r="BS148" i="6" s="1"/>
  <c r="AB76" i="6"/>
  <c r="B76" i="6" s="1"/>
  <c r="BS76" i="6" s="1"/>
  <c r="AB28" i="6"/>
  <c r="B28" i="6" s="1"/>
  <c r="BS28" i="6" s="1"/>
  <c r="AB403" i="6"/>
  <c r="B403" i="6" s="1"/>
  <c r="BS403" i="6" s="1"/>
  <c r="AB339" i="6"/>
  <c r="B339" i="6" s="1"/>
  <c r="BS339" i="6" s="1"/>
  <c r="AB275" i="6"/>
  <c r="B275" i="6" s="1"/>
  <c r="BS275" i="6" s="1"/>
  <c r="AB211" i="6"/>
  <c r="B211" i="6" s="1"/>
  <c r="BS211" i="6" s="1"/>
  <c r="AB147" i="6"/>
  <c r="B147" i="6" s="1"/>
  <c r="BS147" i="6" s="1"/>
  <c r="AB83" i="6"/>
  <c r="B83" i="6" s="1"/>
  <c r="BS83" i="6" s="1"/>
  <c r="AB19" i="6"/>
  <c r="B19" i="6" s="1"/>
  <c r="BS19" i="6" s="1"/>
  <c r="AB267" i="6"/>
  <c r="B267" i="6" s="1"/>
  <c r="BS267" i="6" s="1"/>
  <c r="AB139" i="6"/>
  <c r="B139" i="6" s="1"/>
  <c r="BS139" i="6" s="1"/>
  <c r="AB75" i="6"/>
  <c r="B75" i="6" s="1"/>
  <c r="BS75" i="6" s="1"/>
  <c r="AB387" i="6"/>
  <c r="B387" i="6" s="1"/>
  <c r="BS387" i="6" s="1"/>
  <c r="AB259" i="6"/>
  <c r="B259" i="6" s="1"/>
  <c r="BS259" i="6" s="1"/>
  <c r="AB131" i="6"/>
  <c r="B131" i="6" s="1"/>
  <c r="BS131" i="6" s="1"/>
  <c r="AB315" i="6"/>
  <c r="B315" i="6" s="1"/>
  <c r="BS315" i="6" s="1"/>
  <c r="AB187" i="6"/>
  <c r="B187" i="6" s="1"/>
  <c r="BS187" i="6" s="1"/>
  <c r="AB59" i="6"/>
  <c r="B59" i="6" s="1"/>
  <c r="BS59" i="6" s="1"/>
  <c r="AB371" i="6"/>
  <c r="B371" i="6" s="1"/>
  <c r="BS371" i="6" s="1"/>
  <c r="AB179" i="6"/>
  <c r="B179" i="6" s="1"/>
  <c r="BS179" i="6" s="1"/>
  <c r="AB443" i="6"/>
  <c r="B443" i="6" s="1"/>
  <c r="BS443" i="6" s="1"/>
  <c r="AB235" i="6"/>
  <c r="B235" i="6" s="1"/>
  <c r="BS235" i="6" s="1"/>
  <c r="AB43" i="6"/>
  <c r="B43" i="6" s="1"/>
  <c r="BS43" i="6" s="1"/>
  <c r="AB291" i="6"/>
  <c r="B291" i="6" s="1"/>
  <c r="BS291" i="6" s="1"/>
  <c r="AB99" i="6"/>
  <c r="B99" i="6" s="1"/>
  <c r="BS99" i="6" s="1"/>
  <c r="AB347" i="6"/>
  <c r="B347" i="6" s="1"/>
  <c r="BS347" i="6" s="1"/>
  <c r="AB155" i="6"/>
  <c r="B155" i="6" s="1"/>
  <c r="BS155" i="6" s="1"/>
  <c r="AB395" i="6"/>
  <c r="B395" i="6" s="1"/>
  <c r="BS395" i="6" s="1"/>
  <c r="AB331" i="6"/>
  <c r="B331" i="6" s="1"/>
  <c r="BS331" i="6" s="1"/>
  <c r="AB203" i="6"/>
  <c r="B203" i="6" s="1"/>
  <c r="BS203" i="6" s="1"/>
  <c r="AB11" i="6"/>
  <c r="B11" i="6" s="1"/>
  <c r="BS11" i="6" s="1"/>
  <c r="AB195" i="6"/>
  <c r="B195" i="6" s="1"/>
  <c r="BS195" i="6" s="1"/>
  <c r="AB67" i="6"/>
  <c r="B67" i="6" s="1"/>
  <c r="BS67" i="6" s="1"/>
  <c r="AB251" i="6"/>
  <c r="B251" i="6" s="1"/>
  <c r="BS251" i="6" s="1"/>
  <c r="AB459" i="6"/>
  <c r="B459" i="6" s="1"/>
  <c r="BS459" i="6" s="1"/>
  <c r="AB115" i="6"/>
  <c r="B115" i="6" s="1"/>
  <c r="BS115" i="6" s="1"/>
  <c r="AB299" i="6"/>
  <c r="B299" i="6" s="1"/>
  <c r="BS299" i="6" s="1"/>
  <c r="AB107" i="6"/>
  <c r="B107" i="6" s="1"/>
  <c r="BS107" i="6" s="1"/>
  <c r="AB355" i="6"/>
  <c r="B355" i="6" s="1"/>
  <c r="BS355" i="6" s="1"/>
  <c r="AB163" i="6"/>
  <c r="B163" i="6" s="1"/>
  <c r="BS163" i="6" s="1"/>
  <c r="AB283" i="6"/>
  <c r="B283" i="6" s="1"/>
  <c r="BS283" i="6" s="1"/>
  <c r="AB91" i="6"/>
  <c r="B91" i="6" s="1"/>
  <c r="BS91" i="6" s="1"/>
  <c r="AB323" i="6"/>
  <c r="B323" i="6" s="1"/>
  <c r="BS323" i="6" s="1"/>
  <c r="AB379" i="6"/>
  <c r="B379" i="6" s="1"/>
  <c r="BS379" i="6" s="1"/>
  <c r="AB123" i="6"/>
  <c r="B123" i="6" s="1"/>
  <c r="BS123" i="6" s="1"/>
  <c r="AB307" i="6"/>
  <c r="B307" i="6" s="1"/>
  <c r="BS307" i="6" s="1"/>
  <c r="AB243" i="6"/>
  <c r="B243" i="6" s="1"/>
  <c r="BS243" i="6" s="1"/>
  <c r="AB51" i="6"/>
  <c r="B51" i="6" s="1"/>
  <c r="BS51" i="6" s="1"/>
  <c r="AB363" i="6"/>
  <c r="B363" i="6" s="1"/>
  <c r="BS363" i="6" s="1"/>
  <c r="AB171" i="6"/>
  <c r="B171" i="6" s="1"/>
  <c r="BS171" i="6" s="1"/>
  <c r="AB435" i="6"/>
  <c r="B435" i="6" s="1"/>
  <c r="BS435" i="6" s="1"/>
  <c r="AB227" i="6"/>
  <c r="B227" i="6" s="1"/>
  <c r="BS227" i="6" s="1"/>
  <c r="AB35" i="6"/>
  <c r="B35" i="6" s="1"/>
  <c r="BS35" i="6" s="1"/>
  <c r="AB427" i="6"/>
  <c r="B427" i="6" s="1"/>
  <c r="BS427" i="6" s="1"/>
  <c r="AB219" i="6"/>
  <c r="B219" i="6" s="1"/>
  <c r="BS219" i="6" s="1"/>
  <c r="AB27" i="6"/>
  <c r="B27" i="6" s="1"/>
  <c r="BS27" i="6" s="1"/>
  <c r="G147" i="1"/>
  <c r="G41" i="1"/>
  <c r="G45" i="1" s="1"/>
  <c r="G63" i="1"/>
  <c r="G26" i="1"/>
  <c r="G62" i="1"/>
  <c r="E36" i="1"/>
  <c r="E4" i="1" s="1"/>
  <c r="F11" i="1"/>
  <c r="S14" i="1" s="1"/>
  <c r="A3" i="10"/>
  <c r="E41" i="1"/>
  <c r="E45" i="1" s="1"/>
  <c r="E62" i="1"/>
  <c r="G36" i="1"/>
  <c r="G11" i="1"/>
  <c r="E26" i="1"/>
  <c r="T51" i="1"/>
  <c r="R127" i="1"/>
  <c r="S127" i="1" s="1"/>
  <c r="B125" i="1" s="1"/>
  <c r="F21" i="1"/>
  <c r="F31" i="1"/>
  <c r="B51" i="1" s="1"/>
  <c r="Q2" i="8"/>
  <c r="Q3" i="8" s="1"/>
  <c r="AB469" i="6"/>
  <c r="AB470" i="6"/>
  <c r="B385" i="6"/>
  <c r="BS385" i="6" s="1"/>
  <c r="B257" i="6"/>
  <c r="BS257" i="6" s="1"/>
  <c r="B129" i="6"/>
  <c r="BS129" i="6" s="1"/>
  <c r="C6" i="6"/>
  <c r="B100" i="1"/>
  <c r="R152" i="1"/>
  <c r="T7" i="1"/>
  <c r="B18" i="1"/>
  <c r="N35" i="1"/>
  <c r="R82" i="1"/>
  <c r="S82" i="1" s="1"/>
  <c r="B143" i="1"/>
  <c r="F53" i="1"/>
  <c r="S58" i="1"/>
  <c r="B122" i="1"/>
  <c r="N34" i="1"/>
  <c r="R105" i="1"/>
  <c r="E63" i="1"/>
  <c r="B77" i="1"/>
  <c r="N31" i="1"/>
  <c r="BT470" i="6"/>
  <c r="BT469" i="6"/>
  <c r="B370" i="6"/>
  <c r="BS370" i="6" s="1"/>
  <c r="B29" i="1" l="1"/>
  <c r="I29" i="1" s="1"/>
  <c r="B53" i="1"/>
  <c r="BQ168" i="6"/>
  <c r="BI168" i="6"/>
  <c r="BA168" i="6"/>
  <c r="AS168" i="6"/>
  <c r="AL168" i="6"/>
  <c r="BQ224" i="6"/>
  <c r="BI224" i="6"/>
  <c r="BA224" i="6"/>
  <c r="AS224" i="6"/>
  <c r="AL224" i="6"/>
  <c r="AE313" i="6"/>
  <c r="BQ313" i="6"/>
  <c r="BI313" i="6"/>
  <c r="BA313" i="6"/>
  <c r="AS313" i="6"/>
  <c r="AL313" i="6"/>
  <c r="BQ408" i="6"/>
  <c r="BI408" i="6"/>
  <c r="BA408" i="6"/>
  <c r="AL408" i="6"/>
  <c r="AS408" i="6"/>
  <c r="BQ457" i="6"/>
  <c r="BI457" i="6"/>
  <c r="BA457" i="6"/>
  <c r="AS457" i="6"/>
  <c r="AL457" i="6"/>
  <c r="BQ107" i="6"/>
  <c r="BI107" i="6"/>
  <c r="BA107" i="6"/>
  <c r="AS107" i="6"/>
  <c r="AL107" i="6"/>
  <c r="BQ146" i="6"/>
  <c r="BI146" i="6"/>
  <c r="BA146" i="6"/>
  <c r="AS146" i="6"/>
  <c r="AL146" i="6"/>
  <c r="BQ88" i="6"/>
  <c r="BI88" i="6"/>
  <c r="BA88" i="6"/>
  <c r="AS88" i="6"/>
  <c r="AL88" i="6"/>
  <c r="BQ432" i="6"/>
  <c r="BI432" i="6"/>
  <c r="BA432" i="6"/>
  <c r="AL432" i="6"/>
  <c r="AS432" i="6"/>
  <c r="BQ466" i="6"/>
  <c r="BI466" i="6"/>
  <c r="BA466" i="6"/>
  <c r="AS466" i="6"/>
  <c r="AL466" i="6"/>
  <c r="BQ417" i="6"/>
  <c r="BI417" i="6"/>
  <c r="BA417" i="6"/>
  <c r="AS417" i="6"/>
  <c r="AL417" i="6"/>
  <c r="BQ363" i="6"/>
  <c r="BI363" i="6"/>
  <c r="BA363" i="6"/>
  <c r="AS363" i="6"/>
  <c r="AL363" i="6"/>
  <c r="BI404" i="6"/>
  <c r="BQ404" i="6"/>
  <c r="BA404" i="6"/>
  <c r="AL404" i="6"/>
  <c r="AS404" i="6"/>
  <c r="BQ416" i="6"/>
  <c r="BI416" i="6"/>
  <c r="BA416" i="6"/>
  <c r="AL416" i="6"/>
  <c r="AS416" i="6"/>
  <c r="BQ446" i="6"/>
  <c r="BI446" i="6"/>
  <c r="BA446" i="6"/>
  <c r="AL446" i="6"/>
  <c r="AS446" i="6"/>
  <c r="AE19" i="6"/>
  <c r="AD19" i="6" s="1"/>
  <c r="D19" i="6" s="1"/>
  <c r="BQ19" i="6"/>
  <c r="BI19" i="6"/>
  <c r="BA19" i="6"/>
  <c r="AS19" i="6"/>
  <c r="AL19" i="6"/>
  <c r="BQ99" i="6"/>
  <c r="BI99" i="6"/>
  <c r="BA99" i="6"/>
  <c r="AS99" i="6"/>
  <c r="AL99" i="6"/>
  <c r="BQ114" i="6"/>
  <c r="BI114" i="6"/>
  <c r="BA114" i="6"/>
  <c r="AS114" i="6"/>
  <c r="AL114" i="6"/>
  <c r="BQ133" i="6"/>
  <c r="BI133" i="6"/>
  <c r="BA133" i="6"/>
  <c r="AS133" i="6"/>
  <c r="AL133" i="6"/>
  <c r="AE120" i="6"/>
  <c r="BQ120" i="6"/>
  <c r="BI120" i="6"/>
  <c r="BA120" i="6"/>
  <c r="AS120" i="6"/>
  <c r="AL120" i="6"/>
  <c r="BQ154" i="6"/>
  <c r="BI154" i="6"/>
  <c r="BA154" i="6"/>
  <c r="AS154" i="6"/>
  <c r="AL154" i="6"/>
  <c r="BQ14" i="6"/>
  <c r="BI14" i="6"/>
  <c r="BA14" i="6"/>
  <c r="AS14" i="6"/>
  <c r="AL14" i="6"/>
  <c r="BQ64" i="6"/>
  <c r="BI64" i="6"/>
  <c r="BA64" i="6"/>
  <c r="AS64" i="6"/>
  <c r="AL64" i="6"/>
  <c r="BQ54" i="6"/>
  <c r="BI54" i="6"/>
  <c r="BA54" i="6"/>
  <c r="AS54" i="6"/>
  <c r="AL54" i="6"/>
  <c r="BQ205" i="6"/>
  <c r="BI205" i="6"/>
  <c r="BA205" i="6"/>
  <c r="AS205" i="6"/>
  <c r="AL205" i="6"/>
  <c r="AE233" i="6"/>
  <c r="BQ233" i="6"/>
  <c r="BI233" i="6"/>
  <c r="BA233" i="6"/>
  <c r="AS233" i="6"/>
  <c r="AL233" i="6"/>
  <c r="BQ275" i="6"/>
  <c r="BI275" i="6"/>
  <c r="BA275" i="6"/>
  <c r="AS275" i="6"/>
  <c r="AL275" i="6"/>
  <c r="BQ292" i="6"/>
  <c r="BI292" i="6"/>
  <c r="BA292" i="6"/>
  <c r="AS292" i="6"/>
  <c r="AL292" i="6"/>
  <c r="BQ286" i="6"/>
  <c r="BI286" i="6"/>
  <c r="BA286" i="6"/>
  <c r="AS286" i="6"/>
  <c r="AL286" i="6"/>
  <c r="BQ290" i="6"/>
  <c r="BI290" i="6"/>
  <c r="BA290" i="6"/>
  <c r="AS290" i="6"/>
  <c r="AL290" i="6"/>
  <c r="BQ321" i="6"/>
  <c r="BI321" i="6"/>
  <c r="BA321" i="6"/>
  <c r="AS321" i="6"/>
  <c r="AL321" i="6"/>
  <c r="AE336" i="6"/>
  <c r="BQ336" i="6"/>
  <c r="BI336" i="6"/>
  <c r="BA336" i="6"/>
  <c r="AL336" i="6"/>
  <c r="AS336" i="6"/>
  <c r="BQ359" i="6"/>
  <c r="BI359" i="6"/>
  <c r="BA359" i="6"/>
  <c r="AL359" i="6"/>
  <c r="AS359" i="6"/>
  <c r="BQ379" i="6"/>
  <c r="BI379" i="6"/>
  <c r="BA379" i="6"/>
  <c r="AS379" i="6"/>
  <c r="AL379" i="6"/>
  <c r="BQ393" i="6"/>
  <c r="BI393" i="6"/>
  <c r="AS393" i="6"/>
  <c r="AL393" i="6"/>
  <c r="BA393" i="6"/>
  <c r="BQ425" i="6"/>
  <c r="BI425" i="6"/>
  <c r="BA425" i="6"/>
  <c r="AS425" i="6"/>
  <c r="AL425" i="6"/>
  <c r="BQ424" i="6"/>
  <c r="BI424" i="6"/>
  <c r="BA424" i="6"/>
  <c r="AL424" i="6"/>
  <c r="AS424" i="6"/>
  <c r="BQ449" i="6"/>
  <c r="BI449" i="6"/>
  <c r="BA449" i="6"/>
  <c r="AS449" i="6"/>
  <c r="AL449" i="6"/>
  <c r="AE458" i="6"/>
  <c r="AD458" i="6" s="1"/>
  <c r="BQ458" i="6"/>
  <c r="BI458" i="6"/>
  <c r="BA458" i="6"/>
  <c r="AS458" i="6"/>
  <c r="AL458" i="6"/>
  <c r="AE32" i="6"/>
  <c r="AD32" i="6" s="1"/>
  <c r="D32" i="6" s="1"/>
  <c r="BQ32" i="6"/>
  <c r="BI32" i="6"/>
  <c r="BA32" i="6"/>
  <c r="AS32" i="6"/>
  <c r="AL32" i="6"/>
  <c r="BQ46" i="6"/>
  <c r="BI46" i="6"/>
  <c r="BA46" i="6"/>
  <c r="AS46" i="6"/>
  <c r="AL46" i="6"/>
  <c r="BQ24" i="6"/>
  <c r="BI24" i="6"/>
  <c r="BA24" i="6"/>
  <c r="AS24" i="6"/>
  <c r="AL24" i="6"/>
  <c r="BQ70" i="6"/>
  <c r="BI70" i="6"/>
  <c r="BA70" i="6"/>
  <c r="AS70" i="6"/>
  <c r="AL70" i="6"/>
  <c r="BQ21" i="6"/>
  <c r="BI21" i="6"/>
  <c r="BA21" i="6"/>
  <c r="AS21" i="6"/>
  <c r="AL21" i="6"/>
  <c r="BQ53" i="6"/>
  <c r="BI53" i="6"/>
  <c r="BA53" i="6"/>
  <c r="AS53" i="6"/>
  <c r="AL53" i="6"/>
  <c r="BQ139" i="6"/>
  <c r="BI139" i="6"/>
  <c r="BA139" i="6"/>
  <c r="AS139" i="6"/>
  <c r="AL139" i="6"/>
  <c r="AE135" i="6"/>
  <c r="AD135" i="6" s="1"/>
  <c r="BQ135" i="6"/>
  <c r="BI135" i="6"/>
  <c r="BA135" i="6"/>
  <c r="AS135" i="6"/>
  <c r="AL135" i="6"/>
  <c r="AE86" i="6"/>
  <c r="AD86" i="6" s="1"/>
  <c r="D86" i="6" s="1"/>
  <c r="BQ86" i="6"/>
  <c r="BI86" i="6"/>
  <c r="BA86" i="6"/>
  <c r="AS86" i="6"/>
  <c r="AL86" i="6"/>
  <c r="BQ118" i="6"/>
  <c r="BI118" i="6"/>
  <c r="BA118" i="6"/>
  <c r="AS118" i="6"/>
  <c r="AL118" i="6"/>
  <c r="BQ155" i="6"/>
  <c r="BI155" i="6"/>
  <c r="BA155" i="6"/>
  <c r="AS155" i="6"/>
  <c r="AL155" i="6"/>
  <c r="BQ105" i="6"/>
  <c r="BI105" i="6"/>
  <c r="BA105" i="6"/>
  <c r="AS105" i="6"/>
  <c r="AL105" i="6"/>
  <c r="BQ137" i="6"/>
  <c r="BI137" i="6"/>
  <c r="AS137" i="6"/>
  <c r="BA137" i="6"/>
  <c r="AL137" i="6"/>
  <c r="BQ181" i="6"/>
  <c r="BI181" i="6"/>
  <c r="BA181" i="6"/>
  <c r="AS181" i="6"/>
  <c r="AL181" i="6"/>
  <c r="BQ92" i="6"/>
  <c r="BI92" i="6"/>
  <c r="BA92" i="6"/>
  <c r="AS92" i="6"/>
  <c r="AL92" i="6"/>
  <c r="AE124" i="6"/>
  <c r="AD124" i="6" s="1"/>
  <c r="BQ124" i="6"/>
  <c r="BI124" i="6"/>
  <c r="BA124" i="6"/>
  <c r="AS124" i="6"/>
  <c r="AL124" i="6"/>
  <c r="BQ157" i="6"/>
  <c r="BI157" i="6"/>
  <c r="BA157" i="6"/>
  <c r="AS157" i="6"/>
  <c r="AL157" i="6"/>
  <c r="BQ185" i="6"/>
  <c r="BI185" i="6"/>
  <c r="BA185" i="6"/>
  <c r="AS185" i="6"/>
  <c r="AL185" i="6"/>
  <c r="BQ223" i="6"/>
  <c r="BI223" i="6"/>
  <c r="BA223" i="6"/>
  <c r="AS223" i="6"/>
  <c r="AL223" i="6"/>
  <c r="BQ201" i="6"/>
  <c r="BI201" i="6"/>
  <c r="AS201" i="6"/>
  <c r="BA201" i="6"/>
  <c r="AL201" i="6"/>
  <c r="AE256" i="6"/>
  <c r="BQ256" i="6"/>
  <c r="BI256" i="6"/>
  <c r="BA256" i="6"/>
  <c r="AS256" i="6"/>
  <c r="AL256" i="6"/>
  <c r="AE180" i="6"/>
  <c r="BQ180" i="6"/>
  <c r="BI180" i="6"/>
  <c r="BA180" i="6"/>
  <c r="AS180" i="6"/>
  <c r="AL180" i="6"/>
  <c r="BQ270" i="6"/>
  <c r="BI270" i="6"/>
  <c r="BA270" i="6"/>
  <c r="AS270" i="6"/>
  <c r="AL270" i="6"/>
  <c r="AE227" i="6"/>
  <c r="AD227" i="6" s="1"/>
  <c r="BQ227" i="6"/>
  <c r="BI227" i="6"/>
  <c r="BA227" i="6"/>
  <c r="AS227" i="6"/>
  <c r="AL227" i="6"/>
  <c r="BQ294" i="6"/>
  <c r="BI294" i="6"/>
  <c r="BA294" i="6"/>
  <c r="AS294" i="6"/>
  <c r="AL294" i="6"/>
  <c r="BQ206" i="6"/>
  <c r="BI206" i="6"/>
  <c r="BA206" i="6"/>
  <c r="AS206" i="6"/>
  <c r="AL206" i="6"/>
  <c r="BQ302" i="6"/>
  <c r="BI302" i="6"/>
  <c r="BA302" i="6"/>
  <c r="AS302" i="6"/>
  <c r="AL302" i="6"/>
  <c r="BQ237" i="6"/>
  <c r="BI237" i="6"/>
  <c r="BA237" i="6"/>
  <c r="AS237" i="6"/>
  <c r="AL237" i="6"/>
  <c r="BQ330" i="6"/>
  <c r="BI330" i="6"/>
  <c r="BA330" i="6"/>
  <c r="AS330" i="6"/>
  <c r="AL330" i="6"/>
  <c r="BQ287" i="6"/>
  <c r="BI287" i="6"/>
  <c r="BA287" i="6"/>
  <c r="AS287" i="6"/>
  <c r="AL287" i="6"/>
  <c r="BQ358" i="6"/>
  <c r="BI358" i="6"/>
  <c r="BA358" i="6"/>
  <c r="AL358" i="6"/>
  <c r="AS358" i="6"/>
  <c r="AE418" i="6"/>
  <c r="AD418" i="6" s="1"/>
  <c r="BQ418" i="6"/>
  <c r="BI418" i="6"/>
  <c r="BA418" i="6"/>
  <c r="AS418" i="6"/>
  <c r="AL418" i="6"/>
  <c r="BQ421" i="6"/>
  <c r="BI421" i="6"/>
  <c r="BA421" i="6"/>
  <c r="AL421" i="6"/>
  <c r="AS421" i="6"/>
  <c r="C7" i="6"/>
  <c r="BQ38" i="6"/>
  <c r="BI38" i="6"/>
  <c r="BA38" i="6"/>
  <c r="AS38" i="6"/>
  <c r="AL38" i="6"/>
  <c r="BQ289" i="6"/>
  <c r="BI289" i="6"/>
  <c r="BA289" i="6"/>
  <c r="AS289" i="6"/>
  <c r="AL289" i="6"/>
  <c r="BQ349" i="6"/>
  <c r="BI349" i="6"/>
  <c r="BA349" i="6"/>
  <c r="AL349" i="6"/>
  <c r="AS349" i="6"/>
  <c r="BQ123" i="6"/>
  <c r="BI123" i="6"/>
  <c r="BA123" i="6"/>
  <c r="AS123" i="6"/>
  <c r="AL123" i="6"/>
  <c r="AE82" i="6"/>
  <c r="AD82" i="6" s="1"/>
  <c r="D82" i="6" s="1"/>
  <c r="BQ82" i="6"/>
  <c r="BI82" i="6"/>
  <c r="BA82" i="6"/>
  <c r="AS82" i="6"/>
  <c r="AL82" i="6"/>
  <c r="BQ101" i="6"/>
  <c r="BI101" i="6"/>
  <c r="BA101" i="6"/>
  <c r="AS101" i="6"/>
  <c r="AL101" i="6"/>
  <c r="BQ153" i="6"/>
  <c r="BI153" i="6"/>
  <c r="BA153" i="6"/>
  <c r="AS153" i="6"/>
  <c r="AL153" i="6"/>
  <c r="BQ20" i="6"/>
  <c r="BI20" i="6"/>
  <c r="BA20" i="6"/>
  <c r="AS20" i="6"/>
  <c r="AL20" i="6"/>
  <c r="AE27" i="6"/>
  <c r="AD27" i="6" s="1"/>
  <c r="D27" i="6" s="1"/>
  <c r="BQ27" i="6"/>
  <c r="BI27" i="6"/>
  <c r="BA27" i="6"/>
  <c r="AS27" i="6"/>
  <c r="AL27" i="6"/>
  <c r="BQ58" i="6"/>
  <c r="BI58" i="6"/>
  <c r="BA58" i="6"/>
  <c r="AS58" i="6"/>
  <c r="AL58" i="6"/>
  <c r="BQ176" i="6"/>
  <c r="BI176" i="6"/>
  <c r="BA176" i="6"/>
  <c r="AS176" i="6"/>
  <c r="AL176" i="6"/>
  <c r="BQ240" i="6"/>
  <c r="BI240" i="6"/>
  <c r="BA240" i="6"/>
  <c r="AS240" i="6"/>
  <c r="AL240" i="6"/>
  <c r="BI202" i="6"/>
  <c r="BQ202" i="6"/>
  <c r="BA202" i="6"/>
  <c r="AS202" i="6"/>
  <c r="AL202" i="6"/>
  <c r="BQ283" i="6"/>
  <c r="BI283" i="6"/>
  <c r="BA283" i="6"/>
  <c r="AS283" i="6"/>
  <c r="AL283" i="6"/>
  <c r="BQ315" i="6"/>
  <c r="BI315" i="6"/>
  <c r="BA315" i="6"/>
  <c r="AS315" i="6"/>
  <c r="AL315" i="6"/>
  <c r="AE304" i="6"/>
  <c r="AD304" i="6" s="1"/>
  <c r="BQ304" i="6"/>
  <c r="BI304" i="6"/>
  <c r="BA304" i="6"/>
  <c r="AS304" i="6"/>
  <c r="AL304" i="6"/>
  <c r="BQ298" i="6"/>
  <c r="BI298" i="6"/>
  <c r="BA298" i="6"/>
  <c r="AS298" i="6"/>
  <c r="AL298" i="6"/>
  <c r="BQ351" i="6"/>
  <c r="BI351" i="6"/>
  <c r="BA351" i="6"/>
  <c r="AL351" i="6"/>
  <c r="AS351" i="6"/>
  <c r="BQ342" i="6"/>
  <c r="BI342" i="6"/>
  <c r="BA342" i="6"/>
  <c r="AL342" i="6"/>
  <c r="AS342" i="6"/>
  <c r="BQ370" i="6"/>
  <c r="BI370" i="6"/>
  <c r="BA370" i="6"/>
  <c r="AS370" i="6"/>
  <c r="AL370" i="6"/>
  <c r="BQ374" i="6"/>
  <c r="BI374" i="6"/>
  <c r="BA374" i="6"/>
  <c r="AL374" i="6"/>
  <c r="AS374" i="6"/>
  <c r="BQ400" i="6"/>
  <c r="BI400" i="6"/>
  <c r="BA400" i="6"/>
  <c r="AL400" i="6"/>
  <c r="AS400" i="6"/>
  <c r="BQ420" i="6"/>
  <c r="BI420" i="6"/>
  <c r="BA420" i="6"/>
  <c r="AS420" i="6"/>
  <c r="AL420" i="6"/>
  <c r="BQ440" i="6"/>
  <c r="BI440" i="6"/>
  <c r="BA440" i="6"/>
  <c r="AL440" i="6"/>
  <c r="AS440" i="6"/>
  <c r="BQ450" i="6"/>
  <c r="BI450" i="6"/>
  <c r="BA450" i="6"/>
  <c r="AS450" i="6"/>
  <c r="AL450" i="6"/>
  <c r="BQ460" i="6"/>
  <c r="BI460" i="6"/>
  <c r="BA460" i="6"/>
  <c r="AS460" i="6"/>
  <c r="AL460" i="6"/>
  <c r="AE26" i="6"/>
  <c r="AD26" i="6" s="1"/>
  <c r="D26" i="6" s="1"/>
  <c r="BQ26" i="6"/>
  <c r="BI26" i="6"/>
  <c r="BA26" i="6"/>
  <c r="AS26" i="6"/>
  <c r="AL26" i="6"/>
  <c r="BQ36" i="6"/>
  <c r="BI36" i="6"/>
  <c r="BA36" i="6"/>
  <c r="AS36" i="6"/>
  <c r="AL36" i="6"/>
  <c r="BQ23" i="6"/>
  <c r="BI23" i="6"/>
  <c r="BA23" i="6"/>
  <c r="AS23" i="6"/>
  <c r="AL23" i="6"/>
  <c r="BQ74" i="6"/>
  <c r="BI74" i="6"/>
  <c r="BA74" i="6"/>
  <c r="AS74" i="6"/>
  <c r="AL74" i="6"/>
  <c r="BQ25" i="6"/>
  <c r="BI25" i="6"/>
  <c r="BA25" i="6"/>
  <c r="AS25" i="6"/>
  <c r="AL25" i="6"/>
  <c r="AE57" i="6"/>
  <c r="AD57" i="6" s="1"/>
  <c r="D57" i="6" s="1"/>
  <c r="BQ57" i="6"/>
  <c r="BI57" i="6"/>
  <c r="BA57" i="6"/>
  <c r="AS57" i="6"/>
  <c r="AL57" i="6"/>
  <c r="BQ77" i="6"/>
  <c r="BI77" i="6"/>
  <c r="BA77" i="6"/>
  <c r="AS77" i="6"/>
  <c r="AL77" i="6"/>
  <c r="BQ169" i="6"/>
  <c r="BI169" i="6"/>
  <c r="BA169" i="6"/>
  <c r="AS169" i="6"/>
  <c r="AL169" i="6"/>
  <c r="BQ90" i="6"/>
  <c r="BI90" i="6"/>
  <c r="BA90" i="6"/>
  <c r="AS90" i="6"/>
  <c r="AL90" i="6"/>
  <c r="AE122" i="6"/>
  <c r="AD122" i="6" s="1"/>
  <c r="BI122" i="6"/>
  <c r="BQ122" i="6"/>
  <c r="BA122" i="6"/>
  <c r="AS122" i="6"/>
  <c r="AL122" i="6"/>
  <c r="BQ159" i="6"/>
  <c r="BI159" i="6"/>
  <c r="BA159" i="6"/>
  <c r="AS159" i="6"/>
  <c r="AL159" i="6"/>
  <c r="BQ109" i="6"/>
  <c r="BI109" i="6"/>
  <c r="BA109" i="6"/>
  <c r="AS109" i="6"/>
  <c r="AL109" i="6"/>
  <c r="AE141" i="6"/>
  <c r="AD141" i="6" s="1"/>
  <c r="BQ141" i="6"/>
  <c r="BI141" i="6"/>
  <c r="BA141" i="6"/>
  <c r="AS141" i="6"/>
  <c r="AL141" i="6"/>
  <c r="BQ209" i="6"/>
  <c r="BI209" i="6"/>
  <c r="BA209" i="6"/>
  <c r="AS209" i="6"/>
  <c r="AL209" i="6"/>
  <c r="BQ96" i="6"/>
  <c r="BI96" i="6"/>
  <c r="BA96" i="6"/>
  <c r="AS96" i="6"/>
  <c r="AL96" i="6"/>
  <c r="AE128" i="6"/>
  <c r="AD128" i="6" s="1"/>
  <c r="BQ128" i="6"/>
  <c r="BI128" i="6"/>
  <c r="BA128" i="6"/>
  <c r="AS128" i="6"/>
  <c r="AL128" i="6"/>
  <c r="BQ191" i="6"/>
  <c r="BI191" i="6"/>
  <c r="BA191" i="6"/>
  <c r="AS191" i="6"/>
  <c r="AL191" i="6"/>
  <c r="BQ199" i="6"/>
  <c r="BI199" i="6"/>
  <c r="BA199" i="6"/>
  <c r="AS199" i="6"/>
  <c r="AL199" i="6"/>
  <c r="BQ226" i="6"/>
  <c r="BI226" i="6"/>
  <c r="BA226" i="6"/>
  <c r="AS226" i="6"/>
  <c r="AL226" i="6"/>
  <c r="AE255" i="6"/>
  <c r="AD255" i="6" s="1"/>
  <c r="BQ255" i="6"/>
  <c r="BI255" i="6"/>
  <c r="BA255" i="6"/>
  <c r="AS255" i="6"/>
  <c r="AL255" i="6"/>
  <c r="AE179" i="6"/>
  <c r="AD179" i="6" s="1"/>
  <c r="BQ179" i="6"/>
  <c r="BI179" i="6"/>
  <c r="BA179" i="6"/>
  <c r="AS179" i="6"/>
  <c r="AL179" i="6"/>
  <c r="BQ192" i="6"/>
  <c r="BI192" i="6"/>
  <c r="BA192" i="6"/>
  <c r="AS192" i="6"/>
  <c r="AL192" i="6"/>
  <c r="BQ193" i="6"/>
  <c r="BI193" i="6"/>
  <c r="AS193" i="6"/>
  <c r="BA193" i="6"/>
  <c r="AL193" i="6"/>
  <c r="BQ271" i="6"/>
  <c r="BI271" i="6"/>
  <c r="BA271" i="6"/>
  <c r="AS271" i="6"/>
  <c r="AL271" i="6"/>
  <c r="BQ230" i="6"/>
  <c r="BI230" i="6"/>
  <c r="BA230" i="6"/>
  <c r="AS230" i="6"/>
  <c r="AL230" i="6"/>
  <c r="BQ178" i="6"/>
  <c r="BI178" i="6"/>
  <c r="BA178" i="6"/>
  <c r="AS178" i="6"/>
  <c r="AL178" i="6"/>
  <c r="BQ210" i="6"/>
  <c r="BI210" i="6"/>
  <c r="BA210" i="6"/>
  <c r="AS210" i="6"/>
  <c r="AL210" i="6"/>
  <c r="BQ244" i="6"/>
  <c r="BI244" i="6"/>
  <c r="BA244" i="6"/>
  <c r="AS244" i="6"/>
  <c r="AL244" i="6"/>
  <c r="BQ220" i="6"/>
  <c r="BI220" i="6"/>
  <c r="BA220" i="6"/>
  <c r="AS220" i="6"/>
  <c r="AL220" i="6"/>
  <c r="BQ281" i="6"/>
  <c r="BI281" i="6"/>
  <c r="BA281" i="6"/>
  <c r="AS281" i="6"/>
  <c r="AL281" i="6"/>
  <c r="AE241" i="6"/>
  <c r="AD241" i="6" s="1"/>
  <c r="BQ241" i="6"/>
  <c r="BI241" i="6"/>
  <c r="BA241" i="6"/>
  <c r="AS241" i="6"/>
  <c r="AL241" i="6"/>
  <c r="BQ273" i="6"/>
  <c r="BI273" i="6"/>
  <c r="BA273" i="6"/>
  <c r="AS273" i="6"/>
  <c r="AL273" i="6"/>
  <c r="BQ310" i="6"/>
  <c r="BI310" i="6"/>
  <c r="BA310" i="6"/>
  <c r="AS310" i="6"/>
  <c r="AL310" i="6"/>
  <c r="AE364" i="6"/>
  <c r="AD364" i="6" s="1"/>
  <c r="BQ364" i="6"/>
  <c r="BI364" i="6"/>
  <c r="BA364" i="6"/>
  <c r="AS364" i="6"/>
  <c r="AL364" i="6"/>
  <c r="BQ312" i="6"/>
  <c r="BI312" i="6"/>
  <c r="BA312" i="6"/>
  <c r="AS312" i="6"/>
  <c r="AL312" i="6"/>
  <c r="BQ372" i="6"/>
  <c r="BI372" i="6"/>
  <c r="BA372" i="6"/>
  <c r="AS372" i="6"/>
  <c r="AL372" i="6"/>
  <c r="BQ291" i="6"/>
  <c r="BI291" i="6"/>
  <c r="BA291" i="6"/>
  <c r="AS291" i="6"/>
  <c r="AL291" i="6"/>
  <c r="BQ323" i="6"/>
  <c r="BI323" i="6"/>
  <c r="BA323" i="6"/>
  <c r="AS323" i="6"/>
  <c r="AL323" i="6"/>
  <c r="BQ352" i="6"/>
  <c r="BI352" i="6"/>
  <c r="BA352" i="6"/>
  <c r="AL352" i="6"/>
  <c r="AS352" i="6"/>
  <c r="BQ325" i="6"/>
  <c r="BI325" i="6"/>
  <c r="BA325" i="6"/>
  <c r="AL325" i="6"/>
  <c r="AS325" i="6"/>
  <c r="BQ354" i="6"/>
  <c r="BI354" i="6"/>
  <c r="BA354" i="6"/>
  <c r="AS354" i="6"/>
  <c r="AL354" i="6"/>
  <c r="BQ346" i="6"/>
  <c r="BI346" i="6"/>
  <c r="BA346" i="6"/>
  <c r="AS346" i="6"/>
  <c r="AL346" i="6"/>
  <c r="BQ430" i="6"/>
  <c r="BI430" i="6"/>
  <c r="BA430" i="6"/>
  <c r="AL430" i="6"/>
  <c r="AS430" i="6"/>
  <c r="BQ365" i="6"/>
  <c r="BI365" i="6"/>
  <c r="BA365" i="6"/>
  <c r="AL365" i="6"/>
  <c r="AS365" i="6"/>
  <c r="BQ397" i="6"/>
  <c r="BI397" i="6"/>
  <c r="BA397" i="6"/>
  <c r="AL397" i="6"/>
  <c r="AS397" i="6"/>
  <c r="BQ402" i="6"/>
  <c r="BI402" i="6"/>
  <c r="BA402" i="6"/>
  <c r="AS402" i="6"/>
  <c r="AL402" i="6"/>
  <c r="BQ399" i="6"/>
  <c r="BI399" i="6"/>
  <c r="BA399" i="6"/>
  <c r="AL399" i="6"/>
  <c r="AS399" i="6"/>
  <c r="AE403" i="6"/>
  <c r="BQ403" i="6"/>
  <c r="BI403" i="6"/>
  <c r="BA403" i="6"/>
  <c r="AS403" i="6"/>
  <c r="AL403" i="6"/>
  <c r="BQ428" i="6"/>
  <c r="BI428" i="6"/>
  <c r="BA428" i="6"/>
  <c r="AL428" i="6"/>
  <c r="AS428" i="6"/>
  <c r="BQ445" i="6"/>
  <c r="BI445" i="6"/>
  <c r="BA445" i="6"/>
  <c r="AL445" i="6"/>
  <c r="AS445" i="6"/>
  <c r="AE433" i="6"/>
  <c r="AD433" i="6" s="1"/>
  <c r="BQ433" i="6"/>
  <c r="BI433" i="6"/>
  <c r="AS433" i="6"/>
  <c r="AL433" i="6"/>
  <c r="BA433" i="6"/>
  <c r="BQ427" i="6"/>
  <c r="BI427" i="6"/>
  <c r="BA427" i="6"/>
  <c r="AS427" i="6"/>
  <c r="AL427" i="6"/>
  <c r="BQ459" i="6"/>
  <c r="BI459" i="6"/>
  <c r="BA459" i="6"/>
  <c r="AS459" i="6"/>
  <c r="AL459" i="6"/>
  <c r="BQ43" i="6"/>
  <c r="BI43" i="6"/>
  <c r="BA43" i="6"/>
  <c r="AS43" i="6"/>
  <c r="AL43" i="6"/>
  <c r="BQ31" i="6"/>
  <c r="BI31" i="6"/>
  <c r="BA31" i="6"/>
  <c r="AS31" i="6"/>
  <c r="AL31" i="6"/>
  <c r="BQ10" i="6"/>
  <c r="BI10" i="6"/>
  <c r="BA10" i="6"/>
  <c r="AS10" i="6"/>
  <c r="AL10" i="6"/>
  <c r="BQ94" i="6"/>
  <c r="BI94" i="6"/>
  <c r="BA94" i="6"/>
  <c r="AS94" i="6"/>
  <c r="AL94" i="6"/>
  <c r="AE165" i="6"/>
  <c r="AD165" i="6" s="1"/>
  <c r="BQ165" i="6"/>
  <c r="BI165" i="6"/>
  <c r="BA165" i="6"/>
  <c r="AS165" i="6"/>
  <c r="AL165" i="6"/>
  <c r="BQ145" i="6"/>
  <c r="BI145" i="6"/>
  <c r="BA145" i="6"/>
  <c r="AS145" i="6"/>
  <c r="AL145" i="6"/>
  <c r="BQ100" i="6"/>
  <c r="BI100" i="6"/>
  <c r="BA100" i="6"/>
  <c r="AS100" i="6"/>
  <c r="AL100" i="6"/>
  <c r="BQ132" i="6"/>
  <c r="BI132" i="6"/>
  <c r="BA132" i="6"/>
  <c r="AS132" i="6"/>
  <c r="AL132" i="6"/>
  <c r="BQ148" i="6"/>
  <c r="BI148" i="6"/>
  <c r="BA148" i="6"/>
  <c r="AS148" i="6"/>
  <c r="AL148" i="6"/>
  <c r="BQ212" i="6"/>
  <c r="BI212" i="6"/>
  <c r="BA212" i="6"/>
  <c r="AS212" i="6"/>
  <c r="AL212" i="6"/>
  <c r="BQ266" i="6"/>
  <c r="BI266" i="6"/>
  <c r="BA266" i="6"/>
  <c r="AS266" i="6"/>
  <c r="AL266" i="6"/>
  <c r="BQ268" i="6"/>
  <c r="BI268" i="6"/>
  <c r="BA268" i="6"/>
  <c r="AS268" i="6"/>
  <c r="AL268" i="6"/>
  <c r="BQ195" i="6"/>
  <c r="BI195" i="6"/>
  <c r="BA195" i="6"/>
  <c r="AS195" i="6"/>
  <c r="AL195" i="6"/>
  <c r="BQ204" i="6"/>
  <c r="BI204" i="6"/>
  <c r="BA204" i="6"/>
  <c r="AS204" i="6"/>
  <c r="AL204" i="6"/>
  <c r="BQ196" i="6"/>
  <c r="BI196" i="6"/>
  <c r="BA196" i="6"/>
  <c r="AS196" i="6"/>
  <c r="AL196" i="6"/>
  <c r="BQ272" i="6"/>
  <c r="BI272" i="6"/>
  <c r="BA272" i="6"/>
  <c r="AS272" i="6"/>
  <c r="AL272" i="6"/>
  <c r="BQ250" i="6"/>
  <c r="BI250" i="6"/>
  <c r="BA250" i="6"/>
  <c r="AS250" i="6"/>
  <c r="AL250" i="6"/>
  <c r="BQ182" i="6"/>
  <c r="BI182" i="6"/>
  <c r="BA182" i="6"/>
  <c r="AS182" i="6"/>
  <c r="AL182" i="6"/>
  <c r="BQ214" i="6"/>
  <c r="BI214" i="6"/>
  <c r="BA214" i="6"/>
  <c r="AS214" i="6"/>
  <c r="AL214" i="6"/>
  <c r="BQ274" i="6"/>
  <c r="BI274" i="6"/>
  <c r="BA274" i="6"/>
  <c r="AS274" i="6"/>
  <c r="AL274" i="6"/>
  <c r="BQ246" i="6"/>
  <c r="BI246" i="6"/>
  <c r="BA246" i="6"/>
  <c r="AS246" i="6"/>
  <c r="AL246" i="6"/>
  <c r="AE305" i="6"/>
  <c r="AD305" i="6" s="1"/>
  <c r="BQ305" i="6"/>
  <c r="BI305" i="6"/>
  <c r="BA305" i="6"/>
  <c r="AS305" i="6"/>
  <c r="AL305" i="6"/>
  <c r="BQ245" i="6"/>
  <c r="BI245" i="6"/>
  <c r="BA245" i="6"/>
  <c r="AS245" i="6"/>
  <c r="AL245" i="6"/>
  <c r="AE277" i="6"/>
  <c r="AD277" i="6" s="1"/>
  <c r="BQ277" i="6"/>
  <c r="BI277" i="6"/>
  <c r="BA277" i="6"/>
  <c r="AS277" i="6"/>
  <c r="AL277" i="6"/>
  <c r="BQ395" i="6"/>
  <c r="BI395" i="6"/>
  <c r="BA395" i="6"/>
  <c r="AS395" i="6"/>
  <c r="AL395" i="6"/>
  <c r="BQ284" i="6"/>
  <c r="BI284" i="6"/>
  <c r="BA284" i="6"/>
  <c r="AS284" i="6"/>
  <c r="AL284" i="6"/>
  <c r="AE316" i="6"/>
  <c r="AD316" i="6" s="1"/>
  <c r="BQ316" i="6"/>
  <c r="BI316" i="6"/>
  <c r="BA316" i="6"/>
  <c r="AL316" i="6"/>
  <c r="AS316" i="6"/>
  <c r="BQ382" i="6"/>
  <c r="BI382" i="6"/>
  <c r="BA382" i="6"/>
  <c r="AL382" i="6"/>
  <c r="AS382" i="6"/>
  <c r="AE295" i="6"/>
  <c r="AD295" i="6" s="1"/>
  <c r="BQ295" i="6"/>
  <c r="BI295" i="6"/>
  <c r="BA295" i="6"/>
  <c r="AS295" i="6"/>
  <c r="AL295" i="6"/>
  <c r="BQ327" i="6"/>
  <c r="BI327" i="6"/>
  <c r="BA327" i="6"/>
  <c r="AL327" i="6"/>
  <c r="AS327" i="6"/>
  <c r="AE362" i="6"/>
  <c r="AD362" i="6" s="1"/>
  <c r="BQ362" i="6"/>
  <c r="BI362" i="6"/>
  <c r="BA362" i="6"/>
  <c r="AS362" i="6"/>
  <c r="AL362" i="6"/>
  <c r="BQ329" i="6"/>
  <c r="BI329" i="6"/>
  <c r="AS329" i="6"/>
  <c r="BA329" i="6"/>
  <c r="AL329" i="6"/>
  <c r="BQ355" i="6"/>
  <c r="BI355" i="6"/>
  <c r="BA355" i="6"/>
  <c r="AS355" i="6"/>
  <c r="AL355" i="6"/>
  <c r="BQ347" i="6"/>
  <c r="BI347" i="6"/>
  <c r="BA347" i="6"/>
  <c r="AS347" i="6"/>
  <c r="AL347" i="6"/>
  <c r="BQ360" i="6"/>
  <c r="BI360" i="6"/>
  <c r="BA360" i="6"/>
  <c r="AL360" i="6"/>
  <c r="AS360" i="6"/>
  <c r="BQ337" i="6"/>
  <c r="BI337" i="6"/>
  <c r="BA337" i="6"/>
  <c r="AS337" i="6"/>
  <c r="AL337" i="6"/>
  <c r="BQ369" i="6"/>
  <c r="BI369" i="6"/>
  <c r="BA369" i="6"/>
  <c r="AS369" i="6"/>
  <c r="AL369" i="6"/>
  <c r="AE401" i="6"/>
  <c r="BQ401" i="6"/>
  <c r="BI401" i="6"/>
  <c r="BA401" i="6"/>
  <c r="AS401" i="6"/>
  <c r="AL401" i="6"/>
  <c r="AE405" i="6"/>
  <c r="AD405" i="6" s="1"/>
  <c r="BQ405" i="6"/>
  <c r="BI405" i="6"/>
  <c r="BA405" i="6"/>
  <c r="AL405" i="6"/>
  <c r="AS405" i="6"/>
  <c r="AE406" i="6"/>
  <c r="AD406" i="6" s="1"/>
  <c r="BQ406" i="6"/>
  <c r="BI406" i="6"/>
  <c r="BA406" i="6"/>
  <c r="AL406" i="6"/>
  <c r="AS406" i="6"/>
  <c r="BQ419" i="6"/>
  <c r="BI419" i="6"/>
  <c r="BA419" i="6"/>
  <c r="AS419" i="6"/>
  <c r="AL419" i="6"/>
  <c r="BQ448" i="6"/>
  <c r="BI448" i="6"/>
  <c r="BA448" i="6"/>
  <c r="AL448" i="6"/>
  <c r="AS448" i="6"/>
  <c r="BQ453" i="6"/>
  <c r="BI453" i="6"/>
  <c r="BA453" i="6"/>
  <c r="AL453" i="6"/>
  <c r="AS453" i="6"/>
  <c r="BI436" i="6"/>
  <c r="BQ436" i="6"/>
  <c r="BA436" i="6"/>
  <c r="AS436" i="6"/>
  <c r="AL436" i="6"/>
  <c r="AE431" i="6"/>
  <c r="AD431" i="6" s="1"/>
  <c r="BQ431" i="6"/>
  <c r="BI431" i="6"/>
  <c r="BA431" i="6"/>
  <c r="AL431" i="6"/>
  <c r="AS431" i="6"/>
  <c r="BQ463" i="6"/>
  <c r="BI463" i="6"/>
  <c r="BA463" i="6"/>
  <c r="AL463" i="6"/>
  <c r="AS463" i="6"/>
  <c r="BQ22" i="6"/>
  <c r="BI22" i="6"/>
  <c r="BA22" i="6"/>
  <c r="AS22" i="6"/>
  <c r="AL22" i="6"/>
  <c r="AE89" i="6"/>
  <c r="AD89" i="6" s="1"/>
  <c r="D89" i="6" s="1"/>
  <c r="BQ89" i="6"/>
  <c r="BI89" i="6"/>
  <c r="BA89" i="6"/>
  <c r="AS89" i="6"/>
  <c r="AL89" i="6"/>
  <c r="BQ50" i="6"/>
  <c r="BI50" i="6"/>
  <c r="BA50" i="6"/>
  <c r="AS50" i="6"/>
  <c r="AL50" i="6"/>
  <c r="BQ15" i="6"/>
  <c r="BI15" i="6"/>
  <c r="BA15" i="6"/>
  <c r="AS15" i="6"/>
  <c r="AL15" i="6"/>
  <c r="BQ28" i="6"/>
  <c r="BI28" i="6"/>
  <c r="BA28" i="6"/>
  <c r="AS28" i="6"/>
  <c r="AL28" i="6"/>
  <c r="BQ17" i="6"/>
  <c r="BI17" i="6"/>
  <c r="BA17" i="6"/>
  <c r="AS17" i="6"/>
  <c r="AL17" i="6"/>
  <c r="BQ91" i="6"/>
  <c r="BI91" i="6"/>
  <c r="BA91" i="6"/>
  <c r="AS91" i="6"/>
  <c r="AL91" i="6"/>
  <c r="BQ218" i="6"/>
  <c r="BI218" i="6"/>
  <c r="BA218" i="6"/>
  <c r="AS218" i="6"/>
  <c r="AL218" i="6"/>
  <c r="BQ285" i="6"/>
  <c r="BI285" i="6"/>
  <c r="BA285" i="6"/>
  <c r="AS285" i="6"/>
  <c r="AL285" i="6"/>
  <c r="BQ357" i="6"/>
  <c r="BI357" i="6"/>
  <c r="BA357" i="6"/>
  <c r="AL357" i="6"/>
  <c r="AS357" i="6"/>
  <c r="BQ381" i="6"/>
  <c r="BI381" i="6"/>
  <c r="BA381" i="6"/>
  <c r="AL381" i="6"/>
  <c r="AS381" i="6"/>
  <c r="AE79" i="6"/>
  <c r="AD79" i="6" s="1"/>
  <c r="D79" i="6" s="1"/>
  <c r="BQ79" i="6"/>
  <c r="BI79" i="6"/>
  <c r="BA79" i="6"/>
  <c r="AS79" i="6"/>
  <c r="AL79" i="6"/>
  <c r="BQ61" i="6"/>
  <c r="BI61" i="6"/>
  <c r="BA61" i="6"/>
  <c r="AS61" i="6"/>
  <c r="AL61" i="6"/>
  <c r="BQ93" i="6"/>
  <c r="BI93" i="6"/>
  <c r="BA93" i="6"/>
  <c r="AS93" i="6"/>
  <c r="AL93" i="6"/>
  <c r="BQ111" i="6"/>
  <c r="BI111" i="6"/>
  <c r="BA111" i="6"/>
  <c r="AS111" i="6"/>
  <c r="AL111" i="6"/>
  <c r="BQ126" i="6"/>
  <c r="BI126" i="6"/>
  <c r="BA126" i="6"/>
  <c r="AS126" i="6"/>
  <c r="AL126" i="6"/>
  <c r="BQ113" i="6"/>
  <c r="BI113" i="6"/>
  <c r="BA113" i="6"/>
  <c r="AS113" i="6"/>
  <c r="AL113" i="6"/>
  <c r="BQ213" i="6"/>
  <c r="BI213" i="6"/>
  <c r="BA213" i="6"/>
  <c r="AS213" i="6"/>
  <c r="AL213" i="6"/>
  <c r="BQ40" i="6"/>
  <c r="BI40" i="6"/>
  <c r="BA40" i="6"/>
  <c r="AS40" i="6"/>
  <c r="AL40" i="6"/>
  <c r="BQ60" i="6"/>
  <c r="BI60" i="6"/>
  <c r="BA60" i="6"/>
  <c r="AS60" i="6"/>
  <c r="AL60" i="6"/>
  <c r="BQ104" i="6"/>
  <c r="BI104" i="6"/>
  <c r="BA104" i="6"/>
  <c r="AS104" i="6"/>
  <c r="AL104" i="6"/>
  <c r="BQ187" i="6"/>
  <c r="BI187" i="6"/>
  <c r="BA187" i="6"/>
  <c r="AS187" i="6"/>
  <c r="AL187" i="6"/>
  <c r="AE215" i="6"/>
  <c r="AD215" i="6" s="1"/>
  <c r="BQ215" i="6"/>
  <c r="BI215" i="6"/>
  <c r="BA215" i="6"/>
  <c r="AS215" i="6"/>
  <c r="AL215" i="6"/>
  <c r="BQ243" i="6"/>
  <c r="BI243" i="6"/>
  <c r="BA243" i="6"/>
  <c r="AS243" i="6"/>
  <c r="AL243" i="6"/>
  <c r="BQ247" i="6"/>
  <c r="BI247" i="6"/>
  <c r="BA247" i="6"/>
  <c r="AS247" i="6"/>
  <c r="AL247" i="6"/>
  <c r="BQ293" i="6"/>
  <c r="BI293" i="6"/>
  <c r="BA293" i="6"/>
  <c r="AS293" i="6"/>
  <c r="AL293" i="6"/>
  <c r="BQ314" i="6"/>
  <c r="BI314" i="6"/>
  <c r="BA314" i="6"/>
  <c r="AS314" i="6"/>
  <c r="AL314" i="6"/>
  <c r="BQ326" i="6"/>
  <c r="BI326" i="6"/>
  <c r="BA326" i="6"/>
  <c r="AL326" i="6"/>
  <c r="AS326" i="6"/>
  <c r="BQ324" i="6"/>
  <c r="BI324" i="6"/>
  <c r="BA324" i="6"/>
  <c r="AS324" i="6"/>
  <c r="AL324" i="6"/>
  <c r="BQ343" i="6"/>
  <c r="BI343" i="6"/>
  <c r="BA343" i="6"/>
  <c r="AL343" i="6"/>
  <c r="AS343" i="6"/>
  <c r="BQ384" i="6"/>
  <c r="BI384" i="6"/>
  <c r="BA384" i="6"/>
  <c r="AL384" i="6"/>
  <c r="AS384" i="6"/>
  <c r="BQ411" i="6"/>
  <c r="BI411" i="6"/>
  <c r="BA411" i="6"/>
  <c r="AS411" i="6"/>
  <c r="AL411" i="6"/>
  <c r="BQ389" i="6"/>
  <c r="BI389" i="6"/>
  <c r="BA389" i="6"/>
  <c r="AL389" i="6"/>
  <c r="AS389" i="6"/>
  <c r="BQ415" i="6"/>
  <c r="BI415" i="6"/>
  <c r="BA415" i="6"/>
  <c r="AL415" i="6"/>
  <c r="AS415" i="6"/>
  <c r="AE437" i="6"/>
  <c r="AD437" i="6" s="1"/>
  <c r="BQ437" i="6"/>
  <c r="BI437" i="6"/>
  <c r="BA437" i="6"/>
  <c r="AL437" i="6"/>
  <c r="AS437" i="6"/>
  <c r="AE451" i="6"/>
  <c r="AD451" i="6" s="1"/>
  <c r="BQ451" i="6"/>
  <c r="BI451" i="6"/>
  <c r="BA451" i="6"/>
  <c r="AS451" i="6"/>
  <c r="AL451" i="6"/>
  <c r="BQ467" i="6"/>
  <c r="BI467" i="6"/>
  <c r="BA467" i="6"/>
  <c r="AS467" i="6"/>
  <c r="AL467" i="6"/>
  <c r="BQ18" i="6"/>
  <c r="BI18" i="6"/>
  <c r="BA18" i="6"/>
  <c r="AS18" i="6"/>
  <c r="AL18" i="6"/>
  <c r="BQ95" i="6"/>
  <c r="BI95" i="6"/>
  <c r="BA95" i="6"/>
  <c r="AS95" i="6"/>
  <c r="AL95" i="6"/>
  <c r="AE33" i="6"/>
  <c r="BQ33" i="6"/>
  <c r="BI33" i="6"/>
  <c r="BA33" i="6"/>
  <c r="AS33" i="6"/>
  <c r="AL33" i="6"/>
  <c r="AE65" i="6"/>
  <c r="AD65" i="6" s="1"/>
  <c r="D65" i="6" s="1"/>
  <c r="BQ65" i="6"/>
  <c r="BI65" i="6"/>
  <c r="AS65" i="6"/>
  <c r="BA65" i="6"/>
  <c r="AL65" i="6"/>
  <c r="AE119" i="6"/>
  <c r="AD119" i="6" s="1"/>
  <c r="BI119" i="6"/>
  <c r="BQ119" i="6"/>
  <c r="BA119" i="6"/>
  <c r="AS119" i="6"/>
  <c r="AL119" i="6"/>
  <c r="BQ127" i="6"/>
  <c r="BI127" i="6"/>
  <c r="BA127" i="6"/>
  <c r="AS127" i="6"/>
  <c r="AL127" i="6"/>
  <c r="BQ98" i="6"/>
  <c r="BI98" i="6"/>
  <c r="BA98" i="6"/>
  <c r="AS98" i="6"/>
  <c r="AL98" i="6"/>
  <c r="BQ130" i="6"/>
  <c r="BI130" i="6"/>
  <c r="BA130" i="6"/>
  <c r="AS130" i="6"/>
  <c r="AL130" i="6"/>
  <c r="BQ161" i="6"/>
  <c r="BI161" i="6"/>
  <c r="BA161" i="6"/>
  <c r="AS161" i="6"/>
  <c r="AL161" i="6"/>
  <c r="BQ117" i="6"/>
  <c r="BI117" i="6"/>
  <c r="BA117" i="6"/>
  <c r="AS117" i="6"/>
  <c r="AL117" i="6"/>
  <c r="BQ163" i="6"/>
  <c r="BI163" i="6"/>
  <c r="BA163" i="6"/>
  <c r="AS163" i="6"/>
  <c r="AL163" i="6"/>
  <c r="BI217" i="6"/>
  <c r="BQ217" i="6"/>
  <c r="BA217" i="6"/>
  <c r="AS217" i="6"/>
  <c r="AL217" i="6"/>
  <c r="AE136" i="6"/>
  <c r="AD136" i="6" s="1"/>
  <c r="BQ136" i="6"/>
  <c r="BI136" i="6"/>
  <c r="BA136" i="6"/>
  <c r="AS136" i="6"/>
  <c r="AL136" i="6"/>
  <c r="BQ152" i="6"/>
  <c r="BI152" i="6"/>
  <c r="BA152" i="6"/>
  <c r="AS152" i="6"/>
  <c r="AL152" i="6"/>
  <c r="BQ175" i="6"/>
  <c r="BI175" i="6"/>
  <c r="BA175" i="6"/>
  <c r="AS175" i="6"/>
  <c r="AL175" i="6"/>
  <c r="BQ158" i="6"/>
  <c r="BI158" i="6"/>
  <c r="BA158" i="6"/>
  <c r="AS158" i="6"/>
  <c r="AL158" i="6"/>
  <c r="BQ203" i="6"/>
  <c r="BI203" i="6"/>
  <c r="BA203" i="6"/>
  <c r="AS203" i="6"/>
  <c r="AL203" i="6"/>
  <c r="AE144" i="6"/>
  <c r="AD144" i="6" s="1"/>
  <c r="BQ144" i="6"/>
  <c r="BI144" i="6"/>
  <c r="BA144" i="6"/>
  <c r="AS144" i="6"/>
  <c r="AL144" i="6"/>
  <c r="AE278" i="6"/>
  <c r="AD278" i="6" s="1"/>
  <c r="BQ278" i="6"/>
  <c r="BI278" i="6"/>
  <c r="BA278" i="6"/>
  <c r="AS278" i="6"/>
  <c r="AL278" i="6"/>
  <c r="BQ34" i="6"/>
  <c r="BI34" i="6"/>
  <c r="BA34" i="6"/>
  <c r="AS34" i="6"/>
  <c r="AL34" i="6"/>
  <c r="BQ51" i="6"/>
  <c r="BI51" i="6"/>
  <c r="BA51" i="6"/>
  <c r="AS51" i="6"/>
  <c r="AL51" i="6"/>
  <c r="BQ11" i="6"/>
  <c r="BI11" i="6"/>
  <c r="BA11" i="6"/>
  <c r="AS11" i="6"/>
  <c r="AL11" i="6"/>
  <c r="AE29" i="6"/>
  <c r="AD29" i="6" s="1"/>
  <c r="D29" i="6" s="1"/>
  <c r="BQ29" i="6"/>
  <c r="BI29" i="6"/>
  <c r="BA29" i="6"/>
  <c r="AS29" i="6"/>
  <c r="AL29" i="6"/>
  <c r="BQ48" i="6"/>
  <c r="BI48" i="6"/>
  <c r="BA48" i="6"/>
  <c r="AS48" i="6"/>
  <c r="AL48" i="6"/>
  <c r="BQ44" i="6"/>
  <c r="BI44" i="6"/>
  <c r="BA44" i="6"/>
  <c r="AS44" i="6"/>
  <c r="AL44" i="6"/>
  <c r="BQ81" i="6"/>
  <c r="BI81" i="6"/>
  <c r="BA81" i="6"/>
  <c r="AS81" i="6"/>
  <c r="AL81" i="6"/>
  <c r="BQ174" i="6"/>
  <c r="BI174" i="6"/>
  <c r="BA174" i="6"/>
  <c r="AS174" i="6"/>
  <c r="AL174" i="6"/>
  <c r="BQ231" i="6"/>
  <c r="BI231" i="6"/>
  <c r="BA231" i="6"/>
  <c r="AS231" i="6"/>
  <c r="AL231" i="6"/>
  <c r="BQ236" i="6"/>
  <c r="BI236" i="6"/>
  <c r="BA236" i="6"/>
  <c r="AS236" i="6"/>
  <c r="AL236" i="6"/>
  <c r="BQ264" i="6"/>
  <c r="BI264" i="6"/>
  <c r="BA264" i="6"/>
  <c r="AS264" i="6"/>
  <c r="AL264" i="6"/>
  <c r="BQ301" i="6"/>
  <c r="BI301" i="6"/>
  <c r="BA301" i="6"/>
  <c r="AS301" i="6"/>
  <c r="AL301" i="6"/>
  <c r="BQ280" i="6"/>
  <c r="BI280" i="6"/>
  <c r="BA280" i="6"/>
  <c r="AS280" i="6"/>
  <c r="AL280" i="6"/>
  <c r="AE319" i="6"/>
  <c r="AD319" i="6" s="1"/>
  <c r="BQ319" i="6"/>
  <c r="BI319" i="6"/>
  <c r="BA319" i="6"/>
  <c r="AL319" i="6"/>
  <c r="AS319" i="6"/>
  <c r="BQ332" i="6"/>
  <c r="BI332" i="6"/>
  <c r="BA332" i="6"/>
  <c r="AS332" i="6"/>
  <c r="AL332" i="6"/>
  <c r="BQ338" i="6"/>
  <c r="BI338" i="6"/>
  <c r="BA338" i="6"/>
  <c r="AS338" i="6"/>
  <c r="AL338" i="6"/>
  <c r="BQ348" i="6"/>
  <c r="BI348" i="6"/>
  <c r="BA348" i="6"/>
  <c r="AL348" i="6"/>
  <c r="AS348" i="6"/>
  <c r="BQ409" i="6"/>
  <c r="BI409" i="6"/>
  <c r="BA409" i="6"/>
  <c r="AS409" i="6"/>
  <c r="AL409" i="6"/>
  <c r="BQ390" i="6"/>
  <c r="BI390" i="6"/>
  <c r="BA390" i="6"/>
  <c r="AL390" i="6"/>
  <c r="AS390" i="6"/>
  <c r="BQ439" i="6"/>
  <c r="BI439" i="6"/>
  <c r="BA439" i="6"/>
  <c r="AL439" i="6"/>
  <c r="AS439" i="6"/>
  <c r="BQ438" i="6"/>
  <c r="BI438" i="6"/>
  <c r="BA438" i="6"/>
  <c r="AL438" i="6"/>
  <c r="AS438" i="6"/>
  <c r="BQ454" i="6"/>
  <c r="BI454" i="6"/>
  <c r="BA454" i="6"/>
  <c r="AL454" i="6"/>
  <c r="AS454" i="6"/>
  <c r="BR469" i="6"/>
  <c r="BM469" i="6"/>
  <c r="BP469" i="6" s="1"/>
  <c r="BO469" i="6" s="1"/>
  <c r="BN469" i="6" s="1"/>
  <c r="BE469" i="6"/>
  <c r="BH469" i="6" s="1"/>
  <c r="BG469" i="6" s="1"/>
  <c r="BF469" i="6" s="1"/>
  <c r="AW469" i="6"/>
  <c r="AO469" i="6"/>
  <c r="AR469" i="6" s="1"/>
  <c r="AQ469" i="6" s="1"/>
  <c r="AP469" i="6" s="1"/>
  <c r="BQ66" i="6"/>
  <c r="BI66" i="6"/>
  <c r="BA66" i="6"/>
  <c r="AS66" i="6"/>
  <c r="AL66" i="6"/>
  <c r="BQ85" i="6"/>
  <c r="BI85" i="6"/>
  <c r="BA85" i="6"/>
  <c r="AS85" i="6"/>
  <c r="AL85" i="6"/>
  <c r="BQ143" i="6"/>
  <c r="BI143" i="6"/>
  <c r="BA143" i="6"/>
  <c r="AS143" i="6"/>
  <c r="AL143" i="6"/>
  <c r="AE37" i="6"/>
  <c r="AD37" i="6" s="1"/>
  <c r="D37" i="6" s="1"/>
  <c r="BQ37" i="6"/>
  <c r="BI37" i="6"/>
  <c r="BA37" i="6"/>
  <c r="AS37" i="6"/>
  <c r="AL37" i="6"/>
  <c r="BQ69" i="6"/>
  <c r="BI69" i="6"/>
  <c r="BA69" i="6"/>
  <c r="AS69" i="6"/>
  <c r="AL69" i="6"/>
  <c r="BQ68" i="6"/>
  <c r="BI68" i="6"/>
  <c r="BA68" i="6"/>
  <c r="AS68" i="6"/>
  <c r="AL68" i="6"/>
  <c r="BQ149" i="6"/>
  <c r="BI149" i="6"/>
  <c r="BA149" i="6"/>
  <c r="AS149" i="6"/>
  <c r="AL149" i="6"/>
  <c r="BQ102" i="6"/>
  <c r="BI102" i="6"/>
  <c r="BA102" i="6"/>
  <c r="AS102" i="6"/>
  <c r="AL102" i="6"/>
  <c r="BQ134" i="6"/>
  <c r="BI134" i="6"/>
  <c r="BA134" i="6"/>
  <c r="AS134" i="6"/>
  <c r="AL134" i="6"/>
  <c r="BQ200" i="6"/>
  <c r="BI200" i="6"/>
  <c r="BA200" i="6"/>
  <c r="AS200" i="6"/>
  <c r="AL200" i="6"/>
  <c r="BQ121" i="6"/>
  <c r="BI121" i="6"/>
  <c r="BA121" i="6"/>
  <c r="AS121" i="6"/>
  <c r="AL121" i="6"/>
  <c r="AE172" i="6"/>
  <c r="AD172" i="6" s="1"/>
  <c r="BQ172" i="6"/>
  <c r="BI172" i="6"/>
  <c r="BA172" i="6"/>
  <c r="AS172" i="6"/>
  <c r="AL172" i="6"/>
  <c r="AE76" i="6"/>
  <c r="BQ76" i="6"/>
  <c r="BI76" i="6"/>
  <c r="BA76" i="6"/>
  <c r="AS76" i="6"/>
  <c r="AL76" i="6"/>
  <c r="BQ108" i="6"/>
  <c r="BI108" i="6"/>
  <c r="BA108" i="6"/>
  <c r="AS108" i="6"/>
  <c r="AL108" i="6"/>
  <c r="BQ140" i="6"/>
  <c r="BI140" i="6"/>
  <c r="BA140" i="6"/>
  <c r="AS140" i="6"/>
  <c r="AL140" i="6"/>
  <c r="BQ156" i="6"/>
  <c r="BI156" i="6"/>
  <c r="BA156" i="6"/>
  <c r="AS156" i="6"/>
  <c r="AL156" i="6"/>
  <c r="BQ258" i="6"/>
  <c r="BI258" i="6"/>
  <c r="BA258" i="6"/>
  <c r="AS258" i="6"/>
  <c r="AL258" i="6"/>
  <c r="BQ183" i="6"/>
  <c r="BI183" i="6"/>
  <c r="BA183" i="6"/>
  <c r="AS183" i="6"/>
  <c r="AL183" i="6"/>
  <c r="BQ162" i="6"/>
  <c r="BI162" i="6"/>
  <c r="BA162" i="6"/>
  <c r="AS162" i="6"/>
  <c r="AL162" i="6"/>
  <c r="BQ267" i="6"/>
  <c r="BI267" i="6"/>
  <c r="BA267" i="6"/>
  <c r="AS267" i="6"/>
  <c r="AL267" i="6"/>
  <c r="BQ235" i="6"/>
  <c r="BI235" i="6"/>
  <c r="BA235" i="6"/>
  <c r="AS235" i="6"/>
  <c r="AL235" i="6"/>
  <c r="BQ207" i="6"/>
  <c r="BI207" i="6"/>
  <c r="BA207" i="6"/>
  <c r="AS207" i="6"/>
  <c r="AL207" i="6"/>
  <c r="BQ318" i="6"/>
  <c r="BI318" i="6"/>
  <c r="BA318" i="6"/>
  <c r="AL318" i="6"/>
  <c r="AS318" i="6"/>
  <c r="BQ252" i="6"/>
  <c r="BI252" i="6"/>
  <c r="BA252" i="6"/>
  <c r="AS252" i="6"/>
  <c r="AL252" i="6"/>
  <c r="AE190" i="6"/>
  <c r="AD190" i="6" s="1"/>
  <c r="BQ190" i="6"/>
  <c r="BI190" i="6"/>
  <c r="BA190" i="6"/>
  <c r="AS190" i="6"/>
  <c r="AL190" i="6"/>
  <c r="BQ228" i="6"/>
  <c r="BI228" i="6"/>
  <c r="BA228" i="6"/>
  <c r="AS228" i="6"/>
  <c r="AL228" i="6"/>
  <c r="BI276" i="6"/>
  <c r="BQ276" i="6"/>
  <c r="BA276" i="6"/>
  <c r="AS276" i="6"/>
  <c r="AL276" i="6"/>
  <c r="BQ248" i="6"/>
  <c r="BI248" i="6"/>
  <c r="BA248" i="6"/>
  <c r="AS248" i="6"/>
  <c r="AL248" i="6"/>
  <c r="BQ221" i="6"/>
  <c r="BI221" i="6"/>
  <c r="BA221" i="6"/>
  <c r="AS221" i="6"/>
  <c r="AL221" i="6"/>
  <c r="BQ253" i="6"/>
  <c r="BI253" i="6"/>
  <c r="BA253" i="6"/>
  <c r="AS253" i="6"/>
  <c r="AL253" i="6"/>
  <c r="BQ376" i="6"/>
  <c r="BI376" i="6"/>
  <c r="BA376" i="6"/>
  <c r="AL376" i="6"/>
  <c r="AS376" i="6"/>
  <c r="BQ331" i="6"/>
  <c r="BI331" i="6"/>
  <c r="BA331" i="6"/>
  <c r="AS331" i="6"/>
  <c r="AL331" i="6"/>
  <c r="AE303" i="6"/>
  <c r="AD303" i="6" s="1"/>
  <c r="BQ303" i="6"/>
  <c r="BI303" i="6"/>
  <c r="BA303" i="6"/>
  <c r="AS303" i="6"/>
  <c r="AL303" i="6"/>
  <c r="BQ375" i="6"/>
  <c r="BI375" i="6"/>
  <c r="BA375" i="6"/>
  <c r="AL375" i="6"/>
  <c r="AS375" i="6"/>
  <c r="BQ371" i="6"/>
  <c r="BI371" i="6"/>
  <c r="BA371" i="6"/>
  <c r="AS371" i="6"/>
  <c r="AL371" i="6"/>
  <c r="AE367" i="6"/>
  <c r="AD367" i="6" s="1"/>
  <c r="BQ367" i="6"/>
  <c r="BI367" i="6"/>
  <c r="BA367" i="6"/>
  <c r="AL367" i="6"/>
  <c r="AS367" i="6"/>
  <c r="BQ386" i="6"/>
  <c r="BI386" i="6"/>
  <c r="BA386" i="6"/>
  <c r="AS386" i="6"/>
  <c r="AL386" i="6"/>
  <c r="BQ378" i="6"/>
  <c r="BI378" i="6"/>
  <c r="BA378" i="6"/>
  <c r="AS378" i="6"/>
  <c r="AL378" i="6"/>
  <c r="BQ391" i="6"/>
  <c r="BI391" i="6"/>
  <c r="BA391" i="6"/>
  <c r="AL391" i="6"/>
  <c r="AS391" i="6"/>
  <c r="AE345" i="6"/>
  <c r="AD345" i="6" s="1"/>
  <c r="BQ345" i="6"/>
  <c r="BI345" i="6"/>
  <c r="BA345" i="6"/>
  <c r="AS345" i="6"/>
  <c r="AL345" i="6"/>
  <c r="BQ377" i="6"/>
  <c r="BI377" i="6"/>
  <c r="BA377" i="6"/>
  <c r="AS377" i="6"/>
  <c r="AL377" i="6"/>
  <c r="BQ414" i="6"/>
  <c r="BI414" i="6"/>
  <c r="BA414" i="6"/>
  <c r="AL414" i="6"/>
  <c r="AS414" i="6"/>
  <c r="BQ461" i="6"/>
  <c r="BI461" i="6"/>
  <c r="BA461" i="6"/>
  <c r="AL461" i="6"/>
  <c r="AS461" i="6"/>
  <c r="BQ456" i="6"/>
  <c r="BI456" i="6"/>
  <c r="BA456" i="6"/>
  <c r="AL456" i="6"/>
  <c r="AS456" i="6"/>
  <c r="BQ452" i="6"/>
  <c r="BI452" i="6"/>
  <c r="BA452" i="6"/>
  <c r="AL452" i="6"/>
  <c r="AS452" i="6"/>
  <c r="AE75" i="6"/>
  <c r="AD75" i="6" s="1"/>
  <c r="D75" i="6" s="1"/>
  <c r="BQ75" i="6"/>
  <c r="BI75" i="6"/>
  <c r="BA75" i="6"/>
  <c r="AS75" i="6"/>
  <c r="AL75" i="6"/>
  <c r="BQ62" i="6"/>
  <c r="BI62" i="6"/>
  <c r="BA62" i="6"/>
  <c r="AS62" i="6"/>
  <c r="AL62" i="6"/>
  <c r="AE39" i="6"/>
  <c r="AD39" i="6" s="1"/>
  <c r="D39" i="6" s="1"/>
  <c r="BQ39" i="6"/>
  <c r="BI39" i="6"/>
  <c r="BA39" i="6"/>
  <c r="AS39" i="6"/>
  <c r="AL39" i="6"/>
  <c r="BQ16" i="6"/>
  <c r="BI16" i="6"/>
  <c r="BA16" i="6"/>
  <c r="AS16" i="6"/>
  <c r="AL16" i="6"/>
  <c r="AE197" i="6"/>
  <c r="AD197" i="6" s="1"/>
  <c r="BQ197" i="6"/>
  <c r="BI197" i="6"/>
  <c r="BA197" i="6"/>
  <c r="AS197" i="6"/>
  <c r="AL197" i="6"/>
  <c r="BI308" i="6"/>
  <c r="BQ308" i="6"/>
  <c r="BA308" i="6"/>
  <c r="AS308" i="6"/>
  <c r="AL308" i="6"/>
  <c r="BQ67" i="6"/>
  <c r="BI67" i="6"/>
  <c r="BA67" i="6"/>
  <c r="AS67" i="6"/>
  <c r="AL67" i="6"/>
  <c r="BQ12" i="6"/>
  <c r="BI12" i="6"/>
  <c r="BA12" i="6"/>
  <c r="AS12" i="6"/>
  <c r="AL12" i="6"/>
  <c r="BQ35" i="6"/>
  <c r="BI35" i="6"/>
  <c r="BA35" i="6"/>
  <c r="AS35" i="6"/>
  <c r="AL35" i="6"/>
  <c r="BQ52" i="6"/>
  <c r="BI52" i="6"/>
  <c r="BA52" i="6"/>
  <c r="AS52" i="6"/>
  <c r="AL52" i="6"/>
  <c r="BQ194" i="6"/>
  <c r="BI194" i="6"/>
  <c r="BA194" i="6"/>
  <c r="AS194" i="6"/>
  <c r="AL194" i="6"/>
  <c r="BQ251" i="6"/>
  <c r="BI251" i="6"/>
  <c r="BA251" i="6"/>
  <c r="AS251" i="6"/>
  <c r="AL251" i="6"/>
  <c r="BQ309" i="6"/>
  <c r="BI309" i="6"/>
  <c r="BA309" i="6"/>
  <c r="AS309" i="6"/>
  <c r="AL309" i="6"/>
  <c r="BQ320" i="6"/>
  <c r="BI320" i="6"/>
  <c r="BA320" i="6"/>
  <c r="AS320" i="6"/>
  <c r="AL320" i="6"/>
  <c r="BQ339" i="6"/>
  <c r="BI339" i="6"/>
  <c r="BA339" i="6"/>
  <c r="AS339" i="6"/>
  <c r="AL339" i="6"/>
  <c r="BQ387" i="6"/>
  <c r="BI387" i="6"/>
  <c r="BA387" i="6"/>
  <c r="AS387" i="6"/>
  <c r="AL387" i="6"/>
  <c r="BQ441" i="6"/>
  <c r="BI441" i="6"/>
  <c r="BA441" i="6"/>
  <c r="AS441" i="6"/>
  <c r="AL441" i="6"/>
  <c r="BQ455" i="6"/>
  <c r="BI455" i="6"/>
  <c r="AL455" i="6"/>
  <c r="AS455" i="6"/>
  <c r="BA455" i="6"/>
  <c r="BQ56" i="6"/>
  <c r="BI56" i="6"/>
  <c r="BA56" i="6"/>
  <c r="AS56" i="6"/>
  <c r="AL56" i="6"/>
  <c r="BQ103" i="6"/>
  <c r="BI103" i="6"/>
  <c r="BA103" i="6"/>
  <c r="AS103" i="6"/>
  <c r="AL103" i="6"/>
  <c r="BQ9" i="6"/>
  <c r="BI9" i="6"/>
  <c r="BA9" i="6"/>
  <c r="AL9" i="6"/>
  <c r="AS9" i="6"/>
  <c r="BQ41" i="6"/>
  <c r="BI41" i="6"/>
  <c r="BA41" i="6"/>
  <c r="AS41" i="6"/>
  <c r="AL41" i="6"/>
  <c r="BQ73" i="6"/>
  <c r="BI73" i="6"/>
  <c r="AS73" i="6"/>
  <c r="BA73" i="6"/>
  <c r="AL73" i="6"/>
  <c r="BQ72" i="6"/>
  <c r="BI72" i="6"/>
  <c r="BA72" i="6"/>
  <c r="AS72" i="6"/>
  <c r="AL72" i="6"/>
  <c r="BQ171" i="6"/>
  <c r="BI171" i="6"/>
  <c r="BA171" i="6"/>
  <c r="AS171" i="6"/>
  <c r="AL171" i="6"/>
  <c r="BQ106" i="6"/>
  <c r="BI106" i="6"/>
  <c r="BA106" i="6"/>
  <c r="AS106" i="6"/>
  <c r="AL106" i="6"/>
  <c r="BQ138" i="6"/>
  <c r="BI138" i="6"/>
  <c r="BA138" i="6"/>
  <c r="AS138" i="6"/>
  <c r="AL138" i="6"/>
  <c r="BQ222" i="6"/>
  <c r="BI222" i="6"/>
  <c r="BA222" i="6"/>
  <c r="AS222" i="6"/>
  <c r="AL222" i="6"/>
  <c r="AE125" i="6"/>
  <c r="AD125" i="6" s="1"/>
  <c r="BQ125" i="6"/>
  <c r="BI125" i="6"/>
  <c r="BA125" i="6"/>
  <c r="AS125" i="6"/>
  <c r="AL125" i="6"/>
  <c r="BQ232" i="6"/>
  <c r="BI232" i="6"/>
  <c r="BA232" i="6"/>
  <c r="AS232" i="6"/>
  <c r="AL232" i="6"/>
  <c r="BQ80" i="6"/>
  <c r="BI80" i="6"/>
  <c r="BA80" i="6"/>
  <c r="AS80" i="6"/>
  <c r="AL80" i="6"/>
  <c r="BQ112" i="6"/>
  <c r="BI112" i="6"/>
  <c r="BA112" i="6"/>
  <c r="AS112" i="6"/>
  <c r="AL112" i="6"/>
  <c r="BQ160" i="6"/>
  <c r="BI160" i="6"/>
  <c r="BA160" i="6"/>
  <c r="AS160" i="6"/>
  <c r="AL160" i="6"/>
  <c r="BQ177" i="6"/>
  <c r="BI177" i="6"/>
  <c r="BA177" i="6"/>
  <c r="AS177" i="6"/>
  <c r="AL177" i="6"/>
  <c r="BQ211" i="6"/>
  <c r="BI211" i="6"/>
  <c r="BA211" i="6"/>
  <c r="AS211" i="6"/>
  <c r="AL211" i="6"/>
  <c r="BQ166" i="6"/>
  <c r="BI166" i="6"/>
  <c r="BA166" i="6"/>
  <c r="AS166" i="6"/>
  <c r="AL166" i="6"/>
  <c r="AE260" i="6"/>
  <c r="AD260" i="6" s="1"/>
  <c r="BQ260" i="6"/>
  <c r="BI260" i="6"/>
  <c r="BA260" i="6"/>
  <c r="AS260" i="6"/>
  <c r="AL260" i="6"/>
  <c r="BQ238" i="6"/>
  <c r="BI238" i="6"/>
  <c r="BA238" i="6"/>
  <c r="AS238" i="6"/>
  <c r="AL238" i="6"/>
  <c r="AE262" i="6"/>
  <c r="AD262" i="6" s="1"/>
  <c r="BQ262" i="6"/>
  <c r="BI262" i="6"/>
  <c r="BA262" i="6"/>
  <c r="AS262" i="6"/>
  <c r="AL262" i="6"/>
  <c r="BQ225" i="6"/>
  <c r="BI225" i="6"/>
  <c r="BA225" i="6"/>
  <c r="AS225" i="6"/>
  <c r="AL225" i="6"/>
  <c r="BQ257" i="6"/>
  <c r="BI257" i="6"/>
  <c r="AS257" i="6"/>
  <c r="BA257" i="6"/>
  <c r="AL257" i="6"/>
  <c r="BQ296" i="6"/>
  <c r="BI296" i="6"/>
  <c r="BA296" i="6"/>
  <c r="AS296" i="6"/>
  <c r="AL296" i="6"/>
  <c r="BQ59" i="6"/>
  <c r="BI59" i="6"/>
  <c r="BA59" i="6"/>
  <c r="AS59" i="6"/>
  <c r="AL59" i="6"/>
  <c r="BQ299" i="6"/>
  <c r="BI299" i="6"/>
  <c r="BA299" i="6"/>
  <c r="AS299" i="6"/>
  <c r="AL299" i="6"/>
  <c r="BQ350" i="6"/>
  <c r="BI350" i="6"/>
  <c r="BA350" i="6"/>
  <c r="AL350" i="6"/>
  <c r="AS350" i="6"/>
  <c r="BQ49" i="6"/>
  <c r="BI49" i="6"/>
  <c r="BA49" i="6"/>
  <c r="AS49" i="6"/>
  <c r="AL49" i="6"/>
  <c r="BQ186" i="6"/>
  <c r="BI186" i="6"/>
  <c r="BA186" i="6"/>
  <c r="AS186" i="6"/>
  <c r="AL186" i="6"/>
  <c r="BQ242" i="6"/>
  <c r="BI242" i="6"/>
  <c r="BA242" i="6"/>
  <c r="AS242" i="6"/>
  <c r="AL242" i="6"/>
  <c r="BQ269" i="6"/>
  <c r="BI269" i="6"/>
  <c r="BA269" i="6"/>
  <c r="AS269" i="6"/>
  <c r="AL269" i="6"/>
  <c r="BQ306" i="6"/>
  <c r="BI306" i="6"/>
  <c r="BA306" i="6"/>
  <c r="AS306" i="6"/>
  <c r="AL306" i="6"/>
  <c r="AE322" i="6"/>
  <c r="AD322" i="6" s="1"/>
  <c r="BQ322" i="6"/>
  <c r="BI322" i="6"/>
  <c r="BA322" i="6"/>
  <c r="AS322" i="6"/>
  <c r="AL322" i="6"/>
  <c r="BQ373" i="6"/>
  <c r="BI373" i="6"/>
  <c r="BA373" i="6"/>
  <c r="AL373" i="6"/>
  <c r="AS373" i="6"/>
  <c r="BQ361" i="6"/>
  <c r="BI361" i="6"/>
  <c r="BA361" i="6"/>
  <c r="AS361" i="6"/>
  <c r="AL361" i="6"/>
  <c r="BQ392" i="6"/>
  <c r="BI392" i="6"/>
  <c r="BA392" i="6"/>
  <c r="AL392" i="6"/>
  <c r="AS392" i="6"/>
  <c r="BQ412" i="6"/>
  <c r="BI412" i="6"/>
  <c r="BA412" i="6"/>
  <c r="AS412" i="6"/>
  <c r="AL412" i="6"/>
  <c r="BI434" i="6"/>
  <c r="BQ434" i="6"/>
  <c r="BA434" i="6"/>
  <c r="AS434" i="6"/>
  <c r="AL434" i="6"/>
  <c r="BQ443" i="6"/>
  <c r="BI443" i="6"/>
  <c r="BA443" i="6"/>
  <c r="AS443" i="6"/>
  <c r="AL443" i="6"/>
  <c r="BI468" i="6"/>
  <c r="BQ468" i="6"/>
  <c r="BA468" i="6"/>
  <c r="AL468" i="6"/>
  <c r="AS468" i="6"/>
  <c r="BQ63" i="6"/>
  <c r="BI63" i="6"/>
  <c r="BA63" i="6"/>
  <c r="AS63" i="6"/>
  <c r="AL63" i="6"/>
  <c r="BQ151" i="6"/>
  <c r="BI151" i="6"/>
  <c r="BA151" i="6"/>
  <c r="AS151" i="6"/>
  <c r="AL151" i="6"/>
  <c r="BQ208" i="6"/>
  <c r="BI208" i="6"/>
  <c r="BA208" i="6"/>
  <c r="AS208" i="6"/>
  <c r="AL208" i="6"/>
  <c r="BQ249" i="6"/>
  <c r="BI249" i="6"/>
  <c r="BA249" i="6"/>
  <c r="AS249" i="6"/>
  <c r="AL249" i="6"/>
  <c r="BQ288" i="6"/>
  <c r="BI288" i="6"/>
  <c r="BA288" i="6"/>
  <c r="AS288" i="6"/>
  <c r="AL288" i="6"/>
  <c r="AE333" i="6"/>
  <c r="AD333" i="6" s="1"/>
  <c r="BQ333" i="6"/>
  <c r="BI333" i="6"/>
  <c r="BA333" i="6"/>
  <c r="AL333" i="6"/>
  <c r="AS333" i="6"/>
  <c r="BQ356" i="6"/>
  <c r="BI356" i="6"/>
  <c r="BA356" i="6"/>
  <c r="AL356" i="6"/>
  <c r="AS356" i="6"/>
  <c r="BQ429" i="6"/>
  <c r="BI429" i="6"/>
  <c r="BA429" i="6"/>
  <c r="AL429" i="6"/>
  <c r="AS429" i="6"/>
  <c r="BQ435" i="6"/>
  <c r="BI435" i="6"/>
  <c r="BA435" i="6"/>
  <c r="AS435" i="6"/>
  <c r="AL435" i="6"/>
  <c r="BQ465" i="6"/>
  <c r="BI465" i="6"/>
  <c r="BA465" i="6"/>
  <c r="AS465" i="6"/>
  <c r="AL465" i="6"/>
  <c r="BQ131" i="6"/>
  <c r="BI131" i="6"/>
  <c r="BA131" i="6"/>
  <c r="AS131" i="6"/>
  <c r="AL131" i="6"/>
  <c r="BQ42" i="6"/>
  <c r="BI42" i="6"/>
  <c r="BA42" i="6"/>
  <c r="AS42" i="6"/>
  <c r="AL42" i="6"/>
  <c r="BQ30" i="6"/>
  <c r="BI30" i="6"/>
  <c r="BA30" i="6"/>
  <c r="AS30" i="6"/>
  <c r="AL30" i="6"/>
  <c r="AE147" i="6"/>
  <c r="AD147" i="6" s="1"/>
  <c r="BQ147" i="6"/>
  <c r="BI147" i="6"/>
  <c r="BA147" i="6"/>
  <c r="AS147" i="6"/>
  <c r="AL147" i="6"/>
  <c r="BQ189" i="6"/>
  <c r="BI189" i="6"/>
  <c r="BA189" i="6"/>
  <c r="AS189" i="6"/>
  <c r="AL189" i="6"/>
  <c r="BQ216" i="6"/>
  <c r="BI216" i="6"/>
  <c r="BA216" i="6"/>
  <c r="AS216" i="6"/>
  <c r="AL216" i="6"/>
  <c r="BQ259" i="6"/>
  <c r="BI259" i="6"/>
  <c r="BA259" i="6"/>
  <c r="AS259" i="6"/>
  <c r="AL259" i="6"/>
  <c r="BQ265" i="6"/>
  <c r="BI265" i="6"/>
  <c r="AS265" i="6"/>
  <c r="BA265" i="6"/>
  <c r="AL265" i="6"/>
  <c r="BQ317" i="6"/>
  <c r="BI317" i="6"/>
  <c r="BA317" i="6"/>
  <c r="AL317" i="6"/>
  <c r="AS317" i="6"/>
  <c r="AE307" i="6"/>
  <c r="AD307" i="6" s="1"/>
  <c r="BQ307" i="6"/>
  <c r="BI307" i="6"/>
  <c r="BA307" i="6"/>
  <c r="AL307" i="6"/>
  <c r="AS307" i="6"/>
  <c r="BQ328" i="6"/>
  <c r="BI328" i="6"/>
  <c r="BA328" i="6"/>
  <c r="AL328" i="6"/>
  <c r="AS328" i="6"/>
  <c r="BQ341" i="6"/>
  <c r="BI341" i="6"/>
  <c r="BA341" i="6"/>
  <c r="AL341" i="6"/>
  <c r="AS341" i="6"/>
  <c r="BI340" i="6"/>
  <c r="BQ340" i="6"/>
  <c r="BA340" i="6"/>
  <c r="AS340" i="6"/>
  <c r="AL340" i="6"/>
  <c r="BQ368" i="6"/>
  <c r="BI368" i="6"/>
  <c r="BA368" i="6"/>
  <c r="AL368" i="6"/>
  <c r="AS368" i="6"/>
  <c r="BQ398" i="6"/>
  <c r="BI398" i="6"/>
  <c r="BA398" i="6"/>
  <c r="AL398" i="6"/>
  <c r="AS398" i="6"/>
  <c r="BQ396" i="6"/>
  <c r="BI396" i="6"/>
  <c r="BA396" i="6"/>
  <c r="AS396" i="6"/>
  <c r="AL396" i="6"/>
  <c r="BQ423" i="6"/>
  <c r="BI423" i="6"/>
  <c r="BA423" i="6"/>
  <c r="AL423" i="6"/>
  <c r="AS423" i="6"/>
  <c r="BQ444" i="6"/>
  <c r="BI444" i="6"/>
  <c r="BA444" i="6"/>
  <c r="AS444" i="6"/>
  <c r="AL444" i="6"/>
  <c r="BQ462" i="6"/>
  <c r="BI462" i="6"/>
  <c r="BA462" i="6"/>
  <c r="AL462" i="6"/>
  <c r="AS462" i="6"/>
  <c r="BR470" i="6"/>
  <c r="BM470" i="6"/>
  <c r="BP470" i="6" s="1"/>
  <c r="BO470" i="6" s="1"/>
  <c r="BN470" i="6" s="1"/>
  <c r="BE470" i="6"/>
  <c r="BH470" i="6" s="1"/>
  <c r="BG470" i="6" s="1"/>
  <c r="BF470" i="6" s="1"/>
  <c r="AW470" i="6"/>
  <c r="AO470" i="6"/>
  <c r="AR470" i="6" s="1"/>
  <c r="AQ470" i="6" s="1"/>
  <c r="AP470" i="6" s="1"/>
  <c r="BQ71" i="6"/>
  <c r="BI71" i="6"/>
  <c r="BA71" i="6"/>
  <c r="AS71" i="6"/>
  <c r="AL71" i="6"/>
  <c r="BQ55" i="6"/>
  <c r="BI55" i="6"/>
  <c r="BA55" i="6"/>
  <c r="AS55" i="6"/>
  <c r="AL55" i="6"/>
  <c r="BQ115" i="6"/>
  <c r="BI115" i="6"/>
  <c r="BA115" i="6"/>
  <c r="AS115" i="6"/>
  <c r="AL115" i="6"/>
  <c r="BQ13" i="6"/>
  <c r="BI13" i="6"/>
  <c r="BA13" i="6"/>
  <c r="AS13" i="6"/>
  <c r="AL13" i="6"/>
  <c r="BQ45" i="6"/>
  <c r="BI45" i="6"/>
  <c r="BA45" i="6"/>
  <c r="AS45" i="6"/>
  <c r="AL45" i="6"/>
  <c r="BQ83" i="6"/>
  <c r="BI83" i="6"/>
  <c r="BA83" i="6"/>
  <c r="AS83" i="6"/>
  <c r="AL83" i="6"/>
  <c r="BQ87" i="6"/>
  <c r="BI87" i="6"/>
  <c r="BA87" i="6"/>
  <c r="AS87" i="6"/>
  <c r="AL87" i="6"/>
  <c r="BQ78" i="6"/>
  <c r="BI78" i="6"/>
  <c r="BA78" i="6"/>
  <c r="AS78" i="6"/>
  <c r="AL78" i="6"/>
  <c r="BQ110" i="6"/>
  <c r="BI110" i="6"/>
  <c r="BA110" i="6"/>
  <c r="AS110" i="6"/>
  <c r="AL110" i="6"/>
  <c r="BQ142" i="6"/>
  <c r="BI142" i="6"/>
  <c r="BA142" i="6"/>
  <c r="AS142" i="6"/>
  <c r="AL142" i="6"/>
  <c r="BQ97" i="6"/>
  <c r="BI97" i="6"/>
  <c r="BA97" i="6"/>
  <c r="AS97" i="6"/>
  <c r="AL97" i="6"/>
  <c r="BQ129" i="6"/>
  <c r="BI129" i="6"/>
  <c r="AS129" i="6"/>
  <c r="BA129" i="6"/>
  <c r="AL129" i="6"/>
  <c r="BQ150" i="6"/>
  <c r="BI150" i="6"/>
  <c r="BA150" i="6"/>
  <c r="AS150" i="6"/>
  <c r="AL150" i="6"/>
  <c r="BQ84" i="6"/>
  <c r="BI84" i="6"/>
  <c r="BA84" i="6"/>
  <c r="AS84" i="6"/>
  <c r="AL84" i="6"/>
  <c r="BQ116" i="6"/>
  <c r="BI116" i="6"/>
  <c r="BA116" i="6"/>
  <c r="AS116" i="6"/>
  <c r="AL116" i="6"/>
  <c r="BQ167" i="6"/>
  <c r="BI167" i="6"/>
  <c r="BA167" i="6"/>
  <c r="AS167" i="6"/>
  <c r="AL167" i="6"/>
  <c r="AE164" i="6"/>
  <c r="AD164" i="6" s="1"/>
  <c r="BQ164" i="6"/>
  <c r="BI164" i="6"/>
  <c r="BA164" i="6"/>
  <c r="AS164" i="6"/>
  <c r="AL164" i="6"/>
  <c r="BQ184" i="6"/>
  <c r="BI184" i="6"/>
  <c r="BA184" i="6"/>
  <c r="AS184" i="6"/>
  <c r="AL184" i="6"/>
  <c r="BQ254" i="6"/>
  <c r="BI254" i="6"/>
  <c r="BA254" i="6"/>
  <c r="AS254" i="6"/>
  <c r="AL254" i="6"/>
  <c r="BQ188" i="6"/>
  <c r="BI188" i="6"/>
  <c r="BA188" i="6"/>
  <c r="AS188" i="6"/>
  <c r="AL188" i="6"/>
  <c r="BQ170" i="6"/>
  <c r="BI170" i="6"/>
  <c r="BA170" i="6"/>
  <c r="AS170" i="6"/>
  <c r="AL170" i="6"/>
  <c r="BQ173" i="6"/>
  <c r="BI173" i="6"/>
  <c r="BA173" i="6"/>
  <c r="AS173" i="6"/>
  <c r="AL173" i="6"/>
  <c r="BQ239" i="6"/>
  <c r="BI239" i="6"/>
  <c r="BA239" i="6"/>
  <c r="AS239" i="6"/>
  <c r="AL239" i="6"/>
  <c r="BQ219" i="6"/>
  <c r="BI219" i="6"/>
  <c r="BA219" i="6"/>
  <c r="AS219" i="6"/>
  <c r="AL219" i="6"/>
  <c r="AE263" i="6"/>
  <c r="AD263" i="6" s="1"/>
  <c r="BQ263" i="6"/>
  <c r="BI263" i="6"/>
  <c r="BA263" i="6"/>
  <c r="AS263" i="6"/>
  <c r="AL263" i="6"/>
  <c r="BQ198" i="6"/>
  <c r="BI198" i="6"/>
  <c r="BA198" i="6"/>
  <c r="AS198" i="6"/>
  <c r="AL198" i="6"/>
  <c r="AE234" i="6"/>
  <c r="AD234" i="6" s="1"/>
  <c r="BQ234" i="6"/>
  <c r="BI234" i="6"/>
  <c r="BA234" i="6"/>
  <c r="AS234" i="6"/>
  <c r="AL234" i="6"/>
  <c r="BQ282" i="6"/>
  <c r="BI282" i="6"/>
  <c r="BA282" i="6"/>
  <c r="AS282" i="6"/>
  <c r="AL282" i="6"/>
  <c r="AE279" i="6"/>
  <c r="AD279" i="6" s="1"/>
  <c r="BQ279" i="6"/>
  <c r="BI279" i="6"/>
  <c r="BA279" i="6"/>
  <c r="AS279" i="6"/>
  <c r="AL279" i="6"/>
  <c r="BQ229" i="6"/>
  <c r="BI229" i="6"/>
  <c r="BA229" i="6"/>
  <c r="AS229" i="6"/>
  <c r="AL229" i="6"/>
  <c r="BQ261" i="6"/>
  <c r="BI261" i="6"/>
  <c r="BA261" i="6"/>
  <c r="AS261" i="6"/>
  <c r="AL261" i="6"/>
  <c r="BQ297" i="6"/>
  <c r="BI297" i="6"/>
  <c r="BA297" i="6"/>
  <c r="AS297" i="6"/>
  <c r="AL297" i="6"/>
  <c r="AE344" i="6"/>
  <c r="AD344" i="6" s="1"/>
  <c r="BQ344" i="6"/>
  <c r="BI344" i="6"/>
  <c r="BA344" i="6"/>
  <c r="AL344" i="6"/>
  <c r="AS344" i="6"/>
  <c r="BQ300" i="6"/>
  <c r="BI300" i="6"/>
  <c r="BA300" i="6"/>
  <c r="AS300" i="6"/>
  <c r="AL300" i="6"/>
  <c r="BQ335" i="6"/>
  <c r="BI335" i="6"/>
  <c r="BA335" i="6"/>
  <c r="AL335" i="6"/>
  <c r="AS335" i="6"/>
  <c r="BQ366" i="6"/>
  <c r="BI366" i="6"/>
  <c r="BA366" i="6"/>
  <c r="AL366" i="6"/>
  <c r="AS366" i="6"/>
  <c r="AE311" i="6"/>
  <c r="AD311" i="6" s="1"/>
  <c r="BQ311" i="6"/>
  <c r="BI311" i="6"/>
  <c r="BA311" i="6"/>
  <c r="AS311" i="6"/>
  <c r="AL311" i="6"/>
  <c r="AE394" i="6"/>
  <c r="AD394" i="6" s="1"/>
  <c r="BQ394" i="6"/>
  <c r="BI394" i="6"/>
  <c r="BA394" i="6"/>
  <c r="AS394" i="6"/>
  <c r="AL394" i="6"/>
  <c r="AE383" i="6"/>
  <c r="AD383" i="6" s="1"/>
  <c r="BQ383" i="6"/>
  <c r="BI383" i="6"/>
  <c r="BA383" i="6"/>
  <c r="AL383" i="6"/>
  <c r="AS383" i="6"/>
  <c r="BQ334" i="6"/>
  <c r="BI334" i="6"/>
  <c r="BA334" i="6"/>
  <c r="AL334" i="6"/>
  <c r="AS334" i="6"/>
  <c r="BQ388" i="6"/>
  <c r="BI388" i="6"/>
  <c r="BA388" i="6"/>
  <c r="AS388" i="6"/>
  <c r="AL388" i="6"/>
  <c r="BQ380" i="6"/>
  <c r="BI380" i="6"/>
  <c r="BA380" i="6"/>
  <c r="AL380" i="6"/>
  <c r="AS380" i="6"/>
  <c r="BQ407" i="6"/>
  <c r="BI407" i="6"/>
  <c r="BA407" i="6"/>
  <c r="AL407" i="6"/>
  <c r="AS407" i="6"/>
  <c r="BQ353" i="6"/>
  <c r="BI353" i="6"/>
  <c r="BA353" i="6"/>
  <c r="AS353" i="6"/>
  <c r="AL353" i="6"/>
  <c r="BQ385" i="6"/>
  <c r="BI385" i="6"/>
  <c r="BA385" i="6"/>
  <c r="AS385" i="6"/>
  <c r="AL385" i="6"/>
  <c r="BQ442" i="6"/>
  <c r="BI442" i="6"/>
  <c r="BA442" i="6"/>
  <c r="AS442" i="6"/>
  <c r="AL442" i="6"/>
  <c r="BQ422" i="6"/>
  <c r="BI422" i="6"/>
  <c r="BA422" i="6"/>
  <c r="AL422" i="6"/>
  <c r="AS422" i="6"/>
  <c r="BQ426" i="6"/>
  <c r="BI426" i="6"/>
  <c r="BA426" i="6"/>
  <c r="AS426" i="6"/>
  <c r="AL426" i="6"/>
  <c r="AE410" i="6"/>
  <c r="AD410" i="6" s="1"/>
  <c r="BQ410" i="6"/>
  <c r="BI410" i="6"/>
  <c r="BA410" i="6"/>
  <c r="AS410" i="6"/>
  <c r="AL410" i="6"/>
  <c r="BQ464" i="6"/>
  <c r="BI464" i="6"/>
  <c r="BA464" i="6"/>
  <c r="AL464" i="6"/>
  <c r="AS464" i="6"/>
  <c r="AE413" i="6"/>
  <c r="AD413" i="6" s="1"/>
  <c r="BQ413" i="6"/>
  <c r="BI413" i="6"/>
  <c r="BA413" i="6"/>
  <c r="AL413" i="6"/>
  <c r="AS413" i="6"/>
  <c r="AE447" i="6"/>
  <c r="AD447" i="6" s="1"/>
  <c r="BQ447" i="6"/>
  <c r="BI447" i="6"/>
  <c r="BA447" i="6"/>
  <c r="AL447" i="6"/>
  <c r="AS447" i="6"/>
  <c r="BQ47" i="6"/>
  <c r="BI47" i="6"/>
  <c r="BA47" i="6"/>
  <c r="AS47" i="6"/>
  <c r="AL47" i="6"/>
  <c r="G44" i="1"/>
  <c r="AE366" i="6"/>
  <c r="AD366" i="6" s="1"/>
  <c r="AE334" i="6"/>
  <c r="AD334" i="6" s="1"/>
  <c r="C40" i="6"/>
  <c r="AE40" i="6"/>
  <c r="AD40" i="6" s="1"/>
  <c r="D40" i="6" s="1"/>
  <c r="AE187" i="6"/>
  <c r="AD187" i="6" s="1"/>
  <c r="AE247" i="6"/>
  <c r="AD247" i="6" s="1"/>
  <c r="AE326" i="6"/>
  <c r="AD326" i="6" s="1"/>
  <c r="AE370" i="6"/>
  <c r="AD370" i="6" s="1"/>
  <c r="AE450" i="6"/>
  <c r="AD450" i="6" s="1"/>
  <c r="AE24" i="6"/>
  <c r="AD24" i="6" s="1"/>
  <c r="D24" i="6" s="1"/>
  <c r="AE70" i="6"/>
  <c r="AD70" i="6" s="1"/>
  <c r="D70" i="6" s="1"/>
  <c r="AE21" i="6"/>
  <c r="AD21" i="6" s="1"/>
  <c r="D21" i="6" s="1"/>
  <c r="AE53" i="6"/>
  <c r="AD53" i="6" s="1"/>
  <c r="D53" i="6" s="1"/>
  <c r="AE139" i="6"/>
  <c r="AD139" i="6" s="1"/>
  <c r="AE118" i="6"/>
  <c r="AD118" i="6" s="1"/>
  <c r="AE155" i="6"/>
  <c r="AD155" i="6" s="1"/>
  <c r="AE105" i="6"/>
  <c r="AD105" i="6" s="1"/>
  <c r="AE137" i="6"/>
  <c r="AD137" i="6" s="1"/>
  <c r="AE181" i="6"/>
  <c r="AD181" i="6" s="1"/>
  <c r="AE92" i="6"/>
  <c r="AD92" i="6" s="1"/>
  <c r="D92" i="6" s="1"/>
  <c r="AE157" i="6"/>
  <c r="AD157" i="6" s="1"/>
  <c r="AE185" i="6"/>
  <c r="AD185" i="6" s="1"/>
  <c r="AE223" i="6"/>
  <c r="AD223" i="6" s="1"/>
  <c r="AE201" i="6"/>
  <c r="AD201" i="6" s="1"/>
  <c r="C270" i="6"/>
  <c r="AE270" i="6"/>
  <c r="AD270" i="6" s="1"/>
  <c r="AE294" i="6"/>
  <c r="AD294" i="6" s="1"/>
  <c r="AE206" i="6"/>
  <c r="AD206" i="6" s="1"/>
  <c r="AE302" i="6"/>
  <c r="AD302" i="6" s="1"/>
  <c r="AE237" i="6"/>
  <c r="AD237" i="6" s="1"/>
  <c r="AE330" i="6"/>
  <c r="AD330" i="6" s="1"/>
  <c r="AE287" i="6"/>
  <c r="AD287" i="6" s="1"/>
  <c r="AE358" i="6"/>
  <c r="AD358" i="6" s="1"/>
  <c r="AE421" i="6"/>
  <c r="AD421" i="6" s="1"/>
  <c r="AE20" i="6"/>
  <c r="AD20" i="6" s="1"/>
  <c r="D20" i="6" s="1"/>
  <c r="AE58" i="6"/>
  <c r="AD58" i="6" s="1"/>
  <c r="D58" i="6" s="1"/>
  <c r="AE240" i="6"/>
  <c r="AD240" i="6" s="1"/>
  <c r="C283" i="6"/>
  <c r="AE283" i="6"/>
  <c r="AD283" i="6" s="1"/>
  <c r="AE315" i="6"/>
  <c r="AD315" i="6" s="1"/>
  <c r="AE351" i="6"/>
  <c r="AD351" i="6" s="1"/>
  <c r="AE104" i="6"/>
  <c r="AD104" i="6" s="1"/>
  <c r="C159" i="6"/>
  <c r="AE159" i="6"/>
  <c r="AD159" i="6" s="1"/>
  <c r="AE109" i="6"/>
  <c r="AD109" i="6" s="1"/>
  <c r="AE209" i="6"/>
  <c r="AD209" i="6" s="1"/>
  <c r="AE96" i="6"/>
  <c r="AD96" i="6" s="1"/>
  <c r="AE191" i="6"/>
  <c r="AD191" i="6" s="1"/>
  <c r="AE199" i="6"/>
  <c r="AD199" i="6" s="1"/>
  <c r="AE226" i="6"/>
  <c r="AD226" i="6" s="1"/>
  <c r="AE192" i="6"/>
  <c r="AD192" i="6" s="1"/>
  <c r="C193" i="6"/>
  <c r="AE193" i="6"/>
  <c r="AD193" i="6" s="1"/>
  <c r="AE271" i="6"/>
  <c r="AD271" i="6" s="1"/>
  <c r="AE230" i="6"/>
  <c r="AD230" i="6" s="1"/>
  <c r="AE178" i="6"/>
  <c r="AD178" i="6" s="1"/>
  <c r="C210" i="6"/>
  <c r="AE210" i="6"/>
  <c r="AD210" i="6" s="1"/>
  <c r="AE244" i="6"/>
  <c r="AD244" i="6" s="1"/>
  <c r="AE220" i="6"/>
  <c r="AD220" i="6" s="1"/>
  <c r="AE281" i="6"/>
  <c r="AD281" i="6" s="1"/>
  <c r="C273" i="6"/>
  <c r="AE273" i="6"/>
  <c r="AD273" i="6" s="1"/>
  <c r="C310" i="6"/>
  <c r="AE310" i="6"/>
  <c r="AD310" i="6" s="1"/>
  <c r="C312" i="6"/>
  <c r="AE312" i="6"/>
  <c r="AD312" i="6" s="1"/>
  <c r="AE372" i="6"/>
  <c r="AD372" i="6" s="1"/>
  <c r="C291" i="6"/>
  <c r="AE291" i="6"/>
  <c r="AD291" i="6" s="1"/>
  <c r="C323" i="6"/>
  <c r="AE323" i="6"/>
  <c r="AD323" i="6" s="1"/>
  <c r="C352" i="6"/>
  <c r="AE352" i="6"/>
  <c r="AD352" i="6" s="1"/>
  <c r="C325" i="6"/>
  <c r="AE325" i="6"/>
  <c r="AD325" i="6" s="1"/>
  <c r="C354" i="6"/>
  <c r="AE354" i="6"/>
  <c r="AD354" i="6" s="1"/>
  <c r="C346" i="6"/>
  <c r="AE346" i="6"/>
  <c r="AD346" i="6" s="1"/>
  <c r="C430" i="6"/>
  <c r="AE430" i="6"/>
  <c r="AD430" i="6" s="1"/>
  <c r="C365" i="6"/>
  <c r="AE365" i="6"/>
  <c r="AD365" i="6" s="1"/>
  <c r="C397" i="6"/>
  <c r="AE397" i="6"/>
  <c r="AD397" i="6" s="1"/>
  <c r="C402" i="6"/>
  <c r="AE402" i="6"/>
  <c r="AD402" i="6" s="1"/>
  <c r="C399" i="6"/>
  <c r="AE399" i="6"/>
  <c r="AD399" i="6" s="1"/>
  <c r="C428" i="6"/>
  <c r="AE428" i="6"/>
  <c r="AD428" i="6" s="1"/>
  <c r="C445" i="6"/>
  <c r="AE445" i="6"/>
  <c r="AD445" i="6" s="1"/>
  <c r="C427" i="6"/>
  <c r="AE427" i="6"/>
  <c r="AD427" i="6" s="1"/>
  <c r="C459" i="6"/>
  <c r="AE459" i="6"/>
  <c r="AD459" i="6" s="1"/>
  <c r="C43" i="6"/>
  <c r="AE43" i="6"/>
  <c r="AD43" i="6" s="1"/>
  <c r="D43" i="6" s="1"/>
  <c r="C31" i="6"/>
  <c r="AE31" i="6"/>
  <c r="AD31" i="6" s="1"/>
  <c r="D31" i="6" s="1"/>
  <c r="C10" i="6"/>
  <c r="AE10" i="6"/>
  <c r="AD10" i="6" s="1"/>
  <c r="D10" i="6" s="1"/>
  <c r="C77" i="6"/>
  <c r="AE77" i="6"/>
  <c r="AD77" i="6" s="1"/>
  <c r="D77" i="6" s="1"/>
  <c r="C169" i="6"/>
  <c r="AE169" i="6"/>
  <c r="AD169" i="6" s="1"/>
  <c r="C90" i="6"/>
  <c r="AE90" i="6"/>
  <c r="AD90" i="6" s="1"/>
  <c r="D90" i="6" s="1"/>
  <c r="C63" i="6"/>
  <c r="AE63" i="6"/>
  <c r="AD63" i="6" s="1"/>
  <c r="D63" i="6" s="1"/>
  <c r="C52" i="6"/>
  <c r="AE52" i="6"/>
  <c r="AD52" i="6" s="1"/>
  <c r="D52" i="6" s="1"/>
  <c r="C151" i="6"/>
  <c r="AE151" i="6"/>
  <c r="AD151" i="6" s="1"/>
  <c r="C194" i="6"/>
  <c r="AE194" i="6"/>
  <c r="AD194" i="6" s="1"/>
  <c r="C208" i="6"/>
  <c r="AE208" i="6"/>
  <c r="AD208" i="6" s="1"/>
  <c r="C251" i="6"/>
  <c r="AE251" i="6"/>
  <c r="AD251" i="6" s="1"/>
  <c r="C249" i="6"/>
  <c r="AE249" i="6"/>
  <c r="AD249" i="6" s="1"/>
  <c r="C309" i="6"/>
  <c r="AE309" i="6"/>
  <c r="AD309" i="6" s="1"/>
  <c r="C288" i="6"/>
  <c r="AE288" i="6"/>
  <c r="AD288" i="6" s="1"/>
  <c r="C320" i="6"/>
  <c r="AE320" i="6"/>
  <c r="AD320" i="6" s="1"/>
  <c r="C61" i="6"/>
  <c r="AE61" i="6"/>
  <c r="AD61" i="6" s="1"/>
  <c r="D61" i="6" s="1"/>
  <c r="C93" i="6"/>
  <c r="AE93" i="6"/>
  <c r="AD93" i="6" s="1"/>
  <c r="D93" i="6" s="1"/>
  <c r="C111" i="6"/>
  <c r="AE111" i="6"/>
  <c r="AD111" i="6" s="1"/>
  <c r="C94" i="6"/>
  <c r="AE94" i="6"/>
  <c r="AD94" i="6" s="1"/>
  <c r="C126" i="6"/>
  <c r="AE126" i="6"/>
  <c r="AD126" i="6" s="1"/>
  <c r="C145" i="6"/>
  <c r="AE145" i="6"/>
  <c r="AD145" i="6" s="1"/>
  <c r="C395" i="6"/>
  <c r="AE395" i="6"/>
  <c r="AD395" i="6" s="1"/>
  <c r="C284" i="6"/>
  <c r="AE284" i="6"/>
  <c r="AD284" i="6" s="1"/>
  <c r="C382" i="6"/>
  <c r="AE382" i="6"/>
  <c r="AD382" i="6" s="1"/>
  <c r="C327" i="6"/>
  <c r="AE327" i="6"/>
  <c r="AD327" i="6" s="1"/>
  <c r="C329" i="6"/>
  <c r="AE329" i="6"/>
  <c r="AD329" i="6" s="1"/>
  <c r="C355" i="6"/>
  <c r="AE355" i="6"/>
  <c r="AD355" i="6" s="1"/>
  <c r="C347" i="6"/>
  <c r="AE347" i="6"/>
  <c r="AD347" i="6" s="1"/>
  <c r="C360" i="6"/>
  <c r="AE360" i="6"/>
  <c r="AD360" i="6" s="1"/>
  <c r="C337" i="6"/>
  <c r="AE337" i="6"/>
  <c r="AD337" i="6" s="1"/>
  <c r="C369" i="6"/>
  <c r="AE369" i="6"/>
  <c r="AD369" i="6" s="1"/>
  <c r="C419" i="6"/>
  <c r="AE419" i="6"/>
  <c r="AD419" i="6" s="1"/>
  <c r="C448" i="6"/>
  <c r="AE448" i="6"/>
  <c r="AD448" i="6" s="1"/>
  <c r="C453" i="6"/>
  <c r="AE453" i="6"/>
  <c r="AD453" i="6" s="1"/>
  <c r="C436" i="6"/>
  <c r="AE436" i="6"/>
  <c r="AD436" i="6" s="1"/>
  <c r="C463" i="6"/>
  <c r="AE463" i="6"/>
  <c r="AD463" i="6" s="1"/>
  <c r="C22" i="6"/>
  <c r="AE22" i="6"/>
  <c r="AD22" i="6" s="1"/>
  <c r="D22" i="6" s="1"/>
  <c r="C50" i="6"/>
  <c r="AE50" i="6"/>
  <c r="AD50" i="6" s="1"/>
  <c r="D50" i="6" s="1"/>
  <c r="C44" i="6"/>
  <c r="AE44" i="6"/>
  <c r="AD44" i="6" s="1"/>
  <c r="D44" i="6" s="1"/>
  <c r="C231" i="6"/>
  <c r="AE231" i="6"/>
  <c r="AD231" i="6" s="1"/>
  <c r="C264" i="6"/>
  <c r="AE264" i="6"/>
  <c r="AD264" i="6" s="1"/>
  <c r="C280" i="6"/>
  <c r="AE280" i="6"/>
  <c r="AD280" i="6" s="1"/>
  <c r="C332" i="6"/>
  <c r="AE332" i="6"/>
  <c r="AD332" i="6" s="1"/>
  <c r="C392" i="6"/>
  <c r="AE392" i="6"/>
  <c r="AD392" i="6" s="1"/>
  <c r="C412" i="6"/>
  <c r="AE412" i="6"/>
  <c r="AD412" i="6" s="1"/>
  <c r="C434" i="6"/>
  <c r="AE434" i="6"/>
  <c r="AD434" i="6" s="1"/>
  <c r="C468" i="6"/>
  <c r="AE468" i="6"/>
  <c r="AD468" i="6" s="1"/>
  <c r="C23" i="6"/>
  <c r="AE23" i="6"/>
  <c r="AD23" i="6" s="1"/>
  <c r="D23" i="6" s="1"/>
  <c r="C74" i="6"/>
  <c r="AE74" i="6"/>
  <c r="AD74" i="6" s="1"/>
  <c r="D74" i="6" s="1"/>
  <c r="C25" i="6"/>
  <c r="AE25" i="6"/>
  <c r="AD25" i="6" s="1"/>
  <c r="D25" i="6" s="1"/>
  <c r="C467" i="6"/>
  <c r="AE467" i="6"/>
  <c r="AD467" i="6" s="1"/>
  <c r="C18" i="6"/>
  <c r="AE18" i="6"/>
  <c r="AD18" i="6" s="1"/>
  <c r="D18" i="6" s="1"/>
  <c r="C11" i="6"/>
  <c r="AE11" i="6"/>
  <c r="AD11" i="6" s="1"/>
  <c r="D11" i="6" s="1"/>
  <c r="C113" i="6"/>
  <c r="AE113" i="6"/>
  <c r="AD113" i="6" s="1"/>
  <c r="C213" i="6"/>
  <c r="AE213" i="6"/>
  <c r="AD213" i="6" s="1"/>
  <c r="C100" i="6"/>
  <c r="AE100" i="6"/>
  <c r="AD100" i="6" s="1"/>
  <c r="C132" i="6"/>
  <c r="AE132" i="6"/>
  <c r="AD132" i="6" s="1"/>
  <c r="C148" i="6"/>
  <c r="AE148" i="6"/>
  <c r="AD148" i="6" s="1"/>
  <c r="C212" i="6"/>
  <c r="AE212" i="6"/>
  <c r="AD212" i="6" s="1"/>
  <c r="C266" i="6"/>
  <c r="AE266" i="6"/>
  <c r="AD266" i="6" s="1"/>
  <c r="C268" i="6"/>
  <c r="AE268" i="6"/>
  <c r="AD268" i="6" s="1"/>
  <c r="C195" i="6"/>
  <c r="AE195" i="6"/>
  <c r="AD195" i="6" s="1"/>
  <c r="C204" i="6"/>
  <c r="AE204" i="6"/>
  <c r="AD204" i="6" s="1"/>
  <c r="C196" i="6"/>
  <c r="AE196" i="6"/>
  <c r="AD196" i="6" s="1"/>
  <c r="C272" i="6"/>
  <c r="AE272" i="6"/>
  <c r="AD272" i="6" s="1"/>
  <c r="C250" i="6"/>
  <c r="AE250" i="6"/>
  <c r="AD250" i="6" s="1"/>
  <c r="C182" i="6"/>
  <c r="AE182" i="6"/>
  <c r="AD182" i="6" s="1"/>
  <c r="C214" i="6"/>
  <c r="AE214" i="6"/>
  <c r="AD214" i="6" s="1"/>
  <c r="C274" i="6"/>
  <c r="AE274" i="6"/>
  <c r="AD274" i="6" s="1"/>
  <c r="C246" i="6"/>
  <c r="AE246" i="6"/>
  <c r="AD246" i="6" s="1"/>
  <c r="C245" i="6"/>
  <c r="AE245" i="6"/>
  <c r="AD245" i="6" s="1"/>
  <c r="C42" i="6"/>
  <c r="AE42" i="6"/>
  <c r="AD42" i="6" s="1"/>
  <c r="D42" i="6" s="1"/>
  <c r="C30" i="6"/>
  <c r="AE30" i="6"/>
  <c r="AD30" i="6" s="1"/>
  <c r="D30" i="6" s="1"/>
  <c r="C189" i="6"/>
  <c r="AE189" i="6"/>
  <c r="AD189" i="6" s="1"/>
  <c r="C216" i="6"/>
  <c r="AE216" i="6"/>
  <c r="AD216" i="6" s="1"/>
  <c r="C259" i="6"/>
  <c r="AE259" i="6"/>
  <c r="AD259" i="6" s="1"/>
  <c r="C265" i="6"/>
  <c r="AE265" i="6"/>
  <c r="AD265" i="6" s="1"/>
  <c r="C317" i="6"/>
  <c r="AE317" i="6"/>
  <c r="AD317" i="6" s="1"/>
  <c r="C328" i="6"/>
  <c r="AE328" i="6"/>
  <c r="AD328" i="6" s="1"/>
  <c r="C339" i="6"/>
  <c r="AE339" i="6"/>
  <c r="AD339" i="6" s="1"/>
  <c r="C348" i="6"/>
  <c r="AE348" i="6"/>
  <c r="AD348" i="6" s="1"/>
  <c r="C409" i="6"/>
  <c r="AE409" i="6"/>
  <c r="AD409" i="6" s="1"/>
  <c r="C390" i="6"/>
  <c r="AE390" i="6"/>
  <c r="AD390" i="6" s="1"/>
  <c r="C439" i="6"/>
  <c r="AE439" i="6"/>
  <c r="AD439" i="6" s="1"/>
  <c r="C438" i="6"/>
  <c r="AE438" i="6"/>
  <c r="AD438" i="6" s="1"/>
  <c r="C454" i="6"/>
  <c r="AE454" i="6"/>
  <c r="AD454" i="6" s="1"/>
  <c r="C95" i="6"/>
  <c r="AE95" i="6"/>
  <c r="AD95" i="6" s="1"/>
  <c r="C127" i="6"/>
  <c r="AE127" i="6"/>
  <c r="AD127" i="6" s="1"/>
  <c r="C98" i="6"/>
  <c r="AE98" i="6"/>
  <c r="AD98" i="6" s="1"/>
  <c r="C130" i="6"/>
  <c r="AE130" i="6"/>
  <c r="AD130" i="6" s="1"/>
  <c r="C161" i="6"/>
  <c r="AE161" i="6"/>
  <c r="AD161" i="6" s="1"/>
  <c r="C117" i="6"/>
  <c r="AE117" i="6"/>
  <c r="AD117" i="6" s="1"/>
  <c r="C163" i="6"/>
  <c r="AE163" i="6"/>
  <c r="AD163" i="6" s="1"/>
  <c r="C217" i="6"/>
  <c r="AE217" i="6"/>
  <c r="AD217" i="6" s="1"/>
  <c r="C152" i="6"/>
  <c r="AE152" i="6"/>
  <c r="AD152" i="6" s="1"/>
  <c r="C175" i="6"/>
  <c r="AE175" i="6"/>
  <c r="AD175" i="6" s="1"/>
  <c r="C158" i="6"/>
  <c r="AE158" i="6"/>
  <c r="AD158" i="6" s="1"/>
  <c r="C203" i="6"/>
  <c r="AE203" i="6"/>
  <c r="AD203" i="6" s="1"/>
  <c r="C15" i="6"/>
  <c r="AE15" i="6"/>
  <c r="AD15" i="6" s="1"/>
  <c r="D15" i="6" s="1"/>
  <c r="C28" i="6"/>
  <c r="AE28" i="6"/>
  <c r="AD28" i="6" s="1"/>
  <c r="D28" i="6" s="1"/>
  <c r="C176" i="6"/>
  <c r="AE176" i="6"/>
  <c r="AD176" i="6" s="1"/>
  <c r="C202" i="6"/>
  <c r="AE202" i="6"/>
  <c r="AD202" i="6" s="1"/>
  <c r="C298" i="6"/>
  <c r="AE298" i="6"/>
  <c r="AD298" i="6" s="1"/>
  <c r="C60" i="6"/>
  <c r="AE60" i="6"/>
  <c r="AD60" i="6" s="1"/>
  <c r="D60" i="6" s="1"/>
  <c r="C243" i="6"/>
  <c r="AE243" i="6"/>
  <c r="AD243" i="6" s="1"/>
  <c r="C293" i="6"/>
  <c r="AE293" i="6"/>
  <c r="AD293" i="6" s="1"/>
  <c r="C324" i="6"/>
  <c r="AE324" i="6"/>
  <c r="AD324" i="6" s="1"/>
  <c r="C373" i="6"/>
  <c r="AE373" i="6"/>
  <c r="AD373" i="6" s="1"/>
  <c r="C374" i="6"/>
  <c r="AE374" i="6"/>
  <c r="AD374" i="6" s="1"/>
  <c r="C400" i="6"/>
  <c r="AE400" i="6"/>
  <c r="AD400" i="6" s="1"/>
  <c r="C420" i="6"/>
  <c r="AE420" i="6"/>
  <c r="AD420" i="6" s="1"/>
  <c r="C440" i="6"/>
  <c r="AE440" i="6"/>
  <c r="AD440" i="6" s="1"/>
  <c r="C460" i="6"/>
  <c r="AE460" i="6"/>
  <c r="AD460" i="6" s="1"/>
  <c r="C81" i="6"/>
  <c r="AE81" i="6"/>
  <c r="AD81" i="6" s="1"/>
  <c r="D81" i="6" s="1"/>
  <c r="C35" i="6"/>
  <c r="AE35" i="6"/>
  <c r="AD35" i="6" s="1"/>
  <c r="D35" i="6" s="1"/>
  <c r="C338" i="6"/>
  <c r="AE338" i="6"/>
  <c r="AD338" i="6" s="1"/>
  <c r="C384" i="6"/>
  <c r="AE384" i="6"/>
  <c r="AD384" i="6" s="1"/>
  <c r="C411" i="6"/>
  <c r="AE411" i="6"/>
  <c r="AD411" i="6" s="1"/>
  <c r="C389" i="6"/>
  <c r="AE389" i="6"/>
  <c r="AD389" i="6" s="1"/>
  <c r="C415" i="6"/>
  <c r="AE415" i="6"/>
  <c r="AD415" i="6" s="1"/>
  <c r="C224" i="6"/>
  <c r="AE224" i="6"/>
  <c r="AD224" i="6" s="1"/>
  <c r="C289" i="6"/>
  <c r="AE289" i="6"/>
  <c r="AD289" i="6" s="1"/>
  <c r="C299" i="6"/>
  <c r="AE299" i="6"/>
  <c r="AD299" i="6" s="1"/>
  <c r="C308" i="6"/>
  <c r="AE308" i="6"/>
  <c r="AD308" i="6" s="1"/>
  <c r="C108" i="6"/>
  <c r="AE108" i="6"/>
  <c r="AD108" i="6" s="1"/>
  <c r="C140" i="6"/>
  <c r="AE140" i="6"/>
  <c r="AD140" i="6" s="1"/>
  <c r="C156" i="6"/>
  <c r="AE156" i="6"/>
  <c r="AD156" i="6" s="1"/>
  <c r="C258" i="6"/>
  <c r="AE258" i="6"/>
  <c r="AD258" i="6" s="1"/>
  <c r="C183" i="6"/>
  <c r="AE183" i="6"/>
  <c r="AD183" i="6" s="1"/>
  <c r="C162" i="6"/>
  <c r="AE162" i="6"/>
  <c r="AD162" i="6" s="1"/>
  <c r="C267" i="6"/>
  <c r="AE267" i="6"/>
  <c r="AD267" i="6" s="1"/>
  <c r="C235" i="6"/>
  <c r="AE235" i="6"/>
  <c r="AD235" i="6" s="1"/>
  <c r="C207" i="6"/>
  <c r="AE207" i="6"/>
  <c r="AD207" i="6" s="1"/>
  <c r="C318" i="6"/>
  <c r="AE318" i="6"/>
  <c r="AD318" i="6" s="1"/>
  <c r="C252" i="6"/>
  <c r="AE252" i="6"/>
  <c r="AD252" i="6" s="1"/>
  <c r="C228" i="6"/>
  <c r="AE228" i="6"/>
  <c r="AD228" i="6" s="1"/>
  <c r="C276" i="6"/>
  <c r="AE276" i="6"/>
  <c r="AD276" i="6" s="1"/>
  <c r="C248" i="6"/>
  <c r="AE248" i="6"/>
  <c r="AD248" i="6" s="1"/>
  <c r="C221" i="6"/>
  <c r="AE221" i="6"/>
  <c r="AD221" i="6" s="1"/>
  <c r="C253" i="6"/>
  <c r="AE253" i="6"/>
  <c r="AD253" i="6" s="1"/>
  <c r="C376" i="6"/>
  <c r="AE376" i="6"/>
  <c r="AD376" i="6" s="1"/>
  <c r="C331" i="6"/>
  <c r="AE331" i="6"/>
  <c r="AD331" i="6" s="1"/>
  <c r="C375" i="6"/>
  <c r="AE375" i="6"/>
  <c r="AD375" i="6" s="1"/>
  <c r="C371" i="6"/>
  <c r="AE371" i="6"/>
  <c r="AD371" i="6" s="1"/>
  <c r="C386" i="6"/>
  <c r="AE386" i="6"/>
  <c r="AD386" i="6" s="1"/>
  <c r="C378" i="6"/>
  <c r="AE378" i="6"/>
  <c r="AD378" i="6" s="1"/>
  <c r="C391" i="6"/>
  <c r="AE391" i="6"/>
  <c r="AD391" i="6" s="1"/>
  <c r="C377" i="6"/>
  <c r="AE377" i="6"/>
  <c r="AD377" i="6" s="1"/>
  <c r="C414" i="6"/>
  <c r="AE414" i="6"/>
  <c r="AD414" i="6" s="1"/>
  <c r="C461" i="6"/>
  <c r="AE461" i="6"/>
  <c r="AD461" i="6" s="1"/>
  <c r="C456" i="6"/>
  <c r="AE456" i="6"/>
  <c r="AD456" i="6" s="1"/>
  <c r="C452" i="6"/>
  <c r="AE452" i="6"/>
  <c r="AD452" i="6" s="1"/>
  <c r="C62" i="6"/>
  <c r="AE62" i="6"/>
  <c r="AD62" i="6" s="1"/>
  <c r="D62" i="6" s="1"/>
  <c r="C314" i="6"/>
  <c r="AE314" i="6"/>
  <c r="AD314" i="6" s="1"/>
  <c r="C36" i="6"/>
  <c r="AE36" i="6"/>
  <c r="AD36" i="6" s="1"/>
  <c r="D36" i="6" s="1"/>
  <c r="C48" i="6"/>
  <c r="AE48" i="6"/>
  <c r="AD48" i="6" s="1"/>
  <c r="D48" i="6" s="1"/>
  <c r="C174" i="6"/>
  <c r="AE174" i="6"/>
  <c r="AD174" i="6" s="1"/>
  <c r="C236" i="6"/>
  <c r="AE236" i="6"/>
  <c r="AD236" i="6" s="1"/>
  <c r="C301" i="6"/>
  <c r="AE301" i="6"/>
  <c r="AD301" i="6" s="1"/>
  <c r="C343" i="6"/>
  <c r="AE343" i="6"/>
  <c r="AD343" i="6" s="1"/>
  <c r="C361" i="6"/>
  <c r="AE361" i="6"/>
  <c r="AD361" i="6" s="1"/>
  <c r="C381" i="6"/>
  <c r="AE381" i="6"/>
  <c r="AD381" i="6" s="1"/>
  <c r="C443" i="6"/>
  <c r="AE443" i="6"/>
  <c r="AD443" i="6" s="1"/>
  <c r="C16" i="6"/>
  <c r="AE16" i="6"/>
  <c r="AD16" i="6" s="1"/>
  <c r="D16" i="6" s="1"/>
  <c r="C59" i="6"/>
  <c r="AE59" i="6"/>
  <c r="AD59" i="6" s="1"/>
  <c r="D59" i="6" s="1"/>
  <c r="C38" i="6"/>
  <c r="AE38" i="6"/>
  <c r="AD38" i="6" s="1"/>
  <c r="D38" i="6" s="1"/>
  <c r="C341" i="6"/>
  <c r="AE341" i="6"/>
  <c r="AD341" i="6" s="1"/>
  <c r="C340" i="6"/>
  <c r="AE340" i="6"/>
  <c r="AD340" i="6" s="1"/>
  <c r="C356" i="6"/>
  <c r="AE356" i="6"/>
  <c r="AD356" i="6" s="1"/>
  <c r="C387" i="6"/>
  <c r="AE387" i="6"/>
  <c r="AD387" i="6" s="1"/>
  <c r="C429" i="6"/>
  <c r="AE429" i="6"/>
  <c r="AD429" i="6" s="1"/>
  <c r="C441" i="6"/>
  <c r="AE441" i="6"/>
  <c r="AD441" i="6" s="1"/>
  <c r="C435" i="6"/>
  <c r="AE435" i="6"/>
  <c r="AD435" i="6" s="1"/>
  <c r="C455" i="6"/>
  <c r="AE455" i="6"/>
  <c r="AD455" i="6" s="1"/>
  <c r="C465" i="6"/>
  <c r="AE465" i="6"/>
  <c r="AD465" i="6" s="1"/>
  <c r="C131" i="6"/>
  <c r="AE131" i="6"/>
  <c r="AD131" i="6" s="1"/>
  <c r="C66" i="6"/>
  <c r="AE66" i="6"/>
  <c r="AD66" i="6" s="1"/>
  <c r="D66" i="6" s="1"/>
  <c r="C85" i="6"/>
  <c r="AE85" i="6"/>
  <c r="AD85" i="6" s="1"/>
  <c r="D85" i="6" s="1"/>
  <c r="C143" i="6"/>
  <c r="AE143" i="6"/>
  <c r="AD143" i="6" s="1"/>
  <c r="C69" i="6"/>
  <c r="AE69" i="6"/>
  <c r="AD69" i="6" s="1"/>
  <c r="D69" i="6" s="1"/>
  <c r="C68" i="6"/>
  <c r="AE68" i="6"/>
  <c r="AD68" i="6" s="1"/>
  <c r="D68" i="6" s="1"/>
  <c r="C149" i="6"/>
  <c r="AE149" i="6"/>
  <c r="AD149" i="6" s="1"/>
  <c r="C102" i="6"/>
  <c r="AE102" i="6"/>
  <c r="AD102" i="6" s="1"/>
  <c r="C134" i="6"/>
  <c r="AE134" i="6"/>
  <c r="AD134" i="6" s="1"/>
  <c r="C200" i="6"/>
  <c r="AE200" i="6"/>
  <c r="AD200" i="6" s="1"/>
  <c r="C121" i="6"/>
  <c r="AE121" i="6"/>
  <c r="AD121" i="6" s="1"/>
  <c r="C14" i="6"/>
  <c r="AE14" i="6"/>
  <c r="AD14" i="6" s="1"/>
  <c r="D14" i="6" s="1"/>
  <c r="C64" i="6"/>
  <c r="AE64" i="6"/>
  <c r="AD64" i="6" s="1"/>
  <c r="D64" i="6" s="1"/>
  <c r="C54" i="6"/>
  <c r="AE54" i="6"/>
  <c r="AD54" i="6" s="1"/>
  <c r="D54" i="6" s="1"/>
  <c r="C168" i="6"/>
  <c r="AE168" i="6"/>
  <c r="AD168" i="6" s="1"/>
  <c r="C205" i="6"/>
  <c r="AE205" i="6"/>
  <c r="AD205" i="6" s="1"/>
  <c r="C275" i="6"/>
  <c r="AE275" i="6"/>
  <c r="AD275" i="6" s="1"/>
  <c r="C292" i="6"/>
  <c r="AE292" i="6"/>
  <c r="AD292" i="6" s="1"/>
  <c r="C286" i="6"/>
  <c r="AE286" i="6"/>
  <c r="AD286" i="6" s="1"/>
  <c r="C290" i="6"/>
  <c r="AE290" i="6"/>
  <c r="AD290" i="6" s="1"/>
  <c r="C321" i="6"/>
  <c r="AE321" i="6"/>
  <c r="AD321" i="6" s="1"/>
  <c r="C349" i="6"/>
  <c r="AE349" i="6"/>
  <c r="AD349" i="6" s="1"/>
  <c r="C350" i="6"/>
  <c r="AE350" i="6"/>
  <c r="AD350" i="6" s="1"/>
  <c r="C368" i="6"/>
  <c r="AE368" i="6"/>
  <c r="AD368" i="6" s="1"/>
  <c r="C398" i="6"/>
  <c r="AE398" i="6"/>
  <c r="AD398" i="6" s="1"/>
  <c r="C396" i="6"/>
  <c r="AE396" i="6"/>
  <c r="AD396" i="6" s="1"/>
  <c r="C423" i="6"/>
  <c r="AE423" i="6"/>
  <c r="AD423" i="6" s="1"/>
  <c r="C444" i="6"/>
  <c r="AE444" i="6"/>
  <c r="AD444" i="6" s="1"/>
  <c r="C462" i="6"/>
  <c r="AE462" i="6"/>
  <c r="AD462" i="6" s="1"/>
  <c r="C71" i="6"/>
  <c r="AE71" i="6"/>
  <c r="AD71" i="6" s="1"/>
  <c r="D71" i="6" s="1"/>
  <c r="C56" i="6"/>
  <c r="AE56" i="6"/>
  <c r="AD56" i="6" s="1"/>
  <c r="D56" i="6" s="1"/>
  <c r="C103" i="6"/>
  <c r="AE103" i="6"/>
  <c r="AD103" i="6" s="1"/>
  <c r="C9" i="6"/>
  <c r="AE9" i="6"/>
  <c r="AD9" i="6" s="1"/>
  <c r="D9" i="6" s="1"/>
  <c r="C41" i="6"/>
  <c r="AE41" i="6"/>
  <c r="AD41" i="6" s="1"/>
  <c r="D41" i="6" s="1"/>
  <c r="C73" i="6"/>
  <c r="AE73" i="6"/>
  <c r="AD73" i="6" s="1"/>
  <c r="D73" i="6" s="1"/>
  <c r="C72" i="6"/>
  <c r="AE72" i="6"/>
  <c r="AD72" i="6" s="1"/>
  <c r="D72" i="6" s="1"/>
  <c r="C171" i="6"/>
  <c r="AE171" i="6"/>
  <c r="AD171" i="6" s="1"/>
  <c r="C106" i="6"/>
  <c r="AE106" i="6"/>
  <c r="AD106" i="6" s="1"/>
  <c r="C138" i="6"/>
  <c r="AE138" i="6"/>
  <c r="AD138" i="6" s="1"/>
  <c r="C222" i="6"/>
  <c r="AE222" i="6"/>
  <c r="AD222" i="6" s="1"/>
  <c r="C232" i="6"/>
  <c r="AE232" i="6"/>
  <c r="AD232" i="6" s="1"/>
  <c r="C80" i="6"/>
  <c r="AE80" i="6"/>
  <c r="AD80" i="6" s="1"/>
  <c r="D80" i="6" s="1"/>
  <c r="C112" i="6"/>
  <c r="AE112" i="6"/>
  <c r="AD112" i="6" s="1"/>
  <c r="C160" i="6"/>
  <c r="AE160" i="6"/>
  <c r="AD160" i="6" s="1"/>
  <c r="C177" i="6"/>
  <c r="AE177" i="6"/>
  <c r="AD177" i="6" s="1"/>
  <c r="C211" i="6"/>
  <c r="AE211" i="6"/>
  <c r="AD211" i="6" s="1"/>
  <c r="C166" i="6"/>
  <c r="AE166" i="6"/>
  <c r="AD166" i="6" s="1"/>
  <c r="C238" i="6"/>
  <c r="AE238" i="6"/>
  <c r="AD238" i="6" s="1"/>
  <c r="C225" i="6"/>
  <c r="AE225" i="6"/>
  <c r="AD225" i="6" s="1"/>
  <c r="C257" i="6"/>
  <c r="AE257" i="6"/>
  <c r="AD257" i="6" s="1"/>
  <c r="C296" i="6"/>
  <c r="AE296" i="6"/>
  <c r="AD296" i="6" s="1"/>
  <c r="C359" i="6"/>
  <c r="AE359" i="6"/>
  <c r="AD359" i="6" s="1"/>
  <c r="C363" i="6"/>
  <c r="AE363" i="6"/>
  <c r="AD363" i="6" s="1"/>
  <c r="C408" i="6"/>
  <c r="AE408" i="6"/>
  <c r="AD408" i="6" s="1"/>
  <c r="C404" i="6"/>
  <c r="AE404" i="6"/>
  <c r="AD404" i="6" s="1"/>
  <c r="C416" i="6"/>
  <c r="AE416" i="6"/>
  <c r="AD416" i="6" s="1"/>
  <c r="C446" i="6"/>
  <c r="AE446" i="6"/>
  <c r="AD446" i="6" s="1"/>
  <c r="C457" i="6"/>
  <c r="AE457" i="6"/>
  <c r="AD457" i="6" s="1"/>
  <c r="C67" i="6"/>
  <c r="AE67" i="6"/>
  <c r="AD67" i="6" s="1"/>
  <c r="D67" i="6" s="1"/>
  <c r="C184" i="6"/>
  <c r="AE184" i="6"/>
  <c r="AD184" i="6" s="1"/>
  <c r="C254" i="6"/>
  <c r="AE254" i="6"/>
  <c r="AD254" i="6" s="1"/>
  <c r="C188" i="6"/>
  <c r="AE188" i="6"/>
  <c r="AD188" i="6" s="1"/>
  <c r="C170" i="6"/>
  <c r="AE170" i="6"/>
  <c r="AD170" i="6" s="1"/>
  <c r="C173" i="6"/>
  <c r="AE173" i="6"/>
  <c r="AD173" i="6" s="1"/>
  <c r="C239" i="6"/>
  <c r="AE239" i="6"/>
  <c r="AD239" i="6" s="1"/>
  <c r="C219" i="6"/>
  <c r="AE219" i="6"/>
  <c r="AD219" i="6" s="1"/>
  <c r="C282" i="6"/>
  <c r="AE282" i="6"/>
  <c r="AD282" i="6" s="1"/>
  <c r="C388" i="6"/>
  <c r="AE388" i="6"/>
  <c r="AD388" i="6" s="1"/>
  <c r="C380" i="6"/>
  <c r="AE380" i="6"/>
  <c r="AD380" i="6" s="1"/>
  <c r="C407" i="6"/>
  <c r="AE407" i="6"/>
  <c r="AD407" i="6" s="1"/>
  <c r="C353" i="6"/>
  <c r="AE353" i="6"/>
  <c r="AD353" i="6" s="1"/>
  <c r="C385" i="6"/>
  <c r="AE385" i="6"/>
  <c r="AD385" i="6" s="1"/>
  <c r="C442" i="6"/>
  <c r="AE442" i="6"/>
  <c r="AD442" i="6" s="1"/>
  <c r="C422" i="6"/>
  <c r="AE422" i="6"/>
  <c r="AD422" i="6" s="1"/>
  <c r="C426" i="6"/>
  <c r="AE426" i="6"/>
  <c r="AD426" i="6" s="1"/>
  <c r="C464" i="6"/>
  <c r="AE464" i="6"/>
  <c r="AD464" i="6" s="1"/>
  <c r="C55" i="6"/>
  <c r="AE55" i="6"/>
  <c r="AD55" i="6" s="1"/>
  <c r="D55" i="6" s="1"/>
  <c r="C115" i="6"/>
  <c r="AE115" i="6"/>
  <c r="AD115" i="6" s="1"/>
  <c r="C13" i="6"/>
  <c r="AE13" i="6"/>
  <c r="AD13" i="6" s="1"/>
  <c r="D13" i="6" s="1"/>
  <c r="C45" i="6"/>
  <c r="AE45" i="6"/>
  <c r="AD45" i="6" s="1"/>
  <c r="D45" i="6" s="1"/>
  <c r="C83" i="6"/>
  <c r="AE83" i="6"/>
  <c r="AD83" i="6" s="1"/>
  <c r="D83" i="6" s="1"/>
  <c r="C87" i="6"/>
  <c r="AE87" i="6"/>
  <c r="AD87" i="6" s="1"/>
  <c r="D87" i="6" s="1"/>
  <c r="C78" i="6"/>
  <c r="AE78" i="6"/>
  <c r="AD78" i="6" s="1"/>
  <c r="D78" i="6" s="1"/>
  <c r="C110" i="6"/>
  <c r="AE110" i="6"/>
  <c r="AD110" i="6" s="1"/>
  <c r="C142" i="6"/>
  <c r="AE142" i="6"/>
  <c r="AD142" i="6" s="1"/>
  <c r="C97" i="6"/>
  <c r="AE97" i="6"/>
  <c r="AD97" i="6" s="1"/>
  <c r="C129" i="6"/>
  <c r="AE129" i="6"/>
  <c r="AD129" i="6" s="1"/>
  <c r="C150" i="6"/>
  <c r="AE150" i="6"/>
  <c r="AD150" i="6" s="1"/>
  <c r="C84" i="6"/>
  <c r="AE84" i="6"/>
  <c r="AD84" i="6" s="1"/>
  <c r="D84" i="6" s="1"/>
  <c r="C116" i="6"/>
  <c r="AE116" i="6"/>
  <c r="AD116" i="6" s="1"/>
  <c r="C167" i="6"/>
  <c r="AE167" i="6"/>
  <c r="AD167" i="6" s="1"/>
  <c r="C198" i="6"/>
  <c r="AE198" i="6"/>
  <c r="AD198" i="6" s="1"/>
  <c r="C229" i="6"/>
  <c r="AE229" i="6"/>
  <c r="AD229" i="6" s="1"/>
  <c r="C261" i="6"/>
  <c r="AE261" i="6"/>
  <c r="AD261" i="6" s="1"/>
  <c r="C297" i="6"/>
  <c r="AE297" i="6"/>
  <c r="AD297" i="6" s="1"/>
  <c r="C300" i="6"/>
  <c r="AE300" i="6"/>
  <c r="AD300" i="6" s="1"/>
  <c r="C335" i="6"/>
  <c r="AE335" i="6"/>
  <c r="AD335" i="6" s="1"/>
  <c r="C12" i="6"/>
  <c r="AE12" i="6"/>
  <c r="AD12" i="6" s="1"/>
  <c r="D12" i="6" s="1"/>
  <c r="C51" i="6"/>
  <c r="AE51" i="6"/>
  <c r="AD51" i="6" s="1"/>
  <c r="D51" i="6" s="1"/>
  <c r="C91" i="6"/>
  <c r="AE91" i="6"/>
  <c r="AD91" i="6" s="1"/>
  <c r="D91" i="6" s="1"/>
  <c r="C186" i="6"/>
  <c r="AE186" i="6"/>
  <c r="AD186" i="6" s="1"/>
  <c r="C242" i="6"/>
  <c r="AE242" i="6"/>
  <c r="AD242" i="6" s="1"/>
  <c r="C218" i="6"/>
  <c r="AE218" i="6"/>
  <c r="AD218" i="6" s="1"/>
  <c r="C269" i="6"/>
  <c r="AE269" i="6"/>
  <c r="AD269" i="6" s="1"/>
  <c r="C285" i="6"/>
  <c r="AE285" i="6"/>
  <c r="AD285" i="6" s="1"/>
  <c r="C306" i="6"/>
  <c r="AE306" i="6"/>
  <c r="AD306" i="6" s="1"/>
  <c r="C357" i="6"/>
  <c r="AE357" i="6"/>
  <c r="AD357" i="6" s="1"/>
  <c r="C342" i="6"/>
  <c r="AE342" i="6"/>
  <c r="AD342" i="6" s="1"/>
  <c r="C379" i="6"/>
  <c r="AE379" i="6"/>
  <c r="AD379" i="6" s="1"/>
  <c r="C393" i="6"/>
  <c r="AE393" i="6"/>
  <c r="AD393" i="6" s="1"/>
  <c r="C425" i="6"/>
  <c r="AE425" i="6"/>
  <c r="AD425" i="6" s="1"/>
  <c r="C424" i="6"/>
  <c r="AE424" i="6"/>
  <c r="AD424" i="6" s="1"/>
  <c r="C449" i="6"/>
  <c r="AE449" i="6"/>
  <c r="AD449" i="6" s="1"/>
  <c r="C46" i="6"/>
  <c r="AE46" i="6"/>
  <c r="AD46" i="6" s="1"/>
  <c r="D46" i="6" s="1"/>
  <c r="C34" i="6"/>
  <c r="AE34" i="6"/>
  <c r="AD34" i="6" s="1"/>
  <c r="D34" i="6" s="1"/>
  <c r="C123" i="6"/>
  <c r="AE123" i="6"/>
  <c r="AD123" i="6" s="1"/>
  <c r="C17" i="6"/>
  <c r="AE17" i="6"/>
  <c r="AD17" i="6" s="1"/>
  <c r="D17" i="6" s="1"/>
  <c r="C49" i="6"/>
  <c r="AE49" i="6"/>
  <c r="AD49" i="6" s="1"/>
  <c r="D49" i="6" s="1"/>
  <c r="C107" i="6"/>
  <c r="AE107" i="6"/>
  <c r="AD107" i="6" s="1"/>
  <c r="C99" i="6"/>
  <c r="AE99" i="6"/>
  <c r="AD99" i="6" s="1"/>
  <c r="C114" i="6"/>
  <c r="AE114" i="6"/>
  <c r="AD114" i="6" s="1"/>
  <c r="C146" i="6"/>
  <c r="AE146" i="6"/>
  <c r="AD146" i="6" s="1"/>
  <c r="C101" i="6"/>
  <c r="AE101" i="6"/>
  <c r="AD101" i="6" s="1"/>
  <c r="C133" i="6"/>
  <c r="AE133" i="6"/>
  <c r="AD133" i="6" s="1"/>
  <c r="C153" i="6"/>
  <c r="AE153" i="6"/>
  <c r="AD153" i="6" s="1"/>
  <c r="C88" i="6"/>
  <c r="AE88" i="6"/>
  <c r="AD88" i="6" s="1"/>
  <c r="D88" i="6" s="1"/>
  <c r="C154" i="6"/>
  <c r="AE154" i="6"/>
  <c r="AD154" i="6" s="1"/>
  <c r="C432" i="6"/>
  <c r="AE432" i="6"/>
  <c r="AD432" i="6" s="1"/>
  <c r="C466" i="6"/>
  <c r="AE466" i="6"/>
  <c r="AD466" i="6" s="1"/>
  <c r="C417" i="6"/>
  <c r="AE417" i="6"/>
  <c r="AD417" i="6" s="1"/>
  <c r="C47" i="6"/>
  <c r="AE47" i="6"/>
  <c r="AD47" i="6" s="1"/>
  <c r="D47" i="6" s="1"/>
  <c r="BT86" i="6"/>
  <c r="AH86" i="6" s="1"/>
  <c r="BT215" i="6"/>
  <c r="AH215" i="6" s="1"/>
  <c r="BT304" i="6"/>
  <c r="BT336" i="6"/>
  <c r="C336" i="6"/>
  <c r="BT141" i="6"/>
  <c r="AH141" i="6" s="1"/>
  <c r="BT241" i="6"/>
  <c r="AH241" i="6" s="1"/>
  <c r="BT322" i="6"/>
  <c r="AH322" i="6" s="1"/>
  <c r="BT33" i="6"/>
  <c r="C33" i="6"/>
  <c r="BT65" i="6"/>
  <c r="AH65" i="6" s="1"/>
  <c r="BT119" i="6"/>
  <c r="AH119" i="6" s="1"/>
  <c r="BT136" i="6"/>
  <c r="BT303" i="6"/>
  <c r="AH303" i="6" s="1"/>
  <c r="C303" i="6"/>
  <c r="BT367" i="6"/>
  <c r="AH367" i="6" s="1"/>
  <c r="BT345" i="6"/>
  <c r="AH345" i="6" s="1"/>
  <c r="BT75" i="6"/>
  <c r="AH75" i="6" s="1"/>
  <c r="BT39" i="6"/>
  <c r="AH39" i="6" s="1"/>
  <c r="C39" i="6"/>
  <c r="BT125" i="6"/>
  <c r="BT260" i="6"/>
  <c r="AH260" i="6" s="1"/>
  <c r="BT262" i="6"/>
  <c r="BT234" i="6"/>
  <c r="C234" i="6"/>
  <c r="BT279" i="6"/>
  <c r="BT344" i="6"/>
  <c r="AH344" i="6" s="1"/>
  <c r="BT311" i="6"/>
  <c r="BT394" i="6"/>
  <c r="AH394" i="6" s="1"/>
  <c r="C394" i="6"/>
  <c r="BT383" i="6"/>
  <c r="AH383" i="6" s="1"/>
  <c r="BT410" i="6"/>
  <c r="AH410" i="6" s="1"/>
  <c r="BT413" i="6"/>
  <c r="BT447" i="6"/>
  <c r="BT451" i="6"/>
  <c r="AH451" i="6" s="1"/>
  <c r="BT135" i="6"/>
  <c r="AH135" i="6" s="1"/>
  <c r="BT57" i="6"/>
  <c r="BT122" i="6"/>
  <c r="C122" i="6"/>
  <c r="BT128" i="6"/>
  <c r="AH128" i="6" s="1"/>
  <c r="BT255" i="6"/>
  <c r="AH255" i="6" s="1"/>
  <c r="BT179" i="6"/>
  <c r="AH179" i="6" s="1"/>
  <c r="BT364" i="6"/>
  <c r="AH364" i="6" s="1"/>
  <c r="C364" i="6"/>
  <c r="BT79" i="6"/>
  <c r="AH79" i="6" s="1"/>
  <c r="BT29" i="6"/>
  <c r="AH29" i="6" s="1"/>
  <c r="BT165" i="6"/>
  <c r="BT305" i="6"/>
  <c r="AH305" i="6" s="1"/>
  <c r="C305" i="6"/>
  <c r="BT277" i="6"/>
  <c r="AH277" i="6" s="1"/>
  <c r="BT147" i="6"/>
  <c r="AH147" i="6" s="1"/>
  <c r="BT319" i="6"/>
  <c r="BT37" i="6"/>
  <c r="C37" i="6"/>
  <c r="BT172" i="6"/>
  <c r="AH172" i="6" s="1"/>
  <c r="BT76" i="6"/>
  <c r="AH76" i="6" s="1"/>
  <c r="BT190" i="6"/>
  <c r="BT144" i="6"/>
  <c r="C144" i="6"/>
  <c r="BT197" i="6"/>
  <c r="AH197" i="6" s="1"/>
  <c r="BT333" i="6"/>
  <c r="AH333" i="6" s="1"/>
  <c r="BT458" i="6"/>
  <c r="AH458" i="6" s="1"/>
  <c r="BT19" i="6"/>
  <c r="AH19" i="6" s="1"/>
  <c r="C19" i="6"/>
  <c r="BT233" i="6"/>
  <c r="AH233" i="6" s="1"/>
  <c r="BT307" i="6"/>
  <c r="BT32" i="6"/>
  <c r="BT164" i="6"/>
  <c r="AH164" i="6" s="1"/>
  <c r="BT263" i="6"/>
  <c r="AH263" i="6" s="1"/>
  <c r="BT27" i="6"/>
  <c r="BT278" i="6"/>
  <c r="BT313" i="6"/>
  <c r="AH313" i="6" s="1"/>
  <c r="C313" i="6"/>
  <c r="BT437" i="6"/>
  <c r="AH437" i="6" s="1"/>
  <c r="C437" i="6"/>
  <c r="BT26" i="6"/>
  <c r="AH26" i="6" s="1"/>
  <c r="C26" i="6"/>
  <c r="BT82" i="6"/>
  <c r="C82" i="6"/>
  <c r="BT120" i="6"/>
  <c r="AH120" i="6" s="1"/>
  <c r="C120" i="6"/>
  <c r="BT124" i="6"/>
  <c r="C124" i="6"/>
  <c r="BT256" i="6"/>
  <c r="AH256" i="6" s="1"/>
  <c r="C256" i="6"/>
  <c r="BT180" i="6"/>
  <c r="C180" i="6"/>
  <c r="BT227" i="6"/>
  <c r="C227" i="6"/>
  <c r="BT418" i="6"/>
  <c r="AH418" i="6" s="1"/>
  <c r="C418" i="6"/>
  <c r="BT403" i="6"/>
  <c r="AH403" i="6" s="1"/>
  <c r="C403" i="6"/>
  <c r="BT433" i="6"/>
  <c r="AH433" i="6" s="1"/>
  <c r="C433" i="6"/>
  <c r="BT316" i="6"/>
  <c r="AH316" i="6" s="1"/>
  <c r="C316" i="6"/>
  <c r="BT295" i="6"/>
  <c r="AH295" i="6" s="1"/>
  <c r="C295" i="6"/>
  <c r="BT362" i="6"/>
  <c r="AH362" i="6" s="1"/>
  <c r="C362" i="6"/>
  <c r="BT401" i="6"/>
  <c r="AH401" i="6" s="1"/>
  <c r="C401" i="6"/>
  <c r="BT405" i="6"/>
  <c r="AH405" i="6" s="1"/>
  <c r="C405" i="6"/>
  <c r="BT406" i="6"/>
  <c r="AH406" i="6" s="1"/>
  <c r="C406" i="6"/>
  <c r="BT431" i="6"/>
  <c r="AH431" i="6" s="1"/>
  <c r="C431" i="6"/>
  <c r="BT89" i="6"/>
  <c r="C89" i="6"/>
  <c r="S120" i="1"/>
  <c r="E44" i="1"/>
  <c r="S126" i="1"/>
  <c r="A4" i="10"/>
  <c r="BT56" i="6"/>
  <c r="AH56" i="6" s="1"/>
  <c r="BT103" i="6"/>
  <c r="AH103" i="6" s="1"/>
  <c r="D103" i="6"/>
  <c r="BT9" i="6"/>
  <c r="BT72" i="6"/>
  <c r="AH72" i="6" s="1"/>
  <c r="BT171" i="6"/>
  <c r="AH171" i="6" s="1"/>
  <c r="D171" i="6"/>
  <c r="BT106" i="6"/>
  <c r="AH106" i="6" s="1"/>
  <c r="D106" i="6"/>
  <c r="D222" i="6"/>
  <c r="D112" i="6"/>
  <c r="BT34" i="6"/>
  <c r="AH34" i="6" s="1"/>
  <c r="D123" i="6"/>
  <c r="D99" i="6"/>
  <c r="BT114" i="6"/>
  <c r="D114" i="6"/>
  <c r="D133" i="6"/>
  <c r="D153" i="6"/>
  <c r="BT153" i="6"/>
  <c r="AH153" i="6" s="1"/>
  <c r="BT46" i="6"/>
  <c r="AH46" i="6" s="1"/>
  <c r="BT17" i="6"/>
  <c r="AH17" i="6" s="1"/>
  <c r="BT107" i="6"/>
  <c r="D107" i="6"/>
  <c r="D146" i="6"/>
  <c r="BT24" i="6"/>
  <c r="BT18" i="6"/>
  <c r="AH18" i="6" s="1"/>
  <c r="BT16" i="6"/>
  <c r="AH16" i="6" s="1"/>
  <c r="BT66" i="6"/>
  <c r="AH66" i="6" s="1"/>
  <c r="BT84" i="6"/>
  <c r="AH84" i="6" s="1"/>
  <c r="BT110" i="6"/>
  <c r="D110" i="6"/>
  <c r="BT169" i="6"/>
  <c r="AH169" i="6" s="1"/>
  <c r="D169" i="6"/>
  <c r="D101" i="6"/>
  <c r="D143" i="6"/>
  <c r="BT168" i="6"/>
  <c r="AH168" i="6" s="1"/>
  <c r="D168" i="6"/>
  <c r="BT162" i="6"/>
  <c r="AH162" i="6" s="1"/>
  <c r="D162" i="6"/>
  <c r="BT181" i="6"/>
  <c r="AH181" i="6" s="1"/>
  <c r="D181" i="6"/>
  <c r="BT158" i="6"/>
  <c r="D158" i="6"/>
  <c r="C185" i="6"/>
  <c r="D185" i="6"/>
  <c r="D188" i="6"/>
  <c r="D199" i="6"/>
  <c r="D214" i="6"/>
  <c r="D215" i="6"/>
  <c r="BT232" i="6"/>
  <c r="AH232" i="6" s="1"/>
  <c r="D232" i="6"/>
  <c r="BT210" i="6"/>
  <c r="D210" i="6"/>
  <c r="BT243" i="6"/>
  <c r="D243" i="6"/>
  <c r="BT252" i="6"/>
  <c r="AH252" i="6" s="1"/>
  <c r="D252" i="6"/>
  <c r="BT245" i="6"/>
  <c r="AH245" i="6" s="1"/>
  <c r="D245" i="6"/>
  <c r="BT270" i="6"/>
  <c r="AH270" i="6" s="1"/>
  <c r="D270" i="6"/>
  <c r="BT281" i="6"/>
  <c r="D281" i="6"/>
  <c r="BT292" i="6"/>
  <c r="D292" i="6"/>
  <c r="BT294" i="6"/>
  <c r="D294" i="6"/>
  <c r="D306" i="6"/>
  <c r="D308" i="6"/>
  <c r="D351" i="6"/>
  <c r="BT324" i="6"/>
  <c r="AH324" i="6" s="1"/>
  <c r="D324" i="6"/>
  <c r="D349" i="6"/>
  <c r="D350" i="6"/>
  <c r="D366" i="6"/>
  <c r="BT354" i="6"/>
  <c r="D354" i="6"/>
  <c r="D369" i="6"/>
  <c r="BT374" i="6"/>
  <c r="D374" i="6"/>
  <c r="BT397" i="6"/>
  <c r="D397" i="6"/>
  <c r="D393" i="6"/>
  <c r="D382" i="6"/>
  <c r="BT417" i="6"/>
  <c r="D417" i="6"/>
  <c r="BT412" i="6"/>
  <c r="D412" i="6"/>
  <c r="BT439" i="6"/>
  <c r="D439" i="6"/>
  <c r="D424" i="6"/>
  <c r="BT419" i="6"/>
  <c r="D419" i="6"/>
  <c r="BT445" i="6"/>
  <c r="D445" i="6"/>
  <c r="D443" i="6"/>
  <c r="D455" i="6"/>
  <c r="BT460" i="6"/>
  <c r="D460" i="6"/>
  <c r="BT25" i="6"/>
  <c r="AH25" i="6" s="1"/>
  <c r="BT61" i="6"/>
  <c r="BT74" i="6"/>
  <c r="BT83" i="6"/>
  <c r="BT92" i="6"/>
  <c r="C92" i="6"/>
  <c r="BT81" i="6"/>
  <c r="D129" i="6"/>
  <c r="D122" i="6"/>
  <c r="D124" i="6"/>
  <c r="BT109" i="6"/>
  <c r="C109" i="6"/>
  <c r="D109" i="6"/>
  <c r="D128" i="6"/>
  <c r="BT170" i="6"/>
  <c r="D170" i="6"/>
  <c r="BT166" i="6"/>
  <c r="D166" i="6"/>
  <c r="D193" i="6"/>
  <c r="BT196" i="6"/>
  <c r="D196" i="6"/>
  <c r="D221" i="6"/>
  <c r="D223" i="6"/>
  <c r="BT258" i="6"/>
  <c r="D258" i="6"/>
  <c r="BT218" i="6"/>
  <c r="D218" i="6"/>
  <c r="D212" i="6"/>
  <c r="BT259" i="6"/>
  <c r="AH259" i="6" s="1"/>
  <c r="D259" i="6"/>
  <c r="BT253" i="6"/>
  <c r="D253" i="6"/>
  <c r="D277" i="6"/>
  <c r="D291" i="6"/>
  <c r="D241" i="6"/>
  <c r="BT300" i="6"/>
  <c r="AH300" i="6" s="1"/>
  <c r="D300" i="6"/>
  <c r="D309" i="6"/>
  <c r="BT302" i="6"/>
  <c r="D302" i="6"/>
  <c r="D326" i="6"/>
  <c r="BT312" i="6"/>
  <c r="D312" i="6"/>
  <c r="D357" i="6"/>
  <c r="D332" i="6"/>
  <c r="AD336" i="6"/>
  <c r="D336" i="6"/>
  <c r="BT347" i="6"/>
  <c r="D347" i="6"/>
  <c r="D358" i="6"/>
  <c r="BT370" i="6"/>
  <c r="D370" i="6"/>
  <c r="BT355" i="6"/>
  <c r="D355" i="6"/>
  <c r="D377" i="6"/>
  <c r="BT380" i="6"/>
  <c r="D380" i="6"/>
  <c r="D409" i="6"/>
  <c r="BT390" i="6"/>
  <c r="D390" i="6"/>
  <c r="D395" i="6"/>
  <c r="BT414" i="6"/>
  <c r="D414" i="6"/>
  <c r="BT415" i="6"/>
  <c r="D415" i="6"/>
  <c r="BT441" i="6"/>
  <c r="D441" i="6"/>
  <c r="D440" i="6"/>
  <c r="BT427" i="6"/>
  <c r="D427" i="6"/>
  <c r="BT435" i="6"/>
  <c r="D435" i="6"/>
  <c r="D447" i="6"/>
  <c r="BT453" i="6"/>
  <c r="D453" i="6"/>
  <c r="BT464" i="6"/>
  <c r="D464" i="6"/>
  <c r="D134" i="6"/>
  <c r="BT87" i="6"/>
  <c r="BT53" i="6"/>
  <c r="BT73" i="6"/>
  <c r="D176" i="6"/>
  <c r="D342" i="6"/>
  <c r="BT50" i="6"/>
  <c r="BT95" i="6"/>
  <c r="D95" i="6"/>
  <c r="BT97" i="6"/>
  <c r="D97" i="6"/>
  <c r="D141" i="6"/>
  <c r="BT127" i="6"/>
  <c r="D127" i="6"/>
  <c r="D156" i="6"/>
  <c r="D159" i="6"/>
  <c r="D204" i="6"/>
  <c r="D197" i="6"/>
  <c r="BT192" i="6"/>
  <c r="D192" i="6"/>
  <c r="D239" i="6"/>
  <c r="BT231" i="6"/>
  <c r="D231" i="6"/>
  <c r="BT209" i="6"/>
  <c r="D209" i="6"/>
  <c r="D234" i="6"/>
  <c r="D228" i="6"/>
  <c r="BT268" i="6"/>
  <c r="D268" i="6"/>
  <c r="D269" i="6"/>
  <c r="D247" i="6"/>
  <c r="D256" i="6"/>
  <c r="AD256" i="6"/>
  <c r="BT257" i="6"/>
  <c r="D257" i="6"/>
  <c r="BT306" i="6"/>
  <c r="BT318" i="6"/>
  <c r="D318" i="6"/>
  <c r="BT290" i="6"/>
  <c r="D290" i="6"/>
  <c r="D320" i="6"/>
  <c r="D323" i="6"/>
  <c r="D333" i="6"/>
  <c r="D373" i="6"/>
  <c r="D331" i="6"/>
  <c r="BT369" i="6"/>
  <c r="D345" i="6"/>
  <c r="C345" i="6"/>
  <c r="D356" i="6"/>
  <c r="BT363" i="6"/>
  <c r="D363" i="6"/>
  <c r="BT411" i="6"/>
  <c r="D411" i="6"/>
  <c r="BT387" i="6"/>
  <c r="D387" i="6"/>
  <c r="D383" i="6"/>
  <c r="D396" i="6"/>
  <c r="D422" i="6"/>
  <c r="D418" i="6"/>
  <c r="D437" i="6"/>
  <c r="BT446" i="6"/>
  <c r="D446" i="6"/>
  <c r="D467" i="6"/>
  <c r="AD33" i="6"/>
  <c r="D33" i="6" s="1"/>
  <c r="BT91" i="6"/>
  <c r="D130" i="6"/>
  <c r="BT117" i="6"/>
  <c r="D117" i="6"/>
  <c r="BT174" i="6"/>
  <c r="D174" i="6"/>
  <c r="D213" i="6"/>
  <c r="BT266" i="6"/>
  <c r="D266" i="6"/>
  <c r="D261" i="6"/>
  <c r="D314" i="6"/>
  <c r="BT375" i="6"/>
  <c r="D375" i="6"/>
  <c r="D392" i="6"/>
  <c r="AD401" i="6"/>
  <c r="D401" i="6"/>
  <c r="C413" i="6"/>
  <c r="D413" i="6"/>
  <c r="BT444" i="6"/>
  <c r="D444" i="6"/>
  <c r="BT456" i="6"/>
  <c r="D456" i="6"/>
  <c r="BT47" i="6"/>
  <c r="C104" i="6"/>
  <c r="D104" i="6"/>
  <c r="BT70" i="6"/>
  <c r="C70" i="6"/>
  <c r="BT138" i="6"/>
  <c r="D138" i="6"/>
  <c r="BT132" i="6"/>
  <c r="D132" i="6"/>
  <c r="D125" i="6"/>
  <c r="D144" i="6"/>
  <c r="C155" i="6"/>
  <c r="D155" i="6"/>
  <c r="BT267" i="6"/>
  <c r="D267" i="6"/>
  <c r="BT15" i="6"/>
  <c r="BT11" i="6"/>
  <c r="BT51" i="6"/>
  <c r="C65" i="6"/>
  <c r="BT38" i="6"/>
  <c r="BT55" i="6"/>
  <c r="BT90" i="6"/>
  <c r="BT78" i="6"/>
  <c r="BT88" i="6"/>
  <c r="BT145" i="6"/>
  <c r="D145" i="6"/>
  <c r="D135" i="6"/>
  <c r="C135" i="6"/>
  <c r="BT152" i="6"/>
  <c r="D152" i="6"/>
  <c r="BT186" i="6"/>
  <c r="D186" i="6"/>
  <c r="BT159" i="6"/>
  <c r="D164" i="6"/>
  <c r="BT167" i="6"/>
  <c r="D167" i="6"/>
  <c r="D182" i="6"/>
  <c r="BT200" i="6"/>
  <c r="D200" i="6"/>
  <c r="BT205" i="6"/>
  <c r="D205" i="6"/>
  <c r="D238" i="6"/>
  <c r="BT208" i="6"/>
  <c r="D208" i="6"/>
  <c r="BT217" i="6"/>
  <c r="D217" i="6"/>
  <c r="BT250" i="6"/>
  <c r="D250" i="6"/>
  <c r="D236" i="6"/>
  <c r="BT276" i="6"/>
  <c r="D276" i="6"/>
  <c r="D275" i="6"/>
  <c r="BT297" i="6"/>
  <c r="D297" i="6"/>
  <c r="C255" i="6"/>
  <c r="D255" i="6"/>
  <c r="BT265" i="6"/>
  <c r="D265" i="6"/>
  <c r="BT315" i="6"/>
  <c r="C315" i="6"/>
  <c r="D315" i="6"/>
  <c r="BT317" i="6"/>
  <c r="D317" i="6"/>
  <c r="D279" i="6"/>
  <c r="BT280" i="6"/>
  <c r="D280" i="6"/>
  <c r="D298" i="6"/>
  <c r="D311" i="6"/>
  <c r="D328" i="6"/>
  <c r="D329" i="6"/>
  <c r="C334" i="6"/>
  <c r="D334" i="6"/>
  <c r="D343" i="6"/>
  <c r="BT339" i="6"/>
  <c r="D339" i="6"/>
  <c r="BT359" i="6"/>
  <c r="D359" i="6"/>
  <c r="BT353" i="6"/>
  <c r="D353" i="6"/>
  <c r="D362" i="6"/>
  <c r="D385" i="6"/>
  <c r="D394" i="6"/>
  <c r="D405" i="6"/>
  <c r="D391" i="6"/>
  <c r="BT404" i="6"/>
  <c r="D404" i="6"/>
  <c r="BT407" i="6"/>
  <c r="D407" i="6"/>
  <c r="C421" i="6"/>
  <c r="D421" i="6"/>
  <c r="D431" i="6"/>
  <c r="BT426" i="6"/>
  <c r="D426" i="6"/>
  <c r="BT459" i="6"/>
  <c r="D459" i="6"/>
  <c r="D451" i="6"/>
  <c r="C451" i="6"/>
  <c r="D462" i="6"/>
  <c r="BT115" i="6"/>
  <c r="D115" i="6"/>
  <c r="BT13" i="6"/>
  <c r="BT178" i="6"/>
  <c r="D178" i="6"/>
  <c r="C220" i="6"/>
  <c r="D220" i="6"/>
  <c r="D282" i="6"/>
  <c r="BT399" i="6"/>
  <c r="D399" i="6"/>
  <c r="BT12" i="6"/>
  <c r="BT23" i="6"/>
  <c r="C57" i="6"/>
  <c r="BT42" i="6"/>
  <c r="BT111" i="6"/>
  <c r="D111" i="6"/>
  <c r="BT96" i="6"/>
  <c r="D96" i="6"/>
  <c r="BT150" i="6"/>
  <c r="D150" i="6"/>
  <c r="BT154" i="6"/>
  <c r="D154" i="6"/>
  <c r="BT140" i="6"/>
  <c r="D140" i="6"/>
  <c r="D147" i="6"/>
  <c r="C165" i="6"/>
  <c r="D165" i="6"/>
  <c r="BT156" i="6"/>
  <c r="BT177" i="6"/>
  <c r="D177" i="6"/>
  <c r="BT163" i="6"/>
  <c r="D163" i="6"/>
  <c r="D172" i="6"/>
  <c r="BT175" i="6"/>
  <c r="D175" i="6"/>
  <c r="D194" i="6"/>
  <c r="D190" i="6"/>
  <c r="D203" i="6"/>
  <c r="BT211" i="6"/>
  <c r="D211" i="6"/>
  <c r="BT240" i="6"/>
  <c r="D240" i="6"/>
  <c r="C240" i="6"/>
  <c r="BT216" i="6"/>
  <c r="D216" i="6"/>
  <c r="BT225" i="6"/>
  <c r="D225" i="6"/>
  <c r="D289" i="6"/>
  <c r="BT246" i="6"/>
  <c r="D246" i="6"/>
  <c r="C263" i="6"/>
  <c r="D263" i="6"/>
  <c r="BT264" i="6"/>
  <c r="D264" i="6"/>
  <c r="D299" i="6"/>
  <c r="BT285" i="6"/>
  <c r="D285" i="6"/>
  <c r="D278" i="6"/>
  <c r="C278" i="6"/>
  <c r="BT287" i="6"/>
  <c r="C287" i="6"/>
  <c r="D287" i="6"/>
  <c r="D288" i="6"/>
  <c r="D322" i="6"/>
  <c r="C322" i="6"/>
  <c r="C319" i="6"/>
  <c r="D319" i="6"/>
  <c r="D305" i="6"/>
  <c r="BT337" i="6"/>
  <c r="D337" i="6"/>
  <c r="BT342" i="6"/>
  <c r="BT340" i="6"/>
  <c r="D340" i="6"/>
  <c r="BT356" i="6"/>
  <c r="BT361" i="6"/>
  <c r="D361" i="6"/>
  <c r="BT371" i="6"/>
  <c r="D371" i="6"/>
  <c r="D398" i="6"/>
  <c r="BT381" i="6"/>
  <c r="D381" i="6"/>
  <c r="BT429" i="6"/>
  <c r="D429" i="6"/>
  <c r="D425" i="6"/>
  <c r="D410" i="6"/>
  <c r="BT423" i="6"/>
  <c r="D423" i="6"/>
  <c r="D434" i="6"/>
  <c r="D438" i="6"/>
  <c r="D449" i="6"/>
  <c r="BT454" i="6"/>
  <c r="D454" i="6"/>
  <c r="D463" i="6"/>
  <c r="C29" i="6"/>
  <c r="BT131" i="6"/>
  <c r="D131" i="6"/>
  <c r="BT100" i="6"/>
  <c r="D100" i="6"/>
  <c r="D136" i="6"/>
  <c r="C136" i="6"/>
  <c r="BT188" i="6"/>
  <c r="D249" i="6"/>
  <c r="BT310" i="6"/>
  <c r="D310" i="6"/>
  <c r="BT330" i="6"/>
  <c r="D330" i="6"/>
  <c r="C330" i="6"/>
  <c r="BT366" i="6"/>
  <c r="BT348" i="6"/>
  <c r="D348" i="6"/>
  <c r="AD403" i="6"/>
  <c r="D403" i="6"/>
  <c r="BT428" i="6"/>
  <c r="D428" i="6"/>
  <c r="BT468" i="6"/>
  <c r="D468" i="6"/>
  <c r="BT43" i="6"/>
  <c r="BT40" i="6"/>
  <c r="BT60" i="6"/>
  <c r="D149" i="6"/>
  <c r="BT21" i="6"/>
  <c r="C21" i="6"/>
  <c r="BT20" i="6"/>
  <c r="C20" i="6"/>
  <c r="BT48" i="6"/>
  <c r="BT63" i="6"/>
  <c r="BT64" i="6"/>
  <c r="BT58" i="6"/>
  <c r="C58" i="6"/>
  <c r="BT108" i="6"/>
  <c r="D108" i="6"/>
  <c r="C76" i="6"/>
  <c r="AD76" i="6"/>
  <c r="D76" i="6" s="1"/>
  <c r="C86" i="6"/>
  <c r="BT118" i="6"/>
  <c r="D118" i="6"/>
  <c r="D102" i="6"/>
  <c r="D113" i="6"/>
  <c r="BT173" i="6"/>
  <c r="D173" i="6"/>
  <c r="BT142" i="6"/>
  <c r="D142" i="6"/>
  <c r="BT160" i="6"/>
  <c r="D160" i="6"/>
  <c r="D183" i="6"/>
  <c r="BT176" i="6"/>
  <c r="BT195" i="6"/>
  <c r="D195" i="6"/>
  <c r="BT198" i="6"/>
  <c r="D198" i="6"/>
  <c r="BT219" i="6"/>
  <c r="D219" i="6"/>
  <c r="D229" i="6"/>
  <c r="BT242" i="6"/>
  <c r="D242" i="6"/>
  <c r="BT220" i="6"/>
  <c r="D233" i="6"/>
  <c r="C233" i="6"/>
  <c r="AD233" i="6"/>
  <c r="D227" i="6"/>
  <c r="BT247" i="6"/>
  <c r="BT244" i="6"/>
  <c r="D244" i="6"/>
  <c r="C244" i="6"/>
  <c r="D283" i="6"/>
  <c r="D254" i="6"/>
  <c r="BT271" i="6"/>
  <c r="C271" i="6"/>
  <c r="D271" i="6"/>
  <c r="BT272" i="6"/>
  <c r="D272" i="6"/>
  <c r="BT284" i="6"/>
  <c r="D284" i="6"/>
  <c r="BT293" i="6"/>
  <c r="D293" i="6"/>
  <c r="BT282" i="6"/>
  <c r="D295" i="6"/>
  <c r="BT296" i="6"/>
  <c r="D296" i="6"/>
  <c r="BT325" i="6"/>
  <c r="D325" i="6"/>
  <c r="BT323" i="6"/>
  <c r="D313" i="6"/>
  <c r="AD313" i="6"/>
  <c r="D316" i="6"/>
  <c r="BT335" i="6"/>
  <c r="D335" i="6"/>
  <c r="BT346" i="6"/>
  <c r="D346" i="6"/>
  <c r="C344" i="6"/>
  <c r="D344" i="6"/>
  <c r="D360" i="6"/>
  <c r="C367" i="6"/>
  <c r="D367" i="6"/>
  <c r="BT368" i="6"/>
  <c r="D368" i="6"/>
  <c r="BT379" i="6"/>
  <c r="D379" i="6"/>
  <c r="BT382" i="6"/>
  <c r="BT408" i="6"/>
  <c r="D408" i="6"/>
  <c r="BT389" i="6"/>
  <c r="D389" i="6"/>
  <c r="D402" i="6"/>
  <c r="BT421" i="6"/>
  <c r="D430" i="6"/>
  <c r="D433" i="6"/>
  <c r="BT416" i="6"/>
  <c r="D416" i="6"/>
  <c r="BT436" i="6"/>
  <c r="D436" i="6"/>
  <c r="BT432" i="6"/>
  <c r="D432" i="6"/>
  <c r="BT450" i="6"/>
  <c r="D450" i="6"/>
  <c r="C450" i="6"/>
  <c r="BT455" i="6"/>
  <c r="BT457" i="6"/>
  <c r="D457" i="6"/>
  <c r="BT465" i="6"/>
  <c r="D465" i="6"/>
  <c r="C27" i="6"/>
  <c r="BT137" i="6"/>
  <c r="D137" i="6"/>
  <c r="C137" i="6"/>
  <c r="BT139" i="6"/>
  <c r="D139" i="6"/>
  <c r="C139" i="6"/>
  <c r="C119" i="6"/>
  <c r="D119" i="6"/>
  <c r="BT148" i="6"/>
  <c r="D148" i="6"/>
  <c r="BT189" i="6"/>
  <c r="D189" i="6"/>
  <c r="C230" i="6"/>
  <c r="D230" i="6"/>
  <c r="BT226" i="6"/>
  <c r="D226" i="6"/>
  <c r="C226" i="6"/>
  <c r="D260" i="6"/>
  <c r="C260" i="6"/>
  <c r="D248" i="6"/>
  <c r="C304" i="6"/>
  <c r="D304" i="6"/>
  <c r="BT365" i="6"/>
  <c r="D365" i="6"/>
  <c r="BT378" i="6"/>
  <c r="D378" i="6"/>
  <c r="BT400" i="6"/>
  <c r="D400" i="6"/>
  <c r="BT448" i="6"/>
  <c r="D448" i="6"/>
  <c r="BT59" i="6"/>
  <c r="BT105" i="6"/>
  <c r="C105" i="6"/>
  <c r="D105" i="6"/>
  <c r="BT68" i="6"/>
  <c r="BT45" i="6"/>
  <c r="BT62" i="6"/>
  <c r="C75" i="6"/>
  <c r="BT80" i="6"/>
  <c r="D98" i="6"/>
  <c r="BT94" i="6"/>
  <c r="D94" i="6"/>
  <c r="D126" i="6"/>
  <c r="D121" i="6"/>
  <c r="BT157" i="6"/>
  <c r="D157" i="6"/>
  <c r="C157" i="6"/>
  <c r="D116" i="6"/>
  <c r="BT151" i="6"/>
  <c r="D151" i="6"/>
  <c r="BT161" i="6"/>
  <c r="D161" i="6"/>
  <c r="AD120" i="6"/>
  <c r="D120" i="6"/>
  <c r="BT187" i="6"/>
  <c r="D187" i="6"/>
  <c r="C187" i="6"/>
  <c r="C179" i="6"/>
  <c r="D179" i="6"/>
  <c r="AD180" i="6"/>
  <c r="D180" i="6"/>
  <c r="BT184" i="6"/>
  <c r="D184" i="6"/>
  <c r="BT201" i="6"/>
  <c r="D201" i="6"/>
  <c r="C201" i="6"/>
  <c r="D191" i="6"/>
  <c r="C191" i="6"/>
  <c r="BT206" i="6"/>
  <c r="D206" i="6"/>
  <c r="C206" i="6"/>
  <c r="BT237" i="6"/>
  <c r="D237" i="6"/>
  <c r="C237" i="6"/>
  <c r="BT207" i="6"/>
  <c r="D207" i="6"/>
  <c r="BT224" i="6"/>
  <c r="D224" i="6"/>
  <c r="BT202" i="6"/>
  <c r="D202" i="6"/>
  <c r="D235" i="6"/>
  <c r="BT251" i="6"/>
  <c r="D251" i="6"/>
  <c r="BT248" i="6"/>
  <c r="D262" i="6"/>
  <c r="C262" i="6"/>
  <c r="BT273" i="6"/>
  <c r="D273" i="6"/>
  <c r="BT274" i="6"/>
  <c r="D274" i="6"/>
  <c r="BT288" i="6"/>
  <c r="D301" i="6"/>
  <c r="BT286" i="6"/>
  <c r="D286" i="6"/>
  <c r="D303" i="6"/>
  <c r="C307" i="6"/>
  <c r="D307" i="6"/>
  <c r="BT326" i="6"/>
  <c r="D327" i="6"/>
  <c r="BT321" i="6"/>
  <c r="D321" i="6"/>
  <c r="BT320" i="6"/>
  <c r="BT341" i="6"/>
  <c r="D341" i="6"/>
  <c r="BT338" i="6"/>
  <c r="D338" i="6"/>
  <c r="D352" i="6"/>
  <c r="D364" i="6"/>
  <c r="D384" i="6"/>
  <c r="BT376" i="6"/>
  <c r="D376" i="6"/>
  <c r="BT372" i="6"/>
  <c r="D372" i="6"/>
  <c r="C372" i="6"/>
  <c r="D386" i="6"/>
  <c r="BT388" i="6"/>
  <c r="D388" i="6"/>
  <c r="BT396" i="6"/>
  <c r="D406" i="6"/>
  <c r="D420" i="6"/>
  <c r="BT442" i="6"/>
  <c r="D442" i="6"/>
  <c r="BT420" i="6"/>
  <c r="BT438" i="6"/>
  <c r="BT434" i="6"/>
  <c r="BT461" i="6"/>
  <c r="D461" i="6"/>
  <c r="BT452" i="6"/>
  <c r="D452" i="6"/>
  <c r="C458" i="6"/>
  <c r="D458" i="6"/>
  <c r="BT466" i="6"/>
  <c r="D466" i="6"/>
  <c r="B80" i="1"/>
  <c r="S75" i="1"/>
  <c r="S105" i="1"/>
  <c r="S104" i="1"/>
  <c r="F35" i="1"/>
  <c r="F56" i="1"/>
  <c r="F59" i="1"/>
  <c r="F25" i="1"/>
  <c r="F40" i="1"/>
  <c r="G18" i="1"/>
  <c r="F18" i="1"/>
  <c r="F24" i="1"/>
  <c r="F60" i="1"/>
  <c r="F58" i="1"/>
  <c r="F39" i="1"/>
  <c r="F34" i="1"/>
  <c r="G125" i="1"/>
  <c r="F125" i="1"/>
  <c r="S152" i="1"/>
  <c r="S151" i="1"/>
  <c r="S81" i="1"/>
  <c r="AC35" i="6"/>
  <c r="AC99" i="6"/>
  <c r="AC129" i="6"/>
  <c r="AC116" i="6"/>
  <c r="AC22" i="6"/>
  <c r="AC23" i="6"/>
  <c r="AC56" i="6"/>
  <c r="AC57" i="6"/>
  <c r="AC34" i="6"/>
  <c r="AC43" i="6"/>
  <c r="AC28" i="6"/>
  <c r="AC108" i="6"/>
  <c r="AC81" i="6"/>
  <c r="AC105" i="6"/>
  <c r="AC137" i="6"/>
  <c r="AC122" i="6"/>
  <c r="AC150" i="6"/>
  <c r="C141" i="6"/>
  <c r="AC141" i="6"/>
  <c r="AC124" i="6"/>
  <c r="C125" i="6"/>
  <c r="AC125" i="6"/>
  <c r="AC179" i="6"/>
  <c r="AC201" i="6"/>
  <c r="C197" i="6"/>
  <c r="AC197" i="6"/>
  <c r="C215" i="6"/>
  <c r="AC215" i="6"/>
  <c r="AC216" i="6"/>
  <c r="AC266" i="6"/>
  <c r="AC233" i="6"/>
  <c r="AC226" i="6"/>
  <c r="AC227" i="6"/>
  <c r="AC220" i="6"/>
  <c r="AC251" i="6"/>
  <c r="AC253" i="6"/>
  <c r="C277" i="6"/>
  <c r="AC277" i="6"/>
  <c r="C241" i="6"/>
  <c r="AC241" i="6"/>
  <c r="AC293" i="6"/>
  <c r="AC278" i="6"/>
  <c r="AC303" i="6"/>
  <c r="AC288" i="6"/>
  <c r="AC282" i="6"/>
  <c r="AC322" i="6"/>
  <c r="AC311" i="6"/>
  <c r="C311" i="6"/>
  <c r="AC320" i="6"/>
  <c r="AC335" i="6"/>
  <c r="AC347" i="6"/>
  <c r="AC352" i="6"/>
  <c r="AC375" i="6"/>
  <c r="A375" i="6" s="1"/>
  <c r="AC367" i="6"/>
  <c r="A367" i="6" s="1"/>
  <c r="AC348" i="6"/>
  <c r="AC368" i="6"/>
  <c r="A368" i="6" s="1"/>
  <c r="AC397" i="6"/>
  <c r="A397" i="6" s="1"/>
  <c r="AC408" i="6"/>
  <c r="A408" i="6" s="1"/>
  <c r="AC381" i="6"/>
  <c r="A381" i="6" s="1"/>
  <c r="AC402" i="6"/>
  <c r="A402" i="6" s="1"/>
  <c r="AC396" i="6"/>
  <c r="A396" i="6" s="1"/>
  <c r="BT402" i="6"/>
  <c r="C410" i="6"/>
  <c r="AC410" i="6"/>
  <c r="A410" i="6" s="1"/>
  <c r="AC441" i="6"/>
  <c r="A441" i="6" s="1"/>
  <c r="AC435" i="6"/>
  <c r="A435" i="6" s="1"/>
  <c r="AC451" i="6"/>
  <c r="A451" i="6" s="1"/>
  <c r="AC453" i="6"/>
  <c r="A453" i="6" s="1"/>
  <c r="AH470" i="6"/>
  <c r="AC17" i="6"/>
  <c r="AC12" i="6"/>
  <c r="AC64" i="6"/>
  <c r="AC65" i="6"/>
  <c r="AC61" i="6"/>
  <c r="AC54" i="6"/>
  <c r="AC55" i="6"/>
  <c r="AC82" i="6"/>
  <c r="AC92" i="6"/>
  <c r="AC85" i="6"/>
  <c r="AC62" i="6"/>
  <c r="AC94" i="6"/>
  <c r="AC95" i="6"/>
  <c r="AC126" i="6"/>
  <c r="AC96" i="6"/>
  <c r="C96" i="6"/>
  <c r="BT85" i="6"/>
  <c r="BT126" i="6"/>
  <c r="BT129" i="6"/>
  <c r="AC143" i="6"/>
  <c r="AC136" i="6"/>
  <c r="AC160" i="6"/>
  <c r="AC177" i="6"/>
  <c r="AC178" i="6"/>
  <c r="C178" i="6"/>
  <c r="C181" i="6"/>
  <c r="AC181" i="6"/>
  <c r="C172" i="6"/>
  <c r="AC172" i="6"/>
  <c r="AC174" i="6"/>
  <c r="AC175" i="6"/>
  <c r="AC204" i="6"/>
  <c r="BT204" i="6"/>
  <c r="AC200" i="6"/>
  <c r="AC211" i="6"/>
  <c r="AC230" i="6"/>
  <c r="BT230" i="6"/>
  <c r="AC244" i="6"/>
  <c r="AC275" i="6"/>
  <c r="AC246" i="6"/>
  <c r="AC271" i="6"/>
  <c r="AC256" i="6"/>
  <c r="AC300" i="6"/>
  <c r="BT275" i="6"/>
  <c r="AC306" i="6"/>
  <c r="AC325" i="6"/>
  <c r="C351" i="6"/>
  <c r="AC351" i="6"/>
  <c r="AC316" i="6"/>
  <c r="AC373" i="6"/>
  <c r="A373" i="6" s="1"/>
  <c r="AC359" i="6"/>
  <c r="AC384" i="6"/>
  <c r="A384" i="6" s="1"/>
  <c r="BT352" i="6"/>
  <c r="AC378" i="6"/>
  <c r="A378" i="6" s="1"/>
  <c r="AC385" i="6"/>
  <c r="A385" i="6" s="1"/>
  <c r="AC409" i="6"/>
  <c r="A409" i="6" s="1"/>
  <c r="BT384" i="6"/>
  <c r="BT385" i="6"/>
  <c r="C383" i="6"/>
  <c r="AC383" i="6"/>
  <c r="A383" i="6" s="1"/>
  <c r="AC406" i="6"/>
  <c r="A406" i="6" s="1"/>
  <c r="AC430" i="6"/>
  <c r="A430" i="6" s="1"/>
  <c r="AC421" i="6"/>
  <c r="A421" i="6" s="1"/>
  <c r="BT430" i="6"/>
  <c r="AC418" i="6"/>
  <c r="A418" i="6" s="1"/>
  <c r="AC419" i="6"/>
  <c r="A419" i="6" s="1"/>
  <c r="AC437" i="6"/>
  <c r="A437" i="6" s="1"/>
  <c r="AC454" i="6"/>
  <c r="A454" i="6" s="1"/>
  <c r="AC463" i="6"/>
  <c r="A463" i="6" s="1"/>
  <c r="AC10" i="6"/>
  <c r="A10" i="6" s="1"/>
  <c r="BT10" i="6"/>
  <c r="AC9" i="6"/>
  <c r="AC11" i="6"/>
  <c r="AC67" i="6"/>
  <c r="AC63" i="6"/>
  <c r="AC42" i="6"/>
  <c r="AC69" i="6"/>
  <c r="AC51" i="6"/>
  <c r="AC36" i="6"/>
  <c r="AC71" i="6"/>
  <c r="BT71" i="6"/>
  <c r="AC104" i="6"/>
  <c r="BT104" i="6"/>
  <c r="AC134" i="6"/>
  <c r="AC89" i="6"/>
  <c r="AC113" i="6"/>
  <c r="AC130" i="6"/>
  <c r="AC146" i="6"/>
  <c r="AC132" i="6"/>
  <c r="AC101" i="6"/>
  <c r="AC133" i="6"/>
  <c r="AC165" i="6"/>
  <c r="AC183" i="6"/>
  <c r="AC155" i="6"/>
  <c r="AC188" i="6"/>
  <c r="AC182" i="6"/>
  <c r="AC191" i="6"/>
  <c r="AC203" i="6"/>
  <c r="AC229" i="6"/>
  <c r="C223" i="6"/>
  <c r="AC223" i="6"/>
  <c r="AC224" i="6"/>
  <c r="C209" i="6"/>
  <c r="AC209" i="6"/>
  <c r="AC202" i="6"/>
  <c r="AC234" i="6"/>
  <c r="AC235" i="6"/>
  <c r="AC228" i="6"/>
  <c r="AC259" i="6"/>
  <c r="AC261" i="6"/>
  <c r="AC273" i="6"/>
  <c r="AC249" i="6"/>
  <c r="AC301" i="6"/>
  <c r="AC286" i="6"/>
  <c r="C279" i="6"/>
  <c r="AC279" i="6"/>
  <c r="AC296" i="6"/>
  <c r="AC290" i="6"/>
  <c r="AC319" i="6"/>
  <c r="AC328" i="6"/>
  <c r="AC357" i="6"/>
  <c r="AC341" i="6"/>
  <c r="AC343" i="6"/>
  <c r="AC350" i="6"/>
  <c r="AC345" i="6"/>
  <c r="BT350" i="6"/>
  <c r="AC356" i="6"/>
  <c r="AC376" i="6"/>
  <c r="A376" i="6" s="1"/>
  <c r="AC363" i="6"/>
  <c r="A363" i="6" s="1"/>
  <c r="AC388" i="6"/>
  <c r="A388" i="6" s="1"/>
  <c r="AC389" i="6"/>
  <c r="A389" i="6" s="1"/>
  <c r="AC417" i="6"/>
  <c r="A417" i="6" s="1"/>
  <c r="AC404" i="6"/>
  <c r="A404" i="6" s="1"/>
  <c r="AC420" i="6"/>
  <c r="A420" i="6" s="1"/>
  <c r="AC422" i="6"/>
  <c r="A422" i="6" s="1"/>
  <c r="AC416" i="6"/>
  <c r="A416" i="6" s="1"/>
  <c r="BT422" i="6"/>
  <c r="AC444" i="6"/>
  <c r="A444" i="6" s="1"/>
  <c r="AC456" i="6"/>
  <c r="A456" i="6" s="1"/>
  <c r="AC467" i="6"/>
  <c r="A467" i="6" s="1"/>
  <c r="BT467" i="6"/>
  <c r="AC33" i="6"/>
  <c r="AC14" i="6"/>
  <c r="AC21" i="6"/>
  <c r="BT14" i="6"/>
  <c r="BT67" i="6"/>
  <c r="AC37" i="6"/>
  <c r="AC30" i="6"/>
  <c r="AC31" i="6"/>
  <c r="AC58" i="6"/>
  <c r="AC90" i="6"/>
  <c r="AC75" i="6"/>
  <c r="AC114" i="6"/>
  <c r="BT99" i="6"/>
  <c r="AC93" i="6"/>
  <c r="AC70" i="6"/>
  <c r="AC110" i="6"/>
  <c r="AC106" i="6"/>
  <c r="AC72" i="6"/>
  <c r="AC102" i="6"/>
  <c r="BT93" i="6"/>
  <c r="AC149" i="6"/>
  <c r="BT134" i="6"/>
  <c r="AC123" i="6"/>
  <c r="AC154" i="6"/>
  <c r="AC119" i="6"/>
  <c r="AC112" i="6"/>
  <c r="AC168" i="6"/>
  <c r="AC187" i="6"/>
  <c r="AC148" i="6"/>
  <c r="AC180" i="6"/>
  <c r="BT182" i="6"/>
  <c r="AC184" i="6"/>
  <c r="AC194" i="6"/>
  <c r="AC213" i="6"/>
  <c r="AC237" i="6"/>
  <c r="AC238" i="6"/>
  <c r="BT228" i="6"/>
  <c r="BT213" i="6"/>
  <c r="BT238" i="6"/>
  <c r="AC243" i="6"/>
  <c r="AC252" i="6"/>
  <c r="AC283" i="6"/>
  <c r="AC254" i="6"/>
  <c r="C247" i="6"/>
  <c r="AC247" i="6"/>
  <c r="AC264" i="6"/>
  <c r="AC299" i="6"/>
  <c r="BT283" i="6"/>
  <c r="AC314" i="6"/>
  <c r="AC305" i="6"/>
  <c r="AC324" i="6"/>
  <c r="AC349" i="6"/>
  <c r="AC331" i="6"/>
  <c r="AC360" i="6"/>
  <c r="BT349" i="6"/>
  <c r="AC354" i="6"/>
  <c r="BT360" i="6"/>
  <c r="AC374" i="6"/>
  <c r="A374" i="6" s="1"/>
  <c r="AC387" i="6"/>
  <c r="A387" i="6" s="1"/>
  <c r="AC393" i="6"/>
  <c r="A393" i="6" s="1"/>
  <c r="AC391" i="6"/>
  <c r="A391" i="6" s="1"/>
  <c r="AC395" i="6"/>
  <c r="A395" i="6" s="1"/>
  <c r="AC414" i="6"/>
  <c r="A414" i="6" s="1"/>
  <c r="AC412" i="6"/>
  <c r="A412" i="6" s="1"/>
  <c r="AC426" i="6"/>
  <c r="A426" i="6" s="1"/>
  <c r="AC427" i="6"/>
  <c r="A427" i="6" s="1"/>
  <c r="AC438" i="6"/>
  <c r="A438" i="6" s="1"/>
  <c r="AC446" i="6"/>
  <c r="A446" i="6" s="1"/>
  <c r="AC461" i="6"/>
  <c r="A461" i="6" s="1"/>
  <c r="AC457" i="6"/>
  <c r="A457" i="6" s="1"/>
  <c r="BT463" i="6"/>
  <c r="C32" i="6"/>
  <c r="AC32" i="6"/>
  <c r="AC40" i="6"/>
  <c r="AC41" i="6"/>
  <c r="AC68" i="6"/>
  <c r="AC50" i="6"/>
  <c r="AC27" i="6"/>
  <c r="AC44" i="6"/>
  <c r="BT41" i="6"/>
  <c r="BT35" i="6"/>
  <c r="AC100" i="6"/>
  <c r="AC98" i="6"/>
  <c r="AC97" i="6"/>
  <c r="AC121" i="6"/>
  <c r="AC153" i="6"/>
  <c r="AC138" i="6"/>
  <c r="AC173" i="6"/>
  <c r="AC140" i="6"/>
  <c r="AC109" i="6"/>
  <c r="BT146" i="6"/>
  <c r="BT123" i="6"/>
  <c r="BT116" i="6"/>
  <c r="AC163" i="6"/>
  <c r="BT183" i="6"/>
  <c r="BT155" i="6"/>
  <c r="AC196" i="6"/>
  <c r="AC190" i="6"/>
  <c r="C190" i="6"/>
  <c r="AC199" i="6"/>
  <c r="C199" i="6"/>
  <c r="AC219" i="6"/>
  <c r="AC239" i="6"/>
  <c r="AC240" i="6"/>
  <c r="AC231" i="6"/>
  <c r="AC232" i="6"/>
  <c r="AC217" i="6"/>
  <c r="AC210" i="6"/>
  <c r="AC250" i="6"/>
  <c r="AC236" i="6"/>
  <c r="AC267" i="6"/>
  <c r="AC269" i="6"/>
  <c r="AC257" i="6"/>
  <c r="AC315" i="6"/>
  <c r="AC309" i="6"/>
  <c r="AC294" i="6"/>
  <c r="C294" i="6"/>
  <c r="AC287" i="6"/>
  <c r="AC318" i="6"/>
  <c r="AC307" i="6"/>
  <c r="AC298" i="6"/>
  <c r="C326" i="6"/>
  <c r="AC326" i="6"/>
  <c r="AC327" i="6"/>
  <c r="BT309" i="6"/>
  <c r="AC323" i="6"/>
  <c r="AC332" i="6"/>
  <c r="AC334" i="6"/>
  <c r="BT332" i="6"/>
  <c r="AC346" i="6"/>
  <c r="C358" i="6"/>
  <c r="AC358" i="6"/>
  <c r="AC364" i="6"/>
  <c r="A364" i="6" s="1"/>
  <c r="AC353" i="6"/>
  <c r="BT358" i="6"/>
  <c r="AC369" i="6"/>
  <c r="A369" i="6" s="1"/>
  <c r="AC371" i="6"/>
  <c r="A371" i="6" s="1"/>
  <c r="BT391" i="6"/>
  <c r="AC382" i="6"/>
  <c r="A382" i="6" s="1"/>
  <c r="AC425" i="6"/>
  <c r="A425" i="6" s="1"/>
  <c r="BT395" i="6"/>
  <c r="AC415" i="6"/>
  <c r="A415" i="6" s="1"/>
  <c r="BT425" i="6"/>
  <c r="AC431" i="6"/>
  <c r="A431" i="6" s="1"/>
  <c r="AC424" i="6"/>
  <c r="A424" i="6" s="1"/>
  <c r="AC459" i="6"/>
  <c r="A459" i="6" s="1"/>
  <c r="AC443" i="6"/>
  <c r="A443" i="6" s="1"/>
  <c r="AC452" i="6"/>
  <c r="A452" i="6" s="1"/>
  <c r="AC458" i="6"/>
  <c r="A458" i="6" s="1"/>
  <c r="AC465" i="6"/>
  <c r="A465" i="6" s="1"/>
  <c r="AC29" i="6"/>
  <c r="AC20" i="6"/>
  <c r="AC25" i="6"/>
  <c r="BT44" i="6"/>
  <c r="BT69" i="6"/>
  <c r="BT54" i="6"/>
  <c r="BT31" i="6"/>
  <c r="AC60" i="6"/>
  <c r="AC45" i="6"/>
  <c r="AC38" i="6"/>
  <c r="AC39" i="6"/>
  <c r="AC66" i="6"/>
  <c r="BT98" i="6"/>
  <c r="AC83" i="6"/>
  <c r="AC76" i="6"/>
  <c r="AC115" i="6"/>
  <c r="AC78" i="6"/>
  <c r="AC79" i="6"/>
  <c r="C79" i="6"/>
  <c r="AC111" i="6"/>
  <c r="AC80" i="6"/>
  <c r="AC107" i="6"/>
  <c r="BT102" i="6"/>
  <c r="AC157" i="6"/>
  <c r="BT143" i="6"/>
  <c r="AC131" i="6"/>
  <c r="BT112" i="6"/>
  <c r="AC142" i="6"/>
  <c r="BT113" i="6"/>
  <c r="AC147" i="6"/>
  <c r="C147" i="6"/>
  <c r="AC127" i="6"/>
  <c r="AC120" i="6"/>
  <c r="AC144" i="6"/>
  <c r="AC176" i="6"/>
  <c r="AC162" i="6"/>
  <c r="AC156" i="6"/>
  <c r="AC158" i="6"/>
  <c r="AC159" i="6"/>
  <c r="AC185" i="6"/>
  <c r="BT191" i="6"/>
  <c r="BT185" i="6"/>
  <c r="BT194" i="6"/>
  <c r="AC221" i="6"/>
  <c r="BT203" i="6"/>
  <c r="BT239" i="6"/>
  <c r="AC214" i="6"/>
  <c r="AC242" i="6"/>
  <c r="BT235" i="6"/>
  <c r="BT236" i="6"/>
  <c r="BT221" i="6"/>
  <c r="BT214" i="6"/>
  <c r="BT254" i="6"/>
  <c r="AC260" i="6"/>
  <c r="AC262" i="6"/>
  <c r="AC255" i="6"/>
  <c r="AC291" i="6"/>
  <c r="AC272" i="6"/>
  <c r="BT261" i="6"/>
  <c r="AC284" i="6"/>
  <c r="AC310" i="6"/>
  <c r="BT298" i="6"/>
  <c r="BT291" i="6"/>
  <c r="BT301" i="6"/>
  <c r="BT328" i="6"/>
  <c r="AC313" i="6"/>
  <c r="BT327" i="6"/>
  <c r="AC336" i="6"/>
  <c r="BT334" i="6"/>
  <c r="AC339" i="6"/>
  <c r="AC365" i="6"/>
  <c r="A365" i="6" s="1"/>
  <c r="C366" i="6"/>
  <c r="AC366" i="6"/>
  <c r="A366" i="6" s="1"/>
  <c r="BT357" i="6"/>
  <c r="BT351" i="6"/>
  <c r="AC362" i="6"/>
  <c r="A362" i="6" s="1"/>
  <c r="BT373" i="6"/>
  <c r="AC380" i="6"/>
  <c r="A380" i="6" s="1"/>
  <c r="AC386" i="6"/>
  <c r="A386" i="6" s="1"/>
  <c r="AC394" i="6"/>
  <c r="A394" i="6" s="1"/>
  <c r="AC400" i="6"/>
  <c r="A400" i="6" s="1"/>
  <c r="BT386" i="6"/>
  <c r="BT424" i="6"/>
  <c r="AC403" i="6"/>
  <c r="A403" i="6" s="1"/>
  <c r="BT409" i="6"/>
  <c r="AC399" i="6"/>
  <c r="A399" i="6" s="1"/>
  <c r="AC413" i="6"/>
  <c r="A413" i="6" s="1"/>
  <c r="AC433" i="6"/>
  <c r="A433" i="6" s="1"/>
  <c r="AC434" i="6"/>
  <c r="A434" i="6" s="1"/>
  <c r="AC432" i="6"/>
  <c r="A432" i="6" s="1"/>
  <c r="BT443" i="6"/>
  <c r="AC447" i="6"/>
  <c r="A447" i="6" s="1"/>
  <c r="C447" i="6"/>
  <c r="AC455" i="6"/>
  <c r="A455" i="6" s="1"/>
  <c r="AC462" i="6"/>
  <c r="A462" i="6" s="1"/>
  <c r="AC460" i="6"/>
  <c r="A460" i="6" s="1"/>
  <c r="AH469" i="6"/>
  <c r="BT28" i="6"/>
  <c r="BT22" i="6"/>
  <c r="BT36" i="6"/>
  <c r="AC26" i="6"/>
  <c r="AC49" i="6"/>
  <c r="AC73" i="6"/>
  <c r="AC145" i="6"/>
  <c r="AC117" i="6"/>
  <c r="AC171" i="6"/>
  <c r="AC195" i="6"/>
  <c r="AC189" i="6"/>
  <c r="AC198" i="6"/>
  <c r="AC206" i="6"/>
  <c r="AC207" i="6"/>
  <c r="AC208" i="6"/>
  <c r="AC225" i="6"/>
  <c r="AC218" i="6"/>
  <c r="AC212" i="6"/>
  <c r="AC276" i="6"/>
  <c r="AC245" i="6"/>
  <c r="AC297" i="6"/>
  <c r="AC274" i="6"/>
  <c r="AC265" i="6"/>
  <c r="AC285" i="6"/>
  <c r="C302" i="6"/>
  <c r="AC302" i="6"/>
  <c r="AC295" i="6"/>
  <c r="AC280" i="6"/>
  <c r="AC308" i="6"/>
  <c r="AC330" i="6"/>
  <c r="AC312" i="6"/>
  <c r="AC329" i="6"/>
  <c r="BT329" i="6"/>
  <c r="AC342" i="6"/>
  <c r="AC338" i="6"/>
  <c r="AC340" i="6"/>
  <c r="AC361" i="6"/>
  <c r="AC355" i="6"/>
  <c r="AC377" i="6"/>
  <c r="A377" i="6" s="1"/>
  <c r="AC379" i="6"/>
  <c r="A379" i="6" s="1"/>
  <c r="AC392" i="6"/>
  <c r="A392" i="6" s="1"/>
  <c r="AC398" i="6"/>
  <c r="A398" i="6" s="1"/>
  <c r="AC390" i="6"/>
  <c r="A390" i="6" s="1"/>
  <c r="AC429" i="6"/>
  <c r="A429" i="6" s="1"/>
  <c r="AC442" i="6"/>
  <c r="A442" i="6" s="1"/>
  <c r="AC440" i="6"/>
  <c r="A440" i="6" s="1"/>
  <c r="AC436" i="6"/>
  <c r="A436" i="6" s="1"/>
  <c r="BT440" i="6"/>
  <c r="AC449" i="6"/>
  <c r="A449" i="6" s="1"/>
  <c r="AC448" i="6"/>
  <c r="A448" i="6" s="1"/>
  <c r="AC464" i="6"/>
  <c r="A464" i="6" s="1"/>
  <c r="BT462" i="6"/>
  <c r="AC19" i="6"/>
  <c r="C24" i="6"/>
  <c r="AC24" i="6"/>
  <c r="AC48" i="6"/>
  <c r="AC52" i="6"/>
  <c r="BT49" i="6"/>
  <c r="AC103" i="6"/>
  <c r="AC169" i="6"/>
  <c r="AC16" i="6"/>
  <c r="AC15" i="6"/>
  <c r="AC13" i="6"/>
  <c r="BT52" i="6"/>
  <c r="BT30" i="6"/>
  <c r="AC59" i="6"/>
  <c r="AC53" i="6"/>
  <c r="C53" i="6"/>
  <c r="AC46" i="6"/>
  <c r="AC47" i="6"/>
  <c r="AC74" i="6"/>
  <c r="AC91" i="6"/>
  <c r="AC84" i="6"/>
  <c r="AC77" i="6"/>
  <c r="BT130" i="6"/>
  <c r="AC86" i="6"/>
  <c r="AC87" i="6"/>
  <c r="AC118" i="6"/>
  <c r="C118" i="6"/>
  <c r="AC88" i="6"/>
  <c r="BT77" i="6"/>
  <c r="BT101" i="6"/>
  <c r="BT133" i="6"/>
  <c r="BT149" i="6"/>
  <c r="AC139" i="6"/>
  <c r="AC151" i="6"/>
  <c r="BT121" i="6"/>
  <c r="AC161" i="6"/>
  <c r="AC135" i="6"/>
  <c r="C128" i="6"/>
  <c r="AC128" i="6"/>
  <c r="AC152" i="6"/>
  <c r="AC186" i="6"/>
  <c r="AC170" i="6"/>
  <c r="C164" i="6"/>
  <c r="AC164" i="6"/>
  <c r="AC166" i="6"/>
  <c r="AC167" i="6"/>
  <c r="AC193" i="6"/>
  <c r="BT199" i="6"/>
  <c r="BT193" i="6"/>
  <c r="C192" i="6"/>
  <c r="AC192" i="6"/>
  <c r="AC205" i="6"/>
  <c r="AC222" i="6"/>
  <c r="BT212" i="6"/>
  <c r="AC258" i="6"/>
  <c r="BT229" i="6"/>
  <c r="BT222" i="6"/>
  <c r="BT223" i="6"/>
  <c r="AC289" i="6"/>
  <c r="AC268" i="6"/>
  <c r="BT249" i="6"/>
  <c r="BT308" i="6"/>
  <c r="AC270" i="6"/>
  <c r="AC263" i="6"/>
  <c r="AC248" i="6"/>
  <c r="AC281" i="6"/>
  <c r="C281" i="6"/>
  <c r="BT269" i="6"/>
  <c r="AC292" i="6"/>
  <c r="BT289" i="6"/>
  <c r="AC317" i="6"/>
  <c r="AC304" i="6"/>
  <c r="BT299" i="6"/>
  <c r="BT314" i="6"/>
  <c r="AC321" i="6"/>
  <c r="AC337" i="6"/>
  <c r="C333" i="6"/>
  <c r="AC333" i="6"/>
  <c r="BT331" i="6"/>
  <c r="BT343" i="6"/>
  <c r="AC344" i="6"/>
  <c r="BT377" i="6"/>
  <c r="AC370" i="6"/>
  <c r="A370" i="6" s="1"/>
  <c r="C370" i="6"/>
  <c r="AC372" i="6"/>
  <c r="A372" i="6" s="1"/>
  <c r="AC411" i="6"/>
  <c r="A411" i="6" s="1"/>
  <c r="BT393" i="6"/>
  <c r="AC405" i="6"/>
  <c r="A405" i="6" s="1"/>
  <c r="AC401" i="6"/>
  <c r="A401" i="6" s="1"/>
  <c r="BT398" i="6"/>
  <c r="BT392" i="6"/>
  <c r="AC407" i="6"/>
  <c r="A407" i="6" s="1"/>
  <c r="AC439" i="6"/>
  <c r="A439" i="6" s="1"/>
  <c r="AC423" i="6"/>
  <c r="A423" i="6" s="1"/>
  <c r="AC428" i="6"/>
  <c r="A428" i="6" s="1"/>
  <c r="AC445" i="6"/>
  <c r="A445" i="6" s="1"/>
  <c r="AC450" i="6"/>
  <c r="A450" i="6" s="1"/>
  <c r="BT449" i="6"/>
  <c r="AC468" i="6"/>
  <c r="A468" i="6" s="1"/>
  <c r="AC466" i="6"/>
  <c r="A466" i="6" s="1"/>
  <c r="AC18" i="6"/>
  <c r="F61" i="1" l="1"/>
  <c r="BR193" i="6"/>
  <c r="T193" i="6" s="1"/>
  <c r="BM193" i="6"/>
  <c r="BE193" i="6"/>
  <c r="AW193" i="6"/>
  <c r="AO193" i="6"/>
  <c r="AH396" i="6"/>
  <c r="E396" i="6" s="1"/>
  <c r="BR396" i="6"/>
  <c r="T396" i="6" s="1"/>
  <c r="BM396" i="6"/>
  <c r="BE396" i="6"/>
  <c r="AW396" i="6"/>
  <c r="K396" i="6" s="1"/>
  <c r="AO396" i="6"/>
  <c r="AH151" i="6"/>
  <c r="E151" i="6" s="1"/>
  <c r="BR151" i="6"/>
  <c r="T151" i="6" s="1"/>
  <c r="BM151" i="6"/>
  <c r="BE151" i="6"/>
  <c r="AW151" i="6"/>
  <c r="K151" i="6" s="1"/>
  <c r="AO151" i="6"/>
  <c r="AH366" i="6"/>
  <c r="E366" i="6" s="1"/>
  <c r="BR366" i="6"/>
  <c r="T366" i="6" s="1"/>
  <c r="BE366" i="6"/>
  <c r="BM366" i="6"/>
  <c r="AW366" i="6"/>
  <c r="K366" i="6" s="1"/>
  <c r="AO366" i="6"/>
  <c r="AH225" i="6"/>
  <c r="AK225" i="6" s="1"/>
  <c r="AJ225" i="6" s="1"/>
  <c r="AI225" i="6" s="1"/>
  <c r="G225" i="6" s="1"/>
  <c r="BR225" i="6"/>
  <c r="T225" i="6" s="1"/>
  <c r="BM225" i="6"/>
  <c r="BE225" i="6"/>
  <c r="AW225" i="6"/>
  <c r="AZ225" i="6" s="1"/>
  <c r="AY225" i="6" s="1"/>
  <c r="AX225" i="6" s="1"/>
  <c r="M225" i="6" s="1"/>
  <c r="AO225" i="6"/>
  <c r="AH317" i="6"/>
  <c r="AK317" i="6" s="1"/>
  <c r="AJ317" i="6" s="1"/>
  <c r="AI317" i="6" s="1"/>
  <c r="G317" i="6" s="1"/>
  <c r="BR317" i="6"/>
  <c r="T317" i="6" s="1"/>
  <c r="BM317" i="6"/>
  <c r="BE317" i="6"/>
  <c r="AW317" i="6"/>
  <c r="K317" i="6" s="1"/>
  <c r="AO317" i="6"/>
  <c r="BR308" i="6"/>
  <c r="T308" i="6" s="1"/>
  <c r="BM308" i="6"/>
  <c r="BE308" i="6"/>
  <c r="AW308" i="6"/>
  <c r="AO308" i="6"/>
  <c r="BR149" i="6"/>
  <c r="T149" i="6" s="1"/>
  <c r="BM149" i="6"/>
  <c r="BE149" i="6"/>
  <c r="AW149" i="6"/>
  <c r="AO149" i="6"/>
  <c r="BR49" i="6"/>
  <c r="T49" i="6" s="1"/>
  <c r="BM49" i="6"/>
  <c r="BE49" i="6"/>
  <c r="AW49" i="6"/>
  <c r="AO49" i="6"/>
  <c r="AH237" i="6"/>
  <c r="E237" i="6" s="1"/>
  <c r="BR237" i="6"/>
  <c r="T237" i="6" s="1"/>
  <c r="BM237" i="6"/>
  <c r="BE237" i="6"/>
  <c r="AW237" i="6"/>
  <c r="K237" i="6" s="1"/>
  <c r="AO237" i="6"/>
  <c r="AH60" i="6"/>
  <c r="AK60" i="6" s="1"/>
  <c r="AJ60" i="6" s="1"/>
  <c r="AI60" i="6" s="1"/>
  <c r="G60" i="6" s="1"/>
  <c r="BR60" i="6"/>
  <c r="T60" i="6" s="1"/>
  <c r="BE60" i="6"/>
  <c r="BM60" i="6"/>
  <c r="AW60" i="6"/>
  <c r="AZ60" i="6" s="1"/>
  <c r="AY60" i="6" s="1"/>
  <c r="AX60" i="6" s="1"/>
  <c r="M60" i="6" s="1"/>
  <c r="AO60" i="6"/>
  <c r="AH174" i="6"/>
  <c r="AK174" i="6" s="1"/>
  <c r="AJ174" i="6" s="1"/>
  <c r="AI174" i="6" s="1"/>
  <c r="G174" i="6" s="1"/>
  <c r="BM174" i="6"/>
  <c r="BR174" i="6"/>
  <c r="T174" i="6" s="1"/>
  <c r="BE174" i="6"/>
  <c r="AW174" i="6"/>
  <c r="AZ174" i="6" s="1"/>
  <c r="AY174" i="6" s="1"/>
  <c r="AX174" i="6" s="1"/>
  <c r="M174" i="6" s="1"/>
  <c r="AO174" i="6"/>
  <c r="AH87" i="6"/>
  <c r="AK87" i="6" s="1"/>
  <c r="AJ87" i="6" s="1"/>
  <c r="AI87" i="6" s="1"/>
  <c r="G87" i="6" s="1"/>
  <c r="BR87" i="6"/>
  <c r="T87" i="6" s="1"/>
  <c r="BM87" i="6"/>
  <c r="BE87" i="6"/>
  <c r="AW87" i="6"/>
  <c r="K87" i="6" s="1"/>
  <c r="AO87" i="6"/>
  <c r="AH441" i="6"/>
  <c r="AK441" i="6" s="1"/>
  <c r="AJ441" i="6" s="1"/>
  <c r="AI441" i="6" s="1"/>
  <c r="G441" i="6" s="1"/>
  <c r="BR441" i="6"/>
  <c r="T441" i="6" s="1"/>
  <c r="BM441" i="6"/>
  <c r="BE441" i="6"/>
  <c r="AW441" i="6"/>
  <c r="AZ441" i="6" s="1"/>
  <c r="AY441" i="6" s="1"/>
  <c r="AX441" i="6" s="1"/>
  <c r="M441" i="6" s="1"/>
  <c r="AO441" i="6"/>
  <c r="BM69" i="6"/>
  <c r="BR69" i="6"/>
  <c r="T69" i="6" s="1"/>
  <c r="BE69" i="6"/>
  <c r="AW69" i="6"/>
  <c r="AO69" i="6"/>
  <c r="BR309" i="6"/>
  <c r="T309" i="6" s="1"/>
  <c r="BM309" i="6"/>
  <c r="BE309" i="6"/>
  <c r="AW309" i="6"/>
  <c r="AO309" i="6"/>
  <c r="BR299" i="6"/>
  <c r="T299" i="6" s="1"/>
  <c r="BM299" i="6"/>
  <c r="BE299" i="6"/>
  <c r="AW299" i="6"/>
  <c r="AO299" i="6"/>
  <c r="BR199" i="6"/>
  <c r="T199" i="6" s="1"/>
  <c r="BM199" i="6"/>
  <c r="BE199" i="6"/>
  <c r="AW199" i="6"/>
  <c r="AO199" i="6"/>
  <c r="BR77" i="6"/>
  <c r="T77" i="6" s="1"/>
  <c r="BM77" i="6"/>
  <c r="BE77" i="6"/>
  <c r="AW77" i="6"/>
  <c r="AO77" i="6"/>
  <c r="BR30" i="6"/>
  <c r="T30" i="6" s="1"/>
  <c r="BE30" i="6"/>
  <c r="BM30" i="6"/>
  <c r="AW30" i="6"/>
  <c r="AO30" i="6"/>
  <c r="BR36" i="6"/>
  <c r="T36" i="6" s="1"/>
  <c r="BM36" i="6"/>
  <c r="BE36" i="6"/>
  <c r="AW36" i="6"/>
  <c r="AO36" i="6"/>
  <c r="BR102" i="6"/>
  <c r="T102" i="6" s="1"/>
  <c r="BM102" i="6"/>
  <c r="BE102" i="6"/>
  <c r="AW102" i="6"/>
  <c r="AO102" i="6"/>
  <c r="BR398" i="6"/>
  <c r="T398" i="6" s="1"/>
  <c r="BE398" i="6"/>
  <c r="BM398" i="6"/>
  <c r="AW398" i="6"/>
  <c r="AO398" i="6"/>
  <c r="BR223" i="6"/>
  <c r="T223" i="6" s="1"/>
  <c r="BM223" i="6"/>
  <c r="BE223" i="6"/>
  <c r="AW223" i="6"/>
  <c r="AO223" i="6"/>
  <c r="BR121" i="6"/>
  <c r="T121" i="6" s="1"/>
  <c r="BM121" i="6"/>
  <c r="BE121" i="6"/>
  <c r="AW121" i="6"/>
  <c r="AO121" i="6"/>
  <c r="BR301" i="6"/>
  <c r="T301" i="6" s="1"/>
  <c r="BM301" i="6"/>
  <c r="BE301" i="6"/>
  <c r="AW301" i="6"/>
  <c r="AO301" i="6"/>
  <c r="BR236" i="6"/>
  <c r="T236" i="6" s="1"/>
  <c r="BM236" i="6"/>
  <c r="BE236" i="6"/>
  <c r="AW236" i="6"/>
  <c r="AO236" i="6"/>
  <c r="BR194" i="6"/>
  <c r="T194" i="6" s="1"/>
  <c r="BM194" i="6"/>
  <c r="BE194" i="6"/>
  <c r="AW194" i="6"/>
  <c r="AO194" i="6"/>
  <c r="BR228" i="6"/>
  <c r="T228" i="6" s="1"/>
  <c r="BM228" i="6"/>
  <c r="BE228" i="6"/>
  <c r="AW228" i="6"/>
  <c r="AO228" i="6"/>
  <c r="BR85" i="6"/>
  <c r="T85" i="6" s="1"/>
  <c r="BM85" i="6"/>
  <c r="BE85" i="6"/>
  <c r="AW85" i="6"/>
  <c r="AO85" i="6"/>
  <c r="AH226" i="6"/>
  <c r="E226" i="6" s="1"/>
  <c r="BR226" i="6"/>
  <c r="T226" i="6" s="1"/>
  <c r="BM226" i="6"/>
  <c r="BE226" i="6"/>
  <c r="AW226" i="6"/>
  <c r="AZ226" i="6" s="1"/>
  <c r="AY226" i="6" s="1"/>
  <c r="AX226" i="6" s="1"/>
  <c r="M226" i="6" s="1"/>
  <c r="AO226" i="6"/>
  <c r="AH142" i="6"/>
  <c r="AK142" i="6" s="1"/>
  <c r="AJ142" i="6" s="1"/>
  <c r="AI142" i="6" s="1"/>
  <c r="G142" i="6" s="1"/>
  <c r="BR142" i="6"/>
  <c r="T142" i="6" s="1"/>
  <c r="BM142" i="6"/>
  <c r="BE142" i="6"/>
  <c r="AW142" i="6"/>
  <c r="K142" i="6" s="1"/>
  <c r="AO142" i="6"/>
  <c r="AH429" i="6"/>
  <c r="AK429" i="6" s="1"/>
  <c r="AJ429" i="6" s="1"/>
  <c r="AI429" i="6" s="1"/>
  <c r="G429" i="6" s="1"/>
  <c r="BR429" i="6"/>
  <c r="T429" i="6" s="1"/>
  <c r="BM429" i="6"/>
  <c r="BE429" i="6"/>
  <c r="AW429" i="6"/>
  <c r="AZ429" i="6" s="1"/>
  <c r="AY429" i="6" s="1"/>
  <c r="AX429" i="6" s="1"/>
  <c r="M429" i="6" s="1"/>
  <c r="AO429" i="6"/>
  <c r="AH154" i="6"/>
  <c r="AK154" i="6" s="1"/>
  <c r="AJ154" i="6" s="1"/>
  <c r="AI154" i="6" s="1"/>
  <c r="G154" i="6" s="1"/>
  <c r="BR154" i="6"/>
  <c r="T154" i="6" s="1"/>
  <c r="BM154" i="6"/>
  <c r="BE154" i="6"/>
  <c r="AW154" i="6"/>
  <c r="K154" i="6" s="1"/>
  <c r="AO154" i="6"/>
  <c r="AH339" i="6"/>
  <c r="AK339" i="6" s="1"/>
  <c r="AJ339" i="6" s="1"/>
  <c r="AI339" i="6" s="1"/>
  <c r="G339" i="6" s="1"/>
  <c r="BR339" i="6"/>
  <c r="T339" i="6" s="1"/>
  <c r="BM339" i="6"/>
  <c r="BE339" i="6"/>
  <c r="AW339" i="6"/>
  <c r="AZ339" i="6" s="1"/>
  <c r="AY339" i="6" s="1"/>
  <c r="AX339" i="6" s="1"/>
  <c r="M339" i="6" s="1"/>
  <c r="AO339" i="6"/>
  <c r="AH417" i="6"/>
  <c r="AK417" i="6" s="1"/>
  <c r="AJ417" i="6" s="1"/>
  <c r="AI417" i="6" s="1"/>
  <c r="G417" i="6" s="1"/>
  <c r="BR417" i="6"/>
  <c r="T417" i="6" s="1"/>
  <c r="BM417" i="6"/>
  <c r="BE417" i="6"/>
  <c r="AW417" i="6"/>
  <c r="K417" i="6" s="1"/>
  <c r="AO417" i="6"/>
  <c r="BR443" i="6"/>
  <c r="T443" i="6" s="1"/>
  <c r="BM443" i="6"/>
  <c r="BE443" i="6"/>
  <c r="AW443" i="6"/>
  <c r="AO443" i="6"/>
  <c r="BR424" i="6"/>
  <c r="T424" i="6" s="1"/>
  <c r="BM424" i="6"/>
  <c r="BE424" i="6"/>
  <c r="AW424" i="6"/>
  <c r="AO424" i="6"/>
  <c r="BR183" i="6"/>
  <c r="T183" i="6" s="1"/>
  <c r="BM183" i="6"/>
  <c r="BE183" i="6"/>
  <c r="AW183" i="6"/>
  <c r="AO183" i="6"/>
  <c r="BR463" i="6"/>
  <c r="T463" i="6" s="1"/>
  <c r="BM463" i="6"/>
  <c r="BE463" i="6"/>
  <c r="AW463" i="6"/>
  <c r="AO463" i="6"/>
  <c r="AH448" i="6"/>
  <c r="BR448" i="6"/>
  <c r="T448" i="6" s="1"/>
  <c r="BM448" i="6"/>
  <c r="BE448" i="6"/>
  <c r="AW448" i="6"/>
  <c r="K448" i="6" s="1"/>
  <c r="AO448" i="6"/>
  <c r="AH246" i="6"/>
  <c r="AK246" i="6" s="1"/>
  <c r="AJ246" i="6" s="1"/>
  <c r="AI246" i="6" s="1"/>
  <c r="G246" i="6" s="1"/>
  <c r="BR246" i="6"/>
  <c r="T246" i="6" s="1"/>
  <c r="BM246" i="6"/>
  <c r="BE246" i="6"/>
  <c r="AW246" i="6"/>
  <c r="AZ246" i="6" s="1"/>
  <c r="AY246" i="6" s="1"/>
  <c r="AX246" i="6" s="1"/>
  <c r="M246" i="6" s="1"/>
  <c r="AO246" i="6"/>
  <c r="BR31" i="6"/>
  <c r="T31" i="6" s="1"/>
  <c r="BM31" i="6"/>
  <c r="BE31" i="6"/>
  <c r="AW31" i="6"/>
  <c r="AO31" i="6"/>
  <c r="BR123" i="6"/>
  <c r="T123" i="6" s="1"/>
  <c r="BM123" i="6"/>
  <c r="BE123" i="6"/>
  <c r="AW123" i="6"/>
  <c r="AO123" i="6"/>
  <c r="BR289" i="6"/>
  <c r="T289" i="6" s="1"/>
  <c r="BM289" i="6"/>
  <c r="BE289" i="6"/>
  <c r="AW289" i="6"/>
  <c r="AO289" i="6"/>
  <c r="BR229" i="6"/>
  <c r="T229" i="6" s="1"/>
  <c r="BM229" i="6"/>
  <c r="BE229" i="6"/>
  <c r="AW229" i="6"/>
  <c r="AO229" i="6"/>
  <c r="BR298" i="6"/>
  <c r="T298" i="6" s="1"/>
  <c r="BM298" i="6"/>
  <c r="BE298" i="6"/>
  <c r="AW298" i="6"/>
  <c r="AO298" i="6"/>
  <c r="BR191" i="6"/>
  <c r="T191" i="6" s="1"/>
  <c r="BM191" i="6"/>
  <c r="BE191" i="6"/>
  <c r="AW191" i="6"/>
  <c r="AO191" i="6"/>
  <c r="AH205" i="6"/>
  <c r="E205" i="6" s="1"/>
  <c r="BR205" i="6"/>
  <c r="T205" i="6" s="1"/>
  <c r="BM205" i="6"/>
  <c r="BE205" i="6"/>
  <c r="AW205" i="6"/>
  <c r="K205" i="6" s="1"/>
  <c r="AO205" i="6"/>
  <c r="AH192" i="6"/>
  <c r="AK192" i="6" s="1"/>
  <c r="AJ192" i="6" s="1"/>
  <c r="AI192" i="6" s="1"/>
  <c r="G192" i="6" s="1"/>
  <c r="BR192" i="6"/>
  <c r="T192" i="6" s="1"/>
  <c r="BM192" i="6"/>
  <c r="BE192" i="6"/>
  <c r="AW192" i="6"/>
  <c r="AZ192" i="6" s="1"/>
  <c r="AY192" i="6" s="1"/>
  <c r="AX192" i="6" s="1"/>
  <c r="M192" i="6" s="1"/>
  <c r="AO192" i="6"/>
  <c r="BR327" i="6"/>
  <c r="T327" i="6" s="1"/>
  <c r="BM327" i="6"/>
  <c r="BE327" i="6"/>
  <c r="AW327" i="6"/>
  <c r="AO327" i="6"/>
  <c r="BR314" i="6"/>
  <c r="T314" i="6" s="1"/>
  <c r="BM314" i="6"/>
  <c r="BE314" i="6"/>
  <c r="AW314" i="6"/>
  <c r="AO314" i="6"/>
  <c r="BR440" i="6"/>
  <c r="T440" i="6" s="1"/>
  <c r="BM440" i="6"/>
  <c r="BE440" i="6"/>
  <c r="AW440" i="6"/>
  <c r="AO440" i="6"/>
  <c r="BR449" i="6"/>
  <c r="T449" i="6" s="1"/>
  <c r="BM449" i="6"/>
  <c r="BE449" i="6"/>
  <c r="AW449" i="6"/>
  <c r="AO449" i="6"/>
  <c r="BR357" i="6"/>
  <c r="T357" i="6" s="1"/>
  <c r="BM357" i="6"/>
  <c r="BE357" i="6"/>
  <c r="AW357" i="6"/>
  <c r="AO357" i="6"/>
  <c r="BM112" i="6"/>
  <c r="BR112" i="6"/>
  <c r="T112" i="6" s="1"/>
  <c r="BE112" i="6"/>
  <c r="AW112" i="6"/>
  <c r="AO112" i="6"/>
  <c r="BR358" i="6"/>
  <c r="T358" i="6" s="1"/>
  <c r="BM358" i="6"/>
  <c r="BE358" i="6"/>
  <c r="AW358" i="6"/>
  <c r="AO358" i="6"/>
  <c r="AH434" i="6"/>
  <c r="BR434" i="6"/>
  <c r="T434" i="6" s="1"/>
  <c r="BM434" i="6"/>
  <c r="BE434" i="6"/>
  <c r="AW434" i="6"/>
  <c r="K434" i="6" s="1"/>
  <c r="AO434" i="6"/>
  <c r="AH198" i="6"/>
  <c r="AK198" i="6" s="1"/>
  <c r="AJ198" i="6" s="1"/>
  <c r="AI198" i="6" s="1"/>
  <c r="G198" i="6" s="1"/>
  <c r="BR198" i="6"/>
  <c r="T198" i="6" s="1"/>
  <c r="BM198" i="6"/>
  <c r="BE198" i="6"/>
  <c r="AW198" i="6"/>
  <c r="K198" i="6" s="1"/>
  <c r="AO198" i="6"/>
  <c r="AH330" i="6"/>
  <c r="BR330" i="6"/>
  <c r="T330" i="6" s="1"/>
  <c r="BM330" i="6"/>
  <c r="BE330" i="6"/>
  <c r="AW330" i="6"/>
  <c r="AZ330" i="6" s="1"/>
  <c r="AY330" i="6" s="1"/>
  <c r="AX330" i="6" s="1"/>
  <c r="M330" i="6" s="1"/>
  <c r="AO330" i="6"/>
  <c r="AH131" i="6"/>
  <c r="AK131" i="6" s="1"/>
  <c r="AJ131" i="6" s="1"/>
  <c r="AI131" i="6" s="1"/>
  <c r="G131" i="6" s="1"/>
  <c r="BR131" i="6"/>
  <c r="T131" i="6" s="1"/>
  <c r="BM131" i="6"/>
  <c r="BE131" i="6"/>
  <c r="AW131" i="6"/>
  <c r="AZ131" i="6" s="1"/>
  <c r="AY131" i="6" s="1"/>
  <c r="AX131" i="6" s="1"/>
  <c r="M131" i="6" s="1"/>
  <c r="AO131" i="6"/>
  <c r="AH11" i="6"/>
  <c r="BR11" i="6"/>
  <c r="T11" i="6" s="1"/>
  <c r="BM11" i="6"/>
  <c r="BE11" i="6"/>
  <c r="AW11" i="6"/>
  <c r="AZ11" i="6" s="1"/>
  <c r="AY11" i="6" s="1"/>
  <c r="AX11" i="6" s="1"/>
  <c r="M11" i="6" s="1"/>
  <c r="AO11" i="6"/>
  <c r="AH91" i="6"/>
  <c r="AK91" i="6" s="1"/>
  <c r="AJ91" i="6" s="1"/>
  <c r="AI91" i="6" s="1"/>
  <c r="G91" i="6" s="1"/>
  <c r="BR91" i="6"/>
  <c r="T91" i="6" s="1"/>
  <c r="BM91" i="6"/>
  <c r="BE91" i="6"/>
  <c r="AW91" i="6"/>
  <c r="AZ91" i="6" s="1"/>
  <c r="AY91" i="6" s="1"/>
  <c r="AX91" i="6" s="1"/>
  <c r="M91" i="6" s="1"/>
  <c r="AO91" i="6"/>
  <c r="AH312" i="6"/>
  <c r="BR312" i="6"/>
  <c r="T312" i="6" s="1"/>
  <c r="BM312" i="6"/>
  <c r="BE312" i="6"/>
  <c r="AW312" i="6"/>
  <c r="AZ312" i="6" s="1"/>
  <c r="AY312" i="6" s="1"/>
  <c r="AX312" i="6" s="1"/>
  <c r="M312" i="6" s="1"/>
  <c r="AO312" i="6"/>
  <c r="AH294" i="6"/>
  <c r="AK294" i="6" s="1"/>
  <c r="AJ294" i="6" s="1"/>
  <c r="AI294" i="6" s="1"/>
  <c r="G294" i="6" s="1"/>
  <c r="BR294" i="6"/>
  <c r="T294" i="6" s="1"/>
  <c r="BM294" i="6"/>
  <c r="BE294" i="6"/>
  <c r="AW294" i="6"/>
  <c r="AZ294" i="6" s="1"/>
  <c r="AY294" i="6" s="1"/>
  <c r="AX294" i="6" s="1"/>
  <c r="M294" i="6" s="1"/>
  <c r="AO294" i="6"/>
  <c r="BR393" i="6"/>
  <c r="T393" i="6" s="1"/>
  <c r="BE393" i="6"/>
  <c r="BM393" i="6"/>
  <c r="AW393" i="6"/>
  <c r="AO393" i="6"/>
  <c r="BR329" i="6"/>
  <c r="T329" i="6" s="1"/>
  <c r="BM329" i="6"/>
  <c r="BE329" i="6"/>
  <c r="AW329" i="6"/>
  <c r="AO329" i="6"/>
  <c r="BR261" i="6"/>
  <c r="T261" i="6" s="1"/>
  <c r="BM261" i="6"/>
  <c r="BE261" i="6"/>
  <c r="AW261" i="6"/>
  <c r="AO261" i="6"/>
  <c r="BR254" i="6"/>
  <c r="T254" i="6" s="1"/>
  <c r="BM254" i="6"/>
  <c r="BE254" i="6"/>
  <c r="AW254" i="6"/>
  <c r="AO254" i="6"/>
  <c r="BR239" i="6"/>
  <c r="T239" i="6" s="1"/>
  <c r="BM239" i="6"/>
  <c r="BE239" i="6"/>
  <c r="AW239" i="6"/>
  <c r="AO239" i="6"/>
  <c r="BR35" i="6"/>
  <c r="T35" i="6" s="1"/>
  <c r="BM35" i="6"/>
  <c r="BE35" i="6"/>
  <c r="AW35" i="6"/>
  <c r="AO35" i="6"/>
  <c r="BR99" i="6"/>
  <c r="T99" i="6" s="1"/>
  <c r="BM99" i="6"/>
  <c r="BE99" i="6"/>
  <c r="AW99" i="6"/>
  <c r="AO99" i="6"/>
  <c r="BR10" i="6"/>
  <c r="T10" i="6" s="1"/>
  <c r="BM10" i="6"/>
  <c r="BE10" i="6"/>
  <c r="AW10" i="6"/>
  <c r="AO10" i="6"/>
  <c r="BR384" i="6"/>
  <c r="T384" i="6" s="1"/>
  <c r="BM384" i="6"/>
  <c r="BE384" i="6"/>
  <c r="AW384" i="6"/>
  <c r="AO384" i="6"/>
  <c r="BR275" i="6"/>
  <c r="T275" i="6" s="1"/>
  <c r="BM275" i="6"/>
  <c r="BE275" i="6"/>
  <c r="AW275" i="6"/>
  <c r="AO275" i="6"/>
  <c r="BR204" i="6"/>
  <c r="T204" i="6" s="1"/>
  <c r="BM204" i="6"/>
  <c r="BE204" i="6"/>
  <c r="AW204" i="6"/>
  <c r="AO204" i="6"/>
  <c r="AH224" i="6"/>
  <c r="BR224" i="6"/>
  <c r="T224" i="6" s="1"/>
  <c r="BM224" i="6"/>
  <c r="BE224" i="6"/>
  <c r="AW224" i="6"/>
  <c r="AZ224" i="6" s="1"/>
  <c r="AY224" i="6" s="1"/>
  <c r="AX224" i="6" s="1"/>
  <c r="M224" i="6" s="1"/>
  <c r="AO224" i="6"/>
  <c r="AH271" i="6"/>
  <c r="E271" i="6" s="1"/>
  <c r="BR271" i="6"/>
  <c r="T271" i="6" s="1"/>
  <c r="BM271" i="6"/>
  <c r="BE271" i="6"/>
  <c r="AW271" i="6"/>
  <c r="AZ271" i="6" s="1"/>
  <c r="AY271" i="6" s="1"/>
  <c r="AX271" i="6" s="1"/>
  <c r="M271" i="6" s="1"/>
  <c r="AO271" i="6"/>
  <c r="AH454" i="6"/>
  <c r="AK454" i="6" s="1"/>
  <c r="AJ454" i="6" s="1"/>
  <c r="AI454" i="6" s="1"/>
  <c r="G454" i="6" s="1"/>
  <c r="BR454" i="6"/>
  <c r="T454" i="6" s="1"/>
  <c r="BM454" i="6"/>
  <c r="BE454" i="6"/>
  <c r="AW454" i="6"/>
  <c r="AZ454" i="6" s="1"/>
  <c r="AY454" i="6" s="1"/>
  <c r="AX454" i="6" s="1"/>
  <c r="M454" i="6" s="1"/>
  <c r="AO454" i="6"/>
  <c r="BR34" i="6"/>
  <c r="T34" i="6" s="1"/>
  <c r="BM34" i="6"/>
  <c r="BE34" i="6"/>
  <c r="AW34" i="6"/>
  <c r="K34" i="6" s="1"/>
  <c r="AO34" i="6"/>
  <c r="BR343" i="6"/>
  <c r="T343" i="6" s="1"/>
  <c r="BM343" i="6"/>
  <c r="BE343" i="6"/>
  <c r="AW343" i="6"/>
  <c r="AO343" i="6"/>
  <c r="BR101" i="6"/>
  <c r="T101" i="6" s="1"/>
  <c r="BM101" i="6"/>
  <c r="BE101" i="6"/>
  <c r="AW101" i="6"/>
  <c r="AO101" i="6"/>
  <c r="BR350" i="6"/>
  <c r="T350" i="6" s="1"/>
  <c r="BE350" i="6"/>
  <c r="BM350" i="6"/>
  <c r="AW350" i="6"/>
  <c r="AO350" i="6"/>
  <c r="BR71" i="6"/>
  <c r="T71" i="6" s="1"/>
  <c r="BM71" i="6"/>
  <c r="BE71" i="6"/>
  <c r="AW71" i="6"/>
  <c r="AO71" i="6"/>
  <c r="BR129" i="6"/>
  <c r="T129" i="6" s="1"/>
  <c r="BM129" i="6"/>
  <c r="BE129" i="6"/>
  <c r="AW129" i="6"/>
  <c r="AO129" i="6"/>
  <c r="AH240" i="6"/>
  <c r="AK240" i="6" s="1"/>
  <c r="AJ240" i="6" s="1"/>
  <c r="AI240" i="6" s="1"/>
  <c r="G240" i="6" s="1"/>
  <c r="BR240" i="6"/>
  <c r="T240" i="6" s="1"/>
  <c r="BM240" i="6"/>
  <c r="BE240" i="6"/>
  <c r="AW240" i="6"/>
  <c r="AZ240" i="6" s="1"/>
  <c r="AY240" i="6" s="1"/>
  <c r="AX240" i="6" s="1"/>
  <c r="M240" i="6" s="1"/>
  <c r="AO240" i="6"/>
  <c r="AH265" i="6"/>
  <c r="E265" i="6" s="1"/>
  <c r="BR265" i="6"/>
  <c r="T265" i="6" s="1"/>
  <c r="BM265" i="6"/>
  <c r="BE265" i="6"/>
  <c r="AW265" i="6"/>
  <c r="K265" i="6" s="1"/>
  <c r="AO265" i="6"/>
  <c r="AH81" i="6"/>
  <c r="AK81" i="6" s="1"/>
  <c r="AJ81" i="6" s="1"/>
  <c r="AI81" i="6" s="1"/>
  <c r="G81" i="6" s="1"/>
  <c r="BR81" i="6"/>
  <c r="T81" i="6" s="1"/>
  <c r="BM81" i="6"/>
  <c r="BE81" i="6"/>
  <c r="AW81" i="6"/>
  <c r="AZ81" i="6" s="1"/>
  <c r="AY81" i="6" s="1"/>
  <c r="AX81" i="6" s="1"/>
  <c r="M81" i="6" s="1"/>
  <c r="AO81" i="6"/>
  <c r="BM168" i="6"/>
  <c r="BR168" i="6"/>
  <c r="T168" i="6" s="1"/>
  <c r="BE168" i="6"/>
  <c r="AW168" i="6"/>
  <c r="K168" i="6" s="1"/>
  <c r="AO168" i="6"/>
  <c r="BR405" i="6"/>
  <c r="T405" i="6" s="1"/>
  <c r="BM405" i="6"/>
  <c r="Q405" i="6" s="1"/>
  <c r="BE405" i="6"/>
  <c r="AW405" i="6"/>
  <c r="K405" i="6" s="1"/>
  <c r="AO405" i="6"/>
  <c r="H405" i="6" s="1"/>
  <c r="BR316" i="6"/>
  <c r="T316" i="6" s="1"/>
  <c r="BM316" i="6"/>
  <c r="BE316" i="6"/>
  <c r="N316" i="6" s="1"/>
  <c r="AW316" i="6"/>
  <c r="AZ316" i="6" s="1"/>
  <c r="AY316" i="6" s="1"/>
  <c r="AX316" i="6" s="1"/>
  <c r="M316" i="6" s="1"/>
  <c r="AO316" i="6"/>
  <c r="AR316" i="6" s="1"/>
  <c r="AQ316" i="6" s="1"/>
  <c r="AP316" i="6" s="1"/>
  <c r="J316" i="6" s="1"/>
  <c r="BR227" i="6"/>
  <c r="T227" i="6" s="1"/>
  <c r="BM227" i="6"/>
  <c r="Q227" i="6" s="1"/>
  <c r="BE227" i="6"/>
  <c r="N227" i="6" s="1"/>
  <c r="AW227" i="6"/>
  <c r="K227" i="6" s="1"/>
  <c r="AO227" i="6"/>
  <c r="AH227" i="6"/>
  <c r="AK227" i="6" s="1"/>
  <c r="AJ227" i="6" s="1"/>
  <c r="AI227" i="6" s="1"/>
  <c r="G227" i="6" s="1"/>
  <c r="BR120" i="6"/>
  <c r="T120" i="6" s="1"/>
  <c r="BM120" i="6"/>
  <c r="BE120" i="6"/>
  <c r="AW120" i="6"/>
  <c r="K120" i="6" s="1"/>
  <c r="AO120" i="6"/>
  <c r="H120" i="6" s="1"/>
  <c r="BR313" i="6"/>
  <c r="T313" i="6" s="1"/>
  <c r="BM313" i="6"/>
  <c r="BE313" i="6"/>
  <c r="N313" i="6" s="1"/>
  <c r="AW313" i="6"/>
  <c r="K313" i="6" s="1"/>
  <c r="AO313" i="6"/>
  <c r="H313" i="6" s="1"/>
  <c r="BR164" i="6"/>
  <c r="T164" i="6" s="1"/>
  <c r="BM164" i="6"/>
  <c r="Q164" i="6" s="1"/>
  <c r="BE164" i="6"/>
  <c r="N164" i="6" s="1"/>
  <c r="AW164" i="6"/>
  <c r="AZ164" i="6" s="1"/>
  <c r="AY164" i="6" s="1"/>
  <c r="AX164" i="6" s="1"/>
  <c r="M164" i="6" s="1"/>
  <c r="AO164" i="6"/>
  <c r="BR19" i="6"/>
  <c r="T19" i="6" s="1"/>
  <c r="BM19" i="6"/>
  <c r="Q19" i="6" s="1"/>
  <c r="BE19" i="6"/>
  <c r="N19" i="6" s="1"/>
  <c r="AW19" i="6"/>
  <c r="AO19" i="6"/>
  <c r="H19" i="6" s="1"/>
  <c r="BM144" i="6"/>
  <c r="BR144" i="6"/>
  <c r="T144" i="6" s="1"/>
  <c r="BE144" i="6"/>
  <c r="AW144" i="6"/>
  <c r="AZ144" i="6" s="1"/>
  <c r="AY144" i="6" s="1"/>
  <c r="AX144" i="6" s="1"/>
  <c r="M144" i="6" s="1"/>
  <c r="AO144" i="6"/>
  <c r="AH144" i="6"/>
  <c r="BR37" i="6"/>
  <c r="T37" i="6" s="1"/>
  <c r="BM37" i="6"/>
  <c r="Q37" i="6" s="1"/>
  <c r="BE37" i="6"/>
  <c r="N37" i="6" s="1"/>
  <c r="AW37" i="6"/>
  <c r="AZ37" i="6" s="1"/>
  <c r="AY37" i="6" s="1"/>
  <c r="AX37" i="6" s="1"/>
  <c r="M37" i="6" s="1"/>
  <c r="AO37" i="6"/>
  <c r="AH37" i="6"/>
  <c r="E37" i="6" s="1"/>
  <c r="BR305" i="6"/>
  <c r="T305" i="6" s="1"/>
  <c r="BM305" i="6"/>
  <c r="BE305" i="6"/>
  <c r="AW305" i="6"/>
  <c r="AZ305" i="6" s="1"/>
  <c r="AY305" i="6" s="1"/>
  <c r="AX305" i="6" s="1"/>
  <c r="M305" i="6" s="1"/>
  <c r="AO305" i="6"/>
  <c r="BR364" i="6"/>
  <c r="T364" i="6" s="1"/>
  <c r="BM364" i="6"/>
  <c r="Q364" i="6" s="1"/>
  <c r="BE364" i="6"/>
  <c r="N364" i="6" s="1"/>
  <c r="AW364" i="6"/>
  <c r="AZ364" i="6" s="1"/>
  <c r="AY364" i="6" s="1"/>
  <c r="AX364" i="6" s="1"/>
  <c r="M364" i="6" s="1"/>
  <c r="AO364" i="6"/>
  <c r="BR122" i="6"/>
  <c r="T122" i="6" s="1"/>
  <c r="BM122" i="6"/>
  <c r="Q122" i="6" s="1"/>
  <c r="BE122" i="6"/>
  <c r="N122" i="6" s="1"/>
  <c r="AW122" i="6"/>
  <c r="AZ122" i="6" s="1"/>
  <c r="AY122" i="6" s="1"/>
  <c r="AX122" i="6" s="1"/>
  <c r="M122" i="6" s="1"/>
  <c r="AO122" i="6"/>
  <c r="AH122" i="6"/>
  <c r="E122" i="6" s="1"/>
  <c r="BR447" i="6"/>
  <c r="T447" i="6" s="1"/>
  <c r="BM447" i="6"/>
  <c r="BE447" i="6"/>
  <c r="AW447" i="6"/>
  <c r="AZ447" i="6" s="1"/>
  <c r="AY447" i="6" s="1"/>
  <c r="AX447" i="6" s="1"/>
  <c r="M447" i="6" s="1"/>
  <c r="AO447" i="6"/>
  <c r="H447" i="6" s="1"/>
  <c r="AH447" i="6"/>
  <c r="E447" i="6" s="1"/>
  <c r="BR394" i="6"/>
  <c r="T394" i="6" s="1"/>
  <c r="BM394" i="6"/>
  <c r="BE394" i="6"/>
  <c r="AW394" i="6"/>
  <c r="K394" i="6" s="1"/>
  <c r="AO394" i="6"/>
  <c r="BR234" i="6"/>
  <c r="T234" i="6" s="1"/>
  <c r="BM234" i="6"/>
  <c r="Q234" i="6" s="1"/>
  <c r="BE234" i="6"/>
  <c r="N234" i="6" s="1"/>
  <c r="AW234" i="6"/>
  <c r="AZ234" i="6" s="1"/>
  <c r="AY234" i="6" s="1"/>
  <c r="AX234" i="6" s="1"/>
  <c r="M234" i="6" s="1"/>
  <c r="AO234" i="6"/>
  <c r="H234" i="6" s="1"/>
  <c r="BR39" i="6"/>
  <c r="T39" i="6" s="1"/>
  <c r="BM39" i="6"/>
  <c r="BE39" i="6"/>
  <c r="AW39" i="6"/>
  <c r="K39" i="6" s="1"/>
  <c r="AO39" i="6"/>
  <c r="H39" i="6" s="1"/>
  <c r="BR303" i="6"/>
  <c r="T303" i="6" s="1"/>
  <c r="BM303" i="6"/>
  <c r="Q303" i="6" s="1"/>
  <c r="BE303" i="6"/>
  <c r="N303" i="6" s="1"/>
  <c r="AW303" i="6"/>
  <c r="AZ303" i="6" s="1"/>
  <c r="AY303" i="6" s="1"/>
  <c r="AX303" i="6" s="1"/>
  <c r="M303" i="6" s="1"/>
  <c r="AO303" i="6"/>
  <c r="H303" i="6" s="1"/>
  <c r="BR33" i="6"/>
  <c r="T33" i="6" s="1"/>
  <c r="BM33" i="6"/>
  <c r="Q33" i="6" s="1"/>
  <c r="BE33" i="6"/>
  <c r="N33" i="6" s="1"/>
  <c r="AW33" i="6"/>
  <c r="AZ33" i="6" s="1"/>
  <c r="AY33" i="6" s="1"/>
  <c r="AX33" i="6" s="1"/>
  <c r="M33" i="6" s="1"/>
  <c r="AO33" i="6"/>
  <c r="BR336" i="6"/>
  <c r="T336" i="6" s="1"/>
  <c r="BM336" i="6"/>
  <c r="Q336" i="6" s="1"/>
  <c r="BE336" i="6"/>
  <c r="N336" i="6" s="1"/>
  <c r="AW336" i="6"/>
  <c r="AO336" i="6"/>
  <c r="H336" i="6" s="1"/>
  <c r="BR377" i="6"/>
  <c r="T377" i="6" s="1"/>
  <c r="BM377" i="6"/>
  <c r="BE377" i="6"/>
  <c r="AW377" i="6"/>
  <c r="AO377" i="6"/>
  <c r="BR222" i="6"/>
  <c r="T222" i="6" s="1"/>
  <c r="BM222" i="6"/>
  <c r="BE222" i="6"/>
  <c r="AW222" i="6"/>
  <c r="AO222" i="6"/>
  <c r="BR52" i="6"/>
  <c r="T52" i="6" s="1"/>
  <c r="BM52" i="6"/>
  <c r="BE52" i="6"/>
  <c r="AW52" i="6"/>
  <c r="AO52" i="6"/>
  <c r="AH336" i="6"/>
  <c r="AK336" i="6" s="1"/>
  <c r="AJ336" i="6" s="1"/>
  <c r="AI336" i="6" s="1"/>
  <c r="G336" i="6" s="1"/>
  <c r="BR113" i="6"/>
  <c r="T113" i="6" s="1"/>
  <c r="BM113" i="6"/>
  <c r="BE113" i="6"/>
  <c r="AW113" i="6"/>
  <c r="AO113" i="6"/>
  <c r="BR44" i="6"/>
  <c r="T44" i="6" s="1"/>
  <c r="BM44" i="6"/>
  <c r="BE44" i="6"/>
  <c r="AW44" i="6"/>
  <c r="AO44" i="6"/>
  <c r="BR425" i="6"/>
  <c r="T425" i="6" s="1"/>
  <c r="BE425" i="6"/>
  <c r="BM425" i="6"/>
  <c r="AW425" i="6"/>
  <c r="AO425" i="6"/>
  <c r="BR391" i="6"/>
  <c r="T391" i="6" s="1"/>
  <c r="BM391" i="6"/>
  <c r="BE391" i="6"/>
  <c r="AW391" i="6"/>
  <c r="AO391" i="6"/>
  <c r="BR155" i="6"/>
  <c r="T155" i="6" s="1"/>
  <c r="BM155" i="6"/>
  <c r="BE155" i="6"/>
  <c r="AW155" i="6"/>
  <c r="AO155" i="6"/>
  <c r="BR467" i="6"/>
  <c r="T467" i="6" s="1"/>
  <c r="BM467" i="6"/>
  <c r="BE467" i="6"/>
  <c r="AW467" i="6"/>
  <c r="AO467" i="6"/>
  <c r="AH438" i="6"/>
  <c r="BR438" i="6"/>
  <c r="T438" i="6" s="1"/>
  <c r="BM438" i="6"/>
  <c r="BE438" i="6"/>
  <c r="AW438" i="6"/>
  <c r="AZ438" i="6" s="1"/>
  <c r="AY438" i="6" s="1"/>
  <c r="AX438" i="6" s="1"/>
  <c r="M438" i="6" s="1"/>
  <c r="AO438" i="6"/>
  <c r="AH338" i="6"/>
  <c r="E338" i="6" s="1"/>
  <c r="BR338" i="6"/>
  <c r="T338" i="6" s="1"/>
  <c r="BM338" i="6"/>
  <c r="BE338" i="6"/>
  <c r="AW338" i="6"/>
  <c r="AZ338" i="6" s="1"/>
  <c r="AY338" i="6" s="1"/>
  <c r="AX338" i="6" s="1"/>
  <c r="M338" i="6" s="1"/>
  <c r="AO338" i="6"/>
  <c r="AH187" i="6"/>
  <c r="E187" i="6" s="1"/>
  <c r="BR187" i="6"/>
  <c r="T187" i="6" s="1"/>
  <c r="BM187" i="6"/>
  <c r="BE187" i="6"/>
  <c r="AW187" i="6"/>
  <c r="AZ187" i="6" s="1"/>
  <c r="AY187" i="6" s="1"/>
  <c r="AX187" i="6" s="1"/>
  <c r="M187" i="6" s="1"/>
  <c r="AO187" i="6"/>
  <c r="AH94" i="6"/>
  <c r="AK94" i="6" s="1"/>
  <c r="AJ94" i="6" s="1"/>
  <c r="AI94" i="6" s="1"/>
  <c r="G94" i="6" s="1"/>
  <c r="BR94" i="6"/>
  <c r="T94" i="6" s="1"/>
  <c r="BE94" i="6"/>
  <c r="BM94" i="6"/>
  <c r="AW94" i="6"/>
  <c r="AZ94" i="6" s="1"/>
  <c r="AY94" i="6" s="1"/>
  <c r="AX94" i="6" s="1"/>
  <c r="M94" i="6" s="1"/>
  <c r="AO94" i="6"/>
  <c r="AH59" i="6"/>
  <c r="BR59" i="6"/>
  <c r="T59" i="6" s="1"/>
  <c r="BM59" i="6"/>
  <c r="BE59" i="6"/>
  <c r="AW59" i="6"/>
  <c r="AZ59" i="6" s="1"/>
  <c r="AY59" i="6" s="1"/>
  <c r="AX59" i="6" s="1"/>
  <c r="M59" i="6" s="1"/>
  <c r="AO59" i="6"/>
  <c r="AH389" i="6"/>
  <c r="E389" i="6" s="1"/>
  <c r="BR389" i="6"/>
  <c r="T389" i="6" s="1"/>
  <c r="BM389" i="6"/>
  <c r="BE389" i="6"/>
  <c r="AW389" i="6"/>
  <c r="AZ389" i="6" s="1"/>
  <c r="AY389" i="6" s="1"/>
  <c r="AX389" i="6" s="1"/>
  <c r="M389" i="6" s="1"/>
  <c r="AO389" i="6"/>
  <c r="AH379" i="6"/>
  <c r="E379" i="6" s="1"/>
  <c r="BR379" i="6"/>
  <c r="T379" i="6" s="1"/>
  <c r="BM379" i="6"/>
  <c r="BE379" i="6"/>
  <c r="AW379" i="6"/>
  <c r="AZ379" i="6" s="1"/>
  <c r="AY379" i="6" s="1"/>
  <c r="AX379" i="6" s="1"/>
  <c r="M379" i="6" s="1"/>
  <c r="AO379" i="6"/>
  <c r="AH325" i="6"/>
  <c r="E325" i="6" s="1"/>
  <c r="BR325" i="6"/>
  <c r="T325" i="6" s="1"/>
  <c r="BM325" i="6"/>
  <c r="BE325" i="6"/>
  <c r="AW325" i="6"/>
  <c r="AZ325" i="6" s="1"/>
  <c r="AY325" i="6" s="1"/>
  <c r="AX325" i="6" s="1"/>
  <c r="M325" i="6" s="1"/>
  <c r="AO325" i="6"/>
  <c r="AH282" i="6"/>
  <c r="BR282" i="6"/>
  <c r="T282" i="6" s="1"/>
  <c r="BM282" i="6"/>
  <c r="BE282" i="6"/>
  <c r="AW282" i="6"/>
  <c r="AZ282" i="6" s="1"/>
  <c r="AY282" i="6" s="1"/>
  <c r="AX282" i="6" s="1"/>
  <c r="M282" i="6" s="1"/>
  <c r="AO282" i="6"/>
  <c r="AH284" i="6"/>
  <c r="AK284" i="6" s="1"/>
  <c r="AJ284" i="6" s="1"/>
  <c r="AI284" i="6" s="1"/>
  <c r="G284" i="6" s="1"/>
  <c r="BR284" i="6"/>
  <c r="T284" i="6" s="1"/>
  <c r="BM284" i="6"/>
  <c r="BE284" i="6"/>
  <c r="AW284" i="6"/>
  <c r="K284" i="6" s="1"/>
  <c r="AO284" i="6"/>
  <c r="AH63" i="6"/>
  <c r="AK63" i="6" s="1"/>
  <c r="AJ63" i="6" s="1"/>
  <c r="AI63" i="6" s="1"/>
  <c r="G63" i="6" s="1"/>
  <c r="BR63" i="6"/>
  <c r="T63" i="6" s="1"/>
  <c r="BM63" i="6"/>
  <c r="BE63" i="6"/>
  <c r="AW63" i="6"/>
  <c r="AZ63" i="6" s="1"/>
  <c r="AY63" i="6" s="1"/>
  <c r="AX63" i="6" s="1"/>
  <c r="M63" i="6" s="1"/>
  <c r="AO63" i="6"/>
  <c r="AH468" i="6"/>
  <c r="E468" i="6" s="1"/>
  <c r="BR468" i="6"/>
  <c r="T468" i="6" s="1"/>
  <c r="BE468" i="6"/>
  <c r="BM468" i="6"/>
  <c r="AW468" i="6"/>
  <c r="K468" i="6" s="1"/>
  <c r="AO468" i="6"/>
  <c r="AH264" i="6"/>
  <c r="AK264" i="6" s="1"/>
  <c r="AJ264" i="6" s="1"/>
  <c r="AI264" i="6" s="1"/>
  <c r="G264" i="6" s="1"/>
  <c r="BR264" i="6"/>
  <c r="T264" i="6" s="1"/>
  <c r="BM264" i="6"/>
  <c r="BE264" i="6"/>
  <c r="AW264" i="6"/>
  <c r="AZ264" i="6" s="1"/>
  <c r="AY264" i="6" s="1"/>
  <c r="AX264" i="6" s="1"/>
  <c r="M264" i="6" s="1"/>
  <c r="AO264" i="6"/>
  <c r="AH426" i="6"/>
  <c r="E426" i="6" s="1"/>
  <c r="BR426" i="6"/>
  <c r="T426" i="6" s="1"/>
  <c r="BM426" i="6"/>
  <c r="BE426" i="6"/>
  <c r="AW426" i="6"/>
  <c r="AZ426" i="6" s="1"/>
  <c r="AY426" i="6" s="1"/>
  <c r="AX426" i="6" s="1"/>
  <c r="M426" i="6" s="1"/>
  <c r="AO426" i="6"/>
  <c r="AH353" i="6"/>
  <c r="AK353" i="6" s="1"/>
  <c r="AJ353" i="6" s="1"/>
  <c r="AI353" i="6" s="1"/>
  <c r="G353" i="6" s="1"/>
  <c r="BR353" i="6"/>
  <c r="T353" i="6" s="1"/>
  <c r="BM353" i="6"/>
  <c r="BE353" i="6"/>
  <c r="AW353" i="6"/>
  <c r="AZ353" i="6" s="1"/>
  <c r="AY353" i="6" s="1"/>
  <c r="AX353" i="6" s="1"/>
  <c r="M353" i="6" s="1"/>
  <c r="AO353" i="6"/>
  <c r="AH186" i="6"/>
  <c r="E186" i="6" s="1"/>
  <c r="BR186" i="6"/>
  <c r="T186" i="6" s="1"/>
  <c r="BM186" i="6"/>
  <c r="BE186" i="6"/>
  <c r="AW186" i="6"/>
  <c r="AZ186" i="6" s="1"/>
  <c r="AY186" i="6" s="1"/>
  <c r="AX186" i="6" s="1"/>
  <c r="M186" i="6" s="1"/>
  <c r="AO186" i="6"/>
  <c r="AH38" i="6"/>
  <c r="BR38" i="6"/>
  <c r="T38" i="6" s="1"/>
  <c r="BM38" i="6"/>
  <c r="BE38" i="6"/>
  <c r="AW38" i="6"/>
  <c r="K38" i="6" s="1"/>
  <c r="AO38" i="6"/>
  <c r="AH444" i="6"/>
  <c r="AK444" i="6" s="1"/>
  <c r="AJ444" i="6" s="1"/>
  <c r="AI444" i="6" s="1"/>
  <c r="G444" i="6" s="1"/>
  <c r="BR444" i="6"/>
  <c r="T444" i="6" s="1"/>
  <c r="BM444" i="6"/>
  <c r="BE444" i="6"/>
  <c r="AW444" i="6"/>
  <c r="AZ444" i="6" s="1"/>
  <c r="AY444" i="6" s="1"/>
  <c r="AX444" i="6" s="1"/>
  <c r="M444" i="6" s="1"/>
  <c r="AO444" i="6"/>
  <c r="AH375" i="6"/>
  <c r="AK375" i="6" s="1"/>
  <c r="AJ375" i="6" s="1"/>
  <c r="AI375" i="6" s="1"/>
  <c r="G375" i="6" s="1"/>
  <c r="BR375" i="6"/>
  <c r="T375" i="6" s="1"/>
  <c r="BM375" i="6"/>
  <c r="BE375" i="6"/>
  <c r="AW375" i="6"/>
  <c r="K375" i="6" s="1"/>
  <c r="AO375" i="6"/>
  <c r="AH363" i="6"/>
  <c r="AK363" i="6" s="1"/>
  <c r="AJ363" i="6" s="1"/>
  <c r="AI363" i="6" s="1"/>
  <c r="G363" i="6" s="1"/>
  <c r="BR363" i="6"/>
  <c r="T363" i="6" s="1"/>
  <c r="BM363" i="6"/>
  <c r="BE363" i="6"/>
  <c r="AW363" i="6"/>
  <c r="AZ363" i="6" s="1"/>
  <c r="AY363" i="6" s="1"/>
  <c r="AX363" i="6" s="1"/>
  <c r="M363" i="6" s="1"/>
  <c r="AO363" i="6"/>
  <c r="AH290" i="6"/>
  <c r="E290" i="6" s="1"/>
  <c r="BR290" i="6"/>
  <c r="T290" i="6" s="1"/>
  <c r="BM290" i="6"/>
  <c r="BE290" i="6"/>
  <c r="AW290" i="6"/>
  <c r="AZ290" i="6" s="1"/>
  <c r="AY290" i="6" s="1"/>
  <c r="AX290" i="6" s="1"/>
  <c r="M290" i="6" s="1"/>
  <c r="AO290" i="6"/>
  <c r="AH380" i="6"/>
  <c r="AK380" i="6" s="1"/>
  <c r="AJ380" i="6" s="1"/>
  <c r="AI380" i="6" s="1"/>
  <c r="G380" i="6" s="1"/>
  <c r="BR380" i="6"/>
  <c r="T380" i="6" s="1"/>
  <c r="BM380" i="6"/>
  <c r="BE380" i="6"/>
  <c r="AW380" i="6"/>
  <c r="AZ380" i="6" s="1"/>
  <c r="AY380" i="6" s="1"/>
  <c r="AX380" i="6" s="1"/>
  <c r="M380" i="6" s="1"/>
  <c r="AO380" i="6"/>
  <c r="AH370" i="6"/>
  <c r="BR370" i="6"/>
  <c r="T370" i="6" s="1"/>
  <c r="BM370" i="6"/>
  <c r="BE370" i="6"/>
  <c r="AW370" i="6"/>
  <c r="K370" i="6" s="1"/>
  <c r="AO370" i="6"/>
  <c r="AH302" i="6"/>
  <c r="AK302" i="6" s="1"/>
  <c r="AJ302" i="6" s="1"/>
  <c r="AI302" i="6" s="1"/>
  <c r="G302" i="6" s="1"/>
  <c r="BR302" i="6"/>
  <c r="T302" i="6" s="1"/>
  <c r="BM302" i="6"/>
  <c r="BE302" i="6"/>
  <c r="AW302" i="6"/>
  <c r="K302" i="6" s="1"/>
  <c r="AO302" i="6"/>
  <c r="BR259" i="6"/>
  <c r="T259" i="6" s="1"/>
  <c r="BM259" i="6"/>
  <c r="BE259" i="6"/>
  <c r="AW259" i="6"/>
  <c r="K259" i="6" s="1"/>
  <c r="AO259" i="6"/>
  <c r="AH258" i="6"/>
  <c r="E258" i="6" s="1"/>
  <c r="BR258" i="6"/>
  <c r="T258" i="6" s="1"/>
  <c r="BM258" i="6"/>
  <c r="BE258" i="6"/>
  <c r="AW258" i="6"/>
  <c r="AZ258" i="6" s="1"/>
  <c r="AY258" i="6" s="1"/>
  <c r="AX258" i="6" s="1"/>
  <c r="M258" i="6" s="1"/>
  <c r="AO258" i="6"/>
  <c r="AH92" i="6"/>
  <c r="AK92" i="6" s="1"/>
  <c r="AJ92" i="6" s="1"/>
  <c r="AI92" i="6" s="1"/>
  <c r="G92" i="6" s="1"/>
  <c r="BR92" i="6"/>
  <c r="T92" i="6" s="1"/>
  <c r="BM92" i="6"/>
  <c r="BE92" i="6"/>
  <c r="AW92" i="6"/>
  <c r="AZ92" i="6" s="1"/>
  <c r="AY92" i="6" s="1"/>
  <c r="AX92" i="6" s="1"/>
  <c r="M92" i="6" s="1"/>
  <c r="AO92" i="6"/>
  <c r="AH445" i="6"/>
  <c r="AK445" i="6" s="1"/>
  <c r="AJ445" i="6" s="1"/>
  <c r="AI445" i="6" s="1"/>
  <c r="G445" i="6" s="1"/>
  <c r="BR445" i="6"/>
  <c r="T445" i="6" s="1"/>
  <c r="BM445" i="6"/>
  <c r="BE445" i="6"/>
  <c r="AW445" i="6"/>
  <c r="K445" i="6" s="1"/>
  <c r="AO445" i="6"/>
  <c r="AH439" i="6"/>
  <c r="BR439" i="6"/>
  <c r="T439" i="6" s="1"/>
  <c r="BM439" i="6"/>
  <c r="BE439" i="6"/>
  <c r="AW439" i="6"/>
  <c r="K439" i="6" s="1"/>
  <c r="AO439" i="6"/>
  <c r="AH374" i="6"/>
  <c r="E374" i="6" s="1"/>
  <c r="BR374" i="6"/>
  <c r="T374" i="6" s="1"/>
  <c r="BM374" i="6"/>
  <c r="BE374" i="6"/>
  <c r="AW374" i="6"/>
  <c r="K374" i="6" s="1"/>
  <c r="AO374" i="6"/>
  <c r="BR270" i="6"/>
  <c r="T270" i="6" s="1"/>
  <c r="BM270" i="6"/>
  <c r="BE270" i="6"/>
  <c r="AW270" i="6"/>
  <c r="AZ270" i="6" s="1"/>
  <c r="AY270" i="6" s="1"/>
  <c r="AX270" i="6" s="1"/>
  <c r="M270" i="6" s="1"/>
  <c r="AO270" i="6"/>
  <c r="AH158" i="6"/>
  <c r="E158" i="6" s="1"/>
  <c r="BE158" i="6"/>
  <c r="BR158" i="6"/>
  <c r="T158" i="6" s="1"/>
  <c r="BM158" i="6"/>
  <c r="AW158" i="6"/>
  <c r="AZ158" i="6" s="1"/>
  <c r="AY158" i="6" s="1"/>
  <c r="AX158" i="6" s="1"/>
  <c r="M158" i="6" s="1"/>
  <c r="AO158" i="6"/>
  <c r="BR169" i="6"/>
  <c r="T169" i="6" s="1"/>
  <c r="BM169" i="6"/>
  <c r="BE169" i="6"/>
  <c r="AW169" i="6"/>
  <c r="AZ169" i="6" s="1"/>
  <c r="AY169" i="6" s="1"/>
  <c r="AX169" i="6" s="1"/>
  <c r="M169" i="6" s="1"/>
  <c r="AO169" i="6"/>
  <c r="BR66" i="6"/>
  <c r="T66" i="6" s="1"/>
  <c r="BM66" i="6"/>
  <c r="BE66" i="6"/>
  <c r="AW66" i="6"/>
  <c r="K66" i="6" s="1"/>
  <c r="AO66" i="6"/>
  <c r="BM46" i="6"/>
  <c r="BR46" i="6"/>
  <c r="T46" i="6" s="1"/>
  <c r="BE46" i="6"/>
  <c r="AW46" i="6"/>
  <c r="K46" i="6" s="1"/>
  <c r="AO46" i="6"/>
  <c r="AH9" i="6"/>
  <c r="AK9" i="6" s="1"/>
  <c r="AJ9" i="6" s="1"/>
  <c r="AI9" i="6" s="1"/>
  <c r="G9" i="6" s="1"/>
  <c r="BR9" i="6"/>
  <c r="T9" i="6" s="1"/>
  <c r="BM9" i="6"/>
  <c r="BE9" i="6"/>
  <c r="AW9" i="6"/>
  <c r="AZ9" i="6" s="1"/>
  <c r="AY9" i="6" s="1"/>
  <c r="AX9" i="6" s="1"/>
  <c r="M9" i="6" s="1"/>
  <c r="AO9" i="6"/>
  <c r="AH420" i="6"/>
  <c r="E420" i="6" s="1"/>
  <c r="BR420" i="6"/>
  <c r="T420" i="6" s="1"/>
  <c r="BM420" i="6"/>
  <c r="BE420" i="6"/>
  <c r="AW420" i="6"/>
  <c r="K420" i="6" s="1"/>
  <c r="AO420" i="6"/>
  <c r="AH372" i="6"/>
  <c r="E372" i="6" s="1"/>
  <c r="BR372" i="6"/>
  <c r="T372" i="6" s="1"/>
  <c r="BE372" i="6"/>
  <c r="BM372" i="6"/>
  <c r="AW372" i="6"/>
  <c r="AZ372" i="6" s="1"/>
  <c r="AY372" i="6" s="1"/>
  <c r="AX372" i="6" s="1"/>
  <c r="M372" i="6" s="1"/>
  <c r="AO372" i="6"/>
  <c r="AH321" i="6"/>
  <c r="BR321" i="6"/>
  <c r="T321" i="6" s="1"/>
  <c r="BE321" i="6"/>
  <c r="BM321" i="6"/>
  <c r="AO321" i="6"/>
  <c r="AW321" i="6"/>
  <c r="AZ321" i="6" s="1"/>
  <c r="AY321" i="6" s="1"/>
  <c r="AX321" i="6" s="1"/>
  <c r="M321" i="6" s="1"/>
  <c r="AH273" i="6"/>
  <c r="AK273" i="6" s="1"/>
  <c r="AJ273" i="6" s="1"/>
  <c r="AI273" i="6" s="1"/>
  <c r="G273" i="6" s="1"/>
  <c r="BR273" i="6"/>
  <c r="T273" i="6" s="1"/>
  <c r="BE273" i="6"/>
  <c r="BM273" i="6"/>
  <c r="AW273" i="6"/>
  <c r="AZ273" i="6" s="1"/>
  <c r="AY273" i="6" s="1"/>
  <c r="AX273" i="6" s="1"/>
  <c r="M273" i="6" s="1"/>
  <c r="AO273" i="6"/>
  <c r="AH248" i="6"/>
  <c r="AK248" i="6" s="1"/>
  <c r="AJ248" i="6" s="1"/>
  <c r="AI248" i="6" s="1"/>
  <c r="G248" i="6" s="1"/>
  <c r="BR248" i="6"/>
  <c r="T248" i="6" s="1"/>
  <c r="BM248" i="6"/>
  <c r="BE248" i="6"/>
  <c r="AW248" i="6"/>
  <c r="AO248" i="6"/>
  <c r="AH68" i="6"/>
  <c r="AK68" i="6" s="1"/>
  <c r="AJ68" i="6" s="1"/>
  <c r="AI68" i="6" s="1"/>
  <c r="G68" i="6" s="1"/>
  <c r="BR68" i="6"/>
  <c r="T68" i="6" s="1"/>
  <c r="BM68" i="6"/>
  <c r="BE68" i="6"/>
  <c r="AW68" i="6"/>
  <c r="AO68" i="6"/>
  <c r="AH457" i="6"/>
  <c r="AK457" i="6" s="1"/>
  <c r="AJ457" i="6" s="1"/>
  <c r="AI457" i="6" s="1"/>
  <c r="G457" i="6" s="1"/>
  <c r="BR457" i="6"/>
  <c r="T457" i="6" s="1"/>
  <c r="BE457" i="6"/>
  <c r="BM457" i="6"/>
  <c r="AW457" i="6"/>
  <c r="K457" i="6" s="1"/>
  <c r="AO457" i="6"/>
  <c r="AH421" i="6"/>
  <c r="E421" i="6" s="1"/>
  <c r="BR421" i="6"/>
  <c r="T421" i="6" s="1"/>
  <c r="BM421" i="6"/>
  <c r="BE421" i="6"/>
  <c r="AW421" i="6"/>
  <c r="AZ421" i="6" s="1"/>
  <c r="AY421" i="6" s="1"/>
  <c r="AX421" i="6" s="1"/>
  <c r="M421" i="6" s="1"/>
  <c r="AO421" i="6"/>
  <c r="AH244" i="6"/>
  <c r="AK244" i="6" s="1"/>
  <c r="AJ244" i="6" s="1"/>
  <c r="AI244" i="6" s="1"/>
  <c r="G244" i="6" s="1"/>
  <c r="BR244" i="6"/>
  <c r="T244" i="6" s="1"/>
  <c r="BM244" i="6"/>
  <c r="BE244" i="6"/>
  <c r="AW244" i="6"/>
  <c r="AZ244" i="6" s="1"/>
  <c r="AY244" i="6" s="1"/>
  <c r="AX244" i="6" s="1"/>
  <c r="M244" i="6" s="1"/>
  <c r="AO244" i="6"/>
  <c r="AH220" i="6"/>
  <c r="E220" i="6" s="1"/>
  <c r="BR220" i="6"/>
  <c r="T220" i="6" s="1"/>
  <c r="BM220" i="6"/>
  <c r="BE220" i="6"/>
  <c r="AW220" i="6"/>
  <c r="AZ220" i="6" s="1"/>
  <c r="AY220" i="6" s="1"/>
  <c r="AX220" i="6" s="1"/>
  <c r="M220" i="6" s="1"/>
  <c r="AO220" i="6"/>
  <c r="AH58" i="6"/>
  <c r="E58" i="6" s="1"/>
  <c r="BR58" i="6"/>
  <c r="T58" i="6" s="1"/>
  <c r="BM58" i="6"/>
  <c r="BE58" i="6"/>
  <c r="AW58" i="6"/>
  <c r="AZ58" i="6" s="1"/>
  <c r="AY58" i="6" s="1"/>
  <c r="AX58" i="6" s="1"/>
  <c r="M58" i="6" s="1"/>
  <c r="AO58" i="6"/>
  <c r="AH21" i="6"/>
  <c r="AK21" i="6" s="1"/>
  <c r="AJ21" i="6" s="1"/>
  <c r="AI21" i="6" s="1"/>
  <c r="G21" i="6" s="1"/>
  <c r="BR21" i="6"/>
  <c r="T21" i="6" s="1"/>
  <c r="BM21" i="6"/>
  <c r="BE21" i="6"/>
  <c r="AW21" i="6"/>
  <c r="K21" i="6" s="1"/>
  <c r="AO21" i="6"/>
  <c r="AH40" i="6"/>
  <c r="AK40" i="6" s="1"/>
  <c r="AJ40" i="6" s="1"/>
  <c r="AI40" i="6" s="1"/>
  <c r="G40" i="6" s="1"/>
  <c r="BM40" i="6"/>
  <c r="BR40" i="6"/>
  <c r="T40" i="6" s="1"/>
  <c r="BE40" i="6"/>
  <c r="AW40" i="6"/>
  <c r="K40" i="6" s="1"/>
  <c r="AO40" i="6"/>
  <c r="AH340" i="6"/>
  <c r="AK340" i="6" s="1"/>
  <c r="AJ340" i="6" s="1"/>
  <c r="AI340" i="6" s="1"/>
  <c r="G340" i="6" s="1"/>
  <c r="BR340" i="6"/>
  <c r="T340" i="6" s="1"/>
  <c r="BE340" i="6"/>
  <c r="BM340" i="6"/>
  <c r="AW340" i="6"/>
  <c r="K340" i="6" s="1"/>
  <c r="AO340" i="6"/>
  <c r="AH177" i="6"/>
  <c r="E177" i="6" s="1"/>
  <c r="BR177" i="6"/>
  <c r="T177" i="6" s="1"/>
  <c r="BM177" i="6"/>
  <c r="BE177" i="6"/>
  <c r="AW177" i="6"/>
  <c r="AZ177" i="6" s="1"/>
  <c r="AY177" i="6" s="1"/>
  <c r="AX177" i="6" s="1"/>
  <c r="M177" i="6" s="1"/>
  <c r="AO177" i="6"/>
  <c r="AH407" i="6"/>
  <c r="E407" i="6" s="1"/>
  <c r="BR407" i="6"/>
  <c r="T407" i="6" s="1"/>
  <c r="BM407" i="6"/>
  <c r="BE407" i="6"/>
  <c r="AW407" i="6"/>
  <c r="AZ407" i="6" s="1"/>
  <c r="AY407" i="6" s="1"/>
  <c r="AX407" i="6" s="1"/>
  <c r="M407" i="6" s="1"/>
  <c r="AO407" i="6"/>
  <c r="AH250" i="6"/>
  <c r="E250" i="6" s="1"/>
  <c r="BR250" i="6"/>
  <c r="T250" i="6" s="1"/>
  <c r="BM250" i="6"/>
  <c r="BE250" i="6"/>
  <c r="AW250" i="6"/>
  <c r="K250" i="6" s="1"/>
  <c r="AO250" i="6"/>
  <c r="AH208" i="6"/>
  <c r="AK208" i="6" s="1"/>
  <c r="AJ208" i="6" s="1"/>
  <c r="AI208" i="6" s="1"/>
  <c r="G208" i="6" s="1"/>
  <c r="BR208" i="6"/>
  <c r="T208" i="6" s="1"/>
  <c r="BM208" i="6"/>
  <c r="BE208" i="6"/>
  <c r="AW208" i="6"/>
  <c r="K208" i="6" s="1"/>
  <c r="AO208" i="6"/>
  <c r="AH266" i="6"/>
  <c r="AK266" i="6" s="1"/>
  <c r="AJ266" i="6" s="1"/>
  <c r="AI266" i="6" s="1"/>
  <c r="G266" i="6" s="1"/>
  <c r="BR266" i="6"/>
  <c r="T266" i="6" s="1"/>
  <c r="BM266" i="6"/>
  <c r="BE266" i="6"/>
  <c r="AW266" i="6"/>
  <c r="K266" i="6" s="1"/>
  <c r="AO266" i="6"/>
  <c r="AH387" i="6"/>
  <c r="AK387" i="6" s="1"/>
  <c r="AJ387" i="6" s="1"/>
  <c r="AI387" i="6" s="1"/>
  <c r="G387" i="6" s="1"/>
  <c r="BR387" i="6"/>
  <c r="T387" i="6" s="1"/>
  <c r="BM387" i="6"/>
  <c r="BE387" i="6"/>
  <c r="AW387" i="6"/>
  <c r="AZ387" i="6" s="1"/>
  <c r="AY387" i="6" s="1"/>
  <c r="AX387" i="6" s="1"/>
  <c r="M387" i="6" s="1"/>
  <c r="AO387" i="6"/>
  <c r="AH453" i="6"/>
  <c r="AK453" i="6" s="1"/>
  <c r="AJ453" i="6" s="1"/>
  <c r="AI453" i="6" s="1"/>
  <c r="G453" i="6" s="1"/>
  <c r="BR453" i="6"/>
  <c r="T453" i="6" s="1"/>
  <c r="BM453" i="6"/>
  <c r="BE453" i="6"/>
  <c r="AW453" i="6"/>
  <c r="AZ453" i="6" s="1"/>
  <c r="AY453" i="6" s="1"/>
  <c r="AX453" i="6" s="1"/>
  <c r="M453" i="6" s="1"/>
  <c r="AO453" i="6"/>
  <c r="AH427" i="6"/>
  <c r="E427" i="6" s="1"/>
  <c r="BR427" i="6"/>
  <c r="T427" i="6" s="1"/>
  <c r="BM427" i="6"/>
  <c r="BE427" i="6"/>
  <c r="AW427" i="6"/>
  <c r="AZ427" i="6" s="1"/>
  <c r="AY427" i="6" s="1"/>
  <c r="AX427" i="6" s="1"/>
  <c r="M427" i="6" s="1"/>
  <c r="AO427" i="6"/>
  <c r="AH166" i="6"/>
  <c r="E166" i="6" s="1"/>
  <c r="BR166" i="6"/>
  <c r="T166" i="6" s="1"/>
  <c r="BM166" i="6"/>
  <c r="BE166" i="6"/>
  <c r="AW166" i="6"/>
  <c r="K166" i="6" s="1"/>
  <c r="AO166" i="6"/>
  <c r="AH281" i="6"/>
  <c r="AK281" i="6" s="1"/>
  <c r="AJ281" i="6" s="1"/>
  <c r="AI281" i="6" s="1"/>
  <c r="G281" i="6" s="1"/>
  <c r="BR281" i="6"/>
  <c r="T281" i="6" s="1"/>
  <c r="BM281" i="6"/>
  <c r="BE281" i="6"/>
  <c r="AW281" i="6"/>
  <c r="AZ281" i="6" s="1"/>
  <c r="AY281" i="6" s="1"/>
  <c r="AX281" i="6" s="1"/>
  <c r="M281" i="6" s="1"/>
  <c r="AO281" i="6"/>
  <c r="BR89" i="6"/>
  <c r="T89" i="6" s="1"/>
  <c r="BM89" i="6"/>
  <c r="Q89" i="6" s="1"/>
  <c r="BE89" i="6"/>
  <c r="N89" i="6" s="1"/>
  <c r="AW89" i="6"/>
  <c r="AO89" i="6"/>
  <c r="H89" i="6" s="1"/>
  <c r="BR401" i="6"/>
  <c r="T401" i="6" s="1"/>
  <c r="BE401" i="6"/>
  <c r="N401" i="6" s="1"/>
  <c r="BM401" i="6"/>
  <c r="Q401" i="6" s="1"/>
  <c r="AW401" i="6"/>
  <c r="K401" i="6" s="1"/>
  <c r="AO401" i="6"/>
  <c r="H401" i="6" s="1"/>
  <c r="BR433" i="6"/>
  <c r="T433" i="6" s="1"/>
  <c r="BE433" i="6"/>
  <c r="N433" i="6" s="1"/>
  <c r="BM433" i="6"/>
  <c r="Q433" i="6" s="1"/>
  <c r="AW433" i="6"/>
  <c r="AZ433" i="6" s="1"/>
  <c r="AY433" i="6" s="1"/>
  <c r="AX433" i="6" s="1"/>
  <c r="M433" i="6" s="1"/>
  <c r="AO433" i="6"/>
  <c r="H433" i="6" s="1"/>
  <c r="BR180" i="6"/>
  <c r="T180" i="6" s="1"/>
  <c r="BM180" i="6"/>
  <c r="Q180" i="6" s="1"/>
  <c r="BE180" i="6"/>
  <c r="BH180" i="6" s="1"/>
  <c r="BG180" i="6" s="1"/>
  <c r="BF180" i="6" s="1"/>
  <c r="P180" i="6" s="1"/>
  <c r="AW180" i="6"/>
  <c r="AZ180" i="6" s="1"/>
  <c r="AY180" i="6" s="1"/>
  <c r="AX180" i="6" s="1"/>
  <c r="M180" i="6" s="1"/>
  <c r="AO180" i="6"/>
  <c r="H180" i="6" s="1"/>
  <c r="BR82" i="6"/>
  <c r="T82" i="6" s="1"/>
  <c r="BM82" i="6"/>
  <c r="Q82" i="6" s="1"/>
  <c r="BE82" i="6"/>
  <c r="AW82" i="6"/>
  <c r="K82" i="6" s="1"/>
  <c r="AO82" i="6"/>
  <c r="H82" i="6" s="1"/>
  <c r="BR278" i="6"/>
  <c r="T278" i="6" s="1"/>
  <c r="BM278" i="6"/>
  <c r="BP278" i="6" s="1"/>
  <c r="BO278" i="6" s="1"/>
  <c r="BN278" i="6" s="1"/>
  <c r="S278" i="6" s="1"/>
  <c r="BE278" i="6"/>
  <c r="N278" i="6" s="1"/>
  <c r="AW278" i="6"/>
  <c r="K278" i="6" s="1"/>
  <c r="AO278" i="6"/>
  <c r="AR278" i="6" s="1"/>
  <c r="AQ278" i="6" s="1"/>
  <c r="AP278" i="6" s="1"/>
  <c r="J278" i="6" s="1"/>
  <c r="BR32" i="6"/>
  <c r="T32" i="6" s="1"/>
  <c r="BM32" i="6"/>
  <c r="Q32" i="6" s="1"/>
  <c r="BE32" i="6"/>
  <c r="N32" i="6" s="1"/>
  <c r="AW32" i="6"/>
  <c r="AZ32" i="6" s="1"/>
  <c r="AY32" i="6" s="1"/>
  <c r="AX32" i="6" s="1"/>
  <c r="M32" i="6" s="1"/>
  <c r="AO32" i="6"/>
  <c r="H32" i="6" s="1"/>
  <c r="BR458" i="6"/>
  <c r="T458" i="6" s="1"/>
  <c r="BM458" i="6"/>
  <c r="Q458" i="6" s="1"/>
  <c r="BE458" i="6"/>
  <c r="N458" i="6" s="1"/>
  <c r="AW458" i="6"/>
  <c r="AO458" i="6"/>
  <c r="AR458" i="6" s="1"/>
  <c r="AQ458" i="6" s="1"/>
  <c r="AP458" i="6" s="1"/>
  <c r="J458" i="6" s="1"/>
  <c r="BR190" i="6"/>
  <c r="T190" i="6" s="1"/>
  <c r="BM190" i="6"/>
  <c r="Q190" i="6" s="1"/>
  <c r="BE190" i="6"/>
  <c r="N190" i="6" s="1"/>
  <c r="AW190" i="6"/>
  <c r="K190" i="6" s="1"/>
  <c r="AO190" i="6"/>
  <c r="H190" i="6" s="1"/>
  <c r="BR319" i="6"/>
  <c r="T319" i="6" s="1"/>
  <c r="BM319" i="6"/>
  <c r="BE319" i="6"/>
  <c r="BH319" i="6" s="1"/>
  <c r="BG319" i="6" s="1"/>
  <c r="BF319" i="6" s="1"/>
  <c r="P319" i="6" s="1"/>
  <c r="AW319" i="6"/>
  <c r="AZ319" i="6" s="1"/>
  <c r="AY319" i="6" s="1"/>
  <c r="AX319" i="6" s="1"/>
  <c r="M319" i="6" s="1"/>
  <c r="AO319" i="6"/>
  <c r="H319" i="6" s="1"/>
  <c r="BR165" i="6"/>
  <c r="T165" i="6" s="1"/>
  <c r="BM165" i="6"/>
  <c r="BP165" i="6" s="1"/>
  <c r="BO165" i="6" s="1"/>
  <c r="BN165" i="6" s="1"/>
  <c r="S165" i="6" s="1"/>
  <c r="BE165" i="6"/>
  <c r="N165" i="6" s="1"/>
  <c r="AW165" i="6"/>
  <c r="AZ165" i="6" s="1"/>
  <c r="AY165" i="6" s="1"/>
  <c r="AX165" i="6" s="1"/>
  <c r="M165" i="6" s="1"/>
  <c r="AO165" i="6"/>
  <c r="BR179" i="6"/>
  <c r="T179" i="6" s="1"/>
  <c r="BM179" i="6"/>
  <c r="Q179" i="6" s="1"/>
  <c r="BE179" i="6"/>
  <c r="N179" i="6" s="1"/>
  <c r="AO179" i="6"/>
  <c r="H179" i="6" s="1"/>
  <c r="AW179" i="6"/>
  <c r="K179" i="6" s="1"/>
  <c r="BR57" i="6"/>
  <c r="T57" i="6" s="1"/>
  <c r="BM57" i="6"/>
  <c r="Q57" i="6" s="1"/>
  <c r="BE57" i="6"/>
  <c r="N57" i="6" s="1"/>
  <c r="AW57" i="6"/>
  <c r="K57" i="6" s="1"/>
  <c r="AO57" i="6"/>
  <c r="BR413" i="6"/>
  <c r="T413" i="6" s="1"/>
  <c r="BM413" i="6"/>
  <c r="Q413" i="6" s="1"/>
  <c r="BE413" i="6"/>
  <c r="N413" i="6" s="1"/>
  <c r="AW413" i="6"/>
  <c r="K413" i="6" s="1"/>
  <c r="AO413" i="6"/>
  <c r="H413" i="6" s="1"/>
  <c r="BR311" i="6"/>
  <c r="T311" i="6" s="1"/>
  <c r="BM311" i="6"/>
  <c r="Q311" i="6" s="1"/>
  <c r="BE311" i="6"/>
  <c r="AW311" i="6"/>
  <c r="AO311" i="6"/>
  <c r="H311" i="6" s="1"/>
  <c r="BR262" i="6"/>
  <c r="T262" i="6" s="1"/>
  <c r="BM262" i="6"/>
  <c r="BE262" i="6"/>
  <c r="N262" i="6" s="1"/>
  <c r="AW262" i="6"/>
  <c r="AZ262" i="6" s="1"/>
  <c r="AY262" i="6" s="1"/>
  <c r="AX262" i="6" s="1"/>
  <c r="M262" i="6" s="1"/>
  <c r="AO262" i="6"/>
  <c r="H262" i="6" s="1"/>
  <c r="BR75" i="6"/>
  <c r="T75" i="6" s="1"/>
  <c r="BM75" i="6"/>
  <c r="BE75" i="6"/>
  <c r="N75" i="6" s="1"/>
  <c r="AW75" i="6"/>
  <c r="K75" i="6" s="1"/>
  <c r="AO75" i="6"/>
  <c r="H75" i="6" s="1"/>
  <c r="BM136" i="6"/>
  <c r="Q136" i="6" s="1"/>
  <c r="BR136" i="6"/>
  <c r="T136" i="6" s="1"/>
  <c r="BE136" i="6"/>
  <c r="N136" i="6" s="1"/>
  <c r="AW136" i="6"/>
  <c r="AZ136" i="6" s="1"/>
  <c r="AY136" i="6" s="1"/>
  <c r="AX136" i="6" s="1"/>
  <c r="M136" i="6" s="1"/>
  <c r="AO136" i="6"/>
  <c r="H136" i="6" s="1"/>
  <c r="BR322" i="6"/>
  <c r="T322" i="6" s="1"/>
  <c r="BM322" i="6"/>
  <c r="Q322" i="6" s="1"/>
  <c r="BE322" i="6"/>
  <c r="AW322" i="6"/>
  <c r="AZ322" i="6" s="1"/>
  <c r="AY322" i="6" s="1"/>
  <c r="AX322" i="6" s="1"/>
  <c r="M322" i="6" s="1"/>
  <c r="AO322" i="6"/>
  <c r="AR322" i="6" s="1"/>
  <c r="AQ322" i="6" s="1"/>
  <c r="AP322" i="6" s="1"/>
  <c r="J322" i="6" s="1"/>
  <c r="BR304" i="6"/>
  <c r="T304" i="6" s="1"/>
  <c r="BM304" i="6"/>
  <c r="BE304" i="6"/>
  <c r="AW304" i="6"/>
  <c r="K304" i="6" s="1"/>
  <c r="AO304" i="6"/>
  <c r="H304" i="6" s="1"/>
  <c r="BR134" i="6"/>
  <c r="T134" i="6" s="1"/>
  <c r="BM134" i="6"/>
  <c r="BE134" i="6"/>
  <c r="AW134" i="6"/>
  <c r="AO134" i="6"/>
  <c r="BR67" i="6"/>
  <c r="T67" i="6" s="1"/>
  <c r="BM67" i="6"/>
  <c r="BE67" i="6"/>
  <c r="AW67" i="6"/>
  <c r="AO67" i="6"/>
  <c r="BR230" i="6"/>
  <c r="T230" i="6" s="1"/>
  <c r="BM230" i="6"/>
  <c r="BE230" i="6"/>
  <c r="AW230" i="6"/>
  <c r="AO230" i="6"/>
  <c r="AH452" i="6"/>
  <c r="AK452" i="6" s="1"/>
  <c r="AJ452" i="6" s="1"/>
  <c r="AI452" i="6" s="1"/>
  <c r="G452" i="6" s="1"/>
  <c r="BR452" i="6"/>
  <c r="T452" i="6" s="1"/>
  <c r="BM452" i="6"/>
  <c r="BE452" i="6"/>
  <c r="AW452" i="6"/>
  <c r="AZ452" i="6" s="1"/>
  <c r="AY452" i="6" s="1"/>
  <c r="AX452" i="6" s="1"/>
  <c r="M452" i="6" s="1"/>
  <c r="AO452" i="6"/>
  <c r="AH288" i="6"/>
  <c r="E288" i="6" s="1"/>
  <c r="BR288" i="6"/>
  <c r="T288" i="6" s="1"/>
  <c r="BM288" i="6"/>
  <c r="BE288" i="6"/>
  <c r="AW288" i="6"/>
  <c r="AZ288" i="6" s="1"/>
  <c r="AY288" i="6" s="1"/>
  <c r="AX288" i="6" s="1"/>
  <c r="M288" i="6" s="1"/>
  <c r="AO288" i="6"/>
  <c r="AH201" i="6"/>
  <c r="E201" i="6" s="1"/>
  <c r="BR201" i="6"/>
  <c r="T201" i="6" s="1"/>
  <c r="BM201" i="6"/>
  <c r="BE201" i="6"/>
  <c r="AW201" i="6"/>
  <c r="K201" i="6" s="1"/>
  <c r="AO201" i="6"/>
  <c r="AH378" i="6"/>
  <c r="AK378" i="6" s="1"/>
  <c r="AJ378" i="6" s="1"/>
  <c r="AI378" i="6" s="1"/>
  <c r="G378" i="6" s="1"/>
  <c r="BR378" i="6"/>
  <c r="T378" i="6" s="1"/>
  <c r="BM378" i="6"/>
  <c r="BE378" i="6"/>
  <c r="AW378" i="6"/>
  <c r="AZ378" i="6" s="1"/>
  <c r="AY378" i="6" s="1"/>
  <c r="AX378" i="6" s="1"/>
  <c r="M378" i="6" s="1"/>
  <c r="AO378" i="6"/>
  <c r="AH148" i="6"/>
  <c r="E148" i="6" s="1"/>
  <c r="BR148" i="6"/>
  <c r="T148" i="6" s="1"/>
  <c r="BM148" i="6"/>
  <c r="BE148" i="6"/>
  <c r="AW148" i="6"/>
  <c r="AZ148" i="6" s="1"/>
  <c r="AY148" i="6" s="1"/>
  <c r="AX148" i="6" s="1"/>
  <c r="M148" i="6" s="1"/>
  <c r="AO148" i="6"/>
  <c r="AH139" i="6"/>
  <c r="E139" i="6" s="1"/>
  <c r="BR139" i="6"/>
  <c r="T139" i="6" s="1"/>
  <c r="BM139" i="6"/>
  <c r="BE139" i="6"/>
  <c r="AW139" i="6"/>
  <c r="AZ139" i="6" s="1"/>
  <c r="AY139" i="6" s="1"/>
  <c r="AX139" i="6" s="1"/>
  <c r="M139" i="6" s="1"/>
  <c r="AO139" i="6"/>
  <c r="AH455" i="6"/>
  <c r="AK455" i="6" s="1"/>
  <c r="AJ455" i="6" s="1"/>
  <c r="AI455" i="6" s="1"/>
  <c r="G455" i="6" s="1"/>
  <c r="BR455" i="6"/>
  <c r="T455" i="6" s="1"/>
  <c r="BM455" i="6"/>
  <c r="BE455" i="6"/>
  <c r="AW455" i="6"/>
  <c r="AZ455" i="6" s="1"/>
  <c r="AY455" i="6" s="1"/>
  <c r="AX455" i="6" s="1"/>
  <c r="M455" i="6" s="1"/>
  <c r="AO455" i="6"/>
  <c r="AH432" i="6"/>
  <c r="AK432" i="6" s="1"/>
  <c r="AJ432" i="6" s="1"/>
  <c r="AI432" i="6" s="1"/>
  <c r="G432" i="6" s="1"/>
  <c r="BR432" i="6"/>
  <c r="T432" i="6" s="1"/>
  <c r="BM432" i="6"/>
  <c r="BE432" i="6"/>
  <c r="AW432" i="6"/>
  <c r="AZ432" i="6" s="1"/>
  <c r="AY432" i="6" s="1"/>
  <c r="AX432" i="6" s="1"/>
  <c r="M432" i="6" s="1"/>
  <c r="AO432" i="6"/>
  <c r="AH416" i="6"/>
  <c r="E416" i="6" s="1"/>
  <c r="BR416" i="6"/>
  <c r="T416" i="6" s="1"/>
  <c r="BM416" i="6"/>
  <c r="BE416" i="6"/>
  <c r="AW416" i="6"/>
  <c r="K416" i="6" s="1"/>
  <c r="AO416" i="6"/>
  <c r="AH346" i="6"/>
  <c r="AK346" i="6" s="1"/>
  <c r="AJ346" i="6" s="1"/>
  <c r="AI346" i="6" s="1"/>
  <c r="G346" i="6" s="1"/>
  <c r="BR346" i="6"/>
  <c r="T346" i="6" s="1"/>
  <c r="BM346" i="6"/>
  <c r="BE346" i="6"/>
  <c r="AW346" i="6"/>
  <c r="AZ346" i="6" s="1"/>
  <c r="AY346" i="6" s="1"/>
  <c r="AX346" i="6" s="1"/>
  <c r="M346" i="6" s="1"/>
  <c r="AO346" i="6"/>
  <c r="AH247" i="6"/>
  <c r="AK247" i="6" s="1"/>
  <c r="AJ247" i="6" s="1"/>
  <c r="AI247" i="6" s="1"/>
  <c r="G247" i="6" s="1"/>
  <c r="BR247" i="6"/>
  <c r="T247" i="6" s="1"/>
  <c r="BM247" i="6"/>
  <c r="BE247" i="6"/>
  <c r="AW247" i="6"/>
  <c r="AZ247" i="6" s="1"/>
  <c r="AY247" i="6" s="1"/>
  <c r="AX247" i="6" s="1"/>
  <c r="M247" i="6" s="1"/>
  <c r="AO247" i="6"/>
  <c r="AH188" i="6"/>
  <c r="E188" i="6" s="1"/>
  <c r="BR188" i="6"/>
  <c r="T188" i="6" s="1"/>
  <c r="BM188" i="6"/>
  <c r="BE188" i="6"/>
  <c r="AW188" i="6"/>
  <c r="K188" i="6" s="1"/>
  <c r="AO188" i="6"/>
  <c r="AH337" i="6"/>
  <c r="E337" i="6" s="1"/>
  <c r="BR337" i="6"/>
  <c r="T337" i="6" s="1"/>
  <c r="BE337" i="6"/>
  <c r="BM337" i="6"/>
  <c r="AW337" i="6"/>
  <c r="K337" i="6" s="1"/>
  <c r="AO337" i="6"/>
  <c r="AH285" i="6"/>
  <c r="BR285" i="6"/>
  <c r="T285" i="6" s="1"/>
  <c r="BM285" i="6"/>
  <c r="BE285" i="6"/>
  <c r="AW285" i="6"/>
  <c r="K285" i="6" s="1"/>
  <c r="AO285" i="6"/>
  <c r="AH211" i="6"/>
  <c r="AK211" i="6" s="1"/>
  <c r="AJ211" i="6" s="1"/>
  <c r="AI211" i="6" s="1"/>
  <c r="G211" i="6" s="1"/>
  <c r="BR211" i="6"/>
  <c r="T211" i="6" s="1"/>
  <c r="BM211" i="6"/>
  <c r="BE211" i="6"/>
  <c r="AW211" i="6"/>
  <c r="K211" i="6" s="1"/>
  <c r="AO211" i="6"/>
  <c r="AH156" i="6"/>
  <c r="E156" i="6" s="1"/>
  <c r="BR156" i="6"/>
  <c r="T156" i="6" s="1"/>
  <c r="BM156" i="6"/>
  <c r="BE156" i="6"/>
  <c r="AW156" i="6"/>
  <c r="K156" i="6" s="1"/>
  <c r="AO156" i="6"/>
  <c r="AH111" i="6"/>
  <c r="AK111" i="6" s="1"/>
  <c r="AJ111" i="6" s="1"/>
  <c r="AI111" i="6" s="1"/>
  <c r="G111" i="6" s="1"/>
  <c r="BR111" i="6"/>
  <c r="T111" i="6" s="1"/>
  <c r="BM111" i="6"/>
  <c r="BE111" i="6"/>
  <c r="AW111" i="6"/>
  <c r="K111" i="6" s="1"/>
  <c r="AO111" i="6"/>
  <c r="AH399" i="6"/>
  <c r="BR399" i="6"/>
  <c r="T399" i="6" s="1"/>
  <c r="BM399" i="6"/>
  <c r="BE399" i="6"/>
  <c r="AW399" i="6"/>
  <c r="AZ399" i="6" s="1"/>
  <c r="AY399" i="6" s="1"/>
  <c r="AX399" i="6" s="1"/>
  <c r="M399" i="6" s="1"/>
  <c r="AO399" i="6"/>
  <c r="AH13" i="6"/>
  <c r="AK13" i="6" s="1"/>
  <c r="AJ13" i="6" s="1"/>
  <c r="AI13" i="6" s="1"/>
  <c r="G13" i="6" s="1"/>
  <c r="BR13" i="6"/>
  <c r="T13" i="6" s="1"/>
  <c r="BM13" i="6"/>
  <c r="BE13" i="6"/>
  <c r="AW13" i="6"/>
  <c r="AZ13" i="6" s="1"/>
  <c r="AY13" i="6" s="1"/>
  <c r="AX13" i="6" s="1"/>
  <c r="M13" i="6" s="1"/>
  <c r="AO13" i="6"/>
  <c r="AH280" i="6"/>
  <c r="AK280" i="6" s="1"/>
  <c r="AJ280" i="6" s="1"/>
  <c r="AI280" i="6" s="1"/>
  <c r="G280" i="6" s="1"/>
  <c r="BR280" i="6"/>
  <c r="T280" i="6" s="1"/>
  <c r="BM280" i="6"/>
  <c r="BE280" i="6"/>
  <c r="AW280" i="6"/>
  <c r="AZ280" i="6" s="1"/>
  <c r="AY280" i="6" s="1"/>
  <c r="AX280" i="6" s="1"/>
  <c r="M280" i="6" s="1"/>
  <c r="AO280" i="6"/>
  <c r="AH167" i="6"/>
  <c r="E167" i="6" s="1"/>
  <c r="BR167" i="6"/>
  <c r="T167" i="6" s="1"/>
  <c r="BM167" i="6"/>
  <c r="BE167" i="6"/>
  <c r="AW167" i="6"/>
  <c r="AZ167" i="6" s="1"/>
  <c r="AY167" i="6" s="1"/>
  <c r="AX167" i="6" s="1"/>
  <c r="M167" i="6" s="1"/>
  <c r="AO167" i="6"/>
  <c r="AH145" i="6"/>
  <c r="BR145" i="6"/>
  <c r="T145" i="6" s="1"/>
  <c r="BM145" i="6"/>
  <c r="BE145" i="6"/>
  <c r="AW145" i="6"/>
  <c r="AZ145" i="6" s="1"/>
  <c r="AY145" i="6" s="1"/>
  <c r="AX145" i="6" s="1"/>
  <c r="M145" i="6" s="1"/>
  <c r="AO145" i="6"/>
  <c r="AH15" i="6"/>
  <c r="AK15" i="6" s="1"/>
  <c r="AJ15" i="6" s="1"/>
  <c r="AI15" i="6" s="1"/>
  <c r="G15" i="6" s="1"/>
  <c r="BR15" i="6"/>
  <c r="T15" i="6" s="1"/>
  <c r="BM15" i="6"/>
  <c r="BE15" i="6"/>
  <c r="AW15" i="6"/>
  <c r="K15" i="6" s="1"/>
  <c r="AO15" i="6"/>
  <c r="AH117" i="6"/>
  <c r="AK117" i="6" s="1"/>
  <c r="AJ117" i="6" s="1"/>
  <c r="AI117" i="6" s="1"/>
  <c r="G117" i="6" s="1"/>
  <c r="BM117" i="6"/>
  <c r="BR117" i="6"/>
  <c r="T117" i="6" s="1"/>
  <c r="BE117" i="6"/>
  <c r="AW117" i="6"/>
  <c r="AZ117" i="6" s="1"/>
  <c r="AY117" i="6" s="1"/>
  <c r="AX117" i="6" s="1"/>
  <c r="M117" i="6" s="1"/>
  <c r="AO117" i="6"/>
  <c r="AH97" i="6"/>
  <c r="E97" i="6" s="1"/>
  <c r="BR97" i="6"/>
  <c r="T97" i="6" s="1"/>
  <c r="BM97" i="6"/>
  <c r="BE97" i="6"/>
  <c r="AW97" i="6"/>
  <c r="K97" i="6" s="1"/>
  <c r="AO97" i="6"/>
  <c r="AH73" i="6"/>
  <c r="E73" i="6" s="1"/>
  <c r="BR73" i="6"/>
  <c r="T73" i="6" s="1"/>
  <c r="BM73" i="6"/>
  <c r="BE73" i="6"/>
  <c r="AW73" i="6"/>
  <c r="K73" i="6" s="1"/>
  <c r="AO73" i="6"/>
  <c r="AH415" i="6"/>
  <c r="E415" i="6" s="1"/>
  <c r="BR415" i="6"/>
  <c r="T415" i="6" s="1"/>
  <c r="BM415" i="6"/>
  <c r="BE415" i="6"/>
  <c r="AW415" i="6"/>
  <c r="K415" i="6" s="1"/>
  <c r="AO415" i="6"/>
  <c r="AH109" i="6"/>
  <c r="E109" i="6" s="1"/>
  <c r="BR109" i="6"/>
  <c r="T109" i="6" s="1"/>
  <c r="BM109" i="6"/>
  <c r="BE109" i="6"/>
  <c r="AW109" i="6"/>
  <c r="K109" i="6" s="1"/>
  <c r="AO109" i="6"/>
  <c r="AH83" i="6"/>
  <c r="E83" i="6" s="1"/>
  <c r="BR83" i="6"/>
  <c r="T83" i="6" s="1"/>
  <c r="BM83" i="6"/>
  <c r="BE83" i="6"/>
  <c r="AW83" i="6"/>
  <c r="K83" i="6" s="1"/>
  <c r="AO83" i="6"/>
  <c r="AH460" i="6"/>
  <c r="E460" i="6" s="1"/>
  <c r="BR460" i="6"/>
  <c r="T460" i="6" s="1"/>
  <c r="BM460" i="6"/>
  <c r="BE460" i="6"/>
  <c r="AW460" i="6"/>
  <c r="K460" i="6" s="1"/>
  <c r="AO460" i="6"/>
  <c r="AH419" i="6"/>
  <c r="AK419" i="6" s="1"/>
  <c r="AJ419" i="6" s="1"/>
  <c r="AI419" i="6" s="1"/>
  <c r="G419" i="6" s="1"/>
  <c r="BR419" i="6"/>
  <c r="T419" i="6" s="1"/>
  <c r="BM419" i="6"/>
  <c r="BE419" i="6"/>
  <c r="AW419" i="6"/>
  <c r="AZ419" i="6" s="1"/>
  <c r="AY419" i="6" s="1"/>
  <c r="AX419" i="6" s="1"/>
  <c r="M419" i="6" s="1"/>
  <c r="AO419" i="6"/>
  <c r="BM245" i="6"/>
  <c r="BE245" i="6"/>
  <c r="BR245" i="6"/>
  <c r="T245" i="6" s="1"/>
  <c r="AW245" i="6"/>
  <c r="AZ245" i="6" s="1"/>
  <c r="AY245" i="6" s="1"/>
  <c r="AX245" i="6" s="1"/>
  <c r="M245" i="6" s="1"/>
  <c r="AO245" i="6"/>
  <c r="BR232" i="6"/>
  <c r="T232" i="6" s="1"/>
  <c r="BM232" i="6"/>
  <c r="BE232" i="6"/>
  <c r="AW232" i="6"/>
  <c r="AZ232" i="6" s="1"/>
  <c r="AY232" i="6" s="1"/>
  <c r="AX232" i="6" s="1"/>
  <c r="M232" i="6" s="1"/>
  <c r="AO232" i="6"/>
  <c r="BR181" i="6"/>
  <c r="T181" i="6" s="1"/>
  <c r="BM181" i="6"/>
  <c r="BE181" i="6"/>
  <c r="AW181" i="6"/>
  <c r="AZ181" i="6" s="1"/>
  <c r="AY181" i="6" s="1"/>
  <c r="AX181" i="6" s="1"/>
  <c r="M181" i="6" s="1"/>
  <c r="AO181" i="6"/>
  <c r="BR110" i="6"/>
  <c r="T110" i="6" s="1"/>
  <c r="BM110" i="6"/>
  <c r="BE110" i="6"/>
  <c r="AW110" i="6"/>
  <c r="AZ110" i="6" s="1"/>
  <c r="AY110" i="6" s="1"/>
  <c r="AX110" i="6" s="1"/>
  <c r="M110" i="6" s="1"/>
  <c r="AO110" i="6"/>
  <c r="BM16" i="6"/>
  <c r="BR16" i="6"/>
  <c r="T16" i="6" s="1"/>
  <c r="BE16" i="6"/>
  <c r="AW16" i="6"/>
  <c r="AZ16" i="6" s="1"/>
  <c r="AY16" i="6" s="1"/>
  <c r="AX16" i="6" s="1"/>
  <c r="M16" i="6" s="1"/>
  <c r="AO16" i="6"/>
  <c r="BM24" i="6"/>
  <c r="BR24" i="6"/>
  <c r="T24" i="6" s="1"/>
  <c r="BE24" i="6"/>
  <c r="AW24" i="6"/>
  <c r="AZ24" i="6" s="1"/>
  <c r="AY24" i="6" s="1"/>
  <c r="AX24" i="6" s="1"/>
  <c r="M24" i="6" s="1"/>
  <c r="AO24" i="6"/>
  <c r="BR106" i="6"/>
  <c r="T106" i="6" s="1"/>
  <c r="BM106" i="6"/>
  <c r="BE106" i="6"/>
  <c r="AW106" i="6"/>
  <c r="AZ106" i="6" s="1"/>
  <c r="AY106" i="6" s="1"/>
  <c r="AX106" i="6" s="1"/>
  <c r="M106" i="6" s="1"/>
  <c r="AO106" i="6"/>
  <c r="BR103" i="6"/>
  <c r="T103" i="6" s="1"/>
  <c r="BM103" i="6"/>
  <c r="BE103" i="6"/>
  <c r="AW103" i="6"/>
  <c r="K103" i="6" s="1"/>
  <c r="AO103" i="6"/>
  <c r="BR22" i="6"/>
  <c r="T22" i="6" s="1"/>
  <c r="BM22" i="6"/>
  <c r="BE22" i="6"/>
  <c r="AW22" i="6"/>
  <c r="AO22" i="6"/>
  <c r="BR409" i="6"/>
  <c r="T409" i="6" s="1"/>
  <c r="BM409" i="6"/>
  <c r="BE409" i="6"/>
  <c r="AW409" i="6"/>
  <c r="AO409" i="6"/>
  <c r="BR214" i="6"/>
  <c r="T214" i="6" s="1"/>
  <c r="BM214" i="6"/>
  <c r="BE214" i="6"/>
  <c r="AW214" i="6"/>
  <c r="AO214" i="6"/>
  <c r="BR203" i="6"/>
  <c r="T203" i="6" s="1"/>
  <c r="BM203" i="6"/>
  <c r="BE203" i="6"/>
  <c r="AW203" i="6"/>
  <c r="AO203" i="6"/>
  <c r="BR395" i="6"/>
  <c r="T395" i="6" s="1"/>
  <c r="BM395" i="6"/>
  <c r="BE395" i="6"/>
  <c r="AW395" i="6"/>
  <c r="AO395" i="6"/>
  <c r="BR332" i="6"/>
  <c r="T332" i="6" s="1"/>
  <c r="BM332" i="6"/>
  <c r="BE332" i="6"/>
  <c r="AW332" i="6"/>
  <c r="AO332" i="6"/>
  <c r="BR41" i="6"/>
  <c r="T41" i="6" s="1"/>
  <c r="BM41" i="6"/>
  <c r="BE41" i="6"/>
  <c r="AW41" i="6"/>
  <c r="AO41" i="6"/>
  <c r="BM238" i="6"/>
  <c r="BR238" i="6"/>
  <c r="T238" i="6" s="1"/>
  <c r="BE238" i="6"/>
  <c r="AW238" i="6"/>
  <c r="AO238" i="6"/>
  <c r="AH165" i="6"/>
  <c r="AK165" i="6" s="1"/>
  <c r="AJ165" i="6" s="1"/>
  <c r="AI165" i="6" s="1"/>
  <c r="G165" i="6" s="1"/>
  <c r="BR126" i="6"/>
  <c r="T126" i="6" s="1"/>
  <c r="BM126" i="6"/>
  <c r="BE126" i="6"/>
  <c r="AW126" i="6"/>
  <c r="AO126" i="6"/>
  <c r="BR466" i="6"/>
  <c r="T466" i="6" s="1"/>
  <c r="BM466" i="6"/>
  <c r="BE466" i="6"/>
  <c r="AW466" i="6"/>
  <c r="K466" i="6" s="1"/>
  <c r="AO466" i="6"/>
  <c r="AH388" i="6"/>
  <c r="BR388" i="6"/>
  <c r="T388" i="6" s="1"/>
  <c r="BM388" i="6"/>
  <c r="BE388" i="6"/>
  <c r="AW388" i="6"/>
  <c r="K388" i="6" s="1"/>
  <c r="AO388" i="6"/>
  <c r="AH207" i="6"/>
  <c r="E207" i="6" s="1"/>
  <c r="BR207" i="6"/>
  <c r="T207" i="6" s="1"/>
  <c r="BM207" i="6"/>
  <c r="BE207" i="6"/>
  <c r="AW207" i="6"/>
  <c r="AZ207" i="6" s="1"/>
  <c r="AY207" i="6" s="1"/>
  <c r="AX207" i="6" s="1"/>
  <c r="M207" i="6" s="1"/>
  <c r="AO207" i="6"/>
  <c r="AH206" i="6"/>
  <c r="BR206" i="6"/>
  <c r="T206" i="6" s="1"/>
  <c r="BM206" i="6"/>
  <c r="BE206" i="6"/>
  <c r="AW206" i="6"/>
  <c r="K206" i="6" s="1"/>
  <c r="AO206" i="6"/>
  <c r="AH161" i="6"/>
  <c r="AK161" i="6" s="1"/>
  <c r="AJ161" i="6" s="1"/>
  <c r="AI161" i="6" s="1"/>
  <c r="G161" i="6" s="1"/>
  <c r="BR161" i="6"/>
  <c r="T161" i="6" s="1"/>
  <c r="BM161" i="6"/>
  <c r="BE161" i="6"/>
  <c r="AW161" i="6"/>
  <c r="K161" i="6" s="1"/>
  <c r="AO161" i="6"/>
  <c r="AH80" i="6"/>
  <c r="AK80" i="6" s="1"/>
  <c r="AJ80" i="6" s="1"/>
  <c r="AI80" i="6" s="1"/>
  <c r="G80" i="6" s="1"/>
  <c r="BM80" i="6"/>
  <c r="BR80" i="6"/>
  <c r="T80" i="6" s="1"/>
  <c r="BE80" i="6"/>
  <c r="AW80" i="6"/>
  <c r="AZ80" i="6" s="1"/>
  <c r="AY80" i="6" s="1"/>
  <c r="AX80" i="6" s="1"/>
  <c r="M80" i="6" s="1"/>
  <c r="AO80" i="6"/>
  <c r="AH45" i="6"/>
  <c r="BR45" i="6"/>
  <c r="T45" i="6" s="1"/>
  <c r="BM45" i="6"/>
  <c r="BE45" i="6"/>
  <c r="AW45" i="6"/>
  <c r="AZ45" i="6" s="1"/>
  <c r="AY45" i="6" s="1"/>
  <c r="AX45" i="6" s="1"/>
  <c r="M45" i="6" s="1"/>
  <c r="AO45" i="6"/>
  <c r="AH408" i="6"/>
  <c r="AK408" i="6" s="1"/>
  <c r="AJ408" i="6" s="1"/>
  <c r="AI408" i="6" s="1"/>
  <c r="G408" i="6" s="1"/>
  <c r="BM408" i="6"/>
  <c r="BR408" i="6"/>
  <c r="T408" i="6" s="1"/>
  <c r="BE408" i="6"/>
  <c r="AW408" i="6"/>
  <c r="K408" i="6" s="1"/>
  <c r="AO408" i="6"/>
  <c r="AH272" i="6"/>
  <c r="AK272" i="6" s="1"/>
  <c r="AJ272" i="6" s="1"/>
  <c r="AI272" i="6" s="1"/>
  <c r="G272" i="6" s="1"/>
  <c r="BR272" i="6"/>
  <c r="T272" i="6" s="1"/>
  <c r="BM272" i="6"/>
  <c r="BE272" i="6"/>
  <c r="AW272" i="6"/>
  <c r="K272" i="6" s="1"/>
  <c r="AO272" i="6"/>
  <c r="AH219" i="6"/>
  <c r="E219" i="6" s="1"/>
  <c r="BR219" i="6"/>
  <c r="T219" i="6" s="1"/>
  <c r="BM219" i="6"/>
  <c r="BE219" i="6"/>
  <c r="AW219" i="6"/>
  <c r="K219" i="6" s="1"/>
  <c r="AO219" i="6"/>
  <c r="AH195" i="6"/>
  <c r="AK195" i="6" s="1"/>
  <c r="AJ195" i="6" s="1"/>
  <c r="AI195" i="6" s="1"/>
  <c r="G195" i="6" s="1"/>
  <c r="BR195" i="6"/>
  <c r="T195" i="6" s="1"/>
  <c r="BM195" i="6"/>
  <c r="BE195" i="6"/>
  <c r="AW195" i="6"/>
  <c r="AZ195" i="6" s="1"/>
  <c r="AY195" i="6" s="1"/>
  <c r="AX195" i="6" s="1"/>
  <c r="M195" i="6" s="1"/>
  <c r="AO195" i="6"/>
  <c r="AH160" i="6"/>
  <c r="E160" i="6" s="1"/>
  <c r="BR160" i="6"/>
  <c r="T160" i="6" s="1"/>
  <c r="BM160" i="6"/>
  <c r="BE160" i="6"/>
  <c r="AW160" i="6"/>
  <c r="AZ160" i="6" s="1"/>
  <c r="AY160" i="6" s="1"/>
  <c r="AX160" i="6" s="1"/>
  <c r="M160" i="6" s="1"/>
  <c r="AO160" i="6"/>
  <c r="AH173" i="6"/>
  <c r="E173" i="6" s="1"/>
  <c r="BR173" i="6"/>
  <c r="T173" i="6" s="1"/>
  <c r="BM173" i="6"/>
  <c r="BE173" i="6"/>
  <c r="AW173" i="6"/>
  <c r="K173" i="6" s="1"/>
  <c r="AO173" i="6"/>
  <c r="AH48" i="6"/>
  <c r="AK48" i="6" s="1"/>
  <c r="AJ48" i="6" s="1"/>
  <c r="AI48" i="6" s="1"/>
  <c r="G48" i="6" s="1"/>
  <c r="BM48" i="6"/>
  <c r="BR48" i="6"/>
  <c r="T48" i="6" s="1"/>
  <c r="BE48" i="6"/>
  <c r="AW48" i="6"/>
  <c r="K48" i="6" s="1"/>
  <c r="AO48" i="6"/>
  <c r="AH310" i="6"/>
  <c r="BR310" i="6"/>
  <c r="T310" i="6" s="1"/>
  <c r="BM310" i="6"/>
  <c r="BE310" i="6"/>
  <c r="AW310" i="6"/>
  <c r="AZ310" i="6" s="1"/>
  <c r="AY310" i="6" s="1"/>
  <c r="AX310" i="6" s="1"/>
  <c r="M310" i="6" s="1"/>
  <c r="AO310" i="6"/>
  <c r="AH100" i="6"/>
  <c r="BR100" i="6"/>
  <c r="T100" i="6" s="1"/>
  <c r="BM100" i="6"/>
  <c r="BE100" i="6"/>
  <c r="AW100" i="6"/>
  <c r="AZ100" i="6" s="1"/>
  <c r="AY100" i="6" s="1"/>
  <c r="AX100" i="6" s="1"/>
  <c r="M100" i="6" s="1"/>
  <c r="AO100" i="6"/>
  <c r="AH423" i="6"/>
  <c r="AK423" i="6" s="1"/>
  <c r="AJ423" i="6" s="1"/>
  <c r="AI423" i="6" s="1"/>
  <c r="G423" i="6" s="1"/>
  <c r="BR423" i="6"/>
  <c r="T423" i="6" s="1"/>
  <c r="BM423" i="6"/>
  <c r="BE423" i="6"/>
  <c r="AW423" i="6"/>
  <c r="K423" i="6" s="1"/>
  <c r="AO423" i="6"/>
  <c r="AH381" i="6"/>
  <c r="AK381" i="6" s="1"/>
  <c r="AJ381" i="6" s="1"/>
  <c r="AI381" i="6" s="1"/>
  <c r="G381" i="6" s="1"/>
  <c r="BR381" i="6"/>
  <c r="T381" i="6" s="1"/>
  <c r="BM381" i="6"/>
  <c r="BE381" i="6"/>
  <c r="AW381" i="6"/>
  <c r="AZ381" i="6" s="1"/>
  <c r="AY381" i="6" s="1"/>
  <c r="AX381" i="6" s="1"/>
  <c r="M381" i="6" s="1"/>
  <c r="AO381" i="6"/>
  <c r="AH287" i="6"/>
  <c r="AK287" i="6" s="1"/>
  <c r="AJ287" i="6" s="1"/>
  <c r="AI287" i="6" s="1"/>
  <c r="G287" i="6" s="1"/>
  <c r="BR287" i="6"/>
  <c r="T287" i="6" s="1"/>
  <c r="BM287" i="6"/>
  <c r="BE287" i="6"/>
  <c r="AW287" i="6"/>
  <c r="AZ287" i="6" s="1"/>
  <c r="AY287" i="6" s="1"/>
  <c r="AX287" i="6" s="1"/>
  <c r="M287" i="6" s="1"/>
  <c r="AO287" i="6"/>
  <c r="AH216" i="6"/>
  <c r="AK216" i="6" s="1"/>
  <c r="AJ216" i="6" s="1"/>
  <c r="AI216" i="6" s="1"/>
  <c r="G216" i="6" s="1"/>
  <c r="BR216" i="6"/>
  <c r="T216" i="6" s="1"/>
  <c r="BM216" i="6"/>
  <c r="BE216" i="6"/>
  <c r="AW216" i="6"/>
  <c r="AZ216" i="6" s="1"/>
  <c r="AY216" i="6" s="1"/>
  <c r="AX216" i="6" s="1"/>
  <c r="M216" i="6" s="1"/>
  <c r="AO216" i="6"/>
  <c r="AH140" i="6"/>
  <c r="AK140" i="6" s="1"/>
  <c r="AJ140" i="6" s="1"/>
  <c r="AI140" i="6" s="1"/>
  <c r="G140" i="6" s="1"/>
  <c r="BR140" i="6"/>
  <c r="T140" i="6" s="1"/>
  <c r="BM140" i="6"/>
  <c r="BE140" i="6"/>
  <c r="AW140" i="6"/>
  <c r="K140" i="6" s="1"/>
  <c r="AO140" i="6"/>
  <c r="AH150" i="6"/>
  <c r="AK150" i="6" s="1"/>
  <c r="AJ150" i="6" s="1"/>
  <c r="AI150" i="6" s="1"/>
  <c r="G150" i="6" s="1"/>
  <c r="BR150" i="6"/>
  <c r="T150" i="6" s="1"/>
  <c r="BM150" i="6"/>
  <c r="BE150" i="6"/>
  <c r="AW150" i="6"/>
  <c r="AO150" i="6"/>
  <c r="AH42" i="6"/>
  <c r="BR42" i="6"/>
  <c r="T42" i="6" s="1"/>
  <c r="BM42" i="6"/>
  <c r="BE42" i="6"/>
  <c r="AW42" i="6"/>
  <c r="K42" i="6" s="1"/>
  <c r="AO42" i="6"/>
  <c r="AH178" i="6"/>
  <c r="BR178" i="6"/>
  <c r="T178" i="6" s="1"/>
  <c r="BM178" i="6"/>
  <c r="BE178" i="6"/>
  <c r="AW178" i="6"/>
  <c r="AZ178" i="6" s="1"/>
  <c r="AY178" i="6" s="1"/>
  <c r="AX178" i="6" s="1"/>
  <c r="M178" i="6" s="1"/>
  <c r="AO178" i="6"/>
  <c r="AH315" i="6"/>
  <c r="AK315" i="6" s="1"/>
  <c r="AJ315" i="6" s="1"/>
  <c r="AI315" i="6" s="1"/>
  <c r="G315" i="6" s="1"/>
  <c r="BR315" i="6"/>
  <c r="T315" i="6" s="1"/>
  <c r="BM315" i="6"/>
  <c r="BE315" i="6"/>
  <c r="AW315" i="6"/>
  <c r="AZ315" i="6" s="1"/>
  <c r="AY315" i="6" s="1"/>
  <c r="AX315" i="6" s="1"/>
  <c r="M315" i="6" s="1"/>
  <c r="AO315" i="6"/>
  <c r="AH200" i="6"/>
  <c r="BR200" i="6"/>
  <c r="T200" i="6" s="1"/>
  <c r="BM200" i="6"/>
  <c r="BE200" i="6"/>
  <c r="AW200" i="6"/>
  <c r="K200" i="6" s="1"/>
  <c r="AO200" i="6"/>
  <c r="AH90" i="6"/>
  <c r="E90" i="6" s="1"/>
  <c r="BR90" i="6"/>
  <c r="T90" i="6" s="1"/>
  <c r="BM90" i="6"/>
  <c r="BE90" i="6"/>
  <c r="AW90" i="6"/>
  <c r="K90" i="6" s="1"/>
  <c r="AO90" i="6"/>
  <c r="AH132" i="6"/>
  <c r="BR132" i="6"/>
  <c r="T132" i="6" s="1"/>
  <c r="BM132" i="6"/>
  <c r="BE132" i="6"/>
  <c r="AW132" i="6"/>
  <c r="AZ132" i="6" s="1"/>
  <c r="AY132" i="6" s="1"/>
  <c r="AX132" i="6" s="1"/>
  <c r="M132" i="6" s="1"/>
  <c r="AO132" i="6"/>
  <c r="AH318" i="6"/>
  <c r="AK318" i="6" s="1"/>
  <c r="AJ318" i="6" s="1"/>
  <c r="AI318" i="6" s="1"/>
  <c r="G318" i="6" s="1"/>
  <c r="BR318" i="6"/>
  <c r="T318" i="6" s="1"/>
  <c r="BM318" i="6"/>
  <c r="BE318" i="6"/>
  <c r="AW318" i="6"/>
  <c r="AZ318" i="6" s="1"/>
  <c r="AY318" i="6" s="1"/>
  <c r="AX318" i="6" s="1"/>
  <c r="M318" i="6" s="1"/>
  <c r="AO318" i="6"/>
  <c r="AH257" i="6"/>
  <c r="AK257" i="6" s="1"/>
  <c r="AJ257" i="6" s="1"/>
  <c r="AI257" i="6" s="1"/>
  <c r="G257" i="6" s="1"/>
  <c r="BR257" i="6"/>
  <c r="T257" i="6" s="1"/>
  <c r="BE257" i="6"/>
  <c r="BM257" i="6"/>
  <c r="AO257" i="6"/>
  <c r="AW257" i="6"/>
  <c r="K257" i="6" s="1"/>
  <c r="AH209" i="6"/>
  <c r="E209" i="6" s="1"/>
  <c r="BR209" i="6"/>
  <c r="T209" i="6" s="1"/>
  <c r="BE209" i="6"/>
  <c r="BM209" i="6"/>
  <c r="AW209" i="6"/>
  <c r="AZ209" i="6" s="1"/>
  <c r="AY209" i="6" s="1"/>
  <c r="AX209" i="6" s="1"/>
  <c r="M209" i="6" s="1"/>
  <c r="AO209" i="6"/>
  <c r="AH50" i="6"/>
  <c r="BR50" i="6"/>
  <c r="T50" i="6" s="1"/>
  <c r="BM50" i="6"/>
  <c r="BE50" i="6"/>
  <c r="AW50" i="6"/>
  <c r="AZ50" i="6" s="1"/>
  <c r="AY50" i="6" s="1"/>
  <c r="AX50" i="6" s="1"/>
  <c r="M50" i="6" s="1"/>
  <c r="AO50" i="6"/>
  <c r="AH390" i="6"/>
  <c r="AK390" i="6" s="1"/>
  <c r="AJ390" i="6" s="1"/>
  <c r="AI390" i="6" s="1"/>
  <c r="G390" i="6" s="1"/>
  <c r="BR390" i="6"/>
  <c r="T390" i="6" s="1"/>
  <c r="BM390" i="6"/>
  <c r="BE390" i="6"/>
  <c r="AW390" i="6"/>
  <c r="K390" i="6" s="1"/>
  <c r="AO390" i="6"/>
  <c r="AH74" i="6"/>
  <c r="BR74" i="6"/>
  <c r="T74" i="6" s="1"/>
  <c r="BM74" i="6"/>
  <c r="BE74" i="6"/>
  <c r="AW74" i="6"/>
  <c r="K74" i="6" s="1"/>
  <c r="AO74" i="6"/>
  <c r="BR25" i="6"/>
  <c r="T25" i="6" s="1"/>
  <c r="BM25" i="6"/>
  <c r="BE25" i="6"/>
  <c r="AW25" i="6"/>
  <c r="AZ25" i="6" s="1"/>
  <c r="AY25" i="6" s="1"/>
  <c r="AX25" i="6" s="1"/>
  <c r="M25" i="6" s="1"/>
  <c r="AO25" i="6"/>
  <c r="AH412" i="6"/>
  <c r="E412" i="6" s="1"/>
  <c r="BR412" i="6"/>
  <c r="T412" i="6" s="1"/>
  <c r="BM412" i="6"/>
  <c r="BE412" i="6"/>
  <c r="AW412" i="6"/>
  <c r="AZ412" i="6" s="1"/>
  <c r="AY412" i="6" s="1"/>
  <c r="AX412" i="6" s="1"/>
  <c r="M412" i="6" s="1"/>
  <c r="AO412" i="6"/>
  <c r="AH243" i="6"/>
  <c r="BR243" i="6"/>
  <c r="T243" i="6" s="1"/>
  <c r="BM243" i="6"/>
  <c r="BE243" i="6"/>
  <c r="AW243" i="6"/>
  <c r="K243" i="6" s="1"/>
  <c r="AO243" i="6"/>
  <c r="BR84" i="6"/>
  <c r="T84" i="6" s="1"/>
  <c r="BM84" i="6"/>
  <c r="BE84" i="6"/>
  <c r="AW84" i="6"/>
  <c r="AZ84" i="6" s="1"/>
  <c r="AY84" i="6" s="1"/>
  <c r="AX84" i="6" s="1"/>
  <c r="M84" i="6" s="1"/>
  <c r="AO84" i="6"/>
  <c r="BR114" i="6"/>
  <c r="T114" i="6" s="1"/>
  <c r="BM114" i="6"/>
  <c r="BE114" i="6"/>
  <c r="AW114" i="6"/>
  <c r="AZ114" i="6" s="1"/>
  <c r="AY114" i="6" s="1"/>
  <c r="AX114" i="6" s="1"/>
  <c r="M114" i="6" s="1"/>
  <c r="AO114" i="6"/>
  <c r="BR56" i="6"/>
  <c r="T56" i="6" s="1"/>
  <c r="BM56" i="6"/>
  <c r="BE56" i="6"/>
  <c r="AW56" i="6"/>
  <c r="AZ56" i="6" s="1"/>
  <c r="AY56" i="6" s="1"/>
  <c r="AX56" i="6" s="1"/>
  <c r="M56" i="6" s="1"/>
  <c r="AO56" i="6"/>
  <c r="BR431" i="6"/>
  <c r="T431" i="6" s="1"/>
  <c r="BM431" i="6"/>
  <c r="Q431" i="6" s="1"/>
  <c r="BE431" i="6"/>
  <c r="BH431" i="6" s="1"/>
  <c r="BG431" i="6" s="1"/>
  <c r="BF431" i="6" s="1"/>
  <c r="P431" i="6" s="1"/>
  <c r="AW431" i="6"/>
  <c r="AO431" i="6"/>
  <c r="H431" i="6" s="1"/>
  <c r="BR362" i="6"/>
  <c r="T362" i="6" s="1"/>
  <c r="BM362" i="6"/>
  <c r="Q362" i="6" s="1"/>
  <c r="BE362" i="6"/>
  <c r="AW362" i="6"/>
  <c r="K362" i="6" s="1"/>
  <c r="AO362" i="6"/>
  <c r="BR403" i="6"/>
  <c r="T403" i="6" s="1"/>
  <c r="BM403" i="6"/>
  <c r="Q403" i="6" s="1"/>
  <c r="BE403" i="6"/>
  <c r="N403" i="6" s="1"/>
  <c r="AW403" i="6"/>
  <c r="AZ403" i="6" s="1"/>
  <c r="AY403" i="6" s="1"/>
  <c r="AX403" i="6" s="1"/>
  <c r="M403" i="6" s="1"/>
  <c r="AO403" i="6"/>
  <c r="H403" i="6" s="1"/>
  <c r="BR256" i="6"/>
  <c r="T256" i="6" s="1"/>
  <c r="BM256" i="6"/>
  <c r="Q256" i="6" s="1"/>
  <c r="BE256" i="6"/>
  <c r="BH256" i="6" s="1"/>
  <c r="BG256" i="6" s="1"/>
  <c r="BF256" i="6" s="1"/>
  <c r="P256" i="6" s="1"/>
  <c r="AW256" i="6"/>
  <c r="AZ256" i="6" s="1"/>
  <c r="AY256" i="6" s="1"/>
  <c r="AX256" i="6" s="1"/>
  <c r="M256" i="6" s="1"/>
  <c r="AO256" i="6"/>
  <c r="H256" i="6" s="1"/>
  <c r="BR26" i="6"/>
  <c r="T26" i="6" s="1"/>
  <c r="BM26" i="6"/>
  <c r="Q26" i="6" s="1"/>
  <c r="BE26" i="6"/>
  <c r="AW26" i="6"/>
  <c r="AZ26" i="6" s="1"/>
  <c r="AY26" i="6" s="1"/>
  <c r="AX26" i="6" s="1"/>
  <c r="M26" i="6" s="1"/>
  <c r="AO26" i="6"/>
  <c r="H26" i="6" s="1"/>
  <c r="BR27" i="6"/>
  <c r="T27" i="6" s="1"/>
  <c r="BM27" i="6"/>
  <c r="BP27" i="6" s="1"/>
  <c r="BO27" i="6" s="1"/>
  <c r="BN27" i="6" s="1"/>
  <c r="S27" i="6" s="1"/>
  <c r="BE27" i="6"/>
  <c r="AW27" i="6"/>
  <c r="AZ27" i="6" s="1"/>
  <c r="AY27" i="6" s="1"/>
  <c r="AX27" i="6" s="1"/>
  <c r="M27" i="6" s="1"/>
  <c r="AO27" i="6"/>
  <c r="BR307" i="6"/>
  <c r="T307" i="6" s="1"/>
  <c r="BM307" i="6"/>
  <c r="BE307" i="6"/>
  <c r="N307" i="6" s="1"/>
  <c r="AW307" i="6"/>
  <c r="AO307" i="6"/>
  <c r="H307" i="6" s="1"/>
  <c r="BR333" i="6"/>
  <c r="T333" i="6" s="1"/>
  <c r="BM333" i="6"/>
  <c r="Q333" i="6" s="1"/>
  <c r="BE333" i="6"/>
  <c r="N333" i="6" s="1"/>
  <c r="AW333" i="6"/>
  <c r="AO333" i="6"/>
  <c r="BR76" i="6"/>
  <c r="T76" i="6" s="1"/>
  <c r="BM76" i="6"/>
  <c r="BE76" i="6"/>
  <c r="AW76" i="6"/>
  <c r="K76" i="6" s="1"/>
  <c r="AO76" i="6"/>
  <c r="BR147" i="6"/>
  <c r="T147" i="6" s="1"/>
  <c r="BM147" i="6"/>
  <c r="BE147" i="6"/>
  <c r="AW147" i="6"/>
  <c r="AZ147" i="6" s="1"/>
  <c r="AY147" i="6" s="1"/>
  <c r="AX147" i="6" s="1"/>
  <c r="M147" i="6" s="1"/>
  <c r="AO147" i="6"/>
  <c r="BR29" i="6"/>
  <c r="T29" i="6" s="1"/>
  <c r="BM29" i="6"/>
  <c r="Q29" i="6" s="1"/>
  <c r="BE29" i="6"/>
  <c r="N29" i="6" s="1"/>
  <c r="AO29" i="6"/>
  <c r="H29" i="6" s="1"/>
  <c r="AW29" i="6"/>
  <c r="AZ29" i="6" s="1"/>
  <c r="AY29" i="6" s="1"/>
  <c r="AX29" i="6" s="1"/>
  <c r="M29" i="6" s="1"/>
  <c r="BR255" i="6"/>
  <c r="T255" i="6" s="1"/>
  <c r="BM255" i="6"/>
  <c r="BE255" i="6"/>
  <c r="N255" i="6" s="1"/>
  <c r="AW255" i="6"/>
  <c r="AO255" i="6"/>
  <c r="H255" i="6" s="1"/>
  <c r="BR135" i="6"/>
  <c r="T135" i="6" s="1"/>
  <c r="BM135" i="6"/>
  <c r="Q135" i="6" s="1"/>
  <c r="BE135" i="6"/>
  <c r="AW135" i="6"/>
  <c r="AZ135" i="6" s="1"/>
  <c r="AY135" i="6" s="1"/>
  <c r="AX135" i="6" s="1"/>
  <c r="M135" i="6" s="1"/>
  <c r="AO135" i="6"/>
  <c r="H135" i="6" s="1"/>
  <c r="BR410" i="6"/>
  <c r="T410" i="6" s="1"/>
  <c r="BM410" i="6"/>
  <c r="Q410" i="6" s="1"/>
  <c r="BE410" i="6"/>
  <c r="N410" i="6" s="1"/>
  <c r="AW410" i="6"/>
  <c r="AZ410" i="6" s="1"/>
  <c r="AY410" i="6" s="1"/>
  <c r="AX410" i="6" s="1"/>
  <c r="M410" i="6" s="1"/>
  <c r="AO410" i="6"/>
  <c r="H410" i="6" s="1"/>
  <c r="BR344" i="6"/>
  <c r="T344" i="6" s="1"/>
  <c r="BM344" i="6"/>
  <c r="Q344" i="6" s="1"/>
  <c r="BE344" i="6"/>
  <c r="N344" i="6" s="1"/>
  <c r="AW344" i="6"/>
  <c r="K344" i="6" s="1"/>
  <c r="AO344" i="6"/>
  <c r="H344" i="6" s="1"/>
  <c r="BR260" i="6"/>
  <c r="T260" i="6" s="1"/>
  <c r="BM260" i="6"/>
  <c r="Q260" i="6" s="1"/>
  <c r="BE260" i="6"/>
  <c r="AW260" i="6"/>
  <c r="AZ260" i="6" s="1"/>
  <c r="AY260" i="6" s="1"/>
  <c r="AX260" i="6" s="1"/>
  <c r="M260" i="6" s="1"/>
  <c r="AO260" i="6"/>
  <c r="BR345" i="6"/>
  <c r="T345" i="6" s="1"/>
  <c r="BM345" i="6"/>
  <c r="Q345" i="6" s="1"/>
  <c r="BE345" i="6"/>
  <c r="N345" i="6" s="1"/>
  <c r="AW345" i="6"/>
  <c r="K345" i="6" s="1"/>
  <c r="AO345" i="6"/>
  <c r="H345" i="6" s="1"/>
  <c r="BR119" i="6"/>
  <c r="T119" i="6" s="1"/>
  <c r="BM119" i="6"/>
  <c r="BE119" i="6"/>
  <c r="AW119" i="6"/>
  <c r="AZ119" i="6" s="1"/>
  <c r="AY119" i="6" s="1"/>
  <c r="AX119" i="6" s="1"/>
  <c r="M119" i="6" s="1"/>
  <c r="AO119" i="6"/>
  <c r="AR119" i="6" s="1"/>
  <c r="AQ119" i="6" s="1"/>
  <c r="AP119" i="6" s="1"/>
  <c r="J119" i="6" s="1"/>
  <c r="BR241" i="6"/>
  <c r="T241" i="6" s="1"/>
  <c r="BM241" i="6"/>
  <c r="Q241" i="6" s="1"/>
  <c r="BE241" i="6"/>
  <c r="AW241" i="6"/>
  <c r="K241" i="6" s="1"/>
  <c r="AO241" i="6"/>
  <c r="BR215" i="6"/>
  <c r="T215" i="6" s="1"/>
  <c r="BM215" i="6"/>
  <c r="BP215" i="6" s="1"/>
  <c r="BO215" i="6" s="1"/>
  <c r="BN215" i="6" s="1"/>
  <c r="S215" i="6" s="1"/>
  <c r="BE215" i="6"/>
  <c r="AW215" i="6"/>
  <c r="AZ215" i="6" s="1"/>
  <c r="AY215" i="6" s="1"/>
  <c r="AX215" i="6" s="1"/>
  <c r="M215" i="6" s="1"/>
  <c r="AO215" i="6"/>
  <c r="H215" i="6" s="1"/>
  <c r="BR392" i="6"/>
  <c r="T392" i="6" s="1"/>
  <c r="BM392" i="6"/>
  <c r="BE392" i="6"/>
  <c r="AW392" i="6"/>
  <c r="AO392" i="6"/>
  <c r="BR331" i="6"/>
  <c r="T331" i="6" s="1"/>
  <c r="BM331" i="6"/>
  <c r="BE331" i="6"/>
  <c r="AW331" i="6"/>
  <c r="AO331" i="6"/>
  <c r="AH278" i="6"/>
  <c r="BR269" i="6"/>
  <c r="T269" i="6" s="1"/>
  <c r="BM269" i="6"/>
  <c r="BE269" i="6"/>
  <c r="AW269" i="6"/>
  <c r="AO269" i="6"/>
  <c r="BR249" i="6"/>
  <c r="T249" i="6" s="1"/>
  <c r="BM249" i="6"/>
  <c r="BE249" i="6"/>
  <c r="AW249" i="6"/>
  <c r="AO249" i="6"/>
  <c r="BR212" i="6"/>
  <c r="T212" i="6" s="1"/>
  <c r="BE212" i="6"/>
  <c r="BM212" i="6"/>
  <c r="AW212" i="6"/>
  <c r="AO212" i="6"/>
  <c r="BM133" i="6"/>
  <c r="BR133" i="6"/>
  <c r="T133" i="6" s="1"/>
  <c r="BE133" i="6"/>
  <c r="AW133" i="6"/>
  <c r="AO133" i="6"/>
  <c r="BR130" i="6"/>
  <c r="T130" i="6" s="1"/>
  <c r="BM130" i="6"/>
  <c r="BE130" i="6"/>
  <c r="AW130" i="6"/>
  <c r="AO130" i="6"/>
  <c r="AH24" i="6"/>
  <c r="BR462" i="6"/>
  <c r="T462" i="6" s="1"/>
  <c r="BE462" i="6"/>
  <c r="BM462" i="6"/>
  <c r="AW462" i="6"/>
  <c r="AO462" i="6"/>
  <c r="BR28" i="6"/>
  <c r="T28" i="6" s="1"/>
  <c r="BM28" i="6"/>
  <c r="BE28" i="6"/>
  <c r="AW28" i="6"/>
  <c r="AO28" i="6"/>
  <c r="BR373" i="6"/>
  <c r="T373" i="6" s="1"/>
  <c r="BM373" i="6"/>
  <c r="BE373" i="6"/>
  <c r="AW373" i="6"/>
  <c r="AO373" i="6"/>
  <c r="BM328" i="6"/>
  <c r="BR328" i="6"/>
  <c r="T328" i="6" s="1"/>
  <c r="BE328" i="6"/>
  <c r="AW328" i="6"/>
  <c r="AO328" i="6"/>
  <c r="BR221" i="6"/>
  <c r="T221" i="6" s="1"/>
  <c r="BM221" i="6"/>
  <c r="BE221" i="6"/>
  <c r="AO221" i="6"/>
  <c r="AW221" i="6"/>
  <c r="BR143" i="6"/>
  <c r="T143" i="6" s="1"/>
  <c r="BM143" i="6"/>
  <c r="BE143" i="6"/>
  <c r="AW143" i="6"/>
  <c r="AO143" i="6"/>
  <c r="BR116" i="6"/>
  <c r="T116" i="6" s="1"/>
  <c r="BM116" i="6"/>
  <c r="BE116" i="6"/>
  <c r="AW116" i="6"/>
  <c r="AO116" i="6"/>
  <c r="AH110" i="6"/>
  <c r="AK110" i="6" s="1"/>
  <c r="AJ110" i="6" s="1"/>
  <c r="AI110" i="6" s="1"/>
  <c r="G110" i="6" s="1"/>
  <c r="BR360" i="6"/>
  <c r="T360" i="6" s="1"/>
  <c r="BM360" i="6"/>
  <c r="BE360" i="6"/>
  <c r="AW360" i="6"/>
  <c r="AO360" i="6"/>
  <c r="BR213" i="6"/>
  <c r="T213" i="6" s="1"/>
  <c r="BM213" i="6"/>
  <c r="BE213" i="6"/>
  <c r="AW213" i="6"/>
  <c r="AO213" i="6"/>
  <c r="BR182" i="6"/>
  <c r="T182" i="6" s="1"/>
  <c r="BE182" i="6"/>
  <c r="BM182" i="6"/>
  <c r="AW182" i="6"/>
  <c r="AO182" i="6"/>
  <c r="BR93" i="6"/>
  <c r="T93" i="6" s="1"/>
  <c r="BM93" i="6"/>
  <c r="BE93" i="6"/>
  <c r="AO93" i="6"/>
  <c r="AW93" i="6"/>
  <c r="BR14" i="6"/>
  <c r="T14" i="6" s="1"/>
  <c r="BM14" i="6"/>
  <c r="BE14" i="6"/>
  <c r="AW14" i="6"/>
  <c r="AO14" i="6"/>
  <c r="AH307" i="6"/>
  <c r="AH234" i="6"/>
  <c r="AK234" i="6" s="1"/>
  <c r="AJ234" i="6" s="1"/>
  <c r="AI234" i="6" s="1"/>
  <c r="G234" i="6" s="1"/>
  <c r="AH190" i="6"/>
  <c r="AK190" i="6" s="1"/>
  <c r="AJ190" i="6" s="1"/>
  <c r="AI190" i="6" s="1"/>
  <c r="G190" i="6" s="1"/>
  <c r="BM104" i="6"/>
  <c r="BR104" i="6"/>
  <c r="T104" i="6" s="1"/>
  <c r="BE104" i="6"/>
  <c r="AW104" i="6"/>
  <c r="AO104" i="6"/>
  <c r="AH27" i="6"/>
  <c r="E27" i="6" s="1"/>
  <c r="BR352" i="6"/>
  <c r="T352" i="6" s="1"/>
  <c r="BM352" i="6"/>
  <c r="BE352" i="6"/>
  <c r="AW352" i="6"/>
  <c r="AO352" i="6"/>
  <c r="AH114" i="6"/>
  <c r="E114" i="6" s="1"/>
  <c r="AH341" i="6"/>
  <c r="E341" i="6" s="1"/>
  <c r="BR341" i="6"/>
  <c r="T341" i="6" s="1"/>
  <c r="BM341" i="6"/>
  <c r="BE341" i="6"/>
  <c r="AW341" i="6"/>
  <c r="K341" i="6" s="1"/>
  <c r="AO341" i="6"/>
  <c r="AH202" i="6"/>
  <c r="AK202" i="6" s="1"/>
  <c r="AJ202" i="6" s="1"/>
  <c r="AI202" i="6" s="1"/>
  <c r="G202" i="6" s="1"/>
  <c r="BR202" i="6"/>
  <c r="T202" i="6" s="1"/>
  <c r="BM202" i="6"/>
  <c r="BE202" i="6"/>
  <c r="AW202" i="6"/>
  <c r="AZ202" i="6" s="1"/>
  <c r="AY202" i="6" s="1"/>
  <c r="AX202" i="6" s="1"/>
  <c r="M202" i="6" s="1"/>
  <c r="AO202" i="6"/>
  <c r="AH382" i="6"/>
  <c r="BR382" i="6"/>
  <c r="T382" i="6" s="1"/>
  <c r="BE382" i="6"/>
  <c r="BM382" i="6"/>
  <c r="AW382" i="6"/>
  <c r="AZ382" i="6" s="1"/>
  <c r="AY382" i="6" s="1"/>
  <c r="AX382" i="6" s="1"/>
  <c r="M382" i="6" s="1"/>
  <c r="AO382" i="6"/>
  <c r="AH368" i="6"/>
  <c r="AK368" i="6" s="1"/>
  <c r="AJ368" i="6" s="1"/>
  <c r="AI368" i="6" s="1"/>
  <c r="G368" i="6" s="1"/>
  <c r="BR368" i="6"/>
  <c r="T368" i="6" s="1"/>
  <c r="BM368" i="6"/>
  <c r="BE368" i="6"/>
  <c r="AW368" i="6"/>
  <c r="K368" i="6" s="1"/>
  <c r="AO368" i="6"/>
  <c r="AH323" i="6"/>
  <c r="E323" i="6" s="1"/>
  <c r="BR323" i="6"/>
  <c r="T323" i="6" s="1"/>
  <c r="BM323" i="6"/>
  <c r="BE323" i="6"/>
  <c r="AW323" i="6"/>
  <c r="AZ323" i="6" s="1"/>
  <c r="AY323" i="6" s="1"/>
  <c r="AX323" i="6" s="1"/>
  <c r="M323" i="6" s="1"/>
  <c r="AO323" i="6"/>
  <c r="AH296" i="6"/>
  <c r="E296" i="6" s="1"/>
  <c r="BR296" i="6"/>
  <c r="T296" i="6" s="1"/>
  <c r="BM296" i="6"/>
  <c r="BE296" i="6"/>
  <c r="AW296" i="6"/>
  <c r="AZ296" i="6" s="1"/>
  <c r="AY296" i="6" s="1"/>
  <c r="AX296" i="6" s="1"/>
  <c r="M296" i="6" s="1"/>
  <c r="AO296" i="6"/>
  <c r="AH293" i="6"/>
  <c r="E293" i="6" s="1"/>
  <c r="BR293" i="6"/>
  <c r="T293" i="6" s="1"/>
  <c r="BM293" i="6"/>
  <c r="BE293" i="6"/>
  <c r="AW293" i="6"/>
  <c r="AZ293" i="6" s="1"/>
  <c r="AY293" i="6" s="1"/>
  <c r="AX293" i="6" s="1"/>
  <c r="M293" i="6" s="1"/>
  <c r="AO293" i="6"/>
  <c r="AH176" i="6"/>
  <c r="AK176" i="6" s="1"/>
  <c r="AJ176" i="6" s="1"/>
  <c r="AI176" i="6" s="1"/>
  <c r="G176" i="6" s="1"/>
  <c r="BM176" i="6"/>
  <c r="BR176" i="6"/>
  <c r="T176" i="6" s="1"/>
  <c r="BE176" i="6"/>
  <c r="AW176" i="6"/>
  <c r="K176" i="6" s="1"/>
  <c r="AO176" i="6"/>
  <c r="AH118" i="6"/>
  <c r="AK118" i="6" s="1"/>
  <c r="AJ118" i="6" s="1"/>
  <c r="AI118" i="6" s="1"/>
  <c r="G118" i="6" s="1"/>
  <c r="BR118" i="6"/>
  <c r="T118" i="6" s="1"/>
  <c r="BM118" i="6"/>
  <c r="BE118" i="6"/>
  <c r="AW118" i="6"/>
  <c r="AZ118" i="6" s="1"/>
  <c r="AY118" i="6" s="1"/>
  <c r="AX118" i="6" s="1"/>
  <c r="M118" i="6" s="1"/>
  <c r="AO118" i="6"/>
  <c r="AH43" i="6"/>
  <c r="AK43" i="6" s="1"/>
  <c r="AJ43" i="6" s="1"/>
  <c r="AI43" i="6" s="1"/>
  <c r="G43" i="6" s="1"/>
  <c r="BR43" i="6"/>
  <c r="T43" i="6" s="1"/>
  <c r="BM43" i="6"/>
  <c r="BE43" i="6"/>
  <c r="AW43" i="6"/>
  <c r="AZ43" i="6" s="1"/>
  <c r="AY43" i="6" s="1"/>
  <c r="AX43" i="6" s="1"/>
  <c r="M43" i="6" s="1"/>
  <c r="AO43" i="6"/>
  <c r="AH428" i="6"/>
  <c r="BR428" i="6"/>
  <c r="T428" i="6" s="1"/>
  <c r="BM428" i="6"/>
  <c r="BE428" i="6"/>
  <c r="AW428" i="6"/>
  <c r="K428" i="6" s="1"/>
  <c r="AO428" i="6"/>
  <c r="AH361" i="6"/>
  <c r="AK361" i="6" s="1"/>
  <c r="AJ361" i="6" s="1"/>
  <c r="AI361" i="6" s="1"/>
  <c r="G361" i="6" s="1"/>
  <c r="BR361" i="6"/>
  <c r="T361" i="6" s="1"/>
  <c r="BE361" i="6"/>
  <c r="BM361" i="6"/>
  <c r="AW361" i="6"/>
  <c r="K361" i="6" s="1"/>
  <c r="AO361" i="6"/>
  <c r="AH23" i="6"/>
  <c r="AK23" i="6" s="1"/>
  <c r="AJ23" i="6" s="1"/>
  <c r="AI23" i="6" s="1"/>
  <c r="G23" i="6" s="1"/>
  <c r="BR23" i="6"/>
  <c r="T23" i="6" s="1"/>
  <c r="BM23" i="6"/>
  <c r="BE23" i="6"/>
  <c r="AW23" i="6"/>
  <c r="AZ23" i="6" s="1"/>
  <c r="AY23" i="6" s="1"/>
  <c r="AX23" i="6" s="1"/>
  <c r="M23" i="6" s="1"/>
  <c r="AO23" i="6"/>
  <c r="AH459" i="6"/>
  <c r="E459" i="6" s="1"/>
  <c r="BR459" i="6"/>
  <c r="T459" i="6" s="1"/>
  <c r="BM459" i="6"/>
  <c r="BE459" i="6"/>
  <c r="AW459" i="6"/>
  <c r="AZ459" i="6" s="1"/>
  <c r="AY459" i="6" s="1"/>
  <c r="AX459" i="6" s="1"/>
  <c r="M459" i="6" s="1"/>
  <c r="AO459" i="6"/>
  <c r="AH404" i="6"/>
  <c r="AK404" i="6" s="1"/>
  <c r="AJ404" i="6" s="1"/>
  <c r="AI404" i="6" s="1"/>
  <c r="G404" i="6" s="1"/>
  <c r="BR404" i="6"/>
  <c r="T404" i="6" s="1"/>
  <c r="BE404" i="6"/>
  <c r="BM404" i="6"/>
  <c r="AW404" i="6"/>
  <c r="AZ404" i="6" s="1"/>
  <c r="AY404" i="6" s="1"/>
  <c r="AX404" i="6" s="1"/>
  <c r="M404" i="6" s="1"/>
  <c r="AO404" i="6"/>
  <c r="AH359" i="6"/>
  <c r="AK359" i="6" s="1"/>
  <c r="AJ359" i="6" s="1"/>
  <c r="AI359" i="6" s="1"/>
  <c r="G359" i="6" s="1"/>
  <c r="BR359" i="6"/>
  <c r="T359" i="6" s="1"/>
  <c r="BM359" i="6"/>
  <c r="BE359" i="6"/>
  <c r="AW359" i="6"/>
  <c r="AZ359" i="6" s="1"/>
  <c r="AY359" i="6" s="1"/>
  <c r="AX359" i="6" s="1"/>
  <c r="M359" i="6" s="1"/>
  <c r="AO359" i="6"/>
  <c r="AH276" i="6"/>
  <c r="E276" i="6" s="1"/>
  <c r="BR276" i="6"/>
  <c r="T276" i="6" s="1"/>
  <c r="BE276" i="6"/>
  <c r="BM276" i="6"/>
  <c r="AW276" i="6"/>
  <c r="K276" i="6" s="1"/>
  <c r="AO276" i="6"/>
  <c r="AH152" i="6"/>
  <c r="E152" i="6" s="1"/>
  <c r="BM152" i="6"/>
  <c r="BR152" i="6"/>
  <c r="T152" i="6" s="1"/>
  <c r="BE152" i="6"/>
  <c r="AW152" i="6"/>
  <c r="K152" i="6" s="1"/>
  <c r="AO152" i="6"/>
  <c r="AH88" i="6"/>
  <c r="BM88" i="6"/>
  <c r="BR88" i="6"/>
  <c r="T88" i="6" s="1"/>
  <c r="BE88" i="6"/>
  <c r="AW88" i="6"/>
  <c r="AZ88" i="6" s="1"/>
  <c r="AY88" i="6" s="1"/>
  <c r="AX88" i="6" s="1"/>
  <c r="M88" i="6" s="1"/>
  <c r="AO88" i="6"/>
  <c r="AH47" i="6"/>
  <c r="AK47" i="6" s="1"/>
  <c r="AJ47" i="6" s="1"/>
  <c r="AI47" i="6" s="1"/>
  <c r="G47" i="6" s="1"/>
  <c r="BR47" i="6"/>
  <c r="T47" i="6" s="1"/>
  <c r="BM47" i="6"/>
  <c r="BE47" i="6"/>
  <c r="AW47" i="6"/>
  <c r="AZ47" i="6" s="1"/>
  <c r="AY47" i="6" s="1"/>
  <c r="AX47" i="6" s="1"/>
  <c r="M47" i="6" s="1"/>
  <c r="AO47" i="6"/>
  <c r="AH456" i="6"/>
  <c r="AK456" i="6" s="1"/>
  <c r="AJ456" i="6" s="1"/>
  <c r="AI456" i="6" s="1"/>
  <c r="G456" i="6" s="1"/>
  <c r="BR456" i="6"/>
  <c r="T456" i="6" s="1"/>
  <c r="BM456" i="6"/>
  <c r="BE456" i="6"/>
  <c r="AW456" i="6"/>
  <c r="K456" i="6" s="1"/>
  <c r="AO456" i="6"/>
  <c r="AH411" i="6"/>
  <c r="E411" i="6" s="1"/>
  <c r="BR411" i="6"/>
  <c r="T411" i="6" s="1"/>
  <c r="BM411" i="6"/>
  <c r="BE411" i="6"/>
  <c r="AW411" i="6"/>
  <c r="K411" i="6" s="1"/>
  <c r="AO411" i="6"/>
  <c r="AH306" i="6"/>
  <c r="E306" i="6" s="1"/>
  <c r="BR306" i="6"/>
  <c r="T306" i="6" s="1"/>
  <c r="BM306" i="6"/>
  <c r="BE306" i="6"/>
  <c r="AW306" i="6"/>
  <c r="K306" i="6" s="1"/>
  <c r="AO306" i="6"/>
  <c r="AH268" i="6"/>
  <c r="E268" i="6" s="1"/>
  <c r="BR268" i="6"/>
  <c r="T268" i="6" s="1"/>
  <c r="BM268" i="6"/>
  <c r="BE268" i="6"/>
  <c r="AW268" i="6"/>
  <c r="AZ268" i="6" s="1"/>
  <c r="AY268" i="6" s="1"/>
  <c r="AX268" i="6" s="1"/>
  <c r="M268" i="6" s="1"/>
  <c r="AO268" i="6"/>
  <c r="AH53" i="6"/>
  <c r="AK53" i="6" s="1"/>
  <c r="AJ53" i="6" s="1"/>
  <c r="AI53" i="6" s="1"/>
  <c r="G53" i="6" s="1"/>
  <c r="BM53" i="6"/>
  <c r="BR53" i="6"/>
  <c r="T53" i="6" s="1"/>
  <c r="BE53" i="6"/>
  <c r="AW53" i="6"/>
  <c r="AZ53" i="6" s="1"/>
  <c r="AY53" i="6" s="1"/>
  <c r="AX53" i="6" s="1"/>
  <c r="M53" i="6" s="1"/>
  <c r="AO53" i="6"/>
  <c r="AH196" i="6"/>
  <c r="E196" i="6" s="1"/>
  <c r="BR196" i="6"/>
  <c r="T196" i="6" s="1"/>
  <c r="BM196" i="6"/>
  <c r="BE196" i="6"/>
  <c r="AW196" i="6"/>
  <c r="K196" i="6" s="1"/>
  <c r="AO196" i="6"/>
  <c r="AH170" i="6"/>
  <c r="BR170" i="6"/>
  <c r="T170" i="6" s="1"/>
  <c r="BM170" i="6"/>
  <c r="BE170" i="6"/>
  <c r="AW170" i="6"/>
  <c r="AZ170" i="6" s="1"/>
  <c r="AY170" i="6" s="1"/>
  <c r="AX170" i="6" s="1"/>
  <c r="M170" i="6" s="1"/>
  <c r="AO170" i="6"/>
  <c r="BR162" i="6"/>
  <c r="T162" i="6" s="1"/>
  <c r="BM162" i="6"/>
  <c r="BE162" i="6"/>
  <c r="AW162" i="6"/>
  <c r="AZ162" i="6" s="1"/>
  <c r="AY162" i="6" s="1"/>
  <c r="AX162" i="6" s="1"/>
  <c r="M162" i="6" s="1"/>
  <c r="AO162" i="6"/>
  <c r="BR171" i="6"/>
  <c r="T171" i="6" s="1"/>
  <c r="BM171" i="6"/>
  <c r="BE171" i="6"/>
  <c r="AW171" i="6"/>
  <c r="K171" i="6" s="1"/>
  <c r="AO171" i="6"/>
  <c r="AH442" i="6"/>
  <c r="AK442" i="6" s="1"/>
  <c r="AJ442" i="6" s="1"/>
  <c r="AI442" i="6" s="1"/>
  <c r="G442" i="6" s="1"/>
  <c r="BR442" i="6"/>
  <c r="T442" i="6" s="1"/>
  <c r="BM442" i="6"/>
  <c r="BE442" i="6"/>
  <c r="AW442" i="6"/>
  <c r="K442" i="6" s="1"/>
  <c r="AO442" i="6"/>
  <c r="AH376" i="6"/>
  <c r="AK376" i="6" s="1"/>
  <c r="AJ376" i="6" s="1"/>
  <c r="AI376" i="6" s="1"/>
  <c r="G376" i="6" s="1"/>
  <c r="BR376" i="6"/>
  <c r="T376" i="6" s="1"/>
  <c r="BM376" i="6"/>
  <c r="BE376" i="6"/>
  <c r="AW376" i="6"/>
  <c r="K376" i="6" s="1"/>
  <c r="AO376" i="6"/>
  <c r="AH320" i="6"/>
  <c r="AK320" i="6" s="1"/>
  <c r="AJ320" i="6" s="1"/>
  <c r="AI320" i="6" s="1"/>
  <c r="G320" i="6" s="1"/>
  <c r="BR320" i="6"/>
  <c r="T320" i="6" s="1"/>
  <c r="BM320" i="6"/>
  <c r="BE320" i="6"/>
  <c r="AW320" i="6"/>
  <c r="AZ320" i="6" s="1"/>
  <c r="AY320" i="6" s="1"/>
  <c r="AX320" i="6" s="1"/>
  <c r="M320" i="6" s="1"/>
  <c r="AO320" i="6"/>
  <c r="AH326" i="6"/>
  <c r="AK326" i="6" s="1"/>
  <c r="AJ326" i="6" s="1"/>
  <c r="AI326" i="6" s="1"/>
  <c r="G326" i="6" s="1"/>
  <c r="BR326" i="6"/>
  <c r="T326" i="6" s="1"/>
  <c r="BM326" i="6"/>
  <c r="BE326" i="6"/>
  <c r="AW326" i="6"/>
  <c r="K326" i="6" s="1"/>
  <c r="AO326" i="6"/>
  <c r="AH274" i="6"/>
  <c r="AK274" i="6" s="1"/>
  <c r="AJ274" i="6" s="1"/>
  <c r="AI274" i="6" s="1"/>
  <c r="G274" i="6" s="1"/>
  <c r="BR274" i="6"/>
  <c r="T274" i="6" s="1"/>
  <c r="BM274" i="6"/>
  <c r="BE274" i="6"/>
  <c r="AW274" i="6"/>
  <c r="K274" i="6" s="1"/>
  <c r="AO274" i="6"/>
  <c r="AH251" i="6"/>
  <c r="AK251" i="6" s="1"/>
  <c r="AJ251" i="6" s="1"/>
  <c r="AI251" i="6" s="1"/>
  <c r="G251" i="6" s="1"/>
  <c r="BR251" i="6"/>
  <c r="T251" i="6" s="1"/>
  <c r="BM251" i="6"/>
  <c r="BE251" i="6"/>
  <c r="AW251" i="6"/>
  <c r="K251" i="6" s="1"/>
  <c r="AO251" i="6"/>
  <c r="AH105" i="6"/>
  <c r="AK105" i="6" s="1"/>
  <c r="AJ105" i="6" s="1"/>
  <c r="AI105" i="6" s="1"/>
  <c r="G105" i="6" s="1"/>
  <c r="BR105" i="6"/>
  <c r="T105" i="6" s="1"/>
  <c r="BM105" i="6"/>
  <c r="BE105" i="6"/>
  <c r="AW105" i="6"/>
  <c r="AZ105" i="6" s="1"/>
  <c r="AY105" i="6" s="1"/>
  <c r="AX105" i="6" s="1"/>
  <c r="M105" i="6" s="1"/>
  <c r="AO105" i="6"/>
  <c r="AH242" i="6"/>
  <c r="E242" i="6" s="1"/>
  <c r="BR242" i="6"/>
  <c r="T242" i="6" s="1"/>
  <c r="BM242" i="6"/>
  <c r="BE242" i="6"/>
  <c r="AW242" i="6"/>
  <c r="K242" i="6" s="1"/>
  <c r="AO242" i="6"/>
  <c r="AH64" i="6"/>
  <c r="BM64" i="6"/>
  <c r="BR64" i="6"/>
  <c r="T64" i="6" s="1"/>
  <c r="BE64" i="6"/>
  <c r="AW64" i="6"/>
  <c r="K64" i="6" s="1"/>
  <c r="AO64" i="6"/>
  <c r="AH371" i="6"/>
  <c r="AK371" i="6" s="1"/>
  <c r="AJ371" i="6" s="1"/>
  <c r="AI371" i="6" s="1"/>
  <c r="G371" i="6" s="1"/>
  <c r="BR371" i="6"/>
  <c r="T371" i="6" s="1"/>
  <c r="BM371" i="6"/>
  <c r="BE371" i="6"/>
  <c r="AW371" i="6"/>
  <c r="AZ371" i="6" s="1"/>
  <c r="AY371" i="6" s="1"/>
  <c r="AX371" i="6" s="1"/>
  <c r="M371" i="6" s="1"/>
  <c r="AO371" i="6"/>
  <c r="AH356" i="6"/>
  <c r="AK356" i="6" s="1"/>
  <c r="AJ356" i="6" s="1"/>
  <c r="AI356" i="6" s="1"/>
  <c r="G356" i="6" s="1"/>
  <c r="BR356" i="6"/>
  <c r="T356" i="6" s="1"/>
  <c r="BM356" i="6"/>
  <c r="BE356" i="6"/>
  <c r="AW356" i="6"/>
  <c r="AZ356" i="6" s="1"/>
  <c r="AY356" i="6" s="1"/>
  <c r="AX356" i="6" s="1"/>
  <c r="M356" i="6" s="1"/>
  <c r="AO356" i="6"/>
  <c r="AH175" i="6"/>
  <c r="E175" i="6" s="1"/>
  <c r="BR175" i="6"/>
  <c r="T175" i="6" s="1"/>
  <c r="BM175" i="6"/>
  <c r="BE175" i="6"/>
  <c r="AW175" i="6"/>
  <c r="AZ175" i="6" s="1"/>
  <c r="AY175" i="6" s="1"/>
  <c r="AX175" i="6" s="1"/>
  <c r="M175" i="6" s="1"/>
  <c r="AO175" i="6"/>
  <c r="AH163" i="6"/>
  <c r="BR163" i="6"/>
  <c r="T163" i="6" s="1"/>
  <c r="BM163" i="6"/>
  <c r="BE163" i="6"/>
  <c r="AW163" i="6"/>
  <c r="AZ163" i="6" s="1"/>
  <c r="AY163" i="6" s="1"/>
  <c r="AX163" i="6" s="1"/>
  <c r="M163" i="6" s="1"/>
  <c r="AO163" i="6"/>
  <c r="AH217" i="6"/>
  <c r="AK217" i="6" s="1"/>
  <c r="AJ217" i="6" s="1"/>
  <c r="AI217" i="6" s="1"/>
  <c r="G217" i="6" s="1"/>
  <c r="BR217" i="6"/>
  <c r="T217" i="6" s="1"/>
  <c r="BM217" i="6"/>
  <c r="BE217" i="6"/>
  <c r="AW217" i="6"/>
  <c r="AZ217" i="6" s="1"/>
  <c r="AY217" i="6" s="1"/>
  <c r="AX217" i="6" s="1"/>
  <c r="M217" i="6" s="1"/>
  <c r="AO217" i="6"/>
  <c r="AH159" i="6"/>
  <c r="E159" i="6" s="1"/>
  <c r="BR159" i="6"/>
  <c r="T159" i="6" s="1"/>
  <c r="BM159" i="6"/>
  <c r="BE159" i="6"/>
  <c r="AW159" i="6"/>
  <c r="AZ159" i="6" s="1"/>
  <c r="AY159" i="6" s="1"/>
  <c r="AX159" i="6" s="1"/>
  <c r="M159" i="6" s="1"/>
  <c r="AO159" i="6"/>
  <c r="AH55" i="6"/>
  <c r="AK55" i="6" s="1"/>
  <c r="AJ55" i="6" s="1"/>
  <c r="AI55" i="6" s="1"/>
  <c r="G55" i="6" s="1"/>
  <c r="BR55" i="6"/>
  <c r="T55" i="6" s="1"/>
  <c r="BM55" i="6"/>
  <c r="BE55" i="6"/>
  <c r="AW55" i="6"/>
  <c r="AZ55" i="6" s="1"/>
  <c r="AY55" i="6" s="1"/>
  <c r="AX55" i="6" s="1"/>
  <c r="M55" i="6" s="1"/>
  <c r="AO55" i="6"/>
  <c r="AH51" i="6"/>
  <c r="BR51" i="6"/>
  <c r="T51" i="6" s="1"/>
  <c r="BM51" i="6"/>
  <c r="BE51" i="6"/>
  <c r="AO51" i="6"/>
  <c r="AW51" i="6"/>
  <c r="K51" i="6" s="1"/>
  <c r="AH127" i="6"/>
  <c r="E127" i="6" s="1"/>
  <c r="BR127" i="6"/>
  <c r="T127" i="6" s="1"/>
  <c r="BM127" i="6"/>
  <c r="BE127" i="6"/>
  <c r="AW127" i="6"/>
  <c r="AZ127" i="6" s="1"/>
  <c r="AY127" i="6" s="1"/>
  <c r="AX127" i="6" s="1"/>
  <c r="M127" i="6" s="1"/>
  <c r="AO127" i="6"/>
  <c r="AH95" i="6"/>
  <c r="AK95" i="6" s="1"/>
  <c r="AJ95" i="6" s="1"/>
  <c r="AI95" i="6" s="1"/>
  <c r="G95" i="6" s="1"/>
  <c r="BR95" i="6"/>
  <c r="T95" i="6" s="1"/>
  <c r="BM95" i="6"/>
  <c r="BE95" i="6"/>
  <c r="AW95" i="6"/>
  <c r="K95" i="6" s="1"/>
  <c r="AO95" i="6"/>
  <c r="AH414" i="6"/>
  <c r="E414" i="6" s="1"/>
  <c r="BR414" i="6"/>
  <c r="T414" i="6" s="1"/>
  <c r="BE414" i="6"/>
  <c r="BM414" i="6"/>
  <c r="AW414" i="6"/>
  <c r="AZ414" i="6" s="1"/>
  <c r="AY414" i="6" s="1"/>
  <c r="AX414" i="6" s="1"/>
  <c r="M414" i="6" s="1"/>
  <c r="AO414" i="6"/>
  <c r="AH355" i="6"/>
  <c r="AK355" i="6" s="1"/>
  <c r="AJ355" i="6" s="1"/>
  <c r="AI355" i="6" s="1"/>
  <c r="G355" i="6" s="1"/>
  <c r="BR355" i="6"/>
  <c r="T355" i="6" s="1"/>
  <c r="BM355" i="6"/>
  <c r="BE355" i="6"/>
  <c r="AW355" i="6"/>
  <c r="AZ355" i="6" s="1"/>
  <c r="AY355" i="6" s="1"/>
  <c r="AX355" i="6" s="1"/>
  <c r="M355" i="6" s="1"/>
  <c r="AO355" i="6"/>
  <c r="BR300" i="6"/>
  <c r="T300" i="6" s="1"/>
  <c r="BM300" i="6"/>
  <c r="BE300" i="6"/>
  <c r="AW300" i="6"/>
  <c r="K300" i="6" s="1"/>
  <c r="AO300" i="6"/>
  <c r="AH253" i="6"/>
  <c r="E253" i="6" s="1"/>
  <c r="BR253" i="6"/>
  <c r="T253" i="6" s="1"/>
  <c r="BM253" i="6"/>
  <c r="BE253" i="6"/>
  <c r="AW253" i="6"/>
  <c r="AZ253" i="6" s="1"/>
  <c r="AY253" i="6" s="1"/>
  <c r="AX253" i="6" s="1"/>
  <c r="M253" i="6" s="1"/>
  <c r="AO253" i="6"/>
  <c r="AH218" i="6"/>
  <c r="E218" i="6" s="1"/>
  <c r="BR218" i="6"/>
  <c r="T218" i="6" s="1"/>
  <c r="BM218" i="6"/>
  <c r="BE218" i="6"/>
  <c r="AW218" i="6"/>
  <c r="AZ218" i="6" s="1"/>
  <c r="AY218" i="6" s="1"/>
  <c r="AX218" i="6" s="1"/>
  <c r="M218" i="6" s="1"/>
  <c r="AO218" i="6"/>
  <c r="AH354" i="6"/>
  <c r="E354" i="6" s="1"/>
  <c r="BR354" i="6"/>
  <c r="T354" i="6" s="1"/>
  <c r="BM354" i="6"/>
  <c r="BE354" i="6"/>
  <c r="AW354" i="6"/>
  <c r="AZ354" i="6" s="1"/>
  <c r="AY354" i="6" s="1"/>
  <c r="AX354" i="6" s="1"/>
  <c r="M354" i="6" s="1"/>
  <c r="AO354" i="6"/>
  <c r="BR324" i="6"/>
  <c r="T324" i="6" s="1"/>
  <c r="BM324" i="6"/>
  <c r="BE324" i="6"/>
  <c r="AW324" i="6"/>
  <c r="K324" i="6" s="1"/>
  <c r="AO324" i="6"/>
  <c r="AH107" i="6"/>
  <c r="AK107" i="6" s="1"/>
  <c r="AJ107" i="6" s="1"/>
  <c r="AI107" i="6" s="1"/>
  <c r="G107" i="6" s="1"/>
  <c r="BR107" i="6"/>
  <c r="T107" i="6" s="1"/>
  <c r="BM107" i="6"/>
  <c r="BE107" i="6"/>
  <c r="AW107" i="6"/>
  <c r="K107" i="6" s="1"/>
  <c r="AO107" i="6"/>
  <c r="BM72" i="6"/>
  <c r="BR72" i="6"/>
  <c r="T72" i="6" s="1"/>
  <c r="BE72" i="6"/>
  <c r="AW72" i="6"/>
  <c r="K72" i="6" s="1"/>
  <c r="AO72" i="6"/>
  <c r="BR406" i="6"/>
  <c r="T406" i="6" s="1"/>
  <c r="BM406" i="6"/>
  <c r="BE406" i="6"/>
  <c r="N406" i="6" s="1"/>
  <c r="AW406" i="6"/>
  <c r="AO406" i="6"/>
  <c r="H406" i="6" s="1"/>
  <c r="BR295" i="6"/>
  <c r="T295" i="6" s="1"/>
  <c r="BM295" i="6"/>
  <c r="Q295" i="6" s="1"/>
  <c r="BE295" i="6"/>
  <c r="N295" i="6" s="1"/>
  <c r="AW295" i="6"/>
  <c r="AO295" i="6"/>
  <c r="H295" i="6" s="1"/>
  <c r="BR418" i="6"/>
  <c r="T418" i="6" s="1"/>
  <c r="BM418" i="6"/>
  <c r="BE418" i="6"/>
  <c r="N418" i="6" s="1"/>
  <c r="AW418" i="6"/>
  <c r="AZ418" i="6" s="1"/>
  <c r="AY418" i="6" s="1"/>
  <c r="AX418" i="6" s="1"/>
  <c r="M418" i="6" s="1"/>
  <c r="AO418" i="6"/>
  <c r="H418" i="6" s="1"/>
  <c r="BR124" i="6"/>
  <c r="T124" i="6" s="1"/>
  <c r="BM124" i="6"/>
  <c r="Q124" i="6" s="1"/>
  <c r="BE124" i="6"/>
  <c r="N124" i="6" s="1"/>
  <c r="AW124" i="6"/>
  <c r="K124" i="6" s="1"/>
  <c r="AO124" i="6"/>
  <c r="BR437" i="6"/>
  <c r="T437" i="6" s="1"/>
  <c r="BM437" i="6"/>
  <c r="Q437" i="6" s="1"/>
  <c r="BE437" i="6"/>
  <c r="N437" i="6" s="1"/>
  <c r="AW437" i="6"/>
  <c r="K437" i="6" s="1"/>
  <c r="AO437" i="6"/>
  <c r="BR263" i="6"/>
  <c r="T263" i="6" s="1"/>
  <c r="BM263" i="6"/>
  <c r="Q263" i="6" s="1"/>
  <c r="BE263" i="6"/>
  <c r="N263" i="6" s="1"/>
  <c r="AW263" i="6"/>
  <c r="K263" i="6" s="1"/>
  <c r="AO263" i="6"/>
  <c r="H263" i="6" s="1"/>
  <c r="BR233" i="6"/>
  <c r="T233" i="6" s="1"/>
  <c r="BM233" i="6"/>
  <c r="Q233" i="6" s="1"/>
  <c r="BE233" i="6"/>
  <c r="N233" i="6" s="1"/>
  <c r="AW233" i="6"/>
  <c r="AZ233" i="6" s="1"/>
  <c r="AY233" i="6" s="1"/>
  <c r="AX233" i="6" s="1"/>
  <c r="M233" i="6" s="1"/>
  <c r="AO233" i="6"/>
  <c r="BR197" i="6"/>
  <c r="T197" i="6" s="1"/>
  <c r="BM197" i="6"/>
  <c r="Q197" i="6" s="1"/>
  <c r="BE197" i="6"/>
  <c r="N197" i="6" s="1"/>
  <c r="AW197" i="6"/>
  <c r="AZ197" i="6" s="1"/>
  <c r="AY197" i="6" s="1"/>
  <c r="AX197" i="6" s="1"/>
  <c r="M197" i="6" s="1"/>
  <c r="AO197" i="6"/>
  <c r="H197" i="6" s="1"/>
  <c r="BR172" i="6"/>
  <c r="T172" i="6" s="1"/>
  <c r="BM172" i="6"/>
  <c r="BE172" i="6"/>
  <c r="AW172" i="6"/>
  <c r="AZ172" i="6" s="1"/>
  <c r="AY172" i="6" s="1"/>
  <c r="AX172" i="6" s="1"/>
  <c r="M172" i="6" s="1"/>
  <c r="AO172" i="6"/>
  <c r="BR277" i="6"/>
  <c r="T277" i="6" s="1"/>
  <c r="BM277" i="6"/>
  <c r="Q277" i="6" s="1"/>
  <c r="BE277" i="6"/>
  <c r="N277" i="6" s="1"/>
  <c r="AW277" i="6"/>
  <c r="AO277" i="6"/>
  <c r="H277" i="6" s="1"/>
  <c r="BR79" i="6"/>
  <c r="T79" i="6" s="1"/>
  <c r="BM79" i="6"/>
  <c r="BE79" i="6"/>
  <c r="AW79" i="6"/>
  <c r="AZ79" i="6" s="1"/>
  <c r="AY79" i="6" s="1"/>
  <c r="AX79" i="6" s="1"/>
  <c r="M79" i="6" s="1"/>
  <c r="AO79" i="6"/>
  <c r="H79" i="6" s="1"/>
  <c r="BM128" i="6"/>
  <c r="Q128" i="6" s="1"/>
  <c r="BR128" i="6"/>
  <c r="T128" i="6" s="1"/>
  <c r="BE128" i="6"/>
  <c r="N128" i="6" s="1"/>
  <c r="AW128" i="6"/>
  <c r="AO128" i="6"/>
  <c r="BR451" i="6"/>
  <c r="T451" i="6" s="1"/>
  <c r="BM451" i="6"/>
  <c r="Q451" i="6" s="1"/>
  <c r="BE451" i="6"/>
  <c r="N451" i="6" s="1"/>
  <c r="AW451" i="6"/>
  <c r="AZ451" i="6" s="1"/>
  <c r="AY451" i="6" s="1"/>
  <c r="AX451" i="6" s="1"/>
  <c r="M451" i="6" s="1"/>
  <c r="AO451" i="6"/>
  <c r="H451" i="6" s="1"/>
  <c r="BR383" i="6"/>
  <c r="T383" i="6" s="1"/>
  <c r="BM383" i="6"/>
  <c r="Q383" i="6" s="1"/>
  <c r="BE383" i="6"/>
  <c r="N383" i="6" s="1"/>
  <c r="AW383" i="6"/>
  <c r="AZ383" i="6" s="1"/>
  <c r="AY383" i="6" s="1"/>
  <c r="AX383" i="6" s="1"/>
  <c r="M383" i="6" s="1"/>
  <c r="AO383" i="6"/>
  <c r="H383" i="6" s="1"/>
  <c r="BR279" i="6"/>
  <c r="T279" i="6" s="1"/>
  <c r="BM279" i="6"/>
  <c r="Q279" i="6" s="1"/>
  <c r="BE279" i="6"/>
  <c r="AW279" i="6"/>
  <c r="K279" i="6" s="1"/>
  <c r="AO279" i="6"/>
  <c r="H279" i="6" s="1"/>
  <c r="BR125" i="6"/>
  <c r="T125" i="6" s="1"/>
  <c r="BM125" i="6"/>
  <c r="Q125" i="6" s="1"/>
  <c r="BE125" i="6"/>
  <c r="N125" i="6" s="1"/>
  <c r="AW125" i="6"/>
  <c r="AZ125" i="6" s="1"/>
  <c r="AY125" i="6" s="1"/>
  <c r="AX125" i="6" s="1"/>
  <c r="M125" i="6" s="1"/>
  <c r="AO125" i="6"/>
  <c r="H125" i="6" s="1"/>
  <c r="BR367" i="6"/>
  <c r="T367" i="6" s="1"/>
  <c r="BM367" i="6"/>
  <c r="BE367" i="6"/>
  <c r="AW367" i="6"/>
  <c r="AO367" i="6"/>
  <c r="H367" i="6" s="1"/>
  <c r="BR65" i="6"/>
  <c r="T65" i="6" s="1"/>
  <c r="BM65" i="6"/>
  <c r="Q65" i="6" s="1"/>
  <c r="BE65" i="6"/>
  <c r="N65" i="6" s="1"/>
  <c r="AW65" i="6"/>
  <c r="AO65" i="6"/>
  <c r="H65" i="6" s="1"/>
  <c r="BR141" i="6"/>
  <c r="T141" i="6" s="1"/>
  <c r="BM141" i="6"/>
  <c r="Q141" i="6" s="1"/>
  <c r="BE141" i="6"/>
  <c r="N141" i="6" s="1"/>
  <c r="AW141" i="6"/>
  <c r="AZ141" i="6" s="1"/>
  <c r="AY141" i="6" s="1"/>
  <c r="AX141" i="6" s="1"/>
  <c r="M141" i="6" s="1"/>
  <c r="AO141" i="6"/>
  <c r="H141" i="6" s="1"/>
  <c r="BR86" i="6"/>
  <c r="T86" i="6" s="1"/>
  <c r="BM86" i="6"/>
  <c r="Q86" i="6" s="1"/>
  <c r="BE86" i="6"/>
  <c r="N86" i="6" s="1"/>
  <c r="AW86" i="6"/>
  <c r="K86" i="6" s="1"/>
  <c r="AO86" i="6"/>
  <c r="AH124" i="6"/>
  <c r="E124" i="6" s="1"/>
  <c r="AH57" i="6"/>
  <c r="E57" i="6" s="1"/>
  <c r="BR386" i="6"/>
  <c r="T386" i="6" s="1"/>
  <c r="BM386" i="6"/>
  <c r="BE386" i="6"/>
  <c r="AW386" i="6"/>
  <c r="AO386" i="6"/>
  <c r="BR351" i="6"/>
  <c r="T351" i="6" s="1"/>
  <c r="BM351" i="6"/>
  <c r="BE351" i="6"/>
  <c r="AW351" i="6"/>
  <c r="AO351" i="6"/>
  <c r="BR334" i="6"/>
  <c r="T334" i="6" s="1"/>
  <c r="BM334" i="6"/>
  <c r="BE334" i="6"/>
  <c r="AW334" i="6"/>
  <c r="AO334" i="6"/>
  <c r="BR291" i="6"/>
  <c r="T291" i="6" s="1"/>
  <c r="BM291" i="6"/>
  <c r="BE291" i="6"/>
  <c r="AW291" i="6"/>
  <c r="AO291" i="6"/>
  <c r="BR235" i="6"/>
  <c r="T235" i="6" s="1"/>
  <c r="BM235" i="6"/>
  <c r="BE235" i="6"/>
  <c r="AW235" i="6"/>
  <c r="AO235" i="6"/>
  <c r="BR185" i="6"/>
  <c r="T185" i="6" s="1"/>
  <c r="BM185" i="6"/>
  <c r="BE185" i="6"/>
  <c r="AW185" i="6"/>
  <c r="AO185" i="6"/>
  <c r="AH125" i="6"/>
  <c r="E125" i="6" s="1"/>
  <c r="BR98" i="6"/>
  <c r="T98" i="6" s="1"/>
  <c r="BM98" i="6"/>
  <c r="BE98" i="6"/>
  <c r="AW98" i="6"/>
  <c r="AO98" i="6"/>
  <c r="BR54" i="6"/>
  <c r="T54" i="6" s="1"/>
  <c r="BM54" i="6"/>
  <c r="BE54" i="6"/>
  <c r="AW54" i="6"/>
  <c r="AO54" i="6"/>
  <c r="BR146" i="6"/>
  <c r="T146" i="6" s="1"/>
  <c r="BM146" i="6"/>
  <c r="BE146" i="6"/>
  <c r="AW146" i="6"/>
  <c r="AO146" i="6"/>
  <c r="BR349" i="6"/>
  <c r="T349" i="6" s="1"/>
  <c r="BM349" i="6"/>
  <c r="BE349" i="6"/>
  <c r="AW349" i="6"/>
  <c r="AO349" i="6"/>
  <c r="BR283" i="6"/>
  <c r="T283" i="6" s="1"/>
  <c r="BM283" i="6"/>
  <c r="BE283" i="6"/>
  <c r="AW283" i="6"/>
  <c r="AO283" i="6"/>
  <c r="BR422" i="6"/>
  <c r="T422" i="6" s="1"/>
  <c r="BM422" i="6"/>
  <c r="BE422" i="6"/>
  <c r="AW422" i="6"/>
  <c r="AO422" i="6"/>
  <c r="AH279" i="6"/>
  <c r="AK279" i="6" s="1"/>
  <c r="AJ279" i="6" s="1"/>
  <c r="AI279" i="6" s="1"/>
  <c r="G279" i="6" s="1"/>
  <c r="AH33" i="6"/>
  <c r="E33" i="6" s="1"/>
  <c r="BR430" i="6"/>
  <c r="T430" i="6" s="1"/>
  <c r="BE430" i="6"/>
  <c r="BM430" i="6"/>
  <c r="AW430" i="6"/>
  <c r="AO430" i="6"/>
  <c r="BR385" i="6"/>
  <c r="T385" i="6" s="1"/>
  <c r="BM385" i="6"/>
  <c r="BE385" i="6"/>
  <c r="AO385" i="6"/>
  <c r="AW385" i="6"/>
  <c r="BR402" i="6"/>
  <c r="T402" i="6" s="1"/>
  <c r="BM402" i="6"/>
  <c r="BE402" i="6"/>
  <c r="AW402" i="6"/>
  <c r="AO402" i="6"/>
  <c r="AH461" i="6"/>
  <c r="E461" i="6" s="1"/>
  <c r="BR461" i="6"/>
  <c r="T461" i="6" s="1"/>
  <c r="BM461" i="6"/>
  <c r="BE461" i="6"/>
  <c r="AW461" i="6"/>
  <c r="K461" i="6" s="1"/>
  <c r="AO461" i="6"/>
  <c r="AH286" i="6"/>
  <c r="AK286" i="6" s="1"/>
  <c r="AJ286" i="6" s="1"/>
  <c r="AI286" i="6" s="1"/>
  <c r="G286" i="6" s="1"/>
  <c r="BR286" i="6"/>
  <c r="T286" i="6" s="1"/>
  <c r="BM286" i="6"/>
  <c r="BE286" i="6"/>
  <c r="AW286" i="6"/>
  <c r="K286" i="6" s="1"/>
  <c r="AO286" i="6"/>
  <c r="AH184" i="6"/>
  <c r="BR184" i="6"/>
  <c r="T184" i="6" s="1"/>
  <c r="BM184" i="6"/>
  <c r="BE184" i="6"/>
  <c r="AW184" i="6"/>
  <c r="K184" i="6" s="1"/>
  <c r="AO184" i="6"/>
  <c r="AH157" i="6"/>
  <c r="AK157" i="6" s="1"/>
  <c r="AJ157" i="6" s="1"/>
  <c r="AI157" i="6" s="1"/>
  <c r="G157" i="6" s="1"/>
  <c r="BR157" i="6"/>
  <c r="T157" i="6" s="1"/>
  <c r="BM157" i="6"/>
  <c r="BE157" i="6"/>
  <c r="AW157" i="6"/>
  <c r="K157" i="6" s="1"/>
  <c r="AO157" i="6"/>
  <c r="AH62" i="6"/>
  <c r="E62" i="6" s="1"/>
  <c r="BR62" i="6"/>
  <c r="T62" i="6" s="1"/>
  <c r="BE62" i="6"/>
  <c r="BM62" i="6"/>
  <c r="AW62" i="6"/>
  <c r="AZ62" i="6" s="1"/>
  <c r="AY62" i="6" s="1"/>
  <c r="AX62" i="6" s="1"/>
  <c r="M62" i="6" s="1"/>
  <c r="AO62" i="6"/>
  <c r="AH400" i="6"/>
  <c r="BR400" i="6"/>
  <c r="T400" i="6" s="1"/>
  <c r="BM400" i="6"/>
  <c r="BE400" i="6"/>
  <c r="AW400" i="6"/>
  <c r="K400" i="6" s="1"/>
  <c r="AO400" i="6"/>
  <c r="AH365" i="6"/>
  <c r="BR365" i="6"/>
  <c r="T365" i="6" s="1"/>
  <c r="BM365" i="6"/>
  <c r="BE365" i="6"/>
  <c r="AW365" i="6"/>
  <c r="K365" i="6" s="1"/>
  <c r="AO365" i="6"/>
  <c r="AH189" i="6"/>
  <c r="AK189" i="6" s="1"/>
  <c r="AJ189" i="6" s="1"/>
  <c r="AI189" i="6" s="1"/>
  <c r="G189" i="6" s="1"/>
  <c r="BR189" i="6"/>
  <c r="T189" i="6" s="1"/>
  <c r="BM189" i="6"/>
  <c r="BE189" i="6"/>
  <c r="AW189" i="6"/>
  <c r="AZ189" i="6" s="1"/>
  <c r="AY189" i="6" s="1"/>
  <c r="AX189" i="6" s="1"/>
  <c r="M189" i="6" s="1"/>
  <c r="AO189" i="6"/>
  <c r="AH137" i="6"/>
  <c r="E137" i="6" s="1"/>
  <c r="BR137" i="6"/>
  <c r="T137" i="6" s="1"/>
  <c r="BM137" i="6"/>
  <c r="BE137" i="6"/>
  <c r="AW137" i="6"/>
  <c r="K137" i="6" s="1"/>
  <c r="AO137" i="6"/>
  <c r="AH465" i="6"/>
  <c r="AK465" i="6" s="1"/>
  <c r="AJ465" i="6" s="1"/>
  <c r="AI465" i="6" s="1"/>
  <c r="G465" i="6" s="1"/>
  <c r="BR465" i="6"/>
  <c r="T465" i="6" s="1"/>
  <c r="BE465" i="6"/>
  <c r="BM465" i="6"/>
  <c r="AW465" i="6"/>
  <c r="K465" i="6" s="1"/>
  <c r="AO465" i="6"/>
  <c r="AH450" i="6"/>
  <c r="BR450" i="6"/>
  <c r="T450" i="6" s="1"/>
  <c r="BM450" i="6"/>
  <c r="BE450" i="6"/>
  <c r="AW450" i="6"/>
  <c r="AZ450" i="6" s="1"/>
  <c r="AY450" i="6" s="1"/>
  <c r="AX450" i="6" s="1"/>
  <c r="M450" i="6" s="1"/>
  <c r="AO450" i="6"/>
  <c r="AH436" i="6"/>
  <c r="E436" i="6" s="1"/>
  <c r="BR436" i="6"/>
  <c r="T436" i="6" s="1"/>
  <c r="BE436" i="6"/>
  <c r="BM436" i="6"/>
  <c r="AW436" i="6"/>
  <c r="AZ436" i="6" s="1"/>
  <c r="AY436" i="6" s="1"/>
  <c r="AX436" i="6" s="1"/>
  <c r="M436" i="6" s="1"/>
  <c r="AO436" i="6"/>
  <c r="AH335" i="6"/>
  <c r="E335" i="6" s="1"/>
  <c r="BR335" i="6"/>
  <c r="T335" i="6" s="1"/>
  <c r="BM335" i="6"/>
  <c r="BE335" i="6"/>
  <c r="AW335" i="6"/>
  <c r="AZ335" i="6" s="1"/>
  <c r="AY335" i="6" s="1"/>
  <c r="AX335" i="6" s="1"/>
  <c r="M335" i="6" s="1"/>
  <c r="AO335" i="6"/>
  <c r="AH108" i="6"/>
  <c r="AK108" i="6" s="1"/>
  <c r="AJ108" i="6" s="1"/>
  <c r="AI108" i="6" s="1"/>
  <c r="G108" i="6" s="1"/>
  <c r="BR108" i="6"/>
  <c r="T108" i="6" s="1"/>
  <c r="BM108" i="6"/>
  <c r="BE108" i="6"/>
  <c r="AW108" i="6"/>
  <c r="K108" i="6" s="1"/>
  <c r="AO108" i="6"/>
  <c r="AH20" i="6"/>
  <c r="BR20" i="6"/>
  <c r="T20" i="6" s="1"/>
  <c r="BM20" i="6"/>
  <c r="BE20" i="6"/>
  <c r="AW20" i="6"/>
  <c r="K20" i="6" s="1"/>
  <c r="AO20" i="6"/>
  <c r="AH348" i="6"/>
  <c r="AK348" i="6" s="1"/>
  <c r="AJ348" i="6" s="1"/>
  <c r="AI348" i="6" s="1"/>
  <c r="G348" i="6" s="1"/>
  <c r="BR348" i="6"/>
  <c r="T348" i="6" s="1"/>
  <c r="BM348" i="6"/>
  <c r="BE348" i="6"/>
  <c r="AW348" i="6"/>
  <c r="K348" i="6" s="1"/>
  <c r="AO348" i="6"/>
  <c r="AH342" i="6"/>
  <c r="AK342" i="6" s="1"/>
  <c r="AJ342" i="6" s="1"/>
  <c r="AI342" i="6" s="1"/>
  <c r="G342" i="6" s="1"/>
  <c r="BR342" i="6"/>
  <c r="T342" i="6" s="1"/>
  <c r="BM342" i="6"/>
  <c r="BE342" i="6"/>
  <c r="AW342" i="6"/>
  <c r="K342" i="6" s="1"/>
  <c r="AO342" i="6"/>
  <c r="AH96" i="6"/>
  <c r="E96" i="6" s="1"/>
  <c r="BR96" i="6"/>
  <c r="T96" i="6" s="1"/>
  <c r="BM96" i="6"/>
  <c r="BE96" i="6"/>
  <c r="AW96" i="6"/>
  <c r="AZ96" i="6" s="1"/>
  <c r="AY96" i="6" s="1"/>
  <c r="AX96" i="6" s="1"/>
  <c r="M96" i="6" s="1"/>
  <c r="AO96" i="6"/>
  <c r="AH12" i="6"/>
  <c r="AK12" i="6" s="1"/>
  <c r="AJ12" i="6" s="1"/>
  <c r="AI12" i="6" s="1"/>
  <c r="G12" i="6" s="1"/>
  <c r="BR12" i="6"/>
  <c r="T12" i="6" s="1"/>
  <c r="BM12" i="6"/>
  <c r="BE12" i="6"/>
  <c r="AW12" i="6"/>
  <c r="AZ12" i="6" s="1"/>
  <c r="AY12" i="6" s="1"/>
  <c r="AX12" i="6" s="1"/>
  <c r="M12" i="6" s="1"/>
  <c r="AO12" i="6"/>
  <c r="AH115" i="6"/>
  <c r="AK115" i="6" s="1"/>
  <c r="AJ115" i="6" s="1"/>
  <c r="AI115" i="6" s="1"/>
  <c r="G115" i="6" s="1"/>
  <c r="BR115" i="6"/>
  <c r="T115" i="6" s="1"/>
  <c r="BM115" i="6"/>
  <c r="BE115" i="6"/>
  <c r="AO115" i="6"/>
  <c r="AW115" i="6"/>
  <c r="K115" i="6" s="1"/>
  <c r="AH297" i="6"/>
  <c r="AK297" i="6" s="1"/>
  <c r="AJ297" i="6" s="1"/>
  <c r="AI297" i="6" s="1"/>
  <c r="G297" i="6" s="1"/>
  <c r="BR297" i="6"/>
  <c r="T297" i="6" s="1"/>
  <c r="BM297" i="6"/>
  <c r="BE297" i="6"/>
  <c r="AW297" i="6"/>
  <c r="AZ297" i="6" s="1"/>
  <c r="AY297" i="6" s="1"/>
  <c r="AX297" i="6" s="1"/>
  <c r="M297" i="6" s="1"/>
  <c r="AO297" i="6"/>
  <c r="AH78" i="6"/>
  <c r="AK78" i="6" s="1"/>
  <c r="AJ78" i="6" s="1"/>
  <c r="AI78" i="6" s="1"/>
  <c r="G78" i="6" s="1"/>
  <c r="BR78" i="6"/>
  <c r="T78" i="6" s="1"/>
  <c r="BM78" i="6"/>
  <c r="BE78" i="6"/>
  <c r="AW78" i="6"/>
  <c r="AZ78" i="6" s="1"/>
  <c r="AY78" i="6" s="1"/>
  <c r="AX78" i="6" s="1"/>
  <c r="M78" i="6" s="1"/>
  <c r="AO78" i="6"/>
  <c r="AH267" i="6"/>
  <c r="AK267" i="6" s="1"/>
  <c r="AJ267" i="6" s="1"/>
  <c r="AI267" i="6" s="1"/>
  <c r="G267" i="6" s="1"/>
  <c r="BR267" i="6"/>
  <c r="T267" i="6" s="1"/>
  <c r="BM267" i="6"/>
  <c r="BE267" i="6"/>
  <c r="AW267" i="6"/>
  <c r="AZ267" i="6" s="1"/>
  <c r="AY267" i="6" s="1"/>
  <c r="AX267" i="6" s="1"/>
  <c r="M267" i="6" s="1"/>
  <c r="AO267" i="6"/>
  <c r="AH138" i="6"/>
  <c r="E138" i="6" s="1"/>
  <c r="BR138" i="6"/>
  <c r="T138" i="6" s="1"/>
  <c r="BM138" i="6"/>
  <c r="BE138" i="6"/>
  <c r="AW138" i="6"/>
  <c r="K138" i="6" s="1"/>
  <c r="AO138" i="6"/>
  <c r="AH70" i="6"/>
  <c r="E70" i="6" s="1"/>
  <c r="BR70" i="6"/>
  <c r="T70" i="6" s="1"/>
  <c r="BM70" i="6"/>
  <c r="BE70" i="6"/>
  <c r="AW70" i="6"/>
  <c r="K70" i="6" s="1"/>
  <c r="AO70" i="6"/>
  <c r="AH446" i="6"/>
  <c r="BR446" i="6"/>
  <c r="T446" i="6" s="1"/>
  <c r="BE446" i="6"/>
  <c r="BM446" i="6"/>
  <c r="AW446" i="6"/>
  <c r="AZ446" i="6" s="1"/>
  <c r="AY446" i="6" s="1"/>
  <c r="AX446" i="6" s="1"/>
  <c r="M446" i="6" s="1"/>
  <c r="AO446" i="6"/>
  <c r="AH369" i="6"/>
  <c r="E369" i="6" s="1"/>
  <c r="BR369" i="6"/>
  <c r="T369" i="6" s="1"/>
  <c r="BE369" i="6"/>
  <c r="BM369" i="6"/>
  <c r="AW369" i="6"/>
  <c r="K369" i="6" s="1"/>
  <c r="AO369" i="6"/>
  <c r="AH231" i="6"/>
  <c r="E231" i="6" s="1"/>
  <c r="BR231" i="6"/>
  <c r="T231" i="6" s="1"/>
  <c r="BM231" i="6"/>
  <c r="BE231" i="6"/>
  <c r="AW231" i="6"/>
  <c r="K231" i="6" s="1"/>
  <c r="AO231" i="6"/>
  <c r="AH464" i="6"/>
  <c r="AK464" i="6" s="1"/>
  <c r="AJ464" i="6" s="1"/>
  <c r="AI464" i="6" s="1"/>
  <c r="G464" i="6" s="1"/>
  <c r="BR464" i="6"/>
  <c r="T464" i="6" s="1"/>
  <c r="BM464" i="6"/>
  <c r="BE464" i="6"/>
  <c r="AW464" i="6"/>
  <c r="K464" i="6" s="1"/>
  <c r="AO464" i="6"/>
  <c r="AH435" i="6"/>
  <c r="E435" i="6" s="1"/>
  <c r="BR435" i="6"/>
  <c r="T435" i="6" s="1"/>
  <c r="BM435" i="6"/>
  <c r="BE435" i="6"/>
  <c r="AW435" i="6"/>
  <c r="AZ435" i="6" s="1"/>
  <c r="AY435" i="6" s="1"/>
  <c r="AX435" i="6" s="1"/>
  <c r="M435" i="6" s="1"/>
  <c r="AO435" i="6"/>
  <c r="AH347" i="6"/>
  <c r="AK347" i="6" s="1"/>
  <c r="AJ347" i="6" s="1"/>
  <c r="AI347" i="6" s="1"/>
  <c r="G347" i="6" s="1"/>
  <c r="BR347" i="6"/>
  <c r="T347" i="6" s="1"/>
  <c r="BM347" i="6"/>
  <c r="BE347" i="6"/>
  <c r="AW347" i="6"/>
  <c r="K347" i="6" s="1"/>
  <c r="AO347" i="6"/>
  <c r="AH61" i="6"/>
  <c r="AK61" i="6" s="1"/>
  <c r="AJ61" i="6" s="1"/>
  <c r="AI61" i="6" s="1"/>
  <c r="G61" i="6" s="1"/>
  <c r="BR61" i="6"/>
  <c r="T61" i="6" s="1"/>
  <c r="BM61" i="6"/>
  <c r="BE61" i="6"/>
  <c r="AW61" i="6"/>
  <c r="K61" i="6" s="1"/>
  <c r="AO61" i="6"/>
  <c r="AH397" i="6"/>
  <c r="AK397" i="6" s="1"/>
  <c r="AJ397" i="6" s="1"/>
  <c r="AI397" i="6" s="1"/>
  <c r="G397" i="6" s="1"/>
  <c r="BR397" i="6"/>
  <c r="T397" i="6" s="1"/>
  <c r="BM397" i="6"/>
  <c r="BE397" i="6"/>
  <c r="AW397" i="6"/>
  <c r="AZ397" i="6" s="1"/>
  <c r="AY397" i="6" s="1"/>
  <c r="AX397" i="6" s="1"/>
  <c r="M397" i="6" s="1"/>
  <c r="AO397" i="6"/>
  <c r="AH292" i="6"/>
  <c r="E292" i="6" s="1"/>
  <c r="BR292" i="6"/>
  <c r="T292" i="6" s="1"/>
  <c r="BM292" i="6"/>
  <c r="BE292" i="6"/>
  <c r="AW292" i="6"/>
  <c r="K292" i="6" s="1"/>
  <c r="AO292" i="6"/>
  <c r="BR252" i="6"/>
  <c r="T252" i="6" s="1"/>
  <c r="BM252" i="6"/>
  <c r="BE252" i="6"/>
  <c r="AW252" i="6"/>
  <c r="AZ252" i="6" s="1"/>
  <c r="AY252" i="6" s="1"/>
  <c r="AX252" i="6" s="1"/>
  <c r="M252" i="6" s="1"/>
  <c r="AO252" i="6"/>
  <c r="AH210" i="6"/>
  <c r="AK210" i="6" s="1"/>
  <c r="AJ210" i="6" s="1"/>
  <c r="AI210" i="6" s="1"/>
  <c r="G210" i="6" s="1"/>
  <c r="BR210" i="6"/>
  <c r="T210" i="6" s="1"/>
  <c r="BM210" i="6"/>
  <c r="BE210" i="6"/>
  <c r="AW210" i="6"/>
  <c r="AZ210" i="6" s="1"/>
  <c r="AY210" i="6" s="1"/>
  <c r="AX210" i="6" s="1"/>
  <c r="M210" i="6" s="1"/>
  <c r="AO210" i="6"/>
  <c r="BR18" i="6"/>
  <c r="T18" i="6" s="1"/>
  <c r="BM18" i="6"/>
  <c r="BE18" i="6"/>
  <c r="AW18" i="6"/>
  <c r="AZ18" i="6" s="1"/>
  <c r="AY18" i="6" s="1"/>
  <c r="AX18" i="6" s="1"/>
  <c r="M18" i="6" s="1"/>
  <c r="AO18" i="6"/>
  <c r="BR17" i="6"/>
  <c r="T17" i="6" s="1"/>
  <c r="BM17" i="6"/>
  <c r="BE17" i="6"/>
  <c r="AW17" i="6"/>
  <c r="AZ17" i="6" s="1"/>
  <c r="AY17" i="6" s="1"/>
  <c r="AX17" i="6" s="1"/>
  <c r="M17" i="6" s="1"/>
  <c r="AO17" i="6"/>
  <c r="BR153" i="6"/>
  <c r="T153" i="6" s="1"/>
  <c r="BM153" i="6"/>
  <c r="BE153" i="6"/>
  <c r="AW153" i="6"/>
  <c r="AZ153" i="6" s="1"/>
  <c r="AY153" i="6" s="1"/>
  <c r="AX153" i="6" s="1"/>
  <c r="M153" i="6" s="1"/>
  <c r="AO153" i="6"/>
  <c r="AH89" i="6"/>
  <c r="AK89" i="6" s="1"/>
  <c r="AJ89" i="6" s="1"/>
  <c r="AI89" i="6" s="1"/>
  <c r="G89" i="6" s="1"/>
  <c r="AH304" i="6"/>
  <c r="E304" i="6" s="1"/>
  <c r="AH180" i="6"/>
  <c r="AK180" i="6" s="1"/>
  <c r="AJ180" i="6" s="1"/>
  <c r="AI180" i="6" s="1"/>
  <c r="G180" i="6" s="1"/>
  <c r="AH262" i="6"/>
  <c r="E262" i="6" s="1"/>
  <c r="AH413" i="6"/>
  <c r="AH32" i="6"/>
  <c r="AK32" i="6" s="1"/>
  <c r="AJ32" i="6" s="1"/>
  <c r="AI32" i="6" s="1"/>
  <c r="G32" i="6" s="1"/>
  <c r="AH82" i="6"/>
  <c r="AK82" i="6" s="1"/>
  <c r="AJ82" i="6" s="1"/>
  <c r="AI82" i="6" s="1"/>
  <c r="G82" i="6" s="1"/>
  <c r="AH319" i="6"/>
  <c r="AK319" i="6" s="1"/>
  <c r="AJ319" i="6" s="1"/>
  <c r="AI319" i="6" s="1"/>
  <c r="G319" i="6" s="1"/>
  <c r="AH311" i="6"/>
  <c r="AH136" i="6"/>
  <c r="AK136" i="6" s="1"/>
  <c r="AJ136" i="6" s="1"/>
  <c r="AI136" i="6" s="1"/>
  <c r="G136" i="6" s="1"/>
  <c r="S119" i="1"/>
  <c r="B124" i="1"/>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5" i="10"/>
  <c r="A6" i="10" s="1"/>
  <c r="AH466" i="6"/>
  <c r="E466" i="6" s="1"/>
  <c r="B79" i="1"/>
  <c r="S74" i="1"/>
  <c r="F62" i="1"/>
  <c r="B145" i="1"/>
  <c r="S144" i="1"/>
  <c r="S145" i="1"/>
  <c r="B146" i="1"/>
  <c r="S97" i="1"/>
  <c r="B102" i="1"/>
  <c r="S98" i="1"/>
  <c r="B103" i="1"/>
  <c r="F36" i="1"/>
  <c r="K4" i="1" s="1"/>
  <c r="F26" i="1"/>
  <c r="F41" i="1"/>
  <c r="F44" i="1" s="1"/>
  <c r="F63" i="1"/>
  <c r="D80" i="1"/>
  <c r="C80" i="1"/>
  <c r="G103" i="1"/>
  <c r="F103" i="1"/>
  <c r="E80" i="1"/>
  <c r="E103" i="1"/>
  <c r="D103" i="1"/>
  <c r="G80" i="1"/>
  <c r="C103" i="1"/>
  <c r="F80" i="1"/>
  <c r="AK135" i="6"/>
  <c r="AJ135" i="6" s="1"/>
  <c r="AI135" i="6" s="1"/>
  <c r="G135" i="6" s="1"/>
  <c r="E135" i="6"/>
  <c r="AK75" i="6"/>
  <c r="AJ75" i="6" s="1"/>
  <c r="AI75" i="6" s="1"/>
  <c r="G75" i="6" s="1"/>
  <c r="E75" i="6"/>
  <c r="AH351" i="6"/>
  <c r="AH214" i="6"/>
  <c r="E458" i="6"/>
  <c r="AK458" i="6"/>
  <c r="AJ458" i="6" s="1"/>
  <c r="AI458" i="6" s="1"/>
  <c r="G458" i="6" s="1"/>
  <c r="AH183" i="6"/>
  <c r="AH116" i="6"/>
  <c r="AH269" i="6"/>
  <c r="AK401" i="6"/>
  <c r="AJ401" i="6" s="1"/>
  <c r="AI401" i="6" s="1"/>
  <c r="G401" i="6" s="1"/>
  <c r="E401" i="6"/>
  <c r="E313" i="6"/>
  <c r="AK313" i="6"/>
  <c r="AJ313" i="6" s="1"/>
  <c r="AI313" i="6" s="1"/>
  <c r="G313" i="6" s="1"/>
  <c r="AH36" i="6"/>
  <c r="AH261" i="6"/>
  <c r="AH235" i="6"/>
  <c r="AH191" i="6"/>
  <c r="AH395" i="6"/>
  <c r="AK394" i="6"/>
  <c r="AJ394" i="6" s="1"/>
  <c r="AI394" i="6" s="1"/>
  <c r="G394" i="6" s="1"/>
  <c r="E394" i="6"/>
  <c r="AH358" i="6"/>
  <c r="AK256" i="6"/>
  <c r="AJ256" i="6" s="1"/>
  <c r="AI256" i="6" s="1"/>
  <c r="G256" i="6" s="1"/>
  <c r="E256" i="6"/>
  <c r="AH463" i="6"/>
  <c r="AK405" i="6"/>
  <c r="AJ405" i="6" s="1"/>
  <c r="AI405" i="6" s="1"/>
  <c r="G405" i="6" s="1"/>
  <c r="E405" i="6"/>
  <c r="AH349" i="6"/>
  <c r="AH213" i="6"/>
  <c r="AH93" i="6"/>
  <c r="AH14" i="6"/>
  <c r="AK65" i="6"/>
  <c r="AJ65" i="6" s="1"/>
  <c r="AI65" i="6" s="1"/>
  <c r="G65" i="6" s="1"/>
  <c r="E65" i="6"/>
  <c r="AK197" i="6"/>
  <c r="AJ197" i="6" s="1"/>
  <c r="AI197" i="6" s="1"/>
  <c r="G197" i="6" s="1"/>
  <c r="E197" i="6"/>
  <c r="AH149" i="6"/>
  <c r="AH377" i="6"/>
  <c r="AH133" i="6"/>
  <c r="AK259" i="6"/>
  <c r="AJ259" i="6" s="1"/>
  <c r="AI259" i="6" s="1"/>
  <c r="G259" i="6" s="1"/>
  <c r="E259" i="6"/>
  <c r="AK153" i="6"/>
  <c r="AJ153" i="6" s="1"/>
  <c r="AI153" i="6" s="1"/>
  <c r="G153" i="6" s="1"/>
  <c r="E153" i="6"/>
  <c r="AH22" i="6"/>
  <c r="AH443" i="6"/>
  <c r="AH409" i="6"/>
  <c r="AK362" i="6"/>
  <c r="AJ362" i="6" s="1"/>
  <c r="AI362" i="6" s="1"/>
  <c r="G362" i="6" s="1"/>
  <c r="E362" i="6"/>
  <c r="AH44" i="6"/>
  <c r="AH391" i="6"/>
  <c r="AK106" i="6"/>
  <c r="AJ106" i="6" s="1"/>
  <c r="AI106" i="6" s="1"/>
  <c r="G106" i="6" s="1"/>
  <c r="E106" i="6"/>
  <c r="AK300" i="6"/>
  <c r="AJ300" i="6" s="1"/>
  <c r="AI300" i="6" s="1"/>
  <c r="G300" i="6" s="1"/>
  <c r="E300" i="6"/>
  <c r="AH228" i="6"/>
  <c r="AH350" i="6"/>
  <c r="E164" i="6"/>
  <c r="AK164" i="6"/>
  <c r="AJ164" i="6" s="1"/>
  <c r="AI164" i="6" s="1"/>
  <c r="G164" i="6" s="1"/>
  <c r="AK303" i="6"/>
  <c r="AJ303" i="6" s="1"/>
  <c r="AI303" i="6" s="1"/>
  <c r="G303" i="6" s="1"/>
  <c r="E303" i="6"/>
  <c r="E141" i="6"/>
  <c r="AK141" i="6"/>
  <c r="AJ141" i="6" s="1"/>
  <c r="AI141" i="6" s="1"/>
  <c r="G141" i="6" s="1"/>
  <c r="AH449" i="6"/>
  <c r="AH314" i="6"/>
  <c r="AH289" i="6"/>
  <c r="AH249" i="6"/>
  <c r="AK215" i="6"/>
  <c r="AJ215" i="6" s="1"/>
  <c r="AI215" i="6" s="1"/>
  <c r="G215" i="6" s="1"/>
  <c r="E215" i="6"/>
  <c r="AH54" i="6"/>
  <c r="AH49" i="6"/>
  <c r="AK403" i="6"/>
  <c r="AJ403" i="6" s="1"/>
  <c r="AI403" i="6" s="1"/>
  <c r="G403" i="6" s="1"/>
  <c r="E403" i="6"/>
  <c r="AH212" i="6"/>
  <c r="AH121" i="6"/>
  <c r="AH30" i="6"/>
  <c r="E364" i="6"/>
  <c r="AK364" i="6"/>
  <c r="AJ364" i="6" s="1"/>
  <c r="AI364" i="6" s="1"/>
  <c r="G364" i="6" s="1"/>
  <c r="E316" i="6"/>
  <c r="AK316" i="6"/>
  <c r="AJ316" i="6" s="1"/>
  <c r="AI316" i="6" s="1"/>
  <c r="G316" i="6" s="1"/>
  <c r="AH101" i="6"/>
  <c r="AK410" i="6"/>
  <c r="AJ410" i="6" s="1"/>
  <c r="AI410" i="6" s="1"/>
  <c r="G410" i="6" s="1"/>
  <c r="E410" i="6"/>
  <c r="AH299" i="6"/>
  <c r="AH193" i="6"/>
  <c r="E120" i="6"/>
  <c r="AK120" i="6"/>
  <c r="AJ120" i="6" s="1"/>
  <c r="AI120" i="6" s="1"/>
  <c r="G120" i="6" s="1"/>
  <c r="AH77" i="6"/>
  <c r="AK56" i="6"/>
  <c r="AJ56" i="6" s="1"/>
  <c r="AI56" i="6" s="1"/>
  <c r="G56" i="6" s="1"/>
  <c r="E56" i="6"/>
  <c r="AK295" i="6"/>
  <c r="AJ295" i="6" s="1"/>
  <c r="AI295" i="6" s="1"/>
  <c r="G295" i="6" s="1"/>
  <c r="E295" i="6"/>
  <c r="AK162" i="6"/>
  <c r="AJ162" i="6" s="1"/>
  <c r="AI162" i="6" s="1"/>
  <c r="G162" i="6" s="1"/>
  <c r="E162" i="6"/>
  <c r="AH28" i="6"/>
  <c r="AH334" i="6"/>
  <c r="AH328" i="6"/>
  <c r="AH254" i="6"/>
  <c r="AK431" i="6"/>
  <c r="AJ431" i="6" s="1"/>
  <c r="AI431" i="6" s="1"/>
  <c r="G431" i="6" s="1"/>
  <c r="E431" i="6"/>
  <c r="AK119" i="6"/>
  <c r="AJ119" i="6" s="1"/>
  <c r="AI119" i="6" s="1"/>
  <c r="G119" i="6" s="1"/>
  <c r="E119" i="6"/>
  <c r="AH352" i="6"/>
  <c r="AH275" i="6"/>
  <c r="AH129" i="6"/>
  <c r="AH85" i="6"/>
  <c r="AK84" i="6"/>
  <c r="AJ84" i="6" s="1"/>
  <c r="AI84" i="6" s="1"/>
  <c r="G84" i="6" s="1"/>
  <c r="E84" i="6"/>
  <c r="AH329" i="6"/>
  <c r="AH301" i="6"/>
  <c r="AH309" i="6"/>
  <c r="AK367" i="6"/>
  <c r="AJ367" i="6" s="1"/>
  <c r="AI367" i="6" s="1"/>
  <c r="G367" i="6" s="1"/>
  <c r="E367" i="6"/>
  <c r="E383" i="6"/>
  <c r="AK383" i="6"/>
  <c r="AJ383" i="6" s="1"/>
  <c r="AI383" i="6" s="1"/>
  <c r="G383" i="6" s="1"/>
  <c r="AH104" i="6"/>
  <c r="AK26" i="6"/>
  <c r="AJ26" i="6" s="1"/>
  <c r="AI26" i="6" s="1"/>
  <c r="G26" i="6" s="1"/>
  <c r="E26" i="6"/>
  <c r="AK406" i="6"/>
  <c r="AJ406" i="6" s="1"/>
  <c r="AI406" i="6" s="1"/>
  <c r="G406" i="6" s="1"/>
  <c r="E406" i="6"/>
  <c r="E128" i="6"/>
  <c r="AK128" i="6"/>
  <c r="AJ128" i="6" s="1"/>
  <c r="AI128" i="6" s="1"/>
  <c r="G128" i="6" s="1"/>
  <c r="AH402" i="6"/>
  <c r="AK232" i="6"/>
  <c r="AJ232" i="6" s="1"/>
  <c r="AI232" i="6" s="1"/>
  <c r="G232" i="6" s="1"/>
  <c r="E232" i="6"/>
  <c r="AH199" i="6"/>
  <c r="AH52" i="6"/>
  <c r="AZ469" i="6"/>
  <c r="AY469" i="6" s="1"/>
  <c r="AX469" i="6" s="1"/>
  <c r="AH424" i="6"/>
  <c r="AH373" i="6"/>
  <c r="AH239" i="6"/>
  <c r="AH113" i="6"/>
  <c r="AH102" i="6"/>
  <c r="AK181" i="6"/>
  <c r="AJ181" i="6" s="1"/>
  <c r="AI181" i="6" s="1"/>
  <c r="G181" i="6" s="1"/>
  <c r="E181" i="6"/>
  <c r="AK76" i="6"/>
  <c r="AJ76" i="6" s="1"/>
  <c r="AI76" i="6" s="1"/>
  <c r="G76" i="6" s="1"/>
  <c r="E76" i="6"/>
  <c r="AH35" i="6"/>
  <c r="AH283" i="6"/>
  <c r="AH393" i="6"/>
  <c r="AH343" i="6"/>
  <c r="AK333" i="6"/>
  <c r="AJ333" i="6" s="1"/>
  <c r="AI333" i="6" s="1"/>
  <c r="G333" i="6" s="1"/>
  <c r="E333" i="6"/>
  <c r="AH308" i="6"/>
  <c r="AH223" i="6"/>
  <c r="AH462" i="6"/>
  <c r="AK469" i="6"/>
  <c r="AJ469" i="6" s="1"/>
  <c r="AI469" i="6" s="1"/>
  <c r="AH386" i="6"/>
  <c r="AH291" i="6"/>
  <c r="AH203" i="6"/>
  <c r="AH31" i="6"/>
  <c r="AH155" i="6"/>
  <c r="E172" i="6"/>
  <c r="AK172" i="6"/>
  <c r="AJ172" i="6" s="1"/>
  <c r="AI172" i="6" s="1"/>
  <c r="G172" i="6" s="1"/>
  <c r="AK72" i="6"/>
  <c r="AJ72" i="6" s="1"/>
  <c r="AI72" i="6" s="1"/>
  <c r="G72" i="6" s="1"/>
  <c r="E72" i="6"/>
  <c r="AK34" i="6"/>
  <c r="AJ34" i="6" s="1"/>
  <c r="AI34" i="6" s="1"/>
  <c r="G34" i="6" s="1"/>
  <c r="E34" i="6"/>
  <c r="AK46" i="6"/>
  <c r="AJ46" i="6" s="1"/>
  <c r="AI46" i="6" s="1"/>
  <c r="G46" i="6" s="1"/>
  <c r="E46" i="6"/>
  <c r="AH467" i="6"/>
  <c r="E433" i="6"/>
  <c r="AK433" i="6"/>
  <c r="AJ433" i="6" s="1"/>
  <c r="AI433" i="6" s="1"/>
  <c r="G433" i="6" s="1"/>
  <c r="AK147" i="6"/>
  <c r="AJ147" i="6" s="1"/>
  <c r="AI147" i="6" s="1"/>
  <c r="G147" i="6" s="1"/>
  <c r="E147" i="6"/>
  <c r="AH430" i="6"/>
  <c r="AZ470" i="6"/>
  <c r="AY470" i="6" s="1"/>
  <c r="AX470" i="6" s="1"/>
  <c r="E324" i="6"/>
  <c r="AK324" i="6"/>
  <c r="AJ324" i="6" s="1"/>
  <c r="AI324" i="6" s="1"/>
  <c r="G324" i="6" s="1"/>
  <c r="AK25" i="6"/>
  <c r="AJ25" i="6" s="1"/>
  <c r="AI25" i="6" s="1"/>
  <c r="G25" i="6" s="1"/>
  <c r="E25" i="6"/>
  <c r="E16" i="6"/>
  <c r="AK16" i="6"/>
  <c r="AJ16" i="6" s="1"/>
  <c r="AI16" i="6" s="1"/>
  <c r="G16" i="6" s="1"/>
  <c r="AK252" i="6"/>
  <c r="AJ252" i="6" s="1"/>
  <c r="AI252" i="6" s="1"/>
  <c r="G252" i="6" s="1"/>
  <c r="E252" i="6"/>
  <c r="AH222" i="6"/>
  <c r="AK270" i="6"/>
  <c r="AJ270" i="6" s="1"/>
  <c r="AI270" i="6" s="1"/>
  <c r="G270" i="6" s="1"/>
  <c r="E270" i="6"/>
  <c r="AK263" i="6"/>
  <c r="AJ263" i="6" s="1"/>
  <c r="AI263" i="6" s="1"/>
  <c r="G263" i="6" s="1"/>
  <c r="E263" i="6"/>
  <c r="AH182" i="6"/>
  <c r="AH67" i="6"/>
  <c r="AK260" i="6"/>
  <c r="AJ260" i="6" s="1"/>
  <c r="AI260" i="6" s="1"/>
  <c r="G260" i="6" s="1"/>
  <c r="E260" i="6"/>
  <c r="AH71" i="6"/>
  <c r="AH385" i="6"/>
  <c r="AK233" i="6"/>
  <c r="AJ233" i="6" s="1"/>
  <c r="AI233" i="6" s="1"/>
  <c r="G233" i="6" s="1"/>
  <c r="E233" i="6"/>
  <c r="AK470" i="6"/>
  <c r="AJ470" i="6" s="1"/>
  <c r="AI470" i="6" s="1"/>
  <c r="AK245" i="6"/>
  <c r="AJ245" i="6" s="1"/>
  <c r="AI245" i="6" s="1"/>
  <c r="G245" i="6" s="1"/>
  <c r="E245" i="6"/>
  <c r="AK171" i="6"/>
  <c r="AJ171" i="6" s="1"/>
  <c r="AI171" i="6" s="1"/>
  <c r="G171" i="6" s="1"/>
  <c r="E171" i="6"/>
  <c r="AK169" i="6"/>
  <c r="AJ169" i="6" s="1"/>
  <c r="AI169" i="6" s="1"/>
  <c r="G169" i="6" s="1"/>
  <c r="E169" i="6"/>
  <c r="E345" i="6"/>
  <c r="AK345" i="6"/>
  <c r="AJ345" i="6" s="1"/>
  <c r="AI345" i="6" s="1"/>
  <c r="G345" i="6" s="1"/>
  <c r="E437" i="6"/>
  <c r="AK437" i="6"/>
  <c r="AJ437" i="6" s="1"/>
  <c r="AI437" i="6" s="1"/>
  <c r="G437" i="6" s="1"/>
  <c r="AH392" i="6"/>
  <c r="AH229" i="6"/>
  <c r="E39" i="6"/>
  <c r="AK39" i="6"/>
  <c r="AJ39" i="6" s="1"/>
  <c r="AI39" i="6" s="1"/>
  <c r="G39" i="6" s="1"/>
  <c r="AK451" i="6"/>
  <c r="AJ451" i="6" s="1"/>
  <c r="AI451" i="6" s="1"/>
  <c r="G451" i="6" s="1"/>
  <c r="E451" i="6"/>
  <c r="AH440" i="6"/>
  <c r="AH357" i="6"/>
  <c r="AH327" i="6"/>
  <c r="E241" i="6"/>
  <c r="AK241" i="6"/>
  <c r="AJ241" i="6" s="1"/>
  <c r="AI241" i="6" s="1"/>
  <c r="G241" i="6" s="1"/>
  <c r="AH221" i="6"/>
  <c r="AH194" i="6"/>
  <c r="AH98" i="6"/>
  <c r="AH69" i="6"/>
  <c r="AH425" i="6"/>
  <c r="AH123" i="6"/>
  <c r="AK79" i="6"/>
  <c r="AJ79" i="6" s="1"/>
  <c r="AI79" i="6" s="1"/>
  <c r="G79" i="6" s="1"/>
  <c r="E79" i="6"/>
  <c r="AH41" i="6"/>
  <c r="AH360" i="6"/>
  <c r="AK344" i="6"/>
  <c r="AJ344" i="6" s="1"/>
  <c r="AI344" i="6" s="1"/>
  <c r="G344" i="6" s="1"/>
  <c r="E344" i="6"/>
  <c r="E305" i="6"/>
  <c r="AK305" i="6"/>
  <c r="AJ305" i="6" s="1"/>
  <c r="AI305" i="6" s="1"/>
  <c r="G305" i="6" s="1"/>
  <c r="AK277" i="6"/>
  <c r="AJ277" i="6" s="1"/>
  <c r="AI277" i="6" s="1"/>
  <c r="G277" i="6" s="1"/>
  <c r="E277" i="6"/>
  <c r="AH134" i="6"/>
  <c r="AH422" i="6"/>
  <c r="E66" i="6"/>
  <c r="AK66" i="6"/>
  <c r="AJ66" i="6" s="1"/>
  <c r="AI66" i="6" s="1"/>
  <c r="G66" i="6" s="1"/>
  <c r="AK418" i="6"/>
  <c r="AJ418" i="6" s="1"/>
  <c r="AI418" i="6" s="1"/>
  <c r="G418" i="6" s="1"/>
  <c r="E418" i="6"/>
  <c r="AH384" i="6"/>
  <c r="AK255" i="6"/>
  <c r="AJ255" i="6" s="1"/>
  <c r="AI255" i="6" s="1"/>
  <c r="G255" i="6" s="1"/>
  <c r="E255" i="6"/>
  <c r="AH331" i="6"/>
  <c r="AH298" i="6"/>
  <c r="AH112" i="6"/>
  <c r="AK17" i="6"/>
  <c r="AJ17" i="6" s="1"/>
  <c r="AI17" i="6" s="1"/>
  <c r="G17" i="6" s="1"/>
  <c r="E17" i="6"/>
  <c r="AH398" i="6"/>
  <c r="AH130" i="6"/>
  <c r="AH236" i="6"/>
  <c r="AH185" i="6"/>
  <c r="AH143" i="6"/>
  <c r="AK18" i="6"/>
  <c r="AJ18" i="6" s="1"/>
  <c r="AI18" i="6" s="1"/>
  <c r="G18" i="6" s="1"/>
  <c r="E18" i="6"/>
  <c r="AH332" i="6"/>
  <c r="AH146" i="6"/>
  <c r="AK322" i="6"/>
  <c r="AJ322" i="6" s="1"/>
  <c r="AI322" i="6" s="1"/>
  <c r="G322" i="6" s="1"/>
  <c r="E322" i="6"/>
  <c r="AH238" i="6"/>
  <c r="AH99" i="6"/>
  <c r="AK179" i="6"/>
  <c r="AJ179" i="6" s="1"/>
  <c r="AI179" i="6" s="1"/>
  <c r="G179" i="6" s="1"/>
  <c r="E179" i="6"/>
  <c r="AK86" i="6"/>
  <c r="AJ86" i="6" s="1"/>
  <c r="AI86" i="6" s="1"/>
  <c r="G86" i="6" s="1"/>
  <c r="E86" i="6"/>
  <c r="AK29" i="6"/>
  <c r="AJ29" i="6" s="1"/>
  <c r="AI29" i="6" s="1"/>
  <c r="G29" i="6" s="1"/>
  <c r="E29" i="6"/>
  <c r="AH10" i="6"/>
  <c r="AH230" i="6"/>
  <c r="AH204" i="6"/>
  <c r="AH126" i="6"/>
  <c r="AK19" i="6"/>
  <c r="AJ19" i="6" s="1"/>
  <c r="AI19" i="6" s="1"/>
  <c r="G19" i="6" s="1"/>
  <c r="E19" i="6"/>
  <c r="E168" i="6"/>
  <c r="AK168" i="6"/>
  <c r="AJ168" i="6" s="1"/>
  <c r="AI168" i="6" s="1"/>
  <c r="G168" i="6" s="1"/>
  <c r="AK103" i="6"/>
  <c r="AJ103" i="6" s="1"/>
  <c r="AI103" i="6" s="1"/>
  <c r="G103" i="6" s="1"/>
  <c r="E103" i="6"/>
  <c r="BH364" i="6" l="1"/>
  <c r="BG364" i="6" s="1"/>
  <c r="BF364" i="6" s="1"/>
  <c r="P364" i="6" s="1"/>
  <c r="BH33" i="6"/>
  <c r="BG33" i="6" s="1"/>
  <c r="BF33" i="6" s="1"/>
  <c r="P33" i="6" s="1"/>
  <c r="E294" i="6"/>
  <c r="E131" i="6"/>
  <c r="E174" i="6"/>
  <c r="AK325" i="6"/>
  <c r="AJ325" i="6" s="1"/>
  <c r="AI325" i="6" s="1"/>
  <c r="G325" i="6" s="1"/>
  <c r="BH164" i="6"/>
  <c r="BG164" i="6" s="1"/>
  <c r="BF164" i="6" s="1"/>
  <c r="P164" i="6" s="1"/>
  <c r="E302" i="6"/>
  <c r="AZ83" i="6"/>
  <c r="AY83" i="6" s="1"/>
  <c r="AX83" i="6" s="1"/>
  <c r="M83" i="6" s="1"/>
  <c r="AR120" i="6"/>
  <c r="AQ120" i="6" s="1"/>
  <c r="AP120" i="6" s="1"/>
  <c r="J120" i="6" s="1"/>
  <c r="E363" i="6"/>
  <c r="AK396" i="6"/>
  <c r="AJ396" i="6" s="1"/>
  <c r="AI396" i="6" s="1"/>
  <c r="G396" i="6" s="1"/>
  <c r="E417" i="6"/>
  <c r="BH383" i="6"/>
  <c r="BG383" i="6" s="1"/>
  <c r="BF383" i="6" s="1"/>
  <c r="P383" i="6" s="1"/>
  <c r="AK468" i="6"/>
  <c r="AJ468" i="6" s="1"/>
  <c r="AI468" i="6" s="1"/>
  <c r="G468" i="6" s="1"/>
  <c r="AK293" i="6"/>
  <c r="AJ293" i="6" s="1"/>
  <c r="AI293" i="6" s="1"/>
  <c r="G293" i="6" s="1"/>
  <c r="BH37" i="6"/>
  <c r="BG37" i="6" s="1"/>
  <c r="BF37" i="6" s="1"/>
  <c r="P37" i="6" s="1"/>
  <c r="E455" i="6"/>
  <c r="E211" i="6"/>
  <c r="E15" i="6"/>
  <c r="E247" i="6"/>
  <c r="E94" i="6"/>
  <c r="BP234" i="6"/>
  <c r="BO234" i="6" s="1"/>
  <c r="BN234" i="6" s="1"/>
  <c r="S234" i="6" s="1"/>
  <c r="AK201" i="6"/>
  <c r="AJ201" i="6" s="1"/>
  <c r="AI201" i="6" s="1"/>
  <c r="G201" i="6" s="1"/>
  <c r="AZ57" i="6"/>
  <c r="AY57" i="6" s="1"/>
  <c r="AX57" i="6" s="1"/>
  <c r="M57" i="6" s="1"/>
  <c r="AR39" i="6"/>
  <c r="AQ39" i="6" s="1"/>
  <c r="AP39" i="6" s="1"/>
  <c r="J39" i="6" s="1"/>
  <c r="AK265" i="6"/>
  <c r="AJ265" i="6" s="1"/>
  <c r="AI265" i="6" s="1"/>
  <c r="G265" i="6" s="1"/>
  <c r="E281" i="6"/>
  <c r="E161" i="6"/>
  <c r="AK374" i="6"/>
  <c r="AJ374" i="6" s="1"/>
  <c r="AI374" i="6" s="1"/>
  <c r="G374" i="6" s="1"/>
  <c r="E246" i="6"/>
  <c r="E273" i="6"/>
  <c r="E21" i="6"/>
  <c r="AK421" i="6"/>
  <c r="AJ421" i="6" s="1"/>
  <c r="AI421" i="6" s="1"/>
  <c r="G421" i="6" s="1"/>
  <c r="AK258" i="6"/>
  <c r="AJ258" i="6" s="1"/>
  <c r="AI258" i="6" s="1"/>
  <c r="G258" i="6" s="1"/>
  <c r="AK271" i="6"/>
  <c r="AJ271" i="6" s="1"/>
  <c r="AI271" i="6" s="1"/>
  <c r="G271" i="6" s="1"/>
  <c r="BH303" i="6"/>
  <c r="BG303" i="6" s="1"/>
  <c r="BF303" i="6" s="1"/>
  <c r="P303" i="6" s="1"/>
  <c r="BH125" i="6"/>
  <c r="BG125" i="6" s="1"/>
  <c r="BF125" i="6" s="1"/>
  <c r="P125" i="6" s="1"/>
  <c r="AK57" i="6"/>
  <c r="AJ57" i="6" s="1"/>
  <c r="AI57" i="6" s="1"/>
  <c r="G57" i="6" s="1"/>
  <c r="AK242" i="6"/>
  <c r="AJ242" i="6" s="1"/>
  <c r="AI242" i="6" s="1"/>
  <c r="G242" i="6" s="1"/>
  <c r="E55" i="6"/>
  <c r="E342" i="6"/>
  <c r="AK151" i="6"/>
  <c r="AJ151" i="6" s="1"/>
  <c r="AI151" i="6" s="1"/>
  <c r="G151" i="6" s="1"/>
  <c r="BH227" i="6"/>
  <c r="BG227" i="6" s="1"/>
  <c r="BF227" i="6" s="1"/>
  <c r="P227" i="6" s="1"/>
  <c r="BP431" i="6"/>
  <c r="BO431" i="6" s="1"/>
  <c r="BN431" i="6" s="1"/>
  <c r="S431" i="6" s="1"/>
  <c r="N319" i="6"/>
  <c r="AZ76" i="6"/>
  <c r="AY76" i="6" s="1"/>
  <c r="AX76" i="6" s="1"/>
  <c r="M76" i="6" s="1"/>
  <c r="AK186" i="6"/>
  <c r="AJ186" i="6" s="1"/>
  <c r="AI186" i="6" s="1"/>
  <c r="G186" i="6" s="1"/>
  <c r="AR405" i="6"/>
  <c r="AQ405" i="6" s="1"/>
  <c r="AP405" i="6" s="1"/>
  <c r="J405" i="6" s="1"/>
  <c r="AR447" i="6"/>
  <c r="AQ447" i="6" s="1"/>
  <c r="AP447" i="6" s="1"/>
  <c r="J447" i="6" s="1"/>
  <c r="BH122" i="6"/>
  <c r="BG122" i="6" s="1"/>
  <c r="BF122" i="6" s="1"/>
  <c r="P122" i="6" s="1"/>
  <c r="H458" i="6"/>
  <c r="AK414" i="6"/>
  <c r="AJ414" i="6" s="1"/>
  <c r="AI414" i="6" s="1"/>
  <c r="G414" i="6" s="1"/>
  <c r="E23" i="6"/>
  <c r="K164" i="6"/>
  <c r="K325" i="6"/>
  <c r="BP32" i="6"/>
  <c r="BO32" i="6" s="1"/>
  <c r="BN32" i="6" s="1"/>
  <c r="S32" i="6" s="1"/>
  <c r="K418" i="6"/>
  <c r="AK262" i="6"/>
  <c r="AJ262" i="6" s="1"/>
  <c r="AI262" i="6" s="1"/>
  <c r="G262" i="6" s="1"/>
  <c r="AZ251" i="6"/>
  <c r="AY251" i="6" s="1"/>
  <c r="AX251" i="6" s="1"/>
  <c r="M251" i="6" s="1"/>
  <c r="AR26" i="6"/>
  <c r="AQ26" i="6" s="1"/>
  <c r="AP26" i="6" s="1"/>
  <c r="J26" i="6" s="1"/>
  <c r="AK338" i="6"/>
  <c r="AJ338" i="6" s="1"/>
  <c r="AI338" i="6" s="1"/>
  <c r="G338" i="6" s="1"/>
  <c r="AZ437" i="6"/>
  <c r="AY437" i="6" s="1"/>
  <c r="AX437" i="6" s="1"/>
  <c r="M437" i="6" s="1"/>
  <c r="E315" i="6"/>
  <c r="AZ304" i="6"/>
  <c r="AY304" i="6" s="1"/>
  <c r="AX304" i="6" s="1"/>
  <c r="M304" i="6" s="1"/>
  <c r="E142" i="6"/>
  <c r="E423" i="6"/>
  <c r="AZ286" i="6"/>
  <c r="AY286" i="6" s="1"/>
  <c r="AX286" i="6" s="1"/>
  <c r="M286" i="6" s="1"/>
  <c r="AK407" i="6"/>
  <c r="AJ407" i="6" s="1"/>
  <c r="AI407" i="6" s="1"/>
  <c r="G407" i="6" s="1"/>
  <c r="E346" i="6"/>
  <c r="BP437" i="6"/>
  <c r="BO437" i="6" s="1"/>
  <c r="BN437" i="6" s="1"/>
  <c r="S437" i="6" s="1"/>
  <c r="AK122" i="6"/>
  <c r="AJ122" i="6" s="1"/>
  <c r="AI122" i="6" s="1"/>
  <c r="G122" i="6" s="1"/>
  <c r="E387" i="6"/>
  <c r="E227" i="6"/>
  <c r="E390" i="6"/>
  <c r="E318" i="6"/>
  <c r="AK152" i="6"/>
  <c r="AJ152" i="6" s="1"/>
  <c r="AI152" i="6" s="1"/>
  <c r="G152" i="6" s="1"/>
  <c r="AK196" i="6"/>
  <c r="AJ196" i="6" s="1"/>
  <c r="AI196" i="6" s="1"/>
  <c r="G196" i="6" s="1"/>
  <c r="AK296" i="6"/>
  <c r="AJ296" i="6" s="1"/>
  <c r="AI296" i="6" s="1"/>
  <c r="G296" i="6" s="1"/>
  <c r="AK411" i="6"/>
  <c r="AJ411" i="6" s="1"/>
  <c r="AI411" i="6" s="1"/>
  <c r="G411" i="6" s="1"/>
  <c r="E210" i="6"/>
  <c r="E43" i="6"/>
  <c r="E115" i="6"/>
  <c r="E257" i="6"/>
  <c r="AK460" i="6"/>
  <c r="AJ460" i="6" s="1"/>
  <c r="AI460" i="6" s="1"/>
  <c r="G460" i="6" s="1"/>
  <c r="E453" i="6"/>
  <c r="AK73" i="6"/>
  <c r="AJ73" i="6" s="1"/>
  <c r="AI73" i="6" s="1"/>
  <c r="G73" i="6" s="1"/>
  <c r="E9" i="6"/>
  <c r="K144" i="6"/>
  <c r="AZ176" i="6"/>
  <c r="AY176" i="6" s="1"/>
  <c r="AX176" i="6" s="1"/>
  <c r="M176" i="6" s="1"/>
  <c r="AK173" i="6"/>
  <c r="AJ173" i="6" s="1"/>
  <c r="AI173" i="6" s="1"/>
  <c r="G173" i="6" s="1"/>
  <c r="AK37" i="6"/>
  <c r="AJ37" i="6" s="1"/>
  <c r="AI37" i="6" s="1"/>
  <c r="G37" i="6" s="1"/>
  <c r="E157" i="6"/>
  <c r="AZ179" i="6"/>
  <c r="AY179" i="6" s="1"/>
  <c r="AX179" i="6" s="1"/>
  <c r="M179" i="6" s="1"/>
  <c r="AK124" i="6"/>
  <c r="AJ124" i="6" s="1"/>
  <c r="AI124" i="6" s="1"/>
  <c r="G124" i="6" s="1"/>
  <c r="AK114" i="6"/>
  <c r="AJ114" i="6" s="1"/>
  <c r="AI114" i="6" s="1"/>
  <c r="G114" i="6" s="1"/>
  <c r="K207" i="6"/>
  <c r="AK109" i="6"/>
  <c r="AJ109" i="6" s="1"/>
  <c r="AI109" i="6" s="1"/>
  <c r="G109" i="6" s="1"/>
  <c r="AK436" i="6"/>
  <c r="AJ436" i="6" s="1"/>
  <c r="AI436" i="6" s="1"/>
  <c r="G436" i="6" s="1"/>
  <c r="BH437" i="6"/>
  <c r="BG437" i="6" s="1"/>
  <c r="BF437" i="6" s="1"/>
  <c r="P437" i="6" s="1"/>
  <c r="E82" i="6"/>
  <c r="AK231" i="6"/>
  <c r="AJ231" i="6" s="1"/>
  <c r="AI231" i="6" s="1"/>
  <c r="G231" i="6" s="1"/>
  <c r="K410" i="6"/>
  <c r="AZ272" i="6"/>
  <c r="AY272" i="6" s="1"/>
  <c r="AX272" i="6" s="1"/>
  <c r="M272" i="6" s="1"/>
  <c r="K125" i="6"/>
  <c r="AR311" i="6"/>
  <c r="AQ311" i="6" s="1"/>
  <c r="AP311" i="6" s="1"/>
  <c r="J311" i="6" s="1"/>
  <c r="AR345" i="6"/>
  <c r="AQ345" i="6" s="1"/>
  <c r="AP345" i="6" s="1"/>
  <c r="J345" i="6" s="1"/>
  <c r="E429" i="6"/>
  <c r="AK125" i="6"/>
  <c r="AJ125" i="6" s="1"/>
  <c r="AI125" i="6" s="1"/>
  <c r="G125" i="6" s="1"/>
  <c r="AR431" i="6"/>
  <c r="AQ431" i="6" s="1"/>
  <c r="AP431" i="6" s="1"/>
  <c r="J431" i="6" s="1"/>
  <c r="AZ396" i="6"/>
  <c r="AY396" i="6" s="1"/>
  <c r="AX396" i="6" s="1"/>
  <c r="M396" i="6" s="1"/>
  <c r="AK139" i="6"/>
  <c r="AJ139" i="6" s="1"/>
  <c r="AI139" i="6" s="1"/>
  <c r="G139" i="6" s="1"/>
  <c r="K127" i="6"/>
  <c r="E326" i="6"/>
  <c r="AK188" i="6"/>
  <c r="AJ188" i="6" s="1"/>
  <c r="AI188" i="6" s="1"/>
  <c r="G188" i="6" s="1"/>
  <c r="AK175" i="6"/>
  <c r="AJ175" i="6" s="1"/>
  <c r="AI175" i="6" s="1"/>
  <c r="G175" i="6" s="1"/>
  <c r="BP241" i="6"/>
  <c r="BO241" i="6" s="1"/>
  <c r="BN241" i="6" s="1"/>
  <c r="S241" i="6" s="1"/>
  <c r="E444" i="6"/>
  <c r="AK207" i="6"/>
  <c r="AJ207" i="6" s="1"/>
  <c r="AI207" i="6" s="1"/>
  <c r="G207" i="6" s="1"/>
  <c r="K33" i="6"/>
  <c r="AK459" i="6"/>
  <c r="AJ459" i="6" s="1"/>
  <c r="AI459" i="6" s="1"/>
  <c r="G459" i="6" s="1"/>
  <c r="E356" i="6"/>
  <c r="K262" i="6"/>
  <c r="E202" i="6"/>
  <c r="E195" i="6"/>
  <c r="BH344" i="6"/>
  <c r="BG344" i="6" s="1"/>
  <c r="BF344" i="6" s="1"/>
  <c r="P344" i="6" s="1"/>
  <c r="BH197" i="6"/>
  <c r="BG197" i="6" s="1"/>
  <c r="BF197" i="6" s="1"/>
  <c r="P197" i="6" s="1"/>
  <c r="H322" i="6"/>
  <c r="AK354" i="6"/>
  <c r="AJ354" i="6" s="1"/>
  <c r="AI354" i="6" s="1"/>
  <c r="G354" i="6" s="1"/>
  <c r="K119" i="6"/>
  <c r="K147" i="6"/>
  <c r="E107" i="6"/>
  <c r="AK288" i="6"/>
  <c r="AJ288" i="6" s="1"/>
  <c r="AI288" i="6" s="1"/>
  <c r="G288" i="6" s="1"/>
  <c r="K79" i="6"/>
  <c r="K141" i="6"/>
  <c r="AR215" i="6"/>
  <c r="AQ215" i="6" s="1"/>
  <c r="AP215" i="6" s="1"/>
  <c r="J215" i="6" s="1"/>
  <c r="BP256" i="6"/>
  <c r="BO256" i="6" s="1"/>
  <c r="BN256" i="6" s="1"/>
  <c r="S256" i="6" s="1"/>
  <c r="AR256" i="6"/>
  <c r="AQ256" i="6" s="1"/>
  <c r="AP256" i="6" s="1"/>
  <c r="J256" i="6" s="1"/>
  <c r="AK366" i="6"/>
  <c r="AJ366" i="6" s="1"/>
  <c r="AI366" i="6" s="1"/>
  <c r="G366" i="6" s="1"/>
  <c r="AK209" i="6"/>
  <c r="AJ209" i="6" s="1"/>
  <c r="AI209" i="6" s="1"/>
  <c r="G209" i="6" s="1"/>
  <c r="AZ345" i="6"/>
  <c r="AY345" i="6" s="1"/>
  <c r="AX345" i="6" s="1"/>
  <c r="M345" i="6" s="1"/>
  <c r="E287" i="6"/>
  <c r="AK268" i="6"/>
  <c r="AJ268" i="6" s="1"/>
  <c r="AI268" i="6" s="1"/>
  <c r="G268" i="6" s="1"/>
  <c r="BP451" i="6"/>
  <c r="BO451" i="6" s="1"/>
  <c r="BN451" i="6" s="1"/>
  <c r="S451" i="6" s="1"/>
  <c r="AR383" i="6"/>
  <c r="AQ383" i="6" s="1"/>
  <c r="AP383" i="6" s="1"/>
  <c r="J383" i="6" s="1"/>
  <c r="AR135" i="6"/>
  <c r="AQ135" i="6" s="1"/>
  <c r="AP135" i="6" s="1"/>
  <c r="J135" i="6" s="1"/>
  <c r="BH179" i="6"/>
  <c r="BG179" i="6" s="1"/>
  <c r="BF179" i="6" s="1"/>
  <c r="P179" i="6" s="1"/>
  <c r="AZ405" i="6"/>
  <c r="AY405" i="6" s="1"/>
  <c r="AX405" i="6" s="1"/>
  <c r="M405" i="6" s="1"/>
  <c r="E234" i="6"/>
  <c r="K26" i="6"/>
  <c r="AK156" i="6"/>
  <c r="AJ156" i="6" s="1"/>
  <c r="AI156" i="6" s="1"/>
  <c r="G156" i="6" s="1"/>
  <c r="AR336" i="6"/>
  <c r="AQ336" i="6" s="1"/>
  <c r="AP336" i="6" s="1"/>
  <c r="J336" i="6" s="1"/>
  <c r="BH124" i="6"/>
  <c r="BG124" i="6" s="1"/>
  <c r="BF124" i="6" s="1"/>
  <c r="P124" i="6" s="1"/>
  <c r="K322" i="6"/>
  <c r="AK372" i="6"/>
  <c r="AJ372" i="6" s="1"/>
  <c r="AI372" i="6" s="1"/>
  <c r="G372" i="6" s="1"/>
  <c r="K447" i="6"/>
  <c r="AK416" i="6"/>
  <c r="AJ416" i="6" s="1"/>
  <c r="AI416" i="6" s="1"/>
  <c r="G416" i="6" s="1"/>
  <c r="E176" i="6"/>
  <c r="E381" i="6"/>
  <c r="AZ279" i="6"/>
  <c r="AY279" i="6" s="1"/>
  <c r="AX279" i="6" s="1"/>
  <c r="M279" i="6" s="1"/>
  <c r="E361" i="6"/>
  <c r="E464" i="6"/>
  <c r="AR344" i="6"/>
  <c r="AQ344" i="6" s="1"/>
  <c r="AP344" i="6" s="1"/>
  <c r="J344" i="6" s="1"/>
  <c r="AR413" i="6"/>
  <c r="AQ413" i="6" s="1"/>
  <c r="AP413" i="6" s="1"/>
  <c r="J413" i="6" s="1"/>
  <c r="E445" i="6"/>
  <c r="K197" i="6"/>
  <c r="E371" i="6"/>
  <c r="AZ39" i="6"/>
  <c r="AY39" i="6" s="1"/>
  <c r="AX39" i="6" s="1"/>
  <c r="M39" i="6" s="1"/>
  <c r="E442" i="6"/>
  <c r="AK389" i="6"/>
  <c r="AJ389" i="6" s="1"/>
  <c r="AI389" i="6" s="1"/>
  <c r="G389" i="6" s="1"/>
  <c r="AK415" i="6"/>
  <c r="AJ415" i="6" s="1"/>
  <c r="AI415" i="6" s="1"/>
  <c r="G415" i="6" s="1"/>
  <c r="AK379" i="6"/>
  <c r="AJ379" i="6" s="1"/>
  <c r="AI379" i="6" s="1"/>
  <c r="G379" i="6" s="1"/>
  <c r="E441" i="6"/>
  <c r="E180" i="6"/>
  <c r="BH128" i="6"/>
  <c r="BG128" i="6" s="1"/>
  <c r="BF128" i="6" s="1"/>
  <c r="P128" i="6" s="1"/>
  <c r="BH141" i="6"/>
  <c r="BG141" i="6" s="1"/>
  <c r="BF141" i="6" s="1"/>
  <c r="P141" i="6" s="1"/>
  <c r="BP37" i="6"/>
  <c r="BO37" i="6" s="1"/>
  <c r="BN37" i="6" s="1"/>
  <c r="S37" i="6" s="1"/>
  <c r="BP311" i="6"/>
  <c r="BO311" i="6" s="1"/>
  <c r="BN311" i="6" s="1"/>
  <c r="S311" i="6" s="1"/>
  <c r="Q278" i="6"/>
  <c r="E251" i="6"/>
  <c r="E280" i="6"/>
  <c r="K135" i="6"/>
  <c r="K165" i="6"/>
  <c r="E368" i="6"/>
  <c r="E376" i="6"/>
  <c r="E208" i="6"/>
  <c r="AZ413" i="6"/>
  <c r="AY413" i="6" s="1"/>
  <c r="AX413" i="6" s="1"/>
  <c r="M413" i="6" s="1"/>
  <c r="AZ120" i="6"/>
  <c r="AY120" i="6" s="1"/>
  <c r="AX120" i="6" s="1"/>
  <c r="M120" i="6" s="1"/>
  <c r="E154" i="6"/>
  <c r="E68" i="6"/>
  <c r="AK427" i="6"/>
  <c r="AJ427" i="6" s="1"/>
  <c r="AI427" i="6" s="1"/>
  <c r="G427" i="6" s="1"/>
  <c r="BH86" i="6"/>
  <c r="BG86" i="6" s="1"/>
  <c r="BF86" i="6" s="1"/>
  <c r="P86" i="6" s="1"/>
  <c r="K305" i="6"/>
  <c r="E340" i="6"/>
  <c r="E359" i="6"/>
  <c r="K433" i="6"/>
  <c r="K233" i="6"/>
  <c r="AZ190" i="6"/>
  <c r="AY190" i="6" s="1"/>
  <c r="AX190" i="6" s="1"/>
  <c r="M190" i="6" s="1"/>
  <c r="AK127" i="6"/>
  <c r="AJ127" i="6" s="1"/>
  <c r="AI127" i="6" s="1"/>
  <c r="G127" i="6" s="1"/>
  <c r="K162" i="6"/>
  <c r="E150" i="6"/>
  <c r="AK237" i="6"/>
  <c r="AJ237" i="6" s="1"/>
  <c r="AI237" i="6" s="1"/>
  <c r="G237" i="6" s="1"/>
  <c r="E217" i="6"/>
  <c r="AR295" i="6"/>
  <c r="AQ295" i="6" s="1"/>
  <c r="AP295" i="6" s="1"/>
  <c r="J295" i="6" s="1"/>
  <c r="AR29" i="6"/>
  <c r="AQ29" i="6" s="1"/>
  <c r="AP29" i="6" s="1"/>
  <c r="J29" i="6" s="1"/>
  <c r="BH345" i="6"/>
  <c r="BG345" i="6" s="1"/>
  <c r="BF345" i="6" s="1"/>
  <c r="P345" i="6" s="1"/>
  <c r="E117" i="6"/>
  <c r="E454" i="6"/>
  <c r="AK447" i="6"/>
  <c r="AJ447" i="6" s="1"/>
  <c r="AI447" i="6" s="1"/>
  <c r="G447" i="6" s="1"/>
  <c r="AZ82" i="6"/>
  <c r="AY82" i="6" s="1"/>
  <c r="AX82" i="6" s="1"/>
  <c r="M82" i="6" s="1"/>
  <c r="E317" i="6"/>
  <c r="AK205" i="6"/>
  <c r="AJ205" i="6" s="1"/>
  <c r="AI205" i="6" s="1"/>
  <c r="G205" i="6" s="1"/>
  <c r="E248" i="6"/>
  <c r="AK426" i="6"/>
  <c r="AJ426" i="6" s="1"/>
  <c r="AI426" i="6" s="1"/>
  <c r="G426" i="6" s="1"/>
  <c r="E47" i="6"/>
  <c r="E336" i="6"/>
  <c r="BP279" i="6"/>
  <c r="BO279" i="6" s="1"/>
  <c r="BN279" i="6" s="1"/>
  <c r="S279" i="6" s="1"/>
  <c r="BP33" i="6"/>
  <c r="BO33" i="6" s="1"/>
  <c r="BN33" i="6" s="1"/>
  <c r="S33" i="6" s="1"/>
  <c r="BP128" i="6"/>
  <c r="BO128" i="6" s="1"/>
  <c r="BN128" i="6" s="1"/>
  <c r="S128" i="6" s="1"/>
  <c r="BP136" i="6"/>
  <c r="BO136" i="6" s="1"/>
  <c r="BN136" i="6" s="1"/>
  <c r="S136" i="6" s="1"/>
  <c r="E100" i="6"/>
  <c r="AK100" i="6"/>
  <c r="AJ100" i="6" s="1"/>
  <c r="AI100" i="6" s="1"/>
  <c r="G100" i="6" s="1"/>
  <c r="Q262" i="6"/>
  <c r="BP262" i="6"/>
  <c r="BO262" i="6" s="1"/>
  <c r="BN262" i="6" s="1"/>
  <c r="S262" i="6" s="1"/>
  <c r="E282" i="6"/>
  <c r="AK282" i="6"/>
  <c r="AJ282" i="6" s="1"/>
  <c r="AI282" i="6" s="1"/>
  <c r="G282" i="6" s="1"/>
  <c r="N39" i="6"/>
  <c r="BH39" i="6"/>
  <c r="BG39" i="6" s="1"/>
  <c r="BF39" i="6" s="1"/>
  <c r="P39" i="6" s="1"/>
  <c r="N120" i="6"/>
  <c r="BH120" i="6"/>
  <c r="BG120" i="6" s="1"/>
  <c r="BF120" i="6" s="1"/>
  <c r="P120" i="6" s="1"/>
  <c r="AZ278" i="6"/>
  <c r="AY278" i="6" s="1"/>
  <c r="AX278" i="6" s="1"/>
  <c r="M278" i="6" s="1"/>
  <c r="AK38" i="6"/>
  <c r="AJ38" i="6" s="1"/>
  <c r="AI38" i="6" s="1"/>
  <c r="G38" i="6" s="1"/>
  <c r="E38" i="6"/>
  <c r="E59" i="6"/>
  <c r="AK59" i="6"/>
  <c r="AJ59" i="6" s="1"/>
  <c r="AI59" i="6" s="1"/>
  <c r="G59" i="6" s="1"/>
  <c r="AZ336" i="6"/>
  <c r="AY336" i="6" s="1"/>
  <c r="AX336" i="6" s="1"/>
  <c r="M336" i="6" s="1"/>
  <c r="K336" i="6"/>
  <c r="N447" i="6"/>
  <c r="BH447" i="6"/>
  <c r="BG447" i="6" s="1"/>
  <c r="BF447" i="6" s="1"/>
  <c r="P447" i="6" s="1"/>
  <c r="E264" i="6"/>
  <c r="AK27" i="6"/>
  <c r="AJ27" i="6" s="1"/>
  <c r="AI27" i="6" s="1"/>
  <c r="G27" i="6" s="1"/>
  <c r="AK160" i="6"/>
  <c r="AJ160" i="6" s="1"/>
  <c r="AI160" i="6" s="1"/>
  <c r="G160" i="6" s="1"/>
  <c r="AK450" i="6"/>
  <c r="AJ450" i="6" s="1"/>
  <c r="AI450" i="6" s="1"/>
  <c r="G450" i="6" s="1"/>
  <c r="E450" i="6"/>
  <c r="N135" i="6"/>
  <c r="BH135" i="6"/>
  <c r="BG135" i="6" s="1"/>
  <c r="BF135" i="6" s="1"/>
  <c r="P135" i="6" s="1"/>
  <c r="AZ333" i="6"/>
  <c r="AY333" i="6" s="1"/>
  <c r="AX333" i="6" s="1"/>
  <c r="M333" i="6" s="1"/>
  <c r="K333" i="6"/>
  <c r="AK50" i="6"/>
  <c r="AJ50" i="6" s="1"/>
  <c r="AI50" i="6" s="1"/>
  <c r="G50" i="6" s="1"/>
  <c r="E50" i="6"/>
  <c r="AK178" i="6"/>
  <c r="AJ178" i="6" s="1"/>
  <c r="AI178" i="6" s="1"/>
  <c r="G178" i="6" s="1"/>
  <c r="E178" i="6"/>
  <c r="AK206" i="6"/>
  <c r="AJ206" i="6" s="1"/>
  <c r="AI206" i="6" s="1"/>
  <c r="G206" i="6" s="1"/>
  <c r="E206" i="6"/>
  <c r="N305" i="6"/>
  <c r="BH305" i="6"/>
  <c r="BG305" i="6" s="1"/>
  <c r="BF305" i="6" s="1"/>
  <c r="P305" i="6" s="1"/>
  <c r="AK11" i="6"/>
  <c r="AJ11" i="6" s="1"/>
  <c r="AI11" i="6" s="1"/>
  <c r="G11" i="6" s="1"/>
  <c r="E11" i="6"/>
  <c r="AK434" i="6"/>
  <c r="AJ434" i="6" s="1"/>
  <c r="AI434" i="6" s="1"/>
  <c r="G434" i="6" s="1"/>
  <c r="E434" i="6"/>
  <c r="E216" i="6"/>
  <c r="AK158" i="6"/>
  <c r="AJ158" i="6" s="1"/>
  <c r="AI158" i="6" s="1"/>
  <c r="G158" i="6" s="1"/>
  <c r="AK290" i="6"/>
  <c r="AJ290" i="6" s="1"/>
  <c r="AI290" i="6" s="1"/>
  <c r="G290" i="6" s="1"/>
  <c r="K381" i="6"/>
  <c r="AK132" i="6"/>
  <c r="AJ132" i="6" s="1"/>
  <c r="AI132" i="6" s="1"/>
  <c r="G132" i="6" s="1"/>
  <c r="E132" i="6"/>
  <c r="K150" i="6"/>
  <c r="AZ150" i="6"/>
  <c r="AY150" i="6" s="1"/>
  <c r="AX150" i="6" s="1"/>
  <c r="M150" i="6" s="1"/>
  <c r="N322" i="6"/>
  <c r="BH322" i="6"/>
  <c r="BG322" i="6" s="1"/>
  <c r="BF322" i="6" s="1"/>
  <c r="P322" i="6" s="1"/>
  <c r="AK438" i="6"/>
  <c r="AJ438" i="6" s="1"/>
  <c r="AI438" i="6" s="1"/>
  <c r="G438" i="6" s="1"/>
  <c r="E438" i="6"/>
  <c r="AZ19" i="6"/>
  <c r="AY19" i="6" s="1"/>
  <c r="AX19" i="6" s="1"/>
  <c r="M19" i="6" s="1"/>
  <c r="K19" i="6"/>
  <c r="N405" i="6"/>
  <c r="BH405" i="6"/>
  <c r="BG405" i="6" s="1"/>
  <c r="BF405" i="6" s="1"/>
  <c r="P405" i="6" s="1"/>
  <c r="E408" i="6"/>
  <c r="E225" i="6"/>
  <c r="AK323" i="6"/>
  <c r="AJ323" i="6" s="1"/>
  <c r="AI323" i="6" s="1"/>
  <c r="G323" i="6" s="1"/>
  <c r="E111" i="6"/>
  <c r="E80" i="6"/>
  <c r="AK412" i="6"/>
  <c r="AJ412" i="6" s="1"/>
  <c r="AI412" i="6" s="1"/>
  <c r="G412" i="6" s="1"/>
  <c r="E105" i="6"/>
  <c r="E456" i="6"/>
  <c r="N431" i="6"/>
  <c r="Q165" i="6"/>
  <c r="AK461" i="6"/>
  <c r="AJ461" i="6" s="1"/>
  <c r="AI461" i="6" s="1"/>
  <c r="G461" i="6" s="1"/>
  <c r="E353" i="6"/>
  <c r="E110" i="6"/>
  <c r="E348" i="6"/>
  <c r="AK148" i="6"/>
  <c r="AJ148" i="6" s="1"/>
  <c r="AI148" i="6" s="1"/>
  <c r="G148" i="6" s="1"/>
  <c r="AK167" i="6"/>
  <c r="AJ167" i="6" s="1"/>
  <c r="AI167" i="6" s="1"/>
  <c r="G167" i="6" s="1"/>
  <c r="E419" i="6"/>
  <c r="AK159" i="6"/>
  <c r="AJ159" i="6" s="1"/>
  <c r="AI159" i="6" s="1"/>
  <c r="G159" i="6" s="1"/>
  <c r="BP295" i="6"/>
  <c r="BO295" i="6" s="1"/>
  <c r="BN295" i="6" s="1"/>
  <c r="S295" i="6" s="1"/>
  <c r="AR410" i="6"/>
  <c r="AQ410" i="6" s="1"/>
  <c r="AP410" i="6" s="1"/>
  <c r="J410" i="6" s="1"/>
  <c r="BH255" i="6"/>
  <c r="BG255" i="6" s="1"/>
  <c r="BF255" i="6" s="1"/>
  <c r="P255" i="6" s="1"/>
  <c r="K403" i="6"/>
  <c r="AK337" i="6"/>
  <c r="AJ337" i="6" s="1"/>
  <c r="AI337" i="6" s="1"/>
  <c r="G337" i="6" s="1"/>
  <c r="BH65" i="6"/>
  <c r="BG65" i="6" s="1"/>
  <c r="BF65" i="6" s="1"/>
  <c r="P65" i="6" s="1"/>
  <c r="K451" i="6"/>
  <c r="K215" i="6"/>
  <c r="E53" i="6"/>
  <c r="E95" i="6"/>
  <c r="E375" i="6"/>
  <c r="K37" i="6"/>
  <c r="E198" i="6"/>
  <c r="E118" i="6"/>
  <c r="E320" i="6"/>
  <c r="AZ263" i="6"/>
  <c r="AY263" i="6" s="1"/>
  <c r="AX263" i="6" s="1"/>
  <c r="M263" i="6" s="1"/>
  <c r="AZ75" i="6"/>
  <c r="AY75" i="6" s="1"/>
  <c r="AX75" i="6" s="1"/>
  <c r="M75" i="6" s="1"/>
  <c r="E91" i="6"/>
  <c r="E60" i="6"/>
  <c r="E272" i="6"/>
  <c r="E192" i="6"/>
  <c r="E140" i="6"/>
  <c r="E452" i="6"/>
  <c r="BP336" i="6"/>
  <c r="BO336" i="6" s="1"/>
  <c r="BN336" i="6" s="1"/>
  <c r="S336" i="6" s="1"/>
  <c r="AR32" i="6"/>
  <c r="AQ32" i="6" s="1"/>
  <c r="AP32" i="6" s="1"/>
  <c r="J32" i="6" s="1"/>
  <c r="BH277" i="6"/>
  <c r="BG277" i="6" s="1"/>
  <c r="BF277" i="6" s="1"/>
  <c r="P277" i="6" s="1"/>
  <c r="AR180" i="6"/>
  <c r="AQ180" i="6" s="1"/>
  <c r="AP180" i="6" s="1"/>
  <c r="J180" i="6" s="1"/>
  <c r="BH433" i="6"/>
  <c r="BG433" i="6" s="1"/>
  <c r="BF433" i="6" s="1"/>
  <c r="P433" i="6" s="1"/>
  <c r="BH136" i="6"/>
  <c r="BG136" i="6" s="1"/>
  <c r="BF136" i="6" s="1"/>
  <c r="P136" i="6" s="1"/>
  <c r="AR125" i="6"/>
  <c r="AQ125" i="6" s="1"/>
  <c r="AP125" i="6" s="1"/>
  <c r="J125" i="6" s="1"/>
  <c r="BP197" i="6"/>
  <c r="BO197" i="6" s="1"/>
  <c r="BN197" i="6" s="1"/>
  <c r="S197" i="6" s="1"/>
  <c r="BP233" i="6"/>
  <c r="BO233" i="6" s="1"/>
  <c r="BN233" i="6" s="1"/>
  <c r="S233" i="6" s="1"/>
  <c r="AK250" i="6"/>
  <c r="AJ250" i="6" s="1"/>
  <c r="AI250" i="6" s="1"/>
  <c r="G250" i="6" s="1"/>
  <c r="E189" i="6"/>
  <c r="E13" i="6"/>
  <c r="E61" i="6"/>
  <c r="AK83" i="6"/>
  <c r="AJ83" i="6" s="1"/>
  <c r="AI83" i="6" s="1"/>
  <c r="G83" i="6" s="1"/>
  <c r="AK253" i="6"/>
  <c r="AJ253" i="6" s="1"/>
  <c r="AI253" i="6" s="1"/>
  <c r="G253" i="6" s="1"/>
  <c r="AK97" i="6"/>
  <c r="AJ97" i="6" s="1"/>
  <c r="AI97" i="6" s="1"/>
  <c r="G97" i="6" s="1"/>
  <c r="AK420" i="6"/>
  <c r="AJ420" i="6" s="1"/>
  <c r="AI420" i="6" s="1"/>
  <c r="G420" i="6" s="1"/>
  <c r="K364" i="6"/>
  <c r="BH333" i="6"/>
  <c r="BG333" i="6" s="1"/>
  <c r="BF333" i="6" s="1"/>
  <c r="P333" i="6" s="1"/>
  <c r="BP413" i="6"/>
  <c r="BO413" i="6" s="1"/>
  <c r="BN413" i="6" s="1"/>
  <c r="S413" i="6" s="1"/>
  <c r="H364" i="6"/>
  <c r="AR364" i="6"/>
  <c r="AQ364" i="6" s="1"/>
  <c r="AP364" i="6" s="1"/>
  <c r="J364" i="6" s="1"/>
  <c r="E144" i="6"/>
  <c r="AK144" i="6"/>
  <c r="AJ144" i="6" s="1"/>
  <c r="AI144" i="6" s="1"/>
  <c r="G144" i="6" s="1"/>
  <c r="BP120" i="6"/>
  <c r="BO120" i="6" s="1"/>
  <c r="BN120" i="6" s="1"/>
  <c r="S120" i="6" s="1"/>
  <c r="Q120" i="6"/>
  <c r="AK224" i="6"/>
  <c r="AJ224" i="6" s="1"/>
  <c r="AI224" i="6" s="1"/>
  <c r="G224" i="6" s="1"/>
  <c r="E224" i="6"/>
  <c r="E279" i="6"/>
  <c r="E274" i="6"/>
  <c r="K431" i="6"/>
  <c r="AZ431" i="6"/>
  <c r="AY431" i="6" s="1"/>
  <c r="AX431" i="6" s="1"/>
  <c r="M431" i="6" s="1"/>
  <c r="AK243" i="6"/>
  <c r="AJ243" i="6" s="1"/>
  <c r="AI243" i="6" s="1"/>
  <c r="G243" i="6" s="1"/>
  <c r="E243" i="6"/>
  <c r="E145" i="6"/>
  <c r="AK145" i="6"/>
  <c r="AJ145" i="6" s="1"/>
  <c r="AI145" i="6" s="1"/>
  <c r="G145" i="6" s="1"/>
  <c r="E399" i="6"/>
  <c r="AK399" i="6"/>
  <c r="AJ399" i="6" s="1"/>
  <c r="AI399" i="6" s="1"/>
  <c r="G399" i="6" s="1"/>
  <c r="AK285" i="6"/>
  <c r="AJ285" i="6" s="1"/>
  <c r="AI285" i="6" s="1"/>
  <c r="G285" i="6" s="1"/>
  <c r="E285" i="6"/>
  <c r="N304" i="6"/>
  <c r="BH304" i="6"/>
  <c r="BG304" i="6" s="1"/>
  <c r="BF304" i="6" s="1"/>
  <c r="P304" i="6" s="1"/>
  <c r="Q75" i="6"/>
  <c r="BP75" i="6"/>
  <c r="BO75" i="6" s="1"/>
  <c r="BN75" i="6" s="1"/>
  <c r="S75" i="6" s="1"/>
  <c r="AZ311" i="6"/>
  <c r="AY311" i="6" s="1"/>
  <c r="AX311" i="6" s="1"/>
  <c r="M311" i="6" s="1"/>
  <c r="K311" i="6"/>
  <c r="AZ89" i="6"/>
  <c r="AY89" i="6" s="1"/>
  <c r="AX89" i="6" s="1"/>
  <c r="M89" i="6" s="1"/>
  <c r="K89" i="6"/>
  <c r="K248" i="6"/>
  <c r="AZ248" i="6"/>
  <c r="AY248" i="6" s="1"/>
  <c r="AX248" i="6" s="1"/>
  <c r="M248" i="6" s="1"/>
  <c r="E321" i="6"/>
  <c r="AK321" i="6"/>
  <c r="AJ321" i="6" s="1"/>
  <c r="AI321" i="6" s="1"/>
  <c r="G321" i="6" s="1"/>
  <c r="E439" i="6"/>
  <c r="AK439" i="6"/>
  <c r="AJ439" i="6" s="1"/>
  <c r="AI439" i="6" s="1"/>
  <c r="G439" i="6" s="1"/>
  <c r="Q39" i="6"/>
  <c r="BP39" i="6"/>
  <c r="BO39" i="6" s="1"/>
  <c r="BN39" i="6" s="1"/>
  <c r="S39" i="6" s="1"/>
  <c r="Q447" i="6"/>
  <c r="BP447" i="6"/>
  <c r="BO447" i="6" s="1"/>
  <c r="BN447" i="6" s="1"/>
  <c r="S447" i="6" s="1"/>
  <c r="E448" i="6"/>
  <c r="AK448" i="6"/>
  <c r="AJ448" i="6" s="1"/>
  <c r="AI448" i="6" s="1"/>
  <c r="G448" i="6" s="1"/>
  <c r="E404" i="6"/>
  <c r="AK226" i="6"/>
  <c r="AJ226" i="6" s="1"/>
  <c r="AI226" i="6" s="1"/>
  <c r="G226" i="6" s="1"/>
  <c r="E108" i="6"/>
  <c r="E266" i="6"/>
  <c r="E457" i="6"/>
  <c r="AZ255" i="6"/>
  <c r="AY255" i="6" s="1"/>
  <c r="AX255" i="6" s="1"/>
  <c r="M255" i="6" s="1"/>
  <c r="K255" i="6"/>
  <c r="N76" i="6"/>
  <c r="BH76" i="6"/>
  <c r="BG76" i="6" s="1"/>
  <c r="BF76" i="6" s="1"/>
  <c r="P76" i="6" s="1"/>
  <c r="AK74" i="6"/>
  <c r="AJ74" i="6" s="1"/>
  <c r="AI74" i="6" s="1"/>
  <c r="G74" i="6" s="1"/>
  <c r="E74" i="6"/>
  <c r="E200" i="6"/>
  <c r="AK200" i="6"/>
  <c r="AJ200" i="6" s="1"/>
  <c r="AI200" i="6" s="1"/>
  <c r="G200" i="6" s="1"/>
  <c r="AK388" i="6"/>
  <c r="AJ388" i="6" s="1"/>
  <c r="AI388" i="6" s="1"/>
  <c r="G388" i="6" s="1"/>
  <c r="E388" i="6"/>
  <c r="Q304" i="6"/>
  <c r="BP304" i="6"/>
  <c r="BO304" i="6" s="1"/>
  <c r="BN304" i="6" s="1"/>
  <c r="S304" i="6" s="1"/>
  <c r="BH311" i="6"/>
  <c r="BG311" i="6" s="1"/>
  <c r="BF311" i="6" s="1"/>
  <c r="P311" i="6" s="1"/>
  <c r="N311" i="6"/>
  <c r="AR57" i="6"/>
  <c r="AQ57" i="6" s="1"/>
  <c r="AP57" i="6" s="1"/>
  <c r="J57" i="6" s="1"/>
  <c r="H57" i="6"/>
  <c r="H86" i="6"/>
  <c r="AR86" i="6"/>
  <c r="AQ86" i="6" s="1"/>
  <c r="AP86" i="6" s="1"/>
  <c r="J86" i="6" s="1"/>
  <c r="AZ406" i="6"/>
  <c r="AY406" i="6" s="1"/>
  <c r="AX406" i="6" s="1"/>
  <c r="M406" i="6" s="1"/>
  <c r="K406" i="6"/>
  <c r="AK88" i="6"/>
  <c r="AJ88" i="6" s="1"/>
  <c r="AI88" i="6" s="1"/>
  <c r="G88" i="6" s="1"/>
  <c r="E88" i="6"/>
  <c r="E428" i="6"/>
  <c r="AK428" i="6"/>
  <c r="AJ428" i="6" s="1"/>
  <c r="AI428" i="6" s="1"/>
  <c r="G428" i="6" s="1"/>
  <c r="Q316" i="6"/>
  <c r="BP316" i="6"/>
  <c r="BO316" i="6" s="1"/>
  <c r="BN316" i="6" s="1"/>
  <c r="S316" i="6" s="1"/>
  <c r="E355" i="6"/>
  <c r="E446" i="6"/>
  <c r="AK446" i="6"/>
  <c r="AJ446" i="6" s="1"/>
  <c r="AI446" i="6" s="1"/>
  <c r="G446" i="6" s="1"/>
  <c r="E400" i="6"/>
  <c r="AK400" i="6"/>
  <c r="AJ400" i="6" s="1"/>
  <c r="AI400" i="6" s="1"/>
  <c r="G400" i="6" s="1"/>
  <c r="H233" i="6"/>
  <c r="AR233" i="6"/>
  <c r="AQ233" i="6" s="1"/>
  <c r="AP233" i="6" s="1"/>
  <c r="J233" i="6" s="1"/>
  <c r="E42" i="6"/>
  <c r="AK42" i="6"/>
  <c r="AJ42" i="6" s="1"/>
  <c r="AI42" i="6" s="1"/>
  <c r="G42" i="6" s="1"/>
  <c r="AK310" i="6"/>
  <c r="AJ310" i="6" s="1"/>
  <c r="AI310" i="6" s="1"/>
  <c r="G310" i="6" s="1"/>
  <c r="E310" i="6"/>
  <c r="AK45" i="6"/>
  <c r="AJ45" i="6" s="1"/>
  <c r="AI45" i="6" s="1"/>
  <c r="G45" i="6" s="1"/>
  <c r="E45" i="6"/>
  <c r="H165" i="6"/>
  <c r="AR165" i="6"/>
  <c r="AQ165" i="6" s="1"/>
  <c r="AP165" i="6" s="1"/>
  <c r="J165" i="6" s="1"/>
  <c r="Q319" i="6"/>
  <c r="BP319" i="6"/>
  <c r="BO319" i="6" s="1"/>
  <c r="BN319" i="6" s="1"/>
  <c r="S319" i="6" s="1"/>
  <c r="K458" i="6"/>
  <c r="AZ458" i="6"/>
  <c r="AY458" i="6" s="1"/>
  <c r="AX458" i="6" s="1"/>
  <c r="M458" i="6" s="1"/>
  <c r="N82" i="6"/>
  <c r="BH82" i="6"/>
  <c r="BG82" i="6" s="1"/>
  <c r="BF82" i="6" s="1"/>
  <c r="P82" i="6" s="1"/>
  <c r="N180" i="6"/>
  <c r="K367" i="6"/>
  <c r="AZ367" i="6"/>
  <c r="AY367" i="6" s="1"/>
  <c r="AX367" i="6" s="1"/>
  <c r="M367" i="6" s="1"/>
  <c r="Q79" i="6"/>
  <c r="BP79" i="6"/>
  <c r="BO79" i="6" s="1"/>
  <c r="BN79" i="6" s="1"/>
  <c r="S79" i="6" s="1"/>
  <c r="AK51" i="6"/>
  <c r="AJ51" i="6" s="1"/>
  <c r="AI51" i="6" s="1"/>
  <c r="G51" i="6" s="1"/>
  <c r="E51" i="6"/>
  <c r="E382" i="6"/>
  <c r="AK382" i="6"/>
  <c r="AJ382" i="6" s="1"/>
  <c r="AI382" i="6" s="1"/>
  <c r="G382" i="6" s="1"/>
  <c r="H122" i="6"/>
  <c r="AR122" i="6"/>
  <c r="AQ122" i="6" s="1"/>
  <c r="AP122" i="6" s="1"/>
  <c r="J122" i="6" s="1"/>
  <c r="H164" i="6"/>
  <c r="AR164" i="6"/>
  <c r="AQ164" i="6" s="1"/>
  <c r="AP164" i="6" s="1"/>
  <c r="J164" i="6" s="1"/>
  <c r="AR303" i="6"/>
  <c r="AQ303" i="6" s="1"/>
  <c r="AP303" i="6" s="1"/>
  <c r="J303" i="6" s="1"/>
  <c r="K128" i="6"/>
  <c r="AZ128" i="6"/>
  <c r="AY128" i="6" s="1"/>
  <c r="AX128" i="6" s="1"/>
  <c r="M128" i="6" s="1"/>
  <c r="E24" i="6"/>
  <c r="AK24" i="6"/>
  <c r="AJ24" i="6" s="1"/>
  <c r="AI24" i="6" s="1"/>
  <c r="G24" i="6" s="1"/>
  <c r="K256" i="6"/>
  <c r="AK58" i="6"/>
  <c r="AJ58" i="6" s="1"/>
  <c r="AI58" i="6" s="1"/>
  <c r="G58" i="6" s="1"/>
  <c r="AK219" i="6"/>
  <c r="AJ219" i="6" s="1"/>
  <c r="AI219" i="6" s="1"/>
  <c r="G219" i="6" s="1"/>
  <c r="AZ324" i="6"/>
  <c r="AY324" i="6" s="1"/>
  <c r="AX324" i="6" s="1"/>
  <c r="M324" i="6" s="1"/>
  <c r="E190" i="6"/>
  <c r="AK369" i="6"/>
  <c r="AJ369" i="6" s="1"/>
  <c r="AI369" i="6" s="1"/>
  <c r="G369" i="6" s="1"/>
  <c r="E63" i="6"/>
  <c r="AK90" i="6"/>
  <c r="AJ90" i="6" s="1"/>
  <c r="AI90" i="6" s="1"/>
  <c r="G90" i="6" s="1"/>
  <c r="AK306" i="6"/>
  <c r="AJ306" i="6" s="1"/>
  <c r="AI306" i="6" s="1"/>
  <c r="G306" i="6" s="1"/>
  <c r="BP263" i="6"/>
  <c r="BO263" i="6" s="1"/>
  <c r="BN263" i="6" s="1"/>
  <c r="S263" i="6" s="1"/>
  <c r="BH263" i="6"/>
  <c r="BG263" i="6" s="1"/>
  <c r="BF263" i="6" s="1"/>
  <c r="P263" i="6" s="1"/>
  <c r="BP141" i="6"/>
  <c r="BO141" i="6" s="1"/>
  <c r="BN141" i="6" s="1"/>
  <c r="S141" i="6" s="1"/>
  <c r="AK413" i="6"/>
  <c r="AJ413" i="6" s="1"/>
  <c r="AI413" i="6" s="1"/>
  <c r="G413" i="6" s="1"/>
  <c r="E413" i="6"/>
  <c r="H260" i="6"/>
  <c r="AR260" i="6"/>
  <c r="AQ260" i="6" s="1"/>
  <c r="AP260" i="6" s="1"/>
  <c r="J260" i="6" s="1"/>
  <c r="N147" i="6"/>
  <c r="BH147" i="6"/>
  <c r="BG147" i="6" s="1"/>
  <c r="BF147" i="6" s="1"/>
  <c r="P147" i="6" s="1"/>
  <c r="H333" i="6"/>
  <c r="AR333" i="6"/>
  <c r="AQ333" i="6" s="1"/>
  <c r="AP333" i="6" s="1"/>
  <c r="J333" i="6" s="1"/>
  <c r="Q307" i="6"/>
  <c r="BP307" i="6"/>
  <c r="BO307" i="6" s="1"/>
  <c r="BN307" i="6" s="1"/>
  <c r="S307" i="6" s="1"/>
  <c r="BH362" i="6"/>
  <c r="BG362" i="6" s="1"/>
  <c r="BF362" i="6" s="1"/>
  <c r="P362" i="6" s="1"/>
  <c r="N362" i="6"/>
  <c r="H128" i="6"/>
  <c r="AR128" i="6"/>
  <c r="AQ128" i="6" s="1"/>
  <c r="AP128" i="6" s="1"/>
  <c r="J128" i="6" s="1"/>
  <c r="AK163" i="6"/>
  <c r="AJ163" i="6" s="1"/>
  <c r="AI163" i="6" s="1"/>
  <c r="G163" i="6" s="1"/>
  <c r="E163" i="6"/>
  <c r="E170" i="6"/>
  <c r="AK170" i="6"/>
  <c r="AJ170" i="6" s="1"/>
  <c r="AI170" i="6" s="1"/>
  <c r="G170" i="6" s="1"/>
  <c r="Q76" i="6"/>
  <c r="BP76" i="6"/>
  <c r="BO76" i="6" s="1"/>
  <c r="BN76" i="6" s="1"/>
  <c r="S76" i="6" s="1"/>
  <c r="H362" i="6"/>
  <c r="AR362" i="6"/>
  <c r="AQ362" i="6" s="1"/>
  <c r="AP362" i="6" s="1"/>
  <c r="J362" i="6" s="1"/>
  <c r="AK370" i="6"/>
  <c r="AJ370" i="6" s="1"/>
  <c r="AI370" i="6" s="1"/>
  <c r="G370" i="6" s="1"/>
  <c r="E370" i="6"/>
  <c r="H33" i="6"/>
  <c r="AR33" i="6"/>
  <c r="AQ33" i="6" s="1"/>
  <c r="AP33" i="6" s="1"/>
  <c r="J33" i="6" s="1"/>
  <c r="Q313" i="6"/>
  <c r="BP313" i="6"/>
  <c r="BO313" i="6" s="1"/>
  <c r="BN313" i="6" s="1"/>
  <c r="S313" i="6" s="1"/>
  <c r="AK312" i="6"/>
  <c r="AJ312" i="6" s="1"/>
  <c r="AI312" i="6" s="1"/>
  <c r="G312" i="6" s="1"/>
  <c r="E312" i="6"/>
  <c r="AZ344" i="6"/>
  <c r="AY344" i="6" s="1"/>
  <c r="AX344" i="6" s="1"/>
  <c r="M344" i="6" s="1"/>
  <c r="K172" i="6"/>
  <c r="K234" i="6"/>
  <c r="E311" i="6"/>
  <c r="AK311" i="6"/>
  <c r="AJ311" i="6" s="1"/>
  <c r="AI311" i="6" s="1"/>
  <c r="G311" i="6" s="1"/>
  <c r="E20" i="6"/>
  <c r="AK20" i="6"/>
  <c r="AJ20" i="6" s="1"/>
  <c r="AI20" i="6" s="1"/>
  <c r="G20" i="6" s="1"/>
  <c r="AK184" i="6"/>
  <c r="AJ184" i="6" s="1"/>
  <c r="AI184" i="6" s="1"/>
  <c r="G184" i="6" s="1"/>
  <c r="E184" i="6"/>
  <c r="K65" i="6"/>
  <c r="AZ65" i="6"/>
  <c r="AY65" i="6" s="1"/>
  <c r="AX65" i="6" s="1"/>
  <c r="M65" i="6" s="1"/>
  <c r="N279" i="6"/>
  <c r="BH279" i="6"/>
  <c r="BG279" i="6" s="1"/>
  <c r="BF279" i="6" s="1"/>
  <c r="P279" i="6" s="1"/>
  <c r="K277" i="6"/>
  <c r="AZ277" i="6"/>
  <c r="AY277" i="6" s="1"/>
  <c r="AX277" i="6" s="1"/>
  <c r="M277" i="6" s="1"/>
  <c r="H437" i="6"/>
  <c r="AR437" i="6"/>
  <c r="AQ437" i="6" s="1"/>
  <c r="AP437" i="6" s="1"/>
  <c r="J437" i="6" s="1"/>
  <c r="K295" i="6"/>
  <c r="AZ295" i="6"/>
  <c r="AY295" i="6" s="1"/>
  <c r="AX295" i="6" s="1"/>
  <c r="M295" i="6" s="1"/>
  <c r="AK307" i="6"/>
  <c r="AJ307" i="6" s="1"/>
  <c r="AI307" i="6" s="1"/>
  <c r="G307" i="6" s="1"/>
  <c r="E307" i="6"/>
  <c r="AK278" i="6"/>
  <c r="AJ278" i="6" s="1"/>
  <c r="AI278" i="6" s="1"/>
  <c r="G278" i="6" s="1"/>
  <c r="E278" i="6"/>
  <c r="H241" i="6"/>
  <c r="AR241" i="6"/>
  <c r="AQ241" i="6" s="1"/>
  <c r="AP241" i="6" s="1"/>
  <c r="J241" i="6" s="1"/>
  <c r="Q119" i="6"/>
  <c r="BP119" i="6"/>
  <c r="BO119" i="6" s="1"/>
  <c r="BN119" i="6" s="1"/>
  <c r="S119" i="6" s="1"/>
  <c r="Q418" i="6"/>
  <c r="BP418" i="6"/>
  <c r="BO418" i="6" s="1"/>
  <c r="BN418" i="6" s="1"/>
  <c r="S418" i="6" s="1"/>
  <c r="E64" i="6"/>
  <c r="AK64" i="6"/>
  <c r="AJ64" i="6" s="1"/>
  <c r="AI64" i="6" s="1"/>
  <c r="G64" i="6" s="1"/>
  <c r="H147" i="6"/>
  <c r="AR147" i="6"/>
  <c r="AQ147" i="6" s="1"/>
  <c r="AP147" i="6" s="1"/>
  <c r="J147" i="6" s="1"/>
  <c r="K307" i="6"/>
  <c r="AZ307" i="6"/>
  <c r="AY307" i="6" s="1"/>
  <c r="AX307" i="6" s="1"/>
  <c r="M307" i="6" s="1"/>
  <c r="H37" i="6"/>
  <c r="AR37" i="6"/>
  <c r="AQ37" i="6" s="1"/>
  <c r="AP37" i="6" s="1"/>
  <c r="J37" i="6" s="1"/>
  <c r="H227" i="6"/>
  <c r="AR227" i="6"/>
  <c r="AQ227" i="6" s="1"/>
  <c r="AP227" i="6" s="1"/>
  <c r="J227" i="6" s="1"/>
  <c r="AK330" i="6"/>
  <c r="AJ330" i="6" s="1"/>
  <c r="AI330" i="6" s="1"/>
  <c r="G330" i="6" s="1"/>
  <c r="E330" i="6"/>
  <c r="H316" i="6"/>
  <c r="E240" i="6"/>
  <c r="BH336" i="6"/>
  <c r="BG336" i="6" s="1"/>
  <c r="BF336" i="6" s="1"/>
  <c r="P336" i="6" s="1"/>
  <c r="BP364" i="6"/>
  <c r="BO364" i="6" s="1"/>
  <c r="BN364" i="6" s="1"/>
  <c r="S364" i="6" s="1"/>
  <c r="BP303" i="6"/>
  <c r="BO303" i="6" s="1"/>
  <c r="BN303" i="6" s="1"/>
  <c r="S303" i="6" s="1"/>
  <c r="AK365" i="6"/>
  <c r="AJ365" i="6" s="1"/>
  <c r="AI365" i="6" s="1"/>
  <c r="G365" i="6" s="1"/>
  <c r="E365" i="6"/>
  <c r="AZ394" i="6"/>
  <c r="AY394" i="6" s="1"/>
  <c r="AX394" i="6" s="1"/>
  <c r="M394" i="6" s="1"/>
  <c r="AK187" i="6"/>
  <c r="AJ187" i="6" s="1"/>
  <c r="AI187" i="6" s="1"/>
  <c r="G187" i="6" s="1"/>
  <c r="E48" i="6"/>
  <c r="E339" i="6"/>
  <c r="AK177" i="6"/>
  <c r="AJ177" i="6" s="1"/>
  <c r="AI177" i="6" s="1"/>
  <c r="G177" i="6" s="1"/>
  <c r="AK166" i="6"/>
  <c r="AJ166" i="6" s="1"/>
  <c r="AI166" i="6" s="1"/>
  <c r="G166" i="6" s="1"/>
  <c r="N256" i="6"/>
  <c r="AZ241" i="6"/>
  <c r="AY241" i="6" s="1"/>
  <c r="AX241" i="6" s="1"/>
  <c r="M241" i="6" s="1"/>
  <c r="E92" i="6"/>
  <c r="BH295" i="6"/>
  <c r="BG295" i="6" s="1"/>
  <c r="BF295" i="6" s="1"/>
  <c r="P295" i="6" s="1"/>
  <c r="Q406" i="6"/>
  <c r="BP406" i="6"/>
  <c r="BO406" i="6" s="1"/>
  <c r="BN406" i="6" s="1"/>
  <c r="S406" i="6" s="1"/>
  <c r="AZ68" i="6"/>
  <c r="AY68" i="6" s="1"/>
  <c r="AX68" i="6" s="1"/>
  <c r="M68" i="6" s="1"/>
  <c r="K68" i="6"/>
  <c r="AR197" i="6"/>
  <c r="AQ197" i="6" s="1"/>
  <c r="AP197" i="6" s="1"/>
  <c r="J197" i="6" s="1"/>
  <c r="N241" i="6"/>
  <c r="BH241" i="6"/>
  <c r="BG241" i="6" s="1"/>
  <c r="BF241" i="6" s="1"/>
  <c r="P241" i="6" s="1"/>
  <c r="N26" i="6"/>
  <c r="BH26" i="6"/>
  <c r="BG26" i="6" s="1"/>
  <c r="BF26" i="6" s="1"/>
  <c r="P26" i="6" s="1"/>
  <c r="E380" i="6"/>
  <c r="K260" i="6"/>
  <c r="E378" i="6"/>
  <c r="K303" i="6"/>
  <c r="BH458" i="6"/>
  <c r="BG458" i="6" s="1"/>
  <c r="BF458" i="6" s="1"/>
  <c r="P458" i="6" s="1"/>
  <c r="AZ313" i="6"/>
  <c r="AY313" i="6" s="1"/>
  <c r="AX313" i="6" s="1"/>
  <c r="M313" i="6" s="1"/>
  <c r="AK276" i="6"/>
  <c r="AJ276" i="6" s="1"/>
  <c r="AI276" i="6" s="1"/>
  <c r="G276" i="6" s="1"/>
  <c r="K316" i="6"/>
  <c r="E284" i="6"/>
  <c r="E87" i="6"/>
  <c r="BH262" i="6"/>
  <c r="BG262" i="6" s="1"/>
  <c r="BF262" i="6" s="1"/>
  <c r="P262" i="6" s="1"/>
  <c r="H76" i="6"/>
  <c r="AR76" i="6"/>
  <c r="AQ76" i="6" s="1"/>
  <c r="AP76" i="6" s="1"/>
  <c r="J76" i="6" s="1"/>
  <c r="E40" i="6"/>
  <c r="E244" i="6"/>
  <c r="AK341" i="6"/>
  <c r="AJ341" i="6" s="1"/>
  <c r="AI341" i="6" s="1"/>
  <c r="G341" i="6" s="1"/>
  <c r="AK304" i="6"/>
  <c r="AJ304" i="6" s="1"/>
  <c r="AI304" i="6" s="1"/>
  <c r="G304" i="6" s="1"/>
  <c r="AZ227" i="6"/>
  <c r="AY227" i="6" s="1"/>
  <c r="AX227" i="6" s="1"/>
  <c r="M227" i="6" s="1"/>
  <c r="BP19" i="6"/>
  <c r="BO19" i="6" s="1"/>
  <c r="BN19" i="6" s="1"/>
  <c r="S19" i="6" s="1"/>
  <c r="E432" i="6"/>
  <c r="H278" i="6"/>
  <c r="K122" i="6"/>
  <c r="AZ257" i="6"/>
  <c r="AY257" i="6" s="1"/>
  <c r="AX257" i="6" s="1"/>
  <c r="M257" i="6" s="1"/>
  <c r="K29" i="6"/>
  <c r="E81" i="6"/>
  <c r="K27" i="6"/>
  <c r="AK138" i="6"/>
  <c r="AJ138" i="6" s="1"/>
  <c r="AI138" i="6" s="1"/>
  <c r="G138" i="6" s="1"/>
  <c r="AR263" i="6"/>
  <c r="AQ263" i="6" s="1"/>
  <c r="AP263" i="6" s="1"/>
  <c r="J263" i="6" s="1"/>
  <c r="AR141" i="6"/>
  <c r="AQ141" i="6" s="1"/>
  <c r="AP141" i="6" s="1"/>
  <c r="J141" i="6" s="1"/>
  <c r="BP458" i="6"/>
  <c r="BO458" i="6" s="1"/>
  <c r="BN458" i="6" s="1"/>
  <c r="S458" i="6" s="1"/>
  <c r="BH313" i="6"/>
  <c r="BG313" i="6" s="1"/>
  <c r="BF313" i="6" s="1"/>
  <c r="P313" i="6" s="1"/>
  <c r="AK137" i="6"/>
  <c r="AJ137" i="6" s="1"/>
  <c r="AI137" i="6" s="1"/>
  <c r="G137" i="6" s="1"/>
  <c r="Q215" i="6"/>
  <c r="BP305" i="6"/>
  <c r="BO305" i="6" s="1"/>
  <c r="BN305" i="6" s="1"/>
  <c r="S305" i="6" s="1"/>
  <c r="Q305" i="6"/>
  <c r="AK292" i="6"/>
  <c r="AJ292" i="6" s="1"/>
  <c r="AI292" i="6" s="1"/>
  <c r="G292" i="6" s="1"/>
  <c r="K253" i="6"/>
  <c r="K383" i="6"/>
  <c r="AK62" i="6"/>
  <c r="AJ62" i="6" s="1"/>
  <c r="AI62" i="6" s="1"/>
  <c r="G62" i="6" s="1"/>
  <c r="E267" i="6"/>
  <c r="AK220" i="6"/>
  <c r="AJ220" i="6" s="1"/>
  <c r="AI220" i="6" s="1"/>
  <c r="G220" i="6" s="1"/>
  <c r="E319" i="6"/>
  <c r="K180" i="6"/>
  <c r="AK70" i="6"/>
  <c r="AJ70" i="6" s="1"/>
  <c r="AI70" i="6" s="1"/>
  <c r="G70" i="6" s="1"/>
  <c r="AZ124" i="6"/>
  <c r="AY124" i="6" s="1"/>
  <c r="AX124" i="6" s="1"/>
  <c r="M124" i="6" s="1"/>
  <c r="AR279" i="6"/>
  <c r="AQ279" i="6" s="1"/>
  <c r="AP279" i="6" s="1"/>
  <c r="J279" i="6" s="1"/>
  <c r="AR262" i="6"/>
  <c r="AQ262" i="6" s="1"/>
  <c r="AP262" i="6" s="1"/>
  <c r="J262" i="6" s="1"/>
  <c r="BP405" i="6"/>
  <c r="BO405" i="6" s="1"/>
  <c r="BN405" i="6" s="1"/>
  <c r="S405" i="6" s="1"/>
  <c r="AR277" i="6"/>
  <c r="AQ277" i="6" s="1"/>
  <c r="AP277" i="6" s="1"/>
  <c r="J277" i="6" s="1"/>
  <c r="AR65" i="6"/>
  <c r="AQ65" i="6" s="1"/>
  <c r="AP65" i="6" s="1"/>
  <c r="J65" i="6" s="1"/>
  <c r="BP122" i="6"/>
  <c r="BO122" i="6" s="1"/>
  <c r="BN122" i="6" s="1"/>
  <c r="S122" i="6" s="1"/>
  <c r="BP135" i="6"/>
  <c r="BO135" i="6" s="1"/>
  <c r="BN135" i="6" s="1"/>
  <c r="S135" i="6" s="1"/>
  <c r="BP410" i="6"/>
  <c r="BO410" i="6" s="1"/>
  <c r="BN410" i="6" s="1"/>
  <c r="S410" i="6" s="1"/>
  <c r="BP260" i="6"/>
  <c r="BO260" i="6" s="1"/>
  <c r="BN260" i="6" s="1"/>
  <c r="S260" i="6" s="1"/>
  <c r="H119" i="6"/>
  <c r="BP255" i="6"/>
  <c r="BO255" i="6" s="1"/>
  <c r="BN255" i="6" s="1"/>
  <c r="S255" i="6" s="1"/>
  <c r="Q255" i="6"/>
  <c r="BH394" i="6"/>
  <c r="BG394" i="6" s="1"/>
  <c r="BF394" i="6" s="1"/>
  <c r="P394" i="6" s="1"/>
  <c r="N394" i="6"/>
  <c r="H144" i="6"/>
  <c r="AR144" i="6"/>
  <c r="AQ144" i="6" s="1"/>
  <c r="AP144" i="6" s="1"/>
  <c r="J144" i="6" s="1"/>
  <c r="AK33" i="6"/>
  <c r="AJ33" i="6" s="1"/>
  <c r="AI33" i="6" s="1"/>
  <c r="G33" i="6" s="1"/>
  <c r="BP125" i="6"/>
  <c r="BO125" i="6" s="1"/>
  <c r="BN125" i="6" s="1"/>
  <c r="S125" i="6" s="1"/>
  <c r="N172" i="6"/>
  <c r="BH172" i="6"/>
  <c r="BG172" i="6" s="1"/>
  <c r="BF172" i="6" s="1"/>
  <c r="P172" i="6" s="1"/>
  <c r="AK96" i="6"/>
  <c r="AJ96" i="6" s="1"/>
  <c r="AI96" i="6" s="1"/>
  <c r="G96" i="6" s="1"/>
  <c r="AZ138" i="6"/>
  <c r="AY138" i="6" s="1"/>
  <c r="AX138" i="6" s="1"/>
  <c r="M138" i="6" s="1"/>
  <c r="E397" i="6"/>
  <c r="E165" i="6"/>
  <c r="AZ362" i="6"/>
  <c r="AY362" i="6" s="1"/>
  <c r="AX362" i="6" s="1"/>
  <c r="M362" i="6" s="1"/>
  <c r="AR451" i="6"/>
  <c r="AQ451" i="6" s="1"/>
  <c r="AP451" i="6" s="1"/>
  <c r="J451" i="6" s="1"/>
  <c r="BP345" i="6"/>
  <c r="BO345" i="6" s="1"/>
  <c r="BN345" i="6" s="1"/>
  <c r="S345" i="6" s="1"/>
  <c r="BH233" i="6"/>
  <c r="BG233" i="6" s="1"/>
  <c r="BF233" i="6" s="1"/>
  <c r="P233" i="6" s="1"/>
  <c r="Q27" i="6"/>
  <c r="BP394" i="6"/>
  <c r="BO394" i="6" s="1"/>
  <c r="BN394" i="6" s="1"/>
  <c r="S394" i="6" s="1"/>
  <c r="Q394" i="6"/>
  <c r="AZ86" i="6"/>
  <c r="AY86" i="6" s="1"/>
  <c r="AX86" i="6" s="1"/>
  <c r="M86" i="6" s="1"/>
  <c r="E89" i="6"/>
  <c r="E12" i="6"/>
  <c r="AK218" i="6"/>
  <c r="AJ218" i="6" s="1"/>
  <c r="AI218" i="6" s="1"/>
  <c r="G218" i="6" s="1"/>
  <c r="E465" i="6"/>
  <c r="E286" i="6"/>
  <c r="E78" i="6"/>
  <c r="E297" i="6"/>
  <c r="E347" i="6"/>
  <c r="E32" i="6"/>
  <c r="AK435" i="6"/>
  <c r="AJ435" i="6" s="1"/>
  <c r="AI435" i="6" s="1"/>
  <c r="G435" i="6" s="1"/>
  <c r="BH406" i="6"/>
  <c r="BG406" i="6" s="1"/>
  <c r="BF406" i="6" s="1"/>
  <c r="P406" i="6" s="1"/>
  <c r="BP164" i="6"/>
  <c r="BO164" i="6" s="1"/>
  <c r="BN164" i="6" s="1"/>
  <c r="S164" i="6" s="1"/>
  <c r="BP86" i="6"/>
  <c r="BO86" i="6" s="1"/>
  <c r="BN86" i="6" s="1"/>
  <c r="S86" i="6" s="1"/>
  <c r="AR367" i="6"/>
  <c r="AQ367" i="6" s="1"/>
  <c r="AP367" i="6" s="1"/>
  <c r="J367" i="6" s="1"/>
  <c r="K454" i="6"/>
  <c r="K281" i="6"/>
  <c r="AZ420" i="6"/>
  <c r="AY420" i="6" s="1"/>
  <c r="AX420" i="6" s="1"/>
  <c r="M420" i="6" s="1"/>
  <c r="AR406" i="6"/>
  <c r="AQ406" i="6" s="1"/>
  <c r="AP406" i="6" s="1"/>
  <c r="J406" i="6" s="1"/>
  <c r="BH418" i="6"/>
  <c r="BG418" i="6" s="1"/>
  <c r="BF418" i="6" s="1"/>
  <c r="P418" i="6" s="1"/>
  <c r="BP383" i="6"/>
  <c r="BO383" i="6" s="1"/>
  <c r="BN383" i="6" s="1"/>
  <c r="S383" i="6" s="1"/>
  <c r="BP26" i="6"/>
  <c r="BO26" i="6" s="1"/>
  <c r="BN26" i="6" s="1"/>
  <c r="S26" i="6" s="1"/>
  <c r="BP344" i="6"/>
  <c r="BO344" i="6" s="1"/>
  <c r="BN344" i="6" s="1"/>
  <c r="S344" i="6" s="1"/>
  <c r="AR313" i="6"/>
  <c r="AQ313" i="6" s="1"/>
  <c r="AP313" i="6" s="1"/>
  <c r="J313" i="6" s="1"/>
  <c r="BP29" i="6"/>
  <c r="BO29" i="6" s="1"/>
  <c r="BN29" i="6" s="1"/>
  <c r="S29" i="6" s="1"/>
  <c r="BH19" i="6"/>
  <c r="BG19" i="6" s="1"/>
  <c r="BF19" i="6" s="1"/>
  <c r="P19" i="6" s="1"/>
  <c r="AR234" i="6"/>
  <c r="AQ234" i="6" s="1"/>
  <c r="AP234" i="6" s="1"/>
  <c r="J234" i="6" s="1"/>
  <c r="AR307" i="6"/>
  <c r="AQ307" i="6" s="1"/>
  <c r="AP307" i="6" s="1"/>
  <c r="J307" i="6" s="1"/>
  <c r="BP333" i="6"/>
  <c r="BO333" i="6" s="1"/>
  <c r="BN333" i="6" s="1"/>
  <c r="S333" i="6" s="1"/>
  <c r="BH75" i="6"/>
  <c r="BG75" i="6" s="1"/>
  <c r="BF75" i="6" s="1"/>
  <c r="P75" i="6" s="1"/>
  <c r="AR79" i="6"/>
  <c r="AQ79" i="6" s="1"/>
  <c r="AP79" i="6" s="1"/>
  <c r="J79" i="6" s="1"/>
  <c r="N260" i="6"/>
  <c r="BH260" i="6"/>
  <c r="BG260" i="6" s="1"/>
  <c r="BF260" i="6" s="1"/>
  <c r="P260" i="6" s="1"/>
  <c r="BH144" i="6"/>
  <c r="BG144" i="6" s="1"/>
  <c r="BF144" i="6" s="1"/>
  <c r="P144" i="6" s="1"/>
  <c r="N144" i="6"/>
  <c r="N79" i="6"/>
  <c r="BH79" i="6"/>
  <c r="BG79" i="6" s="1"/>
  <c r="BF79" i="6" s="1"/>
  <c r="P79" i="6" s="1"/>
  <c r="H172" i="6"/>
  <c r="AR172" i="6"/>
  <c r="AQ172" i="6" s="1"/>
  <c r="AP172" i="6" s="1"/>
  <c r="J172" i="6" s="1"/>
  <c r="BP147" i="6"/>
  <c r="BO147" i="6" s="1"/>
  <c r="BN147" i="6" s="1"/>
  <c r="S147" i="6" s="1"/>
  <c r="Q147" i="6"/>
  <c r="BP227" i="6"/>
  <c r="BO227" i="6" s="1"/>
  <c r="BN227" i="6" s="1"/>
  <c r="S227" i="6" s="1"/>
  <c r="AR19" i="6"/>
  <c r="AQ19" i="6" s="1"/>
  <c r="AP19" i="6" s="1"/>
  <c r="J19" i="6" s="1"/>
  <c r="BP124" i="6"/>
  <c r="BO124" i="6" s="1"/>
  <c r="BN124" i="6" s="1"/>
  <c r="S124" i="6" s="1"/>
  <c r="BH316" i="6"/>
  <c r="BG316" i="6" s="1"/>
  <c r="BF316" i="6" s="1"/>
  <c r="P316" i="6" s="1"/>
  <c r="BH410" i="6"/>
  <c r="BG410" i="6" s="1"/>
  <c r="BF410" i="6" s="1"/>
  <c r="P410" i="6" s="1"/>
  <c r="BH32" i="6"/>
  <c r="BG32" i="6" s="1"/>
  <c r="BF32" i="6" s="1"/>
  <c r="P32" i="6" s="1"/>
  <c r="BP180" i="6"/>
  <c r="BO180" i="6" s="1"/>
  <c r="BN180" i="6" s="1"/>
  <c r="S180" i="6" s="1"/>
  <c r="BH29" i="6"/>
  <c r="BG29" i="6" s="1"/>
  <c r="BF29" i="6" s="1"/>
  <c r="P29" i="6" s="1"/>
  <c r="AR124" i="6"/>
  <c r="AQ124" i="6" s="1"/>
  <c r="AP124" i="6" s="1"/>
  <c r="J124" i="6" s="1"/>
  <c r="H124" i="6"/>
  <c r="N215" i="6"/>
  <c r="BH215" i="6"/>
  <c r="BG215" i="6" s="1"/>
  <c r="BF215" i="6" s="1"/>
  <c r="P215" i="6" s="1"/>
  <c r="H27" i="6"/>
  <c r="AR27" i="6"/>
  <c r="AQ27" i="6" s="1"/>
  <c r="AP27" i="6" s="1"/>
  <c r="J27" i="6" s="1"/>
  <c r="AR305" i="6"/>
  <c r="AQ305" i="6" s="1"/>
  <c r="AP305" i="6" s="1"/>
  <c r="J305" i="6" s="1"/>
  <c r="H305" i="6"/>
  <c r="Q144" i="6"/>
  <c r="BP144" i="6"/>
  <c r="BO144" i="6" s="1"/>
  <c r="BN144" i="6" s="1"/>
  <c r="S144" i="6" s="1"/>
  <c r="BH367" i="6"/>
  <c r="BG367" i="6" s="1"/>
  <c r="BF367" i="6" s="1"/>
  <c r="P367" i="6" s="1"/>
  <c r="N367" i="6"/>
  <c r="AK335" i="6"/>
  <c r="AJ335" i="6" s="1"/>
  <c r="AI335" i="6" s="1"/>
  <c r="G335" i="6" s="1"/>
  <c r="BH451" i="6"/>
  <c r="BG451" i="6" s="1"/>
  <c r="BF451" i="6" s="1"/>
  <c r="P451" i="6" s="1"/>
  <c r="AR418" i="6"/>
  <c r="AQ418" i="6" s="1"/>
  <c r="AP418" i="6" s="1"/>
  <c r="J418" i="6" s="1"/>
  <c r="AR255" i="6"/>
  <c r="AQ255" i="6" s="1"/>
  <c r="AP255" i="6" s="1"/>
  <c r="J255" i="6" s="1"/>
  <c r="BP65" i="6"/>
  <c r="BO65" i="6" s="1"/>
  <c r="BN65" i="6" s="1"/>
  <c r="S65" i="6" s="1"/>
  <c r="BH234" i="6"/>
  <c r="BG234" i="6" s="1"/>
  <c r="BF234" i="6" s="1"/>
  <c r="P234" i="6" s="1"/>
  <c r="BP277" i="6"/>
  <c r="BO277" i="6" s="1"/>
  <c r="BN277" i="6" s="1"/>
  <c r="S277" i="6" s="1"/>
  <c r="BH307" i="6"/>
  <c r="BG307" i="6" s="1"/>
  <c r="BF307" i="6" s="1"/>
  <c r="P307" i="6" s="1"/>
  <c r="BH278" i="6"/>
  <c r="BG278" i="6" s="1"/>
  <c r="BF278" i="6" s="1"/>
  <c r="P278" i="6" s="1"/>
  <c r="BH57" i="6"/>
  <c r="BG57" i="6" s="1"/>
  <c r="BF57" i="6" s="1"/>
  <c r="P57" i="6" s="1"/>
  <c r="Q367" i="6"/>
  <c r="BP367" i="6"/>
  <c r="BO367" i="6" s="1"/>
  <c r="BN367" i="6" s="1"/>
  <c r="S367" i="6" s="1"/>
  <c r="Q172" i="6"/>
  <c r="BP172" i="6"/>
  <c r="BO172" i="6" s="1"/>
  <c r="BN172" i="6" s="1"/>
  <c r="S172" i="6" s="1"/>
  <c r="N27" i="6"/>
  <c r="BH27" i="6"/>
  <c r="BG27" i="6" s="1"/>
  <c r="BF27" i="6" s="1"/>
  <c r="P27" i="6" s="1"/>
  <c r="AR394" i="6"/>
  <c r="AQ394" i="6" s="1"/>
  <c r="AP394" i="6" s="1"/>
  <c r="J394" i="6" s="1"/>
  <c r="H394" i="6"/>
  <c r="BP362" i="6"/>
  <c r="BO362" i="6" s="1"/>
  <c r="BN362" i="6" s="1"/>
  <c r="S362" i="6" s="1"/>
  <c r="BH119" i="6"/>
  <c r="BG119" i="6" s="1"/>
  <c r="BF119" i="6" s="1"/>
  <c r="P119" i="6" s="1"/>
  <c r="N119" i="6"/>
  <c r="K32" i="6"/>
  <c r="E136" i="6"/>
  <c r="AR319" i="6"/>
  <c r="AQ319" i="6" s="1"/>
  <c r="AP319" i="6" s="1"/>
  <c r="J319" i="6" s="1"/>
  <c r="AR136" i="6"/>
  <c r="AQ136" i="6" s="1"/>
  <c r="AP136" i="6" s="1"/>
  <c r="J136" i="6" s="1"/>
  <c r="BP322" i="6"/>
  <c r="BO322" i="6" s="1"/>
  <c r="BN322" i="6" s="1"/>
  <c r="S322" i="6" s="1"/>
  <c r="K136" i="6"/>
  <c r="AR304" i="6"/>
  <c r="AQ304" i="6" s="1"/>
  <c r="AP304" i="6" s="1"/>
  <c r="J304" i="6" s="1"/>
  <c r="AZ154" i="6"/>
  <c r="AY154" i="6" s="1"/>
  <c r="AX154" i="6" s="1"/>
  <c r="M154" i="6" s="1"/>
  <c r="AZ361" i="6"/>
  <c r="AY361" i="6" s="1"/>
  <c r="AX361" i="6" s="1"/>
  <c r="M361" i="6" s="1"/>
  <c r="AR75" i="6"/>
  <c r="AQ75" i="6" s="1"/>
  <c r="AP75" i="6" s="1"/>
  <c r="J75" i="6" s="1"/>
  <c r="BP82" i="6"/>
  <c r="BO82" i="6" s="1"/>
  <c r="BN82" i="6" s="1"/>
  <c r="S82" i="6" s="1"/>
  <c r="BH413" i="6"/>
  <c r="BG413" i="6" s="1"/>
  <c r="BF413" i="6" s="1"/>
  <c r="P413" i="6" s="1"/>
  <c r="BP57" i="6"/>
  <c r="BO57" i="6" s="1"/>
  <c r="BN57" i="6" s="1"/>
  <c r="S57" i="6" s="1"/>
  <c r="BH165" i="6"/>
  <c r="BG165" i="6" s="1"/>
  <c r="BF165" i="6" s="1"/>
  <c r="P165" i="6" s="1"/>
  <c r="AZ366" i="6"/>
  <c r="AY366" i="6" s="1"/>
  <c r="AX366" i="6" s="1"/>
  <c r="M366" i="6" s="1"/>
  <c r="K319" i="6"/>
  <c r="AR82" i="6"/>
  <c r="AQ82" i="6" s="1"/>
  <c r="AP82" i="6" s="1"/>
  <c r="J82" i="6" s="1"/>
  <c r="AR433" i="6"/>
  <c r="AQ433" i="6" s="1"/>
  <c r="AP433" i="6" s="1"/>
  <c r="J433" i="6" s="1"/>
  <c r="K118" i="6"/>
  <c r="AZ326" i="6"/>
  <c r="AY326" i="6" s="1"/>
  <c r="AX326" i="6" s="1"/>
  <c r="M326" i="6" s="1"/>
  <c r="K18" i="6"/>
  <c r="AZ20" i="6"/>
  <c r="AY20" i="6" s="1"/>
  <c r="AX20" i="6" s="1"/>
  <c r="M20" i="6" s="1"/>
  <c r="BP433" i="6"/>
  <c r="BO433" i="6" s="1"/>
  <c r="BN433" i="6" s="1"/>
  <c r="S433" i="6" s="1"/>
  <c r="AR190" i="6"/>
  <c r="AQ190" i="6" s="1"/>
  <c r="AP190" i="6" s="1"/>
  <c r="J190" i="6" s="1"/>
  <c r="AZ266" i="6"/>
  <c r="AY266" i="6" s="1"/>
  <c r="AX266" i="6" s="1"/>
  <c r="M266" i="6" s="1"/>
  <c r="AZ171" i="6"/>
  <c r="AY171" i="6" s="1"/>
  <c r="AX171" i="6" s="1"/>
  <c r="M171" i="6" s="1"/>
  <c r="AZ457" i="6"/>
  <c r="AY457" i="6" s="1"/>
  <c r="AX457" i="6" s="1"/>
  <c r="M457" i="6" s="1"/>
  <c r="AZ201" i="6"/>
  <c r="AY201" i="6" s="1"/>
  <c r="AX201" i="6" s="1"/>
  <c r="M201" i="6" s="1"/>
  <c r="K438" i="6"/>
  <c r="K232" i="6"/>
  <c r="AZ137" i="6"/>
  <c r="AY137" i="6" s="1"/>
  <c r="AX137" i="6" s="1"/>
  <c r="M137" i="6" s="1"/>
  <c r="AZ157" i="6"/>
  <c r="AY157" i="6" s="1"/>
  <c r="AX157" i="6" s="1"/>
  <c r="M157" i="6" s="1"/>
  <c r="K452" i="6"/>
  <c r="K186" i="6"/>
  <c r="K353" i="6"/>
  <c r="AZ411" i="6"/>
  <c r="AY411" i="6" s="1"/>
  <c r="AX411" i="6" s="1"/>
  <c r="M411" i="6" s="1"/>
  <c r="K195" i="6"/>
  <c r="AZ300" i="6"/>
  <c r="AY300" i="6" s="1"/>
  <c r="AX300" i="6" s="1"/>
  <c r="M300" i="6" s="1"/>
  <c r="K246" i="6"/>
  <c r="K56" i="6"/>
  <c r="AZ259" i="6"/>
  <c r="AY259" i="6" s="1"/>
  <c r="AX259" i="6" s="1"/>
  <c r="M259" i="6" s="1"/>
  <c r="AZ416" i="6"/>
  <c r="AY416" i="6" s="1"/>
  <c r="AX416" i="6" s="1"/>
  <c r="M416" i="6" s="1"/>
  <c r="AZ151" i="6"/>
  <c r="AY151" i="6" s="1"/>
  <c r="AX151" i="6" s="1"/>
  <c r="M151" i="6" s="1"/>
  <c r="K23" i="6"/>
  <c r="AZ168" i="6"/>
  <c r="AY168" i="6" s="1"/>
  <c r="AX168" i="6" s="1"/>
  <c r="M168" i="6" s="1"/>
  <c r="AZ468" i="6"/>
  <c r="AY468" i="6" s="1"/>
  <c r="AX468" i="6" s="1"/>
  <c r="M468" i="6" s="1"/>
  <c r="K17" i="6"/>
  <c r="K189" i="6"/>
  <c r="AZ196" i="6"/>
  <c r="AY196" i="6" s="1"/>
  <c r="AX196" i="6" s="1"/>
  <c r="M196" i="6" s="1"/>
  <c r="AZ211" i="6"/>
  <c r="AY211" i="6" s="1"/>
  <c r="AX211" i="6" s="1"/>
  <c r="M211" i="6" s="1"/>
  <c r="BP190" i="6"/>
  <c r="BO190" i="6" s="1"/>
  <c r="BN190" i="6" s="1"/>
  <c r="S190" i="6" s="1"/>
  <c r="AR89" i="6"/>
  <c r="AQ89" i="6" s="1"/>
  <c r="AP89" i="6" s="1"/>
  <c r="J89" i="6" s="1"/>
  <c r="BH190" i="6"/>
  <c r="BG190" i="6" s="1"/>
  <c r="BF190" i="6" s="1"/>
  <c r="P190" i="6" s="1"/>
  <c r="AZ423" i="6"/>
  <c r="AY423" i="6" s="1"/>
  <c r="AX423" i="6" s="1"/>
  <c r="M423" i="6" s="1"/>
  <c r="AZ250" i="6"/>
  <c r="AY250" i="6" s="1"/>
  <c r="AX250" i="6" s="1"/>
  <c r="M250" i="6" s="1"/>
  <c r="AZ70" i="6"/>
  <c r="AY70" i="6" s="1"/>
  <c r="AX70" i="6" s="1"/>
  <c r="M70" i="6" s="1"/>
  <c r="K441" i="6"/>
  <c r="AZ415" i="6"/>
  <c r="AY415" i="6" s="1"/>
  <c r="AX415" i="6" s="1"/>
  <c r="M415" i="6" s="1"/>
  <c r="K429" i="6"/>
  <c r="AZ152" i="6"/>
  <c r="AY152" i="6" s="1"/>
  <c r="AX152" i="6" s="1"/>
  <c r="M152" i="6" s="1"/>
  <c r="AZ388" i="6"/>
  <c r="AY388" i="6" s="1"/>
  <c r="AX388" i="6" s="1"/>
  <c r="M388" i="6" s="1"/>
  <c r="AZ375" i="6"/>
  <c r="AY375" i="6" s="1"/>
  <c r="AX375" i="6" s="1"/>
  <c r="M375" i="6" s="1"/>
  <c r="AZ442" i="6"/>
  <c r="AY442" i="6" s="1"/>
  <c r="AX442" i="6" s="1"/>
  <c r="M442" i="6" s="1"/>
  <c r="K88" i="6"/>
  <c r="AZ456" i="6"/>
  <c r="AY456" i="6" s="1"/>
  <c r="AX456" i="6" s="1"/>
  <c r="M456" i="6" s="1"/>
  <c r="K163" i="6"/>
  <c r="AZ73" i="6"/>
  <c r="AY73" i="6" s="1"/>
  <c r="AX73" i="6" s="1"/>
  <c r="M73" i="6" s="1"/>
  <c r="K47" i="6"/>
  <c r="AZ408" i="6"/>
  <c r="AY408" i="6" s="1"/>
  <c r="AX408" i="6" s="1"/>
  <c r="M408" i="6" s="1"/>
  <c r="K363" i="6"/>
  <c r="K290" i="6"/>
  <c r="AZ200" i="6"/>
  <c r="AY200" i="6" s="1"/>
  <c r="AX200" i="6" s="1"/>
  <c r="M200" i="6" s="1"/>
  <c r="K436" i="6"/>
  <c r="AZ460" i="6"/>
  <c r="AY460" i="6" s="1"/>
  <c r="AX460" i="6" s="1"/>
  <c r="M460" i="6" s="1"/>
  <c r="K421" i="6"/>
  <c r="AZ107" i="6"/>
  <c r="AY107" i="6" s="1"/>
  <c r="AX107" i="6" s="1"/>
  <c r="M107" i="6" s="1"/>
  <c r="K25" i="6"/>
  <c r="K339" i="6"/>
  <c r="K117" i="6"/>
  <c r="AZ464" i="6"/>
  <c r="AY464" i="6" s="1"/>
  <c r="AX464" i="6" s="1"/>
  <c r="M464" i="6" s="1"/>
  <c r="AZ292" i="6"/>
  <c r="AY292" i="6" s="1"/>
  <c r="AX292" i="6" s="1"/>
  <c r="M292" i="6" s="1"/>
  <c r="BP89" i="6"/>
  <c r="BO89" i="6" s="1"/>
  <c r="BN89" i="6" s="1"/>
  <c r="S89" i="6" s="1"/>
  <c r="BH89" i="6"/>
  <c r="BG89" i="6" s="1"/>
  <c r="BF89" i="6" s="1"/>
  <c r="P89" i="6" s="1"/>
  <c r="K13" i="6"/>
  <c r="K293" i="6"/>
  <c r="AZ401" i="6"/>
  <c r="AY401" i="6" s="1"/>
  <c r="AX401" i="6" s="1"/>
  <c r="M401" i="6" s="1"/>
  <c r="AZ161" i="6"/>
  <c r="AY161" i="6" s="1"/>
  <c r="AX161" i="6" s="1"/>
  <c r="M161" i="6" s="1"/>
  <c r="K273" i="6"/>
  <c r="K264" i="6"/>
  <c r="AZ156" i="6"/>
  <c r="AY156" i="6" s="1"/>
  <c r="AX156" i="6" s="1"/>
  <c r="M156" i="6" s="1"/>
  <c r="K323" i="6"/>
  <c r="AZ48" i="6"/>
  <c r="AY48" i="6" s="1"/>
  <c r="AX48" i="6" s="1"/>
  <c r="M48" i="6" s="1"/>
  <c r="K240" i="6"/>
  <c r="AZ46" i="6"/>
  <c r="AY46" i="6" s="1"/>
  <c r="AX46" i="6" s="1"/>
  <c r="M46" i="6" s="1"/>
  <c r="AZ184" i="6"/>
  <c r="AY184" i="6" s="1"/>
  <c r="AX184" i="6" s="1"/>
  <c r="M184" i="6" s="1"/>
  <c r="K271" i="6"/>
  <c r="K446" i="6"/>
  <c r="AZ111" i="6"/>
  <c r="AY111" i="6" s="1"/>
  <c r="AX111" i="6" s="1"/>
  <c r="M111" i="6" s="1"/>
  <c r="BP403" i="6"/>
  <c r="BO403" i="6" s="1"/>
  <c r="BN403" i="6" s="1"/>
  <c r="S403" i="6" s="1"/>
  <c r="K382" i="6"/>
  <c r="K453" i="6"/>
  <c r="AZ461" i="6"/>
  <c r="AY461" i="6" s="1"/>
  <c r="AX461" i="6" s="1"/>
  <c r="M461" i="6" s="1"/>
  <c r="K459" i="6"/>
  <c r="AZ219" i="6"/>
  <c r="AY219" i="6" s="1"/>
  <c r="AX219" i="6" s="1"/>
  <c r="M219" i="6" s="1"/>
  <c r="AZ428" i="6"/>
  <c r="AY428" i="6" s="1"/>
  <c r="AX428" i="6" s="1"/>
  <c r="M428" i="6" s="1"/>
  <c r="AR179" i="6"/>
  <c r="AQ179" i="6" s="1"/>
  <c r="AP179" i="6" s="1"/>
  <c r="J179" i="6" s="1"/>
  <c r="AZ108" i="6"/>
  <c r="AY108" i="6" s="1"/>
  <c r="AX108" i="6" s="1"/>
  <c r="M108" i="6" s="1"/>
  <c r="AZ166" i="6"/>
  <c r="AY166" i="6" s="1"/>
  <c r="AX166" i="6" s="1"/>
  <c r="M166" i="6" s="1"/>
  <c r="K268" i="6"/>
  <c r="AZ90" i="6"/>
  <c r="AY90" i="6" s="1"/>
  <c r="AX90" i="6" s="1"/>
  <c r="M90" i="6" s="1"/>
  <c r="K270" i="6"/>
  <c r="AK466" i="6"/>
  <c r="AJ466" i="6" s="1"/>
  <c r="AI466" i="6" s="1"/>
  <c r="G466" i="6" s="1"/>
  <c r="AZ445" i="6"/>
  <c r="AY445" i="6" s="1"/>
  <c r="AX445" i="6" s="1"/>
  <c r="M445" i="6" s="1"/>
  <c r="AZ341" i="6"/>
  <c r="AY341" i="6" s="1"/>
  <c r="AX341" i="6" s="1"/>
  <c r="M341" i="6" s="1"/>
  <c r="K209" i="6"/>
  <c r="K371" i="6"/>
  <c r="K282" i="6"/>
  <c r="K9" i="6"/>
  <c r="K426" i="6"/>
  <c r="K60" i="6"/>
  <c r="K450" i="6"/>
  <c r="K419" i="6"/>
  <c r="AR403" i="6"/>
  <c r="AQ403" i="6" s="1"/>
  <c r="AP403" i="6" s="1"/>
  <c r="J403" i="6" s="1"/>
  <c r="BH403" i="6"/>
  <c r="BG403" i="6" s="1"/>
  <c r="BF403" i="6" s="1"/>
  <c r="P403" i="6" s="1"/>
  <c r="BH401" i="6"/>
  <c r="BG401" i="6" s="1"/>
  <c r="BF401" i="6" s="1"/>
  <c r="P401" i="6" s="1"/>
  <c r="AR401" i="6"/>
  <c r="AQ401" i="6" s="1"/>
  <c r="AP401" i="6" s="1"/>
  <c r="J401" i="6" s="1"/>
  <c r="BP401" i="6"/>
  <c r="BO401" i="6" s="1"/>
  <c r="BN401" i="6" s="1"/>
  <c r="S401" i="6" s="1"/>
  <c r="K167" i="6"/>
  <c r="AZ42" i="6"/>
  <c r="AY42" i="6" s="1"/>
  <c r="AX42" i="6" s="1"/>
  <c r="M42" i="6" s="1"/>
  <c r="BP179" i="6"/>
  <c r="BO179" i="6" s="1"/>
  <c r="BN179" i="6" s="1"/>
  <c r="S179" i="6" s="1"/>
  <c r="K355" i="6"/>
  <c r="K318" i="6"/>
  <c r="K224" i="6"/>
  <c r="AZ285" i="6"/>
  <c r="AY285" i="6" s="1"/>
  <c r="AX285" i="6" s="1"/>
  <c r="M285" i="6" s="1"/>
  <c r="AZ265" i="6"/>
  <c r="AY265" i="6" s="1"/>
  <c r="AX265" i="6" s="1"/>
  <c r="M265" i="6" s="1"/>
  <c r="K114" i="6"/>
  <c r="K177" i="6"/>
  <c r="AZ103" i="6"/>
  <c r="AY103" i="6" s="1"/>
  <c r="AX103" i="6" s="1"/>
  <c r="M103" i="6" s="1"/>
  <c r="AZ173" i="6"/>
  <c r="AY173" i="6" s="1"/>
  <c r="AX173" i="6" s="1"/>
  <c r="M173" i="6" s="1"/>
  <c r="K139" i="6"/>
  <c r="K247" i="6"/>
  <c r="K267" i="6"/>
  <c r="K192" i="6"/>
  <c r="AZ306" i="6"/>
  <c r="AY306" i="6" s="1"/>
  <c r="AX306" i="6" s="1"/>
  <c r="M306" i="6" s="1"/>
  <c r="K399" i="6"/>
  <c r="K169" i="6"/>
  <c r="AZ38" i="6"/>
  <c r="AY38" i="6" s="1"/>
  <c r="AX38" i="6" s="1"/>
  <c r="M38" i="6" s="1"/>
  <c r="AZ34" i="6"/>
  <c r="AY34" i="6" s="1"/>
  <c r="AX34" i="6" s="1"/>
  <c r="M34" i="6" s="1"/>
  <c r="AZ439" i="6"/>
  <c r="AY439" i="6" s="1"/>
  <c r="AX439" i="6" s="1"/>
  <c r="M439" i="6" s="1"/>
  <c r="K297" i="6"/>
  <c r="K91" i="6"/>
  <c r="K414" i="6"/>
  <c r="K356" i="6"/>
  <c r="AZ390" i="6"/>
  <c r="AY390" i="6" s="1"/>
  <c r="AX390" i="6" s="1"/>
  <c r="M390" i="6" s="1"/>
  <c r="K359" i="6"/>
  <c r="K387" i="6"/>
  <c r="AZ370" i="6"/>
  <c r="AY370" i="6" s="1"/>
  <c r="AX370" i="6" s="1"/>
  <c r="M370" i="6" s="1"/>
  <c r="AZ400" i="6"/>
  <c r="AY400" i="6" s="1"/>
  <c r="AX400" i="6" s="1"/>
  <c r="M400" i="6" s="1"/>
  <c r="K380" i="6"/>
  <c r="K372" i="6"/>
  <c r="K338" i="6"/>
  <c r="K346" i="6"/>
  <c r="AZ347" i="6"/>
  <c r="AY347" i="6" s="1"/>
  <c r="AX347" i="6" s="1"/>
  <c r="M347" i="6" s="1"/>
  <c r="K335" i="6"/>
  <c r="AZ342" i="6"/>
  <c r="AY342" i="6" s="1"/>
  <c r="AX342" i="6" s="1"/>
  <c r="M342" i="6" s="1"/>
  <c r="K312" i="6"/>
  <c r="AZ317" i="6"/>
  <c r="AY317" i="6" s="1"/>
  <c r="AX317" i="6" s="1"/>
  <c r="M317" i="6" s="1"/>
  <c r="AZ337" i="6"/>
  <c r="AY337" i="6" s="1"/>
  <c r="AX337" i="6" s="1"/>
  <c r="M337" i="6" s="1"/>
  <c r="K444" i="6"/>
  <c r="AZ231" i="6"/>
  <c r="AY231" i="6" s="1"/>
  <c r="AX231" i="6" s="1"/>
  <c r="M231" i="6" s="1"/>
  <c r="AZ376" i="6"/>
  <c r="AY376" i="6" s="1"/>
  <c r="AX376" i="6" s="1"/>
  <c r="M376" i="6" s="1"/>
  <c r="K294" i="6"/>
  <c r="K187" i="6"/>
  <c r="K160" i="6"/>
  <c r="K11" i="6"/>
  <c r="AZ465" i="6"/>
  <c r="AY465" i="6" s="1"/>
  <c r="AX465" i="6" s="1"/>
  <c r="M465" i="6" s="1"/>
  <c r="AZ51" i="6"/>
  <c r="AY51" i="6" s="1"/>
  <c r="AX51" i="6" s="1"/>
  <c r="M51" i="6" s="1"/>
  <c r="AZ448" i="6"/>
  <c r="AY448" i="6" s="1"/>
  <c r="AX448" i="6" s="1"/>
  <c r="M448" i="6" s="1"/>
  <c r="K280" i="6"/>
  <c r="K389" i="6"/>
  <c r="AZ109" i="6"/>
  <c r="AY109" i="6" s="1"/>
  <c r="AX109" i="6" s="1"/>
  <c r="M109" i="6" s="1"/>
  <c r="AZ466" i="6"/>
  <c r="AY466" i="6" s="1"/>
  <c r="AX466" i="6" s="1"/>
  <c r="M466" i="6" s="1"/>
  <c r="K63" i="6"/>
  <c r="AZ417" i="6"/>
  <c r="AY417" i="6" s="1"/>
  <c r="AX417" i="6" s="1"/>
  <c r="M417" i="6" s="1"/>
  <c r="K92" i="6"/>
  <c r="K378" i="6"/>
  <c r="AZ95" i="6"/>
  <c r="AY95" i="6" s="1"/>
  <c r="AX95" i="6" s="1"/>
  <c r="M95" i="6" s="1"/>
  <c r="K170" i="6"/>
  <c r="AZ87" i="6"/>
  <c r="AY87" i="6" s="1"/>
  <c r="AX87" i="6" s="1"/>
  <c r="M87" i="6" s="1"/>
  <c r="AZ97" i="6"/>
  <c r="AY97" i="6" s="1"/>
  <c r="AX97" i="6" s="1"/>
  <c r="M97" i="6" s="1"/>
  <c r="AZ369" i="6"/>
  <c r="AY369" i="6" s="1"/>
  <c r="AX369" i="6" s="1"/>
  <c r="M369" i="6" s="1"/>
  <c r="K427" i="6"/>
  <c r="AZ208" i="6"/>
  <c r="AY208" i="6" s="1"/>
  <c r="AX208" i="6" s="1"/>
  <c r="M208" i="6" s="1"/>
  <c r="K174" i="6"/>
  <c r="AZ374" i="6"/>
  <c r="AY374" i="6" s="1"/>
  <c r="AX374" i="6" s="1"/>
  <c r="M374" i="6" s="1"/>
  <c r="K455" i="6"/>
  <c r="K12" i="6"/>
  <c r="K296" i="6"/>
  <c r="K287" i="6"/>
  <c r="AZ243" i="6"/>
  <c r="AY243" i="6" s="1"/>
  <c r="AX243" i="6" s="1"/>
  <c r="M243" i="6" s="1"/>
  <c r="AZ205" i="6"/>
  <c r="AY205" i="6" s="1"/>
  <c r="AX205" i="6" s="1"/>
  <c r="M205" i="6" s="1"/>
  <c r="K245" i="6"/>
  <c r="K226" i="6"/>
  <c r="AZ206" i="6"/>
  <c r="AY206" i="6" s="1"/>
  <c r="AX206" i="6" s="1"/>
  <c r="M206" i="6" s="1"/>
  <c r="K220" i="6"/>
  <c r="K218" i="6"/>
  <c r="K217" i="6"/>
  <c r="K244" i="6"/>
  <c r="K175" i="6"/>
  <c r="K158" i="6"/>
  <c r="AZ140" i="6"/>
  <c r="AY140" i="6" s="1"/>
  <c r="AX140" i="6" s="1"/>
  <c r="M140" i="6" s="1"/>
  <c r="AZ142" i="6"/>
  <c r="AY142" i="6" s="1"/>
  <c r="AX142" i="6" s="1"/>
  <c r="M142" i="6" s="1"/>
  <c r="K148" i="6"/>
  <c r="K105" i="6"/>
  <c r="K145" i="6"/>
  <c r="K320" i="6"/>
  <c r="AZ21" i="6"/>
  <c r="AY21" i="6" s="1"/>
  <c r="AX21" i="6" s="1"/>
  <c r="M21" i="6" s="1"/>
  <c r="AZ115" i="6"/>
  <c r="AY115" i="6" s="1"/>
  <c r="AX115" i="6" s="1"/>
  <c r="M115" i="6" s="1"/>
  <c r="AZ368" i="6"/>
  <c r="AY368" i="6" s="1"/>
  <c r="AX368" i="6" s="1"/>
  <c r="M368" i="6" s="1"/>
  <c r="K379" i="6"/>
  <c r="K153" i="6"/>
  <c r="AZ198" i="6"/>
  <c r="AY198" i="6" s="1"/>
  <c r="AX198" i="6" s="1"/>
  <c r="M198" i="6" s="1"/>
  <c r="K258" i="6"/>
  <c r="K202" i="6"/>
  <c r="AZ66" i="6"/>
  <c r="AY66" i="6" s="1"/>
  <c r="AX66" i="6" s="1"/>
  <c r="M66" i="6" s="1"/>
  <c r="K78" i="6"/>
  <c r="K55" i="6"/>
  <c r="AZ61" i="6"/>
  <c r="AY61" i="6" s="1"/>
  <c r="AX61" i="6" s="1"/>
  <c r="M61" i="6" s="1"/>
  <c r="K84" i="6"/>
  <c r="AZ74" i="6"/>
  <c r="AY74" i="6" s="1"/>
  <c r="AX74" i="6" s="1"/>
  <c r="M74" i="6" s="1"/>
  <c r="AZ72" i="6"/>
  <c r="AY72" i="6" s="1"/>
  <c r="AX72" i="6" s="1"/>
  <c r="M72" i="6" s="1"/>
  <c r="K45" i="6"/>
  <c r="K16" i="6"/>
  <c r="K43" i="6"/>
  <c r="AZ64" i="6"/>
  <c r="AY64" i="6" s="1"/>
  <c r="AX64" i="6" s="1"/>
  <c r="M64" i="6" s="1"/>
  <c r="K94" i="6"/>
  <c r="K81" i="6"/>
  <c r="K80" i="6"/>
  <c r="K62" i="6"/>
  <c r="K53" i="6"/>
  <c r="K100" i="6"/>
  <c r="AZ40" i="6"/>
  <c r="AY40" i="6" s="1"/>
  <c r="AX40" i="6" s="1"/>
  <c r="M40" i="6" s="1"/>
  <c r="K435" i="6"/>
  <c r="AZ302" i="6"/>
  <c r="AY302" i="6" s="1"/>
  <c r="AX302" i="6" s="1"/>
  <c r="M302" i="6" s="1"/>
  <c r="K432" i="6"/>
  <c r="AZ434" i="6"/>
  <c r="AY434" i="6" s="1"/>
  <c r="AX434" i="6" s="1"/>
  <c r="M434" i="6" s="1"/>
  <c r="K397" i="6"/>
  <c r="K131" i="6"/>
  <c r="K58" i="6"/>
  <c r="K210" i="6"/>
  <c r="G124" i="1"/>
  <c r="F124" i="1"/>
  <c r="K288" i="6"/>
  <c r="K132" i="6"/>
  <c r="K50" i="6"/>
  <c r="AZ276" i="6"/>
  <c r="AY276" i="6" s="1"/>
  <c r="AX276" i="6" s="1"/>
  <c r="M276" i="6" s="1"/>
  <c r="K354" i="6"/>
  <c r="AZ242" i="6"/>
  <c r="AY242" i="6" s="1"/>
  <c r="AX242" i="6" s="1"/>
  <c r="M242" i="6" s="1"/>
  <c r="AZ274" i="6"/>
  <c r="AY274" i="6" s="1"/>
  <c r="AX274" i="6" s="1"/>
  <c r="M274" i="6" s="1"/>
  <c r="K216" i="6"/>
  <c r="K24" i="6"/>
  <c r="K106" i="6"/>
  <c r="AZ188" i="6"/>
  <c r="AY188" i="6" s="1"/>
  <c r="AX188" i="6" s="1"/>
  <c r="M188" i="6" s="1"/>
  <c r="K330" i="6"/>
  <c r="K59" i="6"/>
  <c r="K315" i="6"/>
  <c r="K110" i="6"/>
  <c r="AZ365" i="6"/>
  <c r="AY365" i="6" s="1"/>
  <c r="AX365" i="6" s="1"/>
  <c r="M365" i="6" s="1"/>
  <c r="K407" i="6"/>
  <c r="K252" i="6"/>
  <c r="K225" i="6"/>
  <c r="K96" i="6"/>
  <c r="AZ15" i="6"/>
  <c r="AY15" i="6" s="1"/>
  <c r="AX15" i="6" s="1"/>
  <c r="M15" i="6" s="1"/>
  <c r="AZ340" i="6"/>
  <c r="AY340" i="6" s="1"/>
  <c r="AX340" i="6" s="1"/>
  <c r="M340" i="6" s="1"/>
  <c r="K181" i="6"/>
  <c r="A7" i="10"/>
  <c r="A8" i="10" s="1"/>
  <c r="AZ237" i="6"/>
  <c r="AY237" i="6" s="1"/>
  <c r="AX237" i="6" s="1"/>
  <c r="M237" i="6" s="1"/>
  <c r="AZ348" i="6"/>
  <c r="AY348" i="6" s="1"/>
  <c r="AX348" i="6" s="1"/>
  <c r="M348" i="6" s="1"/>
  <c r="K310" i="6"/>
  <c r="K321" i="6"/>
  <c r="K159" i="6"/>
  <c r="K178" i="6"/>
  <c r="AZ284" i="6"/>
  <c r="AY284" i="6" s="1"/>
  <c r="AX284" i="6" s="1"/>
  <c r="M284" i="6" s="1"/>
  <c r="K412" i="6"/>
  <c r="K404" i="6"/>
  <c r="Q103" i="6"/>
  <c r="BP103" i="6"/>
  <c r="BO103" i="6" s="1"/>
  <c r="BN103" i="6" s="1"/>
  <c r="S103" i="6" s="1"/>
  <c r="Q169" i="6"/>
  <c r="BP169" i="6"/>
  <c r="BO169" i="6" s="1"/>
  <c r="BN169" i="6" s="1"/>
  <c r="S169" i="6" s="1"/>
  <c r="H210" i="6"/>
  <c r="AR210" i="6"/>
  <c r="AQ210" i="6" s="1"/>
  <c r="AP210" i="6" s="1"/>
  <c r="J210" i="6" s="1"/>
  <c r="N245" i="6"/>
  <c r="BH245" i="6"/>
  <c r="BG245" i="6" s="1"/>
  <c r="BF245" i="6" s="1"/>
  <c r="P245" i="6" s="1"/>
  <c r="N374" i="6"/>
  <c r="BH374" i="6"/>
  <c r="BG374" i="6" s="1"/>
  <c r="BF374" i="6" s="1"/>
  <c r="P374" i="6" s="1"/>
  <c r="Q412" i="6"/>
  <c r="BP412" i="6"/>
  <c r="BO412" i="6" s="1"/>
  <c r="BN412" i="6" s="1"/>
  <c r="S412" i="6" s="1"/>
  <c r="Q370" i="6"/>
  <c r="BP370" i="6"/>
  <c r="BO370" i="6" s="1"/>
  <c r="BN370" i="6" s="1"/>
  <c r="S370" i="6" s="1"/>
  <c r="N369" i="6"/>
  <c r="BH369" i="6"/>
  <c r="BG369" i="6" s="1"/>
  <c r="BF369" i="6" s="1"/>
  <c r="P369" i="6" s="1"/>
  <c r="Q38" i="6"/>
  <c r="BP38" i="6"/>
  <c r="BO38" i="6" s="1"/>
  <c r="BN38" i="6" s="1"/>
  <c r="S38" i="6" s="1"/>
  <c r="Q159" i="6"/>
  <c r="BP159" i="6"/>
  <c r="BO159" i="6" s="1"/>
  <c r="BN159" i="6" s="1"/>
  <c r="S159" i="6" s="1"/>
  <c r="Q404" i="6"/>
  <c r="BP404" i="6"/>
  <c r="BO404" i="6" s="1"/>
  <c r="BN404" i="6" s="1"/>
  <c r="S404" i="6" s="1"/>
  <c r="Q177" i="6"/>
  <c r="BP177" i="6"/>
  <c r="BO177" i="6" s="1"/>
  <c r="BN177" i="6" s="1"/>
  <c r="S177" i="6" s="1"/>
  <c r="N310" i="6"/>
  <c r="BH310" i="6"/>
  <c r="BG310" i="6" s="1"/>
  <c r="BF310" i="6" s="1"/>
  <c r="P310" i="6" s="1"/>
  <c r="H43" i="6"/>
  <c r="AR43" i="6"/>
  <c r="AQ43" i="6" s="1"/>
  <c r="AP43" i="6" s="1"/>
  <c r="J43" i="6" s="1"/>
  <c r="H198" i="6"/>
  <c r="AR198" i="6"/>
  <c r="AQ198" i="6" s="1"/>
  <c r="AP198" i="6" s="1"/>
  <c r="J198" i="6" s="1"/>
  <c r="H284" i="6"/>
  <c r="AR284" i="6"/>
  <c r="AQ284" i="6" s="1"/>
  <c r="AP284" i="6" s="1"/>
  <c r="J284" i="6" s="1"/>
  <c r="N432" i="6"/>
  <c r="BH432" i="6"/>
  <c r="BG432" i="6" s="1"/>
  <c r="BF432" i="6" s="1"/>
  <c r="P432" i="6" s="1"/>
  <c r="Q45" i="6"/>
  <c r="BP45" i="6"/>
  <c r="BO45" i="6" s="1"/>
  <c r="BN45" i="6" s="1"/>
  <c r="S45" i="6" s="1"/>
  <c r="H321" i="6"/>
  <c r="AR321" i="6"/>
  <c r="AQ321" i="6" s="1"/>
  <c r="AP321" i="6" s="1"/>
  <c r="J321" i="6" s="1"/>
  <c r="N98" i="6"/>
  <c r="BH98" i="6"/>
  <c r="BG98" i="6" s="1"/>
  <c r="BF98" i="6" s="1"/>
  <c r="P98" i="6" s="1"/>
  <c r="H291" i="6"/>
  <c r="AR291" i="6"/>
  <c r="AQ291" i="6" s="1"/>
  <c r="AP291" i="6" s="1"/>
  <c r="J291" i="6" s="1"/>
  <c r="N398" i="6"/>
  <c r="BH398" i="6"/>
  <c r="BG398" i="6" s="1"/>
  <c r="BF398" i="6" s="1"/>
  <c r="P398" i="6" s="1"/>
  <c r="H275" i="6"/>
  <c r="AR275" i="6"/>
  <c r="AQ275" i="6" s="1"/>
  <c r="AP275" i="6" s="1"/>
  <c r="J275" i="6" s="1"/>
  <c r="H238" i="6"/>
  <c r="AR238" i="6"/>
  <c r="AQ238" i="6" s="1"/>
  <c r="AP238" i="6" s="1"/>
  <c r="J238" i="6" s="1"/>
  <c r="H112" i="6"/>
  <c r="AR112" i="6"/>
  <c r="AQ112" i="6" s="1"/>
  <c r="AP112" i="6" s="1"/>
  <c r="J112" i="6" s="1"/>
  <c r="H28" i="6"/>
  <c r="AR28" i="6"/>
  <c r="AQ28" i="6" s="1"/>
  <c r="AP28" i="6" s="1"/>
  <c r="J28" i="6" s="1"/>
  <c r="H392" i="6"/>
  <c r="AR392" i="6"/>
  <c r="AQ392" i="6" s="1"/>
  <c r="AP392" i="6" s="1"/>
  <c r="J392" i="6" s="1"/>
  <c r="N261" i="6"/>
  <c r="BH261" i="6"/>
  <c r="BG261" i="6" s="1"/>
  <c r="BF261" i="6" s="1"/>
  <c r="P261" i="6" s="1"/>
  <c r="H334" i="6"/>
  <c r="AR334" i="6"/>
  <c r="AQ334" i="6" s="1"/>
  <c r="AP334" i="6" s="1"/>
  <c r="J334" i="6" s="1"/>
  <c r="N34" i="6"/>
  <c r="BH34" i="6"/>
  <c r="BG34" i="6" s="1"/>
  <c r="BF34" i="6" s="1"/>
  <c r="P34" i="6" s="1"/>
  <c r="N243" i="6"/>
  <c r="BH243" i="6"/>
  <c r="BG243" i="6" s="1"/>
  <c r="BF243" i="6" s="1"/>
  <c r="P243" i="6" s="1"/>
  <c r="H270" i="6"/>
  <c r="AR270" i="6"/>
  <c r="AQ270" i="6" s="1"/>
  <c r="AP270" i="6" s="1"/>
  <c r="J270" i="6" s="1"/>
  <c r="H397" i="6"/>
  <c r="AR397" i="6"/>
  <c r="AQ397" i="6" s="1"/>
  <c r="AP397" i="6" s="1"/>
  <c r="J397" i="6" s="1"/>
  <c r="H453" i="6"/>
  <c r="AR453" i="6"/>
  <c r="AQ453" i="6" s="1"/>
  <c r="AP453" i="6" s="1"/>
  <c r="J453" i="6" s="1"/>
  <c r="Q363" i="6"/>
  <c r="BP363" i="6"/>
  <c r="BO363" i="6" s="1"/>
  <c r="BN363" i="6" s="1"/>
  <c r="S363" i="6" s="1"/>
  <c r="N55" i="6"/>
  <c r="BH55" i="6"/>
  <c r="BG55" i="6" s="1"/>
  <c r="BF55" i="6" s="1"/>
  <c r="P55" i="6" s="1"/>
  <c r="Q167" i="6"/>
  <c r="BP167" i="6"/>
  <c r="BO167" i="6" s="1"/>
  <c r="BN167" i="6" s="1"/>
  <c r="S167" i="6" s="1"/>
  <c r="H399" i="6"/>
  <c r="AR399" i="6"/>
  <c r="AQ399" i="6" s="1"/>
  <c r="AP399" i="6" s="1"/>
  <c r="J399" i="6" s="1"/>
  <c r="H42" i="6"/>
  <c r="AR42" i="6"/>
  <c r="AQ42" i="6" s="1"/>
  <c r="AP42" i="6" s="1"/>
  <c r="J42" i="6" s="1"/>
  <c r="H287" i="6"/>
  <c r="AR287" i="6"/>
  <c r="AQ287" i="6" s="1"/>
  <c r="AP287" i="6" s="1"/>
  <c r="J287" i="6" s="1"/>
  <c r="Q219" i="6"/>
  <c r="BP219" i="6"/>
  <c r="BO219" i="6" s="1"/>
  <c r="BN219" i="6" s="1"/>
  <c r="S219" i="6" s="1"/>
  <c r="Q379" i="6"/>
  <c r="BP379" i="6"/>
  <c r="BO379" i="6" s="1"/>
  <c r="BN379" i="6" s="1"/>
  <c r="S379" i="6" s="1"/>
  <c r="Q450" i="6"/>
  <c r="BP450" i="6"/>
  <c r="BO450" i="6" s="1"/>
  <c r="BN450" i="6" s="1"/>
  <c r="S450" i="6" s="1"/>
  <c r="H461" i="6"/>
  <c r="AR461" i="6"/>
  <c r="AQ461" i="6" s="1"/>
  <c r="AP461" i="6" s="1"/>
  <c r="J461" i="6" s="1"/>
  <c r="H72" i="6"/>
  <c r="AR72" i="6"/>
  <c r="AQ72" i="6" s="1"/>
  <c r="AP72" i="6" s="1"/>
  <c r="J72" i="6" s="1"/>
  <c r="N417" i="6"/>
  <c r="BH417" i="6"/>
  <c r="BG417" i="6" s="1"/>
  <c r="BF417" i="6" s="1"/>
  <c r="P417" i="6" s="1"/>
  <c r="N109" i="6"/>
  <c r="BH109" i="6"/>
  <c r="BG109" i="6" s="1"/>
  <c r="BF109" i="6" s="1"/>
  <c r="P109" i="6" s="1"/>
  <c r="H231" i="6"/>
  <c r="AR231" i="6"/>
  <c r="AQ231" i="6" s="1"/>
  <c r="AP231" i="6" s="1"/>
  <c r="J231" i="6" s="1"/>
  <c r="N411" i="6"/>
  <c r="BH411" i="6"/>
  <c r="BG411" i="6" s="1"/>
  <c r="BF411" i="6" s="1"/>
  <c r="P411" i="6" s="1"/>
  <c r="N174" i="6"/>
  <c r="BH174" i="6"/>
  <c r="BG174" i="6" s="1"/>
  <c r="BF174" i="6" s="1"/>
  <c r="P174" i="6" s="1"/>
  <c r="H426" i="6"/>
  <c r="AR426" i="6"/>
  <c r="AQ426" i="6" s="1"/>
  <c r="AP426" i="6" s="1"/>
  <c r="J426" i="6" s="1"/>
  <c r="N12" i="6"/>
  <c r="BH12" i="6"/>
  <c r="BG12" i="6" s="1"/>
  <c r="BF12" i="6" s="1"/>
  <c r="P12" i="6" s="1"/>
  <c r="Q131" i="6"/>
  <c r="BP131" i="6"/>
  <c r="BO131" i="6" s="1"/>
  <c r="BN131" i="6" s="1"/>
  <c r="S131" i="6" s="1"/>
  <c r="Q282" i="6"/>
  <c r="BP282" i="6"/>
  <c r="BO282" i="6" s="1"/>
  <c r="BN282" i="6" s="1"/>
  <c r="S282" i="6" s="1"/>
  <c r="N455" i="6"/>
  <c r="BH455" i="6"/>
  <c r="BG455" i="6" s="1"/>
  <c r="BF455" i="6" s="1"/>
  <c r="P455" i="6" s="1"/>
  <c r="H80" i="6"/>
  <c r="AR80" i="6"/>
  <c r="AQ80" i="6" s="1"/>
  <c r="AP80" i="6" s="1"/>
  <c r="J80" i="6" s="1"/>
  <c r="N224" i="6"/>
  <c r="BH224" i="6"/>
  <c r="BG224" i="6" s="1"/>
  <c r="BF224" i="6" s="1"/>
  <c r="P224" i="6" s="1"/>
  <c r="H452" i="6"/>
  <c r="AR452" i="6"/>
  <c r="AQ452" i="6" s="1"/>
  <c r="AP452" i="6" s="1"/>
  <c r="J452" i="6" s="1"/>
  <c r="N85" i="6"/>
  <c r="BH85" i="6"/>
  <c r="BG85" i="6" s="1"/>
  <c r="BF85" i="6" s="1"/>
  <c r="P85" i="6" s="1"/>
  <c r="Q350" i="6"/>
  <c r="BP350" i="6"/>
  <c r="BO350" i="6" s="1"/>
  <c r="BN350" i="6" s="1"/>
  <c r="S350" i="6" s="1"/>
  <c r="H35" i="6"/>
  <c r="AR35" i="6"/>
  <c r="AQ35" i="6" s="1"/>
  <c r="AP35" i="6" s="1"/>
  <c r="J35" i="6" s="1"/>
  <c r="H143" i="6"/>
  <c r="AR143" i="6"/>
  <c r="AQ143" i="6" s="1"/>
  <c r="AP143" i="6" s="1"/>
  <c r="J143" i="6" s="1"/>
  <c r="Q153" i="6"/>
  <c r="BP153" i="6"/>
  <c r="BO153" i="6" s="1"/>
  <c r="BN153" i="6" s="1"/>
  <c r="S153" i="6" s="1"/>
  <c r="N445" i="6"/>
  <c r="BH445" i="6"/>
  <c r="BG445" i="6" s="1"/>
  <c r="BF445" i="6" s="1"/>
  <c r="P445" i="6" s="1"/>
  <c r="Q170" i="6"/>
  <c r="BP170" i="6"/>
  <c r="BO170" i="6" s="1"/>
  <c r="BN170" i="6" s="1"/>
  <c r="S170" i="6" s="1"/>
  <c r="N390" i="6"/>
  <c r="BH390" i="6"/>
  <c r="BG390" i="6" s="1"/>
  <c r="BF390" i="6" s="1"/>
  <c r="P390" i="6" s="1"/>
  <c r="Q87" i="6"/>
  <c r="BP87" i="6"/>
  <c r="BO87" i="6" s="1"/>
  <c r="BN87" i="6" s="1"/>
  <c r="S87" i="6" s="1"/>
  <c r="N387" i="6"/>
  <c r="BH387" i="6"/>
  <c r="BG387" i="6" s="1"/>
  <c r="BF387" i="6" s="1"/>
  <c r="P387" i="6" s="1"/>
  <c r="Q205" i="6"/>
  <c r="BP205" i="6"/>
  <c r="BO205" i="6" s="1"/>
  <c r="BN205" i="6" s="1"/>
  <c r="S205" i="6" s="1"/>
  <c r="N23" i="6"/>
  <c r="BH23" i="6"/>
  <c r="BG23" i="6" s="1"/>
  <c r="BF23" i="6" s="1"/>
  <c r="P23" i="6" s="1"/>
  <c r="N342" i="6"/>
  <c r="BH342" i="6"/>
  <c r="BG342" i="6" s="1"/>
  <c r="BF342" i="6" s="1"/>
  <c r="P342" i="6" s="1"/>
  <c r="N21" i="6"/>
  <c r="BH21" i="6"/>
  <c r="BG21" i="6" s="1"/>
  <c r="BF21" i="6" s="1"/>
  <c r="P21" i="6" s="1"/>
  <c r="N173" i="6"/>
  <c r="BH173" i="6"/>
  <c r="BG173" i="6" s="1"/>
  <c r="BF173" i="6" s="1"/>
  <c r="P173" i="6" s="1"/>
  <c r="Q296" i="6"/>
  <c r="BP296" i="6"/>
  <c r="BO296" i="6" s="1"/>
  <c r="BN296" i="6" s="1"/>
  <c r="S296" i="6" s="1"/>
  <c r="N273" i="6"/>
  <c r="BH273" i="6"/>
  <c r="BG273" i="6" s="1"/>
  <c r="BF273" i="6" s="1"/>
  <c r="P273" i="6" s="1"/>
  <c r="H466" i="6"/>
  <c r="AR466" i="6"/>
  <c r="AQ466" i="6" s="1"/>
  <c r="AP466" i="6" s="1"/>
  <c r="J466" i="6" s="1"/>
  <c r="N74" i="6"/>
  <c r="BH74" i="6"/>
  <c r="BG74" i="6" s="1"/>
  <c r="BF74" i="6" s="1"/>
  <c r="P74" i="6" s="1"/>
  <c r="H166" i="6"/>
  <c r="AR166" i="6"/>
  <c r="AQ166" i="6" s="1"/>
  <c r="AP166" i="6" s="1"/>
  <c r="J166" i="6" s="1"/>
  <c r="H218" i="6"/>
  <c r="AR218" i="6"/>
  <c r="AQ218" i="6" s="1"/>
  <c r="AP218" i="6" s="1"/>
  <c r="J218" i="6" s="1"/>
  <c r="N95" i="6"/>
  <c r="BH95" i="6"/>
  <c r="BG95" i="6" s="1"/>
  <c r="BF95" i="6" s="1"/>
  <c r="P95" i="6" s="1"/>
  <c r="Q268" i="6"/>
  <c r="BP268" i="6"/>
  <c r="BO268" i="6" s="1"/>
  <c r="BN268" i="6" s="1"/>
  <c r="S268" i="6" s="1"/>
  <c r="N208" i="6"/>
  <c r="BH208" i="6"/>
  <c r="BG208" i="6" s="1"/>
  <c r="BF208" i="6" s="1"/>
  <c r="P208" i="6" s="1"/>
  <c r="N280" i="6"/>
  <c r="BH280" i="6"/>
  <c r="BG280" i="6" s="1"/>
  <c r="BF280" i="6" s="1"/>
  <c r="P280" i="6" s="1"/>
  <c r="Q240" i="6"/>
  <c r="BP240" i="6"/>
  <c r="BO240" i="6" s="1"/>
  <c r="BN240" i="6" s="1"/>
  <c r="S240" i="6" s="1"/>
  <c r="N142" i="6"/>
  <c r="BH142" i="6"/>
  <c r="BG142" i="6" s="1"/>
  <c r="BF142" i="6" s="1"/>
  <c r="P142" i="6" s="1"/>
  <c r="N465" i="6"/>
  <c r="BH465" i="6"/>
  <c r="BG465" i="6" s="1"/>
  <c r="BF465" i="6" s="1"/>
  <c r="P465" i="6" s="1"/>
  <c r="H157" i="6"/>
  <c r="AR157" i="6"/>
  <c r="AQ157" i="6" s="1"/>
  <c r="AP157" i="6" s="1"/>
  <c r="J157" i="6" s="1"/>
  <c r="Q187" i="6"/>
  <c r="BP187" i="6"/>
  <c r="BO187" i="6" s="1"/>
  <c r="BN187" i="6" s="1"/>
  <c r="S187" i="6" s="1"/>
  <c r="N376" i="6"/>
  <c r="BH376" i="6"/>
  <c r="BG376" i="6" s="1"/>
  <c r="BF376" i="6" s="1"/>
  <c r="P376" i="6" s="1"/>
  <c r="N83" i="6"/>
  <c r="BH83" i="6"/>
  <c r="BG83" i="6" s="1"/>
  <c r="BF83" i="6" s="1"/>
  <c r="P83" i="6" s="1"/>
  <c r="Q259" i="6"/>
  <c r="BP259" i="6"/>
  <c r="BO259" i="6" s="1"/>
  <c r="BN259" i="6" s="1"/>
  <c r="S259" i="6" s="1"/>
  <c r="Q257" i="6"/>
  <c r="BP257" i="6"/>
  <c r="BO257" i="6" s="1"/>
  <c r="BN257" i="6" s="1"/>
  <c r="S257" i="6" s="1"/>
  <c r="N217" i="6"/>
  <c r="BH217" i="6"/>
  <c r="BG217" i="6" s="1"/>
  <c r="BF217" i="6" s="1"/>
  <c r="P217" i="6" s="1"/>
  <c r="H339" i="6"/>
  <c r="AR339" i="6"/>
  <c r="AQ339" i="6" s="1"/>
  <c r="AP339" i="6" s="1"/>
  <c r="J339" i="6" s="1"/>
  <c r="N160" i="6"/>
  <c r="BH160" i="6"/>
  <c r="BG160" i="6" s="1"/>
  <c r="BF160" i="6" s="1"/>
  <c r="P160" i="6" s="1"/>
  <c r="H323" i="6"/>
  <c r="AR323" i="6"/>
  <c r="AQ323" i="6" s="1"/>
  <c r="AP323" i="6" s="1"/>
  <c r="J323" i="6" s="1"/>
  <c r="Q421" i="6"/>
  <c r="BP421" i="6"/>
  <c r="BO421" i="6" s="1"/>
  <c r="BN421" i="6" s="1"/>
  <c r="S421" i="6" s="1"/>
  <c r="N378" i="6"/>
  <c r="BH378" i="6"/>
  <c r="BG378" i="6" s="1"/>
  <c r="BF378" i="6" s="1"/>
  <c r="P378" i="6" s="1"/>
  <c r="N184" i="6"/>
  <c r="BH184" i="6"/>
  <c r="BG184" i="6" s="1"/>
  <c r="BF184" i="6" s="1"/>
  <c r="P184" i="6" s="1"/>
  <c r="Q17" i="6"/>
  <c r="BP17" i="6"/>
  <c r="BO17" i="6" s="1"/>
  <c r="BN17" i="6" s="1"/>
  <c r="S17" i="6" s="1"/>
  <c r="Q84" i="6"/>
  <c r="BP84" i="6"/>
  <c r="BO84" i="6" s="1"/>
  <c r="BN84" i="6" s="1"/>
  <c r="S84" i="6" s="1"/>
  <c r="Q294" i="6"/>
  <c r="BP294" i="6"/>
  <c r="BO294" i="6" s="1"/>
  <c r="BN294" i="6" s="1"/>
  <c r="S294" i="6" s="1"/>
  <c r="H253" i="6"/>
  <c r="AR253" i="6"/>
  <c r="AQ253" i="6" s="1"/>
  <c r="AP253" i="6" s="1"/>
  <c r="J253" i="6" s="1"/>
  <c r="H312" i="6"/>
  <c r="AR312" i="6"/>
  <c r="AQ312" i="6" s="1"/>
  <c r="AP312" i="6" s="1"/>
  <c r="J312" i="6" s="1"/>
  <c r="N11" i="6"/>
  <c r="BH11" i="6"/>
  <c r="BG11" i="6" s="1"/>
  <c r="BF11" i="6" s="1"/>
  <c r="P11" i="6" s="1"/>
  <c r="N250" i="6"/>
  <c r="BH250" i="6"/>
  <c r="BG250" i="6" s="1"/>
  <c r="BF250" i="6" s="1"/>
  <c r="P250" i="6" s="1"/>
  <c r="N428" i="6"/>
  <c r="BH428" i="6"/>
  <c r="BG428" i="6" s="1"/>
  <c r="BF428" i="6" s="1"/>
  <c r="P428" i="6" s="1"/>
  <c r="N416" i="6"/>
  <c r="BH416" i="6"/>
  <c r="BG416" i="6" s="1"/>
  <c r="BF416" i="6" s="1"/>
  <c r="P416" i="6" s="1"/>
  <c r="Q226" i="6"/>
  <c r="BP226" i="6"/>
  <c r="BO226" i="6" s="1"/>
  <c r="BN226" i="6" s="1"/>
  <c r="S226" i="6" s="1"/>
  <c r="H105" i="6"/>
  <c r="AR105" i="6"/>
  <c r="AQ105" i="6" s="1"/>
  <c r="AP105" i="6" s="1"/>
  <c r="J105" i="6" s="1"/>
  <c r="N201" i="6"/>
  <c r="BH201" i="6"/>
  <c r="BG201" i="6" s="1"/>
  <c r="BF201" i="6" s="1"/>
  <c r="P201" i="6" s="1"/>
  <c r="N56" i="6"/>
  <c r="BH56" i="6"/>
  <c r="BG56" i="6" s="1"/>
  <c r="BF56" i="6" s="1"/>
  <c r="P56" i="6" s="1"/>
  <c r="Q232" i="6"/>
  <c r="BP232" i="6"/>
  <c r="BO232" i="6" s="1"/>
  <c r="BN232" i="6" s="1"/>
  <c r="S232" i="6" s="1"/>
  <c r="Q427" i="6"/>
  <c r="BP427" i="6"/>
  <c r="BO427" i="6" s="1"/>
  <c r="BN427" i="6" s="1"/>
  <c r="S427" i="6" s="1"/>
  <c r="H186" i="6"/>
  <c r="AR186" i="6"/>
  <c r="AQ186" i="6" s="1"/>
  <c r="AP186" i="6" s="1"/>
  <c r="J186" i="6" s="1"/>
  <c r="N156" i="6"/>
  <c r="BH156" i="6"/>
  <c r="BG156" i="6" s="1"/>
  <c r="BF156" i="6" s="1"/>
  <c r="P156" i="6" s="1"/>
  <c r="N264" i="6"/>
  <c r="BH264" i="6"/>
  <c r="BG264" i="6" s="1"/>
  <c r="BF264" i="6" s="1"/>
  <c r="P264" i="6" s="1"/>
  <c r="Q468" i="6"/>
  <c r="BP468" i="6"/>
  <c r="BO468" i="6" s="1"/>
  <c r="BN468" i="6" s="1"/>
  <c r="S468" i="6" s="1"/>
  <c r="H272" i="6"/>
  <c r="AR272" i="6"/>
  <c r="AQ272" i="6" s="1"/>
  <c r="AP272" i="6" s="1"/>
  <c r="J272" i="6" s="1"/>
  <c r="H68" i="6"/>
  <c r="AR68" i="6"/>
  <c r="AQ68" i="6" s="1"/>
  <c r="AP68" i="6" s="1"/>
  <c r="J68" i="6" s="1"/>
  <c r="H326" i="6"/>
  <c r="AR326" i="6"/>
  <c r="AQ326" i="6" s="1"/>
  <c r="AP326" i="6" s="1"/>
  <c r="J326" i="6" s="1"/>
  <c r="Q67" i="6"/>
  <c r="BP67" i="6"/>
  <c r="BO67" i="6" s="1"/>
  <c r="BN67" i="6" s="1"/>
  <c r="S67" i="6" s="1"/>
  <c r="H155" i="6"/>
  <c r="AR155" i="6"/>
  <c r="AQ155" i="6" s="1"/>
  <c r="AP155" i="6" s="1"/>
  <c r="J155" i="6" s="1"/>
  <c r="N44" i="6"/>
  <c r="BH44" i="6"/>
  <c r="BG44" i="6" s="1"/>
  <c r="BF44" i="6" s="1"/>
  <c r="P44" i="6" s="1"/>
  <c r="Q298" i="6"/>
  <c r="BP298" i="6"/>
  <c r="BO298" i="6" s="1"/>
  <c r="BN298" i="6" s="1"/>
  <c r="S298" i="6" s="1"/>
  <c r="H212" i="6"/>
  <c r="AR212" i="6"/>
  <c r="AQ212" i="6" s="1"/>
  <c r="AP212" i="6" s="1"/>
  <c r="J212" i="6" s="1"/>
  <c r="Q236" i="6"/>
  <c r="BP236" i="6"/>
  <c r="BO236" i="6" s="1"/>
  <c r="BN236" i="6" s="1"/>
  <c r="S236" i="6" s="1"/>
  <c r="N409" i="6"/>
  <c r="BH409" i="6"/>
  <c r="BG409" i="6" s="1"/>
  <c r="BF409" i="6" s="1"/>
  <c r="P409" i="6" s="1"/>
  <c r="N384" i="6"/>
  <c r="BH384" i="6"/>
  <c r="BG384" i="6" s="1"/>
  <c r="BF384" i="6" s="1"/>
  <c r="P384" i="6" s="1"/>
  <c r="N69" i="6"/>
  <c r="BH69" i="6"/>
  <c r="BG69" i="6" s="1"/>
  <c r="BF69" i="6" s="1"/>
  <c r="P69" i="6" s="1"/>
  <c r="H249" i="6"/>
  <c r="AR249" i="6"/>
  <c r="AQ249" i="6" s="1"/>
  <c r="AP249" i="6" s="1"/>
  <c r="J249" i="6" s="1"/>
  <c r="Q463" i="6"/>
  <c r="BP463" i="6"/>
  <c r="BO463" i="6" s="1"/>
  <c r="BN463" i="6" s="1"/>
  <c r="S463" i="6" s="1"/>
  <c r="N373" i="6"/>
  <c r="BH373" i="6"/>
  <c r="BG373" i="6" s="1"/>
  <c r="BF373" i="6" s="1"/>
  <c r="P373" i="6" s="1"/>
  <c r="Q308" i="6"/>
  <c r="BP308" i="6"/>
  <c r="BO308" i="6" s="1"/>
  <c r="BN308" i="6" s="1"/>
  <c r="S308" i="6" s="1"/>
  <c r="Q430" i="6"/>
  <c r="BP430" i="6"/>
  <c r="BO430" i="6" s="1"/>
  <c r="BN430" i="6" s="1"/>
  <c r="S430" i="6" s="1"/>
  <c r="N191" i="6"/>
  <c r="BH191" i="6"/>
  <c r="BG191" i="6" s="1"/>
  <c r="BF191" i="6" s="1"/>
  <c r="P191" i="6" s="1"/>
  <c r="Q14" i="6"/>
  <c r="BP14" i="6"/>
  <c r="BO14" i="6" s="1"/>
  <c r="BN14" i="6" s="1"/>
  <c r="S14" i="6" s="1"/>
  <c r="H77" i="6"/>
  <c r="AR77" i="6"/>
  <c r="AQ77" i="6" s="1"/>
  <c r="AP77" i="6" s="1"/>
  <c r="J77" i="6" s="1"/>
  <c r="N199" i="6"/>
  <c r="BH199" i="6"/>
  <c r="BG199" i="6" s="1"/>
  <c r="BF199" i="6" s="1"/>
  <c r="P199" i="6" s="1"/>
  <c r="N352" i="6"/>
  <c r="BH352" i="6"/>
  <c r="BG352" i="6" s="1"/>
  <c r="BF352" i="6" s="1"/>
  <c r="P352" i="6" s="1"/>
  <c r="Q228" i="6"/>
  <c r="BP228" i="6"/>
  <c r="BO228" i="6" s="1"/>
  <c r="BN228" i="6" s="1"/>
  <c r="S228" i="6" s="1"/>
  <c r="H332" i="6"/>
  <c r="AR332" i="6"/>
  <c r="AQ332" i="6" s="1"/>
  <c r="AP332" i="6" s="1"/>
  <c r="J332" i="6" s="1"/>
  <c r="N193" i="6"/>
  <c r="BH193" i="6"/>
  <c r="BG193" i="6" s="1"/>
  <c r="BF193" i="6" s="1"/>
  <c r="P193" i="6" s="1"/>
  <c r="Q210" i="6"/>
  <c r="BP210" i="6"/>
  <c r="BO210" i="6" s="1"/>
  <c r="BN210" i="6" s="1"/>
  <c r="S210" i="6" s="1"/>
  <c r="Q245" i="6"/>
  <c r="BP245" i="6"/>
  <c r="BO245" i="6" s="1"/>
  <c r="BN245" i="6" s="1"/>
  <c r="S245" i="6" s="1"/>
  <c r="Q374" i="6"/>
  <c r="BP374" i="6"/>
  <c r="BO374" i="6" s="1"/>
  <c r="BN374" i="6" s="1"/>
  <c r="S374" i="6" s="1"/>
  <c r="Q302" i="6"/>
  <c r="BP302" i="6"/>
  <c r="BO302" i="6" s="1"/>
  <c r="BN302" i="6" s="1"/>
  <c r="S302" i="6" s="1"/>
  <c r="H370" i="6"/>
  <c r="AR370" i="6"/>
  <c r="AQ370" i="6" s="1"/>
  <c r="AP370" i="6" s="1"/>
  <c r="J370" i="6" s="1"/>
  <c r="H306" i="6"/>
  <c r="AR306" i="6"/>
  <c r="AQ306" i="6" s="1"/>
  <c r="AP306" i="6" s="1"/>
  <c r="J306" i="6" s="1"/>
  <c r="Q369" i="6"/>
  <c r="BP369" i="6"/>
  <c r="BO369" i="6" s="1"/>
  <c r="BN369" i="6" s="1"/>
  <c r="S369" i="6" s="1"/>
  <c r="N38" i="6"/>
  <c r="BH38" i="6"/>
  <c r="BG38" i="6" s="1"/>
  <c r="BF38" i="6" s="1"/>
  <c r="P38" i="6" s="1"/>
  <c r="H297" i="6"/>
  <c r="AR297" i="6"/>
  <c r="AQ297" i="6" s="1"/>
  <c r="AP297" i="6" s="1"/>
  <c r="J297" i="6" s="1"/>
  <c r="H404" i="6"/>
  <c r="AR404" i="6"/>
  <c r="AQ404" i="6" s="1"/>
  <c r="AP404" i="6" s="1"/>
  <c r="J404" i="6" s="1"/>
  <c r="H177" i="6"/>
  <c r="AR177" i="6"/>
  <c r="AQ177" i="6" s="1"/>
  <c r="AP177" i="6" s="1"/>
  <c r="J177" i="6" s="1"/>
  <c r="H348" i="6"/>
  <c r="AR348" i="6"/>
  <c r="AQ348" i="6" s="1"/>
  <c r="AP348" i="6" s="1"/>
  <c r="J348" i="6" s="1"/>
  <c r="Q43" i="6"/>
  <c r="BP43" i="6"/>
  <c r="BO43" i="6" s="1"/>
  <c r="BN43" i="6" s="1"/>
  <c r="S43" i="6" s="1"/>
  <c r="Q198" i="6"/>
  <c r="BP198" i="6"/>
  <c r="BO198" i="6" s="1"/>
  <c r="BN198" i="6" s="1"/>
  <c r="S198" i="6" s="1"/>
  <c r="H385" i="6"/>
  <c r="AR385" i="6"/>
  <c r="AQ385" i="6" s="1"/>
  <c r="AP385" i="6" s="1"/>
  <c r="J385" i="6" s="1"/>
  <c r="H41" i="6"/>
  <c r="AR41" i="6"/>
  <c r="AQ41" i="6" s="1"/>
  <c r="AP41" i="6" s="1"/>
  <c r="J41" i="6" s="1"/>
  <c r="H424" i="6"/>
  <c r="AR424" i="6"/>
  <c r="AQ424" i="6" s="1"/>
  <c r="AP424" i="6" s="1"/>
  <c r="J424" i="6" s="1"/>
  <c r="H440" i="6"/>
  <c r="AR440" i="6"/>
  <c r="AQ440" i="6" s="1"/>
  <c r="AP440" i="6" s="1"/>
  <c r="J440" i="6" s="1"/>
  <c r="N93" i="6"/>
  <c r="BH93" i="6"/>
  <c r="BG93" i="6" s="1"/>
  <c r="BF93" i="6" s="1"/>
  <c r="P93" i="6" s="1"/>
  <c r="N112" i="6"/>
  <c r="BH112" i="6"/>
  <c r="BG112" i="6" s="1"/>
  <c r="BF112" i="6" s="1"/>
  <c r="P112" i="6" s="1"/>
  <c r="H301" i="6"/>
  <c r="AR301" i="6"/>
  <c r="AQ301" i="6" s="1"/>
  <c r="AP301" i="6" s="1"/>
  <c r="J301" i="6" s="1"/>
  <c r="Q392" i="6"/>
  <c r="BP392" i="6"/>
  <c r="BO392" i="6" s="1"/>
  <c r="BN392" i="6" s="1"/>
  <c r="S392" i="6" s="1"/>
  <c r="Q261" i="6"/>
  <c r="BP261" i="6"/>
  <c r="BO261" i="6" s="1"/>
  <c r="BN261" i="6" s="1"/>
  <c r="S261" i="6" s="1"/>
  <c r="T8" i="6"/>
  <c r="H34" i="6"/>
  <c r="AR34" i="6"/>
  <c r="AQ34" i="6" s="1"/>
  <c r="AP34" i="6" s="1"/>
  <c r="J34" i="6" s="1"/>
  <c r="Q243" i="6"/>
  <c r="BP243" i="6"/>
  <c r="BO243" i="6" s="1"/>
  <c r="BN243" i="6" s="1"/>
  <c r="S243" i="6" s="1"/>
  <c r="N397" i="6"/>
  <c r="BH397" i="6"/>
  <c r="BG397" i="6" s="1"/>
  <c r="BF397" i="6" s="1"/>
  <c r="P397" i="6" s="1"/>
  <c r="Q355" i="6"/>
  <c r="BP355" i="6"/>
  <c r="BO355" i="6" s="1"/>
  <c r="BN355" i="6" s="1"/>
  <c r="S355" i="6" s="1"/>
  <c r="N363" i="6"/>
  <c r="BH363" i="6"/>
  <c r="BG363" i="6" s="1"/>
  <c r="BF363" i="6" s="1"/>
  <c r="P363" i="6" s="1"/>
  <c r="Q446" i="6"/>
  <c r="BP446" i="6"/>
  <c r="BO446" i="6" s="1"/>
  <c r="BN446" i="6" s="1"/>
  <c r="S446" i="6" s="1"/>
  <c r="N407" i="6"/>
  <c r="BH407" i="6"/>
  <c r="BG407" i="6" s="1"/>
  <c r="BF407" i="6" s="1"/>
  <c r="P407" i="6" s="1"/>
  <c r="N371" i="6"/>
  <c r="BH371" i="6"/>
  <c r="BG371" i="6" s="1"/>
  <c r="BF371" i="6" s="1"/>
  <c r="P371" i="6" s="1"/>
  <c r="N330" i="6"/>
  <c r="BH330" i="6"/>
  <c r="BG330" i="6" s="1"/>
  <c r="BF330" i="6" s="1"/>
  <c r="P330" i="6" s="1"/>
  <c r="N108" i="6"/>
  <c r="BH108" i="6"/>
  <c r="BG108" i="6" s="1"/>
  <c r="BF108" i="6" s="1"/>
  <c r="P108" i="6" s="1"/>
  <c r="H379" i="6"/>
  <c r="AR379" i="6"/>
  <c r="AQ379" i="6" s="1"/>
  <c r="AP379" i="6" s="1"/>
  <c r="J379" i="6" s="1"/>
  <c r="Q62" i="6"/>
  <c r="BP62" i="6"/>
  <c r="BO62" i="6" s="1"/>
  <c r="BN62" i="6" s="1"/>
  <c r="S62" i="6" s="1"/>
  <c r="N207" i="6"/>
  <c r="BH207" i="6"/>
  <c r="BG207" i="6" s="1"/>
  <c r="BF207" i="6" s="1"/>
  <c r="P207" i="6" s="1"/>
  <c r="Q24" i="6"/>
  <c r="BP24" i="6"/>
  <c r="BO24" i="6" s="1"/>
  <c r="BN24" i="6" s="1"/>
  <c r="S24" i="6" s="1"/>
  <c r="N18" i="6"/>
  <c r="BH18" i="6"/>
  <c r="BG18" i="6" s="1"/>
  <c r="BF18" i="6" s="1"/>
  <c r="P18" i="6" s="1"/>
  <c r="Q417" i="6"/>
  <c r="BP417" i="6"/>
  <c r="BO417" i="6" s="1"/>
  <c r="BN417" i="6" s="1"/>
  <c r="S417" i="6" s="1"/>
  <c r="H25" i="6"/>
  <c r="AR25" i="6"/>
  <c r="AQ25" i="6" s="1"/>
  <c r="AP25" i="6" s="1"/>
  <c r="J25" i="6" s="1"/>
  <c r="N464" i="6"/>
  <c r="BH464" i="6"/>
  <c r="BG464" i="6" s="1"/>
  <c r="BF464" i="6" s="1"/>
  <c r="P464" i="6" s="1"/>
  <c r="Q411" i="6"/>
  <c r="BP411" i="6"/>
  <c r="BO411" i="6" s="1"/>
  <c r="BN411" i="6" s="1"/>
  <c r="S411" i="6" s="1"/>
  <c r="N138" i="6"/>
  <c r="BH138" i="6"/>
  <c r="BG138" i="6" s="1"/>
  <c r="BF138" i="6" s="1"/>
  <c r="P138" i="6" s="1"/>
  <c r="Q90" i="6"/>
  <c r="BP90" i="6"/>
  <c r="BO90" i="6" s="1"/>
  <c r="BN90" i="6" s="1"/>
  <c r="S90" i="6" s="1"/>
  <c r="N315" i="6"/>
  <c r="BH315" i="6"/>
  <c r="BG315" i="6" s="1"/>
  <c r="BF315" i="6" s="1"/>
  <c r="P315" i="6" s="1"/>
  <c r="Q426" i="6"/>
  <c r="BP426" i="6"/>
  <c r="BO426" i="6" s="1"/>
  <c r="BN426" i="6" s="1"/>
  <c r="S426" i="6" s="1"/>
  <c r="Q12" i="6"/>
  <c r="BP12" i="6"/>
  <c r="BO12" i="6" s="1"/>
  <c r="BN12" i="6" s="1"/>
  <c r="S12" i="6" s="1"/>
  <c r="Q175" i="6"/>
  <c r="BP175" i="6"/>
  <c r="BO175" i="6" s="1"/>
  <c r="BN175" i="6" s="1"/>
  <c r="S175" i="6" s="1"/>
  <c r="Q337" i="6"/>
  <c r="BP337" i="6"/>
  <c r="BO337" i="6" s="1"/>
  <c r="BN337" i="6" s="1"/>
  <c r="S337" i="6" s="1"/>
  <c r="H131" i="6"/>
  <c r="AR131" i="6"/>
  <c r="AQ131" i="6" s="1"/>
  <c r="AP131" i="6" s="1"/>
  <c r="J131" i="6" s="1"/>
  <c r="N60" i="6"/>
  <c r="BH60" i="6"/>
  <c r="BG60" i="6" s="1"/>
  <c r="BF60" i="6" s="1"/>
  <c r="P60" i="6" s="1"/>
  <c r="Q242" i="6"/>
  <c r="BP242" i="6"/>
  <c r="BO242" i="6" s="1"/>
  <c r="BN242" i="6" s="1"/>
  <c r="S242" i="6" s="1"/>
  <c r="H455" i="6"/>
  <c r="AR455" i="6"/>
  <c r="AQ455" i="6" s="1"/>
  <c r="AP455" i="6" s="1"/>
  <c r="J455" i="6" s="1"/>
  <c r="N452" i="6"/>
  <c r="BH452" i="6"/>
  <c r="BG452" i="6" s="1"/>
  <c r="BF452" i="6" s="1"/>
  <c r="P452" i="6" s="1"/>
  <c r="H350" i="6"/>
  <c r="AR350" i="6"/>
  <c r="AQ350" i="6" s="1"/>
  <c r="AP350" i="6" s="1"/>
  <c r="J350" i="6" s="1"/>
  <c r="N35" i="6"/>
  <c r="BH35" i="6"/>
  <c r="BG35" i="6" s="1"/>
  <c r="BF35" i="6" s="1"/>
  <c r="P35" i="6" s="1"/>
  <c r="H387" i="6"/>
  <c r="AR387" i="6"/>
  <c r="AQ387" i="6" s="1"/>
  <c r="AP387" i="6" s="1"/>
  <c r="J387" i="6" s="1"/>
  <c r="H47" i="6"/>
  <c r="AR47" i="6"/>
  <c r="AQ47" i="6" s="1"/>
  <c r="AP47" i="6" s="1"/>
  <c r="J47" i="6" s="1"/>
  <c r="N132" i="6"/>
  <c r="BH132" i="6"/>
  <c r="BG132" i="6" s="1"/>
  <c r="BF132" i="6" s="1"/>
  <c r="P132" i="6" s="1"/>
  <c r="N205" i="6"/>
  <c r="BH205" i="6"/>
  <c r="BG205" i="6" s="1"/>
  <c r="BF205" i="6" s="1"/>
  <c r="P205" i="6" s="1"/>
  <c r="H342" i="6"/>
  <c r="AR342" i="6"/>
  <c r="AQ342" i="6" s="1"/>
  <c r="AP342" i="6" s="1"/>
  <c r="J342" i="6" s="1"/>
  <c r="Q202" i="6"/>
  <c r="BP202" i="6"/>
  <c r="BO202" i="6" s="1"/>
  <c r="BN202" i="6" s="1"/>
  <c r="S202" i="6" s="1"/>
  <c r="Q273" i="6"/>
  <c r="BP273" i="6"/>
  <c r="BO273" i="6" s="1"/>
  <c r="BN273" i="6" s="1"/>
  <c r="S273" i="6" s="1"/>
  <c r="N466" i="6"/>
  <c r="BH466" i="6"/>
  <c r="BG466" i="6" s="1"/>
  <c r="BF466" i="6" s="1"/>
  <c r="P466" i="6" s="1"/>
  <c r="H460" i="6"/>
  <c r="AR460" i="6"/>
  <c r="AQ460" i="6" s="1"/>
  <c r="AP460" i="6" s="1"/>
  <c r="J460" i="6" s="1"/>
  <c r="H74" i="6"/>
  <c r="AR74" i="6"/>
  <c r="AQ74" i="6" s="1"/>
  <c r="AP74" i="6" s="1"/>
  <c r="J74" i="6" s="1"/>
  <c r="H53" i="6"/>
  <c r="AR53" i="6"/>
  <c r="AQ53" i="6" s="1"/>
  <c r="AP53" i="6" s="1"/>
  <c r="J53" i="6" s="1"/>
  <c r="Q70" i="6"/>
  <c r="BP70" i="6"/>
  <c r="BO70" i="6" s="1"/>
  <c r="BN70" i="6" s="1"/>
  <c r="S70" i="6" s="1"/>
  <c r="Q208" i="6"/>
  <c r="BP208" i="6"/>
  <c r="BO208" i="6" s="1"/>
  <c r="BN208" i="6" s="1"/>
  <c r="S208" i="6" s="1"/>
  <c r="H150" i="6"/>
  <c r="AR150" i="6"/>
  <c r="AQ150" i="6" s="1"/>
  <c r="AP150" i="6" s="1"/>
  <c r="J150" i="6" s="1"/>
  <c r="Q142" i="6"/>
  <c r="BP142" i="6"/>
  <c r="BO142" i="6" s="1"/>
  <c r="BN142" i="6" s="1"/>
  <c r="S142" i="6" s="1"/>
  <c r="H389" i="6"/>
  <c r="AR389" i="6"/>
  <c r="AQ389" i="6" s="1"/>
  <c r="AP389" i="6" s="1"/>
  <c r="J389" i="6" s="1"/>
  <c r="N365" i="6"/>
  <c r="BH365" i="6"/>
  <c r="BG365" i="6" s="1"/>
  <c r="BF365" i="6" s="1"/>
  <c r="P365" i="6" s="1"/>
  <c r="N157" i="6"/>
  <c r="BH157" i="6"/>
  <c r="BG157" i="6" s="1"/>
  <c r="BF157" i="6" s="1"/>
  <c r="P157" i="6" s="1"/>
  <c r="N187" i="6"/>
  <c r="BH187" i="6"/>
  <c r="BG187" i="6" s="1"/>
  <c r="BF187" i="6" s="1"/>
  <c r="P187" i="6" s="1"/>
  <c r="Q274" i="6"/>
  <c r="BP274" i="6"/>
  <c r="BO274" i="6" s="1"/>
  <c r="BN274" i="6" s="1"/>
  <c r="S274" i="6" s="1"/>
  <c r="N259" i="6"/>
  <c r="BH259" i="6"/>
  <c r="BG259" i="6" s="1"/>
  <c r="BF259" i="6" s="1"/>
  <c r="P259" i="6" s="1"/>
  <c r="H415" i="6"/>
  <c r="AR415" i="6"/>
  <c r="AQ415" i="6" s="1"/>
  <c r="AP415" i="6" s="1"/>
  <c r="J415" i="6" s="1"/>
  <c r="N97" i="6"/>
  <c r="BH97" i="6"/>
  <c r="BG97" i="6" s="1"/>
  <c r="BF97" i="6" s="1"/>
  <c r="P97" i="6" s="1"/>
  <c r="Q456" i="6"/>
  <c r="BP456" i="6"/>
  <c r="BO456" i="6" s="1"/>
  <c r="BN456" i="6" s="1"/>
  <c r="S456" i="6" s="1"/>
  <c r="N15" i="6"/>
  <c r="BH15" i="6"/>
  <c r="BG15" i="6" s="1"/>
  <c r="BF15" i="6" s="1"/>
  <c r="P15" i="6" s="1"/>
  <c r="H217" i="6"/>
  <c r="AR217" i="6"/>
  <c r="AQ217" i="6" s="1"/>
  <c r="AP217" i="6" s="1"/>
  <c r="J217" i="6" s="1"/>
  <c r="Q216" i="6"/>
  <c r="BP216" i="6"/>
  <c r="BO216" i="6" s="1"/>
  <c r="BN216" i="6" s="1"/>
  <c r="S216" i="6" s="1"/>
  <c r="H160" i="6"/>
  <c r="AR160" i="6"/>
  <c r="AQ160" i="6" s="1"/>
  <c r="AP160" i="6" s="1"/>
  <c r="J160" i="6" s="1"/>
  <c r="Q378" i="6"/>
  <c r="BP378" i="6"/>
  <c r="BO378" i="6" s="1"/>
  <c r="BN378" i="6" s="1"/>
  <c r="S378" i="6" s="1"/>
  <c r="N288" i="6"/>
  <c r="BH288" i="6"/>
  <c r="BG288" i="6" s="1"/>
  <c r="BF288" i="6" s="1"/>
  <c r="P288" i="6" s="1"/>
  <c r="N372" i="6"/>
  <c r="BH372" i="6"/>
  <c r="BG372" i="6" s="1"/>
  <c r="BF372" i="6" s="1"/>
  <c r="P372" i="6" s="1"/>
  <c r="N168" i="6"/>
  <c r="BH168" i="6"/>
  <c r="BG168" i="6" s="1"/>
  <c r="BF168" i="6" s="1"/>
  <c r="P168" i="6" s="1"/>
  <c r="H294" i="6"/>
  <c r="AR294" i="6"/>
  <c r="AQ294" i="6" s="1"/>
  <c r="AP294" i="6" s="1"/>
  <c r="J294" i="6" s="1"/>
  <c r="N50" i="6"/>
  <c r="BH50" i="6"/>
  <c r="BG50" i="6" s="1"/>
  <c r="BF50" i="6" s="1"/>
  <c r="P50" i="6" s="1"/>
  <c r="Q375" i="6"/>
  <c r="BP375" i="6"/>
  <c r="BO375" i="6" s="1"/>
  <c r="BN375" i="6" s="1"/>
  <c r="S375" i="6" s="1"/>
  <c r="Q225" i="6"/>
  <c r="BP225" i="6"/>
  <c r="BO225" i="6" s="1"/>
  <c r="BN225" i="6" s="1"/>
  <c r="S225" i="6" s="1"/>
  <c r="Q428" i="6"/>
  <c r="BP428" i="6"/>
  <c r="BO428" i="6" s="1"/>
  <c r="BN428" i="6" s="1"/>
  <c r="S428" i="6" s="1"/>
  <c r="H176" i="6"/>
  <c r="AR176" i="6"/>
  <c r="AQ176" i="6" s="1"/>
  <c r="AP176" i="6" s="1"/>
  <c r="J176" i="6" s="1"/>
  <c r="Q416" i="6"/>
  <c r="BP416" i="6"/>
  <c r="BO416" i="6" s="1"/>
  <c r="BN416" i="6" s="1"/>
  <c r="S416" i="6" s="1"/>
  <c r="Q201" i="6"/>
  <c r="BP201" i="6"/>
  <c r="BO201" i="6" s="1"/>
  <c r="BN201" i="6" s="1"/>
  <c r="S201" i="6" s="1"/>
  <c r="N286" i="6"/>
  <c r="BH286" i="6"/>
  <c r="BG286" i="6" s="1"/>
  <c r="BF286" i="6" s="1"/>
  <c r="P286" i="6" s="1"/>
  <c r="H420" i="6"/>
  <c r="AR420" i="6"/>
  <c r="AQ420" i="6" s="1"/>
  <c r="AP420" i="6" s="1"/>
  <c r="J420" i="6" s="1"/>
  <c r="Q110" i="6"/>
  <c r="BP110" i="6"/>
  <c r="BO110" i="6" s="1"/>
  <c r="BN110" i="6" s="1"/>
  <c r="S110" i="6" s="1"/>
  <c r="H232" i="6"/>
  <c r="AR232" i="6"/>
  <c r="AQ232" i="6" s="1"/>
  <c r="AP232" i="6" s="1"/>
  <c r="J232" i="6" s="1"/>
  <c r="N252" i="6"/>
  <c r="BH252" i="6"/>
  <c r="BG252" i="6" s="1"/>
  <c r="BF252" i="6" s="1"/>
  <c r="P252" i="6" s="1"/>
  <c r="Q354" i="6"/>
  <c r="BP354" i="6"/>
  <c r="BO354" i="6" s="1"/>
  <c r="BN354" i="6" s="1"/>
  <c r="S354" i="6" s="1"/>
  <c r="N347" i="6"/>
  <c r="BH347" i="6"/>
  <c r="BG347" i="6" s="1"/>
  <c r="BF347" i="6" s="1"/>
  <c r="P347" i="6" s="1"/>
  <c r="H427" i="6"/>
  <c r="AR427" i="6"/>
  <c r="AQ427" i="6" s="1"/>
  <c r="AP427" i="6" s="1"/>
  <c r="J427" i="6" s="1"/>
  <c r="N186" i="6"/>
  <c r="BH186" i="6"/>
  <c r="BG186" i="6" s="1"/>
  <c r="BF186" i="6" s="1"/>
  <c r="P186" i="6" s="1"/>
  <c r="N276" i="6"/>
  <c r="BH276" i="6"/>
  <c r="BG276" i="6" s="1"/>
  <c r="BF276" i="6" s="1"/>
  <c r="P276" i="6" s="1"/>
  <c r="Q156" i="6"/>
  <c r="BP156" i="6"/>
  <c r="BO156" i="6" s="1"/>
  <c r="BN156" i="6" s="1"/>
  <c r="S156" i="6" s="1"/>
  <c r="H381" i="6"/>
  <c r="AR381" i="6"/>
  <c r="AQ381" i="6" s="1"/>
  <c r="AP381" i="6" s="1"/>
  <c r="J381" i="6" s="1"/>
  <c r="N454" i="6"/>
  <c r="BH454" i="6"/>
  <c r="BG454" i="6" s="1"/>
  <c r="BF454" i="6" s="1"/>
  <c r="P454" i="6" s="1"/>
  <c r="H468" i="6"/>
  <c r="AR468" i="6"/>
  <c r="AQ468" i="6" s="1"/>
  <c r="AP468" i="6" s="1"/>
  <c r="J468" i="6" s="1"/>
  <c r="N64" i="6"/>
  <c r="BH64" i="6"/>
  <c r="BG64" i="6" s="1"/>
  <c r="BF64" i="6" s="1"/>
  <c r="P64" i="6" s="1"/>
  <c r="Q272" i="6"/>
  <c r="BP272" i="6"/>
  <c r="BO272" i="6" s="1"/>
  <c r="BN272" i="6" s="1"/>
  <c r="S272" i="6" s="1"/>
  <c r="H436" i="6"/>
  <c r="AR436" i="6"/>
  <c r="AQ436" i="6" s="1"/>
  <c r="AP436" i="6" s="1"/>
  <c r="J436" i="6" s="1"/>
  <c r="Q326" i="6"/>
  <c r="BP326" i="6"/>
  <c r="BO326" i="6" s="1"/>
  <c r="BN326" i="6" s="1"/>
  <c r="S326" i="6" s="1"/>
  <c r="N396" i="6"/>
  <c r="BH396" i="6"/>
  <c r="BG396" i="6" s="1"/>
  <c r="BF396" i="6" s="1"/>
  <c r="P396" i="6" s="1"/>
  <c r="N126" i="6"/>
  <c r="BH126" i="6"/>
  <c r="BG126" i="6" s="1"/>
  <c r="BF126" i="6" s="1"/>
  <c r="P126" i="6" s="1"/>
  <c r="N235" i="6"/>
  <c r="BH235" i="6"/>
  <c r="BG235" i="6" s="1"/>
  <c r="BF235" i="6" s="1"/>
  <c r="P235" i="6" s="1"/>
  <c r="N133" i="6"/>
  <c r="BH133" i="6"/>
  <c r="BG133" i="6" s="1"/>
  <c r="BF133" i="6" s="1"/>
  <c r="P133" i="6" s="1"/>
  <c r="N391" i="6"/>
  <c r="BH391" i="6"/>
  <c r="BG391" i="6" s="1"/>
  <c r="BF391" i="6" s="1"/>
  <c r="P391" i="6" s="1"/>
  <c r="Q409" i="6"/>
  <c r="BP409" i="6"/>
  <c r="BO409" i="6" s="1"/>
  <c r="BN409" i="6" s="1"/>
  <c r="S409" i="6" s="1"/>
  <c r="H402" i="6"/>
  <c r="AR402" i="6"/>
  <c r="AQ402" i="6" s="1"/>
  <c r="AP402" i="6" s="1"/>
  <c r="J402" i="6" s="1"/>
  <c r="H349" i="6"/>
  <c r="AR349" i="6"/>
  <c r="AQ349" i="6" s="1"/>
  <c r="AP349" i="6" s="1"/>
  <c r="J349" i="6" s="1"/>
  <c r="Q299" i="6"/>
  <c r="BP299" i="6"/>
  <c r="BO299" i="6" s="1"/>
  <c r="BN299" i="6" s="1"/>
  <c r="S299" i="6" s="1"/>
  <c r="H377" i="6"/>
  <c r="AR377" i="6"/>
  <c r="AQ377" i="6" s="1"/>
  <c r="AP377" i="6" s="1"/>
  <c r="J377" i="6" s="1"/>
  <c r="N422" i="6"/>
  <c r="BH422" i="6"/>
  <c r="BG422" i="6" s="1"/>
  <c r="BF422" i="6" s="1"/>
  <c r="P422" i="6" s="1"/>
  <c r="H463" i="6"/>
  <c r="AR463" i="6"/>
  <c r="AQ463" i="6" s="1"/>
  <c r="AP463" i="6" s="1"/>
  <c r="J463" i="6" s="1"/>
  <c r="Q373" i="6"/>
  <c r="BP373" i="6"/>
  <c r="BO373" i="6" s="1"/>
  <c r="BN373" i="6" s="1"/>
  <c r="S373" i="6" s="1"/>
  <c r="Q10" i="6"/>
  <c r="BP10" i="6"/>
  <c r="BO10" i="6" s="1"/>
  <c r="BN10" i="6" s="1"/>
  <c r="S10" i="6" s="1"/>
  <c r="H49" i="6"/>
  <c r="AR49" i="6"/>
  <c r="AQ49" i="6" s="1"/>
  <c r="AP49" i="6" s="1"/>
  <c r="J49" i="6" s="1"/>
  <c r="N449" i="6"/>
  <c r="BH449" i="6"/>
  <c r="BG449" i="6" s="1"/>
  <c r="BF449" i="6" s="1"/>
  <c r="P449" i="6" s="1"/>
  <c r="N99" i="6"/>
  <c r="BH99" i="6"/>
  <c r="BG99" i="6" s="1"/>
  <c r="BF99" i="6" s="1"/>
  <c r="P99" i="6" s="1"/>
  <c r="N462" i="6"/>
  <c r="BH462" i="6"/>
  <c r="BG462" i="6" s="1"/>
  <c r="BF462" i="6" s="1"/>
  <c r="P462" i="6" s="1"/>
  <c r="H121" i="6"/>
  <c r="AR121" i="6"/>
  <c r="AQ121" i="6" s="1"/>
  <c r="AP121" i="6" s="1"/>
  <c r="J121" i="6" s="1"/>
  <c r="N229" i="6"/>
  <c r="BH229" i="6"/>
  <c r="BG229" i="6" s="1"/>
  <c r="BF229" i="6" s="1"/>
  <c r="P229" i="6" s="1"/>
  <c r="N358" i="6"/>
  <c r="BH358" i="6"/>
  <c r="BG358" i="6" s="1"/>
  <c r="BF358" i="6" s="1"/>
  <c r="P358" i="6" s="1"/>
  <c r="H185" i="6"/>
  <c r="AR185" i="6"/>
  <c r="AQ185" i="6" s="1"/>
  <c r="AP185" i="6" s="1"/>
  <c r="J185" i="6" s="1"/>
  <c r="Q199" i="6"/>
  <c r="BP199" i="6"/>
  <c r="BO199" i="6" s="1"/>
  <c r="BN199" i="6" s="1"/>
  <c r="S199" i="6" s="1"/>
  <c r="N289" i="6"/>
  <c r="BH289" i="6"/>
  <c r="BG289" i="6" s="1"/>
  <c r="BF289" i="6" s="1"/>
  <c r="P289" i="6" s="1"/>
  <c r="H71" i="6"/>
  <c r="AR71" i="6"/>
  <c r="AQ71" i="6" s="1"/>
  <c r="AP71" i="6" s="1"/>
  <c r="J71" i="6" s="1"/>
  <c r="H228" i="6"/>
  <c r="AR228" i="6"/>
  <c r="AQ228" i="6" s="1"/>
  <c r="AP228" i="6" s="1"/>
  <c r="J228" i="6" s="1"/>
  <c r="H194" i="6"/>
  <c r="AR194" i="6"/>
  <c r="AQ194" i="6" s="1"/>
  <c r="AP194" i="6" s="1"/>
  <c r="J194" i="6" s="1"/>
  <c r="H193" i="6"/>
  <c r="AR193" i="6"/>
  <c r="AQ193" i="6" s="1"/>
  <c r="AP193" i="6" s="1"/>
  <c r="J193" i="6" s="1"/>
  <c r="F45" i="1"/>
  <c r="Q66" i="6"/>
  <c r="BP66" i="6"/>
  <c r="BO66" i="6" s="1"/>
  <c r="BN66" i="6" s="1"/>
  <c r="S66" i="6" s="1"/>
  <c r="N292" i="6"/>
  <c r="BH292" i="6"/>
  <c r="BG292" i="6" s="1"/>
  <c r="BF292" i="6" s="1"/>
  <c r="P292" i="6" s="1"/>
  <c r="H374" i="6"/>
  <c r="AR374" i="6"/>
  <c r="AQ374" i="6" s="1"/>
  <c r="AP374" i="6" s="1"/>
  <c r="J374" i="6" s="1"/>
  <c r="H302" i="6"/>
  <c r="AR302" i="6"/>
  <c r="AQ302" i="6" s="1"/>
  <c r="AP302" i="6" s="1"/>
  <c r="J302" i="6" s="1"/>
  <c r="H38" i="6"/>
  <c r="AR38" i="6"/>
  <c r="AQ38" i="6" s="1"/>
  <c r="AP38" i="6" s="1"/>
  <c r="J38" i="6" s="1"/>
  <c r="N297" i="6"/>
  <c r="BH297" i="6"/>
  <c r="BG297" i="6" s="1"/>
  <c r="BF297" i="6" s="1"/>
  <c r="P297" i="6" s="1"/>
  <c r="H188" i="6"/>
  <c r="AR188" i="6"/>
  <c r="AQ188" i="6" s="1"/>
  <c r="AP188" i="6" s="1"/>
  <c r="J188" i="6" s="1"/>
  <c r="Q348" i="6"/>
  <c r="BP348" i="6"/>
  <c r="BO348" i="6" s="1"/>
  <c r="BN348" i="6" s="1"/>
  <c r="S348" i="6" s="1"/>
  <c r="Q368" i="6"/>
  <c r="BP368" i="6"/>
  <c r="BO368" i="6" s="1"/>
  <c r="BN368" i="6" s="1"/>
  <c r="S368" i="6" s="1"/>
  <c r="H432" i="6"/>
  <c r="AR432" i="6"/>
  <c r="AQ432" i="6" s="1"/>
  <c r="AP432" i="6" s="1"/>
  <c r="J432" i="6" s="1"/>
  <c r="H237" i="6"/>
  <c r="AR237" i="6"/>
  <c r="AQ237" i="6" s="1"/>
  <c r="AP237" i="6" s="1"/>
  <c r="J237" i="6" s="1"/>
  <c r="Q213" i="6"/>
  <c r="BP213" i="6"/>
  <c r="BO213" i="6" s="1"/>
  <c r="BN213" i="6" s="1"/>
  <c r="S213" i="6" s="1"/>
  <c r="Q54" i="6"/>
  <c r="BP54" i="6"/>
  <c r="BO54" i="6" s="1"/>
  <c r="BN54" i="6" s="1"/>
  <c r="S54" i="6" s="1"/>
  <c r="H98" i="6"/>
  <c r="AR98" i="6"/>
  <c r="AQ98" i="6" s="1"/>
  <c r="AP98" i="6" s="1"/>
  <c r="J98" i="6" s="1"/>
  <c r="N329" i="6"/>
  <c r="BH329" i="6"/>
  <c r="BG329" i="6" s="1"/>
  <c r="BF329" i="6" s="1"/>
  <c r="P329" i="6" s="1"/>
  <c r="Q440" i="6"/>
  <c r="BP440" i="6"/>
  <c r="BO440" i="6" s="1"/>
  <c r="BN440" i="6" s="1"/>
  <c r="S440" i="6" s="1"/>
  <c r="Q93" i="6"/>
  <c r="BP93" i="6"/>
  <c r="BO93" i="6" s="1"/>
  <c r="BN93" i="6" s="1"/>
  <c r="S93" i="6" s="1"/>
  <c r="N31" i="6"/>
  <c r="BH31" i="6"/>
  <c r="BG31" i="6" s="1"/>
  <c r="BF31" i="6" s="1"/>
  <c r="P31" i="6" s="1"/>
  <c r="Q112" i="6"/>
  <c r="BP112" i="6"/>
  <c r="BO112" i="6" s="1"/>
  <c r="BN112" i="6" s="1"/>
  <c r="S112" i="6" s="1"/>
  <c r="Q301" i="6"/>
  <c r="BP301" i="6"/>
  <c r="BO301" i="6" s="1"/>
  <c r="BN301" i="6" s="1"/>
  <c r="S301" i="6" s="1"/>
  <c r="N28" i="6"/>
  <c r="BH28" i="6"/>
  <c r="BG28" i="6" s="1"/>
  <c r="BF28" i="6" s="1"/>
  <c r="P28" i="6" s="1"/>
  <c r="H327" i="6"/>
  <c r="AR327" i="6"/>
  <c r="AQ327" i="6" s="1"/>
  <c r="AP327" i="6" s="1"/>
  <c r="J327" i="6" s="1"/>
  <c r="H9" i="6"/>
  <c r="AR9" i="6"/>
  <c r="AQ9" i="6" s="1"/>
  <c r="AP9" i="6" s="1"/>
  <c r="J9" i="6" s="1"/>
  <c r="H243" i="6"/>
  <c r="AR243" i="6"/>
  <c r="AQ243" i="6" s="1"/>
  <c r="AP243" i="6" s="1"/>
  <c r="J243" i="6" s="1"/>
  <c r="Q397" i="6"/>
  <c r="BP397" i="6"/>
  <c r="BO397" i="6" s="1"/>
  <c r="BN397" i="6" s="1"/>
  <c r="S397" i="6" s="1"/>
  <c r="N355" i="6"/>
  <c r="BH355" i="6"/>
  <c r="BG355" i="6" s="1"/>
  <c r="BF355" i="6" s="1"/>
  <c r="P355" i="6" s="1"/>
  <c r="N453" i="6"/>
  <c r="BH453" i="6"/>
  <c r="BG453" i="6" s="1"/>
  <c r="BF453" i="6" s="1"/>
  <c r="P453" i="6" s="1"/>
  <c r="H363" i="6"/>
  <c r="AR363" i="6"/>
  <c r="AQ363" i="6" s="1"/>
  <c r="AP363" i="6" s="1"/>
  <c r="J363" i="6" s="1"/>
  <c r="H117" i="6"/>
  <c r="AR117" i="6"/>
  <c r="AQ117" i="6" s="1"/>
  <c r="AP117" i="6" s="1"/>
  <c r="J117" i="6" s="1"/>
  <c r="Q55" i="6"/>
  <c r="BP55" i="6"/>
  <c r="BO55" i="6" s="1"/>
  <c r="BN55" i="6" s="1"/>
  <c r="S55" i="6" s="1"/>
  <c r="H265" i="6"/>
  <c r="AR265" i="6"/>
  <c r="AQ265" i="6" s="1"/>
  <c r="AP265" i="6" s="1"/>
  <c r="J265" i="6" s="1"/>
  <c r="Q407" i="6"/>
  <c r="BP407" i="6"/>
  <c r="BO407" i="6" s="1"/>
  <c r="BN407" i="6" s="1"/>
  <c r="S407" i="6" s="1"/>
  <c r="Q371" i="6"/>
  <c r="BP371" i="6"/>
  <c r="BO371" i="6" s="1"/>
  <c r="BN371" i="6" s="1"/>
  <c r="S371" i="6" s="1"/>
  <c r="Q108" i="6"/>
  <c r="BP108" i="6"/>
  <c r="BO108" i="6" s="1"/>
  <c r="BN108" i="6" s="1"/>
  <c r="S108" i="6" s="1"/>
  <c r="Q293" i="6"/>
  <c r="BP293" i="6"/>
  <c r="BO293" i="6" s="1"/>
  <c r="BN293" i="6" s="1"/>
  <c r="S293" i="6" s="1"/>
  <c r="Q207" i="6"/>
  <c r="BP207" i="6"/>
  <c r="BO207" i="6" s="1"/>
  <c r="BN207" i="6" s="1"/>
  <c r="S207" i="6" s="1"/>
  <c r="Q461" i="6"/>
  <c r="BP461" i="6"/>
  <c r="BO461" i="6" s="1"/>
  <c r="BN461" i="6" s="1"/>
  <c r="S461" i="6" s="1"/>
  <c r="N72" i="6"/>
  <c r="BH72" i="6"/>
  <c r="BG72" i="6" s="1"/>
  <c r="BF72" i="6" s="1"/>
  <c r="P72" i="6" s="1"/>
  <c r="H24" i="6"/>
  <c r="AR24" i="6"/>
  <c r="AQ24" i="6" s="1"/>
  <c r="AP24" i="6" s="1"/>
  <c r="J24" i="6" s="1"/>
  <c r="Q16" i="6"/>
  <c r="BP16" i="6"/>
  <c r="BO16" i="6" s="1"/>
  <c r="BN16" i="6" s="1"/>
  <c r="S16" i="6" s="1"/>
  <c r="N25" i="6"/>
  <c r="BH25" i="6"/>
  <c r="BG25" i="6" s="1"/>
  <c r="BF25" i="6" s="1"/>
  <c r="P25" i="6" s="1"/>
  <c r="H109" i="6"/>
  <c r="AR109" i="6"/>
  <c r="AQ109" i="6" s="1"/>
  <c r="AP109" i="6" s="1"/>
  <c r="J109" i="6" s="1"/>
  <c r="Q464" i="6"/>
  <c r="BP464" i="6"/>
  <c r="BO464" i="6" s="1"/>
  <c r="BN464" i="6" s="1"/>
  <c r="S464" i="6" s="1"/>
  <c r="Q138" i="6"/>
  <c r="BP138" i="6"/>
  <c r="BO138" i="6" s="1"/>
  <c r="BN138" i="6" s="1"/>
  <c r="S138" i="6" s="1"/>
  <c r="N13" i="6"/>
  <c r="BH13" i="6"/>
  <c r="BG13" i="6" s="1"/>
  <c r="BF13" i="6" s="1"/>
  <c r="P13" i="6" s="1"/>
  <c r="H12" i="6"/>
  <c r="AR12" i="6"/>
  <c r="AQ12" i="6" s="1"/>
  <c r="AP12" i="6" s="1"/>
  <c r="J12" i="6" s="1"/>
  <c r="N175" i="6"/>
  <c r="BH175" i="6"/>
  <c r="BG175" i="6" s="1"/>
  <c r="BF175" i="6" s="1"/>
  <c r="P175" i="6" s="1"/>
  <c r="N337" i="6"/>
  <c r="BH337" i="6"/>
  <c r="BG337" i="6" s="1"/>
  <c r="BF337" i="6" s="1"/>
  <c r="P337" i="6" s="1"/>
  <c r="H242" i="6"/>
  <c r="AR242" i="6"/>
  <c r="AQ242" i="6" s="1"/>
  <c r="AP242" i="6" s="1"/>
  <c r="J242" i="6" s="1"/>
  <c r="N382" i="6"/>
  <c r="BH382" i="6"/>
  <c r="BG382" i="6" s="1"/>
  <c r="BF382" i="6" s="1"/>
  <c r="P382" i="6" s="1"/>
  <c r="Q80" i="6"/>
  <c r="BP80" i="6"/>
  <c r="BO80" i="6" s="1"/>
  <c r="BN80" i="6" s="1"/>
  <c r="S80" i="6" s="1"/>
  <c r="Q341" i="6"/>
  <c r="BP341" i="6"/>
  <c r="BO341" i="6" s="1"/>
  <c r="BN341" i="6" s="1"/>
  <c r="S341" i="6" s="1"/>
  <c r="H104" i="6"/>
  <c r="AR104" i="6"/>
  <c r="AQ104" i="6" s="1"/>
  <c r="AP104" i="6" s="1"/>
  <c r="J104" i="6" s="1"/>
  <c r="H153" i="6"/>
  <c r="AR153" i="6"/>
  <c r="AQ153" i="6" s="1"/>
  <c r="AP153" i="6" s="1"/>
  <c r="J153" i="6" s="1"/>
  <c r="H61" i="6"/>
  <c r="AR61" i="6"/>
  <c r="AQ61" i="6" s="1"/>
  <c r="AP61" i="6" s="1"/>
  <c r="J61" i="6" s="1"/>
  <c r="N170" i="6"/>
  <c r="BH170" i="6"/>
  <c r="BG170" i="6" s="1"/>
  <c r="BF170" i="6" s="1"/>
  <c r="P170" i="6" s="1"/>
  <c r="Q390" i="6"/>
  <c r="BP390" i="6"/>
  <c r="BO390" i="6" s="1"/>
  <c r="BN390" i="6" s="1"/>
  <c r="S390" i="6" s="1"/>
  <c r="Q209" i="6"/>
  <c r="BP209" i="6"/>
  <c r="BO209" i="6" s="1"/>
  <c r="BN209" i="6" s="1"/>
  <c r="S209" i="6" s="1"/>
  <c r="N47" i="6"/>
  <c r="BH47" i="6"/>
  <c r="BG47" i="6" s="1"/>
  <c r="BF47" i="6" s="1"/>
  <c r="P47" i="6" s="1"/>
  <c r="Q132" i="6"/>
  <c r="BP132" i="6"/>
  <c r="BO132" i="6" s="1"/>
  <c r="BN132" i="6" s="1"/>
  <c r="S132" i="6" s="1"/>
  <c r="H205" i="6"/>
  <c r="AR205" i="6"/>
  <c r="AQ205" i="6" s="1"/>
  <c r="AP205" i="6" s="1"/>
  <c r="J205" i="6" s="1"/>
  <c r="Q23" i="6"/>
  <c r="BP23" i="6"/>
  <c r="BO23" i="6" s="1"/>
  <c r="BN23" i="6" s="1"/>
  <c r="S23" i="6" s="1"/>
  <c r="H211" i="6"/>
  <c r="AR211" i="6"/>
  <c r="AQ211" i="6" s="1"/>
  <c r="AP211" i="6" s="1"/>
  <c r="J211" i="6" s="1"/>
  <c r="Q342" i="6"/>
  <c r="BP342" i="6"/>
  <c r="BO342" i="6" s="1"/>
  <c r="BN342" i="6" s="1"/>
  <c r="S342" i="6" s="1"/>
  <c r="H21" i="6"/>
  <c r="AR21" i="6"/>
  <c r="AQ21" i="6" s="1"/>
  <c r="AP21" i="6" s="1"/>
  <c r="J21" i="6" s="1"/>
  <c r="N220" i="6"/>
  <c r="BH220" i="6"/>
  <c r="BG220" i="6" s="1"/>
  <c r="BF220" i="6" s="1"/>
  <c r="P220" i="6" s="1"/>
  <c r="H296" i="6"/>
  <c r="AR296" i="6"/>
  <c r="AQ296" i="6" s="1"/>
  <c r="AP296" i="6" s="1"/>
  <c r="J296" i="6" s="1"/>
  <c r="Q457" i="6"/>
  <c r="BP457" i="6"/>
  <c r="BO457" i="6" s="1"/>
  <c r="BN457" i="6" s="1"/>
  <c r="S457" i="6" s="1"/>
  <c r="N139" i="6"/>
  <c r="BH139" i="6"/>
  <c r="BG139" i="6" s="1"/>
  <c r="BF139" i="6" s="1"/>
  <c r="P139" i="6" s="1"/>
  <c r="H202" i="6"/>
  <c r="AR202" i="6"/>
  <c r="AQ202" i="6" s="1"/>
  <c r="AP202" i="6" s="1"/>
  <c r="J202" i="6" s="1"/>
  <c r="H338" i="6"/>
  <c r="AR338" i="6"/>
  <c r="AQ338" i="6" s="1"/>
  <c r="AP338" i="6" s="1"/>
  <c r="J338" i="6" s="1"/>
  <c r="Q466" i="6"/>
  <c r="BP466" i="6"/>
  <c r="BO466" i="6" s="1"/>
  <c r="BN466" i="6" s="1"/>
  <c r="S466" i="6" s="1"/>
  <c r="Q460" i="6"/>
  <c r="BP460" i="6"/>
  <c r="BO460" i="6" s="1"/>
  <c r="BN460" i="6" s="1"/>
  <c r="S460" i="6" s="1"/>
  <c r="Q166" i="6"/>
  <c r="BP166" i="6"/>
  <c r="BO166" i="6" s="1"/>
  <c r="BN166" i="6" s="1"/>
  <c r="S166" i="6" s="1"/>
  <c r="N192" i="6"/>
  <c r="BH192" i="6"/>
  <c r="BG192" i="6" s="1"/>
  <c r="BF192" i="6" s="1"/>
  <c r="P192" i="6" s="1"/>
  <c r="N268" i="6"/>
  <c r="BH268" i="6"/>
  <c r="BG268" i="6" s="1"/>
  <c r="BF268" i="6" s="1"/>
  <c r="P268" i="6" s="1"/>
  <c r="N70" i="6"/>
  <c r="BH70" i="6"/>
  <c r="BG70" i="6" s="1"/>
  <c r="BF70" i="6" s="1"/>
  <c r="P70" i="6" s="1"/>
  <c r="H88" i="6"/>
  <c r="AR88" i="6"/>
  <c r="AQ88" i="6" s="1"/>
  <c r="AP88" i="6" s="1"/>
  <c r="J88" i="6" s="1"/>
  <c r="H208" i="6"/>
  <c r="AR208" i="6"/>
  <c r="AQ208" i="6" s="1"/>
  <c r="AP208" i="6" s="1"/>
  <c r="J208" i="6" s="1"/>
  <c r="N240" i="6"/>
  <c r="BH240" i="6"/>
  <c r="BG240" i="6" s="1"/>
  <c r="BF240" i="6" s="1"/>
  <c r="P240" i="6" s="1"/>
  <c r="H142" i="6"/>
  <c r="AR142" i="6"/>
  <c r="AQ142" i="6" s="1"/>
  <c r="AP142" i="6" s="1"/>
  <c r="J142" i="6" s="1"/>
  <c r="N325" i="6"/>
  <c r="BH325" i="6"/>
  <c r="BG325" i="6" s="1"/>
  <c r="BF325" i="6" s="1"/>
  <c r="P325" i="6" s="1"/>
  <c r="N389" i="6"/>
  <c r="BH389" i="6"/>
  <c r="BG389" i="6" s="1"/>
  <c r="BF389" i="6" s="1"/>
  <c r="P389" i="6" s="1"/>
  <c r="N148" i="6"/>
  <c r="BH148" i="6"/>
  <c r="BG148" i="6" s="1"/>
  <c r="BF148" i="6" s="1"/>
  <c r="P148" i="6" s="1"/>
  <c r="Q365" i="6"/>
  <c r="BP365" i="6"/>
  <c r="BO365" i="6" s="1"/>
  <c r="BN365" i="6" s="1"/>
  <c r="S365" i="6" s="1"/>
  <c r="Q157" i="6"/>
  <c r="BP157" i="6"/>
  <c r="BO157" i="6" s="1"/>
  <c r="BN157" i="6" s="1"/>
  <c r="S157" i="6" s="1"/>
  <c r="N251" i="6"/>
  <c r="BH251" i="6"/>
  <c r="BG251" i="6" s="1"/>
  <c r="BF251" i="6" s="1"/>
  <c r="P251" i="6" s="1"/>
  <c r="H274" i="6"/>
  <c r="AR274" i="6"/>
  <c r="AQ274" i="6" s="1"/>
  <c r="AP274" i="6" s="1"/>
  <c r="J274" i="6" s="1"/>
  <c r="Q46" i="6"/>
  <c r="BP46" i="6"/>
  <c r="BO46" i="6" s="1"/>
  <c r="BN46" i="6" s="1"/>
  <c r="S46" i="6" s="1"/>
  <c r="H83" i="6"/>
  <c r="AR83" i="6"/>
  <c r="AQ83" i="6" s="1"/>
  <c r="AP83" i="6" s="1"/>
  <c r="J83" i="6" s="1"/>
  <c r="H259" i="6"/>
  <c r="AR259" i="6"/>
  <c r="AQ259" i="6" s="1"/>
  <c r="AP259" i="6" s="1"/>
  <c r="J259" i="6" s="1"/>
  <c r="H73" i="6"/>
  <c r="AR73" i="6"/>
  <c r="AQ73" i="6" s="1"/>
  <c r="AP73" i="6" s="1"/>
  <c r="J73" i="6" s="1"/>
  <c r="Q97" i="6"/>
  <c r="BP97" i="6"/>
  <c r="BO97" i="6" s="1"/>
  <c r="BN97" i="6" s="1"/>
  <c r="S97" i="6" s="1"/>
  <c r="Q15" i="6"/>
  <c r="BP15" i="6"/>
  <c r="BO15" i="6" s="1"/>
  <c r="BN15" i="6" s="1"/>
  <c r="S15" i="6" s="1"/>
  <c r="H216" i="6"/>
  <c r="AR216" i="6"/>
  <c r="AQ216" i="6" s="1"/>
  <c r="AP216" i="6" s="1"/>
  <c r="J216" i="6" s="1"/>
  <c r="Q48" i="6"/>
  <c r="BP48" i="6"/>
  <c r="BO48" i="6" s="1"/>
  <c r="BN48" i="6" s="1"/>
  <c r="S48" i="6" s="1"/>
  <c r="N189" i="6"/>
  <c r="BH189" i="6"/>
  <c r="BG189" i="6" s="1"/>
  <c r="BF189" i="6" s="1"/>
  <c r="P189" i="6" s="1"/>
  <c r="H378" i="6"/>
  <c r="AR378" i="6"/>
  <c r="AQ378" i="6" s="1"/>
  <c r="AP378" i="6" s="1"/>
  <c r="J378" i="6" s="1"/>
  <c r="H151" i="6"/>
  <c r="AR151" i="6"/>
  <c r="AQ151" i="6" s="1"/>
  <c r="AP151" i="6" s="1"/>
  <c r="J151" i="6" s="1"/>
  <c r="Q184" i="6"/>
  <c r="BP184" i="6"/>
  <c r="BO184" i="6" s="1"/>
  <c r="BN184" i="6" s="1"/>
  <c r="S184" i="6" s="1"/>
  <c r="Q288" i="6"/>
  <c r="BP288" i="6"/>
  <c r="BO288" i="6" s="1"/>
  <c r="BN288" i="6" s="1"/>
  <c r="S288" i="6" s="1"/>
  <c r="H442" i="6"/>
  <c r="AR442" i="6"/>
  <c r="AQ442" i="6" s="1"/>
  <c r="AP442" i="6" s="1"/>
  <c r="J442" i="6" s="1"/>
  <c r="H17" i="6"/>
  <c r="AR17" i="6"/>
  <c r="AQ17" i="6" s="1"/>
  <c r="AP17" i="6" s="1"/>
  <c r="J17" i="6" s="1"/>
  <c r="Q168" i="6"/>
  <c r="BP168" i="6"/>
  <c r="BO168" i="6" s="1"/>
  <c r="BN168" i="6" s="1"/>
  <c r="S168" i="6" s="1"/>
  <c r="N294" i="6"/>
  <c r="BH294" i="6"/>
  <c r="BG294" i="6" s="1"/>
  <c r="BF294" i="6" s="1"/>
  <c r="P294" i="6" s="1"/>
  <c r="H441" i="6"/>
  <c r="AR441" i="6"/>
  <c r="AQ441" i="6" s="1"/>
  <c r="AP441" i="6" s="1"/>
  <c r="J441" i="6" s="1"/>
  <c r="H50" i="6"/>
  <c r="AR50" i="6"/>
  <c r="AQ50" i="6" s="1"/>
  <c r="AP50" i="6" s="1"/>
  <c r="J50" i="6" s="1"/>
  <c r="N375" i="6"/>
  <c r="BH375" i="6"/>
  <c r="BG375" i="6" s="1"/>
  <c r="BF375" i="6" s="1"/>
  <c r="P375" i="6" s="1"/>
  <c r="Q11" i="6"/>
  <c r="BP11" i="6"/>
  <c r="BO11" i="6" s="1"/>
  <c r="BN11" i="6" s="1"/>
  <c r="S11" i="6" s="1"/>
  <c r="Q250" i="6"/>
  <c r="BP250" i="6"/>
  <c r="BO250" i="6" s="1"/>
  <c r="BN250" i="6" s="1"/>
  <c r="S250" i="6" s="1"/>
  <c r="H225" i="6"/>
  <c r="AR225" i="6"/>
  <c r="AQ225" i="6" s="1"/>
  <c r="AP225" i="6" s="1"/>
  <c r="J225" i="6" s="1"/>
  <c r="Q423" i="6"/>
  <c r="BP423" i="6"/>
  <c r="BO423" i="6" s="1"/>
  <c r="BN423" i="6" s="1"/>
  <c r="S423" i="6" s="1"/>
  <c r="N335" i="6"/>
  <c r="BH335" i="6"/>
  <c r="BG335" i="6" s="1"/>
  <c r="BF335" i="6" s="1"/>
  <c r="P335" i="6" s="1"/>
  <c r="N400" i="6"/>
  <c r="BH400" i="6"/>
  <c r="BG400" i="6" s="1"/>
  <c r="BF400" i="6" s="1"/>
  <c r="P400" i="6" s="1"/>
  <c r="N105" i="6"/>
  <c r="BH105" i="6"/>
  <c r="BG105" i="6" s="1"/>
  <c r="BF105" i="6" s="1"/>
  <c r="P105" i="6" s="1"/>
  <c r="H201" i="6"/>
  <c r="AR201" i="6"/>
  <c r="AQ201" i="6" s="1"/>
  <c r="AP201" i="6" s="1"/>
  <c r="J201" i="6" s="1"/>
  <c r="Q388" i="6"/>
  <c r="BP388" i="6"/>
  <c r="BO388" i="6" s="1"/>
  <c r="BN388" i="6" s="1"/>
  <c r="S388" i="6" s="1"/>
  <c r="N107" i="6"/>
  <c r="BH107" i="6"/>
  <c r="BG107" i="6" s="1"/>
  <c r="BF107" i="6" s="1"/>
  <c r="P107" i="6" s="1"/>
  <c r="N232" i="6"/>
  <c r="BH232" i="6"/>
  <c r="BG232" i="6" s="1"/>
  <c r="BF232" i="6" s="1"/>
  <c r="P232" i="6" s="1"/>
  <c r="H354" i="6"/>
  <c r="AR354" i="6"/>
  <c r="AQ354" i="6" s="1"/>
  <c r="AP354" i="6" s="1"/>
  <c r="J354" i="6" s="1"/>
  <c r="Q347" i="6"/>
  <c r="BP347" i="6"/>
  <c r="BO347" i="6" s="1"/>
  <c r="BN347" i="6" s="1"/>
  <c r="S347" i="6" s="1"/>
  <c r="H156" i="6"/>
  <c r="AR156" i="6"/>
  <c r="AQ156" i="6" s="1"/>
  <c r="AP156" i="6" s="1"/>
  <c r="J156" i="6" s="1"/>
  <c r="Q454" i="6"/>
  <c r="BP454" i="6"/>
  <c r="BO454" i="6" s="1"/>
  <c r="BN454" i="6" s="1"/>
  <c r="S454" i="6" s="1"/>
  <c r="Q195" i="6"/>
  <c r="BP195" i="6"/>
  <c r="BO195" i="6" s="1"/>
  <c r="BN195" i="6" s="1"/>
  <c r="S195" i="6" s="1"/>
  <c r="N436" i="6"/>
  <c r="BH436" i="6"/>
  <c r="BG436" i="6" s="1"/>
  <c r="BF436" i="6" s="1"/>
  <c r="P436" i="6" s="1"/>
  <c r="N68" i="6"/>
  <c r="BH68" i="6"/>
  <c r="BG68" i="6" s="1"/>
  <c r="BF68" i="6" s="1"/>
  <c r="P68" i="6" s="1"/>
  <c r="Q126" i="6"/>
  <c r="BP126" i="6"/>
  <c r="BO126" i="6" s="1"/>
  <c r="BN126" i="6" s="1"/>
  <c r="S126" i="6" s="1"/>
  <c r="H360" i="6"/>
  <c r="AR360" i="6"/>
  <c r="AQ360" i="6" s="1"/>
  <c r="AP360" i="6" s="1"/>
  <c r="J360" i="6" s="1"/>
  <c r="N155" i="6"/>
  <c r="BH155" i="6"/>
  <c r="BG155" i="6" s="1"/>
  <c r="BF155" i="6" s="1"/>
  <c r="P155" i="6" s="1"/>
  <c r="Q235" i="6"/>
  <c r="BP235" i="6"/>
  <c r="BO235" i="6" s="1"/>
  <c r="BN235" i="6" s="1"/>
  <c r="S235" i="6" s="1"/>
  <c r="N298" i="6"/>
  <c r="BH298" i="6"/>
  <c r="BG298" i="6" s="1"/>
  <c r="BF298" i="6" s="1"/>
  <c r="P298" i="6" s="1"/>
  <c r="Q133" i="6"/>
  <c r="BP133" i="6"/>
  <c r="BO133" i="6" s="1"/>
  <c r="BN133" i="6" s="1"/>
  <c r="S133" i="6" s="1"/>
  <c r="H269" i="6"/>
  <c r="AR269" i="6"/>
  <c r="AQ269" i="6" s="1"/>
  <c r="AP269" i="6" s="1"/>
  <c r="J269" i="6" s="1"/>
  <c r="N393" i="6"/>
  <c r="BH393" i="6"/>
  <c r="BG393" i="6" s="1"/>
  <c r="BF393" i="6" s="1"/>
  <c r="P393" i="6" s="1"/>
  <c r="Q391" i="6"/>
  <c r="BP391" i="6"/>
  <c r="BO391" i="6" s="1"/>
  <c r="BN391" i="6" s="1"/>
  <c r="S391" i="6" s="1"/>
  <c r="N236" i="6"/>
  <c r="BH236" i="6"/>
  <c r="BG236" i="6" s="1"/>
  <c r="BF236" i="6" s="1"/>
  <c r="P236" i="6" s="1"/>
  <c r="Q69" i="6"/>
  <c r="BP69" i="6"/>
  <c r="BO69" i="6" s="1"/>
  <c r="BN69" i="6" s="1"/>
  <c r="S69" i="6" s="1"/>
  <c r="N343" i="6"/>
  <c r="BH343" i="6"/>
  <c r="BG343" i="6" s="1"/>
  <c r="BF343" i="6" s="1"/>
  <c r="P343" i="6" s="1"/>
  <c r="N377" i="6"/>
  <c r="BH377" i="6"/>
  <c r="BG377" i="6" s="1"/>
  <c r="BF377" i="6" s="1"/>
  <c r="P377" i="6" s="1"/>
  <c r="Q422" i="6"/>
  <c r="BP422" i="6"/>
  <c r="BO422" i="6" s="1"/>
  <c r="BN422" i="6" s="1"/>
  <c r="S422" i="6" s="1"/>
  <c r="H357" i="6"/>
  <c r="AR357" i="6"/>
  <c r="AQ357" i="6" s="1"/>
  <c r="AP357" i="6" s="1"/>
  <c r="J357" i="6" s="1"/>
  <c r="H308" i="6"/>
  <c r="AR308" i="6"/>
  <c r="AQ308" i="6" s="1"/>
  <c r="AP308" i="6" s="1"/>
  <c r="J308" i="6" s="1"/>
  <c r="N425" i="6"/>
  <c r="BH425" i="6"/>
  <c r="BG425" i="6" s="1"/>
  <c r="BF425" i="6" s="1"/>
  <c r="P425" i="6" s="1"/>
  <c r="N49" i="6"/>
  <c r="BH49" i="6"/>
  <c r="BG49" i="6" s="1"/>
  <c r="BF49" i="6" s="1"/>
  <c r="P49" i="6" s="1"/>
  <c r="N204" i="6"/>
  <c r="BH204" i="6"/>
  <c r="BG204" i="6" s="1"/>
  <c r="BF204" i="6" s="1"/>
  <c r="P204" i="6" s="1"/>
  <c r="Q99" i="6"/>
  <c r="BP99" i="6"/>
  <c r="BO99" i="6" s="1"/>
  <c r="BN99" i="6" s="1"/>
  <c r="S99" i="6" s="1"/>
  <c r="H203" i="6"/>
  <c r="AR203" i="6"/>
  <c r="AQ203" i="6" s="1"/>
  <c r="AP203" i="6" s="1"/>
  <c r="J203" i="6" s="1"/>
  <c r="Q462" i="6"/>
  <c r="BP462" i="6"/>
  <c r="BO462" i="6" s="1"/>
  <c r="BN462" i="6" s="1"/>
  <c r="S462" i="6" s="1"/>
  <c r="H314" i="6"/>
  <c r="AR314" i="6"/>
  <c r="AQ314" i="6" s="1"/>
  <c r="AP314" i="6" s="1"/>
  <c r="J314" i="6" s="1"/>
  <c r="H14" i="6"/>
  <c r="AR14" i="6"/>
  <c r="AQ14" i="6" s="1"/>
  <c r="AP14" i="6" s="1"/>
  <c r="J14" i="6" s="1"/>
  <c r="N77" i="6"/>
  <c r="BH77" i="6"/>
  <c r="BG77" i="6" s="1"/>
  <c r="BF77" i="6" s="1"/>
  <c r="P77" i="6" s="1"/>
  <c r="Q289" i="6"/>
  <c r="BP289" i="6"/>
  <c r="BO289" i="6" s="1"/>
  <c r="BN289" i="6" s="1"/>
  <c r="S289" i="6" s="1"/>
  <c r="N71" i="6"/>
  <c r="BH71" i="6"/>
  <c r="BG71" i="6" s="1"/>
  <c r="BF71" i="6" s="1"/>
  <c r="P71" i="6" s="1"/>
  <c r="H183" i="6"/>
  <c r="AR183" i="6"/>
  <c r="AQ183" i="6" s="1"/>
  <c r="AP183" i="6" s="1"/>
  <c r="J183" i="6" s="1"/>
  <c r="N395" i="6"/>
  <c r="BH395" i="6"/>
  <c r="BG395" i="6" s="1"/>
  <c r="BF395" i="6" s="1"/>
  <c r="P395" i="6" s="1"/>
  <c r="N194" i="6"/>
  <c r="BH194" i="6"/>
  <c r="BG194" i="6" s="1"/>
  <c r="BF194" i="6" s="1"/>
  <c r="P194" i="6" s="1"/>
  <c r="H101" i="6"/>
  <c r="AR101" i="6"/>
  <c r="AQ101" i="6" s="1"/>
  <c r="AP101" i="6" s="1"/>
  <c r="J101" i="6" s="1"/>
  <c r="V95" i="1"/>
  <c r="N66" i="6"/>
  <c r="BH66" i="6"/>
  <c r="BG66" i="6" s="1"/>
  <c r="BF66" i="6" s="1"/>
  <c r="P66" i="6" s="1"/>
  <c r="N181" i="6"/>
  <c r="BH181" i="6"/>
  <c r="BG181" i="6" s="1"/>
  <c r="BF181" i="6" s="1"/>
  <c r="P181" i="6" s="1"/>
  <c r="Q292" i="6"/>
  <c r="BP292" i="6"/>
  <c r="BO292" i="6" s="1"/>
  <c r="BN292" i="6" s="1"/>
  <c r="S292" i="6" s="1"/>
  <c r="Q306" i="6"/>
  <c r="BP306" i="6"/>
  <c r="BO306" i="6" s="1"/>
  <c r="BN306" i="6" s="1"/>
  <c r="S306" i="6" s="1"/>
  <c r="H91" i="6"/>
  <c r="AR91" i="6"/>
  <c r="AQ91" i="6" s="1"/>
  <c r="AP91" i="6" s="1"/>
  <c r="J91" i="6" s="1"/>
  <c r="Q297" i="6"/>
  <c r="BP297" i="6"/>
  <c r="BO297" i="6" s="1"/>
  <c r="BN297" i="6" s="1"/>
  <c r="S297" i="6" s="1"/>
  <c r="N177" i="6"/>
  <c r="BH177" i="6"/>
  <c r="BG177" i="6" s="1"/>
  <c r="BF177" i="6" s="1"/>
  <c r="P177" i="6" s="1"/>
  <c r="H429" i="6"/>
  <c r="AR429" i="6"/>
  <c r="AQ429" i="6" s="1"/>
  <c r="AP429" i="6" s="1"/>
  <c r="J429" i="6" s="1"/>
  <c r="Q188" i="6"/>
  <c r="BP188" i="6"/>
  <c r="BO188" i="6" s="1"/>
  <c r="BN188" i="6" s="1"/>
  <c r="S188" i="6" s="1"/>
  <c r="H368" i="6"/>
  <c r="AR368" i="6"/>
  <c r="AQ368" i="6" s="1"/>
  <c r="AP368" i="6" s="1"/>
  <c r="J368" i="6" s="1"/>
  <c r="N385" i="6"/>
  <c r="BH385" i="6"/>
  <c r="BG385" i="6" s="1"/>
  <c r="BF385" i="6" s="1"/>
  <c r="P385" i="6" s="1"/>
  <c r="N213" i="6"/>
  <c r="BH213" i="6"/>
  <c r="BG213" i="6" s="1"/>
  <c r="BF213" i="6" s="1"/>
  <c r="P213" i="6" s="1"/>
  <c r="Q41" i="6"/>
  <c r="BP41" i="6"/>
  <c r="BO41" i="6" s="1"/>
  <c r="BN41" i="6" s="1"/>
  <c r="S41" i="6" s="1"/>
  <c r="N54" i="6"/>
  <c r="BH54" i="6"/>
  <c r="BG54" i="6" s="1"/>
  <c r="BF54" i="6" s="1"/>
  <c r="P54" i="6" s="1"/>
  <c r="H113" i="6"/>
  <c r="AR113" i="6"/>
  <c r="AQ113" i="6" s="1"/>
  <c r="AP113" i="6" s="1"/>
  <c r="J113" i="6" s="1"/>
  <c r="N291" i="6"/>
  <c r="BH291" i="6"/>
  <c r="BG291" i="6" s="1"/>
  <c r="BF291" i="6" s="1"/>
  <c r="P291" i="6" s="1"/>
  <c r="Q329" i="6"/>
  <c r="BP329" i="6"/>
  <c r="BO329" i="6" s="1"/>
  <c r="BN329" i="6" s="1"/>
  <c r="S329" i="6" s="1"/>
  <c r="H230" i="6"/>
  <c r="AR230" i="6"/>
  <c r="AQ230" i="6" s="1"/>
  <c r="AP230" i="6" s="1"/>
  <c r="J230" i="6" s="1"/>
  <c r="N467" i="6"/>
  <c r="BH467" i="6"/>
  <c r="BG467" i="6" s="1"/>
  <c r="BF467" i="6" s="1"/>
  <c r="P467" i="6" s="1"/>
  <c r="Q149" i="6"/>
  <c r="BP149" i="6"/>
  <c r="BO149" i="6" s="1"/>
  <c r="BN149" i="6" s="1"/>
  <c r="S149" i="6" s="1"/>
  <c r="Q334" i="6"/>
  <c r="BP334" i="6"/>
  <c r="BO334" i="6" s="1"/>
  <c r="BN334" i="6" s="1"/>
  <c r="S334" i="6" s="1"/>
  <c r="N9" i="6"/>
  <c r="BH9" i="6"/>
  <c r="BG9" i="6" s="1"/>
  <c r="BF9" i="6" s="1"/>
  <c r="P9" i="6" s="1"/>
  <c r="N324" i="6"/>
  <c r="BH324" i="6"/>
  <c r="BG324" i="6" s="1"/>
  <c r="BF324" i="6" s="1"/>
  <c r="P324" i="6" s="1"/>
  <c r="H355" i="6"/>
  <c r="AR355" i="6"/>
  <c r="AQ355" i="6" s="1"/>
  <c r="AP355" i="6" s="1"/>
  <c r="J355" i="6" s="1"/>
  <c r="H318" i="6"/>
  <c r="AR318" i="6"/>
  <c r="AQ318" i="6" s="1"/>
  <c r="AP318" i="6" s="1"/>
  <c r="J318" i="6" s="1"/>
  <c r="Q117" i="6"/>
  <c r="BP117" i="6"/>
  <c r="BO117" i="6" s="1"/>
  <c r="BN117" i="6" s="1"/>
  <c r="S117" i="6" s="1"/>
  <c r="N399" i="6"/>
  <c r="BH399" i="6"/>
  <c r="BG399" i="6" s="1"/>
  <c r="BF399" i="6" s="1"/>
  <c r="P399" i="6" s="1"/>
  <c r="H163" i="6"/>
  <c r="AR163" i="6"/>
  <c r="AQ163" i="6" s="1"/>
  <c r="AP163" i="6" s="1"/>
  <c r="J163" i="6" s="1"/>
  <c r="Q287" i="6"/>
  <c r="BP287" i="6"/>
  <c r="BO287" i="6" s="1"/>
  <c r="BN287" i="6" s="1"/>
  <c r="S287" i="6" s="1"/>
  <c r="H371" i="6"/>
  <c r="AR371" i="6"/>
  <c r="AQ371" i="6" s="1"/>
  <c r="AP371" i="6" s="1"/>
  <c r="J371" i="6" s="1"/>
  <c r="Q40" i="6"/>
  <c r="BP40" i="6"/>
  <c r="BO40" i="6" s="1"/>
  <c r="BN40" i="6" s="1"/>
  <c r="S40" i="6" s="1"/>
  <c r="N62" i="6"/>
  <c r="BH62" i="6"/>
  <c r="BG62" i="6" s="1"/>
  <c r="BF62" i="6" s="1"/>
  <c r="P62" i="6" s="1"/>
  <c r="H114" i="6"/>
  <c r="AR114" i="6"/>
  <c r="AQ114" i="6" s="1"/>
  <c r="AP114" i="6" s="1"/>
  <c r="J114" i="6" s="1"/>
  <c r="H417" i="6"/>
  <c r="AR417" i="6"/>
  <c r="AQ417" i="6" s="1"/>
  <c r="AP417" i="6" s="1"/>
  <c r="J417" i="6" s="1"/>
  <c r="H380" i="6"/>
  <c r="AR380" i="6"/>
  <c r="AQ380" i="6" s="1"/>
  <c r="AP380" i="6" s="1"/>
  <c r="J380" i="6" s="1"/>
  <c r="H464" i="6"/>
  <c r="AR464" i="6"/>
  <c r="AQ464" i="6" s="1"/>
  <c r="AP464" i="6" s="1"/>
  <c r="J464" i="6" s="1"/>
  <c r="H290" i="6"/>
  <c r="AR290" i="6"/>
  <c r="AQ290" i="6" s="1"/>
  <c r="AP290" i="6" s="1"/>
  <c r="J290" i="6" s="1"/>
  <c r="H138" i="6"/>
  <c r="AR138" i="6"/>
  <c r="AQ138" i="6" s="1"/>
  <c r="AP138" i="6" s="1"/>
  <c r="J138" i="6" s="1"/>
  <c r="N200" i="6"/>
  <c r="BH200" i="6"/>
  <c r="BG200" i="6" s="1"/>
  <c r="BF200" i="6" s="1"/>
  <c r="P200" i="6" s="1"/>
  <c r="H315" i="6"/>
  <c r="AR315" i="6"/>
  <c r="AQ315" i="6" s="1"/>
  <c r="AP315" i="6" s="1"/>
  <c r="J315" i="6" s="1"/>
  <c r="Q13" i="6"/>
  <c r="BP13" i="6"/>
  <c r="BO13" i="6" s="1"/>
  <c r="BN13" i="6" s="1"/>
  <c r="S13" i="6" s="1"/>
  <c r="Q356" i="6"/>
  <c r="BP356" i="6"/>
  <c r="BO356" i="6" s="1"/>
  <c r="BN356" i="6" s="1"/>
  <c r="S356" i="6" s="1"/>
  <c r="Q382" i="6"/>
  <c r="BP382" i="6"/>
  <c r="BO382" i="6" s="1"/>
  <c r="BN382" i="6" s="1"/>
  <c r="S382" i="6" s="1"/>
  <c r="N80" i="6"/>
  <c r="BH80" i="6"/>
  <c r="BG80" i="6" s="1"/>
  <c r="BF80" i="6" s="1"/>
  <c r="P80" i="6" s="1"/>
  <c r="H341" i="6"/>
  <c r="AR341" i="6"/>
  <c r="AQ341" i="6" s="1"/>
  <c r="AP341" i="6" s="1"/>
  <c r="J341" i="6" s="1"/>
  <c r="N283" i="6"/>
  <c r="BH283" i="6"/>
  <c r="BG283" i="6" s="1"/>
  <c r="BF283" i="6" s="1"/>
  <c r="P283" i="6" s="1"/>
  <c r="Q35" i="6"/>
  <c r="BP35" i="6"/>
  <c r="BO35" i="6" s="1"/>
  <c r="BN35" i="6" s="1"/>
  <c r="S35" i="6" s="1"/>
  <c r="H102" i="6"/>
  <c r="AR102" i="6"/>
  <c r="AQ102" i="6" s="1"/>
  <c r="AP102" i="6" s="1"/>
  <c r="J102" i="6" s="1"/>
  <c r="N143" i="6"/>
  <c r="BH143" i="6"/>
  <c r="BG143" i="6" s="1"/>
  <c r="BF143" i="6" s="1"/>
  <c r="P143" i="6" s="1"/>
  <c r="H171" i="6"/>
  <c r="AR171" i="6"/>
  <c r="AQ171" i="6" s="1"/>
  <c r="AP171" i="6" s="1"/>
  <c r="J171" i="6" s="1"/>
  <c r="N61" i="6"/>
  <c r="BH61" i="6"/>
  <c r="BG61" i="6" s="1"/>
  <c r="BF61" i="6" s="1"/>
  <c r="P61" i="6" s="1"/>
  <c r="H390" i="6"/>
  <c r="AR390" i="6"/>
  <c r="AQ390" i="6" s="1"/>
  <c r="AP390" i="6" s="1"/>
  <c r="J390" i="6" s="1"/>
  <c r="N209" i="6"/>
  <c r="BH209" i="6"/>
  <c r="BG209" i="6" s="1"/>
  <c r="BF209" i="6" s="1"/>
  <c r="P209" i="6" s="1"/>
  <c r="N459" i="6"/>
  <c r="BH459" i="6"/>
  <c r="BG459" i="6" s="1"/>
  <c r="BF459" i="6" s="1"/>
  <c r="P459" i="6" s="1"/>
  <c r="H361" i="6"/>
  <c r="AR361" i="6"/>
  <c r="AQ361" i="6" s="1"/>
  <c r="AP361" i="6" s="1"/>
  <c r="J361" i="6" s="1"/>
  <c r="H457" i="6"/>
  <c r="AR457" i="6"/>
  <c r="AQ457" i="6" s="1"/>
  <c r="AP457" i="6" s="1"/>
  <c r="J457" i="6" s="1"/>
  <c r="N338" i="6"/>
  <c r="BH338" i="6"/>
  <c r="BG338" i="6" s="1"/>
  <c r="BF338" i="6" s="1"/>
  <c r="P338" i="6" s="1"/>
  <c r="N460" i="6"/>
  <c r="BH460" i="6"/>
  <c r="BG460" i="6" s="1"/>
  <c r="BF460" i="6" s="1"/>
  <c r="P460" i="6" s="1"/>
  <c r="N414" i="6"/>
  <c r="BH414" i="6"/>
  <c r="BG414" i="6" s="1"/>
  <c r="BF414" i="6" s="1"/>
  <c r="P414" i="6" s="1"/>
  <c r="Q53" i="6"/>
  <c r="BP53" i="6"/>
  <c r="BO53" i="6" s="1"/>
  <c r="BN53" i="6" s="1"/>
  <c r="S53" i="6" s="1"/>
  <c r="H70" i="6"/>
  <c r="AR70" i="6"/>
  <c r="AQ70" i="6" s="1"/>
  <c r="AP70" i="6" s="1"/>
  <c r="J70" i="6" s="1"/>
  <c r="Q88" i="6"/>
  <c r="BP88" i="6"/>
  <c r="BO88" i="6" s="1"/>
  <c r="BN88" i="6" s="1"/>
  <c r="S88" i="6" s="1"/>
  <c r="Q150" i="6"/>
  <c r="BP150" i="6"/>
  <c r="BO150" i="6" s="1"/>
  <c r="BN150" i="6" s="1"/>
  <c r="S150" i="6" s="1"/>
  <c r="Q20" i="6"/>
  <c r="BP20" i="6"/>
  <c r="BO20" i="6" s="1"/>
  <c r="BN20" i="6" s="1"/>
  <c r="S20" i="6" s="1"/>
  <c r="Q325" i="6"/>
  <c r="BP325" i="6"/>
  <c r="BO325" i="6" s="1"/>
  <c r="BN325" i="6" s="1"/>
  <c r="S325" i="6" s="1"/>
  <c r="Q389" i="6"/>
  <c r="BP389" i="6"/>
  <c r="BO389" i="6" s="1"/>
  <c r="BN389" i="6" s="1"/>
  <c r="S389" i="6" s="1"/>
  <c r="Q148" i="6"/>
  <c r="BP148" i="6"/>
  <c r="BO148" i="6" s="1"/>
  <c r="BN148" i="6" s="1"/>
  <c r="S148" i="6" s="1"/>
  <c r="Q448" i="6"/>
  <c r="BP448" i="6"/>
  <c r="BO448" i="6" s="1"/>
  <c r="BN448" i="6" s="1"/>
  <c r="S448" i="6" s="1"/>
  <c r="Q251" i="6"/>
  <c r="BP251" i="6"/>
  <c r="BO251" i="6" s="1"/>
  <c r="BN251" i="6" s="1"/>
  <c r="S251" i="6" s="1"/>
  <c r="N46" i="6"/>
  <c r="BH46" i="6"/>
  <c r="BG46" i="6" s="1"/>
  <c r="BF46" i="6" s="1"/>
  <c r="P46" i="6" s="1"/>
  <c r="N73" i="6"/>
  <c r="BH73" i="6"/>
  <c r="BG73" i="6" s="1"/>
  <c r="BF73" i="6" s="1"/>
  <c r="P73" i="6" s="1"/>
  <c r="H97" i="6"/>
  <c r="AR97" i="6"/>
  <c r="AQ97" i="6" s="1"/>
  <c r="AP97" i="6" s="1"/>
  <c r="J97" i="6" s="1"/>
  <c r="N456" i="6"/>
  <c r="BH456" i="6"/>
  <c r="BG456" i="6" s="1"/>
  <c r="BF456" i="6" s="1"/>
  <c r="P456" i="6" s="1"/>
  <c r="H154" i="6"/>
  <c r="AR154" i="6"/>
  <c r="AQ154" i="6" s="1"/>
  <c r="AP154" i="6" s="1"/>
  <c r="J154" i="6" s="1"/>
  <c r="H48" i="6"/>
  <c r="AR48" i="6"/>
  <c r="AQ48" i="6" s="1"/>
  <c r="AP48" i="6" s="1"/>
  <c r="J48" i="6" s="1"/>
  <c r="Q244" i="6"/>
  <c r="BP244" i="6"/>
  <c r="BO244" i="6" s="1"/>
  <c r="BN244" i="6" s="1"/>
  <c r="S244" i="6" s="1"/>
  <c r="N323" i="6"/>
  <c r="BH323" i="6"/>
  <c r="BG323" i="6" s="1"/>
  <c r="BF323" i="6" s="1"/>
  <c r="P323" i="6" s="1"/>
  <c r="Q248" i="6"/>
  <c r="BP248" i="6"/>
  <c r="BO248" i="6" s="1"/>
  <c r="BN248" i="6" s="1"/>
  <c r="S248" i="6" s="1"/>
  <c r="H288" i="6"/>
  <c r="AR288" i="6"/>
  <c r="AQ288" i="6" s="1"/>
  <c r="AP288" i="6" s="1"/>
  <c r="J288" i="6" s="1"/>
  <c r="N442" i="6"/>
  <c r="BH442" i="6"/>
  <c r="BG442" i="6" s="1"/>
  <c r="BF442" i="6" s="1"/>
  <c r="P442" i="6" s="1"/>
  <c r="N92" i="6"/>
  <c r="BH92" i="6"/>
  <c r="BG92" i="6" s="1"/>
  <c r="BF92" i="6" s="1"/>
  <c r="P92" i="6" s="1"/>
  <c r="N253" i="6"/>
  <c r="BH253" i="6"/>
  <c r="BG253" i="6" s="1"/>
  <c r="BF253" i="6" s="1"/>
  <c r="P253" i="6" s="1"/>
  <c r="Q441" i="6"/>
  <c r="BP441" i="6"/>
  <c r="BO441" i="6" s="1"/>
  <c r="BN441" i="6" s="1"/>
  <c r="S441" i="6" s="1"/>
  <c r="H375" i="6"/>
  <c r="AR375" i="6"/>
  <c r="AQ375" i="6" s="1"/>
  <c r="AP375" i="6" s="1"/>
  <c r="J375" i="6" s="1"/>
  <c r="N152" i="6"/>
  <c r="BH152" i="6"/>
  <c r="BG152" i="6" s="1"/>
  <c r="BF152" i="6" s="1"/>
  <c r="P152" i="6" s="1"/>
  <c r="H250" i="6"/>
  <c r="AR250" i="6"/>
  <c r="AQ250" i="6" s="1"/>
  <c r="AP250" i="6" s="1"/>
  <c r="J250" i="6" s="1"/>
  <c r="H140" i="6"/>
  <c r="AR140" i="6"/>
  <c r="AQ140" i="6" s="1"/>
  <c r="AP140" i="6" s="1"/>
  <c r="J140" i="6" s="1"/>
  <c r="N225" i="6"/>
  <c r="BH225" i="6"/>
  <c r="BG225" i="6" s="1"/>
  <c r="BF225" i="6" s="1"/>
  <c r="P225" i="6" s="1"/>
  <c r="N63" i="6"/>
  <c r="BH63" i="6"/>
  <c r="BG63" i="6" s="1"/>
  <c r="BF63" i="6" s="1"/>
  <c r="P63" i="6" s="1"/>
  <c r="N176" i="6"/>
  <c r="BH176" i="6"/>
  <c r="BG176" i="6" s="1"/>
  <c r="BF176" i="6" s="1"/>
  <c r="P176" i="6" s="1"/>
  <c r="Q400" i="6"/>
  <c r="BP400" i="6"/>
  <c r="BO400" i="6" s="1"/>
  <c r="BN400" i="6" s="1"/>
  <c r="S400" i="6" s="1"/>
  <c r="Q161" i="6"/>
  <c r="BP161" i="6"/>
  <c r="BO161" i="6" s="1"/>
  <c r="BN161" i="6" s="1"/>
  <c r="S161" i="6" s="1"/>
  <c r="N420" i="6"/>
  <c r="BH420" i="6"/>
  <c r="BG420" i="6" s="1"/>
  <c r="BF420" i="6" s="1"/>
  <c r="P420" i="6" s="1"/>
  <c r="Q107" i="6"/>
  <c r="BP107" i="6"/>
  <c r="BO107" i="6" s="1"/>
  <c r="BN107" i="6" s="1"/>
  <c r="S107" i="6" s="1"/>
  <c r="Q162" i="6"/>
  <c r="BP162" i="6"/>
  <c r="BO162" i="6" s="1"/>
  <c r="BN162" i="6" s="1"/>
  <c r="S162" i="6" s="1"/>
  <c r="N281" i="6"/>
  <c r="BH281" i="6"/>
  <c r="BG281" i="6" s="1"/>
  <c r="BF281" i="6" s="1"/>
  <c r="P281" i="6" s="1"/>
  <c r="H347" i="6"/>
  <c r="AR347" i="6"/>
  <c r="AQ347" i="6" s="1"/>
  <c r="AP347" i="6" s="1"/>
  <c r="J347" i="6" s="1"/>
  <c r="Q186" i="6"/>
  <c r="BP186" i="6"/>
  <c r="BO186" i="6" s="1"/>
  <c r="BN186" i="6" s="1"/>
  <c r="S186" i="6" s="1"/>
  <c r="H353" i="6"/>
  <c r="AR353" i="6"/>
  <c r="AQ353" i="6" s="1"/>
  <c r="AP353" i="6" s="1"/>
  <c r="J353" i="6" s="1"/>
  <c r="N366" i="6"/>
  <c r="BH366" i="6"/>
  <c r="BG366" i="6" s="1"/>
  <c r="BF366" i="6" s="1"/>
  <c r="P366" i="6" s="1"/>
  <c r="H195" i="6"/>
  <c r="AR195" i="6"/>
  <c r="AQ195" i="6" s="1"/>
  <c r="AP195" i="6" s="1"/>
  <c r="J195" i="6" s="1"/>
  <c r="N272" i="6"/>
  <c r="BH272" i="6"/>
  <c r="BG272" i="6" s="1"/>
  <c r="BF272" i="6" s="1"/>
  <c r="P272" i="6" s="1"/>
  <c r="Q436" i="6"/>
  <c r="BP436" i="6"/>
  <c r="BO436" i="6" s="1"/>
  <c r="BN436" i="6" s="1"/>
  <c r="S436" i="6" s="1"/>
  <c r="H206" i="6"/>
  <c r="AR206" i="6"/>
  <c r="AQ206" i="6" s="1"/>
  <c r="AP206" i="6" s="1"/>
  <c r="J206" i="6" s="1"/>
  <c r="H438" i="6"/>
  <c r="AR438" i="6"/>
  <c r="AQ438" i="6" s="1"/>
  <c r="AP438" i="6" s="1"/>
  <c r="J438" i="6" s="1"/>
  <c r="H126" i="6"/>
  <c r="AR126" i="6"/>
  <c r="AQ126" i="6" s="1"/>
  <c r="AP126" i="6" s="1"/>
  <c r="J126" i="6" s="1"/>
  <c r="Q360" i="6"/>
  <c r="BP360" i="6"/>
  <c r="BO360" i="6" s="1"/>
  <c r="BN360" i="6" s="1"/>
  <c r="S360" i="6" s="1"/>
  <c r="Q155" i="6"/>
  <c r="BP155" i="6"/>
  <c r="BO155" i="6" s="1"/>
  <c r="BN155" i="6" s="1"/>
  <c r="S155" i="6" s="1"/>
  <c r="H235" i="6"/>
  <c r="AR235" i="6"/>
  <c r="AQ235" i="6" s="1"/>
  <c r="AP235" i="6" s="1"/>
  <c r="J235" i="6" s="1"/>
  <c r="H133" i="6"/>
  <c r="AR133" i="6"/>
  <c r="AQ133" i="6" s="1"/>
  <c r="AP133" i="6" s="1"/>
  <c r="J133" i="6" s="1"/>
  <c r="Q393" i="6"/>
  <c r="BP393" i="6"/>
  <c r="BO393" i="6" s="1"/>
  <c r="BN393" i="6" s="1"/>
  <c r="S393" i="6" s="1"/>
  <c r="H391" i="6"/>
  <c r="AR391" i="6"/>
  <c r="AQ391" i="6" s="1"/>
  <c r="AP391" i="6" s="1"/>
  <c r="J391" i="6" s="1"/>
  <c r="N386" i="6"/>
  <c r="BH386" i="6"/>
  <c r="BG386" i="6" s="1"/>
  <c r="BF386" i="6" s="1"/>
  <c r="P386" i="6" s="1"/>
  <c r="H409" i="6"/>
  <c r="AR409" i="6"/>
  <c r="AQ409" i="6" s="1"/>
  <c r="AP409" i="6" s="1"/>
  <c r="J409" i="6" s="1"/>
  <c r="N402" i="6"/>
  <c r="BH402" i="6"/>
  <c r="BG402" i="6" s="1"/>
  <c r="BF402" i="6" s="1"/>
  <c r="P402" i="6" s="1"/>
  <c r="H221" i="6"/>
  <c r="AR221" i="6"/>
  <c r="AQ221" i="6" s="1"/>
  <c r="AP221" i="6" s="1"/>
  <c r="J221" i="6" s="1"/>
  <c r="N249" i="6"/>
  <c r="BH249" i="6"/>
  <c r="BG249" i="6" s="1"/>
  <c r="BF249" i="6" s="1"/>
  <c r="P249" i="6" s="1"/>
  <c r="Q377" i="6"/>
  <c r="BP377" i="6"/>
  <c r="BO377" i="6" s="1"/>
  <c r="BN377" i="6" s="1"/>
  <c r="S377" i="6" s="1"/>
  <c r="N357" i="6"/>
  <c r="BH357" i="6"/>
  <c r="BG357" i="6" s="1"/>
  <c r="BF357" i="6" s="1"/>
  <c r="P357" i="6" s="1"/>
  <c r="Q36" i="6"/>
  <c r="BP36" i="6"/>
  <c r="BO36" i="6" s="1"/>
  <c r="BN36" i="6" s="1"/>
  <c r="S36" i="6" s="1"/>
  <c r="H10" i="6"/>
  <c r="AR10" i="6"/>
  <c r="AQ10" i="6" s="1"/>
  <c r="AP10" i="6" s="1"/>
  <c r="J10" i="6" s="1"/>
  <c r="N351" i="6"/>
  <c r="BH351" i="6"/>
  <c r="BG351" i="6" s="1"/>
  <c r="BF351" i="6" s="1"/>
  <c r="P351" i="6" s="1"/>
  <c r="Q52" i="6"/>
  <c r="BP52" i="6"/>
  <c r="BO52" i="6" s="1"/>
  <c r="BN52" i="6" s="1"/>
  <c r="S52" i="6" s="1"/>
  <c r="Q121" i="6"/>
  <c r="BP121" i="6"/>
  <c r="BO121" i="6" s="1"/>
  <c r="BN121" i="6" s="1"/>
  <c r="S121" i="6" s="1"/>
  <c r="N14" i="6"/>
  <c r="BH14" i="6"/>
  <c r="BG14" i="6" s="1"/>
  <c r="BF14" i="6" s="1"/>
  <c r="P14" i="6" s="1"/>
  <c r="Q358" i="6"/>
  <c r="BP358" i="6"/>
  <c r="BO358" i="6" s="1"/>
  <c r="BN358" i="6" s="1"/>
  <c r="S358" i="6" s="1"/>
  <c r="N239" i="6"/>
  <c r="BH239" i="6"/>
  <c r="BG239" i="6" s="1"/>
  <c r="BF239" i="6" s="1"/>
  <c r="P239" i="6" s="1"/>
  <c r="Q77" i="6"/>
  <c r="BP77" i="6"/>
  <c r="BO77" i="6" s="1"/>
  <c r="BN77" i="6" s="1"/>
  <c r="S77" i="6" s="1"/>
  <c r="N116" i="6"/>
  <c r="BH116" i="6"/>
  <c r="BG116" i="6" s="1"/>
  <c r="BF116" i="6" s="1"/>
  <c r="P116" i="6" s="1"/>
  <c r="Q183" i="6"/>
  <c r="BP183" i="6"/>
  <c r="BO183" i="6" s="1"/>
  <c r="BN183" i="6" s="1"/>
  <c r="S183" i="6" s="1"/>
  <c r="Q395" i="6"/>
  <c r="BP395" i="6"/>
  <c r="BO395" i="6" s="1"/>
  <c r="BN395" i="6" s="1"/>
  <c r="S395" i="6" s="1"/>
  <c r="N101" i="6"/>
  <c r="BH101" i="6"/>
  <c r="BG101" i="6" s="1"/>
  <c r="BF101" i="6" s="1"/>
  <c r="P101" i="6" s="1"/>
  <c r="N223" i="6"/>
  <c r="BH223" i="6"/>
  <c r="BG223" i="6" s="1"/>
  <c r="BF223" i="6" s="1"/>
  <c r="P223" i="6" s="1"/>
  <c r="H103" i="6"/>
  <c r="AR103" i="6"/>
  <c r="AQ103" i="6" s="1"/>
  <c r="AP103" i="6" s="1"/>
  <c r="J103" i="6" s="1"/>
  <c r="H66" i="6"/>
  <c r="AR66" i="6"/>
  <c r="AQ66" i="6" s="1"/>
  <c r="AP66" i="6" s="1"/>
  <c r="J66" i="6" s="1"/>
  <c r="Q181" i="6"/>
  <c r="BP181" i="6"/>
  <c r="BO181" i="6" s="1"/>
  <c r="BN181" i="6" s="1"/>
  <c r="S181" i="6" s="1"/>
  <c r="N210" i="6"/>
  <c r="BH210" i="6"/>
  <c r="BG210" i="6" s="1"/>
  <c r="BF210" i="6" s="1"/>
  <c r="P210" i="6" s="1"/>
  <c r="N435" i="6"/>
  <c r="BH435" i="6"/>
  <c r="BG435" i="6" s="1"/>
  <c r="BF435" i="6" s="1"/>
  <c r="P435" i="6" s="1"/>
  <c r="N306" i="6"/>
  <c r="BH306" i="6"/>
  <c r="BG306" i="6" s="1"/>
  <c r="BF306" i="6" s="1"/>
  <c r="P306" i="6" s="1"/>
  <c r="H178" i="6"/>
  <c r="AR178" i="6"/>
  <c r="AQ178" i="6" s="1"/>
  <c r="AP178" i="6" s="1"/>
  <c r="J178" i="6" s="1"/>
  <c r="Q58" i="6"/>
  <c r="BP58" i="6"/>
  <c r="BO58" i="6" s="1"/>
  <c r="BN58" i="6" s="1"/>
  <c r="S58" i="6" s="1"/>
  <c r="N198" i="6"/>
  <c r="BH198" i="6"/>
  <c r="BG198" i="6" s="1"/>
  <c r="BF198" i="6" s="1"/>
  <c r="P198" i="6" s="1"/>
  <c r="H45" i="6"/>
  <c r="AR45" i="6"/>
  <c r="AQ45" i="6" s="1"/>
  <c r="AP45" i="6" s="1"/>
  <c r="J45" i="6" s="1"/>
  <c r="N237" i="6"/>
  <c r="BH237" i="6"/>
  <c r="BG237" i="6" s="1"/>
  <c r="BF237" i="6" s="1"/>
  <c r="P237" i="6" s="1"/>
  <c r="H434" i="6"/>
  <c r="AR434" i="6"/>
  <c r="AQ434" i="6" s="1"/>
  <c r="AP434" i="6" s="1"/>
  <c r="J434" i="6" s="1"/>
  <c r="Q385" i="6"/>
  <c r="BP385" i="6"/>
  <c r="BO385" i="6" s="1"/>
  <c r="BN385" i="6" s="1"/>
  <c r="S385" i="6" s="1"/>
  <c r="H213" i="6"/>
  <c r="AR213" i="6"/>
  <c r="AQ213" i="6" s="1"/>
  <c r="AP213" i="6" s="1"/>
  <c r="J213" i="6" s="1"/>
  <c r="N309" i="6"/>
  <c r="BH309" i="6"/>
  <c r="BG309" i="6" s="1"/>
  <c r="BF309" i="6" s="1"/>
  <c r="P309" i="6" s="1"/>
  <c r="H54" i="6"/>
  <c r="AR54" i="6"/>
  <c r="AQ54" i="6" s="1"/>
  <c r="AP54" i="6" s="1"/>
  <c r="J54" i="6" s="1"/>
  <c r="Q291" i="6"/>
  <c r="BP291" i="6"/>
  <c r="BO291" i="6" s="1"/>
  <c r="BN291" i="6" s="1"/>
  <c r="S291" i="6" s="1"/>
  <c r="H329" i="6"/>
  <c r="AR329" i="6"/>
  <c r="AQ329" i="6" s="1"/>
  <c r="AP329" i="6" s="1"/>
  <c r="J329" i="6" s="1"/>
  <c r="N230" i="6"/>
  <c r="BH230" i="6"/>
  <c r="BG230" i="6" s="1"/>
  <c r="BF230" i="6" s="1"/>
  <c r="P230" i="6" s="1"/>
  <c r="Q467" i="6"/>
  <c r="BP467" i="6"/>
  <c r="BO467" i="6" s="1"/>
  <c r="BN467" i="6" s="1"/>
  <c r="S467" i="6" s="1"/>
  <c r="H93" i="6"/>
  <c r="AR93" i="6"/>
  <c r="AQ93" i="6" s="1"/>
  <c r="AP93" i="6" s="1"/>
  <c r="J93" i="6" s="1"/>
  <c r="H31" i="6"/>
  <c r="AR31" i="6"/>
  <c r="AQ31" i="6" s="1"/>
  <c r="AP31" i="6" s="1"/>
  <c r="J31" i="6" s="1"/>
  <c r="N254" i="6"/>
  <c r="BH254" i="6"/>
  <c r="BG254" i="6" s="1"/>
  <c r="BF254" i="6" s="1"/>
  <c r="P254" i="6" s="1"/>
  <c r="N301" i="6"/>
  <c r="BH301" i="6"/>
  <c r="BG301" i="6" s="1"/>
  <c r="BF301" i="6" s="1"/>
  <c r="P301" i="6" s="1"/>
  <c r="N392" i="6"/>
  <c r="BH392" i="6"/>
  <c r="BG392" i="6" s="1"/>
  <c r="BF392" i="6" s="1"/>
  <c r="P392" i="6" s="1"/>
  <c r="Q9" i="6"/>
  <c r="BP9" i="6"/>
  <c r="BO9" i="6" s="1"/>
  <c r="BN9" i="6" s="1"/>
  <c r="S9" i="6" s="1"/>
  <c r="H158" i="6"/>
  <c r="AR158" i="6"/>
  <c r="AQ158" i="6" s="1"/>
  <c r="AP158" i="6" s="1"/>
  <c r="J158" i="6" s="1"/>
  <c r="Q324" i="6"/>
  <c r="BP324" i="6"/>
  <c r="BO324" i="6" s="1"/>
  <c r="BN324" i="6" s="1"/>
  <c r="S324" i="6" s="1"/>
  <c r="N439" i="6"/>
  <c r="BH439" i="6"/>
  <c r="BG439" i="6" s="1"/>
  <c r="BF439" i="6" s="1"/>
  <c r="P439" i="6" s="1"/>
  <c r="Q318" i="6"/>
  <c r="BP318" i="6"/>
  <c r="BO318" i="6" s="1"/>
  <c r="BN318" i="6" s="1"/>
  <c r="S318" i="6" s="1"/>
  <c r="N265" i="6"/>
  <c r="BH265" i="6"/>
  <c r="BG265" i="6" s="1"/>
  <c r="BF265" i="6" s="1"/>
  <c r="P265" i="6" s="1"/>
  <c r="N115" i="6"/>
  <c r="BH115" i="6"/>
  <c r="BG115" i="6" s="1"/>
  <c r="BF115" i="6" s="1"/>
  <c r="P115" i="6" s="1"/>
  <c r="Q399" i="6"/>
  <c r="BP399" i="6"/>
  <c r="BO399" i="6" s="1"/>
  <c r="BN399" i="6" s="1"/>
  <c r="S399" i="6" s="1"/>
  <c r="H340" i="6"/>
  <c r="AR340" i="6"/>
  <c r="AQ340" i="6" s="1"/>
  <c r="AP340" i="6" s="1"/>
  <c r="J340" i="6" s="1"/>
  <c r="H108" i="6"/>
  <c r="AR108" i="6"/>
  <c r="AQ108" i="6" s="1"/>
  <c r="AP108" i="6" s="1"/>
  <c r="J108" i="6" s="1"/>
  <c r="N293" i="6"/>
  <c r="BH293" i="6"/>
  <c r="BG293" i="6" s="1"/>
  <c r="BF293" i="6" s="1"/>
  <c r="P293" i="6" s="1"/>
  <c r="H62" i="6"/>
  <c r="AR62" i="6"/>
  <c r="AQ62" i="6" s="1"/>
  <c r="AP62" i="6" s="1"/>
  <c r="J62" i="6" s="1"/>
  <c r="N320" i="6"/>
  <c r="BH320" i="6"/>
  <c r="BG320" i="6" s="1"/>
  <c r="BF320" i="6" s="1"/>
  <c r="P320" i="6" s="1"/>
  <c r="N461" i="6"/>
  <c r="BH461" i="6"/>
  <c r="BG461" i="6" s="1"/>
  <c r="BF461" i="6" s="1"/>
  <c r="P461" i="6" s="1"/>
  <c r="N24" i="6"/>
  <c r="BH24" i="6"/>
  <c r="BG24" i="6" s="1"/>
  <c r="BF24" i="6" s="1"/>
  <c r="P24" i="6" s="1"/>
  <c r="N16" i="6"/>
  <c r="BH16" i="6"/>
  <c r="BG16" i="6" s="1"/>
  <c r="BF16" i="6" s="1"/>
  <c r="P16" i="6" s="1"/>
  <c r="H419" i="6"/>
  <c r="AR419" i="6"/>
  <c r="AQ419" i="6" s="1"/>
  <c r="AP419" i="6" s="1"/>
  <c r="J419" i="6" s="1"/>
  <c r="Q380" i="6"/>
  <c r="BP380" i="6"/>
  <c r="BO380" i="6" s="1"/>
  <c r="BN380" i="6" s="1"/>
  <c r="S380" i="6" s="1"/>
  <c r="Q174" i="6"/>
  <c r="BP174" i="6"/>
  <c r="BO174" i="6" s="1"/>
  <c r="BN174" i="6" s="1"/>
  <c r="S174" i="6" s="1"/>
  <c r="Q315" i="6"/>
  <c r="BP315" i="6"/>
  <c r="BO315" i="6" s="1"/>
  <c r="BN315" i="6" s="1"/>
  <c r="S315" i="6" s="1"/>
  <c r="N111" i="6"/>
  <c r="BH111" i="6"/>
  <c r="BG111" i="6" s="1"/>
  <c r="BF111" i="6" s="1"/>
  <c r="P111" i="6" s="1"/>
  <c r="H175" i="6"/>
  <c r="AR175" i="6"/>
  <c r="AQ175" i="6" s="1"/>
  <c r="AP175" i="6" s="1"/>
  <c r="J175" i="6" s="1"/>
  <c r="N131" i="6"/>
  <c r="BH131" i="6"/>
  <c r="BG131" i="6" s="1"/>
  <c r="BF131" i="6" s="1"/>
  <c r="P131" i="6" s="1"/>
  <c r="N118" i="6"/>
  <c r="BH118" i="6"/>
  <c r="BG118" i="6" s="1"/>
  <c r="BF118" i="6" s="1"/>
  <c r="P118" i="6" s="1"/>
  <c r="H282" i="6"/>
  <c r="AR282" i="6"/>
  <c r="AQ282" i="6" s="1"/>
  <c r="AP282" i="6" s="1"/>
  <c r="J282" i="6" s="1"/>
  <c r="H382" i="6"/>
  <c r="AR382" i="6"/>
  <c r="AQ382" i="6" s="1"/>
  <c r="AP382" i="6" s="1"/>
  <c r="J382" i="6" s="1"/>
  <c r="N137" i="6"/>
  <c r="BH137" i="6"/>
  <c r="BG137" i="6" s="1"/>
  <c r="BF137" i="6" s="1"/>
  <c r="P137" i="6" s="1"/>
  <c r="H85" i="6"/>
  <c r="AR85" i="6"/>
  <c r="AQ85" i="6" s="1"/>
  <c r="AP85" i="6" s="1"/>
  <c r="J85" i="6" s="1"/>
  <c r="N104" i="6"/>
  <c r="BH104" i="6"/>
  <c r="BG104" i="6" s="1"/>
  <c r="BF104" i="6" s="1"/>
  <c r="P104" i="6" s="1"/>
  <c r="Q283" i="6"/>
  <c r="BP283" i="6"/>
  <c r="BO283" i="6" s="1"/>
  <c r="BN283" i="6" s="1"/>
  <c r="S283" i="6" s="1"/>
  <c r="N102" i="6"/>
  <c r="BH102" i="6"/>
  <c r="BG102" i="6" s="1"/>
  <c r="BF102" i="6" s="1"/>
  <c r="P102" i="6" s="1"/>
  <c r="N328" i="6"/>
  <c r="BH328" i="6"/>
  <c r="BG328" i="6" s="1"/>
  <c r="BF328" i="6" s="1"/>
  <c r="P328" i="6" s="1"/>
  <c r="Q445" i="6"/>
  <c r="BP445" i="6"/>
  <c r="BO445" i="6" s="1"/>
  <c r="BN445" i="6" s="1"/>
  <c r="S445" i="6" s="1"/>
  <c r="N258" i="6"/>
  <c r="BH258" i="6"/>
  <c r="BG258" i="6" s="1"/>
  <c r="BF258" i="6" s="1"/>
  <c r="P258" i="6" s="1"/>
  <c r="H209" i="6"/>
  <c r="AR209" i="6"/>
  <c r="AQ209" i="6" s="1"/>
  <c r="AP209" i="6" s="1"/>
  <c r="J209" i="6" s="1"/>
  <c r="Q47" i="6"/>
  <c r="BP47" i="6"/>
  <c r="BO47" i="6" s="1"/>
  <c r="BN47" i="6" s="1"/>
  <c r="S47" i="6" s="1"/>
  <c r="Q459" i="6"/>
  <c r="BP459" i="6"/>
  <c r="BO459" i="6" s="1"/>
  <c r="BN459" i="6" s="1"/>
  <c r="S459" i="6" s="1"/>
  <c r="N211" i="6"/>
  <c r="BH211" i="6"/>
  <c r="BG211" i="6" s="1"/>
  <c r="BF211" i="6" s="1"/>
  <c r="P211" i="6" s="1"/>
  <c r="Q21" i="6"/>
  <c r="BP21" i="6"/>
  <c r="BO21" i="6" s="1"/>
  <c r="BN21" i="6" s="1"/>
  <c r="S21" i="6" s="1"/>
  <c r="H220" i="6"/>
  <c r="AR220" i="6"/>
  <c r="AQ220" i="6" s="1"/>
  <c r="AP220" i="6" s="1"/>
  <c r="J220" i="6" s="1"/>
  <c r="N408" i="6"/>
  <c r="BH408" i="6"/>
  <c r="BG408" i="6" s="1"/>
  <c r="BF408" i="6" s="1"/>
  <c r="P408" i="6" s="1"/>
  <c r="N202" i="6"/>
  <c r="BH202" i="6"/>
  <c r="BG202" i="6" s="1"/>
  <c r="BF202" i="6" s="1"/>
  <c r="P202" i="6" s="1"/>
  <c r="N106" i="6"/>
  <c r="BH106" i="6"/>
  <c r="BG106" i="6" s="1"/>
  <c r="BF106" i="6" s="1"/>
  <c r="P106" i="6" s="1"/>
  <c r="N166" i="6"/>
  <c r="BH166" i="6"/>
  <c r="BG166" i="6" s="1"/>
  <c r="BF166" i="6" s="1"/>
  <c r="P166" i="6" s="1"/>
  <c r="Q414" i="6"/>
  <c r="BP414" i="6"/>
  <c r="BO414" i="6" s="1"/>
  <c r="BN414" i="6" s="1"/>
  <c r="S414" i="6" s="1"/>
  <c r="Q95" i="6"/>
  <c r="BP95" i="6"/>
  <c r="BO95" i="6" s="1"/>
  <c r="BN95" i="6" s="1"/>
  <c r="S95" i="6" s="1"/>
  <c r="H192" i="6"/>
  <c r="AR192" i="6"/>
  <c r="AQ192" i="6" s="1"/>
  <c r="AP192" i="6" s="1"/>
  <c r="J192" i="6" s="1"/>
  <c r="H444" i="6"/>
  <c r="AR444" i="6"/>
  <c r="AQ444" i="6" s="1"/>
  <c r="AP444" i="6" s="1"/>
  <c r="J444" i="6" s="1"/>
  <c r="H280" i="6"/>
  <c r="AR280" i="6"/>
  <c r="AQ280" i="6" s="1"/>
  <c r="AP280" i="6" s="1"/>
  <c r="J280" i="6" s="1"/>
  <c r="H325" i="6"/>
  <c r="AR325" i="6"/>
  <c r="AQ325" i="6" s="1"/>
  <c r="AP325" i="6" s="1"/>
  <c r="J325" i="6" s="1"/>
  <c r="H465" i="6"/>
  <c r="AR465" i="6"/>
  <c r="AQ465" i="6" s="1"/>
  <c r="AP465" i="6" s="1"/>
  <c r="J465" i="6" s="1"/>
  <c r="H251" i="6"/>
  <c r="AR251" i="6"/>
  <c r="AQ251" i="6" s="1"/>
  <c r="AP251" i="6" s="1"/>
  <c r="J251" i="6" s="1"/>
  <c r="H46" i="6"/>
  <c r="AR46" i="6"/>
  <c r="AQ46" i="6" s="1"/>
  <c r="AP46" i="6" s="1"/>
  <c r="J46" i="6" s="1"/>
  <c r="N196" i="6"/>
  <c r="BH196" i="6"/>
  <c r="BG196" i="6" s="1"/>
  <c r="BF196" i="6" s="1"/>
  <c r="P196" i="6" s="1"/>
  <c r="H257" i="6"/>
  <c r="AR257" i="6"/>
  <c r="AQ257" i="6" s="1"/>
  <c r="AP257" i="6" s="1"/>
  <c r="J257" i="6" s="1"/>
  <c r="H456" i="6"/>
  <c r="AR456" i="6"/>
  <c r="AQ456" i="6" s="1"/>
  <c r="AP456" i="6" s="1"/>
  <c r="J456" i="6" s="1"/>
  <c r="N145" i="6"/>
  <c r="BH145" i="6"/>
  <c r="BG145" i="6" s="1"/>
  <c r="BF145" i="6" s="1"/>
  <c r="P145" i="6" s="1"/>
  <c r="Q217" i="6"/>
  <c r="BP217" i="6"/>
  <c r="BO217" i="6" s="1"/>
  <c r="BN217" i="6" s="1"/>
  <c r="S217" i="6" s="1"/>
  <c r="N100" i="6"/>
  <c r="BH100" i="6"/>
  <c r="BG100" i="6" s="1"/>
  <c r="BF100" i="6" s="1"/>
  <c r="P100" i="6" s="1"/>
  <c r="Q323" i="6"/>
  <c r="BP323" i="6"/>
  <c r="BO323" i="6" s="1"/>
  <c r="BN323" i="6" s="1"/>
  <c r="S323" i="6" s="1"/>
  <c r="Q189" i="6"/>
  <c r="BP189" i="6"/>
  <c r="BO189" i="6" s="1"/>
  <c r="BN189" i="6" s="1"/>
  <c r="S189" i="6" s="1"/>
  <c r="N151" i="6"/>
  <c r="BH151" i="6"/>
  <c r="BG151" i="6" s="1"/>
  <c r="BF151" i="6" s="1"/>
  <c r="P151" i="6" s="1"/>
  <c r="H248" i="6"/>
  <c r="AR248" i="6"/>
  <c r="AQ248" i="6" s="1"/>
  <c r="AP248" i="6" s="1"/>
  <c r="J248" i="6" s="1"/>
  <c r="H168" i="6"/>
  <c r="AR168" i="6"/>
  <c r="AQ168" i="6" s="1"/>
  <c r="AP168" i="6" s="1"/>
  <c r="J168" i="6" s="1"/>
  <c r="Q253" i="6"/>
  <c r="BP253" i="6"/>
  <c r="BO253" i="6" s="1"/>
  <c r="BN253" i="6" s="1"/>
  <c r="S253" i="6" s="1"/>
  <c r="Q127" i="6"/>
  <c r="BP127" i="6"/>
  <c r="BO127" i="6" s="1"/>
  <c r="BN127" i="6" s="1"/>
  <c r="S127" i="6" s="1"/>
  <c r="Q152" i="6"/>
  <c r="BP152" i="6"/>
  <c r="BO152" i="6" s="1"/>
  <c r="BN152" i="6" s="1"/>
  <c r="S152" i="6" s="1"/>
  <c r="H423" i="6"/>
  <c r="AR423" i="6"/>
  <c r="AQ423" i="6" s="1"/>
  <c r="AP423" i="6" s="1"/>
  <c r="J423" i="6" s="1"/>
  <c r="Q176" i="6"/>
  <c r="BP176" i="6"/>
  <c r="BO176" i="6" s="1"/>
  <c r="BN176" i="6" s="1"/>
  <c r="S176" i="6" s="1"/>
  <c r="H335" i="6"/>
  <c r="AR335" i="6"/>
  <c r="AQ335" i="6" s="1"/>
  <c r="AP335" i="6" s="1"/>
  <c r="J335" i="6" s="1"/>
  <c r="N226" i="6"/>
  <c r="BH226" i="6"/>
  <c r="BG226" i="6" s="1"/>
  <c r="BF226" i="6" s="1"/>
  <c r="P226" i="6" s="1"/>
  <c r="H400" i="6"/>
  <c r="AR400" i="6"/>
  <c r="AQ400" i="6" s="1"/>
  <c r="AP400" i="6" s="1"/>
  <c r="J400" i="6" s="1"/>
  <c r="H388" i="6"/>
  <c r="AR388" i="6"/>
  <c r="AQ388" i="6" s="1"/>
  <c r="AP388" i="6" s="1"/>
  <c r="J388" i="6" s="1"/>
  <c r="H107" i="6"/>
  <c r="AR107" i="6"/>
  <c r="AQ107" i="6" s="1"/>
  <c r="AP107" i="6" s="1"/>
  <c r="J107" i="6" s="1"/>
  <c r="Q281" i="6"/>
  <c r="BP281" i="6"/>
  <c r="BO281" i="6" s="1"/>
  <c r="BN281" i="6" s="1"/>
  <c r="S281" i="6" s="1"/>
  <c r="H51" i="6"/>
  <c r="AR51" i="6"/>
  <c r="AQ51" i="6" s="1"/>
  <c r="AP51" i="6" s="1"/>
  <c r="J51" i="6" s="1"/>
  <c r="H264" i="6"/>
  <c r="AR264" i="6"/>
  <c r="AQ264" i="6" s="1"/>
  <c r="AP264" i="6" s="1"/>
  <c r="J264" i="6" s="1"/>
  <c r="N381" i="6"/>
  <c r="BH381" i="6"/>
  <c r="BG381" i="6" s="1"/>
  <c r="BF381" i="6" s="1"/>
  <c r="P381" i="6" s="1"/>
  <c r="N468" i="6"/>
  <c r="BH468" i="6"/>
  <c r="BG468" i="6" s="1"/>
  <c r="BF468" i="6" s="1"/>
  <c r="P468" i="6" s="1"/>
  <c r="Q206" i="6"/>
  <c r="BP206" i="6"/>
  <c r="BO206" i="6" s="1"/>
  <c r="BN206" i="6" s="1"/>
  <c r="S206" i="6" s="1"/>
  <c r="N326" i="6"/>
  <c r="BH326" i="6"/>
  <c r="BG326" i="6" s="1"/>
  <c r="BF326" i="6" s="1"/>
  <c r="P326" i="6" s="1"/>
  <c r="N443" i="6"/>
  <c r="BH443" i="6"/>
  <c r="BG443" i="6" s="1"/>
  <c r="BF443" i="6" s="1"/>
  <c r="P443" i="6" s="1"/>
  <c r="H182" i="6"/>
  <c r="AR182" i="6"/>
  <c r="AQ182" i="6" s="1"/>
  <c r="AP182" i="6" s="1"/>
  <c r="J182" i="6" s="1"/>
  <c r="H331" i="6"/>
  <c r="AR331" i="6"/>
  <c r="AQ331" i="6" s="1"/>
  <c r="AP331" i="6" s="1"/>
  <c r="J331" i="6" s="1"/>
  <c r="N349" i="6"/>
  <c r="BH349" i="6"/>
  <c r="BG349" i="6" s="1"/>
  <c r="BF349" i="6" s="1"/>
  <c r="P349" i="6" s="1"/>
  <c r="Q221" i="6"/>
  <c r="BP221" i="6"/>
  <c r="BO221" i="6" s="1"/>
  <c r="BN221" i="6" s="1"/>
  <c r="S221" i="6" s="1"/>
  <c r="Q249" i="6"/>
  <c r="BP249" i="6"/>
  <c r="BO249" i="6" s="1"/>
  <c r="BN249" i="6" s="1"/>
  <c r="S249" i="6" s="1"/>
  <c r="Q343" i="6"/>
  <c r="BP343" i="6"/>
  <c r="BO343" i="6" s="1"/>
  <c r="BN343" i="6" s="1"/>
  <c r="S343" i="6" s="1"/>
  <c r="H214" i="6"/>
  <c r="AR214" i="6"/>
  <c r="AQ214" i="6" s="1"/>
  <c r="AP214" i="6" s="1"/>
  <c r="J214" i="6" s="1"/>
  <c r="Q357" i="6"/>
  <c r="BP357" i="6"/>
  <c r="BO357" i="6" s="1"/>
  <c r="BN357" i="6" s="1"/>
  <c r="S357" i="6" s="1"/>
  <c r="H36" i="6"/>
  <c r="AR36" i="6"/>
  <c r="AQ36" i="6" s="1"/>
  <c r="AP36" i="6" s="1"/>
  <c r="J36" i="6" s="1"/>
  <c r="H430" i="6"/>
  <c r="AR430" i="6"/>
  <c r="AQ430" i="6" s="1"/>
  <c r="AP430" i="6" s="1"/>
  <c r="J430" i="6" s="1"/>
  <c r="Q351" i="6"/>
  <c r="BP351" i="6"/>
  <c r="BO351" i="6" s="1"/>
  <c r="BN351" i="6" s="1"/>
  <c r="S351" i="6" s="1"/>
  <c r="Q49" i="6"/>
  <c r="BP49" i="6"/>
  <c r="BO49" i="6" s="1"/>
  <c r="BN49" i="6" s="1"/>
  <c r="S49" i="6" s="1"/>
  <c r="Q204" i="6"/>
  <c r="BP204" i="6"/>
  <c r="BO204" i="6" s="1"/>
  <c r="BN204" i="6" s="1"/>
  <c r="S204" i="6" s="1"/>
  <c r="N203" i="6"/>
  <c r="BH203" i="6"/>
  <c r="BG203" i="6" s="1"/>
  <c r="BF203" i="6" s="1"/>
  <c r="P203" i="6" s="1"/>
  <c r="N121" i="6"/>
  <c r="BH121" i="6"/>
  <c r="BG121" i="6" s="1"/>
  <c r="BF121" i="6" s="1"/>
  <c r="P121" i="6" s="1"/>
  <c r="Q314" i="6"/>
  <c r="BP314" i="6"/>
  <c r="BO314" i="6" s="1"/>
  <c r="BN314" i="6" s="1"/>
  <c r="S314" i="6" s="1"/>
  <c r="H358" i="6"/>
  <c r="AR358" i="6"/>
  <c r="AQ358" i="6" s="1"/>
  <c r="AP358" i="6" s="1"/>
  <c r="J358" i="6" s="1"/>
  <c r="Q239" i="6"/>
  <c r="BP239" i="6"/>
  <c r="BO239" i="6" s="1"/>
  <c r="BN239" i="6" s="1"/>
  <c r="S239" i="6" s="1"/>
  <c r="N222" i="6"/>
  <c r="BH222" i="6"/>
  <c r="BG222" i="6" s="1"/>
  <c r="BF222" i="6" s="1"/>
  <c r="P222" i="6" s="1"/>
  <c r="Q71" i="6"/>
  <c r="BP71" i="6"/>
  <c r="BO71" i="6" s="1"/>
  <c r="BN71" i="6" s="1"/>
  <c r="S71" i="6" s="1"/>
  <c r="H116" i="6"/>
  <c r="AR116" i="6"/>
  <c r="AQ116" i="6" s="1"/>
  <c r="AP116" i="6" s="1"/>
  <c r="J116" i="6" s="1"/>
  <c r="N183" i="6"/>
  <c r="BH183" i="6"/>
  <c r="BG183" i="6" s="1"/>
  <c r="BF183" i="6" s="1"/>
  <c r="P183" i="6" s="1"/>
  <c r="H395" i="6"/>
  <c r="AR395" i="6"/>
  <c r="AQ395" i="6" s="1"/>
  <c r="AP395" i="6" s="1"/>
  <c r="J395" i="6" s="1"/>
  <c r="Q30" i="6"/>
  <c r="BP30" i="6"/>
  <c r="BO30" i="6" s="1"/>
  <c r="BN30" i="6" s="1"/>
  <c r="S30" i="6" s="1"/>
  <c r="Q101" i="6"/>
  <c r="BP101" i="6"/>
  <c r="BO101" i="6" s="1"/>
  <c r="BN101" i="6" s="1"/>
  <c r="S101" i="6" s="1"/>
  <c r="H292" i="6"/>
  <c r="AR292" i="6"/>
  <c r="AQ292" i="6" s="1"/>
  <c r="AP292" i="6" s="1"/>
  <c r="J292" i="6" s="1"/>
  <c r="H412" i="6"/>
  <c r="AR412" i="6"/>
  <c r="AQ412" i="6" s="1"/>
  <c r="AP412" i="6" s="1"/>
  <c r="J412" i="6" s="1"/>
  <c r="N302" i="6"/>
  <c r="BH302" i="6"/>
  <c r="BG302" i="6" s="1"/>
  <c r="BF302" i="6" s="1"/>
  <c r="P302" i="6" s="1"/>
  <c r="Q435" i="6"/>
  <c r="BP435" i="6"/>
  <c r="BO435" i="6" s="1"/>
  <c r="BN435" i="6" s="1"/>
  <c r="S435" i="6" s="1"/>
  <c r="N91" i="6"/>
  <c r="BH91" i="6"/>
  <c r="BG91" i="6" s="1"/>
  <c r="BF91" i="6" s="1"/>
  <c r="P91" i="6" s="1"/>
  <c r="H159" i="6"/>
  <c r="AR159" i="6"/>
  <c r="AQ159" i="6" s="1"/>
  <c r="AP159" i="6" s="1"/>
  <c r="J159" i="6" s="1"/>
  <c r="N178" i="6"/>
  <c r="BH178" i="6"/>
  <c r="BG178" i="6" s="1"/>
  <c r="BF178" i="6" s="1"/>
  <c r="P178" i="6" s="1"/>
  <c r="H285" i="6"/>
  <c r="AR285" i="6"/>
  <c r="AQ285" i="6" s="1"/>
  <c r="AP285" i="6" s="1"/>
  <c r="J285" i="6" s="1"/>
  <c r="Q429" i="6"/>
  <c r="BP429" i="6"/>
  <c r="BO429" i="6" s="1"/>
  <c r="BN429" i="6" s="1"/>
  <c r="S429" i="6" s="1"/>
  <c r="Q310" i="6"/>
  <c r="BP310" i="6"/>
  <c r="BO310" i="6" s="1"/>
  <c r="BN310" i="6" s="1"/>
  <c r="S310" i="6" s="1"/>
  <c r="N348" i="6"/>
  <c r="BH348" i="6"/>
  <c r="BG348" i="6" s="1"/>
  <c r="BF348" i="6" s="1"/>
  <c r="P348" i="6" s="1"/>
  <c r="N58" i="6"/>
  <c r="BH58" i="6"/>
  <c r="BG58" i="6" s="1"/>
  <c r="BF58" i="6" s="1"/>
  <c r="P58" i="6" s="1"/>
  <c r="Q284" i="6"/>
  <c r="BP284" i="6"/>
  <c r="BO284" i="6" s="1"/>
  <c r="BN284" i="6" s="1"/>
  <c r="S284" i="6" s="1"/>
  <c r="N45" i="6"/>
  <c r="BH45" i="6"/>
  <c r="BG45" i="6" s="1"/>
  <c r="BF45" i="6" s="1"/>
  <c r="P45" i="6" s="1"/>
  <c r="Q237" i="6"/>
  <c r="BP237" i="6"/>
  <c r="BO237" i="6" s="1"/>
  <c r="BN237" i="6" s="1"/>
  <c r="S237" i="6" s="1"/>
  <c r="N134" i="6"/>
  <c r="BH134" i="6"/>
  <c r="BG134" i="6" s="1"/>
  <c r="BF134" i="6" s="1"/>
  <c r="P134" i="6" s="1"/>
  <c r="Q309" i="6"/>
  <c r="BP309" i="6"/>
  <c r="BO309" i="6" s="1"/>
  <c r="BN309" i="6" s="1"/>
  <c r="S309" i="6" s="1"/>
  <c r="N113" i="6"/>
  <c r="BH113" i="6"/>
  <c r="BG113" i="6" s="1"/>
  <c r="BF113" i="6" s="1"/>
  <c r="P113" i="6" s="1"/>
  <c r="Q398" i="6"/>
  <c r="BP398" i="6"/>
  <c r="BO398" i="6" s="1"/>
  <c r="BN398" i="6" s="1"/>
  <c r="S398" i="6" s="1"/>
  <c r="Q230" i="6"/>
  <c r="BP230" i="6"/>
  <c r="BO230" i="6" s="1"/>
  <c r="BN230" i="6" s="1"/>
  <c r="S230" i="6" s="1"/>
  <c r="H467" i="6"/>
  <c r="AR467" i="6"/>
  <c r="AQ467" i="6" s="1"/>
  <c r="AP467" i="6" s="1"/>
  <c r="J467" i="6" s="1"/>
  <c r="N238" i="6"/>
  <c r="BH238" i="6"/>
  <c r="BG238" i="6" s="1"/>
  <c r="BF238" i="6" s="1"/>
  <c r="P238" i="6" s="1"/>
  <c r="Q31" i="6"/>
  <c r="BP31" i="6"/>
  <c r="BO31" i="6" s="1"/>
  <c r="BN31" i="6" s="1"/>
  <c r="S31" i="6" s="1"/>
  <c r="H149" i="6"/>
  <c r="AR149" i="6"/>
  <c r="AQ149" i="6" s="1"/>
  <c r="AP149" i="6" s="1"/>
  <c r="J149" i="6" s="1"/>
  <c r="N327" i="6"/>
  <c r="BH327" i="6"/>
  <c r="BG327" i="6" s="1"/>
  <c r="BF327" i="6" s="1"/>
  <c r="P327" i="6" s="1"/>
  <c r="Q22" i="6"/>
  <c r="BP22" i="6"/>
  <c r="BO22" i="6" s="1"/>
  <c r="BN22" i="6" s="1"/>
  <c r="S22" i="6" s="1"/>
  <c r="H324" i="6"/>
  <c r="AR324" i="6"/>
  <c r="AQ324" i="6" s="1"/>
  <c r="AP324" i="6" s="1"/>
  <c r="J324" i="6" s="1"/>
  <c r="Q439" i="6"/>
  <c r="BP439" i="6"/>
  <c r="BO439" i="6" s="1"/>
  <c r="BN439" i="6" s="1"/>
  <c r="S439" i="6" s="1"/>
  <c r="N446" i="6"/>
  <c r="BH446" i="6"/>
  <c r="BG446" i="6" s="1"/>
  <c r="BF446" i="6" s="1"/>
  <c r="P446" i="6" s="1"/>
  <c r="H167" i="6"/>
  <c r="AR167" i="6"/>
  <c r="AQ167" i="6" s="1"/>
  <c r="AP167" i="6" s="1"/>
  <c r="J167" i="6" s="1"/>
  <c r="Q265" i="6"/>
  <c r="BP265" i="6"/>
  <c r="BO265" i="6" s="1"/>
  <c r="BN265" i="6" s="1"/>
  <c r="S265" i="6" s="1"/>
  <c r="Q115" i="6"/>
  <c r="BP115" i="6"/>
  <c r="BO115" i="6" s="1"/>
  <c r="BN115" i="6" s="1"/>
  <c r="S115" i="6" s="1"/>
  <c r="Q42" i="6"/>
  <c r="BP42" i="6"/>
  <c r="BO42" i="6" s="1"/>
  <c r="BN42" i="6" s="1"/>
  <c r="S42" i="6" s="1"/>
  <c r="N163" i="6"/>
  <c r="BH163" i="6"/>
  <c r="BG163" i="6" s="1"/>
  <c r="BF163" i="6" s="1"/>
  <c r="P163" i="6" s="1"/>
  <c r="H40" i="6"/>
  <c r="AR40" i="6"/>
  <c r="AQ40" i="6" s="1"/>
  <c r="AP40" i="6" s="1"/>
  <c r="J40" i="6" s="1"/>
  <c r="H293" i="6"/>
  <c r="AR293" i="6"/>
  <c r="AQ293" i="6" s="1"/>
  <c r="AP293" i="6" s="1"/>
  <c r="J293" i="6" s="1"/>
  <c r="Q320" i="6"/>
  <c r="BP320" i="6"/>
  <c r="BO320" i="6" s="1"/>
  <c r="BN320" i="6" s="1"/>
  <c r="S320" i="6" s="1"/>
  <c r="N114" i="6"/>
  <c r="BH114" i="6"/>
  <c r="BG114" i="6" s="1"/>
  <c r="BF114" i="6" s="1"/>
  <c r="P114" i="6" s="1"/>
  <c r="H18" i="6"/>
  <c r="AR18" i="6"/>
  <c r="AQ18" i="6" s="1"/>
  <c r="AP18" i="6" s="1"/>
  <c r="J18" i="6" s="1"/>
  <c r="H16" i="6"/>
  <c r="AR16" i="6"/>
  <c r="AQ16" i="6" s="1"/>
  <c r="AP16" i="6" s="1"/>
  <c r="J16" i="6" s="1"/>
  <c r="Q25" i="6"/>
  <c r="BP25" i="6"/>
  <c r="BO25" i="6" s="1"/>
  <c r="BN25" i="6" s="1"/>
  <c r="S25" i="6" s="1"/>
  <c r="N231" i="6"/>
  <c r="BH231" i="6"/>
  <c r="BG231" i="6" s="1"/>
  <c r="BF231" i="6" s="1"/>
  <c r="P231" i="6" s="1"/>
  <c r="Q290" i="6"/>
  <c r="BP290" i="6"/>
  <c r="BO290" i="6" s="1"/>
  <c r="BN290" i="6" s="1"/>
  <c r="S290" i="6" s="1"/>
  <c r="Q200" i="6"/>
  <c r="BP200" i="6"/>
  <c r="BO200" i="6" s="1"/>
  <c r="BN200" i="6" s="1"/>
  <c r="S200" i="6" s="1"/>
  <c r="H13" i="6"/>
  <c r="AR13" i="6"/>
  <c r="AQ13" i="6" s="1"/>
  <c r="AP13" i="6" s="1"/>
  <c r="J13" i="6" s="1"/>
  <c r="H111" i="6"/>
  <c r="AR111" i="6"/>
  <c r="AQ111" i="6" s="1"/>
  <c r="AP111" i="6" s="1"/>
  <c r="J111" i="6" s="1"/>
  <c r="H356" i="6"/>
  <c r="AR356" i="6"/>
  <c r="AQ356" i="6" s="1"/>
  <c r="AP356" i="6" s="1"/>
  <c r="J356" i="6" s="1"/>
  <c r="H118" i="6"/>
  <c r="AR118" i="6"/>
  <c r="AQ118" i="6" s="1"/>
  <c r="AP118" i="6" s="1"/>
  <c r="J118" i="6" s="1"/>
  <c r="Q137" i="6"/>
  <c r="BP137" i="6"/>
  <c r="BO137" i="6" s="1"/>
  <c r="BN137" i="6" s="1"/>
  <c r="S137" i="6" s="1"/>
  <c r="H224" i="6"/>
  <c r="AR224" i="6"/>
  <c r="AQ224" i="6" s="1"/>
  <c r="AP224" i="6" s="1"/>
  <c r="J224" i="6" s="1"/>
  <c r="Q85" i="6"/>
  <c r="BP85" i="6"/>
  <c r="BO85" i="6" s="1"/>
  <c r="BN85" i="6" s="1"/>
  <c r="S85" i="6" s="1"/>
  <c r="Q104" i="6"/>
  <c r="BP104" i="6"/>
  <c r="BO104" i="6" s="1"/>
  <c r="BN104" i="6" s="1"/>
  <c r="S104" i="6" s="1"/>
  <c r="N146" i="6"/>
  <c r="BH146" i="6"/>
  <c r="BG146" i="6" s="1"/>
  <c r="BF146" i="6" s="1"/>
  <c r="P146" i="6" s="1"/>
  <c r="Q102" i="6"/>
  <c r="BP102" i="6"/>
  <c r="BO102" i="6" s="1"/>
  <c r="BN102" i="6" s="1"/>
  <c r="S102" i="6" s="1"/>
  <c r="N171" i="6"/>
  <c r="BH171" i="6"/>
  <c r="BG171" i="6" s="1"/>
  <c r="BF171" i="6" s="1"/>
  <c r="P171" i="6" s="1"/>
  <c r="H445" i="6"/>
  <c r="AR445" i="6"/>
  <c r="AQ445" i="6" s="1"/>
  <c r="AP445" i="6" s="1"/>
  <c r="J445" i="6" s="1"/>
  <c r="Q61" i="6"/>
  <c r="BP61" i="6"/>
  <c r="BO61" i="6" s="1"/>
  <c r="BN61" i="6" s="1"/>
  <c r="S61" i="6" s="1"/>
  <c r="Q258" i="6"/>
  <c r="BP258" i="6"/>
  <c r="BO258" i="6" s="1"/>
  <c r="BN258" i="6" s="1"/>
  <c r="S258" i="6" s="1"/>
  <c r="H87" i="6"/>
  <c r="AR87" i="6"/>
  <c r="AQ87" i="6" s="1"/>
  <c r="AP87" i="6" s="1"/>
  <c r="J87" i="6" s="1"/>
  <c r="N266" i="6"/>
  <c r="BH266" i="6"/>
  <c r="BG266" i="6" s="1"/>
  <c r="BF266" i="6" s="1"/>
  <c r="P266" i="6" s="1"/>
  <c r="H78" i="6"/>
  <c r="AR78" i="6"/>
  <c r="AQ78" i="6" s="1"/>
  <c r="AP78" i="6" s="1"/>
  <c r="J78" i="6" s="1"/>
  <c r="N317" i="6"/>
  <c r="BH317" i="6"/>
  <c r="BG317" i="6" s="1"/>
  <c r="BF317" i="6" s="1"/>
  <c r="P317" i="6" s="1"/>
  <c r="H459" i="6"/>
  <c r="AR459" i="6"/>
  <c r="AQ459" i="6" s="1"/>
  <c r="AP459" i="6" s="1"/>
  <c r="J459" i="6" s="1"/>
  <c r="N96" i="6"/>
  <c r="BH96" i="6"/>
  <c r="BG96" i="6" s="1"/>
  <c r="BF96" i="6" s="1"/>
  <c r="P96" i="6" s="1"/>
  <c r="Q211" i="6"/>
  <c r="BP211" i="6"/>
  <c r="BO211" i="6" s="1"/>
  <c r="BN211" i="6" s="1"/>
  <c r="S211" i="6" s="1"/>
  <c r="Q173" i="6"/>
  <c r="BP173" i="6"/>
  <c r="BO173" i="6" s="1"/>
  <c r="BN173" i="6" s="1"/>
  <c r="S173" i="6" s="1"/>
  <c r="N457" i="6"/>
  <c r="BH457" i="6"/>
  <c r="BG457" i="6" s="1"/>
  <c r="BF457" i="6" s="1"/>
  <c r="P457" i="6" s="1"/>
  <c r="H94" i="6"/>
  <c r="AR94" i="6"/>
  <c r="AQ94" i="6" s="1"/>
  <c r="AP94" i="6" s="1"/>
  <c r="J94" i="6" s="1"/>
  <c r="Q106" i="6"/>
  <c r="BP106" i="6"/>
  <c r="BO106" i="6" s="1"/>
  <c r="BN106" i="6" s="1"/>
  <c r="S106" i="6" s="1"/>
  <c r="H81" i="6"/>
  <c r="AR81" i="6"/>
  <c r="AQ81" i="6" s="1"/>
  <c r="AP81" i="6" s="1"/>
  <c r="J81" i="6" s="1"/>
  <c r="Q218" i="6"/>
  <c r="BP218" i="6"/>
  <c r="BO218" i="6" s="1"/>
  <c r="BN218" i="6" s="1"/>
  <c r="S218" i="6" s="1"/>
  <c r="Q192" i="6"/>
  <c r="BP192" i="6"/>
  <c r="BO192" i="6" s="1"/>
  <c r="BN192" i="6" s="1"/>
  <c r="S192" i="6" s="1"/>
  <c r="Q444" i="6"/>
  <c r="BP444" i="6"/>
  <c r="BO444" i="6" s="1"/>
  <c r="BN444" i="6" s="1"/>
  <c r="S444" i="6" s="1"/>
  <c r="N267" i="6"/>
  <c r="BH267" i="6"/>
  <c r="BG267" i="6" s="1"/>
  <c r="BF267" i="6" s="1"/>
  <c r="P267" i="6" s="1"/>
  <c r="Q280" i="6"/>
  <c r="BP280" i="6"/>
  <c r="BO280" i="6" s="1"/>
  <c r="BN280" i="6" s="1"/>
  <c r="S280" i="6" s="1"/>
  <c r="N150" i="6"/>
  <c r="BH150" i="6"/>
  <c r="BG150" i="6" s="1"/>
  <c r="BF150" i="6" s="1"/>
  <c r="P150" i="6" s="1"/>
  <c r="H20" i="6"/>
  <c r="AR20" i="6"/>
  <c r="AQ20" i="6" s="1"/>
  <c r="AP20" i="6" s="1"/>
  <c r="J20" i="6" s="1"/>
  <c r="Q247" i="6"/>
  <c r="BP247" i="6"/>
  <c r="BO247" i="6" s="1"/>
  <c r="BN247" i="6" s="1"/>
  <c r="S247" i="6" s="1"/>
  <c r="H148" i="6"/>
  <c r="AR148" i="6"/>
  <c r="AQ148" i="6" s="1"/>
  <c r="AP148" i="6" s="1"/>
  <c r="J148" i="6" s="1"/>
  <c r="N448" i="6"/>
  <c r="BH448" i="6"/>
  <c r="BG448" i="6" s="1"/>
  <c r="BF448" i="6" s="1"/>
  <c r="P448" i="6" s="1"/>
  <c r="H187" i="6"/>
  <c r="AR187" i="6"/>
  <c r="AQ187" i="6" s="1"/>
  <c r="AP187" i="6" s="1"/>
  <c r="J187" i="6" s="1"/>
  <c r="Q376" i="6"/>
  <c r="BP376" i="6"/>
  <c r="BO376" i="6" s="1"/>
  <c r="BN376" i="6" s="1"/>
  <c r="S376" i="6" s="1"/>
  <c r="Q196" i="6"/>
  <c r="BP196" i="6"/>
  <c r="BO196" i="6" s="1"/>
  <c r="BN196" i="6" s="1"/>
  <c r="S196" i="6" s="1"/>
  <c r="Q145" i="6"/>
  <c r="BP145" i="6"/>
  <c r="BO145" i="6" s="1"/>
  <c r="BN145" i="6" s="1"/>
  <c r="S145" i="6" s="1"/>
  <c r="Q154" i="6"/>
  <c r="BP154" i="6"/>
  <c r="BO154" i="6" s="1"/>
  <c r="BN154" i="6" s="1"/>
  <c r="S154" i="6" s="1"/>
  <c r="H100" i="6"/>
  <c r="AR100" i="6"/>
  <c r="AQ100" i="6" s="1"/>
  <c r="AP100" i="6" s="1"/>
  <c r="J100" i="6" s="1"/>
  <c r="N48" i="6"/>
  <c r="BH48" i="6"/>
  <c r="BG48" i="6" s="1"/>
  <c r="BF48" i="6" s="1"/>
  <c r="P48" i="6" s="1"/>
  <c r="H244" i="6"/>
  <c r="AR244" i="6"/>
  <c r="AQ244" i="6" s="1"/>
  <c r="AP244" i="6" s="1"/>
  <c r="J244" i="6" s="1"/>
  <c r="H189" i="6"/>
  <c r="AR189" i="6"/>
  <c r="AQ189" i="6" s="1"/>
  <c r="AP189" i="6" s="1"/>
  <c r="J189" i="6" s="1"/>
  <c r="H59" i="6"/>
  <c r="AR59" i="6"/>
  <c r="AQ59" i="6" s="1"/>
  <c r="AP59" i="6" s="1"/>
  <c r="J59" i="6" s="1"/>
  <c r="Q151" i="6"/>
  <c r="BP151" i="6"/>
  <c r="BO151" i="6" s="1"/>
  <c r="BN151" i="6" s="1"/>
  <c r="S151" i="6" s="1"/>
  <c r="H372" i="6"/>
  <c r="AR372" i="6"/>
  <c r="AQ372" i="6" s="1"/>
  <c r="AP372" i="6" s="1"/>
  <c r="J372" i="6" s="1"/>
  <c r="H84" i="6"/>
  <c r="AR84" i="6"/>
  <c r="AQ84" i="6" s="1"/>
  <c r="AP84" i="6" s="1"/>
  <c r="J84" i="6" s="1"/>
  <c r="Q92" i="6"/>
  <c r="BP92" i="6"/>
  <c r="BO92" i="6" s="1"/>
  <c r="BN92" i="6" s="1"/>
  <c r="S92" i="6" s="1"/>
  <c r="N127" i="6"/>
  <c r="BH127" i="6"/>
  <c r="BG127" i="6" s="1"/>
  <c r="BF127" i="6" s="1"/>
  <c r="P127" i="6" s="1"/>
  <c r="N359" i="6"/>
  <c r="BH359" i="6"/>
  <c r="BG359" i="6" s="1"/>
  <c r="BF359" i="6" s="1"/>
  <c r="P359" i="6" s="1"/>
  <c r="N140" i="6"/>
  <c r="BH140" i="6"/>
  <c r="BG140" i="6" s="1"/>
  <c r="BF140" i="6" s="1"/>
  <c r="P140" i="6" s="1"/>
  <c r="N246" i="6"/>
  <c r="BH246" i="6"/>
  <c r="BG246" i="6" s="1"/>
  <c r="BF246" i="6" s="1"/>
  <c r="P246" i="6" s="1"/>
  <c r="N423" i="6"/>
  <c r="BH423" i="6"/>
  <c r="BG423" i="6" s="1"/>
  <c r="BF423" i="6" s="1"/>
  <c r="P423" i="6" s="1"/>
  <c r="H63" i="6"/>
  <c r="AR63" i="6"/>
  <c r="AQ63" i="6" s="1"/>
  <c r="AP63" i="6" s="1"/>
  <c r="J63" i="6" s="1"/>
  <c r="N271" i="6"/>
  <c r="BH271" i="6"/>
  <c r="BG271" i="6" s="1"/>
  <c r="BF271" i="6" s="1"/>
  <c r="P271" i="6" s="1"/>
  <c r="Q335" i="6"/>
  <c r="BP335" i="6"/>
  <c r="BO335" i="6" s="1"/>
  <c r="BN335" i="6" s="1"/>
  <c r="S335" i="6" s="1"/>
  <c r="H226" i="6"/>
  <c r="AR226" i="6"/>
  <c r="AQ226" i="6" s="1"/>
  <c r="AP226" i="6" s="1"/>
  <c r="J226" i="6" s="1"/>
  <c r="H161" i="6"/>
  <c r="AR161" i="6"/>
  <c r="AQ161" i="6" s="1"/>
  <c r="AP161" i="6" s="1"/>
  <c r="J161" i="6" s="1"/>
  <c r="H286" i="6"/>
  <c r="AR286" i="6"/>
  <c r="AQ286" i="6" s="1"/>
  <c r="AP286" i="6" s="1"/>
  <c r="J286" i="6" s="1"/>
  <c r="Q56" i="6"/>
  <c r="BP56" i="6"/>
  <c r="BO56" i="6" s="1"/>
  <c r="BN56" i="6" s="1"/>
  <c r="S56" i="6" s="1"/>
  <c r="H162" i="6"/>
  <c r="AR162" i="6"/>
  <c r="AQ162" i="6" s="1"/>
  <c r="AP162" i="6" s="1"/>
  <c r="J162" i="6" s="1"/>
  <c r="H252" i="6"/>
  <c r="AR252" i="6"/>
  <c r="AQ252" i="6" s="1"/>
  <c r="AP252" i="6" s="1"/>
  <c r="J252" i="6" s="1"/>
  <c r="N300" i="6"/>
  <c r="BH300" i="6"/>
  <c r="BG300" i="6" s="1"/>
  <c r="BF300" i="6" s="1"/>
  <c r="P300" i="6" s="1"/>
  <c r="N51" i="6"/>
  <c r="BH51" i="6"/>
  <c r="BG51" i="6" s="1"/>
  <c r="BF51" i="6" s="1"/>
  <c r="P51" i="6" s="1"/>
  <c r="Q276" i="6"/>
  <c r="BP276" i="6"/>
  <c r="BO276" i="6" s="1"/>
  <c r="BN276" i="6" s="1"/>
  <c r="S276" i="6" s="1"/>
  <c r="N353" i="6"/>
  <c r="BH353" i="6"/>
  <c r="BG353" i="6" s="1"/>
  <c r="BF353" i="6" s="1"/>
  <c r="P353" i="6" s="1"/>
  <c r="Q264" i="6"/>
  <c r="BP264" i="6"/>
  <c r="BO264" i="6" s="1"/>
  <c r="BN264" i="6" s="1"/>
  <c r="S264" i="6" s="1"/>
  <c r="Q381" i="6"/>
  <c r="BP381" i="6"/>
  <c r="BO381" i="6" s="1"/>
  <c r="BN381" i="6" s="1"/>
  <c r="S381" i="6" s="1"/>
  <c r="Q366" i="6"/>
  <c r="BP366" i="6"/>
  <c r="BO366" i="6" s="1"/>
  <c r="BN366" i="6" s="1"/>
  <c r="S366" i="6" s="1"/>
  <c r="N346" i="6"/>
  <c r="BH346" i="6"/>
  <c r="BG346" i="6" s="1"/>
  <c r="BF346" i="6" s="1"/>
  <c r="P346" i="6" s="1"/>
  <c r="H396" i="6"/>
  <c r="AR396" i="6"/>
  <c r="AQ396" i="6" s="1"/>
  <c r="AP396" i="6" s="1"/>
  <c r="J396" i="6" s="1"/>
  <c r="N438" i="6"/>
  <c r="BH438" i="6"/>
  <c r="BG438" i="6" s="1"/>
  <c r="BF438" i="6" s="1"/>
  <c r="P438" i="6" s="1"/>
  <c r="H67" i="6"/>
  <c r="AR67" i="6"/>
  <c r="AQ67" i="6" s="1"/>
  <c r="AP67" i="6" s="1"/>
  <c r="J67" i="6" s="1"/>
  <c r="Q44" i="6"/>
  <c r="BP44" i="6"/>
  <c r="BO44" i="6" s="1"/>
  <c r="BN44" i="6" s="1"/>
  <c r="S44" i="6" s="1"/>
  <c r="Q443" i="6"/>
  <c r="BP443" i="6"/>
  <c r="BO443" i="6" s="1"/>
  <c r="BN443" i="6" s="1"/>
  <c r="S443" i="6" s="1"/>
  <c r="N269" i="6"/>
  <c r="BH269" i="6"/>
  <c r="BG269" i="6" s="1"/>
  <c r="BF269" i="6" s="1"/>
  <c r="P269" i="6" s="1"/>
  <c r="N182" i="6"/>
  <c r="BH182" i="6"/>
  <c r="BG182" i="6" s="1"/>
  <c r="BF182" i="6" s="1"/>
  <c r="P182" i="6" s="1"/>
  <c r="Q386" i="6"/>
  <c r="BP386" i="6"/>
  <c r="BO386" i="6" s="1"/>
  <c r="BN386" i="6" s="1"/>
  <c r="S386" i="6" s="1"/>
  <c r="N130" i="6"/>
  <c r="BH130" i="6"/>
  <c r="BG130" i="6" s="1"/>
  <c r="BF130" i="6" s="1"/>
  <c r="P130" i="6" s="1"/>
  <c r="N331" i="6"/>
  <c r="BH331" i="6"/>
  <c r="BG331" i="6" s="1"/>
  <c r="BF331" i="6" s="1"/>
  <c r="P331" i="6" s="1"/>
  <c r="H384" i="6"/>
  <c r="AR384" i="6"/>
  <c r="AQ384" i="6" s="1"/>
  <c r="AP384" i="6" s="1"/>
  <c r="J384" i="6" s="1"/>
  <c r="Q349" i="6"/>
  <c r="BP349" i="6"/>
  <c r="BO349" i="6" s="1"/>
  <c r="BN349" i="6" s="1"/>
  <c r="S349" i="6" s="1"/>
  <c r="H343" i="6"/>
  <c r="AR343" i="6"/>
  <c r="AQ343" i="6" s="1"/>
  <c r="AP343" i="6" s="1"/>
  <c r="J343" i="6" s="1"/>
  <c r="N129" i="6"/>
  <c r="BH129" i="6"/>
  <c r="BG129" i="6" s="1"/>
  <c r="BF129" i="6" s="1"/>
  <c r="P129" i="6" s="1"/>
  <c r="H422" i="6"/>
  <c r="AR422" i="6"/>
  <c r="AQ422" i="6" s="1"/>
  <c r="AP422" i="6" s="1"/>
  <c r="J422" i="6" s="1"/>
  <c r="Q214" i="6"/>
  <c r="BP214" i="6"/>
  <c r="BO214" i="6" s="1"/>
  <c r="BN214" i="6" s="1"/>
  <c r="S214" i="6" s="1"/>
  <c r="H373" i="6"/>
  <c r="AR373" i="6"/>
  <c r="AQ373" i="6" s="1"/>
  <c r="AP373" i="6" s="1"/>
  <c r="J373" i="6" s="1"/>
  <c r="N430" i="6"/>
  <c r="BH430" i="6"/>
  <c r="BG430" i="6" s="1"/>
  <c r="BF430" i="6" s="1"/>
  <c r="P430" i="6" s="1"/>
  <c r="N10" i="6"/>
  <c r="BH10" i="6"/>
  <c r="BG10" i="6" s="1"/>
  <c r="BF10" i="6" s="1"/>
  <c r="P10" i="6" s="1"/>
  <c r="H351" i="6"/>
  <c r="AR351" i="6"/>
  <c r="AQ351" i="6" s="1"/>
  <c r="AP351" i="6" s="1"/>
  <c r="J351" i="6" s="1"/>
  <c r="H449" i="6"/>
  <c r="AR449" i="6"/>
  <c r="AQ449" i="6" s="1"/>
  <c r="AP449" i="6" s="1"/>
  <c r="J449" i="6" s="1"/>
  <c r="H204" i="6"/>
  <c r="AR204" i="6"/>
  <c r="AQ204" i="6" s="1"/>
  <c r="AP204" i="6" s="1"/>
  <c r="J204" i="6" s="1"/>
  <c r="Q191" i="6"/>
  <c r="BP191" i="6"/>
  <c r="BO191" i="6" s="1"/>
  <c r="BN191" i="6" s="1"/>
  <c r="S191" i="6" s="1"/>
  <c r="Q203" i="6"/>
  <c r="BP203" i="6"/>
  <c r="BO203" i="6" s="1"/>
  <c r="BN203" i="6" s="1"/>
  <c r="S203" i="6" s="1"/>
  <c r="H52" i="6"/>
  <c r="AR52" i="6"/>
  <c r="AQ52" i="6" s="1"/>
  <c r="AP52" i="6" s="1"/>
  <c r="J52" i="6" s="1"/>
  <c r="Q229" i="6"/>
  <c r="BP229" i="6"/>
  <c r="BO229" i="6" s="1"/>
  <c r="BN229" i="6" s="1"/>
  <c r="S229" i="6" s="1"/>
  <c r="N123" i="6"/>
  <c r="BH123" i="6"/>
  <c r="BG123" i="6" s="1"/>
  <c r="BF123" i="6" s="1"/>
  <c r="P123" i="6" s="1"/>
  <c r="H239" i="6"/>
  <c r="AR239" i="6"/>
  <c r="AQ239" i="6" s="1"/>
  <c r="AP239" i="6" s="1"/>
  <c r="J239" i="6" s="1"/>
  <c r="H199" i="6"/>
  <c r="AR199" i="6"/>
  <c r="AQ199" i="6" s="1"/>
  <c r="AP199" i="6" s="1"/>
  <c r="J199" i="6" s="1"/>
  <c r="H222" i="6"/>
  <c r="AR222" i="6"/>
  <c r="AQ222" i="6" s="1"/>
  <c r="AP222" i="6" s="1"/>
  <c r="J222" i="6" s="1"/>
  <c r="H352" i="6"/>
  <c r="AR352" i="6"/>
  <c r="AQ352" i="6" s="1"/>
  <c r="AP352" i="6" s="1"/>
  <c r="J352" i="6" s="1"/>
  <c r="Q116" i="6"/>
  <c r="BP116" i="6"/>
  <c r="BO116" i="6" s="1"/>
  <c r="BN116" i="6" s="1"/>
  <c r="S116" i="6" s="1"/>
  <c r="Q223" i="6"/>
  <c r="BP223" i="6"/>
  <c r="BO223" i="6" s="1"/>
  <c r="BN223" i="6" s="1"/>
  <c r="S223" i="6" s="1"/>
  <c r="H169" i="6"/>
  <c r="AR169" i="6"/>
  <c r="AQ169" i="6" s="1"/>
  <c r="AP169" i="6" s="1"/>
  <c r="J169" i="6" s="1"/>
  <c r="H181" i="6"/>
  <c r="AR181" i="6"/>
  <c r="AQ181" i="6" s="1"/>
  <c r="AP181" i="6" s="1"/>
  <c r="J181" i="6" s="1"/>
  <c r="H435" i="6"/>
  <c r="AR435" i="6"/>
  <c r="AQ435" i="6" s="1"/>
  <c r="AP435" i="6" s="1"/>
  <c r="J435" i="6" s="1"/>
  <c r="H369" i="6"/>
  <c r="AR369" i="6"/>
  <c r="AQ369" i="6" s="1"/>
  <c r="AP369" i="6" s="1"/>
  <c r="J369" i="6" s="1"/>
  <c r="Q91" i="6"/>
  <c r="BP91" i="6"/>
  <c r="BO91" i="6" s="1"/>
  <c r="BN91" i="6" s="1"/>
  <c r="S91" i="6" s="1"/>
  <c r="N285" i="6"/>
  <c r="BH285" i="6"/>
  <c r="BG285" i="6" s="1"/>
  <c r="BF285" i="6" s="1"/>
  <c r="P285" i="6" s="1"/>
  <c r="N429" i="6"/>
  <c r="BH429" i="6"/>
  <c r="BG429" i="6" s="1"/>
  <c r="BF429" i="6" s="1"/>
  <c r="P429" i="6" s="1"/>
  <c r="N43" i="6"/>
  <c r="BH43" i="6"/>
  <c r="BG43" i="6" s="1"/>
  <c r="BF43" i="6" s="1"/>
  <c r="P43" i="6" s="1"/>
  <c r="H58" i="6"/>
  <c r="AR58" i="6"/>
  <c r="AQ58" i="6" s="1"/>
  <c r="AP58" i="6" s="1"/>
  <c r="J58" i="6" s="1"/>
  <c r="N368" i="6"/>
  <c r="BH368" i="6"/>
  <c r="BG368" i="6" s="1"/>
  <c r="BF368" i="6" s="1"/>
  <c r="P368" i="6" s="1"/>
  <c r="N321" i="6"/>
  <c r="BH321" i="6"/>
  <c r="BG321" i="6" s="1"/>
  <c r="BF321" i="6" s="1"/>
  <c r="P321" i="6" s="1"/>
  <c r="N434" i="6"/>
  <c r="BH434" i="6"/>
  <c r="BG434" i="6" s="1"/>
  <c r="BF434" i="6" s="1"/>
  <c r="P434" i="6" s="1"/>
  <c r="Q134" i="6"/>
  <c r="BP134" i="6"/>
  <c r="BO134" i="6" s="1"/>
  <c r="BN134" i="6" s="1"/>
  <c r="S134" i="6" s="1"/>
  <c r="Q113" i="6"/>
  <c r="BP113" i="6"/>
  <c r="BO113" i="6" s="1"/>
  <c r="BN113" i="6" s="1"/>
  <c r="S113" i="6" s="1"/>
  <c r="N424" i="6"/>
  <c r="BH424" i="6"/>
  <c r="BG424" i="6" s="1"/>
  <c r="BF424" i="6" s="1"/>
  <c r="P424" i="6" s="1"/>
  <c r="H398" i="6"/>
  <c r="AR398" i="6"/>
  <c r="AQ398" i="6" s="1"/>
  <c r="AP398" i="6" s="1"/>
  <c r="J398" i="6" s="1"/>
  <c r="N275" i="6"/>
  <c r="BH275" i="6"/>
  <c r="BG275" i="6" s="1"/>
  <c r="BF275" i="6" s="1"/>
  <c r="P275" i="6" s="1"/>
  <c r="Q254" i="6"/>
  <c r="BP254" i="6"/>
  <c r="BO254" i="6" s="1"/>
  <c r="BN254" i="6" s="1"/>
  <c r="S254" i="6" s="1"/>
  <c r="H261" i="6"/>
  <c r="AR261" i="6"/>
  <c r="AQ261" i="6" s="1"/>
  <c r="AP261" i="6" s="1"/>
  <c r="J261" i="6" s="1"/>
  <c r="Q327" i="6"/>
  <c r="BP327" i="6"/>
  <c r="BO327" i="6" s="1"/>
  <c r="BN327" i="6" s="1"/>
  <c r="S327" i="6" s="1"/>
  <c r="N22" i="6"/>
  <c r="BH22" i="6"/>
  <c r="BG22" i="6" s="1"/>
  <c r="BF22" i="6" s="1"/>
  <c r="P22" i="6" s="1"/>
  <c r="Q158" i="6"/>
  <c r="BP158" i="6"/>
  <c r="BO158" i="6" s="1"/>
  <c r="BN158" i="6" s="1"/>
  <c r="S158" i="6" s="1"/>
  <c r="N270" i="6"/>
  <c r="BH270" i="6"/>
  <c r="BG270" i="6" s="1"/>
  <c r="BF270" i="6" s="1"/>
  <c r="P270" i="6" s="1"/>
  <c r="N117" i="6"/>
  <c r="BH117" i="6"/>
  <c r="BG117" i="6" s="1"/>
  <c r="BF117" i="6" s="1"/>
  <c r="P117" i="6" s="1"/>
  <c r="H115" i="6"/>
  <c r="AR115" i="6"/>
  <c r="AQ115" i="6" s="1"/>
  <c r="AP115" i="6" s="1"/>
  <c r="J115" i="6" s="1"/>
  <c r="Q163" i="6"/>
  <c r="BP163" i="6"/>
  <c r="BO163" i="6" s="1"/>
  <c r="BN163" i="6" s="1"/>
  <c r="S163" i="6" s="1"/>
  <c r="N340" i="6"/>
  <c r="BH340" i="6"/>
  <c r="BG340" i="6" s="1"/>
  <c r="BF340" i="6" s="1"/>
  <c r="P340" i="6" s="1"/>
  <c r="H330" i="6"/>
  <c r="AR330" i="6"/>
  <c r="AQ330" i="6" s="1"/>
  <c r="AP330" i="6" s="1"/>
  <c r="J330" i="6" s="1"/>
  <c r="H219" i="6"/>
  <c r="AR219" i="6"/>
  <c r="AQ219" i="6" s="1"/>
  <c r="AP219" i="6" s="1"/>
  <c r="J219" i="6" s="1"/>
  <c r="H450" i="6"/>
  <c r="AR450" i="6"/>
  <c r="AQ450" i="6" s="1"/>
  <c r="AP450" i="6" s="1"/>
  <c r="J450" i="6" s="1"/>
  <c r="H320" i="6"/>
  <c r="AR320" i="6"/>
  <c r="AQ320" i="6" s="1"/>
  <c r="AP320" i="6" s="1"/>
  <c r="J320" i="6" s="1"/>
  <c r="N419" i="6"/>
  <c r="BH419" i="6"/>
  <c r="BG419" i="6" s="1"/>
  <c r="BF419" i="6" s="1"/>
  <c r="P419" i="6" s="1"/>
  <c r="Q109" i="6"/>
  <c r="BP109" i="6"/>
  <c r="BO109" i="6" s="1"/>
  <c r="BN109" i="6" s="1"/>
  <c r="S109" i="6" s="1"/>
  <c r="Q231" i="6"/>
  <c r="BP231" i="6"/>
  <c r="BO231" i="6" s="1"/>
  <c r="BN231" i="6" s="1"/>
  <c r="S231" i="6" s="1"/>
  <c r="N290" i="6"/>
  <c r="BH290" i="6"/>
  <c r="BG290" i="6" s="1"/>
  <c r="BF290" i="6" s="1"/>
  <c r="P290" i="6" s="1"/>
  <c r="H174" i="6"/>
  <c r="AR174" i="6"/>
  <c r="AQ174" i="6" s="1"/>
  <c r="AP174" i="6" s="1"/>
  <c r="J174" i="6" s="1"/>
  <c r="N90" i="6"/>
  <c r="BH90" i="6"/>
  <c r="BG90" i="6" s="1"/>
  <c r="BF90" i="6" s="1"/>
  <c r="P90" i="6" s="1"/>
  <c r="H200" i="6"/>
  <c r="AR200" i="6"/>
  <c r="AQ200" i="6" s="1"/>
  <c r="AP200" i="6" s="1"/>
  <c r="J200" i="6" s="1"/>
  <c r="N426" i="6"/>
  <c r="BH426" i="6"/>
  <c r="BG426" i="6" s="1"/>
  <c r="BF426" i="6" s="1"/>
  <c r="P426" i="6" s="1"/>
  <c r="H337" i="6"/>
  <c r="AR337" i="6"/>
  <c r="AQ337" i="6" s="1"/>
  <c r="AP337" i="6" s="1"/>
  <c r="J337" i="6" s="1"/>
  <c r="Q60" i="6"/>
  <c r="BP60" i="6"/>
  <c r="BO60" i="6" s="1"/>
  <c r="BN60" i="6" s="1"/>
  <c r="S60" i="6" s="1"/>
  <c r="Q118" i="6"/>
  <c r="BP118" i="6"/>
  <c r="BO118" i="6" s="1"/>
  <c r="BN118" i="6" s="1"/>
  <c r="S118" i="6" s="1"/>
  <c r="Q455" i="6"/>
  <c r="BP455" i="6"/>
  <c r="BO455" i="6" s="1"/>
  <c r="BN455" i="6" s="1"/>
  <c r="S455" i="6" s="1"/>
  <c r="H137" i="6"/>
  <c r="AR137" i="6"/>
  <c r="AQ137" i="6" s="1"/>
  <c r="AP137" i="6" s="1"/>
  <c r="J137" i="6" s="1"/>
  <c r="Q224" i="6"/>
  <c r="BP224" i="6"/>
  <c r="BO224" i="6" s="1"/>
  <c r="BN224" i="6" s="1"/>
  <c r="S224" i="6" s="1"/>
  <c r="N341" i="6"/>
  <c r="BH341" i="6"/>
  <c r="BG341" i="6" s="1"/>
  <c r="BF341" i="6" s="1"/>
  <c r="P341" i="6" s="1"/>
  <c r="N350" i="6"/>
  <c r="BH350" i="6"/>
  <c r="BG350" i="6" s="1"/>
  <c r="BF350" i="6" s="1"/>
  <c r="P350" i="6" s="1"/>
  <c r="H283" i="6"/>
  <c r="AR283" i="6"/>
  <c r="AQ283" i="6" s="1"/>
  <c r="AP283" i="6" s="1"/>
  <c r="J283" i="6" s="1"/>
  <c r="Q146" i="6"/>
  <c r="BP146" i="6"/>
  <c r="BO146" i="6" s="1"/>
  <c r="BN146" i="6" s="1"/>
  <c r="S146" i="6" s="1"/>
  <c r="Q328" i="6"/>
  <c r="BP328" i="6"/>
  <c r="BO328" i="6" s="1"/>
  <c r="BN328" i="6" s="1"/>
  <c r="S328" i="6" s="1"/>
  <c r="Q171" i="6"/>
  <c r="BP171" i="6"/>
  <c r="BO171" i="6" s="1"/>
  <c r="BN171" i="6" s="1"/>
  <c r="S171" i="6" s="1"/>
  <c r="H170" i="6"/>
  <c r="AR170" i="6"/>
  <c r="AQ170" i="6" s="1"/>
  <c r="AP170" i="6" s="1"/>
  <c r="J170" i="6" s="1"/>
  <c r="H258" i="6"/>
  <c r="AR258" i="6"/>
  <c r="AQ258" i="6" s="1"/>
  <c r="AP258" i="6" s="1"/>
  <c r="J258" i="6" s="1"/>
  <c r="N87" i="6"/>
  <c r="BH87" i="6"/>
  <c r="BG87" i="6" s="1"/>
  <c r="BF87" i="6" s="1"/>
  <c r="P87" i="6" s="1"/>
  <c r="Q266" i="6"/>
  <c r="BP266" i="6"/>
  <c r="BO266" i="6" s="1"/>
  <c r="BN266" i="6" s="1"/>
  <c r="S266" i="6" s="1"/>
  <c r="H132" i="6"/>
  <c r="AR132" i="6"/>
  <c r="AQ132" i="6" s="1"/>
  <c r="AP132" i="6" s="1"/>
  <c r="J132" i="6" s="1"/>
  <c r="N78" i="6"/>
  <c r="BH78" i="6"/>
  <c r="BG78" i="6" s="1"/>
  <c r="BF78" i="6" s="1"/>
  <c r="P78" i="6" s="1"/>
  <c r="Q317" i="6"/>
  <c r="BP317" i="6"/>
  <c r="BO317" i="6" s="1"/>
  <c r="BN317" i="6" s="1"/>
  <c r="S317" i="6" s="1"/>
  <c r="Q96" i="6"/>
  <c r="BP96" i="6"/>
  <c r="BO96" i="6" s="1"/>
  <c r="BN96" i="6" s="1"/>
  <c r="S96" i="6" s="1"/>
  <c r="N361" i="6"/>
  <c r="BH361" i="6"/>
  <c r="BG361" i="6" s="1"/>
  <c r="BF361" i="6" s="1"/>
  <c r="P361" i="6" s="1"/>
  <c r="Q220" i="6"/>
  <c r="BP220" i="6"/>
  <c r="BO220" i="6" s="1"/>
  <c r="BN220" i="6" s="1"/>
  <c r="S220" i="6" s="1"/>
  <c r="Q408" i="6"/>
  <c r="BP408" i="6"/>
  <c r="BO408" i="6" s="1"/>
  <c r="BN408" i="6" s="1"/>
  <c r="S408" i="6" s="1"/>
  <c r="Q139" i="6"/>
  <c r="BP139" i="6"/>
  <c r="BO139" i="6" s="1"/>
  <c r="BN139" i="6" s="1"/>
  <c r="S139" i="6" s="1"/>
  <c r="N94" i="6"/>
  <c r="BH94" i="6"/>
  <c r="BG94" i="6" s="1"/>
  <c r="BF94" i="6" s="1"/>
  <c r="P94" i="6" s="1"/>
  <c r="H273" i="6"/>
  <c r="AR273" i="6"/>
  <c r="AQ273" i="6" s="1"/>
  <c r="AP273" i="6" s="1"/>
  <c r="J273" i="6" s="1"/>
  <c r="Q338" i="6"/>
  <c r="BP338" i="6"/>
  <c r="BO338" i="6" s="1"/>
  <c r="BN338" i="6" s="1"/>
  <c r="S338" i="6" s="1"/>
  <c r="N81" i="6"/>
  <c r="BH81" i="6"/>
  <c r="BG81" i="6" s="1"/>
  <c r="BF81" i="6" s="1"/>
  <c r="P81" i="6" s="1"/>
  <c r="H414" i="6"/>
  <c r="AR414" i="6"/>
  <c r="AQ414" i="6" s="1"/>
  <c r="AP414" i="6" s="1"/>
  <c r="J414" i="6" s="1"/>
  <c r="H95" i="6"/>
  <c r="AR95" i="6"/>
  <c r="AQ95" i="6" s="1"/>
  <c r="AP95" i="6" s="1"/>
  <c r="J95" i="6" s="1"/>
  <c r="N444" i="6"/>
  <c r="BH444" i="6"/>
  <c r="BG444" i="6" s="1"/>
  <c r="BF444" i="6" s="1"/>
  <c r="P444" i="6" s="1"/>
  <c r="Q267" i="6"/>
  <c r="BP267" i="6"/>
  <c r="BO267" i="6" s="1"/>
  <c r="BN267" i="6" s="1"/>
  <c r="S267" i="6" s="1"/>
  <c r="N88" i="6"/>
  <c r="BH88" i="6"/>
  <c r="BG88" i="6" s="1"/>
  <c r="BF88" i="6" s="1"/>
  <c r="P88" i="6" s="1"/>
  <c r="N247" i="6"/>
  <c r="BH247" i="6"/>
  <c r="BG247" i="6" s="1"/>
  <c r="BF247" i="6" s="1"/>
  <c r="P247" i="6" s="1"/>
  <c r="Q465" i="6"/>
  <c r="BP465" i="6"/>
  <c r="BO465" i="6" s="1"/>
  <c r="BN465" i="6" s="1"/>
  <c r="S465" i="6" s="1"/>
  <c r="H365" i="6"/>
  <c r="AR365" i="6"/>
  <c r="AQ365" i="6" s="1"/>
  <c r="AP365" i="6" s="1"/>
  <c r="J365" i="6" s="1"/>
  <c r="H448" i="6"/>
  <c r="AR448" i="6"/>
  <c r="AQ448" i="6" s="1"/>
  <c r="AP448" i="6" s="1"/>
  <c r="J448" i="6" s="1"/>
  <c r="H376" i="6"/>
  <c r="AR376" i="6"/>
  <c r="AQ376" i="6" s="1"/>
  <c r="AP376" i="6" s="1"/>
  <c r="J376" i="6" s="1"/>
  <c r="H196" i="6"/>
  <c r="AR196" i="6"/>
  <c r="AQ196" i="6" s="1"/>
  <c r="AP196" i="6" s="1"/>
  <c r="J196" i="6" s="1"/>
  <c r="N415" i="6"/>
  <c r="BH415" i="6"/>
  <c r="BG415" i="6" s="1"/>
  <c r="BF415" i="6" s="1"/>
  <c r="P415" i="6" s="1"/>
  <c r="Q73" i="6"/>
  <c r="BP73" i="6"/>
  <c r="BO73" i="6" s="1"/>
  <c r="BN73" i="6" s="1"/>
  <c r="S73" i="6" s="1"/>
  <c r="H145" i="6"/>
  <c r="AR145" i="6"/>
  <c r="AQ145" i="6" s="1"/>
  <c r="AP145" i="6" s="1"/>
  <c r="J145" i="6" s="1"/>
  <c r="N339" i="6"/>
  <c r="BH339" i="6"/>
  <c r="BG339" i="6" s="1"/>
  <c r="BF339" i="6" s="1"/>
  <c r="P339" i="6" s="1"/>
  <c r="N154" i="6"/>
  <c r="BH154" i="6"/>
  <c r="BG154" i="6" s="1"/>
  <c r="BF154" i="6" s="1"/>
  <c r="P154" i="6" s="1"/>
  <c r="Q160" i="6"/>
  <c r="BP160" i="6"/>
  <c r="BO160" i="6" s="1"/>
  <c r="BN160" i="6" s="1"/>
  <c r="S160" i="6" s="1"/>
  <c r="N421" i="6"/>
  <c r="BH421" i="6"/>
  <c r="BG421" i="6" s="1"/>
  <c r="BF421" i="6" s="1"/>
  <c r="P421" i="6" s="1"/>
  <c r="N59" i="6"/>
  <c r="BH59" i="6"/>
  <c r="BG59" i="6" s="1"/>
  <c r="BF59" i="6" s="1"/>
  <c r="P59" i="6" s="1"/>
  <c r="Q442" i="6"/>
  <c r="BP442" i="6"/>
  <c r="BO442" i="6" s="1"/>
  <c r="BN442" i="6" s="1"/>
  <c r="S442" i="6" s="1"/>
  <c r="H92" i="6"/>
  <c r="AR92" i="6"/>
  <c r="AQ92" i="6" s="1"/>
  <c r="AP92" i="6" s="1"/>
  <c r="J92" i="6" s="1"/>
  <c r="N312" i="6"/>
  <c r="BH312" i="6"/>
  <c r="BG312" i="6" s="1"/>
  <c r="BF312" i="6" s="1"/>
  <c r="P312" i="6" s="1"/>
  <c r="N441" i="6"/>
  <c r="BH441" i="6"/>
  <c r="BG441" i="6" s="1"/>
  <c r="BF441" i="6" s="1"/>
  <c r="P441" i="6" s="1"/>
  <c r="H127" i="6"/>
  <c r="AR127" i="6"/>
  <c r="AQ127" i="6" s="1"/>
  <c r="AP127" i="6" s="1"/>
  <c r="J127" i="6" s="1"/>
  <c r="H11" i="6"/>
  <c r="AR11" i="6"/>
  <c r="AQ11" i="6" s="1"/>
  <c r="AP11" i="6" s="1"/>
  <c r="J11" i="6" s="1"/>
  <c r="H152" i="6"/>
  <c r="AR152" i="6"/>
  <c r="AQ152" i="6" s="1"/>
  <c r="AP152" i="6" s="1"/>
  <c r="J152" i="6" s="1"/>
  <c r="Q359" i="6"/>
  <c r="BP359" i="6"/>
  <c r="BO359" i="6" s="1"/>
  <c r="BN359" i="6" s="1"/>
  <c r="S359" i="6" s="1"/>
  <c r="Q140" i="6"/>
  <c r="BP140" i="6"/>
  <c r="BO140" i="6" s="1"/>
  <c r="BN140" i="6" s="1"/>
  <c r="S140" i="6" s="1"/>
  <c r="Q246" i="6"/>
  <c r="BP246" i="6"/>
  <c r="BO246" i="6" s="1"/>
  <c r="BN246" i="6" s="1"/>
  <c r="S246" i="6" s="1"/>
  <c r="Q63" i="6"/>
  <c r="BP63" i="6"/>
  <c r="BO63" i="6" s="1"/>
  <c r="BN63" i="6" s="1"/>
  <c r="S63" i="6" s="1"/>
  <c r="Q271" i="6"/>
  <c r="BP271" i="6"/>
  <c r="BO271" i="6" s="1"/>
  <c r="BN271" i="6" s="1"/>
  <c r="S271" i="6" s="1"/>
  <c r="Q105" i="6"/>
  <c r="BP105" i="6"/>
  <c r="BO105" i="6" s="1"/>
  <c r="BN105" i="6" s="1"/>
  <c r="S105" i="6" s="1"/>
  <c r="N161" i="6"/>
  <c r="BH161" i="6"/>
  <c r="BG161" i="6" s="1"/>
  <c r="BF161" i="6" s="1"/>
  <c r="P161" i="6" s="1"/>
  <c r="N388" i="6"/>
  <c r="BH388" i="6"/>
  <c r="BG388" i="6" s="1"/>
  <c r="BF388" i="6" s="1"/>
  <c r="P388" i="6" s="1"/>
  <c r="H56" i="6"/>
  <c r="AR56" i="6"/>
  <c r="AQ56" i="6" s="1"/>
  <c r="AP56" i="6" s="1"/>
  <c r="J56" i="6" s="1"/>
  <c r="H110" i="6"/>
  <c r="AR110" i="6"/>
  <c r="AQ110" i="6" s="1"/>
  <c r="AP110" i="6" s="1"/>
  <c r="J110" i="6" s="1"/>
  <c r="Q252" i="6"/>
  <c r="BP252" i="6"/>
  <c r="BO252" i="6" s="1"/>
  <c r="BN252" i="6" s="1"/>
  <c r="S252" i="6" s="1"/>
  <c r="H281" i="6"/>
  <c r="AR281" i="6"/>
  <c r="AQ281" i="6" s="1"/>
  <c r="AP281" i="6" s="1"/>
  <c r="J281" i="6" s="1"/>
  <c r="Q300" i="6"/>
  <c r="BP300" i="6"/>
  <c r="BO300" i="6" s="1"/>
  <c r="BN300" i="6" s="1"/>
  <c r="S300" i="6" s="1"/>
  <c r="N427" i="6"/>
  <c r="BH427" i="6"/>
  <c r="BG427" i="6" s="1"/>
  <c r="BF427" i="6" s="1"/>
  <c r="P427" i="6" s="1"/>
  <c r="Q51" i="6"/>
  <c r="BP51" i="6"/>
  <c r="BO51" i="6" s="1"/>
  <c r="BN51" i="6" s="1"/>
  <c r="S51" i="6" s="1"/>
  <c r="Q353" i="6"/>
  <c r="BP353" i="6"/>
  <c r="BO353" i="6" s="1"/>
  <c r="BN353" i="6" s="1"/>
  <c r="S353" i="6" s="1"/>
  <c r="H366" i="6"/>
  <c r="AR366" i="6"/>
  <c r="AQ366" i="6" s="1"/>
  <c r="AP366" i="6" s="1"/>
  <c r="J366" i="6" s="1"/>
  <c r="Q64" i="6"/>
  <c r="BP64" i="6"/>
  <c r="BO64" i="6" s="1"/>
  <c r="BN64" i="6" s="1"/>
  <c r="S64" i="6" s="1"/>
  <c r="N195" i="6"/>
  <c r="BH195" i="6"/>
  <c r="BG195" i="6" s="1"/>
  <c r="BF195" i="6" s="1"/>
  <c r="P195" i="6" s="1"/>
  <c r="Q346" i="6"/>
  <c r="BP346" i="6"/>
  <c r="BO346" i="6" s="1"/>
  <c r="BN346" i="6" s="1"/>
  <c r="S346" i="6" s="1"/>
  <c r="Q396" i="6"/>
  <c r="BP396" i="6"/>
  <c r="BO396" i="6" s="1"/>
  <c r="BN396" i="6" s="1"/>
  <c r="S396" i="6" s="1"/>
  <c r="Q438" i="6"/>
  <c r="BP438" i="6"/>
  <c r="BO438" i="6" s="1"/>
  <c r="BN438" i="6" s="1"/>
  <c r="S438" i="6" s="1"/>
  <c r="N67" i="6"/>
  <c r="BH67" i="6"/>
  <c r="BG67" i="6" s="1"/>
  <c r="BF67" i="6" s="1"/>
  <c r="P67" i="6" s="1"/>
  <c r="N360" i="6"/>
  <c r="BH360" i="6"/>
  <c r="BG360" i="6" s="1"/>
  <c r="BF360" i="6" s="1"/>
  <c r="P360" i="6" s="1"/>
  <c r="H44" i="6"/>
  <c r="AR44" i="6"/>
  <c r="AQ44" i="6" s="1"/>
  <c r="AP44" i="6" s="1"/>
  <c r="J44" i="6" s="1"/>
  <c r="H298" i="6"/>
  <c r="AR298" i="6"/>
  <c r="AQ298" i="6" s="1"/>
  <c r="AP298" i="6" s="1"/>
  <c r="J298" i="6" s="1"/>
  <c r="H443" i="6"/>
  <c r="AR443" i="6"/>
  <c r="AQ443" i="6" s="1"/>
  <c r="AP443" i="6" s="1"/>
  <c r="J443" i="6" s="1"/>
  <c r="N212" i="6"/>
  <c r="BH212" i="6"/>
  <c r="BG212" i="6" s="1"/>
  <c r="BF212" i="6" s="1"/>
  <c r="P212" i="6" s="1"/>
  <c r="Q269" i="6"/>
  <c r="BP269" i="6"/>
  <c r="BO269" i="6" s="1"/>
  <c r="BN269" i="6" s="1"/>
  <c r="S269" i="6" s="1"/>
  <c r="Q182" i="6"/>
  <c r="BP182" i="6"/>
  <c r="BO182" i="6" s="1"/>
  <c r="BN182" i="6" s="1"/>
  <c r="S182" i="6" s="1"/>
  <c r="H386" i="6"/>
  <c r="AR386" i="6"/>
  <c r="AQ386" i="6" s="1"/>
  <c r="AP386" i="6" s="1"/>
  <c r="J386" i="6" s="1"/>
  <c r="Q130" i="6"/>
  <c r="BP130" i="6"/>
  <c r="BO130" i="6" s="1"/>
  <c r="BN130" i="6" s="1"/>
  <c r="S130" i="6" s="1"/>
  <c r="Q331" i="6"/>
  <c r="BP331" i="6"/>
  <c r="BO331" i="6" s="1"/>
  <c r="BN331" i="6" s="1"/>
  <c r="S331" i="6" s="1"/>
  <c r="Q384" i="6"/>
  <c r="BP384" i="6"/>
  <c r="BO384" i="6" s="1"/>
  <c r="BN384" i="6" s="1"/>
  <c r="S384" i="6" s="1"/>
  <c r="H299" i="6"/>
  <c r="AR299" i="6"/>
  <c r="AQ299" i="6" s="1"/>
  <c r="AP299" i="6" s="1"/>
  <c r="J299" i="6" s="1"/>
  <c r="Q129" i="6"/>
  <c r="BP129" i="6"/>
  <c r="BO129" i="6" s="1"/>
  <c r="BN129" i="6" s="1"/>
  <c r="S129" i="6" s="1"/>
  <c r="N36" i="6"/>
  <c r="BH36" i="6"/>
  <c r="BG36" i="6" s="1"/>
  <c r="BF36" i="6" s="1"/>
  <c r="P36" i="6" s="1"/>
  <c r="H425" i="6"/>
  <c r="AR425" i="6"/>
  <c r="AQ425" i="6" s="1"/>
  <c r="AP425" i="6" s="1"/>
  <c r="J425" i="6" s="1"/>
  <c r="Q449" i="6"/>
  <c r="BP449" i="6"/>
  <c r="BO449" i="6" s="1"/>
  <c r="BN449" i="6" s="1"/>
  <c r="S449" i="6" s="1"/>
  <c r="H462" i="6"/>
  <c r="AR462" i="6"/>
  <c r="AQ462" i="6" s="1"/>
  <c r="AP462" i="6" s="1"/>
  <c r="J462" i="6" s="1"/>
  <c r="H229" i="6"/>
  <c r="AR229" i="6"/>
  <c r="AQ229" i="6" s="1"/>
  <c r="AP229" i="6" s="1"/>
  <c r="J229" i="6" s="1"/>
  <c r="N314" i="6"/>
  <c r="BH314" i="6"/>
  <c r="BG314" i="6" s="1"/>
  <c r="BF314" i="6" s="1"/>
  <c r="P314" i="6" s="1"/>
  <c r="Q123" i="6"/>
  <c r="BP123" i="6"/>
  <c r="BO123" i="6" s="1"/>
  <c r="BN123" i="6" s="1"/>
  <c r="S123" i="6" s="1"/>
  <c r="N185" i="6"/>
  <c r="BH185" i="6"/>
  <c r="BG185" i="6" s="1"/>
  <c r="BF185" i="6" s="1"/>
  <c r="P185" i="6" s="1"/>
  <c r="Q222" i="6"/>
  <c r="BP222" i="6"/>
  <c r="BO222" i="6" s="1"/>
  <c r="BN222" i="6" s="1"/>
  <c r="S222" i="6" s="1"/>
  <c r="Q352" i="6"/>
  <c r="BP352" i="6"/>
  <c r="BO352" i="6" s="1"/>
  <c r="BN352" i="6" s="1"/>
  <c r="S352" i="6" s="1"/>
  <c r="N332" i="6"/>
  <c r="BH332" i="6"/>
  <c r="BG332" i="6" s="1"/>
  <c r="BF332" i="6" s="1"/>
  <c r="P332" i="6" s="1"/>
  <c r="N30" i="6"/>
  <c r="BH30" i="6"/>
  <c r="BG30" i="6" s="1"/>
  <c r="BF30" i="6" s="1"/>
  <c r="P30" i="6" s="1"/>
  <c r="H223" i="6"/>
  <c r="AR223" i="6"/>
  <c r="AQ223" i="6" s="1"/>
  <c r="AP223" i="6" s="1"/>
  <c r="J223" i="6" s="1"/>
  <c r="N103" i="6"/>
  <c r="BH103" i="6"/>
  <c r="BG103" i="6" s="1"/>
  <c r="BF103" i="6" s="1"/>
  <c r="P103" i="6" s="1"/>
  <c r="N169" i="6"/>
  <c r="BH169" i="6"/>
  <c r="BG169" i="6" s="1"/>
  <c r="BF169" i="6" s="1"/>
  <c r="P169" i="6" s="1"/>
  <c r="H245" i="6"/>
  <c r="AR245" i="6"/>
  <c r="AQ245" i="6" s="1"/>
  <c r="AP245" i="6" s="1"/>
  <c r="J245" i="6" s="1"/>
  <c r="N412" i="6"/>
  <c r="BH412" i="6"/>
  <c r="BG412" i="6" s="1"/>
  <c r="BF412" i="6" s="1"/>
  <c r="P412" i="6" s="1"/>
  <c r="N370" i="6"/>
  <c r="BH370" i="6"/>
  <c r="BG370" i="6" s="1"/>
  <c r="BF370" i="6" s="1"/>
  <c r="P370" i="6" s="1"/>
  <c r="N159" i="6"/>
  <c r="BH159" i="6"/>
  <c r="BG159" i="6" s="1"/>
  <c r="BF159" i="6" s="1"/>
  <c r="P159" i="6" s="1"/>
  <c r="N404" i="6"/>
  <c r="BH404" i="6"/>
  <c r="BG404" i="6" s="1"/>
  <c r="BF404" i="6" s="1"/>
  <c r="P404" i="6" s="1"/>
  <c r="Q178" i="6"/>
  <c r="BP178" i="6"/>
  <c r="BO178" i="6" s="1"/>
  <c r="BN178" i="6" s="1"/>
  <c r="S178" i="6" s="1"/>
  <c r="Q285" i="6"/>
  <c r="BP285" i="6"/>
  <c r="BO285" i="6" s="1"/>
  <c r="BN285" i="6" s="1"/>
  <c r="S285" i="6" s="1"/>
  <c r="N188" i="6"/>
  <c r="BH188" i="6"/>
  <c r="BG188" i="6" s="1"/>
  <c r="BF188" i="6" s="1"/>
  <c r="P188" i="6" s="1"/>
  <c r="H310" i="6"/>
  <c r="AR310" i="6"/>
  <c r="AQ310" i="6" s="1"/>
  <c r="AP310" i="6" s="1"/>
  <c r="J310" i="6" s="1"/>
  <c r="N284" i="6"/>
  <c r="BH284" i="6"/>
  <c r="BG284" i="6" s="1"/>
  <c r="BF284" i="6" s="1"/>
  <c r="P284" i="6" s="1"/>
  <c r="Q432" i="6"/>
  <c r="BP432" i="6"/>
  <c r="BO432" i="6" s="1"/>
  <c r="BN432" i="6" s="1"/>
  <c r="S432" i="6" s="1"/>
  <c r="Q321" i="6"/>
  <c r="BP321" i="6"/>
  <c r="BO321" i="6" s="1"/>
  <c r="BN321" i="6" s="1"/>
  <c r="S321" i="6" s="1"/>
  <c r="Q434" i="6"/>
  <c r="BP434" i="6"/>
  <c r="BO434" i="6" s="1"/>
  <c r="BN434" i="6" s="1"/>
  <c r="S434" i="6" s="1"/>
  <c r="H134" i="6"/>
  <c r="AR134" i="6"/>
  <c r="AQ134" i="6" s="1"/>
  <c r="AP134" i="6" s="1"/>
  <c r="J134" i="6" s="1"/>
  <c r="N41" i="6"/>
  <c r="BH41" i="6"/>
  <c r="BG41" i="6" s="1"/>
  <c r="BF41" i="6" s="1"/>
  <c r="P41" i="6" s="1"/>
  <c r="H309" i="6"/>
  <c r="AR309" i="6"/>
  <c r="AQ309" i="6" s="1"/>
  <c r="AP309" i="6" s="1"/>
  <c r="J309" i="6" s="1"/>
  <c r="Q98" i="6"/>
  <c r="BP98" i="6"/>
  <c r="BO98" i="6" s="1"/>
  <c r="BN98" i="6" s="1"/>
  <c r="S98" i="6" s="1"/>
  <c r="Q424" i="6"/>
  <c r="BP424" i="6"/>
  <c r="BO424" i="6" s="1"/>
  <c r="BN424" i="6" s="1"/>
  <c r="S424" i="6" s="1"/>
  <c r="N440" i="6"/>
  <c r="BH440" i="6"/>
  <c r="BG440" i="6" s="1"/>
  <c r="BF440" i="6" s="1"/>
  <c r="P440" i="6" s="1"/>
  <c r="Q275" i="6"/>
  <c r="BP275" i="6"/>
  <c r="BO275" i="6" s="1"/>
  <c r="BN275" i="6" s="1"/>
  <c r="S275" i="6" s="1"/>
  <c r="Q238" i="6"/>
  <c r="BP238" i="6"/>
  <c r="BO238" i="6" s="1"/>
  <c r="BN238" i="6" s="1"/>
  <c r="S238" i="6" s="1"/>
  <c r="H254" i="6"/>
  <c r="AR254" i="6"/>
  <c r="AQ254" i="6" s="1"/>
  <c r="AP254" i="6" s="1"/>
  <c r="J254" i="6" s="1"/>
  <c r="Q28" i="6"/>
  <c r="BP28" i="6"/>
  <c r="BO28" i="6" s="1"/>
  <c r="BN28" i="6" s="1"/>
  <c r="S28" i="6" s="1"/>
  <c r="N149" i="6"/>
  <c r="BH149" i="6"/>
  <c r="BG149" i="6" s="1"/>
  <c r="BF149" i="6" s="1"/>
  <c r="P149" i="6" s="1"/>
  <c r="N334" i="6"/>
  <c r="BH334" i="6"/>
  <c r="BG334" i="6" s="1"/>
  <c r="BF334" i="6" s="1"/>
  <c r="P334" i="6" s="1"/>
  <c r="H22" i="6"/>
  <c r="AR22" i="6"/>
  <c r="AQ22" i="6" s="1"/>
  <c r="AP22" i="6" s="1"/>
  <c r="J22" i="6" s="1"/>
  <c r="Q34" i="6"/>
  <c r="BP34" i="6"/>
  <c r="BO34" i="6" s="1"/>
  <c r="BN34" i="6" s="1"/>
  <c r="S34" i="6" s="1"/>
  <c r="N158" i="6"/>
  <c r="BH158" i="6"/>
  <c r="BG158" i="6" s="1"/>
  <c r="BF158" i="6" s="1"/>
  <c r="P158" i="6" s="1"/>
  <c r="Q270" i="6"/>
  <c r="BP270" i="6"/>
  <c r="BO270" i="6" s="1"/>
  <c r="BN270" i="6" s="1"/>
  <c r="S270" i="6" s="1"/>
  <c r="H439" i="6"/>
  <c r="AR439" i="6"/>
  <c r="AQ439" i="6" s="1"/>
  <c r="AP439" i="6" s="1"/>
  <c r="J439" i="6" s="1"/>
  <c r="Q453" i="6"/>
  <c r="BP453" i="6"/>
  <c r="BO453" i="6" s="1"/>
  <c r="BN453" i="6" s="1"/>
  <c r="S453" i="6" s="1"/>
  <c r="N318" i="6"/>
  <c r="BH318" i="6"/>
  <c r="BG318" i="6" s="1"/>
  <c r="BF318" i="6" s="1"/>
  <c r="P318" i="6" s="1"/>
  <c r="H446" i="6"/>
  <c r="AR446" i="6"/>
  <c r="AQ446" i="6" s="1"/>
  <c r="AP446" i="6" s="1"/>
  <c r="J446" i="6" s="1"/>
  <c r="H55" i="6"/>
  <c r="AR55" i="6"/>
  <c r="AQ55" i="6" s="1"/>
  <c r="AP55" i="6" s="1"/>
  <c r="J55" i="6" s="1"/>
  <c r="N167" i="6"/>
  <c r="BH167" i="6"/>
  <c r="BG167" i="6" s="1"/>
  <c r="BF167" i="6" s="1"/>
  <c r="P167" i="6" s="1"/>
  <c r="H407" i="6"/>
  <c r="AR407" i="6"/>
  <c r="AQ407" i="6" s="1"/>
  <c r="AP407" i="6" s="1"/>
  <c r="J407" i="6" s="1"/>
  <c r="N42" i="6"/>
  <c r="BH42" i="6"/>
  <c r="BG42" i="6" s="1"/>
  <c r="BF42" i="6" s="1"/>
  <c r="P42" i="6" s="1"/>
  <c r="N287" i="6"/>
  <c r="BH287" i="6"/>
  <c r="BG287" i="6" s="1"/>
  <c r="BF287" i="6" s="1"/>
  <c r="P287" i="6" s="1"/>
  <c r="Q340" i="6"/>
  <c r="BP340" i="6"/>
  <c r="BO340" i="6" s="1"/>
  <c r="BN340" i="6" s="1"/>
  <c r="S340" i="6" s="1"/>
  <c r="Q330" i="6"/>
  <c r="BP330" i="6"/>
  <c r="BO330" i="6" s="1"/>
  <c r="BN330" i="6" s="1"/>
  <c r="S330" i="6" s="1"/>
  <c r="N40" i="6"/>
  <c r="BH40" i="6"/>
  <c r="BG40" i="6" s="1"/>
  <c r="BF40" i="6" s="1"/>
  <c r="P40" i="6" s="1"/>
  <c r="N219" i="6"/>
  <c r="BH219" i="6"/>
  <c r="BG219" i="6" s="1"/>
  <c r="BF219" i="6" s="1"/>
  <c r="P219" i="6" s="1"/>
  <c r="N379" i="6"/>
  <c r="BH379" i="6"/>
  <c r="BG379" i="6" s="1"/>
  <c r="BF379" i="6" s="1"/>
  <c r="P379" i="6" s="1"/>
  <c r="N450" i="6"/>
  <c r="BH450" i="6"/>
  <c r="BG450" i="6" s="1"/>
  <c r="BF450" i="6" s="1"/>
  <c r="P450" i="6" s="1"/>
  <c r="H207" i="6"/>
  <c r="AR207" i="6"/>
  <c r="AQ207" i="6" s="1"/>
  <c r="AP207" i="6" s="1"/>
  <c r="J207" i="6" s="1"/>
  <c r="Q72" i="6"/>
  <c r="BP72" i="6"/>
  <c r="BO72" i="6" s="1"/>
  <c r="BN72" i="6" s="1"/>
  <c r="S72" i="6" s="1"/>
  <c r="Q114" i="6"/>
  <c r="BP114" i="6"/>
  <c r="BO114" i="6" s="1"/>
  <c r="BN114" i="6" s="1"/>
  <c r="S114" i="6" s="1"/>
  <c r="Q18" i="6"/>
  <c r="BP18" i="6"/>
  <c r="BO18" i="6" s="1"/>
  <c r="BN18" i="6" s="1"/>
  <c r="S18" i="6" s="1"/>
  <c r="Q419" i="6"/>
  <c r="BP419" i="6"/>
  <c r="BO419" i="6" s="1"/>
  <c r="BN419" i="6" s="1"/>
  <c r="S419" i="6" s="1"/>
  <c r="N380" i="6"/>
  <c r="BH380" i="6"/>
  <c r="BG380" i="6" s="1"/>
  <c r="BF380" i="6" s="1"/>
  <c r="P380" i="6" s="1"/>
  <c r="H411" i="6"/>
  <c r="AR411" i="6"/>
  <c r="AQ411" i="6" s="1"/>
  <c r="AP411" i="6" s="1"/>
  <c r="J411" i="6" s="1"/>
  <c r="H90" i="6"/>
  <c r="AR90" i="6"/>
  <c r="AQ90" i="6" s="1"/>
  <c r="AP90" i="6" s="1"/>
  <c r="J90" i="6" s="1"/>
  <c r="Q111" i="6"/>
  <c r="BP111" i="6"/>
  <c r="BO111" i="6" s="1"/>
  <c r="BN111" i="6" s="1"/>
  <c r="S111" i="6" s="1"/>
  <c r="N356" i="6"/>
  <c r="BH356" i="6"/>
  <c r="BG356" i="6" s="1"/>
  <c r="BF356" i="6" s="1"/>
  <c r="P356" i="6" s="1"/>
  <c r="H60" i="6"/>
  <c r="AR60" i="6"/>
  <c r="AQ60" i="6" s="1"/>
  <c r="AP60" i="6" s="1"/>
  <c r="J60" i="6" s="1"/>
  <c r="N242" i="6"/>
  <c r="BH242" i="6"/>
  <c r="BG242" i="6" s="1"/>
  <c r="BF242" i="6" s="1"/>
  <c r="P242" i="6" s="1"/>
  <c r="N282" i="6"/>
  <c r="BH282" i="6"/>
  <c r="BG282" i="6" s="1"/>
  <c r="BF282" i="6" s="1"/>
  <c r="P282" i="6" s="1"/>
  <c r="Q452" i="6"/>
  <c r="BP452" i="6"/>
  <c r="BO452" i="6" s="1"/>
  <c r="BN452" i="6" s="1"/>
  <c r="S452" i="6" s="1"/>
  <c r="H146" i="6"/>
  <c r="AR146" i="6"/>
  <c r="AQ146" i="6" s="1"/>
  <c r="AP146" i="6" s="1"/>
  <c r="J146" i="6" s="1"/>
  <c r="Q143" i="6"/>
  <c r="BP143" i="6"/>
  <c r="BO143" i="6" s="1"/>
  <c r="BN143" i="6" s="1"/>
  <c r="S143" i="6" s="1"/>
  <c r="H328" i="6"/>
  <c r="AR328" i="6"/>
  <c r="AQ328" i="6" s="1"/>
  <c r="AP328" i="6" s="1"/>
  <c r="J328" i="6" s="1"/>
  <c r="N153" i="6"/>
  <c r="BH153" i="6"/>
  <c r="BG153" i="6" s="1"/>
  <c r="BF153" i="6" s="1"/>
  <c r="P153" i="6" s="1"/>
  <c r="Q387" i="6"/>
  <c r="BP387" i="6"/>
  <c r="BO387" i="6" s="1"/>
  <c r="BN387" i="6" s="1"/>
  <c r="S387" i="6" s="1"/>
  <c r="H266" i="6"/>
  <c r="AR266" i="6"/>
  <c r="AQ266" i="6" s="1"/>
  <c r="AP266" i="6" s="1"/>
  <c r="J266" i="6" s="1"/>
  <c r="Q78" i="6"/>
  <c r="BP78" i="6"/>
  <c r="BO78" i="6" s="1"/>
  <c r="BN78" i="6" s="1"/>
  <c r="S78" i="6" s="1"/>
  <c r="H317" i="6"/>
  <c r="AR317" i="6"/>
  <c r="AQ317" i="6" s="1"/>
  <c r="AP317" i="6" s="1"/>
  <c r="J317" i="6" s="1"/>
  <c r="H23" i="6"/>
  <c r="AR23" i="6"/>
  <c r="AQ23" i="6" s="1"/>
  <c r="AP23" i="6" s="1"/>
  <c r="J23" i="6" s="1"/>
  <c r="H96" i="6"/>
  <c r="AR96" i="6"/>
  <c r="AQ96" i="6" s="1"/>
  <c r="AP96" i="6" s="1"/>
  <c r="J96" i="6" s="1"/>
  <c r="Q361" i="6"/>
  <c r="BP361" i="6"/>
  <c r="BO361" i="6" s="1"/>
  <c r="BN361" i="6" s="1"/>
  <c r="S361" i="6" s="1"/>
  <c r="H173" i="6"/>
  <c r="AR173" i="6"/>
  <c r="AQ173" i="6" s="1"/>
  <c r="AP173" i="6" s="1"/>
  <c r="J173" i="6" s="1"/>
  <c r="N296" i="6"/>
  <c r="BH296" i="6"/>
  <c r="BG296" i="6" s="1"/>
  <c r="BF296" i="6" s="1"/>
  <c r="P296" i="6" s="1"/>
  <c r="H408" i="6"/>
  <c r="AR408" i="6"/>
  <c r="AQ408" i="6" s="1"/>
  <c r="AP408" i="6" s="1"/>
  <c r="J408" i="6" s="1"/>
  <c r="H139" i="6"/>
  <c r="AR139" i="6"/>
  <c r="AQ139" i="6" s="1"/>
  <c r="AP139" i="6" s="1"/>
  <c r="J139" i="6" s="1"/>
  <c r="Q94" i="6"/>
  <c r="BP94" i="6"/>
  <c r="BO94" i="6" s="1"/>
  <c r="BN94" i="6" s="1"/>
  <c r="S94" i="6" s="1"/>
  <c r="H106" i="6"/>
  <c r="AR106" i="6"/>
  <c r="AQ106" i="6" s="1"/>
  <c r="AP106" i="6" s="1"/>
  <c r="J106" i="6" s="1"/>
  <c r="Q74" i="6"/>
  <c r="BP74" i="6"/>
  <c r="BO74" i="6" s="1"/>
  <c r="BN74" i="6" s="1"/>
  <c r="S74" i="6" s="1"/>
  <c r="Q81" i="6"/>
  <c r="BP81" i="6"/>
  <c r="BO81" i="6" s="1"/>
  <c r="BN81" i="6" s="1"/>
  <c r="S81" i="6" s="1"/>
  <c r="N218" i="6"/>
  <c r="BH218" i="6"/>
  <c r="BG218" i="6" s="1"/>
  <c r="BF218" i="6" s="1"/>
  <c r="P218" i="6" s="1"/>
  <c r="N53" i="6"/>
  <c r="BH53" i="6"/>
  <c r="BG53" i="6" s="1"/>
  <c r="BF53" i="6" s="1"/>
  <c r="P53" i="6" s="1"/>
  <c r="H268" i="6"/>
  <c r="AR268" i="6"/>
  <c r="AQ268" i="6" s="1"/>
  <c r="AP268" i="6" s="1"/>
  <c r="J268" i="6" s="1"/>
  <c r="H267" i="6"/>
  <c r="AR267" i="6"/>
  <c r="AQ267" i="6" s="1"/>
  <c r="AP267" i="6" s="1"/>
  <c r="J267" i="6" s="1"/>
  <c r="H240" i="6"/>
  <c r="AR240" i="6"/>
  <c r="AQ240" i="6" s="1"/>
  <c r="AP240" i="6" s="1"/>
  <c r="J240" i="6" s="1"/>
  <c r="N20" i="6"/>
  <c r="BH20" i="6"/>
  <c r="BG20" i="6" s="1"/>
  <c r="BF20" i="6" s="1"/>
  <c r="P20" i="6" s="1"/>
  <c r="H247" i="6"/>
  <c r="AR247" i="6"/>
  <c r="AQ247" i="6" s="1"/>
  <c r="AP247" i="6" s="1"/>
  <c r="J247" i="6" s="1"/>
  <c r="N274" i="6"/>
  <c r="BH274" i="6"/>
  <c r="BG274" i="6" s="1"/>
  <c r="BF274" i="6" s="1"/>
  <c r="P274" i="6" s="1"/>
  <c r="Q83" i="6"/>
  <c r="BP83" i="6"/>
  <c r="BO83" i="6" s="1"/>
  <c r="BN83" i="6" s="1"/>
  <c r="S83" i="6" s="1"/>
  <c r="Q415" i="6"/>
  <c r="BP415" i="6"/>
  <c r="BO415" i="6" s="1"/>
  <c r="BN415" i="6" s="1"/>
  <c r="S415" i="6" s="1"/>
  <c r="N257" i="6"/>
  <c r="BH257" i="6"/>
  <c r="BG257" i="6" s="1"/>
  <c r="BF257" i="6" s="1"/>
  <c r="P257" i="6" s="1"/>
  <c r="H15" i="6"/>
  <c r="AR15" i="6"/>
  <c r="AQ15" i="6" s="1"/>
  <c r="AP15" i="6" s="1"/>
  <c r="J15" i="6" s="1"/>
  <c r="Q339" i="6"/>
  <c r="BP339" i="6"/>
  <c r="BO339" i="6" s="1"/>
  <c r="BN339" i="6" s="1"/>
  <c r="S339" i="6" s="1"/>
  <c r="N216" i="6"/>
  <c r="BH216" i="6"/>
  <c r="BG216" i="6" s="1"/>
  <c r="BF216" i="6" s="1"/>
  <c r="P216" i="6" s="1"/>
  <c r="Q100" i="6"/>
  <c r="BP100" i="6"/>
  <c r="BO100" i="6" s="1"/>
  <c r="BN100" i="6" s="1"/>
  <c r="S100" i="6" s="1"/>
  <c r="N244" i="6"/>
  <c r="BH244" i="6"/>
  <c r="BG244" i="6" s="1"/>
  <c r="BF244" i="6" s="1"/>
  <c r="P244" i="6" s="1"/>
  <c r="H421" i="6"/>
  <c r="AR421" i="6"/>
  <c r="AQ421" i="6" s="1"/>
  <c r="AP421" i="6" s="1"/>
  <c r="J421" i="6" s="1"/>
  <c r="Q59" i="6"/>
  <c r="BP59" i="6"/>
  <c r="BO59" i="6" s="1"/>
  <c r="BN59" i="6" s="1"/>
  <c r="S59" i="6" s="1"/>
  <c r="H184" i="6"/>
  <c r="AR184" i="6"/>
  <c r="AQ184" i="6" s="1"/>
  <c r="AP184" i="6" s="1"/>
  <c r="J184" i="6" s="1"/>
  <c r="N248" i="6"/>
  <c r="BH248" i="6"/>
  <c r="BG248" i="6" s="1"/>
  <c r="BF248" i="6" s="1"/>
  <c r="P248" i="6" s="1"/>
  <c r="Q372" i="6"/>
  <c r="BP372" i="6"/>
  <c r="BO372" i="6" s="1"/>
  <c r="BN372" i="6" s="1"/>
  <c r="S372" i="6" s="1"/>
  <c r="N17" i="6"/>
  <c r="BH17" i="6"/>
  <c r="BG17" i="6" s="1"/>
  <c r="BF17" i="6" s="1"/>
  <c r="P17" i="6" s="1"/>
  <c r="N84" i="6"/>
  <c r="BH84" i="6"/>
  <c r="BG84" i="6" s="1"/>
  <c r="BF84" i="6" s="1"/>
  <c r="P84" i="6" s="1"/>
  <c r="Q312" i="6"/>
  <c r="BP312" i="6"/>
  <c r="BO312" i="6" s="1"/>
  <c r="BN312" i="6" s="1"/>
  <c r="S312" i="6" s="1"/>
  <c r="Q50" i="6"/>
  <c r="BP50" i="6"/>
  <c r="BO50" i="6" s="1"/>
  <c r="BN50" i="6" s="1"/>
  <c r="S50" i="6" s="1"/>
  <c r="H359" i="6"/>
  <c r="AR359" i="6"/>
  <c r="AQ359" i="6" s="1"/>
  <c r="AP359" i="6" s="1"/>
  <c r="J359" i="6" s="1"/>
  <c r="H246" i="6"/>
  <c r="AR246" i="6"/>
  <c r="AQ246" i="6" s="1"/>
  <c r="AP246" i="6" s="1"/>
  <c r="J246" i="6" s="1"/>
  <c r="H428" i="6"/>
  <c r="AR428" i="6"/>
  <c r="AQ428" i="6" s="1"/>
  <c r="AP428" i="6" s="1"/>
  <c r="J428" i="6" s="1"/>
  <c r="H271" i="6"/>
  <c r="AR271" i="6"/>
  <c r="AQ271" i="6" s="1"/>
  <c r="AP271" i="6" s="1"/>
  <c r="J271" i="6" s="1"/>
  <c r="H416" i="6"/>
  <c r="AR416" i="6"/>
  <c r="AQ416" i="6" s="1"/>
  <c r="AP416" i="6" s="1"/>
  <c r="J416" i="6" s="1"/>
  <c r="Q286" i="6"/>
  <c r="BP286" i="6"/>
  <c r="BO286" i="6" s="1"/>
  <c r="BN286" i="6" s="1"/>
  <c r="S286" i="6" s="1"/>
  <c r="Q420" i="6"/>
  <c r="BP420" i="6"/>
  <c r="BO420" i="6" s="1"/>
  <c r="BN420" i="6" s="1"/>
  <c r="S420" i="6" s="1"/>
  <c r="N110" i="6"/>
  <c r="BH110" i="6"/>
  <c r="BG110" i="6" s="1"/>
  <c r="BF110" i="6" s="1"/>
  <c r="P110" i="6" s="1"/>
  <c r="N162" i="6"/>
  <c r="BH162" i="6"/>
  <c r="BG162" i="6" s="1"/>
  <c r="BF162" i="6" s="1"/>
  <c r="P162" i="6" s="1"/>
  <c r="N354" i="6"/>
  <c r="BH354" i="6"/>
  <c r="BG354" i="6" s="1"/>
  <c r="BF354" i="6" s="1"/>
  <c r="P354" i="6" s="1"/>
  <c r="H300" i="6"/>
  <c r="AR300" i="6"/>
  <c r="AQ300" i="6" s="1"/>
  <c r="AP300" i="6" s="1"/>
  <c r="J300" i="6" s="1"/>
  <c r="H276" i="6"/>
  <c r="AR276" i="6"/>
  <c r="AQ276" i="6" s="1"/>
  <c r="AP276" i="6" s="1"/>
  <c r="J276" i="6" s="1"/>
  <c r="H454" i="6"/>
  <c r="AR454" i="6"/>
  <c r="AQ454" i="6" s="1"/>
  <c r="AP454" i="6" s="1"/>
  <c r="J454" i="6" s="1"/>
  <c r="H64" i="6"/>
  <c r="AR64" i="6"/>
  <c r="AQ64" i="6" s="1"/>
  <c r="AP64" i="6" s="1"/>
  <c r="J64" i="6" s="1"/>
  <c r="H346" i="6"/>
  <c r="AR346" i="6"/>
  <c r="AQ346" i="6" s="1"/>
  <c r="AP346" i="6" s="1"/>
  <c r="J346" i="6" s="1"/>
  <c r="Q68" i="6"/>
  <c r="BP68" i="6"/>
  <c r="BO68" i="6" s="1"/>
  <c r="BN68" i="6" s="1"/>
  <c r="S68" i="6" s="1"/>
  <c r="N206" i="6"/>
  <c r="BH206" i="6"/>
  <c r="BG206" i="6" s="1"/>
  <c r="BF206" i="6" s="1"/>
  <c r="P206" i="6" s="1"/>
  <c r="Q212" i="6"/>
  <c r="BP212" i="6"/>
  <c r="BO212" i="6" s="1"/>
  <c r="BN212" i="6" s="1"/>
  <c r="S212" i="6" s="1"/>
  <c r="H393" i="6"/>
  <c r="AR393" i="6"/>
  <c r="AQ393" i="6" s="1"/>
  <c r="AP393" i="6" s="1"/>
  <c r="J393" i="6" s="1"/>
  <c r="H236" i="6"/>
  <c r="AR236" i="6"/>
  <c r="AQ236" i="6" s="1"/>
  <c r="AP236" i="6" s="1"/>
  <c r="J236" i="6" s="1"/>
  <c r="H130" i="6"/>
  <c r="AR130" i="6"/>
  <c r="AQ130" i="6" s="1"/>
  <c r="AP130" i="6" s="1"/>
  <c r="J130" i="6" s="1"/>
  <c r="Q402" i="6"/>
  <c r="BP402" i="6"/>
  <c r="BO402" i="6" s="1"/>
  <c r="BN402" i="6" s="1"/>
  <c r="S402" i="6" s="1"/>
  <c r="H69" i="6"/>
  <c r="AR69" i="6"/>
  <c r="AQ69" i="6" s="1"/>
  <c r="AP69" i="6" s="1"/>
  <c r="J69" i="6" s="1"/>
  <c r="N221" i="6"/>
  <c r="BH221" i="6"/>
  <c r="BG221" i="6" s="1"/>
  <c r="BF221" i="6" s="1"/>
  <c r="P221" i="6" s="1"/>
  <c r="N299" i="6"/>
  <c r="BH299" i="6"/>
  <c r="BG299" i="6" s="1"/>
  <c r="BF299" i="6" s="1"/>
  <c r="P299" i="6" s="1"/>
  <c r="H129" i="6"/>
  <c r="AR129" i="6"/>
  <c r="AQ129" i="6" s="1"/>
  <c r="AP129" i="6" s="1"/>
  <c r="J129" i="6" s="1"/>
  <c r="N463" i="6"/>
  <c r="BH463" i="6"/>
  <c r="BG463" i="6" s="1"/>
  <c r="BF463" i="6" s="1"/>
  <c r="P463" i="6" s="1"/>
  <c r="N214" i="6"/>
  <c r="BH214" i="6"/>
  <c r="BG214" i="6" s="1"/>
  <c r="BF214" i="6" s="1"/>
  <c r="P214" i="6" s="1"/>
  <c r="N308" i="6"/>
  <c r="BH308" i="6"/>
  <c r="BG308" i="6" s="1"/>
  <c r="BF308" i="6" s="1"/>
  <c r="P308" i="6" s="1"/>
  <c r="Q425" i="6"/>
  <c r="BP425" i="6"/>
  <c r="BO425" i="6" s="1"/>
  <c r="BN425" i="6" s="1"/>
  <c r="S425" i="6" s="1"/>
  <c r="H99" i="6"/>
  <c r="AR99" i="6"/>
  <c r="AQ99" i="6" s="1"/>
  <c r="AP99" i="6" s="1"/>
  <c r="J99" i="6" s="1"/>
  <c r="H191" i="6"/>
  <c r="AR191" i="6"/>
  <c r="AQ191" i="6" s="1"/>
  <c r="AP191" i="6" s="1"/>
  <c r="J191" i="6" s="1"/>
  <c r="N52" i="6"/>
  <c r="BH52" i="6"/>
  <c r="BG52" i="6" s="1"/>
  <c r="BF52" i="6" s="1"/>
  <c r="P52" i="6" s="1"/>
  <c r="H123" i="6"/>
  <c r="AR123" i="6"/>
  <c r="AQ123" i="6" s="1"/>
  <c r="AP123" i="6" s="1"/>
  <c r="J123" i="6" s="1"/>
  <c r="Q185" i="6"/>
  <c r="BP185" i="6"/>
  <c r="BO185" i="6" s="1"/>
  <c r="BN185" i="6" s="1"/>
  <c r="S185" i="6" s="1"/>
  <c r="H289" i="6"/>
  <c r="AR289" i="6"/>
  <c r="AQ289" i="6" s="1"/>
  <c r="AP289" i="6" s="1"/>
  <c r="J289" i="6" s="1"/>
  <c r="N228" i="6"/>
  <c r="BH228" i="6"/>
  <c r="BG228" i="6" s="1"/>
  <c r="BF228" i="6" s="1"/>
  <c r="P228" i="6" s="1"/>
  <c r="Q332" i="6"/>
  <c r="BP332" i="6"/>
  <c r="BO332" i="6" s="1"/>
  <c r="BN332" i="6" s="1"/>
  <c r="S332" i="6" s="1"/>
  <c r="Q194" i="6"/>
  <c r="BP194" i="6"/>
  <c r="BO194" i="6" s="1"/>
  <c r="BN194" i="6" s="1"/>
  <c r="S194" i="6" s="1"/>
  <c r="H30" i="6"/>
  <c r="AR30" i="6"/>
  <c r="AQ30" i="6" s="1"/>
  <c r="AP30" i="6" s="1"/>
  <c r="J30" i="6" s="1"/>
  <c r="Q193" i="6"/>
  <c r="BP193" i="6"/>
  <c r="BO193" i="6" s="1"/>
  <c r="BN193" i="6" s="1"/>
  <c r="S193" i="6" s="1"/>
  <c r="G146" i="1"/>
  <c r="F146" i="1"/>
  <c r="G145" i="1"/>
  <c r="F145" i="1"/>
  <c r="G102" i="1"/>
  <c r="F102" i="1"/>
  <c r="E102" i="1"/>
  <c r="D102" i="1"/>
  <c r="G79" i="1"/>
  <c r="C79" i="1"/>
  <c r="C102" i="1"/>
  <c r="F79" i="1"/>
  <c r="E79" i="1"/>
  <c r="V72" i="1"/>
  <c r="B72" i="1" s="1"/>
  <c r="D79" i="1"/>
  <c r="K332" i="6"/>
  <c r="AZ332" i="6"/>
  <c r="AY332" i="6" s="1"/>
  <c r="AX332" i="6" s="1"/>
  <c r="M332" i="6" s="1"/>
  <c r="AK440" i="6"/>
  <c r="AJ440" i="6" s="1"/>
  <c r="AI440" i="6" s="1"/>
  <c r="G440" i="6" s="1"/>
  <c r="E440" i="6"/>
  <c r="K126" i="6"/>
  <c r="AZ126" i="6"/>
  <c r="AY126" i="6" s="1"/>
  <c r="AX126" i="6" s="1"/>
  <c r="M126" i="6" s="1"/>
  <c r="K143" i="6"/>
  <c r="AZ143" i="6"/>
  <c r="AY143" i="6" s="1"/>
  <c r="AX143" i="6" s="1"/>
  <c r="M143" i="6" s="1"/>
  <c r="AZ331" i="6"/>
  <c r="AY331" i="6" s="1"/>
  <c r="AX331" i="6" s="1"/>
  <c r="M331" i="6" s="1"/>
  <c r="K331" i="6"/>
  <c r="AK360" i="6"/>
  <c r="AJ360" i="6" s="1"/>
  <c r="AI360" i="6" s="1"/>
  <c r="G360" i="6" s="1"/>
  <c r="E360" i="6"/>
  <c r="AK41" i="6"/>
  <c r="AJ41" i="6" s="1"/>
  <c r="AI41" i="6" s="1"/>
  <c r="G41" i="6" s="1"/>
  <c r="E41" i="6"/>
  <c r="AZ123" i="6"/>
  <c r="AY123" i="6" s="1"/>
  <c r="AX123" i="6" s="1"/>
  <c r="M123" i="6" s="1"/>
  <c r="K123" i="6"/>
  <c r="AK221" i="6"/>
  <c r="AJ221" i="6" s="1"/>
  <c r="AI221" i="6" s="1"/>
  <c r="G221" i="6" s="1"/>
  <c r="E221" i="6"/>
  <c r="AK357" i="6"/>
  <c r="AJ357" i="6" s="1"/>
  <c r="AI357" i="6" s="1"/>
  <c r="G357" i="6" s="1"/>
  <c r="E357" i="6"/>
  <c r="AZ67" i="6"/>
  <c r="AY67" i="6" s="1"/>
  <c r="AX67" i="6" s="1"/>
  <c r="M67" i="6" s="1"/>
  <c r="K67" i="6"/>
  <c r="K222" i="6"/>
  <c r="AZ222" i="6"/>
  <c r="AY222" i="6" s="1"/>
  <c r="AX222" i="6" s="1"/>
  <c r="M222" i="6" s="1"/>
  <c r="AZ155" i="6"/>
  <c r="AY155" i="6" s="1"/>
  <c r="AX155" i="6" s="1"/>
  <c r="M155" i="6" s="1"/>
  <c r="K155" i="6"/>
  <c r="AK386" i="6"/>
  <c r="AJ386" i="6" s="1"/>
  <c r="AI386" i="6" s="1"/>
  <c r="G386" i="6" s="1"/>
  <c r="E386" i="6"/>
  <c r="AK223" i="6"/>
  <c r="AJ223" i="6" s="1"/>
  <c r="AI223" i="6" s="1"/>
  <c r="G223" i="6" s="1"/>
  <c r="E223" i="6"/>
  <c r="K343" i="6"/>
  <c r="AZ343" i="6"/>
  <c r="AY343" i="6" s="1"/>
  <c r="AX343" i="6" s="1"/>
  <c r="M343" i="6" s="1"/>
  <c r="AZ35" i="6"/>
  <c r="AY35" i="6" s="1"/>
  <c r="AX35" i="6" s="1"/>
  <c r="M35" i="6" s="1"/>
  <c r="K35" i="6"/>
  <c r="K102" i="6"/>
  <c r="AZ102" i="6"/>
  <c r="AY102" i="6" s="1"/>
  <c r="AX102" i="6" s="1"/>
  <c r="M102" i="6" s="1"/>
  <c r="K373" i="6"/>
  <c r="AZ373" i="6"/>
  <c r="AY373" i="6" s="1"/>
  <c r="AX373" i="6" s="1"/>
  <c r="M373" i="6" s="1"/>
  <c r="AK199" i="6"/>
  <c r="AJ199" i="6" s="1"/>
  <c r="AI199" i="6" s="1"/>
  <c r="G199" i="6" s="1"/>
  <c r="E199" i="6"/>
  <c r="K352" i="6"/>
  <c r="AZ352" i="6"/>
  <c r="AY352" i="6" s="1"/>
  <c r="AX352" i="6" s="1"/>
  <c r="M352" i="6" s="1"/>
  <c r="AZ334" i="6"/>
  <c r="AY334" i="6" s="1"/>
  <c r="AX334" i="6" s="1"/>
  <c r="M334" i="6" s="1"/>
  <c r="K334" i="6"/>
  <c r="AK193" i="6"/>
  <c r="AJ193" i="6" s="1"/>
  <c r="AI193" i="6" s="1"/>
  <c r="G193" i="6" s="1"/>
  <c r="E193" i="6"/>
  <c r="AZ299" i="6"/>
  <c r="AY299" i="6" s="1"/>
  <c r="AX299" i="6" s="1"/>
  <c r="M299" i="6" s="1"/>
  <c r="K299" i="6"/>
  <c r="E101" i="6"/>
  <c r="AK101" i="6"/>
  <c r="AJ101" i="6" s="1"/>
  <c r="AI101" i="6" s="1"/>
  <c r="G101" i="6" s="1"/>
  <c r="K49" i="6"/>
  <c r="AZ49" i="6"/>
  <c r="AY49" i="6" s="1"/>
  <c r="AX49" i="6" s="1"/>
  <c r="M49" i="6" s="1"/>
  <c r="AZ54" i="6"/>
  <c r="AY54" i="6" s="1"/>
  <c r="AX54" i="6" s="1"/>
  <c r="M54" i="6" s="1"/>
  <c r="K54" i="6"/>
  <c r="K289" i="6"/>
  <c r="AZ289" i="6"/>
  <c r="AY289" i="6" s="1"/>
  <c r="AX289" i="6" s="1"/>
  <c r="M289" i="6" s="1"/>
  <c r="K449" i="6"/>
  <c r="AZ449" i="6"/>
  <c r="AY449" i="6" s="1"/>
  <c r="AX449" i="6" s="1"/>
  <c r="M449" i="6" s="1"/>
  <c r="K350" i="6"/>
  <c r="AZ350" i="6"/>
  <c r="AY350" i="6" s="1"/>
  <c r="AX350" i="6" s="1"/>
  <c r="M350" i="6" s="1"/>
  <c r="AZ391" i="6"/>
  <c r="AY391" i="6" s="1"/>
  <c r="AX391" i="6" s="1"/>
  <c r="M391" i="6" s="1"/>
  <c r="K391" i="6"/>
  <c r="K409" i="6"/>
  <c r="AZ409" i="6"/>
  <c r="AY409" i="6" s="1"/>
  <c r="AX409" i="6" s="1"/>
  <c r="M409" i="6" s="1"/>
  <c r="AK93" i="6"/>
  <c r="AJ93" i="6" s="1"/>
  <c r="AI93" i="6" s="1"/>
  <c r="G93" i="6" s="1"/>
  <c r="E93" i="6"/>
  <c r="K358" i="6"/>
  <c r="AZ358" i="6"/>
  <c r="AY358" i="6" s="1"/>
  <c r="AX358" i="6" s="1"/>
  <c r="M358" i="6" s="1"/>
  <c r="K183" i="6"/>
  <c r="AZ183" i="6"/>
  <c r="AY183" i="6" s="1"/>
  <c r="AX183" i="6" s="1"/>
  <c r="M183" i="6" s="1"/>
  <c r="AZ351" i="6"/>
  <c r="AY351" i="6" s="1"/>
  <c r="AX351" i="6" s="1"/>
  <c r="M351" i="6" s="1"/>
  <c r="K351" i="6"/>
  <c r="E185" i="6"/>
  <c r="AK185" i="6"/>
  <c r="AJ185" i="6" s="1"/>
  <c r="AI185" i="6" s="1"/>
  <c r="G185" i="6" s="1"/>
  <c r="AK67" i="6"/>
  <c r="AJ67" i="6" s="1"/>
  <c r="AI67" i="6" s="1"/>
  <c r="G67" i="6" s="1"/>
  <c r="E67" i="6"/>
  <c r="AK222" i="6"/>
  <c r="AJ222" i="6" s="1"/>
  <c r="AI222" i="6" s="1"/>
  <c r="G222" i="6" s="1"/>
  <c r="E222" i="6"/>
  <c r="AZ386" i="6"/>
  <c r="AY386" i="6" s="1"/>
  <c r="AX386" i="6" s="1"/>
  <c r="M386" i="6" s="1"/>
  <c r="K386" i="6"/>
  <c r="AZ223" i="6"/>
  <c r="AY223" i="6" s="1"/>
  <c r="AX223" i="6" s="1"/>
  <c r="M223" i="6" s="1"/>
  <c r="K223" i="6"/>
  <c r="AK35" i="6"/>
  <c r="AJ35" i="6" s="1"/>
  <c r="AI35" i="6" s="1"/>
  <c r="G35" i="6" s="1"/>
  <c r="E35" i="6"/>
  <c r="AZ113" i="6"/>
  <c r="AY113" i="6" s="1"/>
  <c r="AX113" i="6" s="1"/>
  <c r="M113" i="6" s="1"/>
  <c r="K113" i="6"/>
  <c r="AK373" i="6"/>
  <c r="AJ373" i="6" s="1"/>
  <c r="AI373" i="6" s="1"/>
  <c r="G373" i="6" s="1"/>
  <c r="E373" i="6"/>
  <c r="AK329" i="6"/>
  <c r="AJ329" i="6" s="1"/>
  <c r="AI329" i="6" s="1"/>
  <c r="G329" i="6" s="1"/>
  <c r="E329" i="6"/>
  <c r="AK352" i="6"/>
  <c r="AJ352" i="6" s="1"/>
  <c r="AI352" i="6" s="1"/>
  <c r="G352" i="6" s="1"/>
  <c r="E352" i="6"/>
  <c r="AZ101" i="6"/>
  <c r="AY101" i="6" s="1"/>
  <c r="AX101" i="6" s="1"/>
  <c r="M101" i="6" s="1"/>
  <c r="K101" i="6"/>
  <c r="AK49" i="6"/>
  <c r="AJ49" i="6" s="1"/>
  <c r="AI49" i="6" s="1"/>
  <c r="G49" i="6" s="1"/>
  <c r="E49" i="6"/>
  <c r="AK54" i="6"/>
  <c r="AJ54" i="6" s="1"/>
  <c r="AI54" i="6" s="1"/>
  <c r="G54" i="6" s="1"/>
  <c r="E54" i="6"/>
  <c r="AK289" i="6"/>
  <c r="AJ289" i="6" s="1"/>
  <c r="AI289" i="6" s="1"/>
  <c r="G289" i="6" s="1"/>
  <c r="E289" i="6"/>
  <c r="E350" i="6"/>
  <c r="AK350" i="6"/>
  <c r="AJ350" i="6" s="1"/>
  <c r="AI350" i="6" s="1"/>
  <c r="G350" i="6" s="1"/>
  <c r="E391" i="6"/>
  <c r="AK391" i="6"/>
  <c r="AJ391" i="6" s="1"/>
  <c r="AI391" i="6" s="1"/>
  <c r="G391" i="6" s="1"/>
  <c r="AK409" i="6"/>
  <c r="AJ409" i="6" s="1"/>
  <c r="AI409" i="6" s="1"/>
  <c r="G409" i="6" s="1"/>
  <c r="E409" i="6"/>
  <c r="AK377" i="6"/>
  <c r="AJ377" i="6" s="1"/>
  <c r="AI377" i="6" s="1"/>
  <c r="G377" i="6" s="1"/>
  <c r="E377" i="6"/>
  <c r="AK358" i="6"/>
  <c r="AJ358" i="6" s="1"/>
  <c r="AI358" i="6" s="1"/>
  <c r="G358" i="6" s="1"/>
  <c r="E358" i="6"/>
  <c r="AZ261" i="6"/>
  <c r="AY261" i="6" s="1"/>
  <c r="AX261" i="6" s="1"/>
  <c r="M261" i="6" s="1"/>
  <c r="K261" i="6"/>
  <c r="AZ269" i="6"/>
  <c r="AY269" i="6" s="1"/>
  <c r="AX269" i="6" s="1"/>
  <c r="M269" i="6" s="1"/>
  <c r="K269" i="6"/>
  <c r="AK183" i="6"/>
  <c r="AJ183" i="6" s="1"/>
  <c r="AI183" i="6" s="1"/>
  <c r="G183" i="6" s="1"/>
  <c r="E183" i="6"/>
  <c r="AK99" i="6"/>
  <c r="AJ99" i="6" s="1"/>
  <c r="AI99" i="6" s="1"/>
  <c r="G99" i="6" s="1"/>
  <c r="E99" i="6"/>
  <c r="AK126" i="6"/>
  <c r="AJ126" i="6" s="1"/>
  <c r="AI126" i="6" s="1"/>
  <c r="G126" i="6" s="1"/>
  <c r="E126" i="6"/>
  <c r="K204" i="6"/>
  <c r="AZ204" i="6"/>
  <c r="AY204" i="6" s="1"/>
  <c r="AX204" i="6" s="1"/>
  <c r="M204" i="6" s="1"/>
  <c r="AZ10" i="6"/>
  <c r="AY10" i="6" s="1"/>
  <c r="AX10" i="6" s="1"/>
  <c r="M10" i="6" s="1"/>
  <c r="K10" i="6"/>
  <c r="AZ185" i="6"/>
  <c r="AY185" i="6" s="1"/>
  <c r="AX185" i="6" s="1"/>
  <c r="M185" i="6" s="1"/>
  <c r="K185" i="6"/>
  <c r="K425" i="6"/>
  <c r="AZ425" i="6"/>
  <c r="AY425" i="6" s="1"/>
  <c r="AX425" i="6" s="1"/>
  <c r="M425" i="6" s="1"/>
  <c r="K69" i="6"/>
  <c r="AZ69" i="6"/>
  <c r="AY69" i="6" s="1"/>
  <c r="AX69" i="6" s="1"/>
  <c r="M69" i="6" s="1"/>
  <c r="K229" i="6"/>
  <c r="AZ229" i="6"/>
  <c r="AY229" i="6" s="1"/>
  <c r="AX229" i="6" s="1"/>
  <c r="M229" i="6" s="1"/>
  <c r="K392" i="6"/>
  <c r="AZ392" i="6"/>
  <c r="AY392" i="6" s="1"/>
  <c r="AX392" i="6" s="1"/>
  <c r="M392" i="6" s="1"/>
  <c r="E182" i="6"/>
  <c r="AK182" i="6"/>
  <c r="AJ182" i="6" s="1"/>
  <c r="AI182" i="6" s="1"/>
  <c r="G182" i="6" s="1"/>
  <c r="AZ462" i="6"/>
  <c r="AY462" i="6" s="1"/>
  <c r="AX462" i="6" s="1"/>
  <c r="M462" i="6" s="1"/>
  <c r="K462" i="6"/>
  <c r="AK308" i="6"/>
  <c r="AJ308" i="6" s="1"/>
  <c r="AI308" i="6" s="1"/>
  <c r="G308" i="6" s="1"/>
  <c r="E308" i="6"/>
  <c r="E113" i="6"/>
  <c r="AK113" i="6"/>
  <c r="AJ113" i="6" s="1"/>
  <c r="AI113" i="6" s="1"/>
  <c r="G113" i="6" s="1"/>
  <c r="AZ424" i="6"/>
  <c r="AY424" i="6" s="1"/>
  <c r="AX424" i="6" s="1"/>
  <c r="M424" i="6" s="1"/>
  <c r="K424" i="6"/>
  <c r="K329" i="6"/>
  <c r="AZ329" i="6"/>
  <c r="AY329" i="6" s="1"/>
  <c r="AX329" i="6" s="1"/>
  <c r="M329" i="6" s="1"/>
  <c r="AZ85" i="6"/>
  <c r="AY85" i="6" s="1"/>
  <c r="AX85" i="6" s="1"/>
  <c r="M85" i="6" s="1"/>
  <c r="K85" i="6"/>
  <c r="AZ77" i="6"/>
  <c r="AY77" i="6" s="1"/>
  <c r="AX77" i="6" s="1"/>
  <c r="M77" i="6" s="1"/>
  <c r="K77" i="6"/>
  <c r="K314" i="6"/>
  <c r="AZ314" i="6"/>
  <c r="AY314" i="6" s="1"/>
  <c r="AX314" i="6" s="1"/>
  <c r="M314" i="6" s="1"/>
  <c r="AZ44" i="6"/>
  <c r="AY44" i="6" s="1"/>
  <c r="AX44" i="6" s="1"/>
  <c r="M44" i="6" s="1"/>
  <c r="K44" i="6"/>
  <c r="E443" i="6"/>
  <c r="AK443" i="6"/>
  <c r="AJ443" i="6" s="1"/>
  <c r="AI443" i="6" s="1"/>
  <c r="G443" i="6" s="1"/>
  <c r="AZ377" i="6"/>
  <c r="AY377" i="6" s="1"/>
  <c r="AX377" i="6" s="1"/>
  <c r="M377" i="6" s="1"/>
  <c r="K377" i="6"/>
  <c r="E14" i="6"/>
  <c r="AK14" i="6"/>
  <c r="AJ14" i="6" s="1"/>
  <c r="AI14" i="6" s="1"/>
  <c r="G14" i="6" s="1"/>
  <c r="AK213" i="6"/>
  <c r="AJ213" i="6" s="1"/>
  <c r="AI213" i="6" s="1"/>
  <c r="G213" i="6" s="1"/>
  <c r="E213" i="6"/>
  <c r="AK349" i="6"/>
  <c r="AJ349" i="6" s="1"/>
  <c r="AI349" i="6" s="1"/>
  <c r="G349" i="6" s="1"/>
  <c r="E349" i="6"/>
  <c r="AZ463" i="6"/>
  <c r="AY463" i="6" s="1"/>
  <c r="AX463" i="6" s="1"/>
  <c r="M463" i="6" s="1"/>
  <c r="K463" i="6"/>
  <c r="AZ191" i="6"/>
  <c r="AY191" i="6" s="1"/>
  <c r="AX191" i="6" s="1"/>
  <c r="M191" i="6" s="1"/>
  <c r="K191" i="6"/>
  <c r="AK261" i="6"/>
  <c r="AJ261" i="6" s="1"/>
  <c r="AI261" i="6" s="1"/>
  <c r="G261" i="6" s="1"/>
  <c r="E261" i="6"/>
  <c r="AK269" i="6"/>
  <c r="AJ269" i="6" s="1"/>
  <c r="AI269" i="6" s="1"/>
  <c r="G269" i="6" s="1"/>
  <c r="E269" i="6"/>
  <c r="E204" i="6"/>
  <c r="AK204" i="6"/>
  <c r="AJ204" i="6" s="1"/>
  <c r="AI204" i="6" s="1"/>
  <c r="G204" i="6" s="1"/>
  <c r="AZ236" i="6"/>
  <c r="AY236" i="6" s="1"/>
  <c r="AX236" i="6" s="1"/>
  <c r="M236" i="6" s="1"/>
  <c r="K236" i="6"/>
  <c r="K398" i="6"/>
  <c r="AZ398" i="6"/>
  <c r="AY398" i="6" s="1"/>
  <c r="AX398" i="6" s="1"/>
  <c r="M398" i="6" s="1"/>
  <c r="K384" i="6"/>
  <c r="AZ384" i="6"/>
  <c r="AY384" i="6" s="1"/>
  <c r="AX384" i="6" s="1"/>
  <c r="M384" i="6" s="1"/>
  <c r="AK425" i="6"/>
  <c r="AJ425" i="6" s="1"/>
  <c r="AI425" i="6" s="1"/>
  <c r="G425" i="6" s="1"/>
  <c r="E425" i="6"/>
  <c r="AK69" i="6"/>
  <c r="AJ69" i="6" s="1"/>
  <c r="AI69" i="6" s="1"/>
  <c r="G69" i="6" s="1"/>
  <c r="E69" i="6"/>
  <c r="AK229" i="6"/>
  <c r="AJ229" i="6" s="1"/>
  <c r="AI229" i="6" s="1"/>
  <c r="G229" i="6" s="1"/>
  <c r="E229" i="6"/>
  <c r="AK392" i="6"/>
  <c r="AJ392" i="6" s="1"/>
  <c r="AI392" i="6" s="1"/>
  <c r="G392" i="6" s="1"/>
  <c r="E392" i="6"/>
  <c r="AZ182" i="6"/>
  <c r="AY182" i="6" s="1"/>
  <c r="AX182" i="6" s="1"/>
  <c r="M182" i="6" s="1"/>
  <c r="K182" i="6"/>
  <c r="AK291" i="6"/>
  <c r="AJ291" i="6" s="1"/>
  <c r="AI291" i="6" s="1"/>
  <c r="G291" i="6" s="1"/>
  <c r="E291" i="6"/>
  <c r="AK462" i="6"/>
  <c r="AJ462" i="6" s="1"/>
  <c r="AI462" i="6" s="1"/>
  <c r="G462" i="6" s="1"/>
  <c r="E462" i="6"/>
  <c r="K308" i="6"/>
  <c r="AZ308" i="6"/>
  <c r="AY308" i="6" s="1"/>
  <c r="AX308" i="6" s="1"/>
  <c r="M308" i="6" s="1"/>
  <c r="E239" i="6"/>
  <c r="AK239" i="6"/>
  <c r="AJ239" i="6" s="1"/>
  <c r="AI239" i="6" s="1"/>
  <c r="G239" i="6" s="1"/>
  <c r="E424" i="6"/>
  <c r="AK424" i="6"/>
  <c r="AJ424" i="6" s="1"/>
  <c r="AI424" i="6" s="1"/>
  <c r="G424" i="6" s="1"/>
  <c r="AK85" i="6"/>
  <c r="AJ85" i="6" s="1"/>
  <c r="AI85" i="6" s="1"/>
  <c r="G85" i="6" s="1"/>
  <c r="E85" i="6"/>
  <c r="AZ254" i="6"/>
  <c r="AY254" i="6" s="1"/>
  <c r="AX254" i="6" s="1"/>
  <c r="M254" i="6" s="1"/>
  <c r="K254" i="6"/>
  <c r="AK77" i="6"/>
  <c r="AJ77" i="6" s="1"/>
  <c r="AI77" i="6" s="1"/>
  <c r="G77" i="6" s="1"/>
  <c r="E77" i="6"/>
  <c r="AZ212" i="6"/>
  <c r="AY212" i="6" s="1"/>
  <c r="AX212" i="6" s="1"/>
  <c r="M212" i="6" s="1"/>
  <c r="K212" i="6"/>
  <c r="E314" i="6"/>
  <c r="AK314" i="6"/>
  <c r="AJ314" i="6" s="1"/>
  <c r="AI314" i="6" s="1"/>
  <c r="G314" i="6" s="1"/>
  <c r="AK44" i="6"/>
  <c r="AJ44" i="6" s="1"/>
  <c r="AI44" i="6" s="1"/>
  <c r="G44" i="6" s="1"/>
  <c r="E44" i="6"/>
  <c r="AZ443" i="6"/>
  <c r="AY443" i="6" s="1"/>
  <c r="AX443" i="6" s="1"/>
  <c r="M443" i="6" s="1"/>
  <c r="K443" i="6"/>
  <c r="K14" i="6"/>
  <c r="AZ14" i="6"/>
  <c r="AY14" i="6" s="1"/>
  <c r="AX14" i="6" s="1"/>
  <c r="M14" i="6" s="1"/>
  <c r="K213" i="6"/>
  <c r="AZ213" i="6"/>
  <c r="AY213" i="6" s="1"/>
  <c r="AX213" i="6" s="1"/>
  <c r="M213" i="6" s="1"/>
  <c r="K349" i="6"/>
  <c r="AZ349" i="6"/>
  <c r="AY349" i="6" s="1"/>
  <c r="AX349" i="6" s="1"/>
  <c r="M349" i="6" s="1"/>
  <c r="E463" i="6"/>
  <c r="AK463" i="6"/>
  <c r="AJ463" i="6" s="1"/>
  <c r="AI463" i="6" s="1"/>
  <c r="G463" i="6" s="1"/>
  <c r="AK191" i="6"/>
  <c r="AJ191" i="6" s="1"/>
  <c r="AI191" i="6" s="1"/>
  <c r="G191" i="6" s="1"/>
  <c r="E191" i="6"/>
  <c r="E10" i="6"/>
  <c r="AK10" i="6"/>
  <c r="AJ10" i="6" s="1"/>
  <c r="AI10" i="6" s="1"/>
  <c r="G10" i="6" s="1"/>
  <c r="AZ221" i="6"/>
  <c r="AY221" i="6" s="1"/>
  <c r="AX221" i="6" s="1"/>
  <c r="M221" i="6" s="1"/>
  <c r="K221" i="6"/>
  <c r="K230" i="6"/>
  <c r="AZ230" i="6"/>
  <c r="AY230" i="6" s="1"/>
  <c r="AX230" i="6" s="1"/>
  <c r="M230" i="6" s="1"/>
  <c r="K99" i="6"/>
  <c r="AZ99" i="6"/>
  <c r="AY99" i="6" s="1"/>
  <c r="AX99" i="6" s="1"/>
  <c r="M99" i="6" s="1"/>
  <c r="K238" i="6"/>
  <c r="AZ238" i="6"/>
  <c r="AY238" i="6" s="1"/>
  <c r="AX238" i="6" s="1"/>
  <c r="M238" i="6" s="1"/>
  <c r="K146" i="6"/>
  <c r="AZ146" i="6"/>
  <c r="AY146" i="6" s="1"/>
  <c r="AX146" i="6" s="1"/>
  <c r="M146" i="6" s="1"/>
  <c r="AK332" i="6"/>
  <c r="AJ332" i="6" s="1"/>
  <c r="AI332" i="6" s="1"/>
  <c r="G332" i="6" s="1"/>
  <c r="E332" i="6"/>
  <c r="E236" i="6"/>
  <c r="AK236" i="6"/>
  <c r="AJ236" i="6" s="1"/>
  <c r="AI236" i="6" s="1"/>
  <c r="G236" i="6" s="1"/>
  <c r="AK398" i="6"/>
  <c r="AJ398" i="6" s="1"/>
  <c r="AI398" i="6" s="1"/>
  <c r="G398" i="6" s="1"/>
  <c r="E398" i="6"/>
  <c r="E112" i="6"/>
  <c r="AK112" i="6"/>
  <c r="AJ112" i="6" s="1"/>
  <c r="AI112" i="6" s="1"/>
  <c r="G112" i="6" s="1"/>
  <c r="AK384" i="6"/>
  <c r="AJ384" i="6" s="1"/>
  <c r="AI384" i="6" s="1"/>
  <c r="G384" i="6" s="1"/>
  <c r="E384" i="6"/>
  <c r="E98" i="6"/>
  <c r="AK98" i="6"/>
  <c r="AJ98" i="6" s="1"/>
  <c r="AI98" i="6" s="1"/>
  <c r="G98" i="6" s="1"/>
  <c r="AZ440" i="6"/>
  <c r="AY440" i="6" s="1"/>
  <c r="AX440" i="6" s="1"/>
  <c r="M440" i="6" s="1"/>
  <c r="K440" i="6"/>
  <c r="K467" i="6"/>
  <c r="AZ467" i="6"/>
  <c r="AY467" i="6" s="1"/>
  <c r="AX467" i="6" s="1"/>
  <c r="M467" i="6" s="1"/>
  <c r="E31" i="6"/>
  <c r="AK31" i="6"/>
  <c r="AJ31" i="6" s="1"/>
  <c r="AI31" i="6" s="1"/>
  <c r="G31" i="6" s="1"/>
  <c r="AZ291" i="6"/>
  <c r="AY291" i="6" s="1"/>
  <c r="AX291" i="6" s="1"/>
  <c r="M291" i="6" s="1"/>
  <c r="K291" i="6"/>
  <c r="E393" i="6"/>
  <c r="AK393" i="6"/>
  <c r="AJ393" i="6" s="1"/>
  <c r="AI393" i="6" s="1"/>
  <c r="G393" i="6" s="1"/>
  <c r="AZ239" i="6"/>
  <c r="AY239" i="6" s="1"/>
  <c r="AX239" i="6" s="1"/>
  <c r="M239" i="6" s="1"/>
  <c r="K239" i="6"/>
  <c r="AZ52" i="6"/>
  <c r="AY52" i="6" s="1"/>
  <c r="AX52" i="6" s="1"/>
  <c r="M52" i="6" s="1"/>
  <c r="K52" i="6"/>
  <c r="AK402" i="6"/>
  <c r="AJ402" i="6" s="1"/>
  <c r="AI402" i="6" s="1"/>
  <c r="G402" i="6" s="1"/>
  <c r="E402" i="6"/>
  <c r="AZ309" i="6"/>
  <c r="AY309" i="6" s="1"/>
  <c r="AX309" i="6" s="1"/>
  <c r="M309" i="6" s="1"/>
  <c r="K309" i="6"/>
  <c r="K129" i="6"/>
  <c r="AZ129" i="6"/>
  <c r="AY129" i="6" s="1"/>
  <c r="AX129" i="6" s="1"/>
  <c r="M129" i="6" s="1"/>
  <c r="AK254" i="6"/>
  <c r="AJ254" i="6" s="1"/>
  <c r="AI254" i="6" s="1"/>
  <c r="G254" i="6" s="1"/>
  <c r="E254" i="6"/>
  <c r="AZ28" i="6"/>
  <c r="AY28" i="6" s="1"/>
  <c r="AX28" i="6" s="1"/>
  <c r="M28" i="6" s="1"/>
  <c r="K28" i="6"/>
  <c r="AZ30" i="6"/>
  <c r="AY30" i="6" s="1"/>
  <c r="AX30" i="6" s="1"/>
  <c r="M30" i="6" s="1"/>
  <c r="K30" i="6"/>
  <c r="E212" i="6"/>
  <c r="AK212" i="6"/>
  <c r="AJ212" i="6" s="1"/>
  <c r="AI212" i="6" s="1"/>
  <c r="G212" i="6" s="1"/>
  <c r="AZ22" i="6"/>
  <c r="AY22" i="6" s="1"/>
  <c r="AX22" i="6" s="1"/>
  <c r="M22" i="6" s="1"/>
  <c r="K22" i="6"/>
  <c r="AZ149" i="6"/>
  <c r="AY149" i="6" s="1"/>
  <c r="AX149" i="6" s="1"/>
  <c r="M149" i="6" s="1"/>
  <c r="K149" i="6"/>
  <c r="AZ235" i="6"/>
  <c r="AY235" i="6" s="1"/>
  <c r="AX235" i="6" s="1"/>
  <c r="M235" i="6" s="1"/>
  <c r="K235" i="6"/>
  <c r="K385" i="6"/>
  <c r="AZ385" i="6"/>
  <c r="AY385" i="6" s="1"/>
  <c r="AX385" i="6" s="1"/>
  <c r="M385" i="6" s="1"/>
  <c r="AK71" i="6"/>
  <c r="AJ71" i="6" s="1"/>
  <c r="AI71" i="6" s="1"/>
  <c r="G71" i="6" s="1"/>
  <c r="E71" i="6"/>
  <c r="AK467" i="6"/>
  <c r="AJ467" i="6" s="1"/>
  <c r="AI467" i="6" s="1"/>
  <c r="G467" i="6" s="1"/>
  <c r="E467" i="6"/>
  <c r="AZ31" i="6"/>
  <c r="AY31" i="6" s="1"/>
  <c r="AX31" i="6" s="1"/>
  <c r="M31" i="6" s="1"/>
  <c r="K31" i="6"/>
  <c r="K393" i="6"/>
  <c r="AZ393" i="6"/>
  <c r="AY393" i="6" s="1"/>
  <c r="AX393" i="6" s="1"/>
  <c r="M393" i="6" s="1"/>
  <c r="AK283" i="6"/>
  <c r="AJ283" i="6" s="1"/>
  <c r="AI283" i="6" s="1"/>
  <c r="G283" i="6" s="1"/>
  <c r="E283" i="6"/>
  <c r="AK52" i="6"/>
  <c r="AJ52" i="6" s="1"/>
  <c r="AI52" i="6" s="1"/>
  <c r="G52" i="6" s="1"/>
  <c r="E52" i="6"/>
  <c r="AZ402" i="6"/>
  <c r="AY402" i="6" s="1"/>
  <c r="AX402" i="6" s="1"/>
  <c r="M402" i="6" s="1"/>
  <c r="K402" i="6"/>
  <c r="E309" i="6"/>
  <c r="AK309" i="6"/>
  <c r="AJ309" i="6" s="1"/>
  <c r="AI309" i="6" s="1"/>
  <c r="G309" i="6" s="1"/>
  <c r="AK129" i="6"/>
  <c r="AJ129" i="6" s="1"/>
  <c r="AI129" i="6" s="1"/>
  <c r="G129" i="6" s="1"/>
  <c r="E129" i="6"/>
  <c r="AK328" i="6"/>
  <c r="AJ328" i="6" s="1"/>
  <c r="AI328" i="6" s="1"/>
  <c r="G328" i="6" s="1"/>
  <c r="E328" i="6"/>
  <c r="E28" i="6"/>
  <c r="AK28" i="6"/>
  <c r="AJ28" i="6" s="1"/>
  <c r="AI28" i="6" s="1"/>
  <c r="G28" i="6" s="1"/>
  <c r="AK30" i="6"/>
  <c r="AJ30" i="6" s="1"/>
  <c r="AI30" i="6" s="1"/>
  <c r="G30" i="6" s="1"/>
  <c r="E30" i="6"/>
  <c r="AK22" i="6"/>
  <c r="AJ22" i="6" s="1"/>
  <c r="AI22" i="6" s="1"/>
  <c r="G22" i="6" s="1"/>
  <c r="E22" i="6"/>
  <c r="AK149" i="6"/>
  <c r="AJ149" i="6" s="1"/>
  <c r="AI149" i="6" s="1"/>
  <c r="G149" i="6" s="1"/>
  <c r="E149" i="6"/>
  <c r="AK395" i="6"/>
  <c r="AJ395" i="6" s="1"/>
  <c r="AI395" i="6" s="1"/>
  <c r="G395" i="6" s="1"/>
  <c r="E395" i="6"/>
  <c r="AK235" i="6"/>
  <c r="AJ235" i="6" s="1"/>
  <c r="AI235" i="6" s="1"/>
  <c r="G235" i="6" s="1"/>
  <c r="E235" i="6"/>
  <c r="K214" i="6"/>
  <c r="AZ214" i="6"/>
  <c r="AY214" i="6" s="1"/>
  <c r="AX214" i="6" s="1"/>
  <c r="M214" i="6" s="1"/>
  <c r="AK238" i="6"/>
  <c r="AJ238" i="6" s="1"/>
  <c r="AI238" i="6" s="1"/>
  <c r="G238" i="6" s="1"/>
  <c r="E238" i="6"/>
  <c r="AZ112" i="6"/>
  <c r="AY112" i="6" s="1"/>
  <c r="AX112" i="6" s="1"/>
  <c r="M112" i="6" s="1"/>
  <c r="K112" i="6"/>
  <c r="K98" i="6"/>
  <c r="AZ98" i="6"/>
  <c r="AY98" i="6" s="1"/>
  <c r="AX98" i="6" s="1"/>
  <c r="M98" i="6" s="1"/>
  <c r="K130" i="6"/>
  <c r="AZ130" i="6"/>
  <c r="AY130" i="6" s="1"/>
  <c r="AX130" i="6" s="1"/>
  <c r="M130" i="6" s="1"/>
  <c r="AZ298" i="6"/>
  <c r="AY298" i="6" s="1"/>
  <c r="AX298" i="6" s="1"/>
  <c r="M298" i="6" s="1"/>
  <c r="K298" i="6"/>
  <c r="AK422" i="6"/>
  <c r="AJ422" i="6" s="1"/>
  <c r="AI422" i="6" s="1"/>
  <c r="G422" i="6" s="1"/>
  <c r="E422" i="6"/>
  <c r="K134" i="6"/>
  <c r="AZ134" i="6"/>
  <c r="AY134" i="6" s="1"/>
  <c r="AX134" i="6" s="1"/>
  <c r="M134" i="6" s="1"/>
  <c r="K194" i="6"/>
  <c r="AZ194" i="6"/>
  <c r="AY194" i="6" s="1"/>
  <c r="AX194" i="6" s="1"/>
  <c r="M194" i="6" s="1"/>
  <c r="AZ327" i="6"/>
  <c r="AY327" i="6" s="1"/>
  <c r="AX327" i="6" s="1"/>
  <c r="M327" i="6" s="1"/>
  <c r="K327" i="6"/>
  <c r="AK385" i="6"/>
  <c r="AJ385" i="6" s="1"/>
  <c r="AI385" i="6" s="1"/>
  <c r="G385" i="6" s="1"/>
  <c r="E385" i="6"/>
  <c r="AZ71" i="6"/>
  <c r="AY71" i="6" s="1"/>
  <c r="AX71" i="6" s="1"/>
  <c r="M71" i="6" s="1"/>
  <c r="K71" i="6"/>
  <c r="K430" i="6"/>
  <c r="AZ430" i="6"/>
  <c r="AY430" i="6" s="1"/>
  <c r="AX430" i="6" s="1"/>
  <c r="M430" i="6" s="1"/>
  <c r="K203" i="6"/>
  <c r="AZ203" i="6"/>
  <c r="AY203" i="6" s="1"/>
  <c r="AX203" i="6" s="1"/>
  <c r="M203" i="6" s="1"/>
  <c r="K283" i="6"/>
  <c r="AZ283" i="6"/>
  <c r="AY283" i="6" s="1"/>
  <c r="AX283" i="6" s="1"/>
  <c r="M283" i="6" s="1"/>
  <c r="AK104" i="6"/>
  <c r="AJ104" i="6" s="1"/>
  <c r="AI104" i="6" s="1"/>
  <c r="G104" i="6" s="1"/>
  <c r="E104" i="6"/>
  <c r="AK301" i="6"/>
  <c r="AJ301" i="6" s="1"/>
  <c r="AI301" i="6" s="1"/>
  <c r="G301" i="6" s="1"/>
  <c r="E301" i="6"/>
  <c r="E275" i="6"/>
  <c r="AK275" i="6"/>
  <c r="AJ275" i="6" s="1"/>
  <c r="AI275" i="6" s="1"/>
  <c r="G275" i="6" s="1"/>
  <c r="AZ328" i="6"/>
  <c r="AY328" i="6" s="1"/>
  <c r="AX328" i="6" s="1"/>
  <c r="M328" i="6" s="1"/>
  <c r="K328" i="6"/>
  <c r="K121" i="6"/>
  <c r="AZ121" i="6"/>
  <c r="AY121" i="6" s="1"/>
  <c r="AX121" i="6" s="1"/>
  <c r="M121" i="6" s="1"/>
  <c r="AZ249" i="6"/>
  <c r="AY249" i="6" s="1"/>
  <c r="AX249" i="6" s="1"/>
  <c r="M249" i="6" s="1"/>
  <c r="K249" i="6"/>
  <c r="AZ228" i="6"/>
  <c r="AY228" i="6" s="1"/>
  <c r="AX228" i="6" s="1"/>
  <c r="M228" i="6" s="1"/>
  <c r="K228" i="6"/>
  <c r="AZ133" i="6"/>
  <c r="AY133" i="6" s="1"/>
  <c r="AX133" i="6" s="1"/>
  <c r="M133" i="6" s="1"/>
  <c r="K133" i="6"/>
  <c r="AZ395" i="6"/>
  <c r="AY395" i="6" s="1"/>
  <c r="AX395" i="6" s="1"/>
  <c r="M395" i="6" s="1"/>
  <c r="K395" i="6"/>
  <c r="AZ36" i="6"/>
  <c r="AY36" i="6" s="1"/>
  <c r="AX36" i="6" s="1"/>
  <c r="M36" i="6" s="1"/>
  <c r="K36" i="6"/>
  <c r="AK116" i="6"/>
  <c r="AJ116" i="6" s="1"/>
  <c r="AI116" i="6" s="1"/>
  <c r="G116" i="6" s="1"/>
  <c r="E116" i="6"/>
  <c r="AK214" i="6"/>
  <c r="AJ214" i="6" s="1"/>
  <c r="AI214" i="6" s="1"/>
  <c r="G214" i="6" s="1"/>
  <c r="E214" i="6"/>
  <c r="AK230" i="6"/>
  <c r="AJ230" i="6" s="1"/>
  <c r="AI230" i="6" s="1"/>
  <c r="G230" i="6" s="1"/>
  <c r="E230" i="6"/>
  <c r="E146" i="6"/>
  <c r="AK146" i="6"/>
  <c r="AJ146" i="6" s="1"/>
  <c r="AI146" i="6" s="1"/>
  <c r="G146" i="6" s="1"/>
  <c r="AK327" i="6"/>
  <c r="AJ327" i="6" s="1"/>
  <c r="AI327" i="6" s="1"/>
  <c r="G327" i="6" s="1"/>
  <c r="E327" i="6"/>
  <c r="AK143" i="6"/>
  <c r="AJ143" i="6" s="1"/>
  <c r="AI143" i="6" s="1"/>
  <c r="G143" i="6" s="1"/>
  <c r="E143" i="6"/>
  <c r="AK130" i="6"/>
  <c r="AJ130" i="6" s="1"/>
  <c r="AI130" i="6" s="1"/>
  <c r="G130" i="6" s="1"/>
  <c r="E130" i="6"/>
  <c r="E298" i="6"/>
  <c r="AK298" i="6"/>
  <c r="AJ298" i="6" s="1"/>
  <c r="AI298" i="6" s="1"/>
  <c r="G298" i="6" s="1"/>
  <c r="E331" i="6"/>
  <c r="AK331" i="6"/>
  <c r="AJ331" i="6" s="1"/>
  <c r="AI331" i="6" s="1"/>
  <c r="G331" i="6" s="1"/>
  <c r="AZ422" i="6"/>
  <c r="AY422" i="6" s="1"/>
  <c r="AX422" i="6" s="1"/>
  <c r="M422" i="6" s="1"/>
  <c r="K422" i="6"/>
  <c r="AK134" i="6"/>
  <c r="AJ134" i="6" s="1"/>
  <c r="AI134" i="6" s="1"/>
  <c r="G134" i="6" s="1"/>
  <c r="E134" i="6"/>
  <c r="AZ360" i="6"/>
  <c r="AY360" i="6" s="1"/>
  <c r="AX360" i="6" s="1"/>
  <c r="M360" i="6" s="1"/>
  <c r="K360" i="6"/>
  <c r="K41" i="6"/>
  <c r="AZ41" i="6"/>
  <c r="AY41" i="6" s="1"/>
  <c r="AX41" i="6" s="1"/>
  <c r="M41" i="6" s="1"/>
  <c r="AK123" i="6"/>
  <c r="AJ123" i="6" s="1"/>
  <c r="AI123" i="6" s="1"/>
  <c r="G123" i="6" s="1"/>
  <c r="E123" i="6"/>
  <c r="AK194" i="6"/>
  <c r="AJ194" i="6" s="1"/>
  <c r="AI194" i="6" s="1"/>
  <c r="G194" i="6" s="1"/>
  <c r="E194" i="6"/>
  <c r="K357" i="6"/>
  <c r="AZ357" i="6"/>
  <c r="AY357" i="6" s="1"/>
  <c r="AX357" i="6" s="1"/>
  <c r="M357" i="6" s="1"/>
  <c r="E430" i="6"/>
  <c r="AK430" i="6"/>
  <c r="AJ430" i="6" s="1"/>
  <c r="AI430" i="6" s="1"/>
  <c r="G430" i="6" s="1"/>
  <c r="AK155" i="6"/>
  <c r="AJ155" i="6" s="1"/>
  <c r="AI155" i="6" s="1"/>
  <c r="G155" i="6" s="1"/>
  <c r="E155" i="6"/>
  <c r="E203" i="6"/>
  <c r="AK203" i="6"/>
  <c r="AJ203" i="6" s="1"/>
  <c r="AI203" i="6" s="1"/>
  <c r="G203" i="6" s="1"/>
  <c r="E343" i="6"/>
  <c r="AK343" i="6"/>
  <c r="AJ343" i="6" s="1"/>
  <c r="AI343" i="6" s="1"/>
  <c r="G343" i="6" s="1"/>
  <c r="AK102" i="6"/>
  <c r="AJ102" i="6" s="1"/>
  <c r="AI102" i="6" s="1"/>
  <c r="G102" i="6" s="1"/>
  <c r="E102" i="6"/>
  <c r="AZ199" i="6"/>
  <c r="AY199" i="6" s="1"/>
  <c r="AX199" i="6" s="1"/>
  <c r="M199" i="6" s="1"/>
  <c r="K199" i="6"/>
  <c r="AZ104" i="6"/>
  <c r="AY104" i="6" s="1"/>
  <c r="AX104" i="6" s="1"/>
  <c r="M104" i="6" s="1"/>
  <c r="K104" i="6"/>
  <c r="AZ301" i="6"/>
  <c r="AY301" i="6" s="1"/>
  <c r="AX301" i="6" s="1"/>
  <c r="M301" i="6" s="1"/>
  <c r="K301" i="6"/>
  <c r="AZ275" i="6"/>
  <c r="AY275" i="6" s="1"/>
  <c r="AX275" i="6" s="1"/>
  <c r="M275" i="6" s="1"/>
  <c r="K275" i="6"/>
  <c r="AK334" i="6"/>
  <c r="AJ334" i="6" s="1"/>
  <c r="AI334" i="6" s="1"/>
  <c r="G334" i="6" s="1"/>
  <c r="E334" i="6"/>
  <c r="K193" i="6"/>
  <c r="AZ193" i="6"/>
  <c r="AY193" i="6" s="1"/>
  <c r="AX193" i="6" s="1"/>
  <c r="M193" i="6" s="1"/>
  <c r="AK299" i="6"/>
  <c r="AJ299" i="6" s="1"/>
  <c r="AI299" i="6" s="1"/>
  <c r="G299" i="6" s="1"/>
  <c r="E299" i="6"/>
  <c r="AK121" i="6"/>
  <c r="AJ121" i="6" s="1"/>
  <c r="AI121" i="6" s="1"/>
  <c r="G121" i="6" s="1"/>
  <c r="E121" i="6"/>
  <c r="E249" i="6"/>
  <c r="AK249" i="6"/>
  <c r="AJ249" i="6" s="1"/>
  <c r="AI249" i="6" s="1"/>
  <c r="G249" i="6" s="1"/>
  <c r="E449" i="6"/>
  <c r="AK449" i="6"/>
  <c r="AJ449" i="6" s="1"/>
  <c r="AI449" i="6" s="1"/>
  <c r="G449" i="6" s="1"/>
  <c r="E228" i="6"/>
  <c r="AK228" i="6"/>
  <c r="AJ228" i="6" s="1"/>
  <c r="AI228" i="6" s="1"/>
  <c r="G228" i="6" s="1"/>
  <c r="E133" i="6"/>
  <c r="AK133" i="6"/>
  <c r="AJ133" i="6" s="1"/>
  <c r="AI133" i="6" s="1"/>
  <c r="G133" i="6" s="1"/>
  <c r="AZ93" i="6"/>
  <c r="AY93" i="6" s="1"/>
  <c r="AX93" i="6" s="1"/>
  <c r="M93" i="6" s="1"/>
  <c r="K93" i="6"/>
  <c r="AK36" i="6"/>
  <c r="AJ36" i="6" s="1"/>
  <c r="AI36" i="6" s="1"/>
  <c r="G36" i="6" s="1"/>
  <c r="E36" i="6"/>
  <c r="AZ116" i="6"/>
  <c r="AY116" i="6" s="1"/>
  <c r="AX116" i="6" s="1"/>
  <c r="M116" i="6" s="1"/>
  <c r="K116" i="6"/>
  <c r="E351" i="6"/>
  <c r="AK351" i="6"/>
  <c r="AJ351" i="6" s="1"/>
  <c r="AI351" i="6" s="1"/>
  <c r="G351" i="6" s="1"/>
  <c r="S9" i="1" l="1"/>
  <c r="S10" i="1"/>
  <c r="B95" i="1"/>
  <c r="A9" i="10"/>
  <c r="A10" i="10" s="1"/>
  <c r="B139" i="1"/>
  <c r="AW8" i="6"/>
  <c r="AV56" i="6" s="1"/>
  <c r="AU56" i="6" s="1"/>
  <c r="AT56" i="6" s="1"/>
  <c r="L56" i="6" s="1"/>
  <c r="BM8" i="6"/>
  <c r="Q8" i="6"/>
  <c r="S11" i="1"/>
  <c r="B117" i="1"/>
  <c r="BE8" i="6"/>
  <c r="N8" i="6"/>
  <c r="AO8" i="6"/>
  <c r="H8" i="6"/>
  <c r="S12" i="1"/>
  <c r="K8" i="6"/>
  <c r="E8" i="6"/>
  <c r="AL8" i="6"/>
  <c r="AH8" i="6"/>
  <c r="AV107" i="6" l="1"/>
  <c r="AU107" i="6" s="1"/>
  <c r="AT107" i="6" s="1"/>
  <c r="L107" i="6" s="1"/>
  <c r="AV406" i="6"/>
  <c r="AU406" i="6" s="1"/>
  <c r="AT406" i="6" s="1"/>
  <c r="L406" i="6" s="1"/>
  <c r="AV173" i="6"/>
  <c r="AU173" i="6" s="1"/>
  <c r="AT173" i="6" s="1"/>
  <c r="L173" i="6" s="1"/>
  <c r="AV80" i="6"/>
  <c r="AU80" i="6" s="1"/>
  <c r="AT80" i="6" s="1"/>
  <c r="L80" i="6" s="1"/>
  <c r="AV422" i="6"/>
  <c r="AU422" i="6" s="1"/>
  <c r="AT422" i="6" s="1"/>
  <c r="L422" i="6" s="1"/>
  <c r="AV28" i="6"/>
  <c r="AU28" i="6" s="1"/>
  <c r="AT28" i="6" s="1"/>
  <c r="L28" i="6" s="1"/>
  <c r="AV358" i="6"/>
  <c r="AU358" i="6" s="1"/>
  <c r="AT358" i="6" s="1"/>
  <c r="L358" i="6" s="1"/>
  <c r="AV349" i="6"/>
  <c r="AU349" i="6" s="1"/>
  <c r="AT349" i="6" s="1"/>
  <c r="L349" i="6" s="1"/>
  <c r="AV351" i="6"/>
  <c r="AU351" i="6" s="1"/>
  <c r="AT351" i="6" s="1"/>
  <c r="L351" i="6" s="1"/>
  <c r="AV295" i="6"/>
  <c r="AU295" i="6" s="1"/>
  <c r="AT295" i="6" s="1"/>
  <c r="L295" i="6" s="1"/>
  <c r="AV68" i="6"/>
  <c r="AU68" i="6" s="1"/>
  <c r="AT68" i="6" s="1"/>
  <c r="L68" i="6" s="1"/>
  <c r="AV199" i="6"/>
  <c r="AU199" i="6" s="1"/>
  <c r="AT199" i="6" s="1"/>
  <c r="L199" i="6" s="1"/>
  <c r="AV292" i="6"/>
  <c r="AU292" i="6" s="1"/>
  <c r="AT292" i="6" s="1"/>
  <c r="L292" i="6" s="1"/>
  <c r="AV431" i="6"/>
  <c r="AU431" i="6" s="1"/>
  <c r="AT431" i="6" s="1"/>
  <c r="L431" i="6" s="1"/>
  <c r="AV104" i="6"/>
  <c r="AU104" i="6" s="1"/>
  <c r="AT104" i="6" s="1"/>
  <c r="L104" i="6" s="1"/>
  <c r="AV208" i="6"/>
  <c r="AU208" i="6" s="1"/>
  <c r="AT208" i="6" s="1"/>
  <c r="L208" i="6" s="1"/>
  <c r="AV384" i="6"/>
  <c r="AU384" i="6" s="1"/>
  <c r="AT384" i="6" s="1"/>
  <c r="L384" i="6" s="1"/>
  <c r="AV342" i="6"/>
  <c r="AU342" i="6" s="1"/>
  <c r="AT342" i="6" s="1"/>
  <c r="L342" i="6" s="1"/>
  <c r="AV386" i="6"/>
  <c r="AU386" i="6" s="1"/>
  <c r="AT386" i="6" s="1"/>
  <c r="L386" i="6" s="1"/>
  <c r="AV172" i="6"/>
  <c r="AU172" i="6" s="1"/>
  <c r="AT172" i="6" s="1"/>
  <c r="L172" i="6" s="1"/>
  <c r="AV114" i="6"/>
  <c r="AU114" i="6" s="1"/>
  <c r="AT114" i="6" s="1"/>
  <c r="L114" i="6" s="1"/>
  <c r="AV299" i="6"/>
  <c r="AU299" i="6" s="1"/>
  <c r="AT299" i="6" s="1"/>
  <c r="L299" i="6" s="1"/>
  <c r="AV154" i="6"/>
  <c r="AU154" i="6" s="1"/>
  <c r="AT154" i="6" s="1"/>
  <c r="L154" i="6" s="1"/>
  <c r="AV359" i="6"/>
  <c r="AU359" i="6" s="1"/>
  <c r="AT359" i="6" s="1"/>
  <c r="L359" i="6" s="1"/>
  <c r="AV67" i="6"/>
  <c r="AU67" i="6" s="1"/>
  <c r="AT67" i="6" s="1"/>
  <c r="L67" i="6" s="1"/>
  <c r="AV289" i="6"/>
  <c r="AU289" i="6" s="1"/>
  <c r="AT289" i="6" s="1"/>
  <c r="L289" i="6" s="1"/>
  <c r="AV290" i="6"/>
  <c r="AU290" i="6" s="1"/>
  <c r="AT290" i="6" s="1"/>
  <c r="L290" i="6" s="1"/>
  <c r="AV304" i="6"/>
  <c r="AU304" i="6" s="1"/>
  <c r="AT304" i="6" s="1"/>
  <c r="L304" i="6" s="1"/>
  <c r="AV395" i="6"/>
  <c r="AU395" i="6" s="1"/>
  <c r="AT395" i="6" s="1"/>
  <c r="L395" i="6" s="1"/>
  <c r="AV308" i="6"/>
  <c r="AU308" i="6" s="1"/>
  <c r="AT308" i="6" s="1"/>
  <c r="L308" i="6" s="1"/>
  <c r="AV127" i="6"/>
  <c r="AU127" i="6" s="1"/>
  <c r="AT127" i="6" s="1"/>
  <c r="L127" i="6" s="1"/>
  <c r="AV237" i="6"/>
  <c r="AU237" i="6" s="1"/>
  <c r="AT237" i="6" s="1"/>
  <c r="L237" i="6" s="1"/>
  <c r="AV116" i="6"/>
  <c r="AU116" i="6" s="1"/>
  <c r="AT116" i="6" s="1"/>
  <c r="L116" i="6" s="1"/>
  <c r="AV229" i="6"/>
  <c r="AU229" i="6" s="1"/>
  <c r="AT229" i="6" s="1"/>
  <c r="L229" i="6" s="1"/>
  <c r="AV350" i="6"/>
  <c r="AU350" i="6" s="1"/>
  <c r="AT350" i="6" s="1"/>
  <c r="L350" i="6" s="1"/>
  <c r="AV205" i="6"/>
  <c r="AU205" i="6" s="1"/>
  <c r="AT205" i="6" s="1"/>
  <c r="L205" i="6" s="1"/>
  <c r="AV61" i="6"/>
  <c r="AU61" i="6" s="1"/>
  <c r="AT61" i="6" s="1"/>
  <c r="L61" i="6" s="1"/>
  <c r="AV270" i="6"/>
  <c r="AU270" i="6" s="1"/>
  <c r="AT270" i="6" s="1"/>
  <c r="L270" i="6" s="1"/>
  <c r="AV134" i="6"/>
  <c r="AU134" i="6" s="1"/>
  <c r="AT134" i="6" s="1"/>
  <c r="L134" i="6" s="1"/>
  <c r="AV212" i="6"/>
  <c r="AU212" i="6" s="1"/>
  <c r="AT212" i="6" s="1"/>
  <c r="L212" i="6" s="1"/>
  <c r="AV152" i="6"/>
  <c r="AU152" i="6" s="1"/>
  <c r="AT152" i="6" s="1"/>
  <c r="L152" i="6" s="1"/>
  <c r="AV119" i="6"/>
  <c r="AU119" i="6" s="1"/>
  <c r="AT119" i="6" s="1"/>
  <c r="L119" i="6" s="1"/>
  <c r="AV434" i="6"/>
  <c r="AU434" i="6" s="1"/>
  <c r="AT434" i="6" s="1"/>
  <c r="L434" i="6" s="1"/>
  <c r="AV209" i="6"/>
  <c r="AU209" i="6" s="1"/>
  <c r="AT209" i="6" s="1"/>
  <c r="L209" i="6" s="1"/>
  <c r="AV261" i="6"/>
  <c r="AU261" i="6" s="1"/>
  <c r="AT261" i="6" s="1"/>
  <c r="L261" i="6" s="1"/>
  <c r="AV236" i="6"/>
  <c r="AU236" i="6" s="1"/>
  <c r="AT236" i="6" s="1"/>
  <c r="L236" i="6" s="1"/>
  <c r="AV312" i="6"/>
  <c r="AU312" i="6" s="1"/>
  <c r="AT312" i="6" s="1"/>
  <c r="L312" i="6" s="1"/>
  <c r="AV439" i="6"/>
  <c r="AU439" i="6" s="1"/>
  <c r="AT439" i="6" s="1"/>
  <c r="L439" i="6" s="1"/>
  <c r="AV403" i="6"/>
  <c r="AU403" i="6" s="1"/>
  <c r="AT403" i="6" s="1"/>
  <c r="L403" i="6" s="1"/>
  <c r="AV326" i="6"/>
  <c r="AU326" i="6" s="1"/>
  <c r="AT326" i="6" s="1"/>
  <c r="L326" i="6" s="1"/>
  <c r="AV455" i="6"/>
  <c r="AU455" i="6" s="1"/>
  <c r="AT455" i="6" s="1"/>
  <c r="L455" i="6" s="1"/>
  <c r="AV41" i="6"/>
  <c r="AU41" i="6" s="1"/>
  <c r="AT41" i="6" s="1"/>
  <c r="L41" i="6" s="1"/>
  <c r="AV224" i="6"/>
  <c r="AU224" i="6" s="1"/>
  <c r="AT224" i="6" s="1"/>
  <c r="L224" i="6" s="1"/>
  <c r="AV274" i="6"/>
  <c r="AU274" i="6" s="1"/>
  <c r="AT274" i="6" s="1"/>
  <c r="L274" i="6" s="1"/>
  <c r="AV337" i="6"/>
  <c r="AU337" i="6" s="1"/>
  <c r="AT337" i="6" s="1"/>
  <c r="L337" i="6" s="1"/>
  <c r="AV39" i="6"/>
  <c r="AU39" i="6" s="1"/>
  <c r="AT39" i="6" s="1"/>
  <c r="L39" i="6" s="1"/>
  <c r="AV186" i="6"/>
  <c r="AU186" i="6" s="1"/>
  <c r="AT186" i="6" s="1"/>
  <c r="L186" i="6" s="1"/>
  <c r="AV112" i="6"/>
  <c r="AU112" i="6" s="1"/>
  <c r="AT112" i="6" s="1"/>
  <c r="L112" i="6" s="1"/>
  <c r="AV391" i="6"/>
  <c r="AU391" i="6" s="1"/>
  <c r="AT391" i="6" s="1"/>
  <c r="L391" i="6" s="1"/>
  <c r="AV203" i="6"/>
  <c r="AU203" i="6" s="1"/>
  <c r="AT203" i="6" s="1"/>
  <c r="L203" i="6" s="1"/>
  <c r="AV97" i="6"/>
  <c r="AU97" i="6" s="1"/>
  <c r="AT97" i="6" s="1"/>
  <c r="L97" i="6" s="1"/>
  <c r="AV448" i="6"/>
  <c r="AU448" i="6" s="1"/>
  <c r="AT448" i="6" s="1"/>
  <c r="L448" i="6" s="1"/>
  <c r="AV340" i="6"/>
  <c r="AU340" i="6" s="1"/>
  <c r="AT340" i="6" s="1"/>
  <c r="L340" i="6" s="1"/>
  <c r="AV48" i="6"/>
  <c r="AU48" i="6" s="1"/>
  <c r="AT48" i="6" s="1"/>
  <c r="L48" i="6" s="1"/>
  <c r="AV314" i="6"/>
  <c r="AU314" i="6" s="1"/>
  <c r="AT314" i="6" s="1"/>
  <c r="L314" i="6" s="1"/>
  <c r="AV327" i="6"/>
  <c r="AU327" i="6" s="1"/>
  <c r="AT327" i="6" s="1"/>
  <c r="L327" i="6" s="1"/>
  <c r="AV18" i="6"/>
  <c r="AU18" i="6" s="1"/>
  <c r="AT18" i="6" s="1"/>
  <c r="L18" i="6" s="1"/>
  <c r="AV11" i="6"/>
  <c r="AU11" i="6" s="1"/>
  <c r="AT11" i="6" s="1"/>
  <c r="L11" i="6" s="1"/>
  <c r="AV307" i="6"/>
  <c r="AU307" i="6" s="1"/>
  <c r="AT307" i="6" s="1"/>
  <c r="L307" i="6" s="1"/>
  <c r="AV170" i="6"/>
  <c r="AU170" i="6" s="1"/>
  <c r="AT170" i="6" s="1"/>
  <c r="L170" i="6" s="1"/>
  <c r="AV234" i="6"/>
  <c r="AU234" i="6" s="1"/>
  <c r="AT234" i="6" s="1"/>
  <c r="L234" i="6" s="1"/>
  <c r="AV450" i="6"/>
  <c r="AU450" i="6" s="1"/>
  <c r="AT450" i="6" s="1"/>
  <c r="L450" i="6" s="1"/>
  <c r="AV445" i="6"/>
  <c r="AU445" i="6" s="1"/>
  <c r="AT445" i="6" s="1"/>
  <c r="L445" i="6" s="1"/>
  <c r="AV428" i="6"/>
  <c r="AU428" i="6" s="1"/>
  <c r="AT428" i="6" s="1"/>
  <c r="L428" i="6" s="1"/>
  <c r="AV412" i="6"/>
  <c r="AU412" i="6" s="1"/>
  <c r="AT412" i="6" s="1"/>
  <c r="L412" i="6" s="1"/>
  <c r="AV189" i="6"/>
  <c r="AU189" i="6" s="1"/>
  <c r="AT189" i="6" s="1"/>
  <c r="L189" i="6" s="1"/>
  <c r="AV82" i="6"/>
  <c r="AU82" i="6" s="1"/>
  <c r="AT82" i="6" s="1"/>
  <c r="L82" i="6" s="1"/>
  <c r="AV379" i="6"/>
  <c r="AU379" i="6" s="1"/>
  <c r="AT379" i="6" s="1"/>
  <c r="L379" i="6" s="1"/>
  <c r="AV252" i="6"/>
  <c r="AU252" i="6" s="1"/>
  <c r="AT252" i="6" s="1"/>
  <c r="L252" i="6" s="1"/>
  <c r="AV345" i="6"/>
  <c r="AU345" i="6" s="1"/>
  <c r="AT345" i="6" s="1"/>
  <c r="L345" i="6" s="1"/>
  <c r="AV36" i="6"/>
  <c r="AU36" i="6" s="1"/>
  <c r="AT36" i="6" s="1"/>
  <c r="L36" i="6" s="1"/>
  <c r="AV374" i="6"/>
  <c r="AU374" i="6" s="1"/>
  <c r="AT374" i="6" s="1"/>
  <c r="L374" i="6" s="1"/>
  <c r="AV51" i="6"/>
  <c r="AU51" i="6" s="1"/>
  <c r="AT51" i="6" s="1"/>
  <c r="L51" i="6" s="1"/>
  <c r="AV385" i="6"/>
  <c r="AU385" i="6" s="1"/>
  <c r="AT385" i="6" s="1"/>
  <c r="L385" i="6" s="1"/>
  <c r="AV49" i="6"/>
  <c r="AU49" i="6" s="1"/>
  <c r="AT49" i="6" s="1"/>
  <c r="L49" i="6" s="1"/>
  <c r="AV263" i="6"/>
  <c r="AU263" i="6" s="1"/>
  <c r="AT263" i="6" s="1"/>
  <c r="L263" i="6" s="1"/>
  <c r="AV222" i="6"/>
  <c r="AU222" i="6" s="1"/>
  <c r="AT222" i="6" s="1"/>
  <c r="L222" i="6" s="1"/>
  <c r="AV259" i="6"/>
  <c r="AU259" i="6" s="1"/>
  <c r="AT259" i="6" s="1"/>
  <c r="L259" i="6" s="1"/>
  <c r="AV324" i="6"/>
  <c r="AU324" i="6" s="1"/>
  <c r="AT324" i="6" s="1"/>
  <c r="L324" i="6" s="1"/>
  <c r="AV60" i="6"/>
  <c r="AU60" i="6" s="1"/>
  <c r="AT60" i="6" s="1"/>
  <c r="L60" i="6" s="1"/>
  <c r="AV62" i="6"/>
  <c r="AU62" i="6" s="1"/>
  <c r="AT62" i="6" s="1"/>
  <c r="L62" i="6" s="1"/>
  <c r="AV130" i="6"/>
  <c r="AU130" i="6" s="1"/>
  <c r="AT130" i="6" s="1"/>
  <c r="L130" i="6" s="1"/>
  <c r="AV35" i="6"/>
  <c r="AU35" i="6" s="1"/>
  <c r="AT35" i="6" s="1"/>
  <c r="L35" i="6" s="1"/>
  <c r="AV255" i="6"/>
  <c r="AU255" i="6" s="1"/>
  <c r="AT255" i="6" s="1"/>
  <c r="L255" i="6" s="1"/>
  <c r="AV265" i="6"/>
  <c r="AU265" i="6" s="1"/>
  <c r="AT265" i="6" s="1"/>
  <c r="L265" i="6" s="1"/>
  <c r="AV22" i="6"/>
  <c r="AU22" i="6" s="1"/>
  <c r="AT22" i="6" s="1"/>
  <c r="L22" i="6" s="1"/>
  <c r="AV228" i="6"/>
  <c r="AU228" i="6" s="1"/>
  <c r="AT228" i="6" s="1"/>
  <c r="L228" i="6" s="1"/>
  <c r="AV332" i="6"/>
  <c r="AU332" i="6" s="1"/>
  <c r="AT332" i="6" s="1"/>
  <c r="L332" i="6" s="1"/>
  <c r="AV416" i="6"/>
  <c r="AU416" i="6" s="1"/>
  <c r="AT416" i="6" s="1"/>
  <c r="L416" i="6" s="1"/>
  <c r="AV303" i="6"/>
  <c r="AU303" i="6" s="1"/>
  <c r="AT303" i="6" s="1"/>
  <c r="L303" i="6" s="1"/>
  <c r="AV85" i="6"/>
  <c r="AU85" i="6" s="1"/>
  <c r="AT85" i="6" s="1"/>
  <c r="L85" i="6" s="1"/>
  <c r="AV204" i="6"/>
  <c r="AU204" i="6" s="1"/>
  <c r="AT204" i="6" s="1"/>
  <c r="L204" i="6" s="1"/>
  <c r="AV193" i="6"/>
  <c r="AU193" i="6" s="1"/>
  <c r="AT193" i="6" s="1"/>
  <c r="L193" i="6" s="1"/>
  <c r="AV309" i="6"/>
  <c r="AU309" i="6" s="1"/>
  <c r="AT309" i="6" s="1"/>
  <c r="L309" i="6" s="1"/>
  <c r="AV231" i="6"/>
  <c r="AU231" i="6" s="1"/>
  <c r="AT231" i="6" s="1"/>
  <c r="L231" i="6" s="1"/>
  <c r="AV242" i="6"/>
  <c r="AU242" i="6" s="1"/>
  <c r="AT242" i="6" s="1"/>
  <c r="L242" i="6" s="1"/>
  <c r="AV361" i="6"/>
  <c r="AU361" i="6" s="1"/>
  <c r="AT361" i="6" s="1"/>
  <c r="L361" i="6" s="1"/>
  <c r="AV17" i="6"/>
  <c r="AU17" i="6" s="1"/>
  <c r="AT17" i="6" s="1"/>
  <c r="L17" i="6" s="1"/>
  <c r="AV52" i="6"/>
  <c r="AU52" i="6" s="1"/>
  <c r="AT52" i="6" s="1"/>
  <c r="L52" i="6" s="1"/>
  <c r="AV43" i="6"/>
  <c r="AU43" i="6" s="1"/>
  <c r="AT43" i="6" s="1"/>
  <c r="L43" i="6" s="1"/>
  <c r="AV191" i="6"/>
  <c r="AU191" i="6" s="1"/>
  <c r="AT191" i="6" s="1"/>
  <c r="L191" i="6" s="1"/>
  <c r="AV343" i="6"/>
  <c r="AU343" i="6" s="1"/>
  <c r="AT343" i="6" s="1"/>
  <c r="L343" i="6" s="1"/>
  <c r="AV357" i="6"/>
  <c r="AU357" i="6" s="1"/>
  <c r="AT357" i="6" s="1"/>
  <c r="L357" i="6" s="1"/>
  <c r="AV460" i="6"/>
  <c r="AU460" i="6" s="1"/>
  <c r="AT460" i="6" s="1"/>
  <c r="L460" i="6" s="1"/>
  <c r="AV423" i="6"/>
  <c r="AU423" i="6" s="1"/>
  <c r="AT423" i="6" s="1"/>
  <c r="L423" i="6" s="1"/>
  <c r="AV367" i="6"/>
  <c r="AU367" i="6" s="1"/>
  <c r="AT367" i="6" s="1"/>
  <c r="L367" i="6" s="1"/>
  <c r="AV33" i="6"/>
  <c r="AU33" i="6" s="1"/>
  <c r="AT33" i="6" s="1"/>
  <c r="L33" i="6" s="1"/>
  <c r="AV427" i="6"/>
  <c r="AU427" i="6" s="1"/>
  <c r="AT427" i="6" s="1"/>
  <c r="L427" i="6" s="1"/>
  <c r="AV31" i="6"/>
  <c r="AU31" i="6" s="1"/>
  <c r="AT31" i="6" s="1"/>
  <c r="L31" i="6" s="1"/>
  <c r="AV449" i="6"/>
  <c r="AU449" i="6" s="1"/>
  <c r="AT449" i="6" s="1"/>
  <c r="L449" i="6" s="1"/>
  <c r="AV71" i="6"/>
  <c r="AU71" i="6" s="1"/>
  <c r="AT71" i="6" s="1"/>
  <c r="L71" i="6" s="1"/>
  <c r="AV156" i="6"/>
  <c r="AU156" i="6" s="1"/>
  <c r="AT156" i="6" s="1"/>
  <c r="L156" i="6" s="1"/>
  <c r="AV465" i="6"/>
  <c r="AU465" i="6" s="1"/>
  <c r="AT465" i="6" s="1"/>
  <c r="L465" i="6" s="1"/>
  <c r="AV129" i="6"/>
  <c r="AU129" i="6" s="1"/>
  <c r="AT129" i="6" s="1"/>
  <c r="L129" i="6" s="1"/>
  <c r="AV239" i="6"/>
  <c r="AU239" i="6" s="1"/>
  <c r="AT239" i="6" s="1"/>
  <c r="L239" i="6" s="1"/>
  <c r="AV393" i="6"/>
  <c r="AU393" i="6" s="1"/>
  <c r="AT393" i="6" s="1"/>
  <c r="L393" i="6" s="1"/>
  <c r="AV365" i="6"/>
  <c r="AU365" i="6" s="1"/>
  <c r="AT365" i="6" s="1"/>
  <c r="L365" i="6" s="1"/>
  <c r="AV315" i="6"/>
  <c r="AU315" i="6" s="1"/>
  <c r="AT315" i="6" s="1"/>
  <c r="L315" i="6" s="1"/>
  <c r="AV305" i="6"/>
  <c r="AU305" i="6" s="1"/>
  <c r="AT305" i="6" s="1"/>
  <c r="L305" i="6" s="1"/>
  <c r="AV241" i="6"/>
  <c r="AU241" i="6" s="1"/>
  <c r="AT241" i="6" s="1"/>
  <c r="L241" i="6" s="1"/>
  <c r="AV66" i="6"/>
  <c r="AU66" i="6" s="1"/>
  <c r="AT66" i="6" s="1"/>
  <c r="L66" i="6" s="1"/>
  <c r="AV192" i="6"/>
  <c r="AU192" i="6" s="1"/>
  <c r="AT192" i="6" s="1"/>
  <c r="L192" i="6" s="1"/>
  <c r="AV187" i="6"/>
  <c r="AU187" i="6" s="1"/>
  <c r="AT187" i="6" s="1"/>
  <c r="L187" i="6" s="1"/>
  <c r="AV344" i="6"/>
  <c r="AU344" i="6" s="1"/>
  <c r="AT344" i="6" s="1"/>
  <c r="L344" i="6" s="1"/>
  <c r="AV317" i="6"/>
  <c r="AU317" i="6" s="1"/>
  <c r="AT317" i="6" s="1"/>
  <c r="L317" i="6" s="1"/>
  <c r="AV433" i="6"/>
  <c r="AU433" i="6" s="1"/>
  <c r="AT433" i="6" s="1"/>
  <c r="L433" i="6" s="1"/>
  <c r="AV392" i="6"/>
  <c r="AU392" i="6" s="1"/>
  <c r="AT392" i="6" s="1"/>
  <c r="L392" i="6" s="1"/>
  <c r="AV113" i="6"/>
  <c r="AU113" i="6" s="1"/>
  <c r="AT113" i="6" s="1"/>
  <c r="L113" i="6" s="1"/>
  <c r="AV360" i="6"/>
  <c r="AU360" i="6" s="1"/>
  <c r="AT360" i="6" s="1"/>
  <c r="L360" i="6" s="1"/>
  <c r="AV235" i="6"/>
  <c r="AU235" i="6" s="1"/>
  <c r="AT235" i="6" s="1"/>
  <c r="L235" i="6" s="1"/>
  <c r="AV291" i="6"/>
  <c r="AU291" i="6" s="1"/>
  <c r="AT291" i="6" s="1"/>
  <c r="L291" i="6" s="1"/>
  <c r="AV440" i="6"/>
  <c r="AU440" i="6" s="1"/>
  <c r="AT440" i="6" s="1"/>
  <c r="L440" i="6" s="1"/>
  <c r="AV213" i="6"/>
  <c r="AU213" i="6" s="1"/>
  <c r="AT213" i="6" s="1"/>
  <c r="L213" i="6" s="1"/>
  <c r="AV55" i="6"/>
  <c r="AU55" i="6" s="1"/>
  <c r="AT55" i="6" s="1"/>
  <c r="L55" i="6" s="1"/>
  <c r="AV76" i="6"/>
  <c r="AU76" i="6" s="1"/>
  <c r="AT76" i="6" s="1"/>
  <c r="L76" i="6" s="1"/>
  <c r="AV268" i="6"/>
  <c r="AU268" i="6" s="1"/>
  <c r="AT268" i="6" s="1"/>
  <c r="L268" i="6" s="1"/>
  <c r="AV9" i="6"/>
  <c r="AU9" i="6" s="1"/>
  <c r="AT9" i="6" s="1"/>
  <c r="L9" i="6" s="1"/>
  <c r="AV92" i="6"/>
  <c r="AU92" i="6" s="1"/>
  <c r="AT92" i="6" s="1"/>
  <c r="L92" i="6" s="1"/>
  <c r="AV103" i="6"/>
  <c r="AU103" i="6" s="1"/>
  <c r="AT103" i="6" s="1"/>
  <c r="L103" i="6" s="1"/>
  <c r="AV135" i="6"/>
  <c r="AU135" i="6" s="1"/>
  <c r="AT135" i="6" s="1"/>
  <c r="L135" i="6" s="1"/>
  <c r="AV272" i="6"/>
  <c r="AU272" i="6" s="1"/>
  <c r="AT272" i="6" s="1"/>
  <c r="L272" i="6" s="1"/>
  <c r="AV408" i="6"/>
  <c r="AU408" i="6" s="1"/>
  <c r="AT408" i="6" s="1"/>
  <c r="L408" i="6" s="1"/>
  <c r="AV396" i="6"/>
  <c r="AU396" i="6" s="1"/>
  <c r="AT396" i="6" s="1"/>
  <c r="L396" i="6" s="1"/>
  <c r="AV53" i="6"/>
  <c r="AU53" i="6" s="1"/>
  <c r="AT53" i="6" s="1"/>
  <c r="L53" i="6" s="1"/>
  <c r="AV225" i="6"/>
  <c r="AU225" i="6" s="1"/>
  <c r="AT225" i="6" s="1"/>
  <c r="L225" i="6" s="1"/>
  <c r="AV198" i="6"/>
  <c r="AU198" i="6" s="1"/>
  <c r="AT198" i="6" s="1"/>
  <c r="L198" i="6" s="1"/>
  <c r="AV169" i="6"/>
  <c r="AU169" i="6" s="1"/>
  <c r="AT169" i="6" s="1"/>
  <c r="L169" i="6" s="1"/>
  <c r="AV425" i="6"/>
  <c r="AU425" i="6" s="1"/>
  <c r="AT425" i="6" s="1"/>
  <c r="L425" i="6" s="1"/>
  <c r="AV409" i="6"/>
  <c r="AU409" i="6" s="1"/>
  <c r="AT409" i="6" s="1"/>
  <c r="L409" i="6" s="1"/>
  <c r="AV398" i="6"/>
  <c r="AU398" i="6" s="1"/>
  <c r="AT398" i="6" s="1"/>
  <c r="L398" i="6" s="1"/>
  <c r="AV133" i="6"/>
  <c r="AU133" i="6" s="1"/>
  <c r="AT133" i="6" s="1"/>
  <c r="L133" i="6" s="1"/>
  <c r="AV230" i="6"/>
  <c r="AU230" i="6" s="1"/>
  <c r="AT230" i="6" s="1"/>
  <c r="L230" i="6" s="1"/>
  <c r="AV44" i="6"/>
  <c r="AU44" i="6" s="1"/>
  <c r="AT44" i="6" s="1"/>
  <c r="L44" i="6" s="1"/>
  <c r="AV238" i="6"/>
  <c r="AU238" i="6" s="1"/>
  <c r="AT238" i="6" s="1"/>
  <c r="L238" i="6" s="1"/>
  <c r="AV182" i="6"/>
  <c r="AU182" i="6" s="1"/>
  <c r="AT182" i="6" s="1"/>
  <c r="L182" i="6" s="1"/>
  <c r="AV277" i="6"/>
  <c r="AU277" i="6" s="1"/>
  <c r="AT277" i="6" s="1"/>
  <c r="L277" i="6" s="1"/>
  <c r="AV115" i="6"/>
  <c r="AU115" i="6" s="1"/>
  <c r="AT115" i="6" s="1"/>
  <c r="L115" i="6" s="1"/>
  <c r="AV311" i="6"/>
  <c r="AU311" i="6" s="1"/>
  <c r="AT311" i="6" s="1"/>
  <c r="L311" i="6" s="1"/>
  <c r="AV470" i="6"/>
  <c r="AU470" i="6" s="1"/>
  <c r="AT470" i="6" s="1"/>
  <c r="AV436" i="6"/>
  <c r="AU436" i="6" s="1"/>
  <c r="AT436" i="6" s="1"/>
  <c r="L436" i="6" s="1"/>
  <c r="AV59" i="6"/>
  <c r="AU59" i="6" s="1"/>
  <c r="AT59" i="6" s="1"/>
  <c r="L59" i="6" s="1"/>
  <c r="AV72" i="6"/>
  <c r="AU72" i="6" s="1"/>
  <c r="AT72" i="6" s="1"/>
  <c r="L72" i="6" s="1"/>
  <c r="AV279" i="6"/>
  <c r="AU279" i="6" s="1"/>
  <c r="AT279" i="6" s="1"/>
  <c r="L279" i="6" s="1"/>
  <c r="AV150" i="6"/>
  <c r="AU150" i="6" s="1"/>
  <c r="AT150" i="6" s="1"/>
  <c r="L150" i="6" s="1"/>
  <c r="AV218" i="6"/>
  <c r="AU218" i="6" s="1"/>
  <c r="AT218" i="6" s="1"/>
  <c r="L218" i="6" s="1"/>
  <c r="AV247" i="6"/>
  <c r="AU247" i="6" s="1"/>
  <c r="AT247" i="6" s="1"/>
  <c r="L247" i="6" s="1"/>
  <c r="AV411" i="6"/>
  <c r="AU411" i="6" s="1"/>
  <c r="AT411" i="6" s="1"/>
  <c r="L411" i="6" s="1"/>
  <c r="AV120" i="6"/>
  <c r="AU120" i="6" s="1"/>
  <c r="AT120" i="6" s="1"/>
  <c r="L120" i="6" s="1"/>
  <c r="AV397" i="6"/>
  <c r="AU397" i="6" s="1"/>
  <c r="AT397" i="6" s="1"/>
  <c r="L397" i="6" s="1"/>
  <c r="AV63" i="6"/>
  <c r="AU63" i="6" s="1"/>
  <c r="AT63" i="6" s="1"/>
  <c r="L63" i="6" s="1"/>
  <c r="AV54" i="6"/>
  <c r="AU54" i="6" s="1"/>
  <c r="AT54" i="6" s="1"/>
  <c r="L54" i="6" s="1"/>
  <c r="AV348" i="6"/>
  <c r="AU348" i="6" s="1"/>
  <c r="AT348" i="6" s="1"/>
  <c r="L348" i="6" s="1"/>
  <c r="AV271" i="6"/>
  <c r="AU271" i="6" s="1"/>
  <c r="AT271" i="6" s="1"/>
  <c r="L271" i="6" s="1"/>
  <c r="AV190" i="6"/>
  <c r="AU190" i="6" s="1"/>
  <c r="AT190" i="6" s="1"/>
  <c r="L190" i="6" s="1"/>
  <c r="AV334" i="6"/>
  <c r="AU334" i="6" s="1"/>
  <c r="AT334" i="6" s="1"/>
  <c r="L334" i="6" s="1"/>
  <c r="AV149" i="6"/>
  <c r="AU149" i="6" s="1"/>
  <c r="AT149" i="6" s="1"/>
  <c r="L149" i="6" s="1"/>
  <c r="AV249" i="6"/>
  <c r="AU249" i="6" s="1"/>
  <c r="AT249" i="6" s="1"/>
  <c r="L249" i="6" s="1"/>
  <c r="AV467" i="6"/>
  <c r="AU467" i="6" s="1"/>
  <c r="AT467" i="6" s="1"/>
  <c r="L467" i="6" s="1"/>
  <c r="AV123" i="6"/>
  <c r="AU123" i="6" s="1"/>
  <c r="AT123" i="6" s="1"/>
  <c r="L123" i="6" s="1"/>
  <c r="AV443" i="6"/>
  <c r="AU443" i="6" s="1"/>
  <c r="AT443" i="6" s="1"/>
  <c r="L443" i="6" s="1"/>
  <c r="AV352" i="6"/>
  <c r="AU352" i="6" s="1"/>
  <c r="AT352" i="6" s="1"/>
  <c r="L352" i="6" s="1"/>
  <c r="AV424" i="6"/>
  <c r="AU424" i="6" s="1"/>
  <c r="AT424" i="6" s="1"/>
  <c r="L424" i="6" s="1"/>
  <c r="AV77" i="6"/>
  <c r="AU77" i="6" s="1"/>
  <c r="AT77" i="6" s="1"/>
  <c r="L77" i="6" s="1"/>
  <c r="AV121" i="6"/>
  <c r="AU121" i="6" s="1"/>
  <c r="AT121" i="6" s="1"/>
  <c r="L121" i="6" s="1"/>
  <c r="AV223" i="6"/>
  <c r="AU223" i="6" s="1"/>
  <c r="AT223" i="6" s="1"/>
  <c r="L223" i="6" s="1"/>
  <c r="AV298" i="6"/>
  <c r="AU298" i="6" s="1"/>
  <c r="AT298" i="6" s="1"/>
  <c r="L298" i="6" s="1"/>
  <c r="AV462" i="6"/>
  <c r="AU462" i="6" s="1"/>
  <c r="AT462" i="6" s="1"/>
  <c r="L462" i="6" s="1"/>
  <c r="AV293" i="6"/>
  <c r="AU293" i="6" s="1"/>
  <c r="AT293" i="6" s="1"/>
  <c r="L293" i="6" s="1"/>
  <c r="AV201" i="6"/>
  <c r="AU201" i="6" s="1"/>
  <c r="AT201" i="6" s="1"/>
  <c r="L201" i="6" s="1"/>
  <c r="AV353" i="6"/>
  <c r="AU353" i="6" s="1"/>
  <c r="AT353" i="6" s="1"/>
  <c r="L353" i="6" s="1"/>
  <c r="AV466" i="6"/>
  <c r="AU466" i="6" s="1"/>
  <c r="AT466" i="6" s="1"/>
  <c r="L466" i="6" s="1"/>
  <c r="AV23" i="6"/>
  <c r="AU23" i="6" s="1"/>
  <c r="AT23" i="6" s="1"/>
  <c r="L23" i="6" s="1"/>
  <c r="AV34" i="6"/>
  <c r="AU34" i="6" s="1"/>
  <c r="AT34" i="6" s="1"/>
  <c r="L34" i="6" s="1"/>
  <c r="AV338" i="6"/>
  <c r="AU338" i="6" s="1"/>
  <c r="AT338" i="6" s="1"/>
  <c r="L338" i="6" s="1"/>
  <c r="AV160" i="6"/>
  <c r="AU160" i="6" s="1"/>
  <c r="AT160" i="6" s="1"/>
  <c r="L160" i="6" s="1"/>
  <c r="AV364" i="6"/>
  <c r="AU364" i="6" s="1"/>
  <c r="AT364" i="6" s="1"/>
  <c r="L364" i="6" s="1"/>
  <c r="AV159" i="6"/>
  <c r="AU159" i="6" s="1"/>
  <c r="AT159" i="6" s="1"/>
  <c r="L159" i="6" s="1"/>
  <c r="AV256" i="6"/>
  <c r="AU256" i="6" s="1"/>
  <c r="AT256" i="6" s="1"/>
  <c r="L256" i="6" s="1"/>
  <c r="AV453" i="6"/>
  <c r="AU453" i="6" s="1"/>
  <c r="AT453" i="6" s="1"/>
  <c r="L453" i="6" s="1"/>
  <c r="AV81" i="6"/>
  <c r="AU81" i="6" s="1"/>
  <c r="AT81" i="6" s="1"/>
  <c r="L81" i="6" s="1"/>
  <c r="AV206" i="6"/>
  <c r="AU206" i="6" s="1"/>
  <c r="AT206" i="6" s="1"/>
  <c r="L206" i="6" s="1"/>
  <c r="AV70" i="6"/>
  <c r="AU70" i="6" s="1"/>
  <c r="AT70" i="6" s="1"/>
  <c r="L70" i="6" s="1"/>
  <c r="AV158" i="6"/>
  <c r="AU158" i="6" s="1"/>
  <c r="AT158" i="6" s="1"/>
  <c r="L158" i="6" s="1"/>
  <c r="AV454" i="6"/>
  <c r="AU454" i="6" s="1"/>
  <c r="AT454" i="6" s="1"/>
  <c r="L454" i="6" s="1"/>
  <c r="AV29" i="6"/>
  <c r="AU29" i="6" s="1"/>
  <c r="AT29" i="6" s="1"/>
  <c r="L29" i="6" s="1"/>
  <c r="AV171" i="6"/>
  <c r="AU171" i="6" s="1"/>
  <c r="AT171" i="6" s="1"/>
  <c r="L171" i="6" s="1"/>
  <c r="AV399" i="6"/>
  <c r="AU399" i="6" s="1"/>
  <c r="AT399" i="6" s="1"/>
  <c r="L399" i="6" s="1"/>
  <c r="AV153" i="6"/>
  <c r="AU153" i="6" s="1"/>
  <c r="AT153" i="6" s="1"/>
  <c r="L153" i="6" s="1"/>
  <c r="AV285" i="6"/>
  <c r="AU285" i="6" s="1"/>
  <c r="AT285" i="6" s="1"/>
  <c r="L285" i="6" s="1"/>
  <c r="AV42" i="6"/>
  <c r="AU42" i="6" s="1"/>
  <c r="AT42" i="6" s="1"/>
  <c r="L42" i="6" s="1"/>
  <c r="AV167" i="6"/>
  <c r="AU167" i="6" s="1"/>
  <c r="AT167" i="6" s="1"/>
  <c r="L167" i="6" s="1"/>
  <c r="AV141" i="6"/>
  <c r="AU141" i="6" s="1"/>
  <c r="AT141" i="6" s="1"/>
  <c r="L141" i="6" s="1"/>
  <c r="AV388" i="6"/>
  <c r="AU388" i="6" s="1"/>
  <c r="AT388" i="6" s="1"/>
  <c r="L388" i="6" s="1"/>
  <c r="AV94" i="6"/>
  <c r="AU94" i="6" s="1"/>
  <c r="AT94" i="6" s="1"/>
  <c r="L94" i="6" s="1"/>
  <c r="AV226" i="6"/>
  <c r="AU226" i="6" s="1"/>
  <c r="AT226" i="6" s="1"/>
  <c r="L226" i="6" s="1"/>
  <c r="AV313" i="6"/>
  <c r="AU313" i="6" s="1"/>
  <c r="AT313" i="6" s="1"/>
  <c r="L313" i="6" s="1"/>
  <c r="AV325" i="6"/>
  <c r="AU325" i="6" s="1"/>
  <c r="AT325" i="6" s="1"/>
  <c r="L325" i="6" s="1"/>
  <c r="AV30" i="6"/>
  <c r="AU30" i="6" s="1"/>
  <c r="AT30" i="6" s="1"/>
  <c r="L30" i="6" s="1"/>
  <c r="AV373" i="6"/>
  <c r="AU373" i="6" s="1"/>
  <c r="AT373" i="6" s="1"/>
  <c r="L373" i="6" s="1"/>
  <c r="AV99" i="6"/>
  <c r="AU99" i="6" s="1"/>
  <c r="AT99" i="6" s="1"/>
  <c r="L99" i="6" s="1"/>
  <c r="AV328" i="6"/>
  <c r="AU328" i="6" s="1"/>
  <c r="AT328" i="6" s="1"/>
  <c r="L328" i="6" s="1"/>
  <c r="AV146" i="6"/>
  <c r="AU146" i="6" s="1"/>
  <c r="AT146" i="6" s="1"/>
  <c r="L146" i="6" s="1"/>
  <c r="AV331" i="6"/>
  <c r="AU331" i="6" s="1"/>
  <c r="AT331" i="6" s="1"/>
  <c r="L331" i="6" s="1"/>
  <c r="AV463" i="6"/>
  <c r="AU463" i="6" s="1"/>
  <c r="AT463" i="6" s="1"/>
  <c r="L463" i="6" s="1"/>
  <c r="AV102" i="6"/>
  <c r="AU102" i="6" s="1"/>
  <c r="AT102" i="6" s="1"/>
  <c r="L102" i="6" s="1"/>
  <c r="AV101" i="6"/>
  <c r="AU101" i="6" s="1"/>
  <c r="AT101" i="6" s="1"/>
  <c r="L101" i="6" s="1"/>
  <c r="AV69" i="6"/>
  <c r="AU69" i="6" s="1"/>
  <c r="AT69" i="6" s="1"/>
  <c r="L69" i="6" s="1"/>
  <c r="AV283" i="6"/>
  <c r="AU283" i="6" s="1"/>
  <c r="AT283" i="6" s="1"/>
  <c r="L283" i="6" s="1"/>
  <c r="AV143" i="6"/>
  <c r="AU143" i="6" s="1"/>
  <c r="AT143" i="6" s="1"/>
  <c r="L143" i="6" s="1"/>
  <c r="AV98" i="6"/>
  <c r="AU98" i="6" s="1"/>
  <c r="AT98" i="6" s="1"/>
  <c r="L98" i="6" s="1"/>
  <c r="AV269" i="6"/>
  <c r="AU269" i="6" s="1"/>
  <c r="AT269" i="6" s="1"/>
  <c r="L269" i="6" s="1"/>
  <c r="AV458" i="6"/>
  <c r="AU458" i="6" s="1"/>
  <c r="AT458" i="6" s="1"/>
  <c r="L458" i="6" s="1"/>
  <c r="AV87" i="6"/>
  <c r="AU87" i="6" s="1"/>
  <c r="AT87" i="6" s="1"/>
  <c r="L87" i="6" s="1"/>
  <c r="AV296" i="6"/>
  <c r="AU296" i="6" s="1"/>
  <c r="AT296" i="6" s="1"/>
  <c r="L296" i="6" s="1"/>
  <c r="AV165" i="6"/>
  <c r="AU165" i="6" s="1"/>
  <c r="AT165" i="6" s="1"/>
  <c r="L165" i="6" s="1"/>
  <c r="AV57" i="6"/>
  <c r="AU57" i="6" s="1"/>
  <c r="AT57" i="6" s="1"/>
  <c r="L57" i="6" s="1"/>
  <c r="AV202" i="6"/>
  <c r="AU202" i="6" s="1"/>
  <c r="AT202" i="6" s="1"/>
  <c r="L202" i="6" s="1"/>
  <c r="AV429" i="6"/>
  <c r="AU429" i="6" s="1"/>
  <c r="AT429" i="6" s="1"/>
  <c r="L429" i="6" s="1"/>
  <c r="AV84" i="6"/>
  <c r="AU84" i="6" s="1"/>
  <c r="AT84" i="6" s="1"/>
  <c r="L84" i="6" s="1"/>
  <c r="AV369" i="6"/>
  <c r="AU369" i="6" s="1"/>
  <c r="AT369" i="6" s="1"/>
  <c r="L369" i="6" s="1"/>
  <c r="AV163" i="6"/>
  <c r="AU163" i="6" s="1"/>
  <c r="AT163" i="6" s="1"/>
  <c r="L163" i="6" s="1"/>
  <c r="AV179" i="6"/>
  <c r="AU179" i="6" s="1"/>
  <c r="AT179" i="6" s="1"/>
  <c r="L179" i="6" s="1"/>
  <c r="AV322" i="6"/>
  <c r="AU322" i="6" s="1"/>
  <c r="AT322" i="6" s="1"/>
  <c r="L322" i="6" s="1"/>
  <c r="AV38" i="6"/>
  <c r="AU38" i="6" s="1"/>
  <c r="AT38" i="6" s="1"/>
  <c r="L38" i="6" s="1"/>
  <c r="AV174" i="6"/>
  <c r="AU174" i="6" s="1"/>
  <c r="AT174" i="6" s="1"/>
  <c r="L174" i="6" s="1"/>
  <c r="AV316" i="6"/>
  <c r="AU316" i="6" s="1"/>
  <c r="AT316" i="6" s="1"/>
  <c r="L316" i="6" s="1"/>
  <c r="AV175" i="6"/>
  <c r="AU175" i="6" s="1"/>
  <c r="AT175" i="6" s="1"/>
  <c r="L175" i="6" s="1"/>
  <c r="AV86" i="6"/>
  <c r="AU86" i="6" s="1"/>
  <c r="AT86" i="6" s="1"/>
  <c r="L86" i="6" s="1"/>
  <c r="AV37" i="6"/>
  <c r="AU37" i="6" s="1"/>
  <c r="AT37" i="6" s="1"/>
  <c r="L37" i="6" s="1"/>
  <c r="AV219" i="6"/>
  <c r="AU219" i="6" s="1"/>
  <c r="AT219" i="6" s="1"/>
  <c r="L219" i="6" s="1"/>
  <c r="AV341" i="6"/>
  <c r="AU341" i="6" s="1"/>
  <c r="AT341" i="6" s="1"/>
  <c r="L341" i="6" s="1"/>
  <c r="AV188" i="6"/>
  <c r="AU188" i="6" s="1"/>
  <c r="AT188" i="6" s="1"/>
  <c r="L188" i="6" s="1"/>
  <c r="AV137" i="6"/>
  <c r="AU137" i="6" s="1"/>
  <c r="AT137" i="6" s="1"/>
  <c r="L137" i="6" s="1"/>
  <c r="AV459" i="6"/>
  <c r="AU459" i="6" s="1"/>
  <c r="AT459" i="6" s="1"/>
  <c r="L459" i="6" s="1"/>
  <c r="AV276" i="6"/>
  <c r="AU276" i="6" s="1"/>
  <c r="AT276" i="6" s="1"/>
  <c r="L276" i="6" s="1"/>
  <c r="AV246" i="6"/>
  <c r="AU246" i="6" s="1"/>
  <c r="AT246" i="6" s="1"/>
  <c r="L246" i="6" s="1"/>
  <c r="AV383" i="6"/>
  <c r="AU383" i="6" s="1"/>
  <c r="AT383" i="6" s="1"/>
  <c r="L383" i="6" s="1"/>
  <c r="AV257" i="6"/>
  <c r="AU257" i="6" s="1"/>
  <c r="AT257" i="6" s="1"/>
  <c r="L257" i="6" s="1"/>
  <c r="AV426" i="6"/>
  <c r="AU426" i="6" s="1"/>
  <c r="AT426" i="6" s="1"/>
  <c r="L426" i="6" s="1"/>
  <c r="AV250" i="6"/>
  <c r="AU250" i="6" s="1"/>
  <c r="AT250" i="6" s="1"/>
  <c r="L250" i="6" s="1"/>
  <c r="AV284" i="6"/>
  <c r="AU284" i="6" s="1"/>
  <c r="AT284" i="6" s="1"/>
  <c r="L284" i="6" s="1"/>
  <c r="AV10" i="6"/>
  <c r="AU10" i="6" s="1"/>
  <c r="AT10" i="6" s="1"/>
  <c r="L10" i="6" s="1"/>
  <c r="AV194" i="6"/>
  <c r="AU194" i="6" s="1"/>
  <c r="AT194" i="6" s="1"/>
  <c r="L194" i="6" s="1"/>
  <c r="AV377" i="6"/>
  <c r="AU377" i="6" s="1"/>
  <c r="AT377" i="6" s="1"/>
  <c r="L377" i="6" s="1"/>
  <c r="AV132" i="6"/>
  <c r="AU132" i="6" s="1"/>
  <c r="AT132" i="6" s="1"/>
  <c r="L132" i="6" s="1"/>
  <c r="AV166" i="6"/>
  <c r="AU166" i="6" s="1"/>
  <c r="AT166" i="6" s="1"/>
  <c r="L166" i="6" s="1"/>
  <c r="AV108" i="6"/>
  <c r="AU108" i="6" s="1"/>
  <c r="AT108" i="6" s="1"/>
  <c r="L108" i="6" s="1"/>
  <c r="AV382" i="6"/>
  <c r="AU382" i="6" s="1"/>
  <c r="AT382" i="6" s="1"/>
  <c r="L382" i="6" s="1"/>
  <c r="AV96" i="6"/>
  <c r="AU96" i="6" s="1"/>
  <c r="AT96" i="6" s="1"/>
  <c r="L96" i="6" s="1"/>
  <c r="AV211" i="6"/>
  <c r="AU211" i="6" s="1"/>
  <c r="AT211" i="6" s="1"/>
  <c r="L211" i="6" s="1"/>
  <c r="AV122" i="6"/>
  <c r="AU122" i="6" s="1"/>
  <c r="AT122" i="6" s="1"/>
  <c r="L122" i="6" s="1"/>
  <c r="AV335" i="6"/>
  <c r="AU335" i="6" s="1"/>
  <c r="AT335" i="6" s="1"/>
  <c r="L335" i="6" s="1"/>
  <c r="AV78" i="6"/>
  <c r="AU78" i="6" s="1"/>
  <c r="AT78" i="6" s="1"/>
  <c r="L78" i="6" s="1"/>
  <c r="AV178" i="6"/>
  <c r="AU178" i="6" s="1"/>
  <c r="AT178" i="6" s="1"/>
  <c r="L178" i="6" s="1"/>
  <c r="AV461" i="6"/>
  <c r="AU461" i="6" s="1"/>
  <c r="AT461" i="6" s="1"/>
  <c r="L461" i="6" s="1"/>
  <c r="AV444" i="6"/>
  <c r="AU444" i="6" s="1"/>
  <c r="AT444" i="6" s="1"/>
  <c r="L444" i="6" s="1"/>
  <c r="AV196" i="6"/>
  <c r="AU196" i="6" s="1"/>
  <c r="AT196" i="6" s="1"/>
  <c r="L196" i="6" s="1"/>
  <c r="AV282" i="6"/>
  <c r="AU282" i="6" s="1"/>
  <c r="AT282" i="6" s="1"/>
  <c r="L282" i="6" s="1"/>
  <c r="AV266" i="6"/>
  <c r="AU266" i="6" s="1"/>
  <c r="AT266" i="6" s="1"/>
  <c r="L266" i="6" s="1"/>
  <c r="AV420" i="6"/>
  <c r="AU420" i="6" s="1"/>
  <c r="AT420" i="6" s="1"/>
  <c r="L420" i="6" s="1"/>
  <c r="AV138" i="6"/>
  <c r="AU138" i="6" s="1"/>
  <c r="AT138" i="6" s="1"/>
  <c r="L138" i="6" s="1"/>
  <c r="AV40" i="6"/>
  <c r="AU40" i="6" s="1"/>
  <c r="AT40" i="6" s="1"/>
  <c r="L40" i="6" s="1"/>
  <c r="AV58" i="6"/>
  <c r="AU58" i="6" s="1"/>
  <c r="AT58" i="6" s="1"/>
  <c r="L58" i="6" s="1"/>
  <c r="AV438" i="6"/>
  <c r="AU438" i="6" s="1"/>
  <c r="AT438" i="6" s="1"/>
  <c r="L438" i="6" s="1"/>
  <c r="AV375" i="6"/>
  <c r="AU375" i="6" s="1"/>
  <c r="AT375" i="6" s="1"/>
  <c r="L375" i="6" s="1"/>
  <c r="AV164" i="6"/>
  <c r="AU164" i="6" s="1"/>
  <c r="AT164" i="6" s="1"/>
  <c r="L164" i="6" s="1"/>
  <c r="AV110" i="6"/>
  <c r="AU110" i="6" s="1"/>
  <c r="AT110" i="6" s="1"/>
  <c r="L110" i="6" s="1"/>
  <c r="AV24" i="6"/>
  <c r="AU24" i="6" s="1"/>
  <c r="AT24" i="6" s="1"/>
  <c r="L24" i="6" s="1"/>
  <c r="AV258" i="6"/>
  <c r="AU258" i="6" s="1"/>
  <c r="AT258" i="6" s="1"/>
  <c r="L258" i="6" s="1"/>
  <c r="AV90" i="6"/>
  <c r="AU90" i="6" s="1"/>
  <c r="AT90" i="6" s="1"/>
  <c r="L90" i="6" s="1"/>
  <c r="AV32" i="6"/>
  <c r="AU32" i="6" s="1"/>
  <c r="AT32" i="6" s="1"/>
  <c r="L32" i="6" s="1"/>
  <c r="AV210" i="6"/>
  <c r="AU210" i="6" s="1"/>
  <c r="AT210" i="6" s="1"/>
  <c r="L210" i="6" s="1"/>
  <c r="AV197" i="6"/>
  <c r="AU197" i="6" s="1"/>
  <c r="AT197" i="6" s="1"/>
  <c r="L197" i="6" s="1"/>
  <c r="AV286" i="6"/>
  <c r="AU286" i="6" s="1"/>
  <c r="AT286" i="6" s="1"/>
  <c r="L286" i="6" s="1"/>
  <c r="AV221" i="6"/>
  <c r="AU221" i="6" s="1"/>
  <c r="AT221" i="6" s="1"/>
  <c r="L221" i="6" s="1"/>
  <c r="AV126" i="6"/>
  <c r="AU126" i="6" s="1"/>
  <c r="AT126" i="6" s="1"/>
  <c r="L126" i="6" s="1"/>
  <c r="AV14" i="6"/>
  <c r="AU14" i="6" s="1"/>
  <c r="AT14" i="6" s="1"/>
  <c r="L14" i="6" s="1"/>
  <c r="AV430" i="6"/>
  <c r="AU430" i="6" s="1"/>
  <c r="AT430" i="6" s="1"/>
  <c r="L430" i="6" s="1"/>
  <c r="AV254" i="6"/>
  <c r="AU254" i="6" s="1"/>
  <c r="AT254" i="6" s="1"/>
  <c r="L254" i="6" s="1"/>
  <c r="AV275" i="6"/>
  <c r="AU275" i="6" s="1"/>
  <c r="AT275" i="6" s="1"/>
  <c r="L275" i="6" s="1"/>
  <c r="AV329" i="6"/>
  <c r="AU329" i="6" s="1"/>
  <c r="AT329" i="6" s="1"/>
  <c r="L329" i="6" s="1"/>
  <c r="AV155" i="6"/>
  <c r="AU155" i="6" s="1"/>
  <c r="AT155" i="6" s="1"/>
  <c r="L155" i="6" s="1"/>
  <c r="AV301" i="6"/>
  <c r="AU301" i="6" s="1"/>
  <c r="AT301" i="6" s="1"/>
  <c r="L301" i="6" s="1"/>
  <c r="AV185" i="6"/>
  <c r="AU185" i="6" s="1"/>
  <c r="AT185" i="6" s="1"/>
  <c r="L185" i="6" s="1"/>
  <c r="AV402" i="6"/>
  <c r="AU402" i="6" s="1"/>
  <c r="AT402" i="6" s="1"/>
  <c r="L402" i="6" s="1"/>
  <c r="AV93" i="6"/>
  <c r="AU93" i="6" s="1"/>
  <c r="AT93" i="6" s="1"/>
  <c r="L93" i="6" s="1"/>
  <c r="AV214" i="6"/>
  <c r="AU214" i="6" s="1"/>
  <c r="AT214" i="6" s="1"/>
  <c r="L214" i="6" s="1"/>
  <c r="AV183" i="6"/>
  <c r="AU183" i="6" s="1"/>
  <c r="AT183" i="6" s="1"/>
  <c r="L183" i="6" s="1"/>
  <c r="AV13" i="6"/>
  <c r="AU13" i="6" s="1"/>
  <c r="AT13" i="6" s="1"/>
  <c r="L13" i="6" s="1"/>
  <c r="AV372" i="6"/>
  <c r="AU372" i="6" s="1"/>
  <c r="AT372" i="6" s="1"/>
  <c r="L372" i="6" s="1"/>
  <c r="AV233" i="6"/>
  <c r="AU233" i="6" s="1"/>
  <c r="AT233" i="6" s="1"/>
  <c r="L233" i="6" s="1"/>
  <c r="AV64" i="6"/>
  <c r="AU64" i="6" s="1"/>
  <c r="AT64" i="6" s="1"/>
  <c r="L64" i="6" s="1"/>
  <c r="AV200" i="6"/>
  <c r="AU200" i="6" s="1"/>
  <c r="AT200" i="6" s="1"/>
  <c r="L200" i="6" s="1"/>
  <c r="AV300" i="6"/>
  <c r="AU300" i="6" s="1"/>
  <c r="AT300" i="6" s="1"/>
  <c r="L300" i="6" s="1"/>
  <c r="AV387" i="6"/>
  <c r="AU387" i="6" s="1"/>
  <c r="AT387" i="6" s="1"/>
  <c r="L387" i="6" s="1"/>
  <c r="AV136" i="6"/>
  <c r="AU136" i="6" s="1"/>
  <c r="AT136" i="6" s="1"/>
  <c r="L136" i="6" s="1"/>
  <c r="AV333" i="6"/>
  <c r="AU333" i="6" s="1"/>
  <c r="AT333" i="6" s="1"/>
  <c r="L333" i="6" s="1"/>
  <c r="AV79" i="6"/>
  <c r="AU79" i="6" s="1"/>
  <c r="AT79" i="6" s="1"/>
  <c r="L79" i="6" s="1"/>
  <c r="AV207" i="6"/>
  <c r="AU207" i="6" s="1"/>
  <c r="AT207" i="6" s="1"/>
  <c r="L207" i="6" s="1"/>
  <c r="AV264" i="6"/>
  <c r="AU264" i="6" s="1"/>
  <c r="AT264" i="6" s="1"/>
  <c r="L264" i="6" s="1"/>
  <c r="AV26" i="6"/>
  <c r="AU26" i="6" s="1"/>
  <c r="AT26" i="6" s="1"/>
  <c r="L26" i="6" s="1"/>
  <c r="AV400" i="6"/>
  <c r="AU400" i="6" s="1"/>
  <c r="AT400" i="6" s="1"/>
  <c r="L400" i="6" s="1"/>
  <c r="AV404" i="6"/>
  <c r="AU404" i="6" s="1"/>
  <c r="AT404" i="6" s="1"/>
  <c r="L404" i="6" s="1"/>
  <c r="AV267" i="6"/>
  <c r="AU267" i="6" s="1"/>
  <c r="AT267" i="6" s="1"/>
  <c r="L267" i="6" s="1"/>
  <c r="AV109" i="6"/>
  <c r="AU109" i="6" s="1"/>
  <c r="AT109" i="6" s="1"/>
  <c r="L109" i="6" s="1"/>
  <c r="AV371" i="6"/>
  <c r="AU371" i="6" s="1"/>
  <c r="AT371" i="6" s="1"/>
  <c r="L371" i="6" s="1"/>
  <c r="AV389" i="6"/>
  <c r="AU389" i="6" s="1"/>
  <c r="AT389" i="6" s="1"/>
  <c r="L389" i="6" s="1"/>
  <c r="AV306" i="6"/>
  <c r="AU306" i="6" s="1"/>
  <c r="AT306" i="6" s="1"/>
  <c r="L306" i="6" s="1"/>
  <c r="AV330" i="6"/>
  <c r="AU330" i="6" s="1"/>
  <c r="AT330" i="6" s="1"/>
  <c r="L330" i="6" s="1"/>
  <c r="AV73" i="6"/>
  <c r="AU73" i="6" s="1"/>
  <c r="AT73" i="6" s="1"/>
  <c r="L73" i="6" s="1"/>
  <c r="AV413" i="6"/>
  <c r="AU413" i="6" s="1"/>
  <c r="AT413" i="6" s="1"/>
  <c r="L413" i="6" s="1"/>
  <c r="AV297" i="6"/>
  <c r="AU297" i="6" s="1"/>
  <c r="AT297" i="6" s="1"/>
  <c r="L297" i="6" s="1"/>
  <c r="AV124" i="6"/>
  <c r="AU124" i="6" s="1"/>
  <c r="AT124" i="6" s="1"/>
  <c r="L124" i="6" s="1"/>
  <c r="AV410" i="6"/>
  <c r="AU410" i="6" s="1"/>
  <c r="AT410" i="6" s="1"/>
  <c r="L410" i="6" s="1"/>
  <c r="AV16" i="6"/>
  <c r="AU16" i="6" s="1"/>
  <c r="AT16" i="6" s="1"/>
  <c r="L16" i="6" s="1"/>
  <c r="AV216" i="6"/>
  <c r="AU216" i="6" s="1"/>
  <c r="AT216" i="6" s="1"/>
  <c r="L216" i="6" s="1"/>
  <c r="AV215" i="6"/>
  <c r="AU215" i="6" s="1"/>
  <c r="AT215" i="6" s="1"/>
  <c r="L215" i="6" s="1"/>
  <c r="AV20" i="6"/>
  <c r="AU20" i="6" s="1"/>
  <c r="AT20" i="6" s="1"/>
  <c r="L20" i="6" s="1"/>
  <c r="AV168" i="6"/>
  <c r="AU168" i="6" s="1"/>
  <c r="AT168" i="6" s="1"/>
  <c r="L168" i="6" s="1"/>
  <c r="AV147" i="6"/>
  <c r="AU147" i="6" s="1"/>
  <c r="AT147" i="6" s="1"/>
  <c r="L147" i="6" s="1"/>
  <c r="AV435" i="6"/>
  <c r="AU435" i="6" s="1"/>
  <c r="AT435" i="6" s="1"/>
  <c r="L435" i="6" s="1"/>
  <c r="AV91" i="6"/>
  <c r="AU91" i="6" s="1"/>
  <c r="AT91" i="6" s="1"/>
  <c r="L91" i="6" s="1"/>
  <c r="AV346" i="6"/>
  <c r="AU346" i="6" s="1"/>
  <c r="AT346" i="6" s="1"/>
  <c r="L346" i="6" s="1"/>
  <c r="AV447" i="6"/>
  <c r="AU447" i="6" s="1"/>
  <c r="AT447" i="6" s="1"/>
  <c r="L447" i="6" s="1"/>
  <c r="AV177" i="6"/>
  <c r="AU177" i="6" s="1"/>
  <c r="AT177" i="6" s="1"/>
  <c r="L177" i="6" s="1"/>
  <c r="AV253" i="6"/>
  <c r="AU253" i="6" s="1"/>
  <c r="AT253" i="6" s="1"/>
  <c r="L253" i="6" s="1"/>
  <c r="AV180" i="6"/>
  <c r="AU180" i="6" s="1"/>
  <c r="AT180" i="6" s="1"/>
  <c r="L180" i="6" s="1"/>
  <c r="AV46" i="6"/>
  <c r="AU46" i="6" s="1"/>
  <c r="AT46" i="6" s="1"/>
  <c r="L46" i="6" s="1"/>
  <c r="AV243" i="6"/>
  <c r="AU243" i="6" s="1"/>
  <c r="AT243" i="6" s="1"/>
  <c r="L243" i="6" s="1"/>
  <c r="AV437" i="6"/>
  <c r="AU437" i="6" s="1"/>
  <c r="AT437" i="6" s="1"/>
  <c r="L437" i="6" s="1"/>
  <c r="AV347" i="6"/>
  <c r="AU347" i="6" s="1"/>
  <c r="AT347" i="6" s="1"/>
  <c r="L347" i="6" s="1"/>
  <c r="AV260" i="6"/>
  <c r="AU260" i="6" s="1"/>
  <c r="AT260" i="6" s="1"/>
  <c r="L260" i="6" s="1"/>
  <c r="AV27" i="6"/>
  <c r="AU27" i="6" s="1"/>
  <c r="AT27" i="6" s="1"/>
  <c r="L27" i="6" s="1"/>
  <c r="AV15" i="6"/>
  <c r="AU15" i="6" s="1"/>
  <c r="AT15" i="6" s="1"/>
  <c r="L15" i="6" s="1"/>
  <c r="AV45" i="6"/>
  <c r="AU45" i="6" s="1"/>
  <c r="AT45" i="6" s="1"/>
  <c r="L45" i="6" s="1"/>
  <c r="AV139" i="6"/>
  <c r="AU139" i="6" s="1"/>
  <c r="AT139" i="6" s="1"/>
  <c r="L139" i="6" s="1"/>
  <c r="AV469" i="6"/>
  <c r="AU469" i="6" s="1"/>
  <c r="AT469" i="6" s="1"/>
  <c r="AV151" i="6"/>
  <c r="AU151" i="6" s="1"/>
  <c r="AT151" i="6" s="1"/>
  <c r="L151" i="6" s="1"/>
  <c r="AV244" i="6"/>
  <c r="AU244" i="6" s="1"/>
  <c r="AT244" i="6" s="1"/>
  <c r="L244" i="6" s="1"/>
  <c r="AV321" i="6"/>
  <c r="AU321" i="6" s="1"/>
  <c r="AT321" i="6" s="1"/>
  <c r="L321" i="6" s="1"/>
  <c r="AV394" i="6"/>
  <c r="AU394" i="6" s="1"/>
  <c r="AT394" i="6" s="1"/>
  <c r="L394" i="6" s="1"/>
  <c r="AV452" i="6"/>
  <c r="AU452" i="6" s="1"/>
  <c r="AT452" i="6" s="1"/>
  <c r="L452" i="6" s="1"/>
  <c r="AV280" i="6"/>
  <c r="AU280" i="6" s="1"/>
  <c r="AT280" i="6" s="1"/>
  <c r="L280" i="6" s="1"/>
  <c r="AV25" i="6"/>
  <c r="AU25" i="6" s="1"/>
  <c r="AT25" i="6" s="1"/>
  <c r="L25" i="6" s="1"/>
  <c r="AV227" i="6"/>
  <c r="AU227" i="6" s="1"/>
  <c r="AT227" i="6" s="1"/>
  <c r="L227" i="6" s="1"/>
  <c r="AV468" i="6"/>
  <c r="AU468" i="6" s="1"/>
  <c r="AT468" i="6" s="1"/>
  <c r="L468" i="6" s="1"/>
  <c r="AV184" i="6"/>
  <c r="AU184" i="6" s="1"/>
  <c r="AT184" i="6" s="1"/>
  <c r="L184" i="6" s="1"/>
  <c r="AV65" i="6"/>
  <c r="AU65" i="6" s="1"/>
  <c r="AT65" i="6" s="1"/>
  <c r="L65" i="6" s="1"/>
  <c r="AV245" i="6"/>
  <c r="AU245" i="6" s="1"/>
  <c r="AT245" i="6" s="1"/>
  <c r="L245" i="6" s="1"/>
  <c r="AV181" i="6"/>
  <c r="AU181" i="6" s="1"/>
  <c r="AT181" i="6" s="1"/>
  <c r="L181" i="6" s="1"/>
  <c r="AV50" i="6"/>
  <c r="AU50" i="6" s="1"/>
  <c r="AT50" i="6" s="1"/>
  <c r="L50" i="6" s="1"/>
  <c r="AV240" i="6"/>
  <c r="AU240" i="6" s="1"/>
  <c r="AT240" i="6" s="1"/>
  <c r="L240" i="6" s="1"/>
  <c r="AV414" i="6"/>
  <c r="AU414" i="6" s="1"/>
  <c r="AT414" i="6" s="1"/>
  <c r="L414" i="6" s="1"/>
  <c r="AV318" i="6"/>
  <c r="AU318" i="6" s="1"/>
  <c r="AT318" i="6" s="1"/>
  <c r="L318" i="6" s="1"/>
  <c r="AV118" i="6"/>
  <c r="AU118" i="6" s="1"/>
  <c r="AT118" i="6" s="1"/>
  <c r="L118" i="6" s="1"/>
  <c r="AV251" i="6"/>
  <c r="AU251" i="6" s="1"/>
  <c r="AT251" i="6" s="1"/>
  <c r="L251" i="6" s="1"/>
  <c r="AV446" i="6"/>
  <c r="AU446" i="6" s="1"/>
  <c r="AT446" i="6" s="1"/>
  <c r="L446" i="6" s="1"/>
  <c r="AV323" i="6"/>
  <c r="AU323" i="6" s="1"/>
  <c r="AT323" i="6" s="1"/>
  <c r="L323" i="6" s="1"/>
  <c r="AV288" i="6"/>
  <c r="AU288" i="6" s="1"/>
  <c r="AT288" i="6" s="1"/>
  <c r="L288" i="6" s="1"/>
  <c r="AV140" i="6"/>
  <c r="AU140" i="6" s="1"/>
  <c r="AT140" i="6" s="1"/>
  <c r="L140" i="6" s="1"/>
  <c r="AV83" i="6"/>
  <c r="AU83" i="6" s="1"/>
  <c r="AT83" i="6" s="1"/>
  <c r="L83" i="6" s="1"/>
  <c r="AV354" i="6"/>
  <c r="AU354" i="6" s="1"/>
  <c r="AT354" i="6" s="1"/>
  <c r="L354" i="6" s="1"/>
  <c r="AV287" i="6"/>
  <c r="AU287" i="6" s="1"/>
  <c r="AT287" i="6" s="1"/>
  <c r="L287" i="6" s="1"/>
  <c r="AV320" i="6"/>
  <c r="AU320" i="6" s="1"/>
  <c r="AT320" i="6" s="1"/>
  <c r="L320" i="6" s="1"/>
  <c r="AV457" i="6"/>
  <c r="AU457" i="6" s="1"/>
  <c r="AT457" i="6" s="1"/>
  <c r="L457" i="6" s="1"/>
  <c r="AV310" i="6"/>
  <c r="AU310" i="6" s="1"/>
  <c r="AT310" i="6" s="1"/>
  <c r="L310" i="6" s="1"/>
  <c r="AV451" i="6"/>
  <c r="AU451" i="6" s="1"/>
  <c r="AT451" i="6" s="1"/>
  <c r="L451" i="6" s="1"/>
  <c r="AV75" i="6"/>
  <c r="AU75" i="6" s="1"/>
  <c r="AT75" i="6" s="1"/>
  <c r="L75" i="6" s="1"/>
  <c r="AV419" i="6"/>
  <c r="AU419" i="6" s="1"/>
  <c r="AT419" i="6" s="1"/>
  <c r="L419" i="6" s="1"/>
  <c r="AV362" i="6"/>
  <c r="AU362" i="6" s="1"/>
  <c r="AT362" i="6" s="1"/>
  <c r="L362" i="6" s="1"/>
  <c r="AV262" i="6"/>
  <c r="AU262" i="6" s="1"/>
  <c r="AT262" i="6" s="1"/>
  <c r="L262" i="6" s="1"/>
  <c r="AV106" i="6"/>
  <c r="AU106" i="6" s="1"/>
  <c r="AT106" i="6" s="1"/>
  <c r="L106" i="6" s="1"/>
  <c r="AV355" i="6"/>
  <c r="AU355" i="6" s="1"/>
  <c r="AT355" i="6" s="1"/>
  <c r="L355" i="6" s="1"/>
  <c r="AV278" i="6"/>
  <c r="AU278" i="6" s="1"/>
  <c r="AT278" i="6" s="1"/>
  <c r="L278" i="6" s="1"/>
  <c r="AV148" i="6"/>
  <c r="AU148" i="6" s="1"/>
  <c r="AT148" i="6" s="1"/>
  <c r="L148" i="6" s="1"/>
  <c r="AV294" i="6"/>
  <c r="AU294" i="6" s="1"/>
  <c r="AT294" i="6" s="1"/>
  <c r="L294" i="6" s="1"/>
  <c r="AV88" i="6"/>
  <c r="AU88" i="6" s="1"/>
  <c r="AT88" i="6" s="1"/>
  <c r="L88" i="6" s="1"/>
  <c r="AV401" i="6"/>
  <c r="AU401" i="6" s="1"/>
  <c r="AT401" i="6" s="1"/>
  <c r="L401" i="6" s="1"/>
  <c r="AV356" i="6"/>
  <c r="AU356" i="6" s="1"/>
  <c r="AT356" i="6" s="1"/>
  <c r="L356" i="6" s="1"/>
  <c r="AV195" i="6"/>
  <c r="AU195" i="6" s="1"/>
  <c r="AT195" i="6" s="1"/>
  <c r="L195" i="6" s="1"/>
  <c r="AV390" i="6"/>
  <c r="AU390" i="6" s="1"/>
  <c r="AT390" i="6" s="1"/>
  <c r="L390" i="6" s="1"/>
  <c r="AV370" i="6"/>
  <c r="AU370" i="6" s="1"/>
  <c r="AT370" i="6" s="1"/>
  <c r="L370" i="6" s="1"/>
  <c r="AV162" i="6"/>
  <c r="AU162" i="6" s="1"/>
  <c r="AT162" i="6" s="1"/>
  <c r="L162" i="6" s="1"/>
  <c r="AV368" i="6"/>
  <c r="AU368" i="6" s="1"/>
  <c r="AT368" i="6" s="1"/>
  <c r="L368" i="6" s="1"/>
  <c r="AV89" i="6"/>
  <c r="AU89" i="6" s="1"/>
  <c r="AT89" i="6" s="1"/>
  <c r="L89" i="6" s="1"/>
  <c r="AV376" i="6"/>
  <c r="AU376" i="6" s="1"/>
  <c r="AT376" i="6" s="1"/>
  <c r="L376" i="6" s="1"/>
  <c r="AV144" i="6"/>
  <c r="AU144" i="6" s="1"/>
  <c r="AT144" i="6" s="1"/>
  <c r="L144" i="6" s="1"/>
  <c r="AV248" i="6"/>
  <c r="AU248" i="6" s="1"/>
  <c r="AT248" i="6" s="1"/>
  <c r="L248" i="6" s="1"/>
  <c r="AV74" i="6"/>
  <c r="AU74" i="6" s="1"/>
  <c r="AT74" i="6" s="1"/>
  <c r="L74" i="6" s="1"/>
  <c r="AV366" i="6"/>
  <c r="AU366" i="6" s="1"/>
  <c r="AT366" i="6" s="1"/>
  <c r="L366" i="6" s="1"/>
  <c r="AV418" i="6"/>
  <c r="AU418" i="6" s="1"/>
  <c r="AT418" i="6" s="1"/>
  <c r="L418" i="6" s="1"/>
  <c r="AV281" i="6"/>
  <c r="AU281" i="6" s="1"/>
  <c r="AT281" i="6" s="1"/>
  <c r="L281" i="6" s="1"/>
  <c r="AV100" i="6"/>
  <c r="AU100" i="6" s="1"/>
  <c r="AT100" i="6" s="1"/>
  <c r="L100" i="6" s="1"/>
  <c r="AV217" i="6"/>
  <c r="AU217" i="6" s="1"/>
  <c r="AT217" i="6" s="1"/>
  <c r="L217" i="6" s="1"/>
  <c r="AV117" i="6"/>
  <c r="AU117" i="6" s="1"/>
  <c r="AT117" i="6" s="1"/>
  <c r="L117" i="6" s="1"/>
  <c r="AV157" i="6"/>
  <c r="AU157" i="6" s="1"/>
  <c r="AT157" i="6" s="1"/>
  <c r="L157" i="6" s="1"/>
  <c r="AV378" i="6"/>
  <c r="AU378" i="6" s="1"/>
  <c r="AT378" i="6" s="1"/>
  <c r="L378" i="6" s="1"/>
  <c r="AV319" i="6"/>
  <c r="AU319" i="6" s="1"/>
  <c r="AT319" i="6" s="1"/>
  <c r="L319" i="6" s="1"/>
  <c r="AV125" i="6"/>
  <c r="AU125" i="6" s="1"/>
  <c r="AT125" i="6" s="1"/>
  <c r="L125" i="6" s="1"/>
  <c r="AV380" i="6"/>
  <c r="AU380" i="6" s="1"/>
  <c r="AT380" i="6" s="1"/>
  <c r="L380" i="6" s="1"/>
  <c r="AV336" i="6"/>
  <c r="AU336" i="6" s="1"/>
  <c r="AT336" i="6" s="1"/>
  <c r="L336" i="6" s="1"/>
  <c r="AV381" i="6"/>
  <c r="AU381" i="6" s="1"/>
  <c r="AT381" i="6" s="1"/>
  <c r="L381" i="6" s="1"/>
  <c r="AV417" i="6"/>
  <c r="AU417" i="6" s="1"/>
  <c r="AT417" i="6" s="1"/>
  <c r="L417" i="6" s="1"/>
  <c r="AV131" i="6"/>
  <c r="AU131" i="6" s="1"/>
  <c r="AT131" i="6" s="1"/>
  <c r="L131" i="6" s="1"/>
  <c r="AV19" i="6"/>
  <c r="AU19" i="6" s="1"/>
  <c r="AT19" i="6" s="1"/>
  <c r="L19" i="6" s="1"/>
  <c r="AV21" i="6"/>
  <c r="AU21" i="6" s="1"/>
  <c r="AT21" i="6" s="1"/>
  <c r="L21" i="6" s="1"/>
  <c r="AV339" i="6"/>
  <c r="AU339" i="6" s="1"/>
  <c r="AT339" i="6" s="1"/>
  <c r="L339" i="6" s="1"/>
  <c r="AV47" i="6"/>
  <c r="AU47" i="6" s="1"/>
  <c r="AT47" i="6" s="1"/>
  <c r="L47" i="6" s="1"/>
  <c r="AV273" i="6"/>
  <c r="AU273" i="6" s="1"/>
  <c r="AT273" i="6" s="1"/>
  <c r="L273" i="6" s="1"/>
  <c r="AV142" i="6"/>
  <c r="AU142" i="6" s="1"/>
  <c r="AT142" i="6" s="1"/>
  <c r="L142" i="6" s="1"/>
  <c r="AV302" i="6"/>
  <c r="AU302" i="6" s="1"/>
  <c r="AT302" i="6" s="1"/>
  <c r="L302" i="6" s="1"/>
  <c r="AV232" i="6"/>
  <c r="AU232" i="6" s="1"/>
  <c r="AT232" i="6" s="1"/>
  <c r="L232" i="6" s="1"/>
  <c r="AV105" i="6"/>
  <c r="AU105" i="6" s="1"/>
  <c r="AT105" i="6" s="1"/>
  <c r="L105" i="6" s="1"/>
  <c r="AV111" i="6"/>
  <c r="AU111" i="6" s="1"/>
  <c r="AT111" i="6" s="1"/>
  <c r="L111" i="6" s="1"/>
  <c r="AV95" i="6"/>
  <c r="AU95" i="6" s="1"/>
  <c r="AT95" i="6" s="1"/>
  <c r="L95" i="6" s="1"/>
  <c r="AV432" i="6"/>
  <c r="AU432" i="6" s="1"/>
  <c r="AT432" i="6" s="1"/>
  <c r="L432" i="6" s="1"/>
  <c r="AV415" i="6"/>
  <c r="AU415" i="6" s="1"/>
  <c r="AT415" i="6" s="1"/>
  <c r="L415" i="6" s="1"/>
  <c r="AV128" i="6"/>
  <c r="AU128" i="6" s="1"/>
  <c r="AT128" i="6" s="1"/>
  <c r="L128" i="6" s="1"/>
  <c r="AV441" i="6"/>
  <c r="AU441" i="6" s="1"/>
  <c r="AT441" i="6" s="1"/>
  <c r="L441" i="6" s="1"/>
  <c r="AV464" i="6"/>
  <c r="AU464" i="6" s="1"/>
  <c r="AT464" i="6" s="1"/>
  <c r="L464" i="6" s="1"/>
  <c r="AV220" i="6"/>
  <c r="AU220" i="6" s="1"/>
  <c r="AT220" i="6" s="1"/>
  <c r="L220" i="6" s="1"/>
  <c r="AV405" i="6"/>
  <c r="AU405" i="6" s="1"/>
  <c r="AT405" i="6" s="1"/>
  <c r="L405" i="6" s="1"/>
  <c r="AV363" i="6"/>
  <c r="AU363" i="6" s="1"/>
  <c r="AT363" i="6" s="1"/>
  <c r="L363" i="6" s="1"/>
  <c r="AV421" i="6"/>
  <c r="AU421" i="6" s="1"/>
  <c r="AT421" i="6" s="1"/>
  <c r="L421" i="6" s="1"/>
  <c r="AV161" i="6"/>
  <c r="AU161" i="6" s="1"/>
  <c r="AT161" i="6" s="1"/>
  <c r="L161" i="6" s="1"/>
  <c r="AV456" i="6"/>
  <c r="AU456" i="6" s="1"/>
  <c r="AT456" i="6" s="1"/>
  <c r="L456" i="6" s="1"/>
  <c r="A11" i="10"/>
  <c r="BD446" i="6"/>
  <c r="BC446" i="6" s="1"/>
  <c r="BB446" i="6" s="1"/>
  <c r="O446" i="6" s="1"/>
  <c r="BD421" i="6"/>
  <c r="BC421" i="6" s="1"/>
  <c r="BB421" i="6" s="1"/>
  <c r="O421" i="6" s="1"/>
  <c r="BD409" i="6"/>
  <c r="BC409" i="6" s="1"/>
  <c r="BB409" i="6" s="1"/>
  <c r="O409" i="6" s="1"/>
  <c r="BD405" i="6"/>
  <c r="BC405" i="6" s="1"/>
  <c r="BB405" i="6" s="1"/>
  <c r="O405" i="6" s="1"/>
  <c r="BD368" i="6"/>
  <c r="BC368" i="6" s="1"/>
  <c r="BB368" i="6" s="1"/>
  <c r="O368" i="6" s="1"/>
  <c r="BD347" i="6"/>
  <c r="BC347" i="6" s="1"/>
  <c r="BB347" i="6" s="1"/>
  <c r="O347" i="6" s="1"/>
  <c r="BD316" i="6"/>
  <c r="BC316" i="6" s="1"/>
  <c r="BB316" i="6" s="1"/>
  <c r="O316" i="6" s="1"/>
  <c r="BD314" i="6"/>
  <c r="BC314" i="6" s="1"/>
  <c r="BB314" i="6" s="1"/>
  <c r="O314" i="6" s="1"/>
  <c r="BD289" i="6"/>
  <c r="BC289" i="6" s="1"/>
  <c r="BB289" i="6" s="1"/>
  <c r="O289" i="6" s="1"/>
  <c r="BD279" i="6"/>
  <c r="BC279" i="6" s="1"/>
  <c r="BB279" i="6" s="1"/>
  <c r="O279" i="6" s="1"/>
  <c r="BD263" i="6"/>
  <c r="BC263" i="6" s="1"/>
  <c r="BB263" i="6" s="1"/>
  <c r="O263" i="6" s="1"/>
  <c r="BD228" i="6"/>
  <c r="BC228" i="6" s="1"/>
  <c r="BB228" i="6" s="1"/>
  <c r="O228" i="6" s="1"/>
  <c r="BD209" i="6"/>
  <c r="BC209" i="6" s="1"/>
  <c r="BB209" i="6" s="1"/>
  <c r="O209" i="6" s="1"/>
  <c r="BD200" i="6"/>
  <c r="BC200" i="6" s="1"/>
  <c r="BB200" i="6" s="1"/>
  <c r="O200" i="6" s="1"/>
  <c r="BD155" i="6"/>
  <c r="BC155" i="6" s="1"/>
  <c r="BB155" i="6" s="1"/>
  <c r="O155" i="6" s="1"/>
  <c r="BD166" i="6"/>
  <c r="BC166" i="6" s="1"/>
  <c r="BB166" i="6" s="1"/>
  <c r="O166" i="6" s="1"/>
  <c r="BD124" i="6"/>
  <c r="BC124" i="6" s="1"/>
  <c r="BB124" i="6" s="1"/>
  <c r="O124" i="6" s="1"/>
  <c r="BD161" i="6"/>
  <c r="BC161" i="6" s="1"/>
  <c r="BB161" i="6" s="1"/>
  <c r="O161" i="6" s="1"/>
  <c r="BD157" i="6"/>
  <c r="BC157" i="6" s="1"/>
  <c r="BB157" i="6" s="1"/>
  <c r="O157" i="6" s="1"/>
  <c r="BD138" i="6"/>
  <c r="BC138" i="6" s="1"/>
  <c r="BB138" i="6" s="1"/>
  <c r="O138" i="6" s="1"/>
  <c r="BD122" i="6"/>
  <c r="BC122" i="6" s="1"/>
  <c r="BB122" i="6" s="1"/>
  <c r="O122" i="6" s="1"/>
  <c r="BD81" i="6"/>
  <c r="BC81" i="6" s="1"/>
  <c r="BB81" i="6" s="1"/>
  <c r="O81" i="6" s="1"/>
  <c r="BD43" i="6"/>
  <c r="BC43" i="6" s="1"/>
  <c r="BB43" i="6" s="1"/>
  <c r="O43" i="6" s="1"/>
  <c r="BD23" i="6"/>
  <c r="BC23" i="6" s="1"/>
  <c r="BB23" i="6" s="1"/>
  <c r="O23" i="6" s="1"/>
  <c r="BD12" i="6"/>
  <c r="BC12" i="6" s="1"/>
  <c r="BB12" i="6" s="1"/>
  <c r="O12" i="6" s="1"/>
  <c r="BD22" i="6"/>
  <c r="BC22" i="6" s="1"/>
  <c r="BB22" i="6" s="1"/>
  <c r="O22" i="6" s="1"/>
  <c r="BD105" i="6"/>
  <c r="BC105" i="6" s="1"/>
  <c r="BB105" i="6" s="1"/>
  <c r="O105" i="6" s="1"/>
  <c r="BD365" i="6"/>
  <c r="BC365" i="6" s="1"/>
  <c r="BB365" i="6" s="1"/>
  <c r="O365" i="6" s="1"/>
  <c r="BD250" i="6"/>
  <c r="BC250" i="6" s="1"/>
  <c r="BB250" i="6" s="1"/>
  <c r="O250" i="6" s="1"/>
  <c r="BD109" i="6"/>
  <c r="BC109" i="6" s="1"/>
  <c r="BB109" i="6" s="1"/>
  <c r="O109" i="6" s="1"/>
  <c r="BD197" i="6"/>
  <c r="BC197" i="6" s="1"/>
  <c r="BB197" i="6" s="1"/>
  <c r="O197" i="6" s="1"/>
  <c r="BD309" i="6"/>
  <c r="BC309" i="6" s="1"/>
  <c r="BB309" i="6" s="1"/>
  <c r="O309" i="6" s="1"/>
  <c r="BD440" i="6"/>
  <c r="BC440" i="6" s="1"/>
  <c r="BB440" i="6" s="1"/>
  <c r="O440" i="6" s="1"/>
  <c r="BD299" i="6"/>
  <c r="BC299" i="6" s="1"/>
  <c r="BB299" i="6" s="1"/>
  <c r="O299" i="6" s="1"/>
  <c r="BD459" i="6"/>
  <c r="BC459" i="6" s="1"/>
  <c r="BB459" i="6" s="1"/>
  <c r="O459" i="6" s="1"/>
  <c r="BD468" i="6"/>
  <c r="BC468" i="6" s="1"/>
  <c r="BB468" i="6" s="1"/>
  <c r="O468" i="6" s="1"/>
  <c r="BD62" i="6"/>
  <c r="BC62" i="6" s="1"/>
  <c r="BB62" i="6" s="1"/>
  <c r="O62" i="6" s="1"/>
  <c r="BD26" i="6"/>
  <c r="BC26" i="6" s="1"/>
  <c r="BB26" i="6" s="1"/>
  <c r="O26" i="6" s="1"/>
  <c r="BD258" i="6"/>
  <c r="BC258" i="6" s="1"/>
  <c r="BB258" i="6" s="1"/>
  <c r="O258" i="6" s="1"/>
  <c r="BD410" i="6"/>
  <c r="BC410" i="6" s="1"/>
  <c r="BB410" i="6" s="1"/>
  <c r="O410" i="6" s="1"/>
  <c r="BD454" i="6"/>
  <c r="BC454" i="6" s="1"/>
  <c r="BB454" i="6" s="1"/>
  <c r="O454" i="6" s="1"/>
  <c r="BD44" i="6"/>
  <c r="BC44" i="6" s="1"/>
  <c r="BB44" i="6" s="1"/>
  <c r="O44" i="6" s="1"/>
  <c r="BD288" i="6"/>
  <c r="BC288" i="6" s="1"/>
  <c r="BB288" i="6" s="1"/>
  <c r="O288" i="6" s="1"/>
  <c r="BD101" i="6"/>
  <c r="BC101" i="6" s="1"/>
  <c r="BB101" i="6" s="1"/>
  <c r="O101" i="6" s="1"/>
  <c r="BD245" i="6"/>
  <c r="BC245" i="6" s="1"/>
  <c r="BB245" i="6" s="1"/>
  <c r="O245" i="6" s="1"/>
  <c r="BD355" i="6"/>
  <c r="BC355" i="6" s="1"/>
  <c r="BB355" i="6" s="1"/>
  <c r="O355" i="6" s="1"/>
  <c r="BD184" i="6"/>
  <c r="BC184" i="6" s="1"/>
  <c r="BB184" i="6" s="1"/>
  <c r="O184" i="6" s="1"/>
  <c r="BD286" i="6"/>
  <c r="BC286" i="6" s="1"/>
  <c r="BB286" i="6" s="1"/>
  <c r="O286" i="6" s="1"/>
  <c r="BD103" i="6"/>
  <c r="BC103" i="6" s="1"/>
  <c r="BB103" i="6" s="1"/>
  <c r="O103" i="6" s="1"/>
  <c r="BD47" i="6"/>
  <c r="BC47" i="6" s="1"/>
  <c r="BB47" i="6" s="1"/>
  <c r="O47" i="6" s="1"/>
  <c r="BD76" i="6"/>
  <c r="BC76" i="6" s="1"/>
  <c r="BB76" i="6" s="1"/>
  <c r="O76" i="6" s="1"/>
  <c r="BD186" i="6"/>
  <c r="BC186" i="6" s="1"/>
  <c r="BB186" i="6" s="1"/>
  <c r="O186" i="6" s="1"/>
  <c r="BD267" i="6"/>
  <c r="BC267" i="6" s="1"/>
  <c r="BB267" i="6" s="1"/>
  <c r="O267" i="6" s="1"/>
  <c r="BD332" i="6"/>
  <c r="BC332" i="6" s="1"/>
  <c r="BB332" i="6" s="1"/>
  <c r="O332" i="6" s="1"/>
  <c r="BD389" i="6"/>
  <c r="BC389" i="6" s="1"/>
  <c r="BB389" i="6" s="1"/>
  <c r="O389" i="6" s="1"/>
  <c r="BD222" i="6"/>
  <c r="BC222" i="6" s="1"/>
  <c r="BB222" i="6" s="1"/>
  <c r="O222" i="6" s="1"/>
  <c r="BD24" i="6"/>
  <c r="BC24" i="6" s="1"/>
  <c r="BB24" i="6" s="1"/>
  <c r="O24" i="6" s="1"/>
  <c r="BD444" i="6"/>
  <c r="BC444" i="6" s="1"/>
  <c r="BB444" i="6" s="1"/>
  <c r="O444" i="6" s="1"/>
  <c r="BD442" i="6"/>
  <c r="BC442" i="6" s="1"/>
  <c r="BB442" i="6" s="1"/>
  <c r="O442" i="6" s="1"/>
  <c r="BD431" i="6"/>
  <c r="BC431" i="6" s="1"/>
  <c r="BB431" i="6" s="1"/>
  <c r="O431" i="6" s="1"/>
  <c r="BD415" i="6"/>
  <c r="BC415" i="6" s="1"/>
  <c r="BB415" i="6" s="1"/>
  <c r="O415" i="6" s="1"/>
  <c r="BD374" i="6"/>
  <c r="BC374" i="6" s="1"/>
  <c r="BB374" i="6" s="1"/>
  <c r="O374" i="6" s="1"/>
  <c r="BD356" i="6"/>
  <c r="BC356" i="6" s="1"/>
  <c r="BB356" i="6" s="1"/>
  <c r="O356" i="6" s="1"/>
  <c r="BD371" i="6"/>
  <c r="BC371" i="6" s="1"/>
  <c r="BB371" i="6" s="1"/>
  <c r="O371" i="6" s="1"/>
  <c r="BD322" i="6"/>
  <c r="BC322" i="6" s="1"/>
  <c r="BB322" i="6" s="1"/>
  <c r="O322" i="6" s="1"/>
  <c r="BD305" i="6"/>
  <c r="BC305" i="6" s="1"/>
  <c r="BB305" i="6" s="1"/>
  <c r="O305" i="6" s="1"/>
  <c r="BD281" i="6"/>
  <c r="BC281" i="6" s="1"/>
  <c r="BB281" i="6" s="1"/>
  <c r="O281" i="6" s="1"/>
  <c r="BD293" i="6"/>
  <c r="BC293" i="6" s="1"/>
  <c r="BB293" i="6" s="1"/>
  <c r="O293" i="6" s="1"/>
  <c r="BD255" i="6"/>
  <c r="BC255" i="6" s="1"/>
  <c r="BB255" i="6" s="1"/>
  <c r="O255" i="6" s="1"/>
  <c r="BD220" i="6"/>
  <c r="BC220" i="6" s="1"/>
  <c r="BB220" i="6" s="1"/>
  <c r="O220" i="6" s="1"/>
  <c r="BD233" i="6"/>
  <c r="BC233" i="6" s="1"/>
  <c r="BB233" i="6" s="1"/>
  <c r="O233" i="6" s="1"/>
  <c r="BD196" i="6"/>
  <c r="BC196" i="6" s="1"/>
  <c r="BB196" i="6" s="1"/>
  <c r="O196" i="6" s="1"/>
  <c r="BD188" i="6"/>
  <c r="BC188" i="6" s="1"/>
  <c r="BB188" i="6" s="1"/>
  <c r="O188" i="6" s="1"/>
  <c r="BD158" i="6"/>
  <c r="BC158" i="6" s="1"/>
  <c r="BB158" i="6" s="1"/>
  <c r="O158" i="6" s="1"/>
  <c r="BD116" i="6"/>
  <c r="BC116" i="6" s="1"/>
  <c r="BB116" i="6" s="1"/>
  <c r="O116" i="6" s="1"/>
  <c r="BD177" i="6"/>
  <c r="BC177" i="6" s="1"/>
  <c r="BB177" i="6" s="1"/>
  <c r="O177" i="6" s="1"/>
  <c r="BD147" i="6"/>
  <c r="BC147" i="6" s="1"/>
  <c r="BB147" i="6" s="1"/>
  <c r="O147" i="6" s="1"/>
  <c r="BD114" i="6"/>
  <c r="BC114" i="6" s="1"/>
  <c r="BB114" i="6" s="1"/>
  <c r="O114" i="6" s="1"/>
  <c r="BD118" i="6"/>
  <c r="BC118" i="6" s="1"/>
  <c r="BB118" i="6" s="1"/>
  <c r="O118" i="6" s="1"/>
  <c r="BD73" i="6"/>
  <c r="BC73" i="6" s="1"/>
  <c r="BB73" i="6" s="1"/>
  <c r="O73" i="6" s="1"/>
  <c r="BD69" i="6"/>
  <c r="BC69" i="6" s="1"/>
  <c r="BB69" i="6" s="1"/>
  <c r="O69" i="6" s="1"/>
  <c r="BD65" i="6"/>
  <c r="BC65" i="6" s="1"/>
  <c r="BB65" i="6" s="1"/>
  <c r="O65" i="6" s="1"/>
  <c r="BD19" i="6"/>
  <c r="BC19" i="6" s="1"/>
  <c r="BB19" i="6" s="1"/>
  <c r="O19" i="6" s="1"/>
  <c r="BD14" i="6"/>
  <c r="BC14" i="6" s="1"/>
  <c r="BB14" i="6" s="1"/>
  <c r="O14" i="6" s="1"/>
  <c r="BD121" i="6"/>
  <c r="BC121" i="6" s="1"/>
  <c r="BB121" i="6" s="1"/>
  <c r="O121" i="6" s="1"/>
  <c r="BD372" i="6"/>
  <c r="BC372" i="6" s="1"/>
  <c r="BB372" i="6" s="1"/>
  <c r="O372" i="6" s="1"/>
  <c r="BD460" i="6"/>
  <c r="BC460" i="6" s="1"/>
  <c r="BB460" i="6" s="1"/>
  <c r="O460" i="6" s="1"/>
  <c r="BD72" i="6"/>
  <c r="BC72" i="6" s="1"/>
  <c r="BB72" i="6" s="1"/>
  <c r="O72" i="6" s="1"/>
  <c r="BD243" i="6"/>
  <c r="BC243" i="6" s="1"/>
  <c r="BB243" i="6" s="1"/>
  <c r="O243" i="6" s="1"/>
  <c r="BD337" i="6"/>
  <c r="BC337" i="6" s="1"/>
  <c r="BB337" i="6" s="1"/>
  <c r="O337" i="6" s="1"/>
  <c r="BD445" i="6"/>
  <c r="BC445" i="6" s="1"/>
  <c r="BB445" i="6" s="1"/>
  <c r="O445" i="6" s="1"/>
  <c r="BD312" i="6"/>
  <c r="BC312" i="6" s="1"/>
  <c r="BB312" i="6" s="1"/>
  <c r="O312" i="6" s="1"/>
  <c r="BD430" i="6"/>
  <c r="BC430" i="6" s="1"/>
  <c r="BB430" i="6" s="1"/>
  <c r="O430" i="6" s="1"/>
  <c r="BD86" i="6"/>
  <c r="BC86" i="6" s="1"/>
  <c r="BB86" i="6" s="1"/>
  <c r="O86" i="6" s="1"/>
  <c r="BD240" i="6"/>
  <c r="BC240" i="6" s="1"/>
  <c r="BB240" i="6" s="1"/>
  <c r="O240" i="6" s="1"/>
  <c r="BD38" i="6"/>
  <c r="BC38" i="6" s="1"/>
  <c r="BB38" i="6" s="1"/>
  <c r="O38" i="6" s="1"/>
  <c r="BD260" i="6"/>
  <c r="BC260" i="6" s="1"/>
  <c r="BB260" i="6" s="1"/>
  <c r="O260" i="6" s="1"/>
  <c r="BD432" i="6"/>
  <c r="BC432" i="6" s="1"/>
  <c r="BB432" i="6" s="1"/>
  <c r="O432" i="6" s="1"/>
  <c r="BD367" i="6"/>
  <c r="BC367" i="6" s="1"/>
  <c r="BB367" i="6" s="1"/>
  <c r="O367" i="6" s="1"/>
  <c r="BD78" i="6"/>
  <c r="BC78" i="6" s="1"/>
  <c r="BB78" i="6" s="1"/>
  <c r="O78" i="6" s="1"/>
  <c r="BD396" i="6"/>
  <c r="BC396" i="6" s="1"/>
  <c r="BB396" i="6" s="1"/>
  <c r="O396" i="6" s="1"/>
  <c r="BD129" i="6"/>
  <c r="BC129" i="6" s="1"/>
  <c r="BB129" i="6" s="1"/>
  <c r="O129" i="6" s="1"/>
  <c r="BD294" i="6"/>
  <c r="BC294" i="6" s="1"/>
  <c r="BB294" i="6" s="1"/>
  <c r="O294" i="6" s="1"/>
  <c r="BD423" i="6"/>
  <c r="BC423" i="6" s="1"/>
  <c r="BB423" i="6" s="1"/>
  <c r="O423" i="6" s="1"/>
  <c r="BD198" i="6"/>
  <c r="BC198" i="6" s="1"/>
  <c r="BB198" i="6" s="1"/>
  <c r="O198" i="6" s="1"/>
  <c r="BD329" i="6"/>
  <c r="BC329" i="6" s="1"/>
  <c r="BB329" i="6" s="1"/>
  <c r="O329" i="6" s="1"/>
  <c r="BD185" i="6"/>
  <c r="BC185" i="6" s="1"/>
  <c r="BB185" i="6" s="1"/>
  <c r="O185" i="6" s="1"/>
  <c r="BD18" i="6"/>
  <c r="BC18" i="6" s="1"/>
  <c r="BB18" i="6" s="1"/>
  <c r="O18" i="6" s="1"/>
  <c r="BD88" i="6"/>
  <c r="BC88" i="6" s="1"/>
  <c r="BB88" i="6" s="1"/>
  <c r="O88" i="6" s="1"/>
  <c r="BD202" i="6"/>
  <c r="BC202" i="6" s="1"/>
  <c r="BB202" i="6" s="1"/>
  <c r="O202" i="6" s="1"/>
  <c r="BD275" i="6"/>
  <c r="BC275" i="6" s="1"/>
  <c r="BB275" i="6" s="1"/>
  <c r="O275" i="6" s="1"/>
  <c r="BD323" i="6"/>
  <c r="BC323" i="6" s="1"/>
  <c r="BB323" i="6" s="1"/>
  <c r="O323" i="6" s="1"/>
  <c r="BD422" i="6"/>
  <c r="BC422" i="6" s="1"/>
  <c r="BB422" i="6" s="1"/>
  <c r="O422" i="6" s="1"/>
  <c r="BD232" i="6"/>
  <c r="BC232" i="6" s="1"/>
  <c r="BB232" i="6" s="1"/>
  <c r="O232" i="6" s="1"/>
  <c r="BD56" i="6"/>
  <c r="BC56" i="6" s="1"/>
  <c r="BB56" i="6" s="1"/>
  <c r="O56" i="6" s="1"/>
  <c r="BD441" i="6"/>
  <c r="BC441" i="6" s="1"/>
  <c r="BB441" i="6" s="1"/>
  <c r="O441" i="6" s="1"/>
  <c r="BD425" i="6"/>
  <c r="BC425" i="6" s="1"/>
  <c r="BB425" i="6" s="1"/>
  <c r="O425" i="6" s="1"/>
  <c r="BD406" i="6"/>
  <c r="BC406" i="6" s="1"/>
  <c r="BB406" i="6" s="1"/>
  <c r="O406" i="6" s="1"/>
  <c r="BD369" i="6"/>
  <c r="BC369" i="6" s="1"/>
  <c r="BB369" i="6" s="1"/>
  <c r="O369" i="6" s="1"/>
  <c r="BD377" i="6"/>
  <c r="BC377" i="6" s="1"/>
  <c r="BB377" i="6" s="1"/>
  <c r="O377" i="6" s="1"/>
  <c r="BD353" i="6"/>
  <c r="BC353" i="6" s="1"/>
  <c r="BB353" i="6" s="1"/>
  <c r="O353" i="6" s="1"/>
  <c r="BD336" i="6"/>
  <c r="BC336" i="6" s="1"/>
  <c r="BB336" i="6" s="1"/>
  <c r="O336" i="6" s="1"/>
  <c r="BD304" i="6"/>
  <c r="BC304" i="6" s="1"/>
  <c r="BB304" i="6" s="1"/>
  <c r="O304" i="6" s="1"/>
  <c r="BD326" i="6"/>
  <c r="BC326" i="6" s="1"/>
  <c r="BB326" i="6" s="1"/>
  <c r="O326" i="6" s="1"/>
  <c r="BD273" i="6"/>
  <c r="BC273" i="6" s="1"/>
  <c r="BB273" i="6" s="1"/>
  <c r="O273" i="6" s="1"/>
  <c r="BD247" i="6"/>
  <c r="BC247" i="6" s="1"/>
  <c r="BB247" i="6" s="1"/>
  <c r="O247" i="6" s="1"/>
  <c r="BD212" i="6"/>
  <c r="BC212" i="6" s="1"/>
  <c r="BB212" i="6" s="1"/>
  <c r="O212" i="6" s="1"/>
  <c r="BD225" i="6"/>
  <c r="BC225" i="6" s="1"/>
  <c r="BB225" i="6" s="1"/>
  <c r="O225" i="6" s="1"/>
  <c r="BD203" i="6"/>
  <c r="BC203" i="6" s="1"/>
  <c r="BB203" i="6" s="1"/>
  <c r="O203" i="6" s="1"/>
  <c r="BD178" i="6"/>
  <c r="BC178" i="6" s="1"/>
  <c r="BB178" i="6" s="1"/>
  <c r="O178" i="6" s="1"/>
  <c r="BD183" i="6"/>
  <c r="BC183" i="6" s="1"/>
  <c r="BB183" i="6" s="1"/>
  <c r="O183" i="6" s="1"/>
  <c r="BD165" i="6"/>
  <c r="BC165" i="6" s="1"/>
  <c r="BB165" i="6" s="1"/>
  <c r="O165" i="6" s="1"/>
  <c r="BD154" i="6"/>
  <c r="BC154" i="6" s="1"/>
  <c r="BB154" i="6" s="1"/>
  <c r="O154" i="6" s="1"/>
  <c r="BD141" i="6"/>
  <c r="BC141" i="6" s="1"/>
  <c r="BB141" i="6" s="1"/>
  <c r="O141" i="6" s="1"/>
  <c r="BD111" i="6"/>
  <c r="BC111" i="6" s="1"/>
  <c r="BB111" i="6" s="1"/>
  <c r="O111" i="6" s="1"/>
  <c r="BD108" i="6"/>
  <c r="BC108" i="6" s="1"/>
  <c r="BB108" i="6" s="1"/>
  <c r="O108" i="6" s="1"/>
  <c r="BD115" i="6"/>
  <c r="BC115" i="6" s="1"/>
  <c r="BB115" i="6" s="1"/>
  <c r="O115" i="6" s="1"/>
  <c r="BD67" i="6"/>
  <c r="BC67" i="6" s="1"/>
  <c r="BB67" i="6" s="1"/>
  <c r="O67" i="6" s="1"/>
  <c r="BD54" i="6"/>
  <c r="BC54" i="6" s="1"/>
  <c r="BB54" i="6" s="1"/>
  <c r="O54" i="6" s="1"/>
  <c r="BD10" i="6"/>
  <c r="BC10" i="6" s="1"/>
  <c r="BB10" i="6" s="1"/>
  <c r="O10" i="6" s="1"/>
  <c r="BD20" i="6"/>
  <c r="BC20" i="6" s="1"/>
  <c r="BB20" i="6" s="1"/>
  <c r="O20" i="6" s="1"/>
  <c r="BD180" i="6"/>
  <c r="BC180" i="6" s="1"/>
  <c r="BB180" i="6" s="1"/>
  <c r="O180" i="6" s="1"/>
  <c r="BD403" i="6"/>
  <c r="BC403" i="6" s="1"/>
  <c r="BB403" i="6" s="1"/>
  <c r="O403" i="6" s="1"/>
  <c r="BD264" i="6"/>
  <c r="BC264" i="6" s="1"/>
  <c r="BB264" i="6" s="1"/>
  <c r="O264" i="6" s="1"/>
  <c r="BD97" i="6"/>
  <c r="BC97" i="6" s="1"/>
  <c r="BB97" i="6" s="1"/>
  <c r="O97" i="6" s="1"/>
  <c r="BD205" i="6"/>
  <c r="BC205" i="6" s="1"/>
  <c r="BB205" i="6" s="1"/>
  <c r="O205" i="6" s="1"/>
  <c r="BD339" i="6"/>
  <c r="BC339" i="6" s="1"/>
  <c r="BB339" i="6" s="1"/>
  <c r="O339" i="6" s="1"/>
  <c r="BD451" i="6"/>
  <c r="BC451" i="6" s="1"/>
  <c r="BB451" i="6" s="1"/>
  <c r="O451" i="6" s="1"/>
  <c r="BD333" i="6"/>
  <c r="BC333" i="6" s="1"/>
  <c r="BB333" i="6" s="1"/>
  <c r="O333" i="6" s="1"/>
  <c r="BD436" i="6"/>
  <c r="BC436" i="6" s="1"/>
  <c r="BB436" i="6" s="1"/>
  <c r="O436" i="6" s="1"/>
  <c r="BD71" i="6"/>
  <c r="BC71" i="6" s="1"/>
  <c r="BB71" i="6" s="1"/>
  <c r="O71" i="6" s="1"/>
  <c r="BD272" i="6"/>
  <c r="BC272" i="6" s="1"/>
  <c r="BB272" i="6" s="1"/>
  <c r="O272" i="6" s="1"/>
  <c r="BD82" i="6"/>
  <c r="BC82" i="6" s="1"/>
  <c r="BB82" i="6" s="1"/>
  <c r="O82" i="6" s="1"/>
  <c r="BD249" i="6"/>
  <c r="BC249" i="6" s="1"/>
  <c r="BB249" i="6" s="1"/>
  <c r="O249" i="6" s="1"/>
  <c r="BD453" i="6"/>
  <c r="BC453" i="6" s="1"/>
  <c r="BB453" i="6" s="1"/>
  <c r="O453" i="6" s="1"/>
  <c r="BD412" i="6"/>
  <c r="BC412" i="6" s="1"/>
  <c r="BB412" i="6" s="1"/>
  <c r="O412" i="6" s="1"/>
  <c r="BD94" i="6"/>
  <c r="BC94" i="6" s="1"/>
  <c r="BB94" i="6" s="1"/>
  <c r="O94" i="6" s="1"/>
  <c r="BD13" i="6"/>
  <c r="BC13" i="6" s="1"/>
  <c r="BB13" i="6" s="1"/>
  <c r="O13" i="6" s="1"/>
  <c r="BD117" i="6"/>
  <c r="BC117" i="6" s="1"/>
  <c r="BB117" i="6" s="1"/>
  <c r="O117" i="6" s="1"/>
  <c r="BD283" i="6"/>
  <c r="BC283" i="6" s="1"/>
  <c r="BB283" i="6" s="1"/>
  <c r="O283" i="6" s="1"/>
  <c r="BD21" i="6"/>
  <c r="BC21" i="6" s="1"/>
  <c r="BB21" i="6" s="1"/>
  <c r="O21" i="6" s="1"/>
  <c r="BD211" i="6"/>
  <c r="BC211" i="6" s="1"/>
  <c r="BB211" i="6" s="1"/>
  <c r="O211" i="6" s="1"/>
  <c r="BD315" i="6"/>
  <c r="BC315" i="6" s="1"/>
  <c r="BB315" i="6" s="1"/>
  <c r="O315" i="6" s="1"/>
  <c r="BD210" i="6"/>
  <c r="BC210" i="6" s="1"/>
  <c r="BB210" i="6" s="1"/>
  <c r="O210" i="6" s="1"/>
  <c r="BD28" i="6"/>
  <c r="BC28" i="6" s="1"/>
  <c r="BB28" i="6" s="1"/>
  <c r="O28" i="6" s="1"/>
  <c r="BD133" i="6"/>
  <c r="BC133" i="6" s="1"/>
  <c r="BB133" i="6" s="1"/>
  <c r="O133" i="6" s="1"/>
  <c r="BD216" i="6"/>
  <c r="BC216" i="6" s="1"/>
  <c r="BB216" i="6" s="1"/>
  <c r="O216" i="6" s="1"/>
  <c r="BD248" i="6"/>
  <c r="BC248" i="6" s="1"/>
  <c r="BB248" i="6" s="1"/>
  <c r="O248" i="6" s="1"/>
  <c r="BD344" i="6"/>
  <c r="BC344" i="6" s="1"/>
  <c r="BB344" i="6" s="1"/>
  <c r="O344" i="6" s="1"/>
  <c r="BD447" i="6"/>
  <c r="BC447" i="6" s="1"/>
  <c r="BB447" i="6" s="1"/>
  <c r="O447" i="6" s="1"/>
  <c r="BD237" i="6"/>
  <c r="BC237" i="6" s="1"/>
  <c r="BB237" i="6" s="1"/>
  <c r="O237" i="6" s="1"/>
  <c r="BD83" i="6"/>
  <c r="BC83" i="6" s="1"/>
  <c r="BB83" i="6" s="1"/>
  <c r="O83" i="6" s="1"/>
  <c r="BD466" i="6"/>
  <c r="BC466" i="6" s="1"/>
  <c r="BB466" i="6" s="1"/>
  <c r="O466" i="6" s="1"/>
  <c r="BD438" i="6"/>
  <c r="BC438" i="6" s="1"/>
  <c r="BB438" i="6" s="1"/>
  <c r="O438" i="6" s="1"/>
  <c r="BD429" i="6"/>
  <c r="BC429" i="6" s="1"/>
  <c r="BB429" i="6" s="1"/>
  <c r="O429" i="6" s="1"/>
  <c r="BD398" i="6"/>
  <c r="BC398" i="6" s="1"/>
  <c r="BB398" i="6" s="1"/>
  <c r="O398" i="6" s="1"/>
  <c r="BD363" i="6"/>
  <c r="BC363" i="6" s="1"/>
  <c r="BB363" i="6" s="1"/>
  <c r="O363" i="6" s="1"/>
  <c r="BD361" i="6"/>
  <c r="BC361" i="6" s="1"/>
  <c r="BB361" i="6" s="1"/>
  <c r="O361" i="6" s="1"/>
  <c r="BD340" i="6"/>
  <c r="BC340" i="6" s="1"/>
  <c r="BB340" i="6" s="1"/>
  <c r="O340" i="6" s="1"/>
  <c r="BD318" i="6"/>
  <c r="BC318" i="6" s="1"/>
  <c r="BB318" i="6" s="1"/>
  <c r="O318" i="6" s="1"/>
  <c r="BD298" i="6"/>
  <c r="BC298" i="6" s="1"/>
  <c r="BB298" i="6" s="1"/>
  <c r="O298" i="6" s="1"/>
  <c r="BD303" i="6"/>
  <c r="BC303" i="6" s="1"/>
  <c r="BB303" i="6" s="1"/>
  <c r="O303" i="6" s="1"/>
  <c r="BD265" i="6"/>
  <c r="BC265" i="6" s="1"/>
  <c r="BB265" i="6" s="1"/>
  <c r="O265" i="6" s="1"/>
  <c r="BD244" i="6"/>
  <c r="BC244" i="6" s="1"/>
  <c r="BB244" i="6" s="1"/>
  <c r="O244" i="6" s="1"/>
  <c r="BD254" i="6"/>
  <c r="BC254" i="6" s="1"/>
  <c r="BB254" i="6" s="1"/>
  <c r="O254" i="6" s="1"/>
  <c r="BD223" i="6"/>
  <c r="BC223" i="6" s="1"/>
  <c r="BB223" i="6" s="1"/>
  <c r="O223" i="6" s="1"/>
  <c r="BD199" i="6"/>
  <c r="BC199" i="6" s="1"/>
  <c r="BB199" i="6" s="1"/>
  <c r="O199" i="6" s="1"/>
  <c r="BD170" i="6"/>
  <c r="BC170" i="6" s="1"/>
  <c r="BB170" i="6" s="1"/>
  <c r="O170" i="6" s="1"/>
  <c r="BD173" i="6"/>
  <c r="BC173" i="6" s="1"/>
  <c r="BB173" i="6" s="1"/>
  <c r="O173" i="6" s="1"/>
  <c r="BD150" i="6"/>
  <c r="BC150" i="6" s="1"/>
  <c r="BB150" i="6" s="1"/>
  <c r="O150" i="6" s="1"/>
  <c r="BD143" i="6"/>
  <c r="BC143" i="6" s="1"/>
  <c r="BB143" i="6" s="1"/>
  <c r="O143" i="6" s="1"/>
  <c r="BD135" i="6"/>
  <c r="BC135" i="6" s="1"/>
  <c r="BB135" i="6" s="1"/>
  <c r="O135" i="6" s="1"/>
  <c r="BD104" i="6"/>
  <c r="BC104" i="6" s="1"/>
  <c r="BB104" i="6" s="1"/>
  <c r="O104" i="6" s="1"/>
  <c r="BD99" i="6"/>
  <c r="BC99" i="6" s="1"/>
  <c r="BB99" i="6" s="1"/>
  <c r="O99" i="6" s="1"/>
  <c r="BD106" i="6"/>
  <c r="BC106" i="6" s="1"/>
  <c r="BB106" i="6" s="1"/>
  <c r="O106" i="6" s="1"/>
  <c r="BD49" i="6"/>
  <c r="BC49" i="6" s="1"/>
  <c r="BB49" i="6" s="1"/>
  <c r="O49" i="6" s="1"/>
  <c r="BD46" i="6"/>
  <c r="BC46" i="6" s="1"/>
  <c r="BB46" i="6" s="1"/>
  <c r="O46" i="6" s="1"/>
  <c r="BD29" i="6"/>
  <c r="BC29" i="6" s="1"/>
  <c r="BB29" i="6" s="1"/>
  <c r="O29" i="6" s="1"/>
  <c r="BD11" i="6"/>
  <c r="BC11" i="6" s="1"/>
  <c r="BB11" i="6" s="1"/>
  <c r="O11" i="6" s="1"/>
  <c r="BD190" i="6"/>
  <c r="BC190" i="6" s="1"/>
  <c r="BB190" i="6" s="1"/>
  <c r="O190" i="6" s="1"/>
  <c r="BD70" i="6"/>
  <c r="BC70" i="6" s="1"/>
  <c r="BB70" i="6" s="1"/>
  <c r="O70" i="6" s="1"/>
  <c r="BD352" i="6"/>
  <c r="BC352" i="6" s="1"/>
  <c r="BB352" i="6" s="1"/>
  <c r="O352" i="6" s="1"/>
  <c r="BD125" i="6"/>
  <c r="BC125" i="6" s="1"/>
  <c r="BB125" i="6" s="1"/>
  <c r="O125" i="6" s="1"/>
  <c r="BD218" i="6"/>
  <c r="BC218" i="6" s="1"/>
  <c r="BB218" i="6" s="1"/>
  <c r="O218" i="6" s="1"/>
  <c r="BD364" i="6"/>
  <c r="BC364" i="6" s="1"/>
  <c r="BB364" i="6" s="1"/>
  <c r="O364" i="6" s="1"/>
  <c r="BD452" i="6"/>
  <c r="BC452" i="6" s="1"/>
  <c r="BB452" i="6" s="1"/>
  <c r="O452" i="6" s="1"/>
  <c r="BD375" i="6"/>
  <c r="BC375" i="6" s="1"/>
  <c r="BB375" i="6" s="1"/>
  <c r="O375" i="6" s="1"/>
  <c r="BD457" i="6"/>
  <c r="BC457" i="6" s="1"/>
  <c r="BB457" i="6" s="1"/>
  <c r="O457" i="6" s="1"/>
  <c r="BD149" i="6"/>
  <c r="BC149" i="6" s="1"/>
  <c r="BB149" i="6" s="1"/>
  <c r="O149" i="6" s="1"/>
  <c r="BD411" i="6"/>
  <c r="BC411" i="6" s="1"/>
  <c r="BB411" i="6" s="1"/>
  <c r="O411" i="6" s="1"/>
  <c r="BD91" i="6"/>
  <c r="BC91" i="6" s="1"/>
  <c r="BB91" i="6" s="1"/>
  <c r="O91" i="6" s="1"/>
  <c r="BD251" i="6"/>
  <c r="BC251" i="6" s="1"/>
  <c r="BB251" i="6" s="1"/>
  <c r="O251" i="6" s="1"/>
  <c r="BD467" i="6"/>
  <c r="BC467" i="6" s="1"/>
  <c r="BB467" i="6" s="1"/>
  <c r="O467" i="6" s="1"/>
  <c r="BD433" i="6"/>
  <c r="BC433" i="6" s="1"/>
  <c r="BB433" i="6" s="1"/>
  <c r="O433" i="6" s="1"/>
  <c r="BD95" i="6"/>
  <c r="BC95" i="6" s="1"/>
  <c r="BB95" i="6" s="1"/>
  <c r="O95" i="6" s="1"/>
  <c r="BD57" i="6"/>
  <c r="BC57" i="6" s="1"/>
  <c r="BB57" i="6" s="1"/>
  <c r="O57" i="6" s="1"/>
  <c r="BD156" i="6"/>
  <c r="BC156" i="6" s="1"/>
  <c r="BB156" i="6" s="1"/>
  <c r="O156" i="6" s="1"/>
  <c r="BD310" i="6"/>
  <c r="BC310" i="6" s="1"/>
  <c r="BB310" i="6" s="1"/>
  <c r="O310" i="6" s="1"/>
  <c r="BD48" i="6"/>
  <c r="BC48" i="6" s="1"/>
  <c r="BB48" i="6" s="1"/>
  <c r="O48" i="6" s="1"/>
  <c r="BD292" i="6"/>
  <c r="BC292" i="6" s="1"/>
  <c r="BB292" i="6" s="1"/>
  <c r="O292" i="6" s="1"/>
  <c r="BD335" i="6"/>
  <c r="BC335" i="6" s="1"/>
  <c r="BB335" i="6" s="1"/>
  <c r="O335" i="6" s="1"/>
  <c r="BD331" i="6"/>
  <c r="BC331" i="6" s="1"/>
  <c r="BB331" i="6" s="1"/>
  <c r="O331" i="6" s="1"/>
  <c r="BD35" i="6"/>
  <c r="BC35" i="6" s="1"/>
  <c r="BB35" i="6" s="1"/>
  <c r="O35" i="6" s="1"/>
  <c r="BD126" i="6"/>
  <c r="BC126" i="6" s="1"/>
  <c r="BB126" i="6" s="1"/>
  <c r="O126" i="6" s="1"/>
  <c r="BD230" i="6"/>
  <c r="BC230" i="6" s="1"/>
  <c r="BB230" i="6" s="1"/>
  <c r="O230" i="6" s="1"/>
  <c r="BD278" i="6"/>
  <c r="BC278" i="6" s="1"/>
  <c r="BB278" i="6" s="1"/>
  <c r="O278" i="6" s="1"/>
  <c r="BD358" i="6"/>
  <c r="BC358" i="6" s="1"/>
  <c r="BB358" i="6" s="1"/>
  <c r="O358" i="6" s="1"/>
  <c r="BD462" i="6"/>
  <c r="BC462" i="6" s="1"/>
  <c r="BB462" i="6" s="1"/>
  <c r="O462" i="6" s="1"/>
  <c r="BD219" i="6"/>
  <c r="BC219" i="6" s="1"/>
  <c r="BB219" i="6" s="1"/>
  <c r="O219" i="6" s="1"/>
  <c r="BD84" i="6"/>
  <c r="BC84" i="6" s="1"/>
  <c r="BB84" i="6" s="1"/>
  <c r="O84" i="6" s="1"/>
  <c r="BD464" i="6"/>
  <c r="BC464" i="6" s="1"/>
  <c r="BB464" i="6" s="1"/>
  <c r="O464" i="6" s="1"/>
  <c r="BD435" i="6"/>
  <c r="BC435" i="6" s="1"/>
  <c r="BB435" i="6" s="1"/>
  <c r="O435" i="6" s="1"/>
  <c r="BD428" i="6"/>
  <c r="BC428" i="6" s="1"/>
  <c r="BB428" i="6" s="1"/>
  <c r="O428" i="6" s="1"/>
  <c r="BD417" i="6"/>
  <c r="BC417" i="6" s="1"/>
  <c r="BB417" i="6" s="1"/>
  <c r="O417" i="6" s="1"/>
  <c r="BD359" i="6"/>
  <c r="BC359" i="6" s="1"/>
  <c r="BB359" i="6" s="1"/>
  <c r="O359" i="6" s="1"/>
  <c r="BD351" i="6"/>
  <c r="BC351" i="6" s="1"/>
  <c r="BB351" i="6" s="1"/>
  <c r="O351" i="6" s="1"/>
  <c r="BD327" i="6"/>
  <c r="BC327" i="6" s="1"/>
  <c r="BB327" i="6" s="1"/>
  <c r="O327" i="6" s="1"/>
  <c r="BD311" i="6"/>
  <c r="BC311" i="6" s="1"/>
  <c r="BB311" i="6" s="1"/>
  <c r="O311" i="6" s="1"/>
  <c r="BD290" i="6"/>
  <c r="BC290" i="6" s="1"/>
  <c r="BB290" i="6" s="1"/>
  <c r="O290" i="6" s="1"/>
  <c r="BD287" i="6"/>
  <c r="BC287" i="6" s="1"/>
  <c r="BB287" i="6" s="1"/>
  <c r="O287" i="6" s="1"/>
  <c r="BD257" i="6"/>
  <c r="BC257" i="6" s="1"/>
  <c r="BB257" i="6" s="1"/>
  <c r="O257" i="6" s="1"/>
  <c r="BD246" i="6"/>
  <c r="BC246" i="6" s="1"/>
  <c r="BB246" i="6" s="1"/>
  <c r="O246" i="6" s="1"/>
  <c r="BD235" i="6"/>
  <c r="BC235" i="6" s="1"/>
  <c r="BB235" i="6" s="1"/>
  <c r="O235" i="6" s="1"/>
  <c r="BD215" i="6"/>
  <c r="BC215" i="6" s="1"/>
  <c r="BB215" i="6" s="1"/>
  <c r="O215" i="6" s="1"/>
  <c r="BD191" i="6"/>
  <c r="BC191" i="6" s="1"/>
  <c r="BB191" i="6" s="1"/>
  <c r="O191" i="6" s="1"/>
  <c r="BD162" i="6"/>
  <c r="BC162" i="6" s="1"/>
  <c r="BB162" i="6" s="1"/>
  <c r="O162" i="6" s="1"/>
  <c r="BD182" i="6"/>
  <c r="BC182" i="6" s="1"/>
  <c r="BB182" i="6" s="1"/>
  <c r="O182" i="6" s="1"/>
  <c r="BD145" i="6"/>
  <c r="BC145" i="6" s="1"/>
  <c r="BB145" i="6" s="1"/>
  <c r="O145" i="6" s="1"/>
  <c r="BD136" i="6"/>
  <c r="BC136" i="6" s="1"/>
  <c r="BB136" i="6" s="1"/>
  <c r="O136" i="6" s="1"/>
  <c r="BD127" i="6"/>
  <c r="BC127" i="6" s="1"/>
  <c r="BB127" i="6" s="1"/>
  <c r="O127" i="6" s="1"/>
  <c r="BD93" i="6"/>
  <c r="BC93" i="6" s="1"/>
  <c r="BB93" i="6" s="1"/>
  <c r="O93" i="6" s="1"/>
  <c r="BD107" i="6"/>
  <c r="BC107" i="6" s="1"/>
  <c r="BB107" i="6" s="1"/>
  <c r="O107" i="6" s="1"/>
  <c r="BD100" i="6"/>
  <c r="BC100" i="6" s="1"/>
  <c r="BB100" i="6" s="1"/>
  <c r="O100" i="6" s="1"/>
  <c r="BD41" i="6"/>
  <c r="BC41" i="6" s="1"/>
  <c r="BB41" i="6" s="1"/>
  <c r="O41" i="6" s="1"/>
  <c r="BD30" i="6"/>
  <c r="BC30" i="6" s="1"/>
  <c r="BB30" i="6" s="1"/>
  <c r="O30" i="6" s="1"/>
  <c r="BD25" i="6"/>
  <c r="BC25" i="6" s="1"/>
  <c r="BB25" i="6" s="1"/>
  <c r="O25" i="6" s="1"/>
  <c r="BD17" i="6"/>
  <c r="BC17" i="6" s="1"/>
  <c r="BB17" i="6" s="1"/>
  <c r="O17" i="6" s="1"/>
  <c r="BD252" i="6"/>
  <c r="BC252" i="6" s="1"/>
  <c r="BB252" i="6" s="1"/>
  <c r="O252" i="6" s="1"/>
  <c r="BD113" i="6"/>
  <c r="BC113" i="6" s="1"/>
  <c r="BB113" i="6" s="1"/>
  <c r="O113" i="6" s="1"/>
  <c r="BD9" i="6"/>
  <c r="BC9" i="6" s="1"/>
  <c r="BB9" i="6" s="1"/>
  <c r="O9" i="6" s="1"/>
  <c r="BD142" i="6"/>
  <c r="BC142" i="6" s="1"/>
  <c r="BB142" i="6" s="1"/>
  <c r="O142" i="6" s="1"/>
  <c r="BD269" i="6"/>
  <c r="BC269" i="6" s="1"/>
  <c r="BB269" i="6" s="1"/>
  <c r="O269" i="6" s="1"/>
  <c r="BD376" i="6"/>
  <c r="BC376" i="6" s="1"/>
  <c r="BB376" i="6" s="1"/>
  <c r="O376" i="6" s="1"/>
  <c r="BD450" i="6"/>
  <c r="BC450" i="6" s="1"/>
  <c r="BB450" i="6" s="1"/>
  <c r="O450" i="6" s="1"/>
  <c r="BD390" i="6"/>
  <c r="BC390" i="6" s="1"/>
  <c r="BB390" i="6" s="1"/>
  <c r="O390" i="6" s="1"/>
  <c r="BD399" i="6"/>
  <c r="BC399" i="6" s="1"/>
  <c r="BB399" i="6" s="1"/>
  <c r="O399" i="6" s="1"/>
  <c r="BD189" i="6"/>
  <c r="BC189" i="6" s="1"/>
  <c r="BB189" i="6" s="1"/>
  <c r="O189" i="6" s="1"/>
  <c r="BD426" i="6"/>
  <c r="BC426" i="6" s="1"/>
  <c r="BB426" i="6" s="1"/>
  <c r="O426" i="6" s="1"/>
  <c r="BD110" i="6"/>
  <c r="BC110" i="6" s="1"/>
  <c r="BB110" i="6" s="1"/>
  <c r="O110" i="6" s="1"/>
  <c r="BD354" i="6"/>
  <c r="BC354" i="6" s="1"/>
  <c r="BB354" i="6" s="1"/>
  <c r="O354" i="6" s="1"/>
  <c r="BD470" i="6"/>
  <c r="BC470" i="6" s="1"/>
  <c r="BB470" i="6" s="1"/>
  <c r="BD418" i="6"/>
  <c r="BC418" i="6" s="1"/>
  <c r="BB418" i="6" s="1"/>
  <c r="O418" i="6" s="1"/>
  <c r="BD160" i="6"/>
  <c r="BC160" i="6" s="1"/>
  <c r="BB160" i="6" s="1"/>
  <c r="O160" i="6" s="1"/>
  <c r="BD42" i="6"/>
  <c r="BC42" i="6" s="1"/>
  <c r="BB42" i="6" s="1"/>
  <c r="O42" i="6" s="1"/>
  <c r="BD174" i="6"/>
  <c r="BC174" i="6" s="1"/>
  <c r="BB174" i="6" s="1"/>
  <c r="O174" i="6" s="1"/>
  <c r="BD330" i="6"/>
  <c r="BC330" i="6" s="1"/>
  <c r="BB330" i="6" s="1"/>
  <c r="O330" i="6" s="1"/>
  <c r="BD53" i="6"/>
  <c r="BC53" i="6" s="1"/>
  <c r="BB53" i="6" s="1"/>
  <c r="O53" i="6" s="1"/>
  <c r="BD259" i="6"/>
  <c r="BC259" i="6" s="1"/>
  <c r="BB259" i="6" s="1"/>
  <c r="O259" i="6" s="1"/>
  <c r="BD341" i="6"/>
  <c r="BC341" i="6" s="1"/>
  <c r="BB341" i="6" s="1"/>
  <c r="O341" i="6" s="1"/>
  <c r="BD342" i="6"/>
  <c r="BC342" i="6" s="1"/>
  <c r="BB342" i="6" s="1"/>
  <c r="O342" i="6" s="1"/>
  <c r="BD55" i="6"/>
  <c r="BC55" i="6" s="1"/>
  <c r="BB55" i="6" s="1"/>
  <c r="O55" i="6" s="1"/>
  <c r="BD144" i="6"/>
  <c r="BC144" i="6" s="1"/>
  <c r="BB144" i="6" s="1"/>
  <c r="O144" i="6" s="1"/>
  <c r="BD214" i="6"/>
  <c r="BC214" i="6" s="1"/>
  <c r="BB214" i="6" s="1"/>
  <c r="O214" i="6" s="1"/>
  <c r="BD302" i="6"/>
  <c r="BC302" i="6" s="1"/>
  <c r="BB302" i="6" s="1"/>
  <c r="O302" i="6" s="1"/>
  <c r="BD350" i="6"/>
  <c r="BC350" i="6" s="1"/>
  <c r="BB350" i="6" s="1"/>
  <c r="O350" i="6" s="1"/>
  <c r="BD465" i="6"/>
  <c r="BC465" i="6" s="1"/>
  <c r="BB465" i="6" s="1"/>
  <c r="O465" i="6" s="1"/>
  <c r="BD346" i="6"/>
  <c r="BC346" i="6" s="1"/>
  <c r="BB346" i="6" s="1"/>
  <c r="O346" i="6" s="1"/>
  <c r="BD176" i="6"/>
  <c r="BC176" i="6" s="1"/>
  <c r="BB176" i="6" s="1"/>
  <c r="O176" i="6" s="1"/>
  <c r="BD461" i="6"/>
  <c r="BC461" i="6" s="1"/>
  <c r="BB461" i="6" s="1"/>
  <c r="O461" i="6" s="1"/>
  <c r="BD434" i="6"/>
  <c r="BC434" i="6" s="1"/>
  <c r="BB434" i="6" s="1"/>
  <c r="O434" i="6" s="1"/>
  <c r="BD413" i="6"/>
  <c r="BC413" i="6" s="1"/>
  <c r="BB413" i="6" s="1"/>
  <c r="O413" i="6" s="1"/>
  <c r="BD393" i="6"/>
  <c r="BC393" i="6" s="1"/>
  <c r="BB393" i="6" s="1"/>
  <c r="O393" i="6" s="1"/>
  <c r="BD366" i="6"/>
  <c r="BC366" i="6" s="1"/>
  <c r="BB366" i="6" s="1"/>
  <c r="O366" i="6" s="1"/>
  <c r="BD348" i="6"/>
  <c r="BC348" i="6" s="1"/>
  <c r="BB348" i="6" s="1"/>
  <c r="O348" i="6" s="1"/>
  <c r="BD319" i="6"/>
  <c r="BC319" i="6" s="1"/>
  <c r="BB319" i="6" s="1"/>
  <c r="O319" i="6" s="1"/>
  <c r="BD307" i="6"/>
  <c r="BC307" i="6" s="1"/>
  <c r="BB307" i="6" s="1"/>
  <c r="O307" i="6" s="1"/>
  <c r="BD282" i="6"/>
  <c r="BC282" i="6" s="1"/>
  <c r="BB282" i="6" s="1"/>
  <c r="O282" i="6" s="1"/>
  <c r="BD308" i="6"/>
  <c r="BC308" i="6" s="1"/>
  <c r="BB308" i="6" s="1"/>
  <c r="O308" i="6" s="1"/>
  <c r="BD295" i="6"/>
  <c r="BC295" i="6" s="1"/>
  <c r="BB295" i="6" s="1"/>
  <c r="O295" i="6" s="1"/>
  <c r="BD239" i="6"/>
  <c r="BC239" i="6" s="1"/>
  <c r="BB239" i="6" s="1"/>
  <c r="O239" i="6" s="1"/>
  <c r="BD227" i="6"/>
  <c r="BC227" i="6" s="1"/>
  <c r="BB227" i="6" s="1"/>
  <c r="O227" i="6" s="1"/>
  <c r="BD217" i="6"/>
  <c r="BC217" i="6" s="1"/>
  <c r="BB217" i="6" s="1"/>
  <c r="O217" i="6" s="1"/>
  <c r="BD179" i="6"/>
  <c r="BC179" i="6" s="1"/>
  <c r="BB179" i="6" s="1"/>
  <c r="O179" i="6" s="1"/>
  <c r="BD175" i="6"/>
  <c r="BC175" i="6" s="1"/>
  <c r="BB175" i="6" s="1"/>
  <c r="O175" i="6" s="1"/>
  <c r="BD146" i="6"/>
  <c r="BC146" i="6" s="1"/>
  <c r="BB146" i="6" s="1"/>
  <c r="O146" i="6" s="1"/>
  <c r="BD139" i="6"/>
  <c r="BC139" i="6" s="1"/>
  <c r="BB139" i="6" s="1"/>
  <c r="O139" i="6" s="1"/>
  <c r="BD128" i="6"/>
  <c r="BC128" i="6" s="1"/>
  <c r="BB128" i="6" s="1"/>
  <c r="O128" i="6" s="1"/>
  <c r="BD119" i="6"/>
  <c r="BC119" i="6" s="1"/>
  <c r="BB119" i="6" s="1"/>
  <c r="O119" i="6" s="1"/>
  <c r="BD85" i="6"/>
  <c r="BC85" i="6" s="1"/>
  <c r="BB85" i="6" s="1"/>
  <c r="O85" i="6" s="1"/>
  <c r="BD102" i="6"/>
  <c r="BC102" i="6" s="1"/>
  <c r="BB102" i="6" s="1"/>
  <c r="O102" i="6" s="1"/>
  <c r="BD64" i="6"/>
  <c r="BC64" i="6" s="1"/>
  <c r="BB64" i="6" s="1"/>
  <c r="O64" i="6" s="1"/>
  <c r="BD75" i="6"/>
  <c r="BC75" i="6" s="1"/>
  <c r="BB75" i="6" s="1"/>
  <c r="O75" i="6" s="1"/>
  <c r="BD45" i="6"/>
  <c r="BC45" i="6" s="1"/>
  <c r="BB45" i="6" s="1"/>
  <c r="O45" i="6" s="1"/>
  <c r="BD36" i="6"/>
  <c r="BC36" i="6" s="1"/>
  <c r="BB36" i="6" s="1"/>
  <c r="O36" i="6" s="1"/>
  <c r="BD39" i="6"/>
  <c r="BC39" i="6" s="1"/>
  <c r="BB39" i="6" s="1"/>
  <c r="O39" i="6" s="1"/>
  <c r="BD256" i="6"/>
  <c r="BC256" i="6" s="1"/>
  <c r="BB256" i="6" s="1"/>
  <c r="O256" i="6" s="1"/>
  <c r="BD152" i="6"/>
  <c r="BC152" i="6" s="1"/>
  <c r="BB152" i="6" s="1"/>
  <c r="O152" i="6" s="1"/>
  <c r="BD50" i="6"/>
  <c r="BC50" i="6" s="1"/>
  <c r="BB50" i="6" s="1"/>
  <c r="O50" i="6" s="1"/>
  <c r="BD168" i="6"/>
  <c r="BC168" i="6" s="1"/>
  <c r="BB168" i="6" s="1"/>
  <c r="O168" i="6" s="1"/>
  <c r="BD306" i="6"/>
  <c r="BC306" i="6" s="1"/>
  <c r="BB306" i="6" s="1"/>
  <c r="O306" i="6" s="1"/>
  <c r="BD397" i="6"/>
  <c r="BC397" i="6" s="1"/>
  <c r="BB397" i="6" s="1"/>
  <c r="O397" i="6" s="1"/>
  <c r="BD224" i="6"/>
  <c r="BC224" i="6" s="1"/>
  <c r="BB224" i="6" s="1"/>
  <c r="O224" i="6" s="1"/>
  <c r="BD391" i="6"/>
  <c r="BC391" i="6" s="1"/>
  <c r="BB391" i="6" s="1"/>
  <c r="O391" i="6" s="1"/>
  <c r="BD404" i="6"/>
  <c r="BC404" i="6" s="1"/>
  <c r="BB404" i="6" s="1"/>
  <c r="O404" i="6" s="1"/>
  <c r="BD229" i="6"/>
  <c r="BC229" i="6" s="1"/>
  <c r="BB229" i="6" s="1"/>
  <c r="O229" i="6" s="1"/>
  <c r="BD449" i="6"/>
  <c r="BC449" i="6" s="1"/>
  <c r="BB449" i="6" s="1"/>
  <c r="O449" i="6" s="1"/>
  <c r="BD134" i="6"/>
  <c r="BC134" i="6" s="1"/>
  <c r="BB134" i="6" s="1"/>
  <c r="O134" i="6" s="1"/>
  <c r="BD386" i="6"/>
  <c r="BC386" i="6" s="1"/>
  <c r="BB386" i="6" s="1"/>
  <c r="O386" i="6" s="1"/>
  <c r="BD392" i="6"/>
  <c r="BC392" i="6" s="1"/>
  <c r="BB392" i="6" s="1"/>
  <c r="O392" i="6" s="1"/>
  <c r="BD439" i="6"/>
  <c r="BC439" i="6" s="1"/>
  <c r="BB439" i="6" s="1"/>
  <c r="O439" i="6" s="1"/>
  <c r="BD164" i="6"/>
  <c r="BC164" i="6" s="1"/>
  <c r="BB164" i="6" s="1"/>
  <c r="O164" i="6" s="1"/>
  <c r="BD74" i="6"/>
  <c r="BC74" i="6" s="1"/>
  <c r="BB74" i="6" s="1"/>
  <c r="O74" i="6" s="1"/>
  <c r="BD172" i="6"/>
  <c r="BC172" i="6" s="1"/>
  <c r="BB172" i="6" s="1"/>
  <c r="O172" i="6" s="1"/>
  <c r="BD382" i="6"/>
  <c r="BC382" i="6" s="1"/>
  <c r="BB382" i="6" s="1"/>
  <c r="O382" i="6" s="1"/>
  <c r="BD87" i="6"/>
  <c r="BC87" i="6" s="1"/>
  <c r="BB87" i="6" s="1"/>
  <c r="O87" i="6" s="1"/>
  <c r="BD253" i="6"/>
  <c r="BC253" i="6" s="1"/>
  <c r="BB253" i="6" s="1"/>
  <c r="O253" i="6" s="1"/>
  <c r="BD362" i="6"/>
  <c r="BC362" i="6" s="1"/>
  <c r="BB362" i="6" s="1"/>
  <c r="O362" i="6" s="1"/>
  <c r="BD380" i="6"/>
  <c r="BC380" i="6" s="1"/>
  <c r="BB380" i="6" s="1"/>
  <c r="O380" i="6" s="1"/>
  <c r="BD27" i="6"/>
  <c r="BC27" i="6" s="1"/>
  <c r="BB27" i="6" s="1"/>
  <c r="O27" i="6" s="1"/>
  <c r="BD187" i="6"/>
  <c r="BC187" i="6" s="1"/>
  <c r="BB187" i="6" s="1"/>
  <c r="O187" i="6" s="1"/>
  <c r="BD226" i="6"/>
  <c r="BC226" i="6" s="1"/>
  <c r="BB226" i="6" s="1"/>
  <c r="O226" i="6" s="1"/>
  <c r="BD276" i="6"/>
  <c r="BC276" i="6" s="1"/>
  <c r="BB276" i="6" s="1"/>
  <c r="O276" i="6" s="1"/>
  <c r="BD378" i="6"/>
  <c r="BC378" i="6" s="1"/>
  <c r="BB378" i="6" s="1"/>
  <c r="O378" i="6" s="1"/>
  <c r="BD469" i="6"/>
  <c r="BC469" i="6" s="1"/>
  <c r="BB469" i="6" s="1"/>
  <c r="BD370" i="6"/>
  <c r="BC370" i="6" s="1"/>
  <c r="BB370" i="6" s="1"/>
  <c r="O370" i="6" s="1"/>
  <c r="BD242" i="6"/>
  <c r="BC242" i="6" s="1"/>
  <c r="BB242" i="6" s="1"/>
  <c r="O242" i="6" s="1"/>
  <c r="BD456" i="6"/>
  <c r="BC456" i="6" s="1"/>
  <c r="BB456" i="6" s="1"/>
  <c r="O456" i="6" s="1"/>
  <c r="BD427" i="6"/>
  <c r="BC427" i="6" s="1"/>
  <c r="BB427" i="6" s="1"/>
  <c r="O427" i="6" s="1"/>
  <c r="BD424" i="6"/>
  <c r="BC424" i="6" s="1"/>
  <c r="BB424" i="6" s="1"/>
  <c r="O424" i="6" s="1"/>
  <c r="BD384" i="6"/>
  <c r="BC384" i="6" s="1"/>
  <c r="BB384" i="6" s="1"/>
  <c r="O384" i="6" s="1"/>
  <c r="BD388" i="6"/>
  <c r="BC388" i="6" s="1"/>
  <c r="BB388" i="6" s="1"/>
  <c r="O388" i="6" s="1"/>
  <c r="BD334" i="6"/>
  <c r="BC334" i="6" s="1"/>
  <c r="BB334" i="6" s="1"/>
  <c r="O334" i="6" s="1"/>
  <c r="BD345" i="6"/>
  <c r="BC345" i="6" s="1"/>
  <c r="BB345" i="6" s="1"/>
  <c r="O345" i="6" s="1"/>
  <c r="BD301" i="6"/>
  <c r="BC301" i="6" s="1"/>
  <c r="BB301" i="6" s="1"/>
  <c r="O301" i="6" s="1"/>
  <c r="BD313" i="6"/>
  <c r="BC313" i="6" s="1"/>
  <c r="BB313" i="6" s="1"/>
  <c r="O313" i="6" s="1"/>
  <c r="BD280" i="6"/>
  <c r="BC280" i="6" s="1"/>
  <c r="BB280" i="6" s="1"/>
  <c r="O280" i="6" s="1"/>
  <c r="BD277" i="6"/>
  <c r="BC277" i="6" s="1"/>
  <c r="BB277" i="6" s="1"/>
  <c r="O277" i="6" s="1"/>
  <c r="BD285" i="6"/>
  <c r="BC285" i="6" s="1"/>
  <c r="BB285" i="6" s="1"/>
  <c r="O285" i="6" s="1"/>
  <c r="BD270" i="6"/>
  <c r="BC270" i="6" s="1"/>
  <c r="BB270" i="6" s="1"/>
  <c r="O270" i="6" s="1"/>
  <c r="BD207" i="6"/>
  <c r="BC207" i="6" s="1"/>
  <c r="BB207" i="6" s="1"/>
  <c r="O207" i="6" s="1"/>
  <c r="BD171" i="6"/>
  <c r="BC171" i="6" s="1"/>
  <c r="BB171" i="6" s="1"/>
  <c r="O171" i="6" s="1"/>
  <c r="BD167" i="6"/>
  <c r="BC167" i="6" s="1"/>
  <c r="BB167" i="6" s="1"/>
  <c r="O167" i="6" s="1"/>
  <c r="BD140" i="6"/>
  <c r="BC140" i="6" s="1"/>
  <c r="BB140" i="6" s="1"/>
  <c r="O140" i="6" s="1"/>
  <c r="BD131" i="6"/>
  <c r="BC131" i="6" s="1"/>
  <c r="BB131" i="6" s="1"/>
  <c r="O131" i="6" s="1"/>
  <c r="BD120" i="6"/>
  <c r="BC120" i="6" s="1"/>
  <c r="BB120" i="6" s="1"/>
  <c r="O120" i="6" s="1"/>
  <c r="BD151" i="6"/>
  <c r="BC151" i="6" s="1"/>
  <c r="BB151" i="6" s="1"/>
  <c r="O151" i="6" s="1"/>
  <c r="BD77" i="6"/>
  <c r="BC77" i="6" s="1"/>
  <c r="BB77" i="6" s="1"/>
  <c r="O77" i="6" s="1"/>
  <c r="BD98" i="6"/>
  <c r="BC98" i="6" s="1"/>
  <c r="BB98" i="6" s="1"/>
  <c r="O98" i="6" s="1"/>
  <c r="BD59" i="6"/>
  <c r="BC59" i="6" s="1"/>
  <c r="BB59" i="6" s="1"/>
  <c r="O59" i="6" s="1"/>
  <c r="BD61" i="6"/>
  <c r="BC61" i="6" s="1"/>
  <c r="BB61" i="6" s="1"/>
  <c r="O61" i="6" s="1"/>
  <c r="BD37" i="6"/>
  <c r="BC37" i="6" s="1"/>
  <c r="BB37" i="6" s="1"/>
  <c r="O37" i="6" s="1"/>
  <c r="BD16" i="6"/>
  <c r="BC16" i="6" s="1"/>
  <c r="BB16" i="6" s="1"/>
  <c r="O16" i="6" s="1"/>
  <c r="BD90" i="6"/>
  <c r="BC90" i="6" s="1"/>
  <c r="BB90" i="6" s="1"/>
  <c r="O90" i="6" s="1"/>
  <c r="BD291" i="6"/>
  <c r="BC291" i="6" s="1"/>
  <c r="BB291" i="6" s="1"/>
  <c r="O291" i="6" s="1"/>
  <c r="BD238" i="6"/>
  <c r="BC238" i="6" s="1"/>
  <c r="BB238" i="6" s="1"/>
  <c r="O238" i="6" s="1"/>
  <c r="BD92" i="6"/>
  <c r="BC92" i="6" s="1"/>
  <c r="BB92" i="6" s="1"/>
  <c r="O92" i="6" s="1"/>
  <c r="BD193" i="6"/>
  <c r="BC193" i="6" s="1"/>
  <c r="BB193" i="6" s="1"/>
  <c r="O193" i="6" s="1"/>
  <c r="BD284" i="6"/>
  <c r="BC284" i="6" s="1"/>
  <c r="BB284" i="6" s="1"/>
  <c r="O284" i="6" s="1"/>
  <c r="BD400" i="6"/>
  <c r="BC400" i="6" s="1"/>
  <c r="BB400" i="6" s="1"/>
  <c r="O400" i="6" s="1"/>
  <c r="BD208" i="6"/>
  <c r="BC208" i="6" s="1"/>
  <c r="BB208" i="6" s="1"/>
  <c r="O208" i="6" s="1"/>
  <c r="BD407" i="6"/>
  <c r="BC407" i="6" s="1"/>
  <c r="BB407" i="6" s="1"/>
  <c r="O407" i="6" s="1"/>
  <c r="BD383" i="6"/>
  <c r="BC383" i="6" s="1"/>
  <c r="BB383" i="6" s="1"/>
  <c r="O383" i="6" s="1"/>
  <c r="BD206" i="6"/>
  <c r="BC206" i="6" s="1"/>
  <c r="BB206" i="6" s="1"/>
  <c r="O206" i="6" s="1"/>
  <c r="BD32" i="6"/>
  <c r="BC32" i="6" s="1"/>
  <c r="BB32" i="6" s="1"/>
  <c r="O32" i="6" s="1"/>
  <c r="BD153" i="6"/>
  <c r="BC153" i="6" s="1"/>
  <c r="BB153" i="6" s="1"/>
  <c r="O153" i="6" s="1"/>
  <c r="BD394" i="6"/>
  <c r="BC394" i="6" s="1"/>
  <c r="BB394" i="6" s="1"/>
  <c r="O394" i="6" s="1"/>
  <c r="BD414" i="6"/>
  <c r="BC414" i="6" s="1"/>
  <c r="BB414" i="6" s="1"/>
  <c r="O414" i="6" s="1"/>
  <c r="BD448" i="6"/>
  <c r="BC448" i="6" s="1"/>
  <c r="BB448" i="6" s="1"/>
  <c r="O448" i="6" s="1"/>
  <c r="BD221" i="6"/>
  <c r="BC221" i="6" s="1"/>
  <c r="BB221" i="6" s="1"/>
  <c r="O221" i="6" s="1"/>
  <c r="BD66" i="6"/>
  <c r="BC66" i="6" s="1"/>
  <c r="BB66" i="6" s="1"/>
  <c r="O66" i="6" s="1"/>
  <c r="BD201" i="6"/>
  <c r="BC201" i="6" s="1"/>
  <c r="BB201" i="6" s="1"/>
  <c r="O201" i="6" s="1"/>
  <c r="BD443" i="6"/>
  <c r="BC443" i="6" s="1"/>
  <c r="BB443" i="6" s="1"/>
  <c r="O443" i="6" s="1"/>
  <c r="BD96" i="6"/>
  <c r="BC96" i="6" s="1"/>
  <c r="BB96" i="6" s="1"/>
  <c r="O96" i="6" s="1"/>
  <c r="BD300" i="6"/>
  <c r="BC300" i="6" s="1"/>
  <c r="BB300" i="6" s="1"/>
  <c r="O300" i="6" s="1"/>
  <c r="BD463" i="6"/>
  <c r="BC463" i="6" s="1"/>
  <c r="BB463" i="6" s="1"/>
  <c r="O463" i="6" s="1"/>
  <c r="BD360" i="6"/>
  <c r="BC360" i="6" s="1"/>
  <c r="BB360" i="6" s="1"/>
  <c r="O360" i="6" s="1"/>
  <c r="BD40" i="6"/>
  <c r="BC40" i="6" s="1"/>
  <c r="BB40" i="6" s="1"/>
  <c r="O40" i="6" s="1"/>
  <c r="BD181" i="6"/>
  <c r="BC181" i="6" s="1"/>
  <c r="BB181" i="6" s="1"/>
  <c r="O181" i="6" s="1"/>
  <c r="BD234" i="6"/>
  <c r="BC234" i="6" s="1"/>
  <c r="BB234" i="6" s="1"/>
  <c r="O234" i="6" s="1"/>
  <c r="BD320" i="6"/>
  <c r="BC320" i="6" s="1"/>
  <c r="BB320" i="6" s="1"/>
  <c r="O320" i="6" s="1"/>
  <c r="BD373" i="6"/>
  <c r="BC373" i="6" s="1"/>
  <c r="BB373" i="6" s="1"/>
  <c r="O373" i="6" s="1"/>
  <c r="BD137" i="6"/>
  <c r="BC137" i="6" s="1"/>
  <c r="BB137" i="6" s="1"/>
  <c r="O137" i="6" s="1"/>
  <c r="BD385" i="6"/>
  <c r="BC385" i="6" s="1"/>
  <c r="BB385" i="6" s="1"/>
  <c r="O385" i="6" s="1"/>
  <c r="BD357" i="6"/>
  <c r="BC357" i="6" s="1"/>
  <c r="BB357" i="6" s="1"/>
  <c r="O357" i="6" s="1"/>
  <c r="BD458" i="6"/>
  <c r="BC458" i="6" s="1"/>
  <c r="BB458" i="6" s="1"/>
  <c r="O458" i="6" s="1"/>
  <c r="BD419" i="6"/>
  <c r="BC419" i="6" s="1"/>
  <c r="BB419" i="6" s="1"/>
  <c r="O419" i="6" s="1"/>
  <c r="BD402" i="6"/>
  <c r="BC402" i="6" s="1"/>
  <c r="BB402" i="6" s="1"/>
  <c r="O402" i="6" s="1"/>
  <c r="BD401" i="6"/>
  <c r="BC401" i="6" s="1"/>
  <c r="BB401" i="6" s="1"/>
  <c r="O401" i="6" s="1"/>
  <c r="BD379" i="6"/>
  <c r="BC379" i="6" s="1"/>
  <c r="BB379" i="6" s="1"/>
  <c r="O379" i="6" s="1"/>
  <c r="BD343" i="6"/>
  <c r="BC343" i="6" s="1"/>
  <c r="BB343" i="6" s="1"/>
  <c r="O343" i="6" s="1"/>
  <c r="BD324" i="6"/>
  <c r="BC324" i="6" s="1"/>
  <c r="BB324" i="6" s="1"/>
  <c r="O324" i="6" s="1"/>
  <c r="BD328" i="6"/>
  <c r="BC328" i="6" s="1"/>
  <c r="BB328" i="6" s="1"/>
  <c r="O328" i="6" s="1"/>
  <c r="BD297" i="6"/>
  <c r="BC297" i="6" s="1"/>
  <c r="BB297" i="6" s="1"/>
  <c r="O297" i="6" s="1"/>
  <c r="BD274" i="6"/>
  <c r="BC274" i="6" s="1"/>
  <c r="BB274" i="6" s="1"/>
  <c r="O274" i="6" s="1"/>
  <c r="BD271" i="6"/>
  <c r="BC271" i="6" s="1"/>
  <c r="BB271" i="6" s="1"/>
  <c r="O271" i="6" s="1"/>
  <c r="BD236" i="6"/>
  <c r="BC236" i="6" s="1"/>
  <c r="BB236" i="6" s="1"/>
  <c r="O236" i="6" s="1"/>
  <c r="BD262" i="6"/>
  <c r="BC262" i="6" s="1"/>
  <c r="BB262" i="6" s="1"/>
  <c r="O262" i="6" s="1"/>
  <c r="BD204" i="6"/>
  <c r="BC204" i="6" s="1"/>
  <c r="BB204" i="6" s="1"/>
  <c r="O204" i="6" s="1"/>
  <c r="BD163" i="6"/>
  <c r="BC163" i="6" s="1"/>
  <c r="BB163" i="6" s="1"/>
  <c r="O163" i="6" s="1"/>
  <c r="BD159" i="6"/>
  <c r="BC159" i="6" s="1"/>
  <c r="BB159" i="6" s="1"/>
  <c r="O159" i="6" s="1"/>
  <c r="BD132" i="6"/>
  <c r="BC132" i="6" s="1"/>
  <c r="BB132" i="6" s="1"/>
  <c r="O132" i="6" s="1"/>
  <c r="BD123" i="6"/>
  <c r="BC123" i="6" s="1"/>
  <c r="BB123" i="6" s="1"/>
  <c r="O123" i="6" s="1"/>
  <c r="BD112" i="6"/>
  <c r="BC112" i="6" s="1"/>
  <c r="BB112" i="6" s="1"/>
  <c r="O112" i="6" s="1"/>
  <c r="BD169" i="6"/>
  <c r="BC169" i="6" s="1"/>
  <c r="BB169" i="6" s="1"/>
  <c r="O169" i="6" s="1"/>
  <c r="BD130" i="6"/>
  <c r="BC130" i="6" s="1"/>
  <c r="BB130" i="6" s="1"/>
  <c r="O130" i="6" s="1"/>
  <c r="BD89" i="6"/>
  <c r="BC89" i="6" s="1"/>
  <c r="BB89" i="6" s="1"/>
  <c r="O89" i="6" s="1"/>
  <c r="BD51" i="6"/>
  <c r="BC51" i="6" s="1"/>
  <c r="BB51" i="6" s="1"/>
  <c r="O51" i="6" s="1"/>
  <c r="BD31" i="6"/>
  <c r="BC31" i="6" s="1"/>
  <c r="BB31" i="6" s="1"/>
  <c r="O31" i="6" s="1"/>
  <c r="BD60" i="6"/>
  <c r="BC60" i="6" s="1"/>
  <c r="BB60" i="6" s="1"/>
  <c r="O60" i="6" s="1"/>
  <c r="BD15" i="6"/>
  <c r="BC15" i="6" s="1"/>
  <c r="BB15" i="6" s="1"/>
  <c r="O15" i="6" s="1"/>
  <c r="BD80" i="6"/>
  <c r="BC80" i="6" s="1"/>
  <c r="BB80" i="6" s="1"/>
  <c r="O80" i="6" s="1"/>
  <c r="BD338" i="6"/>
  <c r="BC338" i="6" s="1"/>
  <c r="BB338" i="6" s="1"/>
  <c r="O338" i="6" s="1"/>
  <c r="BD213" i="6"/>
  <c r="BC213" i="6" s="1"/>
  <c r="BB213" i="6" s="1"/>
  <c r="O213" i="6" s="1"/>
  <c r="BD58" i="6"/>
  <c r="BC58" i="6" s="1"/>
  <c r="BB58" i="6" s="1"/>
  <c r="O58" i="6" s="1"/>
  <c r="BD195" i="6"/>
  <c r="BC195" i="6" s="1"/>
  <c r="BB195" i="6" s="1"/>
  <c r="O195" i="6" s="1"/>
  <c r="BD296" i="6"/>
  <c r="BC296" i="6" s="1"/>
  <c r="BB296" i="6" s="1"/>
  <c r="O296" i="6" s="1"/>
  <c r="BD408" i="6"/>
  <c r="BC408" i="6" s="1"/>
  <c r="BB408" i="6" s="1"/>
  <c r="O408" i="6" s="1"/>
  <c r="BD321" i="6"/>
  <c r="BC321" i="6" s="1"/>
  <c r="BB321" i="6" s="1"/>
  <c r="O321" i="6" s="1"/>
  <c r="BD455" i="6"/>
  <c r="BC455" i="6" s="1"/>
  <c r="BB455" i="6" s="1"/>
  <c r="O455" i="6" s="1"/>
  <c r="BD420" i="6"/>
  <c r="BC420" i="6" s="1"/>
  <c r="BB420" i="6" s="1"/>
  <c r="O420" i="6" s="1"/>
  <c r="BD325" i="6"/>
  <c r="BC325" i="6" s="1"/>
  <c r="BB325" i="6" s="1"/>
  <c r="O325" i="6" s="1"/>
  <c r="BD63" i="6"/>
  <c r="BC63" i="6" s="1"/>
  <c r="BB63" i="6" s="1"/>
  <c r="O63" i="6" s="1"/>
  <c r="BD231" i="6"/>
  <c r="BC231" i="6" s="1"/>
  <c r="BB231" i="6" s="1"/>
  <c r="O231" i="6" s="1"/>
  <c r="BD381" i="6"/>
  <c r="BC381" i="6" s="1"/>
  <c r="BB381" i="6" s="1"/>
  <c r="O381" i="6" s="1"/>
  <c r="BD437" i="6"/>
  <c r="BC437" i="6" s="1"/>
  <c r="BB437" i="6" s="1"/>
  <c r="O437" i="6" s="1"/>
  <c r="BD68" i="6"/>
  <c r="BC68" i="6" s="1"/>
  <c r="BB68" i="6" s="1"/>
  <c r="O68" i="6" s="1"/>
  <c r="BD261" i="6"/>
  <c r="BC261" i="6" s="1"/>
  <c r="BB261" i="6" s="1"/>
  <c r="O261" i="6" s="1"/>
  <c r="BD79" i="6"/>
  <c r="BC79" i="6" s="1"/>
  <c r="BB79" i="6" s="1"/>
  <c r="O79" i="6" s="1"/>
  <c r="BD266" i="6"/>
  <c r="BC266" i="6" s="1"/>
  <c r="BB266" i="6" s="1"/>
  <c r="O266" i="6" s="1"/>
  <c r="BD349" i="6"/>
  <c r="BC349" i="6" s="1"/>
  <c r="BB349" i="6" s="1"/>
  <c r="O349" i="6" s="1"/>
  <c r="BD148" i="6"/>
  <c r="BC148" i="6" s="1"/>
  <c r="BB148" i="6" s="1"/>
  <c r="O148" i="6" s="1"/>
  <c r="BD241" i="6"/>
  <c r="BC241" i="6" s="1"/>
  <c r="BB241" i="6" s="1"/>
  <c r="O241" i="6" s="1"/>
  <c r="BD52" i="6"/>
  <c r="BC52" i="6" s="1"/>
  <c r="BB52" i="6" s="1"/>
  <c r="O52" i="6" s="1"/>
  <c r="BD33" i="6"/>
  <c r="BC33" i="6" s="1"/>
  <c r="BB33" i="6" s="1"/>
  <c r="O33" i="6" s="1"/>
  <c r="BD34" i="6"/>
  <c r="BC34" i="6" s="1"/>
  <c r="BB34" i="6" s="1"/>
  <c r="O34" i="6" s="1"/>
  <c r="BD192" i="6"/>
  <c r="BC192" i="6" s="1"/>
  <c r="BB192" i="6" s="1"/>
  <c r="O192" i="6" s="1"/>
  <c r="BD268" i="6"/>
  <c r="BC268" i="6" s="1"/>
  <c r="BB268" i="6" s="1"/>
  <c r="O268" i="6" s="1"/>
  <c r="BD317" i="6"/>
  <c r="BC317" i="6" s="1"/>
  <c r="BB317" i="6" s="1"/>
  <c r="O317" i="6" s="1"/>
  <c r="BD387" i="6"/>
  <c r="BC387" i="6" s="1"/>
  <c r="BB387" i="6" s="1"/>
  <c r="O387" i="6" s="1"/>
  <c r="BD194" i="6"/>
  <c r="BC194" i="6" s="1"/>
  <c r="BB194" i="6" s="1"/>
  <c r="O194" i="6" s="1"/>
  <c r="BD395" i="6"/>
  <c r="BC395" i="6" s="1"/>
  <c r="BB395" i="6" s="1"/>
  <c r="O395" i="6" s="1"/>
  <c r="BD416" i="6"/>
  <c r="BC416" i="6" s="1"/>
  <c r="BB416" i="6" s="1"/>
  <c r="O416" i="6" s="1"/>
  <c r="AV442" i="6"/>
  <c r="AU442" i="6" s="1"/>
  <c r="AT442" i="6" s="1"/>
  <c r="L442" i="6" s="1"/>
  <c r="AV145" i="6"/>
  <c r="AU145" i="6" s="1"/>
  <c r="AT145" i="6" s="1"/>
  <c r="L145" i="6" s="1"/>
  <c r="AV12" i="6"/>
  <c r="AU12" i="6" s="1"/>
  <c r="AT12" i="6" s="1"/>
  <c r="L12" i="6" s="1"/>
  <c r="AV407" i="6"/>
  <c r="AU407" i="6" s="1"/>
  <c r="AT407" i="6" s="1"/>
  <c r="L407" i="6" s="1"/>
  <c r="AV176" i="6"/>
  <c r="AU176" i="6" s="1"/>
  <c r="AT176" i="6" s="1"/>
  <c r="L176" i="6" s="1"/>
  <c r="BL460" i="6"/>
  <c r="BK460" i="6" s="1"/>
  <c r="BJ460" i="6" s="1"/>
  <c r="R460" i="6" s="1"/>
  <c r="BL427" i="6"/>
  <c r="BK427" i="6" s="1"/>
  <c r="BJ427" i="6" s="1"/>
  <c r="R427" i="6" s="1"/>
  <c r="BL399" i="6"/>
  <c r="BK399" i="6" s="1"/>
  <c r="BJ399" i="6" s="1"/>
  <c r="R399" i="6" s="1"/>
  <c r="BL405" i="6"/>
  <c r="BK405" i="6" s="1"/>
  <c r="BJ405" i="6" s="1"/>
  <c r="R405" i="6" s="1"/>
  <c r="BL379" i="6"/>
  <c r="BK379" i="6" s="1"/>
  <c r="BJ379" i="6" s="1"/>
  <c r="R379" i="6" s="1"/>
  <c r="BL366" i="6"/>
  <c r="BK366" i="6" s="1"/>
  <c r="BJ366" i="6" s="1"/>
  <c r="R366" i="6" s="1"/>
  <c r="BL340" i="6"/>
  <c r="BK340" i="6" s="1"/>
  <c r="BJ340" i="6" s="1"/>
  <c r="R340" i="6" s="1"/>
  <c r="BL313" i="6"/>
  <c r="BK313" i="6" s="1"/>
  <c r="BJ313" i="6" s="1"/>
  <c r="R313" i="6" s="1"/>
  <c r="BL298" i="6"/>
  <c r="BK298" i="6" s="1"/>
  <c r="BJ298" i="6" s="1"/>
  <c r="R298" i="6" s="1"/>
  <c r="BL458" i="6"/>
  <c r="BK458" i="6" s="1"/>
  <c r="BJ458" i="6" s="1"/>
  <c r="R458" i="6" s="1"/>
  <c r="BL419" i="6"/>
  <c r="BK419" i="6" s="1"/>
  <c r="BJ419" i="6" s="1"/>
  <c r="R419" i="6" s="1"/>
  <c r="BL417" i="6"/>
  <c r="BK417" i="6" s="1"/>
  <c r="BJ417" i="6" s="1"/>
  <c r="R417" i="6" s="1"/>
  <c r="BL384" i="6"/>
  <c r="BK384" i="6" s="1"/>
  <c r="BJ384" i="6" s="1"/>
  <c r="R384" i="6" s="1"/>
  <c r="BL359" i="6"/>
  <c r="BK359" i="6" s="1"/>
  <c r="BJ359" i="6" s="1"/>
  <c r="R359" i="6" s="1"/>
  <c r="BL362" i="6"/>
  <c r="BK362" i="6" s="1"/>
  <c r="BJ362" i="6" s="1"/>
  <c r="R362" i="6" s="1"/>
  <c r="BL327" i="6"/>
  <c r="BK327" i="6" s="1"/>
  <c r="BJ327" i="6" s="1"/>
  <c r="R327" i="6" s="1"/>
  <c r="BL301" i="6"/>
  <c r="BK301" i="6" s="1"/>
  <c r="BJ301" i="6" s="1"/>
  <c r="R301" i="6" s="1"/>
  <c r="BL290" i="6"/>
  <c r="BK290" i="6" s="1"/>
  <c r="BJ290" i="6" s="1"/>
  <c r="R290" i="6" s="1"/>
  <c r="BL277" i="6"/>
  <c r="BK277" i="6" s="1"/>
  <c r="BJ277" i="6" s="1"/>
  <c r="R277" i="6" s="1"/>
  <c r="BL287" i="6"/>
  <c r="BK287" i="6" s="1"/>
  <c r="BJ287" i="6" s="1"/>
  <c r="R287" i="6" s="1"/>
  <c r="BL308" i="6"/>
  <c r="BK308" i="6" s="1"/>
  <c r="BJ308" i="6" s="1"/>
  <c r="R308" i="6" s="1"/>
  <c r="BL262" i="6"/>
  <c r="BK262" i="6" s="1"/>
  <c r="BJ262" i="6" s="1"/>
  <c r="R262" i="6" s="1"/>
  <c r="BL225" i="6"/>
  <c r="BK225" i="6" s="1"/>
  <c r="BJ225" i="6" s="1"/>
  <c r="R225" i="6" s="1"/>
  <c r="BL454" i="6"/>
  <c r="BK454" i="6" s="1"/>
  <c r="BJ454" i="6" s="1"/>
  <c r="R454" i="6" s="1"/>
  <c r="BL441" i="6"/>
  <c r="BK441" i="6" s="1"/>
  <c r="BJ441" i="6" s="1"/>
  <c r="R441" i="6" s="1"/>
  <c r="BL413" i="6"/>
  <c r="BK413" i="6" s="1"/>
  <c r="BJ413" i="6" s="1"/>
  <c r="R413" i="6" s="1"/>
  <c r="BL397" i="6"/>
  <c r="BK397" i="6" s="1"/>
  <c r="BJ397" i="6" s="1"/>
  <c r="R397" i="6" s="1"/>
  <c r="BL351" i="6"/>
  <c r="BK351" i="6" s="1"/>
  <c r="BJ351" i="6" s="1"/>
  <c r="R351" i="6" s="1"/>
  <c r="BL345" i="6"/>
  <c r="BK345" i="6" s="1"/>
  <c r="BJ345" i="6" s="1"/>
  <c r="R345" i="6" s="1"/>
  <c r="BL319" i="6"/>
  <c r="BK319" i="6" s="1"/>
  <c r="BJ319" i="6" s="1"/>
  <c r="R319" i="6" s="1"/>
  <c r="BL333" i="6"/>
  <c r="BK333" i="6" s="1"/>
  <c r="BJ333" i="6" s="1"/>
  <c r="R333" i="6" s="1"/>
  <c r="BL282" i="6"/>
  <c r="BK282" i="6" s="1"/>
  <c r="BJ282" i="6" s="1"/>
  <c r="R282" i="6" s="1"/>
  <c r="BL293" i="6"/>
  <c r="BK293" i="6" s="1"/>
  <c r="BJ293" i="6" s="1"/>
  <c r="R293" i="6" s="1"/>
  <c r="BL280" i="6"/>
  <c r="BK280" i="6" s="1"/>
  <c r="BJ280" i="6" s="1"/>
  <c r="R280" i="6" s="1"/>
  <c r="BL223" i="6"/>
  <c r="BK223" i="6" s="1"/>
  <c r="BJ223" i="6" s="1"/>
  <c r="R223" i="6" s="1"/>
  <c r="BL244" i="6"/>
  <c r="BK244" i="6" s="1"/>
  <c r="BJ244" i="6" s="1"/>
  <c r="R244" i="6" s="1"/>
  <c r="BL204" i="6"/>
  <c r="BK204" i="6" s="1"/>
  <c r="BJ204" i="6" s="1"/>
  <c r="R204" i="6" s="1"/>
  <c r="BL466" i="6"/>
  <c r="BK466" i="6" s="1"/>
  <c r="BJ466" i="6" s="1"/>
  <c r="R466" i="6" s="1"/>
  <c r="BL446" i="6"/>
  <c r="BK446" i="6" s="1"/>
  <c r="BJ446" i="6" s="1"/>
  <c r="R446" i="6" s="1"/>
  <c r="BL429" i="6"/>
  <c r="BK429" i="6" s="1"/>
  <c r="BJ429" i="6" s="1"/>
  <c r="R429" i="6" s="1"/>
  <c r="BL406" i="6"/>
  <c r="BK406" i="6" s="1"/>
  <c r="BJ406" i="6" s="1"/>
  <c r="R406" i="6" s="1"/>
  <c r="BL389" i="6"/>
  <c r="BK389" i="6" s="1"/>
  <c r="BJ389" i="6" s="1"/>
  <c r="R389" i="6" s="1"/>
  <c r="BL377" i="6"/>
  <c r="BK377" i="6" s="1"/>
  <c r="BJ377" i="6" s="1"/>
  <c r="R377" i="6" s="1"/>
  <c r="BL344" i="6"/>
  <c r="BK344" i="6" s="1"/>
  <c r="BJ344" i="6" s="1"/>
  <c r="R344" i="6" s="1"/>
  <c r="BL336" i="6"/>
  <c r="BK336" i="6" s="1"/>
  <c r="BJ336" i="6" s="1"/>
  <c r="R336" i="6" s="1"/>
  <c r="BL321" i="6"/>
  <c r="BK321" i="6" s="1"/>
  <c r="BJ321" i="6" s="1"/>
  <c r="R321" i="6" s="1"/>
  <c r="BL310" i="6"/>
  <c r="BK310" i="6" s="1"/>
  <c r="BJ310" i="6" s="1"/>
  <c r="R310" i="6" s="1"/>
  <c r="BL295" i="6"/>
  <c r="BK295" i="6" s="1"/>
  <c r="BJ295" i="6" s="1"/>
  <c r="R295" i="6" s="1"/>
  <c r="BL303" i="6"/>
  <c r="BK303" i="6" s="1"/>
  <c r="BJ303" i="6" s="1"/>
  <c r="R303" i="6" s="1"/>
  <c r="BL254" i="6"/>
  <c r="BK254" i="6" s="1"/>
  <c r="BJ254" i="6" s="1"/>
  <c r="R254" i="6" s="1"/>
  <c r="BL239" i="6"/>
  <c r="BK239" i="6" s="1"/>
  <c r="BJ239" i="6" s="1"/>
  <c r="R239" i="6" s="1"/>
  <c r="BL217" i="6"/>
  <c r="BK217" i="6" s="1"/>
  <c r="BJ217" i="6" s="1"/>
  <c r="R217" i="6" s="1"/>
  <c r="BL450" i="6"/>
  <c r="BK450" i="6" s="1"/>
  <c r="BJ450" i="6" s="1"/>
  <c r="R450" i="6" s="1"/>
  <c r="BL440" i="6"/>
  <c r="BK440" i="6" s="1"/>
  <c r="BJ440" i="6" s="1"/>
  <c r="R440" i="6" s="1"/>
  <c r="BL421" i="6"/>
  <c r="BK421" i="6" s="1"/>
  <c r="BJ421" i="6" s="1"/>
  <c r="R421" i="6" s="1"/>
  <c r="BL425" i="6"/>
  <c r="BK425" i="6" s="1"/>
  <c r="BJ425" i="6" s="1"/>
  <c r="R425" i="6" s="1"/>
  <c r="BL374" i="6"/>
  <c r="BK374" i="6" s="1"/>
  <c r="BJ374" i="6" s="1"/>
  <c r="R374" i="6" s="1"/>
  <c r="BL371" i="6"/>
  <c r="BK371" i="6" s="1"/>
  <c r="BJ371" i="6" s="1"/>
  <c r="R371" i="6" s="1"/>
  <c r="BL353" i="6"/>
  <c r="BK353" i="6" s="1"/>
  <c r="BJ353" i="6" s="1"/>
  <c r="R353" i="6" s="1"/>
  <c r="BL324" i="6"/>
  <c r="BK324" i="6" s="1"/>
  <c r="BJ324" i="6" s="1"/>
  <c r="R324" i="6" s="1"/>
  <c r="BL318" i="6"/>
  <c r="BK318" i="6" s="1"/>
  <c r="BJ318" i="6" s="1"/>
  <c r="R318" i="6" s="1"/>
  <c r="BL297" i="6"/>
  <c r="BK297" i="6" s="1"/>
  <c r="BJ297" i="6" s="1"/>
  <c r="R297" i="6" s="1"/>
  <c r="BL285" i="6"/>
  <c r="BK285" i="6" s="1"/>
  <c r="BJ285" i="6" s="1"/>
  <c r="R285" i="6" s="1"/>
  <c r="BL271" i="6"/>
  <c r="BK271" i="6" s="1"/>
  <c r="BJ271" i="6" s="1"/>
  <c r="R271" i="6" s="1"/>
  <c r="BL228" i="6"/>
  <c r="BK228" i="6" s="1"/>
  <c r="BJ228" i="6" s="1"/>
  <c r="R228" i="6" s="1"/>
  <c r="BL227" i="6"/>
  <c r="BK227" i="6" s="1"/>
  <c r="BJ227" i="6" s="1"/>
  <c r="R227" i="6" s="1"/>
  <c r="BL209" i="6"/>
  <c r="BK209" i="6" s="1"/>
  <c r="BJ209" i="6" s="1"/>
  <c r="R209" i="6" s="1"/>
  <c r="BL464" i="6"/>
  <c r="BK464" i="6" s="1"/>
  <c r="BJ464" i="6" s="1"/>
  <c r="R464" i="6" s="1"/>
  <c r="BL436" i="6"/>
  <c r="BK436" i="6" s="1"/>
  <c r="BJ436" i="6" s="1"/>
  <c r="R436" i="6" s="1"/>
  <c r="BL402" i="6"/>
  <c r="BK402" i="6" s="1"/>
  <c r="BJ402" i="6" s="1"/>
  <c r="R402" i="6" s="1"/>
  <c r="BL401" i="6"/>
  <c r="BK401" i="6" s="1"/>
  <c r="BJ401" i="6" s="1"/>
  <c r="R401" i="6" s="1"/>
  <c r="BL388" i="6"/>
  <c r="BK388" i="6" s="1"/>
  <c r="BJ388" i="6" s="1"/>
  <c r="R388" i="6" s="1"/>
  <c r="BL369" i="6"/>
  <c r="BK369" i="6" s="1"/>
  <c r="BJ369" i="6" s="1"/>
  <c r="R369" i="6" s="1"/>
  <c r="BL348" i="6"/>
  <c r="BK348" i="6" s="1"/>
  <c r="BJ348" i="6" s="1"/>
  <c r="R348" i="6" s="1"/>
  <c r="BL316" i="6"/>
  <c r="BK316" i="6" s="1"/>
  <c r="BJ316" i="6" s="1"/>
  <c r="R316" i="6" s="1"/>
  <c r="BL311" i="6"/>
  <c r="BK311" i="6" s="1"/>
  <c r="BJ311" i="6" s="1"/>
  <c r="R311" i="6" s="1"/>
  <c r="BL456" i="6"/>
  <c r="BK456" i="6" s="1"/>
  <c r="BJ456" i="6" s="1"/>
  <c r="R456" i="6" s="1"/>
  <c r="BL431" i="6"/>
  <c r="BK431" i="6" s="1"/>
  <c r="BJ431" i="6" s="1"/>
  <c r="R431" i="6" s="1"/>
  <c r="BL409" i="6"/>
  <c r="BK409" i="6" s="1"/>
  <c r="BJ409" i="6" s="1"/>
  <c r="R409" i="6" s="1"/>
  <c r="BL394" i="6"/>
  <c r="BK394" i="6" s="1"/>
  <c r="BJ394" i="6" s="1"/>
  <c r="R394" i="6" s="1"/>
  <c r="BL396" i="6"/>
  <c r="BK396" i="6" s="1"/>
  <c r="BJ396" i="6" s="1"/>
  <c r="R396" i="6" s="1"/>
  <c r="BL356" i="6"/>
  <c r="BK356" i="6" s="1"/>
  <c r="BJ356" i="6" s="1"/>
  <c r="R356" i="6" s="1"/>
  <c r="BL361" i="6"/>
  <c r="BK361" i="6" s="1"/>
  <c r="BJ361" i="6" s="1"/>
  <c r="R361" i="6" s="1"/>
  <c r="BL438" i="6"/>
  <c r="BK438" i="6" s="1"/>
  <c r="BJ438" i="6" s="1"/>
  <c r="R438" i="6" s="1"/>
  <c r="BL305" i="6"/>
  <c r="BK305" i="6" s="1"/>
  <c r="BJ305" i="6" s="1"/>
  <c r="R305" i="6" s="1"/>
  <c r="BL249" i="6"/>
  <c r="BK249" i="6" s="1"/>
  <c r="BJ249" i="6" s="1"/>
  <c r="R249" i="6" s="1"/>
  <c r="BL270" i="6"/>
  <c r="BK270" i="6" s="1"/>
  <c r="BJ270" i="6" s="1"/>
  <c r="R270" i="6" s="1"/>
  <c r="BL193" i="6"/>
  <c r="BK193" i="6" s="1"/>
  <c r="BJ193" i="6" s="1"/>
  <c r="R193" i="6" s="1"/>
  <c r="BL171" i="6"/>
  <c r="BK171" i="6" s="1"/>
  <c r="BJ171" i="6" s="1"/>
  <c r="R171" i="6" s="1"/>
  <c r="BL167" i="6"/>
  <c r="BK167" i="6" s="1"/>
  <c r="BJ167" i="6" s="1"/>
  <c r="R167" i="6" s="1"/>
  <c r="BL161" i="6"/>
  <c r="BK161" i="6" s="1"/>
  <c r="BJ161" i="6" s="1"/>
  <c r="R161" i="6" s="1"/>
  <c r="BL131" i="6"/>
  <c r="BK131" i="6" s="1"/>
  <c r="BJ131" i="6" s="1"/>
  <c r="R131" i="6" s="1"/>
  <c r="BL120" i="6"/>
  <c r="BK120" i="6" s="1"/>
  <c r="BJ120" i="6" s="1"/>
  <c r="R120" i="6" s="1"/>
  <c r="BL154" i="6"/>
  <c r="BK154" i="6" s="1"/>
  <c r="BJ154" i="6" s="1"/>
  <c r="R154" i="6" s="1"/>
  <c r="BL104" i="6"/>
  <c r="BK104" i="6" s="1"/>
  <c r="BJ104" i="6" s="1"/>
  <c r="R104" i="6" s="1"/>
  <c r="BL103" i="6"/>
  <c r="BK103" i="6" s="1"/>
  <c r="BJ103" i="6" s="1"/>
  <c r="R103" i="6" s="1"/>
  <c r="BL43" i="6"/>
  <c r="BK43" i="6" s="1"/>
  <c r="BJ43" i="6" s="1"/>
  <c r="R43" i="6" s="1"/>
  <c r="BL31" i="6"/>
  <c r="BK31" i="6" s="1"/>
  <c r="BJ31" i="6" s="1"/>
  <c r="R31" i="6" s="1"/>
  <c r="BL37" i="6"/>
  <c r="BK37" i="6" s="1"/>
  <c r="BJ37" i="6" s="1"/>
  <c r="R37" i="6" s="1"/>
  <c r="BL25" i="6"/>
  <c r="BK25" i="6" s="1"/>
  <c r="BJ25" i="6" s="1"/>
  <c r="R25" i="6" s="1"/>
  <c r="BL91" i="6"/>
  <c r="BK91" i="6" s="1"/>
  <c r="BJ91" i="6" s="1"/>
  <c r="R91" i="6" s="1"/>
  <c r="BL252" i="6"/>
  <c r="BK252" i="6" s="1"/>
  <c r="BJ252" i="6" s="1"/>
  <c r="R252" i="6" s="1"/>
  <c r="BL152" i="6"/>
  <c r="BK152" i="6" s="1"/>
  <c r="BJ152" i="6" s="1"/>
  <c r="R152" i="6" s="1"/>
  <c r="BL48" i="6"/>
  <c r="BK48" i="6" s="1"/>
  <c r="BJ48" i="6" s="1"/>
  <c r="R48" i="6" s="1"/>
  <c r="BL105" i="6"/>
  <c r="BK105" i="6" s="1"/>
  <c r="BJ105" i="6" s="1"/>
  <c r="R105" i="6" s="1"/>
  <c r="BL264" i="6"/>
  <c r="BK264" i="6" s="1"/>
  <c r="BJ264" i="6" s="1"/>
  <c r="R264" i="6" s="1"/>
  <c r="BL426" i="6"/>
  <c r="BK426" i="6" s="1"/>
  <c r="BJ426" i="6" s="1"/>
  <c r="R426" i="6" s="1"/>
  <c r="BL267" i="6"/>
  <c r="BK267" i="6" s="1"/>
  <c r="BJ267" i="6" s="1"/>
  <c r="R267" i="6" s="1"/>
  <c r="BL439" i="6"/>
  <c r="BK439" i="6" s="1"/>
  <c r="BJ439" i="6" s="1"/>
  <c r="R439" i="6" s="1"/>
  <c r="BL87" i="6"/>
  <c r="BK87" i="6" s="1"/>
  <c r="BJ87" i="6" s="1"/>
  <c r="R87" i="6" s="1"/>
  <c r="BL365" i="6"/>
  <c r="BK365" i="6" s="1"/>
  <c r="BJ365" i="6" s="1"/>
  <c r="R365" i="6" s="1"/>
  <c r="BL126" i="6"/>
  <c r="BK126" i="6" s="1"/>
  <c r="BJ126" i="6" s="1"/>
  <c r="R126" i="6" s="1"/>
  <c r="BL251" i="6"/>
  <c r="BK251" i="6" s="1"/>
  <c r="BJ251" i="6" s="1"/>
  <c r="R251" i="6" s="1"/>
  <c r="BL457" i="6"/>
  <c r="BK457" i="6" s="1"/>
  <c r="BJ457" i="6" s="1"/>
  <c r="R457" i="6" s="1"/>
  <c r="BL213" i="6"/>
  <c r="BK213" i="6" s="1"/>
  <c r="BJ213" i="6" s="1"/>
  <c r="R213" i="6" s="1"/>
  <c r="BL38" i="6"/>
  <c r="BK38" i="6" s="1"/>
  <c r="BJ38" i="6" s="1"/>
  <c r="R38" i="6" s="1"/>
  <c r="BL307" i="6"/>
  <c r="BK307" i="6" s="1"/>
  <c r="BJ307" i="6" s="1"/>
  <c r="R307" i="6" s="1"/>
  <c r="BL354" i="6"/>
  <c r="BK354" i="6" s="1"/>
  <c r="BJ354" i="6" s="1"/>
  <c r="R354" i="6" s="1"/>
  <c r="BL335" i="6"/>
  <c r="BK335" i="6" s="1"/>
  <c r="BJ335" i="6" s="1"/>
  <c r="R335" i="6" s="1"/>
  <c r="BL80" i="6"/>
  <c r="BK80" i="6" s="1"/>
  <c r="BJ80" i="6" s="1"/>
  <c r="R80" i="6" s="1"/>
  <c r="BL181" i="6"/>
  <c r="BK181" i="6" s="1"/>
  <c r="BJ181" i="6" s="1"/>
  <c r="R181" i="6" s="1"/>
  <c r="BL317" i="6"/>
  <c r="BK317" i="6" s="1"/>
  <c r="BJ317" i="6" s="1"/>
  <c r="R317" i="6" s="1"/>
  <c r="BL34" i="6"/>
  <c r="BK34" i="6" s="1"/>
  <c r="BJ34" i="6" s="1"/>
  <c r="R34" i="6" s="1"/>
  <c r="BL302" i="6"/>
  <c r="BK302" i="6" s="1"/>
  <c r="BJ302" i="6" s="1"/>
  <c r="R302" i="6" s="1"/>
  <c r="BL86" i="6"/>
  <c r="BK86" i="6" s="1"/>
  <c r="BJ86" i="6" s="1"/>
  <c r="R86" i="6" s="1"/>
  <c r="BL205" i="6"/>
  <c r="BK205" i="6" s="1"/>
  <c r="BJ205" i="6" s="1"/>
  <c r="R205" i="6" s="1"/>
  <c r="BL288" i="6"/>
  <c r="BK288" i="6" s="1"/>
  <c r="BJ288" i="6" s="1"/>
  <c r="R288" i="6" s="1"/>
  <c r="BL463" i="6"/>
  <c r="BK463" i="6" s="1"/>
  <c r="BJ463" i="6" s="1"/>
  <c r="R463" i="6" s="1"/>
  <c r="BL226" i="6"/>
  <c r="BK226" i="6" s="1"/>
  <c r="BJ226" i="6" s="1"/>
  <c r="R226" i="6" s="1"/>
  <c r="BL442" i="6"/>
  <c r="BK442" i="6" s="1"/>
  <c r="BJ442" i="6" s="1"/>
  <c r="R442" i="6" s="1"/>
  <c r="BL433" i="6"/>
  <c r="BK433" i="6" s="1"/>
  <c r="BJ433" i="6" s="1"/>
  <c r="R433" i="6" s="1"/>
  <c r="BL398" i="6"/>
  <c r="BK398" i="6" s="1"/>
  <c r="BJ398" i="6" s="1"/>
  <c r="R398" i="6" s="1"/>
  <c r="BL304" i="6"/>
  <c r="BK304" i="6" s="1"/>
  <c r="BJ304" i="6" s="1"/>
  <c r="R304" i="6" s="1"/>
  <c r="BL273" i="6"/>
  <c r="BK273" i="6" s="1"/>
  <c r="BJ273" i="6" s="1"/>
  <c r="R273" i="6" s="1"/>
  <c r="BL235" i="6"/>
  <c r="BK235" i="6" s="1"/>
  <c r="BJ235" i="6" s="1"/>
  <c r="R235" i="6" s="1"/>
  <c r="BL185" i="6"/>
  <c r="BK185" i="6" s="1"/>
  <c r="BJ185" i="6" s="1"/>
  <c r="R185" i="6" s="1"/>
  <c r="BL163" i="6"/>
  <c r="BK163" i="6" s="1"/>
  <c r="BJ163" i="6" s="1"/>
  <c r="R163" i="6" s="1"/>
  <c r="BL159" i="6"/>
  <c r="BK159" i="6" s="1"/>
  <c r="BJ159" i="6" s="1"/>
  <c r="R159" i="6" s="1"/>
  <c r="BL140" i="6"/>
  <c r="BK140" i="6" s="1"/>
  <c r="BJ140" i="6" s="1"/>
  <c r="R140" i="6" s="1"/>
  <c r="BL123" i="6"/>
  <c r="BK123" i="6" s="1"/>
  <c r="BJ123" i="6" s="1"/>
  <c r="R123" i="6" s="1"/>
  <c r="BL112" i="6"/>
  <c r="BK112" i="6" s="1"/>
  <c r="BJ112" i="6" s="1"/>
  <c r="R112" i="6" s="1"/>
  <c r="BL151" i="6"/>
  <c r="BK151" i="6" s="1"/>
  <c r="BJ151" i="6" s="1"/>
  <c r="R151" i="6" s="1"/>
  <c r="BL108" i="6"/>
  <c r="BK108" i="6" s="1"/>
  <c r="BJ108" i="6" s="1"/>
  <c r="R108" i="6" s="1"/>
  <c r="BL98" i="6"/>
  <c r="BK98" i="6" s="1"/>
  <c r="BJ98" i="6" s="1"/>
  <c r="R98" i="6" s="1"/>
  <c r="BL75" i="6"/>
  <c r="BK75" i="6" s="1"/>
  <c r="BJ75" i="6" s="1"/>
  <c r="R75" i="6" s="1"/>
  <c r="BL23" i="6"/>
  <c r="BK23" i="6" s="1"/>
  <c r="BJ23" i="6" s="1"/>
  <c r="R23" i="6" s="1"/>
  <c r="BL20" i="6"/>
  <c r="BK20" i="6" s="1"/>
  <c r="BJ20" i="6" s="1"/>
  <c r="R20" i="6" s="1"/>
  <c r="BL15" i="6"/>
  <c r="BK15" i="6" s="1"/>
  <c r="BJ15" i="6" s="1"/>
  <c r="R15" i="6" s="1"/>
  <c r="BL62" i="6"/>
  <c r="BK62" i="6" s="1"/>
  <c r="BJ62" i="6" s="1"/>
  <c r="R62" i="6" s="1"/>
  <c r="BL291" i="6"/>
  <c r="BK291" i="6" s="1"/>
  <c r="BJ291" i="6" s="1"/>
  <c r="R291" i="6" s="1"/>
  <c r="BL180" i="6"/>
  <c r="BK180" i="6" s="1"/>
  <c r="BJ180" i="6" s="1"/>
  <c r="R180" i="6" s="1"/>
  <c r="BL26" i="6"/>
  <c r="BK26" i="6" s="1"/>
  <c r="BJ26" i="6" s="1"/>
  <c r="R26" i="6" s="1"/>
  <c r="BL150" i="6"/>
  <c r="BK150" i="6" s="1"/>
  <c r="BJ150" i="6" s="1"/>
  <c r="R150" i="6" s="1"/>
  <c r="BL272" i="6"/>
  <c r="BK272" i="6" s="1"/>
  <c r="BJ272" i="6" s="1"/>
  <c r="R272" i="6" s="1"/>
  <c r="BL452" i="6"/>
  <c r="BK452" i="6" s="1"/>
  <c r="BJ452" i="6" s="1"/>
  <c r="R452" i="6" s="1"/>
  <c r="BL278" i="6"/>
  <c r="BK278" i="6" s="1"/>
  <c r="BJ278" i="6" s="1"/>
  <c r="R278" i="6" s="1"/>
  <c r="BL447" i="6"/>
  <c r="BK447" i="6" s="1"/>
  <c r="BJ447" i="6" s="1"/>
  <c r="R447" i="6" s="1"/>
  <c r="BL102" i="6"/>
  <c r="BK102" i="6" s="1"/>
  <c r="BJ102" i="6" s="1"/>
  <c r="R102" i="6" s="1"/>
  <c r="BL449" i="6"/>
  <c r="BK449" i="6" s="1"/>
  <c r="BJ449" i="6" s="1"/>
  <c r="R449" i="6" s="1"/>
  <c r="BL129" i="6"/>
  <c r="BK129" i="6" s="1"/>
  <c r="BJ129" i="6" s="1"/>
  <c r="R129" i="6" s="1"/>
  <c r="BL284" i="6"/>
  <c r="BK284" i="6" s="1"/>
  <c r="BJ284" i="6" s="1"/>
  <c r="R284" i="6" s="1"/>
  <c r="BL381" i="6"/>
  <c r="BK381" i="6" s="1"/>
  <c r="BJ381" i="6" s="1"/>
  <c r="R381" i="6" s="1"/>
  <c r="BL368" i="6"/>
  <c r="BK368" i="6" s="1"/>
  <c r="BJ368" i="6" s="1"/>
  <c r="R368" i="6" s="1"/>
  <c r="BL101" i="6"/>
  <c r="BK101" i="6" s="1"/>
  <c r="BJ101" i="6" s="1"/>
  <c r="R101" i="6" s="1"/>
  <c r="BL323" i="6"/>
  <c r="BK323" i="6" s="1"/>
  <c r="BJ323" i="6" s="1"/>
  <c r="R323" i="6" s="1"/>
  <c r="BL390" i="6"/>
  <c r="BK390" i="6" s="1"/>
  <c r="BJ390" i="6" s="1"/>
  <c r="R390" i="6" s="1"/>
  <c r="BL375" i="6"/>
  <c r="BK375" i="6" s="1"/>
  <c r="BJ375" i="6" s="1"/>
  <c r="R375" i="6" s="1"/>
  <c r="BL79" i="6"/>
  <c r="BK79" i="6" s="1"/>
  <c r="BJ79" i="6" s="1"/>
  <c r="R79" i="6" s="1"/>
  <c r="BL202" i="6"/>
  <c r="BK202" i="6" s="1"/>
  <c r="BJ202" i="6" s="1"/>
  <c r="R202" i="6" s="1"/>
  <c r="BL352" i="6"/>
  <c r="BK352" i="6" s="1"/>
  <c r="BJ352" i="6" s="1"/>
  <c r="R352" i="6" s="1"/>
  <c r="BL84" i="6"/>
  <c r="BK84" i="6" s="1"/>
  <c r="BJ84" i="6" s="1"/>
  <c r="R84" i="6" s="1"/>
  <c r="BL21" i="6"/>
  <c r="BK21" i="6" s="1"/>
  <c r="BJ21" i="6" s="1"/>
  <c r="R21" i="6" s="1"/>
  <c r="BL94" i="6"/>
  <c r="BK94" i="6" s="1"/>
  <c r="BJ94" i="6" s="1"/>
  <c r="R94" i="6" s="1"/>
  <c r="BL211" i="6"/>
  <c r="BK211" i="6" s="1"/>
  <c r="BJ211" i="6" s="1"/>
  <c r="R211" i="6" s="1"/>
  <c r="BL309" i="6"/>
  <c r="BK309" i="6" s="1"/>
  <c r="BJ309" i="6" s="1"/>
  <c r="R309" i="6" s="1"/>
  <c r="BL107" i="6"/>
  <c r="BK107" i="6" s="1"/>
  <c r="BJ107" i="6" s="1"/>
  <c r="R107" i="6" s="1"/>
  <c r="BL234" i="6"/>
  <c r="BK234" i="6" s="1"/>
  <c r="BJ234" i="6" s="1"/>
  <c r="R234" i="6" s="1"/>
  <c r="BL451" i="6"/>
  <c r="BK451" i="6" s="1"/>
  <c r="BJ451" i="6" s="1"/>
  <c r="R451" i="6" s="1"/>
  <c r="BL380" i="6"/>
  <c r="BK380" i="6" s="1"/>
  <c r="BJ380" i="6" s="1"/>
  <c r="R380" i="6" s="1"/>
  <c r="BL289" i="6"/>
  <c r="BK289" i="6" s="1"/>
  <c r="BJ289" i="6" s="1"/>
  <c r="R289" i="6" s="1"/>
  <c r="BL263" i="6"/>
  <c r="BK263" i="6" s="1"/>
  <c r="BJ263" i="6" s="1"/>
  <c r="R263" i="6" s="1"/>
  <c r="BL210" i="6"/>
  <c r="BK210" i="6" s="1"/>
  <c r="BJ210" i="6" s="1"/>
  <c r="R210" i="6" s="1"/>
  <c r="BL207" i="6"/>
  <c r="BK207" i="6" s="1"/>
  <c r="BJ207" i="6" s="1"/>
  <c r="R207" i="6" s="1"/>
  <c r="BL155" i="6"/>
  <c r="BK155" i="6" s="1"/>
  <c r="BJ155" i="6" s="1"/>
  <c r="R155" i="6" s="1"/>
  <c r="BL188" i="6"/>
  <c r="BK188" i="6" s="1"/>
  <c r="BJ188" i="6" s="1"/>
  <c r="R188" i="6" s="1"/>
  <c r="BL132" i="6"/>
  <c r="BK132" i="6" s="1"/>
  <c r="BJ132" i="6" s="1"/>
  <c r="R132" i="6" s="1"/>
  <c r="BL177" i="6"/>
  <c r="BK177" i="6" s="1"/>
  <c r="BJ177" i="6" s="1"/>
  <c r="R177" i="6" s="1"/>
  <c r="BL143" i="6"/>
  <c r="BK143" i="6" s="1"/>
  <c r="BJ143" i="6" s="1"/>
  <c r="R143" i="6" s="1"/>
  <c r="BL115" i="6"/>
  <c r="BK115" i="6" s="1"/>
  <c r="BJ115" i="6" s="1"/>
  <c r="R115" i="6" s="1"/>
  <c r="BL111" i="6"/>
  <c r="BK111" i="6" s="1"/>
  <c r="BJ111" i="6" s="1"/>
  <c r="R111" i="6" s="1"/>
  <c r="BL96" i="6"/>
  <c r="BK96" i="6" s="1"/>
  <c r="BJ96" i="6" s="1"/>
  <c r="R96" i="6" s="1"/>
  <c r="BL49" i="6"/>
  <c r="BK49" i="6" s="1"/>
  <c r="BJ49" i="6" s="1"/>
  <c r="R49" i="6" s="1"/>
  <c r="BL61" i="6"/>
  <c r="BK61" i="6" s="1"/>
  <c r="BJ61" i="6" s="1"/>
  <c r="R61" i="6" s="1"/>
  <c r="BL12" i="6"/>
  <c r="BK12" i="6" s="1"/>
  <c r="BJ12" i="6" s="1"/>
  <c r="R12" i="6" s="1"/>
  <c r="BL10" i="6"/>
  <c r="BK10" i="6" s="1"/>
  <c r="BJ10" i="6" s="1"/>
  <c r="R10" i="6" s="1"/>
  <c r="BL76" i="6"/>
  <c r="BK76" i="6" s="1"/>
  <c r="BJ76" i="6" s="1"/>
  <c r="R76" i="6" s="1"/>
  <c r="BL248" i="6"/>
  <c r="BK248" i="6" s="1"/>
  <c r="BJ248" i="6" s="1"/>
  <c r="R248" i="6" s="1"/>
  <c r="BL214" i="6"/>
  <c r="BK214" i="6" s="1"/>
  <c r="BJ214" i="6" s="1"/>
  <c r="R214" i="6" s="1"/>
  <c r="BL27" i="6"/>
  <c r="BK27" i="6" s="1"/>
  <c r="BJ27" i="6" s="1"/>
  <c r="R27" i="6" s="1"/>
  <c r="BL184" i="6"/>
  <c r="BK184" i="6" s="1"/>
  <c r="BJ184" i="6" s="1"/>
  <c r="R184" i="6" s="1"/>
  <c r="BL312" i="6"/>
  <c r="BK312" i="6" s="1"/>
  <c r="BJ312" i="6" s="1"/>
  <c r="R312" i="6" s="1"/>
  <c r="BL467" i="6"/>
  <c r="BK467" i="6" s="1"/>
  <c r="BJ467" i="6" s="1"/>
  <c r="R467" i="6" s="1"/>
  <c r="BL306" i="6"/>
  <c r="BK306" i="6" s="1"/>
  <c r="BJ306" i="6" s="1"/>
  <c r="R306" i="6" s="1"/>
  <c r="BL412" i="6"/>
  <c r="BK412" i="6" s="1"/>
  <c r="BJ412" i="6" s="1"/>
  <c r="R412" i="6" s="1"/>
  <c r="BL97" i="6"/>
  <c r="BK97" i="6" s="1"/>
  <c r="BJ97" i="6" s="1"/>
  <c r="R97" i="6" s="1"/>
  <c r="BL232" i="6"/>
  <c r="BK232" i="6" s="1"/>
  <c r="BJ232" i="6" s="1"/>
  <c r="R232" i="6" s="1"/>
  <c r="BL125" i="6"/>
  <c r="BK125" i="6" s="1"/>
  <c r="BJ125" i="6" s="1"/>
  <c r="R125" i="6" s="1"/>
  <c r="BL367" i="6"/>
  <c r="BK367" i="6" s="1"/>
  <c r="BJ367" i="6" s="1"/>
  <c r="R367" i="6" s="1"/>
  <c r="BL411" i="6"/>
  <c r="BK411" i="6" s="1"/>
  <c r="BJ411" i="6" s="1"/>
  <c r="R411" i="6" s="1"/>
  <c r="BL364" i="6"/>
  <c r="BK364" i="6" s="1"/>
  <c r="BJ364" i="6" s="1"/>
  <c r="R364" i="6" s="1"/>
  <c r="BL109" i="6"/>
  <c r="BK109" i="6" s="1"/>
  <c r="BJ109" i="6" s="1"/>
  <c r="R109" i="6" s="1"/>
  <c r="BL275" i="6"/>
  <c r="BK275" i="6" s="1"/>
  <c r="BJ275" i="6" s="1"/>
  <c r="R275" i="6" s="1"/>
  <c r="BL448" i="6"/>
  <c r="BK448" i="6" s="1"/>
  <c r="BJ448" i="6" s="1"/>
  <c r="R448" i="6" s="1"/>
  <c r="BL13" i="6"/>
  <c r="BK13" i="6" s="1"/>
  <c r="BJ13" i="6" s="1"/>
  <c r="R13" i="6" s="1"/>
  <c r="BL117" i="6"/>
  <c r="BK117" i="6" s="1"/>
  <c r="BJ117" i="6" s="1"/>
  <c r="R117" i="6" s="1"/>
  <c r="BL224" i="6"/>
  <c r="BK224" i="6" s="1"/>
  <c r="BJ224" i="6" s="1"/>
  <c r="R224" i="6" s="1"/>
  <c r="BL395" i="6"/>
  <c r="BK395" i="6" s="1"/>
  <c r="BJ395" i="6" s="1"/>
  <c r="R395" i="6" s="1"/>
  <c r="BL286" i="6"/>
  <c r="BK286" i="6" s="1"/>
  <c r="BJ286" i="6" s="1"/>
  <c r="R286" i="6" s="1"/>
  <c r="BL347" i="6"/>
  <c r="BK347" i="6" s="1"/>
  <c r="BJ347" i="6" s="1"/>
  <c r="R347" i="6" s="1"/>
  <c r="BL95" i="6"/>
  <c r="BK95" i="6" s="1"/>
  <c r="BJ95" i="6" s="1"/>
  <c r="R95" i="6" s="1"/>
  <c r="BL230" i="6"/>
  <c r="BK230" i="6" s="1"/>
  <c r="BJ230" i="6" s="1"/>
  <c r="R230" i="6" s="1"/>
  <c r="BL331" i="6"/>
  <c r="BK331" i="6" s="1"/>
  <c r="BJ331" i="6" s="1"/>
  <c r="R331" i="6" s="1"/>
  <c r="BL121" i="6"/>
  <c r="BK121" i="6" s="1"/>
  <c r="BJ121" i="6" s="1"/>
  <c r="R121" i="6" s="1"/>
  <c r="BL241" i="6"/>
  <c r="BK241" i="6" s="1"/>
  <c r="BJ241" i="6" s="1"/>
  <c r="R241" i="6" s="1"/>
  <c r="BL47" i="6"/>
  <c r="BK47" i="6" s="1"/>
  <c r="BJ47" i="6" s="1"/>
  <c r="R47" i="6" s="1"/>
  <c r="BL363" i="6"/>
  <c r="BK363" i="6" s="1"/>
  <c r="BJ363" i="6" s="1"/>
  <c r="R363" i="6" s="1"/>
  <c r="BL281" i="6"/>
  <c r="BK281" i="6" s="1"/>
  <c r="BJ281" i="6" s="1"/>
  <c r="R281" i="6" s="1"/>
  <c r="BL255" i="6"/>
  <c r="BK255" i="6" s="1"/>
  <c r="BJ255" i="6" s="1"/>
  <c r="R255" i="6" s="1"/>
  <c r="BL246" i="6"/>
  <c r="BK246" i="6" s="1"/>
  <c r="BJ246" i="6" s="1"/>
  <c r="R246" i="6" s="1"/>
  <c r="BL192" i="6"/>
  <c r="BK192" i="6" s="1"/>
  <c r="BJ192" i="6" s="1"/>
  <c r="R192" i="6" s="1"/>
  <c r="BL183" i="6"/>
  <c r="BK183" i="6" s="1"/>
  <c r="BJ183" i="6" s="1"/>
  <c r="R183" i="6" s="1"/>
  <c r="BL182" i="6"/>
  <c r="BK182" i="6" s="1"/>
  <c r="BJ182" i="6" s="1"/>
  <c r="R182" i="6" s="1"/>
  <c r="BL124" i="6"/>
  <c r="BK124" i="6" s="1"/>
  <c r="BJ124" i="6" s="1"/>
  <c r="R124" i="6" s="1"/>
  <c r="BL157" i="6"/>
  <c r="BK157" i="6" s="1"/>
  <c r="BJ157" i="6" s="1"/>
  <c r="R157" i="6" s="1"/>
  <c r="BL135" i="6"/>
  <c r="BK135" i="6" s="1"/>
  <c r="BJ135" i="6" s="1"/>
  <c r="R135" i="6" s="1"/>
  <c r="BL110" i="6"/>
  <c r="BK110" i="6" s="1"/>
  <c r="BJ110" i="6" s="1"/>
  <c r="R110" i="6" s="1"/>
  <c r="BL114" i="6"/>
  <c r="BK114" i="6" s="1"/>
  <c r="BJ114" i="6" s="1"/>
  <c r="R114" i="6" s="1"/>
  <c r="BL138" i="6"/>
  <c r="BK138" i="6" s="1"/>
  <c r="BJ138" i="6" s="1"/>
  <c r="R138" i="6" s="1"/>
  <c r="BL41" i="6"/>
  <c r="BK41" i="6" s="1"/>
  <c r="BJ41" i="6" s="1"/>
  <c r="R41" i="6" s="1"/>
  <c r="BL54" i="6"/>
  <c r="BK54" i="6" s="1"/>
  <c r="BJ54" i="6" s="1"/>
  <c r="R54" i="6" s="1"/>
  <c r="BL19" i="6"/>
  <c r="BK19" i="6" s="1"/>
  <c r="BJ19" i="6" s="1"/>
  <c r="R19" i="6" s="1"/>
  <c r="BL29" i="6"/>
  <c r="BK29" i="6" s="1"/>
  <c r="BJ29" i="6" s="1"/>
  <c r="R29" i="6" s="1"/>
  <c r="BL58" i="6"/>
  <c r="BK58" i="6" s="1"/>
  <c r="BJ58" i="6" s="1"/>
  <c r="R58" i="6" s="1"/>
  <c r="BL376" i="6"/>
  <c r="BK376" i="6" s="1"/>
  <c r="BJ376" i="6" s="1"/>
  <c r="R376" i="6" s="1"/>
  <c r="BL338" i="6"/>
  <c r="BK338" i="6" s="1"/>
  <c r="BJ338" i="6" s="1"/>
  <c r="R338" i="6" s="1"/>
  <c r="BL60" i="6"/>
  <c r="BK60" i="6" s="1"/>
  <c r="BJ60" i="6" s="1"/>
  <c r="R60" i="6" s="1"/>
  <c r="BL195" i="6"/>
  <c r="BK195" i="6" s="1"/>
  <c r="BJ195" i="6" s="1"/>
  <c r="R195" i="6" s="1"/>
  <c r="BL346" i="6"/>
  <c r="BK346" i="6" s="1"/>
  <c r="BJ346" i="6" s="1"/>
  <c r="R346" i="6" s="1"/>
  <c r="BL468" i="6"/>
  <c r="BK468" i="6" s="1"/>
  <c r="BJ468" i="6" s="1"/>
  <c r="R468" i="6" s="1"/>
  <c r="BL296" i="6"/>
  <c r="BK296" i="6" s="1"/>
  <c r="BJ296" i="6" s="1"/>
  <c r="R296" i="6" s="1"/>
  <c r="BL391" i="6"/>
  <c r="BK391" i="6" s="1"/>
  <c r="BJ391" i="6" s="1"/>
  <c r="R391" i="6" s="1"/>
  <c r="BL168" i="6"/>
  <c r="BK168" i="6" s="1"/>
  <c r="BJ168" i="6" s="1"/>
  <c r="R168" i="6" s="1"/>
  <c r="BL357" i="6"/>
  <c r="BK357" i="6" s="1"/>
  <c r="BJ357" i="6" s="1"/>
  <c r="R357" i="6" s="1"/>
  <c r="BL176" i="6"/>
  <c r="BK176" i="6" s="1"/>
  <c r="BJ176" i="6" s="1"/>
  <c r="R176" i="6" s="1"/>
  <c r="BL403" i="6"/>
  <c r="BK403" i="6" s="1"/>
  <c r="BJ403" i="6" s="1"/>
  <c r="R403" i="6" s="1"/>
  <c r="BL392" i="6"/>
  <c r="BK392" i="6" s="1"/>
  <c r="BJ392" i="6" s="1"/>
  <c r="R392" i="6" s="1"/>
  <c r="BL393" i="6"/>
  <c r="BK393" i="6" s="1"/>
  <c r="BJ393" i="6" s="1"/>
  <c r="R393" i="6" s="1"/>
  <c r="BL237" i="6"/>
  <c r="BK237" i="6" s="1"/>
  <c r="BJ237" i="6" s="1"/>
  <c r="R237" i="6" s="1"/>
  <c r="BL337" i="6"/>
  <c r="BK337" i="6" s="1"/>
  <c r="BJ337" i="6" s="1"/>
  <c r="R337" i="6" s="1"/>
  <c r="BL343" i="6"/>
  <c r="BK343" i="6" s="1"/>
  <c r="BJ343" i="6" s="1"/>
  <c r="R343" i="6" s="1"/>
  <c r="BL24" i="6"/>
  <c r="BK24" i="6" s="1"/>
  <c r="BJ24" i="6" s="1"/>
  <c r="R24" i="6" s="1"/>
  <c r="BL141" i="6"/>
  <c r="BK141" i="6" s="1"/>
  <c r="BJ141" i="6" s="1"/>
  <c r="R141" i="6" s="1"/>
  <c r="BL238" i="6"/>
  <c r="BK238" i="6" s="1"/>
  <c r="BJ238" i="6" s="1"/>
  <c r="R238" i="6" s="1"/>
  <c r="BL385" i="6"/>
  <c r="BK385" i="6" s="1"/>
  <c r="BJ385" i="6" s="1"/>
  <c r="R385" i="6" s="1"/>
  <c r="BL330" i="6"/>
  <c r="BK330" i="6" s="1"/>
  <c r="BJ330" i="6" s="1"/>
  <c r="R330" i="6" s="1"/>
  <c r="BL408" i="6"/>
  <c r="BK408" i="6" s="1"/>
  <c r="BJ408" i="6" s="1"/>
  <c r="R408" i="6" s="1"/>
  <c r="BL113" i="6"/>
  <c r="BK113" i="6" s="1"/>
  <c r="BJ113" i="6" s="1"/>
  <c r="R113" i="6" s="1"/>
  <c r="BL219" i="6"/>
  <c r="BK219" i="6" s="1"/>
  <c r="BJ219" i="6" s="1"/>
  <c r="R219" i="6" s="1"/>
  <c r="BL373" i="6"/>
  <c r="BK373" i="6" s="1"/>
  <c r="BJ373" i="6" s="1"/>
  <c r="R373" i="6" s="1"/>
  <c r="BL148" i="6"/>
  <c r="BK148" i="6" s="1"/>
  <c r="BJ148" i="6" s="1"/>
  <c r="R148" i="6" s="1"/>
  <c r="BL294" i="6"/>
  <c r="BK294" i="6" s="1"/>
  <c r="BJ294" i="6" s="1"/>
  <c r="R294" i="6" s="1"/>
  <c r="BL71" i="6"/>
  <c r="BK71" i="6" s="1"/>
  <c r="BJ71" i="6" s="1"/>
  <c r="R71" i="6" s="1"/>
  <c r="BL334" i="6"/>
  <c r="BK334" i="6" s="1"/>
  <c r="BJ334" i="6" s="1"/>
  <c r="R334" i="6" s="1"/>
  <c r="BL314" i="6"/>
  <c r="BK314" i="6" s="1"/>
  <c r="BJ314" i="6" s="1"/>
  <c r="R314" i="6" s="1"/>
  <c r="BL247" i="6"/>
  <c r="BK247" i="6" s="1"/>
  <c r="BJ247" i="6" s="1"/>
  <c r="R247" i="6" s="1"/>
  <c r="BL233" i="6"/>
  <c r="BK233" i="6" s="1"/>
  <c r="BJ233" i="6" s="1"/>
  <c r="R233" i="6" s="1"/>
  <c r="BL215" i="6"/>
  <c r="BK215" i="6" s="1"/>
  <c r="BJ215" i="6" s="1"/>
  <c r="R215" i="6" s="1"/>
  <c r="BL178" i="6"/>
  <c r="BK178" i="6" s="1"/>
  <c r="BJ178" i="6" s="1"/>
  <c r="R178" i="6" s="1"/>
  <c r="BL174" i="6"/>
  <c r="BK174" i="6" s="1"/>
  <c r="BJ174" i="6" s="1"/>
  <c r="R174" i="6" s="1"/>
  <c r="BL116" i="6"/>
  <c r="BK116" i="6" s="1"/>
  <c r="BJ116" i="6" s="1"/>
  <c r="R116" i="6" s="1"/>
  <c r="BL169" i="6"/>
  <c r="BK169" i="6" s="1"/>
  <c r="BJ169" i="6" s="1"/>
  <c r="R169" i="6" s="1"/>
  <c r="BL127" i="6"/>
  <c r="BK127" i="6" s="1"/>
  <c r="BJ127" i="6" s="1"/>
  <c r="R127" i="6" s="1"/>
  <c r="BL100" i="6"/>
  <c r="BK100" i="6" s="1"/>
  <c r="BJ100" i="6" s="1"/>
  <c r="R100" i="6" s="1"/>
  <c r="BL99" i="6"/>
  <c r="BK99" i="6" s="1"/>
  <c r="BJ99" i="6" s="1"/>
  <c r="R99" i="6" s="1"/>
  <c r="BL118" i="6"/>
  <c r="BK118" i="6" s="1"/>
  <c r="BJ118" i="6" s="1"/>
  <c r="R118" i="6" s="1"/>
  <c r="BL69" i="6"/>
  <c r="BK69" i="6" s="1"/>
  <c r="BJ69" i="6" s="1"/>
  <c r="R69" i="6" s="1"/>
  <c r="BL46" i="6"/>
  <c r="BK46" i="6" s="1"/>
  <c r="BJ46" i="6" s="1"/>
  <c r="R46" i="6" s="1"/>
  <c r="BL11" i="6"/>
  <c r="BK11" i="6" s="1"/>
  <c r="BJ11" i="6" s="1"/>
  <c r="R11" i="6" s="1"/>
  <c r="BL22" i="6"/>
  <c r="BK22" i="6" s="1"/>
  <c r="BJ22" i="6" s="1"/>
  <c r="R22" i="6" s="1"/>
  <c r="BL82" i="6"/>
  <c r="BK82" i="6" s="1"/>
  <c r="BJ82" i="6" s="1"/>
  <c r="R82" i="6" s="1"/>
  <c r="BL355" i="6"/>
  <c r="BK355" i="6" s="1"/>
  <c r="BJ355" i="6" s="1"/>
  <c r="R355" i="6" s="1"/>
  <c r="BL190" i="6"/>
  <c r="BK190" i="6" s="1"/>
  <c r="BJ190" i="6" s="1"/>
  <c r="R190" i="6" s="1"/>
  <c r="BL106" i="6"/>
  <c r="BK106" i="6" s="1"/>
  <c r="BJ106" i="6" s="1"/>
  <c r="R106" i="6" s="1"/>
  <c r="BL216" i="6"/>
  <c r="BK216" i="6" s="1"/>
  <c r="BJ216" i="6" s="1"/>
  <c r="R216" i="6" s="1"/>
  <c r="BL360" i="6"/>
  <c r="BK360" i="6" s="1"/>
  <c r="BJ360" i="6" s="1"/>
  <c r="R360" i="6" s="1"/>
  <c r="BL222" i="6"/>
  <c r="BK222" i="6" s="1"/>
  <c r="BJ222" i="6" s="1"/>
  <c r="R222" i="6" s="1"/>
  <c r="BL372" i="6"/>
  <c r="BK372" i="6" s="1"/>
  <c r="BJ372" i="6" s="1"/>
  <c r="R372" i="6" s="1"/>
  <c r="BL432" i="6"/>
  <c r="BK432" i="6" s="1"/>
  <c r="BJ432" i="6" s="1"/>
  <c r="R432" i="6" s="1"/>
  <c r="BL198" i="6"/>
  <c r="BK198" i="6" s="1"/>
  <c r="BJ198" i="6" s="1"/>
  <c r="R198" i="6" s="1"/>
  <c r="BL444" i="6"/>
  <c r="BK444" i="6" s="1"/>
  <c r="BJ444" i="6" s="1"/>
  <c r="R444" i="6" s="1"/>
  <c r="BL146" i="6"/>
  <c r="BK146" i="6" s="1"/>
  <c r="BJ146" i="6" s="1"/>
  <c r="R146" i="6" s="1"/>
  <c r="BL422" i="6"/>
  <c r="BK422" i="6" s="1"/>
  <c r="BJ422" i="6" s="1"/>
  <c r="R422" i="6" s="1"/>
  <c r="BL53" i="6"/>
  <c r="BK53" i="6" s="1"/>
  <c r="BJ53" i="6" s="1"/>
  <c r="R53" i="6" s="1"/>
  <c r="BL434" i="6"/>
  <c r="BK434" i="6" s="1"/>
  <c r="BJ434" i="6" s="1"/>
  <c r="R434" i="6" s="1"/>
  <c r="BL231" i="6"/>
  <c r="BK231" i="6" s="1"/>
  <c r="BJ231" i="6" s="1"/>
  <c r="R231" i="6" s="1"/>
  <c r="BL332" i="6"/>
  <c r="BK332" i="6" s="1"/>
  <c r="BJ332" i="6" s="1"/>
  <c r="R332" i="6" s="1"/>
  <c r="BL342" i="6"/>
  <c r="BK342" i="6" s="1"/>
  <c r="BJ342" i="6" s="1"/>
  <c r="R342" i="6" s="1"/>
  <c r="BL40" i="6"/>
  <c r="BK40" i="6" s="1"/>
  <c r="BJ40" i="6" s="1"/>
  <c r="R40" i="6" s="1"/>
  <c r="BL144" i="6"/>
  <c r="BK144" i="6" s="1"/>
  <c r="BJ144" i="6" s="1"/>
  <c r="R144" i="6" s="1"/>
  <c r="BL259" i="6"/>
  <c r="BK259" i="6" s="1"/>
  <c r="BJ259" i="6" s="1"/>
  <c r="R259" i="6" s="1"/>
  <c r="BL416" i="6"/>
  <c r="BK416" i="6" s="1"/>
  <c r="BJ416" i="6" s="1"/>
  <c r="R416" i="6" s="1"/>
  <c r="BL418" i="6"/>
  <c r="BK418" i="6" s="1"/>
  <c r="BJ418" i="6" s="1"/>
  <c r="R418" i="6" s="1"/>
  <c r="BL59" i="6"/>
  <c r="BK59" i="6" s="1"/>
  <c r="BJ59" i="6" s="1"/>
  <c r="R59" i="6" s="1"/>
  <c r="BL134" i="6"/>
  <c r="BK134" i="6" s="1"/>
  <c r="BJ134" i="6" s="1"/>
  <c r="R134" i="6" s="1"/>
  <c r="BL253" i="6"/>
  <c r="BK253" i="6" s="1"/>
  <c r="BJ253" i="6" s="1"/>
  <c r="R253" i="6" s="1"/>
  <c r="BL387" i="6"/>
  <c r="BK387" i="6" s="1"/>
  <c r="BJ387" i="6" s="1"/>
  <c r="R387" i="6" s="1"/>
  <c r="BL145" i="6"/>
  <c r="BK145" i="6" s="1"/>
  <c r="BJ145" i="6" s="1"/>
  <c r="R145" i="6" s="1"/>
  <c r="BL320" i="6"/>
  <c r="BK320" i="6" s="1"/>
  <c r="BJ320" i="6" s="1"/>
  <c r="R320" i="6" s="1"/>
  <c r="BL243" i="6"/>
  <c r="BK243" i="6" s="1"/>
  <c r="BJ243" i="6" s="1"/>
  <c r="R243" i="6" s="1"/>
  <c r="BL328" i="6"/>
  <c r="BK328" i="6" s="1"/>
  <c r="BJ328" i="6" s="1"/>
  <c r="R328" i="6" s="1"/>
  <c r="BL274" i="6"/>
  <c r="BK274" i="6" s="1"/>
  <c r="BJ274" i="6" s="1"/>
  <c r="R274" i="6" s="1"/>
  <c r="BL236" i="6"/>
  <c r="BK236" i="6" s="1"/>
  <c r="BJ236" i="6" s="1"/>
  <c r="R236" i="6" s="1"/>
  <c r="BL203" i="6"/>
  <c r="BK203" i="6" s="1"/>
  <c r="BJ203" i="6" s="1"/>
  <c r="R203" i="6" s="1"/>
  <c r="BL199" i="6"/>
  <c r="BK199" i="6" s="1"/>
  <c r="BJ199" i="6" s="1"/>
  <c r="R199" i="6" s="1"/>
  <c r="BL170" i="6"/>
  <c r="BK170" i="6" s="1"/>
  <c r="BJ170" i="6" s="1"/>
  <c r="R170" i="6" s="1"/>
  <c r="BL166" i="6"/>
  <c r="BK166" i="6" s="1"/>
  <c r="BJ166" i="6" s="1"/>
  <c r="R166" i="6" s="1"/>
  <c r="BL153" i="6"/>
  <c r="BK153" i="6" s="1"/>
  <c r="BJ153" i="6" s="1"/>
  <c r="R153" i="6" s="1"/>
  <c r="BL149" i="6"/>
  <c r="BK149" i="6" s="1"/>
  <c r="BJ149" i="6" s="1"/>
  <c r="R149" i="6" s="1"/>
  <c r="BL119" i="6"/>
  <c r="BK119" i="6" s="1"/>
  <c r="BJ119" i="6" s="1"/>
  <c r="R119" i="6" s="1"/>
  <c r="BL93" i="6"/>
  <c r="BK93" i="6" s="1"/>
  <c r="BJ93" i="6" s="1"/>
  <c r="R93" i="6" s="1"/>
  <c r="BL89" i="6"/>
  <c r="BK89" i="6" s="1"/>
  <c r="BJ89" i="6" s="1"/>
  <c r="R89" i="6" s="1"/>
  <c r="BL130" i="6"/>
  <c r="BK130" i="6" s="1"/>
  <c r="BJ130" i="6" s="1"/>
  <c r="R130" i="6" s="1"/>
  <c r="BL67" i="6"/>
  <c r="BK67" i="6" s="1"/>
  <c r="BJ67" i="6" s="1"/>
  <c r="R67" i="6" s="1"/>
  <c r="BL30" i="6"/>
  <c r="BK30" i="6" s="1"/>
  <c r="BJ30" i="6" s="1"/>
  <c r="R30" i="6" s="1"/>
  <c r="BL36" i="6"/>
  <c r="BK36" i="6" s="1"/>
  <c r="BJ36" i="6" s="1"/>
  <c r="R36" i="6" s="1"/>
  <c r="BL9" i="6"/>
  <c r="BK9" i="6" s="1"/>
  <c r="BJ9" i="6" s="1"/>
  <c r="R9" i="6" s="1"/>
  <c r="BL88" i="6"/>
  <c r="BK88" i="6" s="1"/>
  <c r="BJ88" i="6" s="1"/>
  <c r="R88" i="6" s="1"/>
  <c r="BL383" i="6"/>
  <c r="BK383" i="6" s="1"/>
  <c r="BJ383" i="6" s="1"/>
  <c r="R383" i="6" s="1"/>
  <c r="BL349" i="6"/>
  <c r="BK349" i="6" s="1"/>
  <c r="BJ349" i="6" s="1"/>
  <c r="R349" i="6" s="1"/>
  <c r="BL72" i="6"/>
  <c r="BK72" i="6" s="1"/>
  <c r="BJ72" i="6" s="1"/>
  <c r="R72" i="6" s="1"/>
  <c r="BL258" i="6"/>
  <c r="BK258" i="6" s="1"/>
  <c r="BJ258" i="6" s="1"/>
  <c r="R258" i="6" s="1"/>
  <c r="BL378" i="6"/>
  <c r="BK378" i="6" s="1"/>
  <c r="BJ378" i="6" s="1"/>
  <c r="R378" i="6" s="1"/>
  <c r="BL218" i="6"/>
  <c r="BK218" i="6" s="1"/>
  <c r="BJ218" i="6" s="1"/>
  <c r="R218" i="6" s="1"/>
  <c r="BL339" i="6"/>
  <c r="BK339" i="6" s="1"/>
  <c r="BJ339" i="6" s="1"/>
  <c r="R339" i="6" s="1"/>
  <c r="BL420" i="6"/>
  <c r="BK420" i="6" s="1"/>
  <c r="BJ420" i="6" s="1"/>
  <c r="R420" i="6" s="1"/>
  <c r="BL242" i="6"/>
  <c r="BK242" i="6" s="1"/>
  <c r="BJ242" i="6" s="1"/>
  <c r="R242" i="6" s="1"/>
  <c r="BL28" i="6"/>
  <c r="BK28" i="6" s="1"/>
  <c r="BJ28" i="6" s="1"/>
  <c r="R28" i="6" s="1"/>
  <c r="BL164" i="6"/>
  <c r="BK164" i="6" s="1"/>
  <c r="BJ164" i="6" s="1"/>
  <c r="R164" i="6" s="1"/>
  <c r="BL428" i="6"/>
  <c r="BK428" i="6" s="1"/>
  <c r="BJ428" i="6" s="1"/>
  <c r="R428" i="6" s="1"/>
  <c r="BL83" i="6"/>
  <c r="BK83" i="6" s="1"/>
  <c r="BJ83" i="6" s="1"/>
  <c r="R83" i="6" s="1"/>
  <c r="BL18" i="6"/>
  <c r="BK18" i="6" s="1"/>
  <c r="BJ18" i="6" s="1"/>
  <c r="R18" i="6" s="1"/>
  <c r="BL240" i="6"/>
  <c r="BK240" i="6" s="1"/>
  <c r="BJ240" i="6" s="1"/>
  <c r="R240" i="6" s="1"/>
  <c r="BL350" i="6"/>
  <c r="BK350" i="6" s="1"/>
  <c r="BJ350" i="6" s="1"/>
  <c r="R350" i="6" s="1"/>
  <c r="BL370" i="6"/>
  <c r="BK370" i="6" s="1"/>
  <c r="BJ370" i="6" s="1"/>
  <c r="R370" i="6" s="1"/>
  <c r="BL33" i="6"/>
  <c r="BK33" i="6" s="1"/>
  <c r="BJ33" i="6" s="1"/>
  <c r="R33" i="6" s="1"/>
  <c r="BL160" i="6"/>
  <c r="BK160" i="6" s="1"/>
  <c r="BJ160" i="6" s="1"/>
  <c r="R160" i="6" s="1"/>
  <c r="BL269" i="6"/>
  <c r="BK269" i="6" s="1"/>
  <c r="BJ269" i="6" s="1"/>
  <c r="R269" i="6" s="1"/>
  <c r="BL414" i="6"/>
  <c r="BK414" i="6" s="1"/>
  <c r="BJ414" i="6" s="1"/>
  <c r="R414" i="6" s="1"/>
  <c r="BL459" i="6"/>
  <c r="BK459" i="6" s="1"/>
  <c r="BJ459" i="6" s="1"/>
  <c r="R459" i="6" s="1"/>
  <c r="BL44" i="6"/>
  <c r="BK44" i="6" s="1"/>
  <c r="BJ44" i="6" s="1"/>
  <c r="R44" i="6" s="1"/>
  <c r="BL189" i="6"/>
  <c r="BK189" i="6" s="1"/>
  <c r="BJ189" i="6" s="1"/>
  <c r="R189" i="6" s="1"/>
  <c r="BL268" i="6"/>
  <c r="BK268" i="6" s="1"/>
  <c r="BJ268" i="6" s="1"/>
  <c r="R268" i="6" s="1"/>
  <c r="BL407" i="6"/>
  <c r="BK407" i="6" s="1"/>
  <c r="BJ407" i="6" s="1"/>
  <c r="R407" i="6" s="1"/>
  <c r="BL186" i="6"/>
  <c r="BK186" i="6" s="1"/>
  <c r="BJ186" i="6" s="1"/>
  <c r="R186" i="6" s="1"/>
  <c r="BL329" i="6"/>
  <c r="BK329" i="6" s="1"/>
  <c r="BJ329" i="6" s="1"/>
  <c r="R329" i="6" s="1"/>
  <c r="BL256" i="6"/>
  <c r="BK256" i="6" s="1"/>
  <c r="BJ256" i="6" s="1"/>
  <c r="R256" i="6" s="1"/>
  <c r="BL461" i="6"/>
  <c r="BK461" i="6" s="1"/>
  <c r="BJ461" i="6" s="1"/>
  <c r="R461" i="6" s="1"/>
  <c r="BL322" i="6"/>
  <c r="BK322" i="6" s="1"/>
  <c r="BJ322" i="6" s="1"/>
  <c r="R322" i="6" s="1"/>
  <c r="BL265" i="6"/>
  <c r="BK265" i="6" s="1"/>
  <c r="BJ265" i="6" s="1"/>
  <c r="R265" i="6" s="1"/>
  <c r="BL220" i="6"/>
  <c r="BK220" i="6" s="1"/>
  <c r="BJ220" i="6" s="1"/>
  <c r="R220" i="6" s="1"/>
  <c r="BL196" i="6"/>
  <c r="BK196" i="6" s="1"/>
  <c r="BJ196" i="6" s="1"/>
  <c r="R196" i="6" s="1"/>
  <c r="BL191" i="6"/>
  <c r="BK191" i="6" s="1"/>
  <c r="BJ191" i="6" s="1"/>
  <c r="R191" i="6" s="1"/>
  <c r="BL162" i="6"/>
  <c r="BK162" i="6" s="1"/>
  <c r="BJ162" i="6" s="1"/>
  <c r="R162" i="6" s="1"/>
  <c r="BL158" i="6"/>
  <c r="BK158" i="6" s="1"/>
  <c r="BJ158" i="6" s="1"/>
  <c r="R158" i="6" s="1"/>
  <c r="BL142" i="6"/>
  <c r="BK142" i="6" s="1"/>
  <c r="BJ142" i="6" s="1"/>
  <c r="R142" i="6" s="1"/>
  <c r="BL136" i="6"/>
  <c r="BK136" i="6" s="1"/>
  <c r="BJ136" i="6" s="1"/>
  <c r="R136" i="6" s="1"/>
  <c r="BL165" i="6"/>
  <c r="BK165" i="6" s="1"/>
  <c r="BJ165" i="6" s="1"/>
  <c r="R165" i="6" s="1"/>
  <c r="BL85" i="6"/>
  <c r="BK85" i="6" s="1"/>
  <c r="BJ85" i="6" s="1"/>
  <c r="R85" i="6" s="1"/>
  <c r="BL81" i="6"/>
  <c r="BK81" i="6" s="1"/>
  <c r="BJ81" i="6" s="1"/>
  <c r="R81" i="6" s="1"/>
  <c r="BL122" i="6"/>
  <c r="BK122" i="6" s="1"/>
  <c r="BJ122" i="6" s="1"/>
  <c r="R122" i="6" s="1"/>
  <c r="BL57" i="6"/>
  <c r="BK57" i="6" s="1"/>
  <c r="BJ57" i="6" s="1"/>
  <c r="R57" i="6" s="1"/>
  <c r="BL65" i="6"/>
  <c r="BK65" i="6" s="1"/>
  <c r="BJ65" i="6" s="1"/>
  <c r="R65" i="6" s="1"/>
  <c r="BL16" i="6"/>
  <c r="BK16" i="6" s="1"/>
  <c r="BJ16" i="6" s="1"/>
  <c r="R16" i="6" s="1"/>
  <c r="BL39" i="6"/>
  <c r="BK39" i="6" s="1"/>
  <c r="BJ39" i="6" s="1"/>
  <c r="R39" i="6" s="1"/>
  <c r="BL133" i="6"/>
  <c r="BK133" i="6" s="1"/>
  <c r="BJ133" i="6" s="1"/>
  <c r="R133" i="6" s="1"/>
  <c r="BL469" i="6"/>
  <c r="BK469" i="6" s="1"/>
  <c r="BJ469" i="6" s="1"/>
  <c r="BL462" i="6"/>
  <c r="BK462" i="6" s="1"/>
  <c r="BJ462" i="6" s="1"/>
  <c r="R462" i="6" s="1"/>
  <c r="BL92" i="6"/>
  <c r="BK92" i="6" s="1"/>
  <c r="BJ92" i="6" s="1"/>
  <c r="R92" i="6" s="1"/>
  <c r="BL260" i="6"/>
  <c r="BK260" i="6" s="1"/>
  <c r="BJ260" i="6" s="1"/>
  <c r="R260" i="6" s="1"/>
  <c r="BL386" i="6"/>
  <c r="BK386" i="6" s="1"/>
  <c r="BJ386" i="6" s="1"/>
  <c r="R386" i="6" s="1"/>
  <c r="BL266" i="6"/>
  <c r="BK266" i="6" s="1"/>
  <c r="BJ266" i="6" s="1"/>
  <c r="R266" i="6" s="1"/>
  <c r="BL400" i="6"/>
  <c r="BK400" i="6" s="1"/>
  <c r="BJ400" i="6" s="1"/>
  <c r="R400" i="6" s="1"/>
  <c r="BL66" i="6"/>
  <c r="BK66" i="6" s="1"/>
  <c r="BJ66" i="6" s="1"/>
  <c r="R66" i="6" s="1"/>
  <c r="BL300" i="6"/>
  <c r="BK300" i="6" s="1"/>
  <c r="BJ300" i="6" s="1"/>
  <c r="R300" i="6" s="1"/>
  <c r="BL42" i="6"/>
  <c r="BK42" i="6" s="1"/>
  <c r="BJ42" i="6" s="1"/>
  <c r="R42" i="6" s="1"/>
  <c r="BL194" i="6"/>
  <c r="BK194" i="6" s="1"/>
  <c r="BJ194" i="6" s="1"/>
  <c r="R194" i="6" s="1"/>
  <c r="BL437" i="6"/>
  <c r="BK437" i="6" s="1"/>
  <c r="BJ437" i="6" s="1"/>
  <c r="R437" i="6" s="1"/>
  <c r="BL137" i="6"/>
  <c r="BK137" i="6" s="1"/>
  <c r="BJ137" i="6" s="1"/>
  <c r="R137" i="6" s="1"/>
  <c r="BL35" i="6"/>
  <c r="BK35" i="6" s="1"/>
  <c r="BJ35" i="6" s="1"/>
  <c r="R35" i="6" s="1"/>
  <c r="BL250" i="6"/>
  <c r="BK250" i="6" s="1"/>
  <c r="BJ250" i="6" s="1"/>
  <c r="R250" i="6" s="1"/>
  <c r="BL341" i="6"/>
  <c r="BK341" i="6" s="1"/>
  <c r="BJ341" i="6" s="1"/>
  <c r="R341" i="6" s="1"/>
  <c r="BL410" i="6"/>
  <c r="BK410" i="6" s="1"/>
  <c r="BJ410" i="6" s="1"/>
  <c r="R410" i="6" s="1"/>
  <c r="BL32" i="6"/>
  <c r="BK32" i="6" s="1"/>
  <c r="BJ32" i="6" s="1"/>
  <c r="R32" i="6" s="1"/>
  <c r="BL156" i="6"/>
  <c r="BK156" i="6" s="1"/>
  <c r="BJ156" i="6" s="1"/>
  <c r="R156" i="6" s="1"/>
  <c r="BL292" i="6"/>
  <c r="BK292" i="6" s="1"/>
  <c r="BJ292" i="6" s="1"/>
  <c r="R292" i="6" s="1"/>
  <c r="BL445" i="6"/>
  <c r="BK445" i="6" s="1"/>
  <c r="BJ445" i="6" s="1"/>
  <c r="R445" i="6" s="1"/>
  <c r="BL470" i="6"/>
  <c r="BK470" i="6" s="1"/>
  <c r="BJ470" i="6" s="1"/>
  <c r="BL52" i="6"/>
  <c r="BK52" i="6" s="1"/>
  <c r="BJ52" i="6" s="1"/>
  <c r="R52" i="6" s="1"/>
  <c r="BL201" i="6"/>
  <c r="BK201" i="6" s="1"/>
  <c r="BJ201" i="6" s="1"/>
  <c r="R201" i="6" s="1"/>
  <c r="BL261" i="6"/>
  <c r="BK261" i="6" s="1"/>
  <c r="BJ261" i="6" s="1"/>
  <c r="R261" i="6" s="1"/>
  <c r="BL382" i="6"/>
  <c r="BK382" i="6" s="1"/>
  <c r="BJ382" i="6" s="1"/>
  <c r="R382" i="6" s="1"/>
  <c r="BL187" i="6"/>
  <c r="BK187" i="6" s="1"/>
  <c r="BJ187" i="6" s="1"/>
  <c r="R187" i="6" s="1"/>
  <c r="BL404" i="6"/>
  <c r="BK404" i="6" s="1"/>
  <c r="BJ404" i="6" s="1"/>
  <c r="R404" i="6" s="1"/>
  <c r="BL283" i="6"/>
  <c r="BK283" i="6" s="1"/>
  <c r="BJ283" i="6" s="1"/>
  <c r="R283" i="6" s="1"/>
  <c r="BL443" i="6"/>
  <c r="BK443" i="6" s="1"/>
  <c r="BJ443" i="6" s="1"/>
  <c r="R443" i="6" s="1"/>
  <c r="BL326" i="6"/>
  <c r="BK326" i="6" s="1"/>
  <c r="BJ326" i="6" s="1"/>
  <c r="R326" i="6" s="1"/>
  <c r="BL257" i="6"/>
  <c r="BK257" i="6" s="1"/>
  <c r="BJ257" i="6" s="1"/>
  <c r="R257" i="6" s="1"/>
  <c r="BL212" i="6"/>
  <c r="BK212" i="6" s="1"/>
  <c r="BJ212" i="6" s="1"/>
  <c r="R212" i="6" s="1"/>
  <c r="BL200" i="6"/>
  <c r="BK200" i="6" s="1"/>
  <c r="BJ200" i="6" s="1"/>
  <c r="R200" i="6" s="1"/>
  <c r="BL179" i="6"/>
  <c r="BK179" i="6" s="1"/>
  <c r="BJ179" i="6" s="1"/>
  <c r="R179" i="6" s="1"/>
  <c r="BL175" i="6"/>
  <c r="BK175" i="6" s="1"/>
  <c r="BJ175" i="6" s="1"/>
  <c r="R175" i="6" s="1"/>
  <c r="BL173" i="6"/>
  <c r="BK173" i="6" s="1"/>
  <c r="BJ173" i="6" s="1"/>
  <c r="R173" i="6" s="1"/>
  <c r="BL139" i="6"/>
  <c r="BK139" i="6" s="1"/>
  <c r="BJ139" i="6" s="1"/>
  <c r="R139" i="6" s="1"/>
  <c r="BL128" i="6"/>
  <c r="BK128" i="6" s="1"/>
  <c r="BJ128" i="6" s="1"/>
  <c r="R128" i="6" s="1"/>
  <c r="BL147" i="6"/>
  <c r="BK147" i="6" s="1"/>
  <c r="BJ147" i="6" s="1"/>
  <c r="R147" i="6" s="1"/>
  <c r="BL77" i="6"/>
  <c r="BK77" i="6" s="1"/>
  <c r="BJ77" i="6" s="1"/>
  <c r="R77" i="6" s="1"/>
  <c r="BL73" i="6"/>
  <c r="BK73" i="6" s="1"/>
  <c r="BJ73" i="6" s="1"/>
  <c r="R73" i="6" s="1"/>
  <c r="BL51" i="6"/>
  <c r="BK51" i="6" s="1"/>
  <c r="BJ51" i="6" s="1"/>
  <c r="R51" i="6" s="1"/>
  <c r="BL55" i="6"/>
  <c r="BK55" i="6" s="1"/>
  <c r="BJ55" i="6" s="1"/>
  <c r="R55" i="6" s="1"/>
  <c r="BL45" i="6"/>
  <c r="BK45" i="6" s="1"/>
  <c r="BJ45" i="6" s="1"/>
  <c r="R45" i="6" s="1"/>
  <c r="BL14" i="6"/>
  <c r="BK14" i="6" s="1"/>
  <c r="BJ14" i="6" s="1"/>
  <c r="R14" i="6" s="1"/>
  <c r="BL50" i="6"/>
  <c r="BK50" i="6" s="1"/>
  <c r="BJ50" i="6" s="1"/>
  <c r="R50" i="6" s="1"/>
  <c r="BL206" i="6"/>
  <c r="BK206" i="6" s="1"/>
  <c r="BJ206" i="6" s="1"/>
  <c r="R206" i="6" s="1"/>
  <c r="BL90" i="6"/>
  <c r="BK90" i="6" s="1"/>
  <c r="BJ90" i="6" s="1"/>
  <c r="R90" i="6" s="1"/>
  <c r="BL17" i="6"/>
  <c r="BK17" i="6" s="1"/>
  <c r="BJ17" i="6" s="1"/>
  <c r="R17" i="6" s="1"/>
  <c r="BL70" i="6"/>
  <c r="BK70" i="6" s="1"/>
  <c r="BJ70" i="6" s="1"/>
  <c r="R70" i="6" s="1"/>
  <c r="BL279" i="6"/>
  <c r="BK279" i="6" s="1"/>
  <c r="BJ279" i="6" s="1"/>
  <c r="R279" i="6" s="1"/>
  <c r="BL424" i="6"/>
  <c r="BK424" i="6" s="1"/>
  <c r="BJ424" i="6" s="1"/>
  <c r="R424" i="6" s="1"/>
  <c r="BL245" i="6"/>
  <c r="BK245" i="6" s="1"/>
  <c r="BJ245" i="6" s="1"/>
  <c r="R245" i="6" s="1"/>
  <c r="BL430" i="6"/>
  <c r="BK430" i="6" s="1"/>
  <c r="BJ430" i="6" s="1"/>
  <c r="R430" i="6" s="1"/>
  <c r="BL68" i="6"/>
  <c r="BK68" i="6" s="1"/>
  <c r="BJ68" i="6" s="1"/>
  <c r="R68" i="6" s="1"/>
  <c r="BL315" i="6"/>
  <c r="BK315" i="6" s="1"/>
  <c r="BJ315" i="6" s="1"/>
  <c r="R315" i="6" s="1"/>
  <c r="BL63" i="6"/>
  <c r="BK63" i="6" s="1"/>
  <c r="BJ63" i="6" s="1"/>
  <c r="R63" i="6" s="1"/>
  <c r="BL197" i="6"/>
  <c r="BK197" i="6" s="1"/>
  <c r="BJ197" i="6" s="1"/>
  <c r="R197" i="6" s="1"/>
  <c r="BL453" i="6"/>
  <c r="BK453" i="6" s="1"/>
  <c r="BJ453" i="6" s="1"/>
  <c r="R453" i="6" s="1"/>
  <c r="BL229" i="6"/>
  <c r="BK229" i="6" s="1"/>
  <c r="BJ229" i="6" s="1"/>
  <c r="R229" i="6" s="1"/>
  <c r="BL64" i="6"/>
  <c r="BK64" i="6" s="1"/>
  <c r="BJ64" i="6" s="1"/>
  <c r="R64" i="6" s="1"/>
  <c r="BL299" i="6"/>
  <c r="BK299" i="6" s="1"/>
  <c r="BJ299" i="6" s="1"/>
  <c r="R299" i="6" s="1"/>
  <c r="BL358" i="6"/>
  <c r="BK358" i="6" s="1"/>
  <c r="BJ358" i="6" s="1"/>
  <c r="R358" i="6" s="1"/>
  <c r="BL465" i="6"/>
  <c r="BK465" i="6" s="1"/>
  <c r="BJ465" i="6" s="1"/>
  <c r="R465" i="6" s="1"/>
  <c r="BL56" i="6"/>
  <c r="BK56" i="6" s="1"/>
  <c r="BJ56" i="6" s="1"/>
  <c r="R56" i="6" s="1"/>
  <c r="BL172" i="6"/>
  <c r="BK172" i="6" s="1"/>
  <c r="BJ172" i="6" s="1"/>
  <c r="R172" i="6" s="1"/>
  <c r="BL276" i="6"/>
  <c r="BK276" i="6" s="1"/>
  <c r="BJ276" i="6" s="1"/>
  <c r="R276" i="6" s="1"/>
  <c r="BL455" i="6"/>
  <c r="BK455" i="6" s="1"/>
  <c r="BJ455" i="6" s="1"/>
  <c r="R455" i="6" s="1"/>
  <c r="BL74" i="6"/>
  <c r="BK74" i="6" s="1"/>
  <c r="BJ74" i="6" s="1"/>
  <c r="R74" i="6" s="1"/>
  <c r="BL78" i="6"/>
  <c r="BK78" i="6" s="1"/>
  <c r="BJ78" i="6" s="1"/>
  <c r="R78" i="6" s="1"/>
  <c r="BL221" i="6"/>
  <c r="BK221" i="6" s="1"/>
  <c r="BJ221" i="6" s="1"/>
  <c r="R221" i="6" s="1"/>
  <c r="BL325" i="6"/>
  <c r="BK325" i="6" s="1"/>
  <c r="BJ325" i="6" s="1"/>
  <c r="R325" i="6" s="1"/>
  <c r="BL423" i="6"/>
  <c r="BK423" i="6" s="1"/>
  <c r="BJ423" i="6" s="1"/>
  <c r="R423" i="6" s="1"/>
  <c r="BL208" i="6"/>
  <c r="BK208" i="6" s="1"/>
  <c r="BJ208" i="6" s="1"/>
  <c r="R208" i="6" s="1"/>
  <c r="BL415" i="6"/>
  <c r="BK415" i="6" s="1"/>
  <c r="BJ415" i="6" s="1"/>
  <c r="R415" i="6" s="1"/>
  <c r="BL435" i="6"/>
  <c r="BK435" i="6" s="1"/>
  <c r="BJ435" i="6" s="1"/>
  <c r="R435" i="6" s="1"/>
  <c r="AN460" i="6"/>
  <c r="AM460" i="6" s="1"/>
  <c r="I460" i="6" s="1"/>
  <c r="AN427" i="6"/>
  <c r="AM427" i="6" s="1"/>
  <c r="I427" i="6" s="1"/>
  <c r="AN402" i="6"/>
  <c r="AM402" i="6" s="1"/>
  <c r="I402" i="6" s="1"/>
  <c r="AN384" i="6"/>
  <c r="AM384" i="6" s="1"/>
  <c r="I384" i="6" s="1"/>
  <c r="AN359" i="6"/>
  <c r="AM359" i="6" s="1"/>
  <c r="I359" i="6" s="1"/>
  <c r="AN351" i="6"/>
  <c r="AM351" i="6" s="1"/>
  <c r="I351" i="6" s="1"/>
  <c r="AN328" i="6"/>
  <c r="AM328" i="6" s="1"/>
  <c r="I328" i="6" s="1"/>
  <c r="AN301" i="6"/>
  <c r="AM301" i="6" s="1"/>
  <c r="I301" i="6" s="1"/>
  <c r="AN310" i="6"/>
  <c r="AM310" i="6" s="1"/>
  <c r="I310" i="6" s="1"/>
  <c r="AN303" i="6"/>
  <c r="AM303" i="6" s="1"/>
  <c r="I303" i="6" s="1"/>
  <c r="AN247" i="6"/>
  <c r="AM247" i="6" s="1"/>
  <c r="I247" i="6" s="1"/>
  <c r="AN212" i="6"/>
  <c r="AM212" i="6" s="1"/>
  <c r="I212" i="6" s="1"/>
  <c r="AN246" i="6"/>
  <c r="AM246" i="6" s="1"/>
  <c r="I246" i="6" s="1"/>
  <c r="AN202" i="6"/>
  <c r="AM202" i="6" s="1"/>
  <c r="I202" i="6" s="1"/>
  <c r="AN178" i="6"/>
  <c r="AM178" i="6" s="1"/>
  <c r="I178" i="6" s="1"/>
  <c r="AN183" i="6"/>
  <c r="AM183" i="6" s="1"/>
  <c r="I183" i="6" s="1"/>
  <c r="AN139" i="6"/>
  <c r="AM139" i="6" s="1"/>
  <c r="I139" i="6" s="1"/>
  <c r="AN136" i="6"/>
  <c r="AM136" i="6" s="1"/>
  <c r="I136" i="6" s="1"/>
  <c r="AN119" i="6"/>
  <c r="AM119" i="6" s="1"/>
  <c r="I119" i="6" s="1"/>
  <c r="AN77" i="6"/>
  <c r="AM77" i="6" s="1"/>
  <c r="I77" i="6" s="1"/>
  <c r="AN97" i="6"/>
  <c r="AM97" i="6" s="1"/>
  <c r="I97" i="6" s="1"/>
  <c r="AN51" i="6"/>
  <c r="AM51" i="6" s="1"/>
  <c r="I51" i="6" s="1"/>
  <c r="AN31" i="6"/>
  <c r="AM31" i="6" s="1"/>
  <c r="I31" i="6" s="1"/>
  <c r="AN45" i="6"/>
  <c r="AM45" i="6" s="1"/>
  <c r="I45" i="6" s="1"/>
  <c r="AN25" i="6"/>
  <c r="AM25" i="6" s="1"/>
  <c r="I25" i="6" s="1"/>
  <c r="AN117" i="6"/>
  <c r="AM117" i="6" s="1"/>
  <c r="I117" i="6" s="1"/>
  <c r="AN300" i="6"/>
  <c r="AM300" i="6" s="1"/>
  <c r="I300" i="6" s="1"/>
  <c r="AN426" i="6"/>
  <c r="AM426" i="6" s="1"/>
  <c r="I426" i="6" s="1"/>
  <c r="AN92" i="6"/>
  <c r="AM92" i="6" s="1"/>
  <c r="I92" i="6" s="1"/>
  <c r="AN23" i="6"/>
  <c r="AM23" i="6" s="1"/>
  <c r="I23" i="6" s="1"/>
  <c r="AN193" i="6"/>
  <c r="AM193" i="6" s="1"/>
  <c r="I193" i="6" s="1"/>
  <c r="AN309" i="6"/>
  <c r="AM309" i="6" s="1"/>
  <c r="I309" i="6" s="1"/>
  <c r="AN432" i="6"/>
  <c r="AM432" i="6" s="1"/>
  <c r="I432" i="6" s="1"/>
  <c r="AN347" i="6"/>
  <c r="AM347" i="6" s="1"/>
  <c r="I347" i="6" s="1"/>
  <c r="AN403" i="6"/>
  <c r="AM403" i="6" s="1"/>
  <c r="I403" i="6" s="1"/>
  <c r="AN455" i="6"/>
  <c r="AM455" i="6" s="1"/>
  <c r="I455" i="6" s="1"/>
  <c r="AN56" i="6"/>
  <c r="AM56" i="6" s="1"/>
  <c r="I56" i="6" s="1"/>
  <c r="AN349" i="6"/>
  <c r="AM349" i="6" s="1"/>
  <c r="I349" i="6" s="1"/>
  <c r="AN465" i="6"/>
  <c r="AM465" i="6" s="1"/>
  <c r="I465" i="6" s="1"/>
  <c r="AN221" i="6"/>
  <c r="AM221" i="6" s="1"/>
  <c r="I221" i="6" s="1"/>
  <c r="AN40" i="6"/>
  <c r="AM40" i="6" s="1"/>
  <c r="I40" i="6" s="1"/>
  <c r="AN87" i="6"/>
  <c r="AM87" i="6" s="1"/>
  <c r="I87" i="6" s="1"/>
  <c r="AN198" i="6"/>
  <c r="AM198" i="6" s="1"/>
  <c r="I198" i="6" s="1"/>
  <c r="AN278" i="6"/>
  <c r="AM278" i="6" s="1"/>
  <c r="I278" i="6" s="1"/>
  <c r="AN248" i="6"/>
  <c r="AM248" i="6" s="1"/>
  <c r="I248" i="6" s="1"/>
  <c r="AN52" i="6"/>
  <c r="AM52" i="6" s="1"/>
  <c r="I52" i="6" s="1"/>
  <c r="AN166" i="6"/>
  <c r="AM166" i="6" s="1"/>
  <c r="I166" i="6" s="1"/>
  <c r="AN252" i="6"/>
  <c r="AM252" i="6" s="1"/>
  <c r="I252" i="6" s="1"/>
  <c r="AN331" i="6"/>
  <c r="AM331" i="6" s="1"/>
  <c r="I331" i="6" s="1"/>
  <c r="AN219" i="6"/>
  <c r="AM219" i="6" s="1"/>
  <c r="I219" i="6" s="1"/>
  <c r="AN462" i="6"/>
  <c r="AM462" i="6" s="1"/>
  <c r="I462" i="6" s="1"/>
  <c r="AN91" i="6"/>
  <c r="AM91" i="6" s="1"/>
  <c r="I91" i="6" s="1"/>
  <c r="AN251" i="6"/>
  <c r="AM251" i="6" s="1"/>
  <c r="I251" i="6" s="1"/>
  <c r="AN394" i="6"/>
  <c r="AM394" i="6" s="1"/>
  <c r="I394" i="6" s="1"/>
  <c r="AN456" i="6"/>
  <c r="AM456" i="6" s="1"/>
  <c r="I456" i="6" s="1"/>
  <c r="AN264" i="6"/>
  <c r="AM264" i="6" s="1"/>
  <c r="I264" i="6" s="1"/>
  <c r="AN355" i="6"/>
  <c r="AM355" i="6" s="1"/>
  <c r="I355" i="6" s="1"/>
  <c r="AN312" i="6"/>
  <c r="AM312" i="6" s="1"/>
  <c r="I312" i="6" s="1"/>
  <c r="AN454" i="6"/>
  <c r="AM454" i="6" s="1"/>
  <c r="I454" i="6" s="1"/>
  <c r="AN419" i="6"/>
  <c r="AM419" i="6" s="1"/>
  <c r="I419" i="6" s="1"/>
  <c r="AN409" i="6"/>
  <c r="AM409" i="6" s="1"/>
  <c r="I409" i="6" s="1"/>
  <c r="AN397" i="6"/>
  <c r="AM397" i="6" s="1"/>
  <c r="I397" i="6" s="1"/>
  <c r="AN377" i="6"/>
  <c r="AM377" i="6" s="1"/>
  <c r="I377" i="6" s="1"/>
  <c r="AN342" i="6"/>
  <c r="AM342" i="6" s="1"/>
  <c r="I342" i="6" s="1"/>
  <c r="AN327" i="6"/>
  <c r="AM327" i="6" s="1"/>
  <c r="I327" i="6" s="1"/>
  <c r="AN311" i="6"/>
  <c r="AM311" i="6" s="1"/>
  <c r="I311" i="6" s="1"/>
  <c r="AN297" i="6"/>
  <c r="AM297" i="6" s="1"/>
  <c r="I297" i="6" s="1"/>
  <c r="AN285" i="6"/>
  <c r="AM285" i="6" s="1"/>
  <c r="I285" i="6" s="1"/>
  <c r="AN318" i="6"/>
  <c r="AM318" i="6" s="1"/>
  <c r="I318" i="6" s="1"/>
  <c r="AN244" i="6"/>
  <c r="AM244" i="6" s="1"/>
  <c r="I244" i="6" s="1"/>
  <c r="AN207" i="6"/>
  <c r="AM207" i="6" s="1"/>
  <c r="I207" i="6" s="1"/>
  <c r="AN199" i="6"/>
  <c r="AM199" i="6" s="1"/>
  <c r="I199" i="6" s="1"/>
  <c r="AN170" i="6"/>
  <c r="AM170" i="6" s="1"/>
  <c r="I170" i="6" s="1"/>
  <c r="AN161" i="6"/>
  <c r="AM161" i="6" s="1"/>
  <c r="I161" i="6" s="1"/>
  <c r="AN131" i="6"/>
  <c r="AM131" i="6" s="1"/>
  <c r="I131" i="6" s="1"/>
  <c r="AN128" i="6"/>
  <c r="AM128" i="6" s="1"/>
  <c r="I128" i="6" s="1"/>
  <c r="AN165" i="6"/>
  <c r="AM165" i="6" s="1"/>
  <c r="I165" i="6" s="1"/>
  <c r="AN111" i="6"/>
  <c r="AM111" i="6" s="1"/>
  <c r="I111" i="6" s="1"/>
  <c r="AN89" i="6"/>
  <c r="AM89" i="6" s="1"/>
  <c r="I89" i="6" s="1"/>
  <c r="AN43" i="6"/>
  <c r="AM43" i="6" s="1"/>
  <c r="I43" i="6" s="1"/>
  <c r="AN69" i="6"/>
  <c r="AM69" i="6" s="1"/>
  <c r="I69" i="6" s="1"/>
  <c r="AN37" i="6"/>
  <c r="AM37" i="6" s="1"/>
  <c r="I37" i="6" s="1"/>
  <c r="AN15" i="6"/>
  <c r="AM15" i="6" s="1"/>
  <c r="I15" i="6" s="1"/>
  <c r="AN174" i="6"/>
  <c r="AM174" i="6" s="1"/>
  <c r="I174" i="6" s="1"/>
  <c r="AN341" i="6"/>
  <c r="AM341" i="6" s="1"/>
  <c r="I341" i="6" s="1"/>
  <c r="AN443" i="6"/>
  <c r="AM443" i="6" s="1"/>
  <c r="I443" i="6" s="1"/>
  <c r="AN105" i="6"/>
  <c r="AM105" i="6" s="1"/>
  <c r="I105" i="6" s="1"/>
  <c r="AN34" i="6"/>
  <c r="AM34" i="6" s="1"/>
  <c r="I34" i="6" s="1"/>
  <c r="AN181" i="6"/>
  <c r="AM181" i="6" s="1"/>
  <c r="I181" i="6" s="1"/>
  <c r="AN354" i="6"/>
  <c r="AM354" i="6" s="1"/>
  <c r="I354" i="6" s="1"/>
  <c r="AN459" i="6"/>
  <c r="AM459" i="6" s="1"/>
  <c r="I459" i="6" s="1"/>
  <c r="AN365" i="6"/>
  <c r="AM365" i="6" s="1"/>
  <c r="I365" i="6" s="1"/>
  <c r="AN413" i="6"/>
  <c r="AM413" i="6" s="1"/>
  <c r="I413" i="6" s="1"/>
  <c r="AN266" i="6"/>
  <c r="AM266" i="6" s="1"/>
  <c r="I266" i="6" s="1"/>
  <c r="AN62" i="6"/>
  <c r="AM62" i="6" s="1"/>
  <c r="I62" i="6" s="1"/>
  <c r="AN358" i="6"/>
  <c r="AM358" i="6" s="1"/>
  <c r="I358" i="6" s="1"/>
  <c r="AN382" i="6"/>
  <c r="AM382" i="6" s="1"/>
  <c r="I382" i="6" s="1"/>
  <c r="AN203" i="6"/>
  <c r="AM203" i="6" s="1"/>
  <c r="I203" i="6" s="1"/>
  <c r="AN33" i="6"/>
  <c r="AM33" i="6" s="1"/>
  <c r="I33" i="6" s="1"/>
  <c r="AN96" i="6"/>
  <c r="AM96" i="6" s="1"/>
  <c r="I96" i="6" s="1"/>
  <c r="AN201" i="6"/>
  <c r="AM201" i="6" s="1"/>
  <c r="I201" i="6" s="1"/>
  <c r="AN333" i="6"/>
  <c r="AM333" i="6" s="1"/>
  <c r="I333" i="6" s="1"/>
  <c r="AN320" i="6"/>
  <c r="AM320" i="6" s="1"/>
  <c r="I320" i="6" s="1"/>
  <c r="AN66" i="6"/>
  <c r="AM66" i="6" s="1"/>
  <c r="I66" i="6" s="1"/>
  <c r="AN154" i="6"/>
  <c r="AM154" i="6" s="1"/>
  <c r="I154" i="6" s="1"/>
  <c r="AN213" i="6"/>
  <c r="AM213" i="6" s="1"/>
  <c r="I213" i="6" s="1"/>
  <c r="AN407" i="6"/>
  <c r="AM407" i="6" s="1"/>
  <c r="I407" i="6" s="1"/>
  <c r="AN267" i="6"/>
  <c r="AM267" i="6" s="1"/>
  <c r="I267" i="6" s="1"/>
  <c r="AN469" i="6"/>
  <c r="AM469" i="6" s="1"/>
  <c r="AN80" i="6"/>
  <c r="AM80" i="6" s="1"/>
  <c r="I80" i="6" s="1"/>
  <c r="AN256" i="6"/>
  <c r="AM256" i="6" s="1"/>
  <c r="I256" i="6" s="1"/>
  <c r="AN414" i="6"/>
  <c r="AM414" i="6" s="1"/>
  <c r="I414" i="6" s="1"/>
  <c r="AN137" i="6"/>
  <c r="AM137" i="6" s="1"/>
  <c r="I137" i="6" s="1"/>
  <c r="AN283" i="6"/>
  <c r="AM283" i="6" s="1"/>
  <c r="I283" i="6" s="1"/>
  <c r="AN452" i="6"/>
  <c r="AM452" i="6" s="1"/>
  <c r="I452" i="6" s="1"/>
  <c r="AN468" i="6"/>
  <c r="AM468" i="6" s="1"/>
  <c r="I468" i="6" s="1"/>
  <c r="AN448" i="6"/>
  <c r="AM448" i="6" s="1"/>
  <c r="I448" i="6" s="1"/>
  <c r="AN431" i="6"/>
  <c r="AM431" i="6" s="1"/>
  <c r="I431" i="6" s="1"/>
  <c r="AN417" i="6"/>
  <c r="AM417" i="6" s="1"/>
  <c r="I417" i="6" s="1"/>
  <c r="AN405" i="6"/>
  <c r="AM405" i="6" s="1"/>
  <c r="I405" i="6" s="1"/>
  <c r="AN369" i="6"/>
  <c r="AM369" i="6" s="1"/>
  <c r="I369" i="6" s="1"/>
  <c r="AN334" i="6"/>
  <c r="AM334" i="6" s="1"/>
  <c r="I334" i="6" s="1"/>
  <c r="AN319" i="6"/>
  <c r="AM319" i="6" s="1"/>
  <c r="I319" i="6" s="1"/>
  <c r="AN326" i="6"/>
  <c r="AM326" i="6" s="1"/>
  <c r="I326" i="6" s="1"/>
  <c r="AN289" i="6"/>
  <c r="AM289" i="6" s="1"/>
  <c r="I289" i="6" s="1"/>
  <c r="AN265" i="6"/>
  <c r="AM265" i="6" s="1"/>
  <c r="I265" i="6" s="1"/>
  <c r="AN254" i="6"/>
  <c r="AM254" i="6" s="1"/>
  <c r="I254" i="6" s="1"/>
  <c r="AN239" i="6"/>
  <c r="AM239" i="6" s="1"/>
  <c r="I239" i="6" s="1"/>
  <c r="AN204" i="6"/>
  <c r="AM204" i="6" s="1"/>
  <c r="I204" i="6" s="1"/>
  <c r="AN191" i="6"/>
  <c r="AM191" i="6" s="1"/>
  <c r="I191" i="6" s="1"/>
  <c r="AN162" i="6"/>
  <c r="AM162" i="6" s="1"/>
  <c r="I162" i="6" s="1"/>
  <c r="AN153" i="6"/>
  <c r="AM153" i="6" s="1"/>
  <c r="I153" i="6" s="1"/>
  <c r="AN123" i="6"/>
  <c r="AM123" i="6" s="1"/>
  <c r="I123" i="6" s="1"/>
  <c r="AN120" i="6"/>
  <c r="AM120" i="6" s="1"/>
  <c r="I120" i="6" s="1"/>
  <c r="AN177" i="6"/>
  <c r="AM177" i="6" s="1"/>
  <c r="I177" i="6" s="1"/>
  <c r="AN106" i="6"/>
  <c r="AM106" i="6" s="1"/>
  <c r="I106" i="6" s="1"/>
  <c r="AN81" i="6"/>
  <c r="AM81" i="6" s="1"/>
  <c r="I81" i="6" s="1"/>
  <c r="AN61" i="6"/>
  <c r="AM61" i="6" s="1"/>
  <c r="I61" i="6" s="1"/>
  <c r="AN68" i="6"/>
  <c r="AM68" i="6" s="1"/>
  <c r="I68" i="6" s="1"/>
  <c r="AN20" i="6"/>
  <c r="AM20" i="6" s="1"/>
  <c r="I20" i="6" s="1"/>
  <c r="AN10" i="6"/>
  <c r="AM10" i="6" s="1"/>
  <c r="I10" i="6" s="1"/>
  <c r="AN156" i="6"/>
  <c r="AM156" i="6" s="1"/>
  <c r="I156" i="6" s="1"/>
  <c r="AN375" i="6"/>
  <c r="AM375" i="6" s="1"/>
  <c r="I375" i="6" s="1"/>
  <c r="AN26" i="6"/>
  <c r="AM26" i="6" s="1"/>
  <c r="I26" i="6" s="1"/>
  <c r="AN125" i="6"/>
  <c r="AM125" i="6" s="1"/>
  <c r="I125" i="6" s="1"/>
  <c r="AN74" i="6"/>
  <c r="AM74" i="6" s="1"/>
  <c r="I74" i="6" s="1"/>
  <c r="AN224" i="6"/>
  <c r="AM224" i="6" s="1"/>
  <c r="I224" i="6" s="1"/>
  <c r="AN385" i="6"/>
  <c r="AM385" i="6" s="1"/>
  <c r="I385" i="6" s="1"/>
  <c r="AN216" i="6"/>
  <c r="AM216" i="6" s="1"/>
  <c r="I216" i="6" s="1"/>
  <c r="AN404" i="6"/>
  <c r="AM404" i="6" s="1"/>
  <c r="I404" i="6" s="1"/>
  <c r="AN109" i="6"/>
  <c r="AM109" i="6" s="1"/>
  <c r="I109" i="6" s="1"/>
  <c r="AN296" i="6"/>
  <c r="AM296" i="6" s="1"/>
  <c r="I296" i="6" s="1"/>
  <c r="AN79" i="6"/>
  <c r="AM79" i="6" s="1"/>
  <c r="I79" i="6" s="1"/>
  <c r="AN376" i="6"/>
  <c r="AM376" i="6" s="1"/>
  <c r="I376" i="6" s="1"/>
  <c r="AN42" i="6"/>
  <c r="AM42" i="6" s="1"/>
  <c r="I42" i="6" s="1"/>
  <c r="AN234" i="6"/>
  <c r="AM234" i="6" s="1"/>
  <c r="I234" i="6" s="1"/>
  <c r="AN57" i="6"/>
  <c r="AM57" i="6" s="1"/>
  <c r="I57" i="6" s="1"/>
  <c r="AN141" i="6"/>
  <c r="AM141" i="6" s="1"/>
  <c r="I141" i="6" s="1"/>
  <c r="AN208" i="6"/>
  <c r="AM208" i="6" s="1"/>
  <c r="I208" i="6" s="1"/>
  <c r="AN352" i="6"/>
  <c r="AM352" i="6" s="1"/>
  <c r="I352" i="6" s="1"/>
  <c r="AN346" i="6"/>
  <c r="AM346" i="6" s="1"/>
  <c r="I346" i="6" s="1"/>
  <c r="AN83" i="6"/>
  <c r="AM83" i="6" s="1"/>
  <c r="I83" i="6" s="1"/>
  <c r="AN164" i="6"/>
  <c r="AM164" i="6" s="1"/>
  <c r="I164" i="6" s="1"/>
  <c r="AN210" i="6"/>
  <c r="AM210" i="6" s="1"/>
  <c r="I210" i="6" s="1"/>
  <c r="AN434" i="6"/>
  <c r="AM434" i="6" s="1"/>
  <c r="I434" i="6" s="1"/>
  <c r="AN315" i="6"/>
  <c r="AM315" i="6" s="1"/>
  <c r="I315" i="6" s="1"/>
  <c r="AN395" i="6"/>
  <c r="AM395" i="6" s="1"/>
  <c r="I395" i="6" s="1"/>
  <c r="AN110" i="6"/>
  <c r="AM110" i="6" s="1"/>
  <c r="I110" i="6" s="1"/>
  <c r="AN249" i="6"/>
  <c r="AM249" i="6" s="1"/>
  <c r="I249" i="6" s="1"/>
  <c r="AN433" i="6"/>
  <c r="AM433" i="6" s="1"/>
  <c r="I433" i="6" s="1"/>
  <c r="AN149" i="6"/>
  <c r="AM149" i="6" s="1"/>
  <c r="I149" i="6" s="1"/>
  <c r="AN325" i="6"/>
  <c r="AM325" i="6" s="1"/>
  <c r="I325" i="6" s="1"/>
  <c r="AN449" i="6"/>
  <c r="AM449" i="6" s="1"/>
  <c r="I449" i="6" s="1"/>
  <c r="AN446" i="6"/>
  <c r="AM446" i="6" s="1"/>
  <c r="I446" i="6" s="1"/>
  <c r="AN430" i="6"/>
  <c r="AM430" i="6" s="1"/>
  <c r="I430" i="6" s="1"/>
  <c r="AN416" i="6"/>
  <c r="AM416" i="6" s="1"/>
  <c r="I416" i="6" s="1"/>
  <c r="AN396" i="6"/>
  <c r="AM396" i="6" s="1"/>
  <c r="I396" i="6" s="1"/>
  <c r="AN368" i="6"/>
  <c r="AM368" i="6" s="1"/>
  <c r="I368" i="6" s="1"/>
  <c r="AN348" i="6"/>
  <c r="AM348" i="6" s="1"/>
  <c r="I348" i="6" s="1"/>
  <c r="AN336" i="6"/>
  <c r="AM336" i="6" s="1"/>
  <c r="I336" i="6" s="1"/>
  <c r="AN314" i="6"/>
  <c r="AM314" i="6" s="1"/>
  <c r="I314" i="6" s="1"/>
  <c r="AN308" i="6"/>
  <c r="AM308" i="6" s="1"/>
  <c r="I308" i="6" s="1"/>
  <c r="AN287" i="6"/>
  <c r="AM287" i="6" s="1"/>
  <c r="I287" i="6" s="1"/>
  <c r="AN270" i="6"/>
  <c r="AM270" i="6" s="1"/>
  <c r="I270" i="6" s="1"/>
  <c r="AN235" i="6"/>
  <c r="AM235" i="6" s="1"/>
  <c r="I235" i="6" s="1"/>
  <c r="AN233" i="6"/>
  <c r="AM233" i="6" s="1"/>
  <c r="I233" i="6" s="1"/>
  <c r="AN188" i="6"/>
  <c r="AM188" i="6" s="1"/>
  <c r="I188" i="6" s="1"/>
  <c r="AN182" i="6"/>
  <c r="AM182" i="6" s="1"/>
  <c r="I182" i="6" s="1"/>
  <c r="AN140" i="6"/>
  <c r="AM140" i="6" s="1"/>
  <c r="I140" i="6" s="1"/>
  <c r="AN157" i="6"/>
  <c r="AM157" i="6" s="1"/>
  <c r="I157" i="6" s="1"/>
  <c r="AN112" i="6"/>
  <c r="AM112" i="6" s="1"/>
  <c r="I112" i="6" s="1"/>
  <c r="AN114" i="6"/>
  <c r="AM114" i="6" s="1"/>
  <c r="I114" i="6" s="1"/>
  <c r="AN98" i="6"/>
  <c r="AM98" i="6" s="1"/>
  <c r="I98" i="6" s="1"/>
  <c r="AN73" i="6"/>
  <c r="AM73" i="6" s="1"/>
  <c r="I73" i="6" s="1"/>
  <c r="AN65" i="6"/>
  <c r="AM65" i="6" s="1"/>
  <c r="I65" i="6" s="1"/>
  <c r="AN63" i="6"/>
  <c r="AM63" i="6" s="1"/>
  <c r="I63" i="6" s="1"/>
  <c r="AN12" i="6"/>
  <c r="AM12" i="6" s="1"/>
  <c r="I12" i="6" s="1"/>
  <c r="AN22" i="6"/>
  <c r="AM22" i="6" s="1"/>
  <c r="I22" i="6" s="1"/>
  <c r="AN189" i="6"/>
  <c r="AM189" i="6" s="1"/>
  <c r="I189" i="6" s="1"/>
  <c r="AN383" i="6"/>
  <c r="AM383" i="6" s="1"/>
  <c r="I383" i="6" s="1"/>
  <c r="AN103" i="6"/>
  <c r="AM103" i="6" s="1"/>
  <c r="I103" i="6" s="1"/>
  <c r="AN218" i="6"/>
  <c r="AM218" i="6" s="1"/>
  <c r="I218" i="6" s="1"/>
  <c r="AN38" i="6"/>
  <c r="AM38" i="6" s="1"/>
  <c r="I38" i="6" s="1"/>
  <c r="AN259" i="6"/>
  <c r="AM259" i="6" s="1"/>
  <c r="I259" i="6" s="1"/>
  <c r="AN390" i="6"/>
  <c r="AM390" i="6" s="1"/>
  <c r="I390" i="6" s="1"/>
  <c r="AN261" i="6"/>
  <c r="AM261" i="6" s="1"/>
  <c r="I261" i="6" s="1"/>
  <c r="AN387" i="6"/>
  <c r="AM387" i="6" s="1"/>
  <c r="I387" i="6" s="1"/>
  <c r="AN195" i="6"/>
  <c r="AM195" i="6" s="1"/>
  <c r="I195" i="6" s="1"/>
  <c r="AN330" i="6"/>
  <c r="AM330" i="6" s="1"/>
  <c r="I330" i="6" s="1"/>
  <c r="AN126" i="6"/>
  <c r="AM126" i="6" s="1"/>
  <c r="I126" i="6" s="1"/>
  <c r="AN412" i="6"/>
  <c r="AM412" i="6" s="1"/>
  <c r="I412" i="6" s="1"/>
  <c r="AN71" i="6"/>
  <c r="AM71" i="6" s="1"/>
  <c r="I71" i="6" s="1"/>
  <c r="AN243" i="6"/>
  <c r="AM243" i="6" s="1"/>
  <c r="I243" i="6" s="1"/>
  <c r="AN32" i="6"/>
  <c r="AM32" i="6" s="1"/>
  <c r="I32" i="6" s="1"/>
  <c r="AN134" i="6"/>
  <c r="AM134" i="6" s="1"/>
  <c r="I134" i="6" s="1"/>
  <c r="AN291" i="6"/>
  <c r="AM291" i="6" s="1"/>
  <c r="I291" i="6" s="1"/>
  <c r="AN350" i="6"/>
  <c r="AM350" i="6" s="1"/>
  <c r="I350" i="6" s="1"/>
  <c r="AN386" i="6"/>
  <c r="AM386" i="6" s="1"/>
  <c r="I386" i="6" s="1"/>
  <c r="AN78" i="6"/>
  <c r="AM78" i="6" s="1"/>
  <c r="I78" i="6" s="1"/>
  <c r="AN194" i="6"/>
  <c r="AM194" i="6" s="1"/>
  <c r="I194" i="6" s="1"/>
  <c r="AN258" i="6"/>
  <c r="AM258" i="6" s="1"/>
  <c r="I258" i="6" s="1"/>
  <c r="AN453" i="6"/>
  <c r="AM453" i="6" s="1"/>
  <c r="I453" i="6" s="1"/>
  <c r="AN344" i="6"/>
  <c r="AM344" i="6" s="1"/>
  <c r="I344" i="6" s="1"/>
  <c r="AN28" i="6"/>
  <c r="AM28" i="6" s="1"/>
  <c r="I28" i="6" s="1"/>
  <c r="AN148" i="6"/>
  <c r="AM148" i="6" s="1"/>
  <c r="I148" i="6" s="1"/>
  <c r="AN275" i="6"/>
  <c r="AM275" i="6" s="1"/>
  <c r="I275" i="6" s="1"/>
  <c r="AN442" i="6"/>
  <c r="AM442" i="6" s="1"/>
  <c r="I442" i="6" s="1"/>
  <c r="AN168" i="6"/>
  <c r="AM168" i="6" s="1"/>
  <c r="I168" i="6" s="1"/>
  <c r="AN304" i="6"/>
  <c r="AM304" i="6" s="1"/>
  <c r="I304" i="6" s="1"/>
  <c r="AN450" i="6"/>
  <c r="AM450" i="6" s="1"/>
  <c r="I450" i="6" s="1"/>
  <c r="AN466" i="6"/>
  <c r="AM466" i="6" s="1"/>
  <c r="I466" i="6" s="1"/>
  <c r="AN438" i="6"/>
  <c r="AM438" i="6" s="1"/>
  <c r="I438" i="6" s="1"/>
  <c r="AN428" i="6"/>
  <c r="AM428" i="6" s="1"/>
  <c r="I428" i="6" s="1"/>
  <c r="AN411" i="6"/>
  <c r="AM411" i="6" s="1"/>
  <c r="I411" i="6" s="1"/>
  <c r="AN388" i="6"/>
  <c r="AM388" i="6" s="1"/>
  <c r="I388" i="6" s="1"/>
  <c r="AN356" i="6"/>
  <c r="AM356" i="6" s="1"/>
  <c r="I356" i="6" s="1"/>
  <c r="AN353" i="6"/>
  <c r="AM353" i="6" s="1"/>
  <c r="I353" i="6" s="1"/>
  <c r="AN324" i="6"/>
  <c r="AM324" i="6" s="1"/>
  <c r="I324" i="6" s="1"/>
  <c r="AN298" i="6"/>
  <c r="AM298" i="6" s="1"/>
  <c r="I298" i="6" s="1"/>
  <c r="AN280" i="6"/>
  <c r="AM280" i="6" s="1"/>
  <c r="I280" i="6" s="1"/>
  <c r="AN277" i="6"/>
  <c r="AM277" i="6" s="1"/>
  <c r="I277" i="6" s="1"/>
  <c r="AN262" i="6"/>
  <c r="AM262" i="6" s="1"/>
  <c r="I262" i="6" s="1"/>
  <c r="AN227" i="6"/>
  <c r="AM227" i="6" s="1"/>
  <c r="I227" i="6" s="1"/>
  <c r="AN225" i="6"/>
  <c r="AM225" i="6" s="1"/>
  <c r="I225" i="6" s="1"/>
  <c r="AN179" i="6"/>
  <c r="AM179" i="6" s="1"/>
  <c r="I179" i="6" s="1"/>
  <c r="AN175" i="6"/>
  <c r="AM175" i="6" s="1"/>
  <c r="I175" i="6" s="1"/>
  <c r="AN132" i="6"/>
  <c r="AM132" i="6" s="1"/>
  <c r="I132" i="6" s="1"/>
  <c r="AN147" i="6"/>
  <c r="AM147" i="6" s="1"/>
  <c r="I147" i="6" s="1"/>
  <c r="AN150" i="6"/>
  <c r="AM150" i="6" s="1"/>
  <c r="I150" i="6" s="1"/>
  <c r="AN107" i="6"/>
  <c r="AM107" i="6" s="1"/>
  <c r="I107" i="6" s="1"/>
  <c r="AN138" i="6"/>
  <c r="AM138" i="6" s="1"/>
  <c r="I138" i="6" s="1"/>
  <c r="AN104" i="6"/>
  <c r="AM104" i="6" s="1"/>
  <c r="I104" i="6" s="1"/>
  <c r="AN49" i="6"/>
  <c r="AM49" i="6" s="1"/>
  <c r="I49" i="6" s="1"/>
  <c r="AN54" i="6"/>
  <c r="AM54" i="6" s="1"/>
  <c r="I54" i="6" s="1"/>
  <c r="AN29" i="6"/>
  <c r="AM29" i="6" s="1"/>
  <c r="I29" i="6" s="1"/>
  <c r="AN36" i="6"/>
  <c r="AM36" i="6" s="1"/>
  <c r="I36" i="6" s="1"/>
  <c r="AN214" i="6"/>
  <c r="AM214" i="6" s="1"/>
  <c r="I214" i="6" s="1"/>
  <c r="AN408" i="6"/>
  <c r="AM408" i="6" s="1"/>
  <c r="I408" i="6" s="1"/>
  <c r="AN253" i="6"/>
  <c r="AM253" i="6" s="1"/>
  <c r="I253" i="6" s="1"/>
  <c r="AN240" i="6"/>
  <c r="AM240" i="6" s="1"/>
  <c r="I240" i="6" s="1"/>
  <c r="AN90" i="6"/>
  <c r="AM90" i="6" s="1"/>
  <c r="I90" i="6" s="1"/>
  <c r="AN279" i="6"/>
  <c r="AM279" i="6" s="1"/>
  <c r="I279" i="6" s="1"/>
  <c r="AN391" i="6"/>
  <c r="AM391" i="6" s="1"/>
  <c r="I391" i="6" s="1"/>
  <c r="AN281" i="6"/>
  <c r="AM281" i="6" s="1"/>
  <c r="I281" i="6" s="1"/>
  <c r="AN401" i="6"/>
  <c r="AM401" i="6" s="1"/>
  <c r="I401" i="6" s="1"/>
  <c r="AN229" i="6"/>
  <c r="AM229" i="6" s="1"/>
  <c r="I229" i="6" s="1"/>
  <c r="AN339" i="6"/>
  <c r="AM339" i="6" s="1"/>
  <c r="I339" i="6" s="1"/>
  <c r="AN172" i="6"/>
  <c r="AM172" i="6" s="1"/>
  <c r="I172" i="6" s="1"/>
  <c r="AN410" i="6"/>
  <c r="AM410" i="6" s="1"/>
  <c r="I410" i="6" s="1"/>
  <c r="AN76" i="6"/>
  <c r="AM76" i="6" s="1"/>
  <c r="I76" i="6" s="1"/>
  <c r="AN378" i="6"/>
  <c r="AM378" i="6" s="1"/>
  <c r="I378" i="6" s="1"/>
  <c r="AN48" i="6"/>
  <c r="AM48" i="6" s="1"/>
  <c r="I48" i="6" s="1"/>
  <c r="AN144" i="6"/>
  <c r="AM144" i="6" s="1"/>
  <c r="I144" i="6" s="1"/>
  <c r="AN268" i="6"/>
  <c r="AM268" i="6" s="1"/>
  <c r="I268" i="6" s="1"/>
  <c r="AN367" i="6"/>
  <c r="AM367" i="6" s="1"/>
  <c r="I367" i="6" s="1"/>
  <c r="AN39" i="6"/>
  <c r="AM39" i="6" s="1"/>
  <c r="I39" i="6" s="1"/>
  <c r="AN86" i="6"/>
  <c r="AM86" i="6" s="1"/>
  <c r="I86" i="6" s="1"/>
  <c r="AN190" i="6"/>
  <c r="AM190" i="6" s="1"/>
  <c r="I190" i="6" s="1"/>
  <c r="AN273" i="6"/>
  <c r="AM273" i="6" s="1"/>
  <c r="I273" i="6" s="1"/>
  <c r="AN55" i="6"/>
  <c r="AM55" i="6" s="1"/>
  <c r="I55" i="6" s="1"/>
  <c r="AN381" i="6"/>
  <c r="AM381" i="6" s="1"/>
  <c r="I381" i="6" s="1"/>
  <c r="AN302" i="6"/>
  <c r="AM302" i="6" s="1"/>
  <c r="I302" i="6" s="1"/>
  <c r="AN160" i="6"/>
  <c r="AM160" i="6" s="1"/>
  <c r="I160" i="6" s="1"/>
  <c r="AN317" i="6"/>
  <c r="AM317" i="6" s="1"/>
  <c r="I317" i="6" s="1"/>
  <c r="AN439" i="6"/>
  <c r="AM439" i="6" s="1"/>
  <c r="I439" i="6" s="1"/>
  <c r="AN237" i="6"/>
  <c r="AM237" i="6" s="1"/>
  <c r="I237" i="6" s="1"/>
  <c r="AN335" i="6"/>
  <c r="AM335" i="6" s="1"/>
  <c r="I335" i="6" s="1"/>
  <c r="AN72" i="6"/>
  <c r="AM72" i="6" s="1"/>
  <c r="I72" i="6" s="1"/>
  <c r="AN461" i="6"/>
  <c r="AM461" i="6" s="1"/>
  <c r="I461" i="6" s="1"/>
  <c r="AN441" i="6"/>
  <c r="AM441" i="6" s="1"/>
  <c r="I441" i="6" s="1"/>
  <c r="AN425" i="6"/>
  <c r="AM425" i="6" s="1"/>
  <c r="I425" i="6" s="1"/>
  <c r="AN406" i="6"/>
  <c r="AM406" i="6" s="1"/>
  <c r="I406" i="6" s="1"/>
  <c r="AN374" i="6"/>
  <c r="AM374" i="6" s="1"/>
  <c r="I374" i="6" s="1"/>
  <c r="AN366" i="6"/>
  <c r="AM366" i="6" s="1"/>
  <c r="I366" i="6" s="1"/>
  <c r="AN345" i="6"/>
  <c r="AM345" i="6" s="1"/>
  <c r="I345" i="6" s="1"/>
  <c r="AN316" i="6"/>
  <c r="AM316" i="6" s="1"/>
  <c r="I316" i="6" s="1"/>
  <c r="AN290" i="6"/>
  <c r="AM290" i="6" s="1"/>
  <c r="I290" i="6" s="1"/>
  <c r="AN307" i="6"/>
  <c r="AM307" i="6" s="1"/>
  <c r="I307" i="6" s="1"/>
  <c r="AN271" i="6"/>
  <c r="AM271" i="6" s="1"/>
  <c r="I271" i="6" s="1"/>
  <c r="AN236" i="6"/>
  <c r="AM236" i="6" s="1"/>
  <c r="I236" i="6" s="1"/>
  <c r="AN274" i="6"/>
  <c r="AM274" i="6" s="1"/>
  <c r="I274" i="6" s="1"/>
  <c r="AN209" i="6"/>
  <c r="AM209" i="6" s="1"/>
  <c r="I209" i="6" s="1"/>
  <c r="AN171" i="6"/>
  <c r="AM171" i="6" s="1"/>
  <c r="I171" i="6" s="1"/>
  <c r="AN167" i="6"/>
  <c r="AM167" i="6" s="1"/>
  <c r="I167" i="6" s="1"/>
  <c r="AN124" i="6"/>
  <c r="AM124" i="6" s="1"/>
  <c r="I124" i="6" s="1"/>
  <c r="AN151" i="6"/>
  <c r="AM151" i="6" s="1"/>
  <c r="I151" i="6" s="1"/>
  <c r="AN145" i="6"/>
  <c r="AM145" i="6" s="1"/>
  <c r="I145" i="6" s="1"/>
  <c r="AN102" i="6"/>
  <c r="AM102" i="6" s="1"/>
  <c r="I102" i="6" s="1"/>
  <c r="AN130" i="6"/>
  <c r="AM130" i="6" s="1"/>
  <c r="I130" i="6" s="1"/>
  <c r="AN118" i="6"/>
  <c r="AM118" i="6" s="1"/>
  <c r="I118" i="6" s="1"/>
  <c r="AN41" i="6"/>
  <c r="AM41" i="6" s="1"/>
  <c r="I41" i="6" s="1"/>
  <c r="AN46" i="6"/>
  <c r="AM46" i="6" s="1"/>
  <c r="I46" i="6" s="1"/>
  <c r="AN19" i="6"/>
  <c r="AM19" i="6" s="1"/>
  <c r="I19" i="6" s="1"/>
  <c r="AN11" i="6"/>
  <c r="AM11" i="6" s="1"/>
  <c r="I11" i="6" s="1"/>
  <c r="AN222" i="6"/>
  <c r="AM222" i="6" s="1"/>
  <c r="I222" i="6" s="1"/>
  <c r="AN400" i="6"/>
  <c r="AM400" i="6" s="1"/>
  <c r="I400" i="6" s="1"/>
  <c r="AN467" i="6"/>
  <c r="AM467" i="6" s="1"/>
  <c r="I467" i="6" s="1"/>
  <c r="AN372" i="6"/>
  <c r="AM372" i="6" s="1"/>
  <c r="I372" i="6" s="1"/>
  <c r="AN99" i="6"/>
  <c r="AM99" i="6" s="1"/>
  <c r="I99" i="6" s="1"/>
  <c r="AN242" i="6"/>
  <c r="AM242" i="6" s="1"/>
  <c r="I242" i="6" s="1"/>
  <c r="AN393" i="6"/>
  <c r="AM393" i="6" s="1"/>
  <c r="I393" i="6" s="1"/>
  <c r="AN299" i="6"/>
  <c r="AM299" i="6" s="1"/>
  <c r="I299" i="6" s="1"/>
  <c r="AN470" i="6"/>
  <c r="AM470" i="6" s="1"/>
  <c r="AN260" i="6"/>
  <c r="AM260" i="6" s="1"/>
  <c r="I260" i="6" s="1"/>
  <c r="AN13" i="6"/>
  <c r="AM13" i="6" s="1"/>
  <c r="I13" i="6" s="1"/>
  <c r="AN200" i="6"/>
  <c r="AM200" i="6" s="1"/>
  <c r="I200" i="6" s="1"/>
  <c r="AN436" i="6"/>
  <c r="AM436" i="6" s="1"/>
  <c r="I436" i="6" s="1"/>
  <c r="AN88" i="6"/>
  <c r="AM88" i="6" s="1"/>
  <c r="I88" i="6" s="1"/>
  <c r="AN435" i="6"/>
  <c r="AM435" i="6" s="1"/>
  <c r="I435" i="6" s="1"/>
  <c r="AN53" i="6"/>
  <c r="AM53" i="6" s="1"/>
  <c r="I53" i="6" s="1"/>
  <c r="AN142" i="6"/>
  <c r="AM142" i="6" s="1"/>
  <c r="I142" i="6" s="1"/>
  <c r="AN250" i="6"/>
  <c r="AM250" i="6" s="1"/>
  <c r="I250" i="6" s="1"/>
  <c r="AN424" i="6"/>
  <c r="AM424" i="6" s="1"/>
  <c r="I424" i="6" s="1"/>
  <c r="AN292" i="6"/>
  <c r="AM292" i="6" s="1"/>
  <c r="I292" i="6" s="1"/>
  <c r="AN94" i="6"/>
  <c r="AM94" i="6" s="1"/>
  <c r="I94" i="6" s="1"/>
  <c r="AN186" i="6"/>
  <c r="AM186" i="6" s="1"/>
  <c r="I186" i="6" s="1"/>
  <c r="AN321" i="6"/>
  <c r="AM321" i="6" s="1"/>
  <c r="I321" i="6" s="1"/>
  <c r="AN176" i="6"/>
  <c r="AM176" i="6" s="1"/>
  <c r="I176" i="6" s="1"/>
  <c r="AN380" i="6"/>
  <c r="AM380" i="6" s="1"/>
  <c r="I380" i="6" s="1"/>
  <c r="AN152" i="6"/>
  <c r="AM152" i="6" s="1"/>
  <c r="I152" i="6" s="1"/>
  <c r="AN180" i="6"/>
  <c r="AM180" i="6" s="1"/>
  <c r="I180" i="6" s="1"/>
  <c r="AN332" i="6"/>
  <c r="AM332" i="6" s="1"/>
  <c r="I332" i="6" s="1"/>
  <c r="AN447" i="6"/>
  <c r="AM447" i="6" s="1"/>
  <c r="I447" i="6" s="1"/>
  <c r="AN231" i="6"/>
  <c r="AM231" i="6" s="1"/>
  <c r="I231" i="6" s="1"/>
  <c r="AN329" i="6"/>
  <c r="AM329" i="6" s="1"/>
  <c r="I329" i="6" s="1"/>
  <c r="AN101" i="6"/>
  <c r="AM101" i="6" s="1"/>
  <c r="I101" i="6" s="1"/>
  <c r="AN463" i="6"/>
  <c r="AM463" i="6" s="1"/>
  <c r="I463" i="6" s="1"/>
  <c r="AN437" i="6"/>
  <c r="AM437" i="6" s="1"/>
  <c r="I437" i="6" s="1"/>
  <c r="AN415" i="6"/>
  <c r="AM415" i="6" s="1"/>
  <c r="I415" i="6" s="1"/>
  <c r="AN398" i="6"/>
  <c r="AM398" i="6" s="1"/>
  <c r="I398" i="6" s="1"/>
  <c r="AN379" i="6"/>
  <c r="AM379" i="6" s="1"/>
  <c r="I379" i="6" s="1"/>
  <c r="AN371" i="6"/>
  <c r="AM371" i="6" s="1"/>
  <c r="I371" i="6" s="1"/>
  <c r="AN340" i="6"/>
  <c r="AM340" i="6" s="1"/>
  <c r="I340" i="6" s="1"/>
  <c r="AN322" i="6"/>
  <c r="AM322" i="6" s="1"/>
  <c r="I322" i="6" s="1"/>
  <c r="AN282" i="6"/>
  <c r="AM282" i="6" s="1"/>
  <c r="I282" i="6" s="1"/>
  <c r="AN293" i="6"/>
  <c r="AM293" i="6" s="1"/>
  <c r="I293" i="6" s="1"/>
  <c r="AN263" i="6"/>
  <c r="AM263" i="6" s="1"/>
  <c r="I263" i="6" s="1"/>
  <c r="AN228" i="6"/>
  <c r="AM228" i="6" s="1"/>
  <c r="I228" i="6" s="1"/>
  <c r="AN223" i="6"/>
  <c r="AM223" i="6" s="1"/>
  <c r="I223" i="6" s="1"/>
  <c r="AN215" i="6"/>
  <c r="AM215" i="6" s="1"/>
  <c r="I215" i="6" s="1"/>
  <c r="AN163" i="6"/>
  <c r="AM163" i="6" s="1"/>
  <c r="I163" i="6" s="1"/>
  <c r="AN159" i="6"/>
  <c r="AM159" i="6" s="1"/>
  <c r="I159" i="6" s="1"/>
  <c r="AN116" i="6"/>
  <c r="AM116" i="6" s="1"/>
  <c r="I116" i="6" s="1"/>
  <c r="AN169" i="6"/>
  <c r="AM169" i="6" s="1"/>
  <c r="I169" i="6" s="1"/>
  <c r="AN135" i="6"/>
  <c r="AM135" i="6" s="1"/>
  <c r="I135" i="6" s="1"/>
  <c r="AN93" i="6"/>
  <c r="AM93" i="6" s="1"/>
  <c r="I93" i="6" s="1"/>
  <c r="AN122" i="6"/>
  <c r="AM122" i="6" s="1"/>
  <c r="I122" i="6" s="1"/>
  <c r="AN115" i="6"/>
  <c r="AM115" i="6" s="1"/>
  <c r="I115" i="6" s="1"/>
  <c r="AN64" i="6"/>
  <c r="AM64" i="6" s="1"/>
  <c r="I64" i="6" s="1"/>
  <c r="AN30" i="6"/>
  <c r="AM30" i="6" s="1"/>
  <c r="I30" i="6" s="1"/>
  <c r="AN16" i="6"/>
  <c r="AM16" i="6" s="1"/>
  <c r="I16" i="6" s="1"/>
  <c r="AN82" i="6"/>
  <c r="AM82" i="6" s="1"/>
  <c r="I82" i="6" s="1"/>
  <c r="AN284" i="6"/>
  <c r="AM284" i="6" s="1"/>
  <c r="I284" i="6" s="1"/>
  <c r="AN420" i="6"/>
  <c r="AM420" i="6" s="1"/>
  <c r="I420" i="6" s="1"/>
  <c r="AN9" i="6"/>
  <c r="AM9" i="6" s="1"/>
  <c r="I9" i="6" s="1"/>
  <c r="AN17" i="6"/>
  <c r="AM17" i="6" s="1"/>
  <c r="I17" i="6" s="1"/>
  <c r="AN121" i="6"/>
  <c r="AM121" i="6" s="1"/>
  <c r="I121" i="6" s="1"/>
  <c r="AN245" i="6"/>
  <c r="AM245" i="6" s="1"/>
  <c r="I245" i="6" s="1"/>
  <c r="AN399" i="6"/>
  <c r="AM399" i="6" s="1"/>
  <c r="I399" i="6" s="1"/>
  <c r="AN337" i="6"/>
  <c r="AM337" i="6" s="1"/>
  <c r="I337" i="6" s="1"/>
  <c r="AN364" i="6"/>
  <c r="AM364" i="6" s="1"/>
  <c r="I364" i="6" s="1"/>
  <c r="AN323" i="6"/>
  <c r="AM323" i="6" s="1"/>
  <c r="I323" i="6" s="1"/>
  <c r="AN24" i="6"/>
  <c r="AM24" i="6" s="1"/>
  <c r="I24" i="6" s="1"/>
  <c r="AN230" i="6"/>
  <c r="AM230" i="6" s="1"/>
  <c r="I230" i="6" s="1"/>
  <c r="AN445" i="6"/>
  <c r="AM445" i="6" s="1"/>
  <c r="I445" i="6" s="1"/>
  <c r="AN113" i="6"/>
  <c r="AM113" i="6" s="1"/>
  <c r="I113" i="6" s="1"/>
  <c r="AN18" i="6"/>
  <c r="AM18" i="6" s="1"/>
  <c r="I18" i="6" s="1"/>
  <c r="AN58" i="6"/>
  <c r="AM58" i="6" s="1"/>
  <c r="I58" i="6" s="1"/>
  <c r="AN158" i="6"/>
  <c r="AM158" i="6" s="1"/>
  <c r="I158" i="6" s="1"/>
  <c r="AN241" i="6"/>
  <c r="AM241" i="6" s="1"/>
  <c r="I241" i="6" s="1"/>
  <c r="AN457" i="6"/>
  <c r="AM457" i="6" s="1"/>
  <c r="I457" i="6" s="1"/>
  <c r="AN60" i="6"/>
  <c r="AM60" i="6" s="1"/>
  <c r="I60" i="6" s="1"/>
  <c r="AN95" i="6"/>
  <c r="AM95" i="6" s="1"/>
  <c r="I95" i="6" s="1"/>
  <c r="AN206" i="6"/>
  <c r="AM206" i="6" s="1"/>
  <c r="I206" i="6" s="1"/>
  <c r="AN276" i="6"/>
  <c r="AM276" i="6" s="1"/>
  <c r="I276" i="6" s="1"/>
  <c r="AN238" i="6"/>
  <c r="AM238" i="6" s="1"/>
  <c r="I238" i="6" s="1"/>
  <c r="AN389" i="6"/>
  <c r="AM389" i="6" s="1"/>
  <c r="I389" i="6" s="1"/>
  <c r="AN35" i="6"/>
  <c r="AM35" i="6" s="1"/>
  <c r="I35" i="6" s="1"/>
  <c r="AN185" i="6"/>
  <c r="AM185" i="6" s="1"/>
  <c r="I185" i="6" s="1"/>
  <c r="AN357" i="6"/>
  <c r="AM357" i="6" s="1"/>
  <c r="I357" i="6" s="1"/>
  <c r="AN458" i="6"/>
  <c r="AM458" i="6" s="1"/>
  <c r="I458" i="6" s="1"/>
  <c r="AN269" i="6"/>
  <c r="AM269" i="6" s="1"/>
  <c r="I269" i="6" s="1"/>
  <c r="AN338" i="6"/>
  <c r="AM338" i="6" s="1"/>
  <c r="I338" i="6" s="1"/>
  <c r="AN192" i="6"/>
  <c r="AM192" i="6" s="1"/>
  <c r="I192" i="6" s="1"/>
  <c r="AN464" i="6"/>
  <c r="AM464" i="6" s="1"/>
  <c r="I464" i="6" s="1"/>
  <c r="AN429" i="6"/>
  <c r="AM429" i="6" s="1"/>
  <c r="I429" i="6" s="1"/>
  <c r="AN421" i="6"/>
  <c r="AM421" i="6" s="1"/>
  <c r="I421" i="6" s="1"/>
  <c r="AN392" i="6"/>
  <c r="AM392" i="6" s="1"/>
  <c r="I392" i="6" s="1"/>
  <c r="AN361" i="6"/>
  <c r="AM361" i="6" s="1"/>
  <c r="I361" i="6" s="1"/>
  <c r="AN363" i="6"/>
  <c r="AM363" i="6" s="1"/>
  <c r="I363" i="6" s="1"/>
  <c r="AN362" i="6"/>
  <c r="AM362" i="6" s="1"/>
  <c r="I362" i="6" s="1"/>
  <c r="AN305" i="6"/>
  <c r="AM305" i="6" s="1"/>
  <c r="I305" i="6" s="1"/>
  <c r="AN313" i="6"/>
  <c r="AM313" i="6" s="1"/>
  <c r="I313" i="6" s="1"/>
  <c r="AN295" i="6"/>
  <c r="AM295" i="6" s="1"/>
  <c r="I295" i="6" s="1"/>
  <c r="AN255" i="6"/>
  <c r="AM255" i="6" s="1"/>
  <c r="I255" i="6" s="1"/>
  <c r="AN220" i="6"/>
  <c r="AM220" i="6" s="1"/>
  <c r="I220" i="6" s="1"/>
  <c r="AN217" i="6"/>
  <c r="AM217" i="6" s="1"/>
  <c r="I217" i="6" s="1"/>
  <c r="AN196" i="6"/>
  <c r="AM196" i="6" s="1"/>
  <c r="I196" i="6" s="1"/>
  <c r="AN155" i="6"/>
  <c r="AM155" i="6" s="1"/>
  <c r="I155" i="6" s="1"/>
  <c r="AN173" i="6"/>
  <c r="AM173" i="6" s="1"/>
  <c r="I173" i="6" s="1"/>
  <c r="AN143" i="6"/>
  <c r="AM143" i="6" s="1"/>
  <c r="I143" i="6" s="1"/>
  <c r="AN146" i="6"/>
  <c r="AM146" i="6" s="1"/>
  <c r="I146" i="6" s="1"/>
  <c r="AN127" i="6"/>
  <c r="AM127" i="6" s="1"/>
  <c r="I127" i="6" s="1"/>
  <c r="AN85" i="6"/>
  <c r="AM85" i="6" s="1"/>
  <c r="I85" i="6" s="1"/>
  <c r="AN100" i="6"/>
  <c r="AM100" i="6" s="1"/>
  <c r="I100" i="6" s="1"/>
  <c r="AN108" i="6"/>
  <c r="AM108" i="6" s="1"/>
  <c r="I108" i="6" s="1"/>
  <c r="AN59" i="6"/>
  <c r="AM59" i="6" s="1"/>
  <c r="I59" i="6" s="1"/>
  <c r="AN75" i="6"/>
  <c r="AM75" i="6" s="1"/>
  <c r="I75" i="6" s="1"/>
  <c r="AN14" i="6"/>
  <c r="AM14" i="6" s="1"/>
  <c r="I14" i="6" s="1"/>
  <c r="AN70" i="6"/>
  <c r="AM70" i="6" s="1"/>
  <c r="I70" i="6" s="1"/>
  <c r="AN272" i="6"/>
  <c r="AM272" i="6" s="1"/>
  <c r="I272" i="6" s="1"/>
  <c r="AN423" i="6"/>
  <c r="AM423" i="6" s="1"/>
  <c r="I423" i="6" s="1"/>
  <c r="AN47" i="6"/>
  <c r="AM47" i="6" s="1"/>
  <c r="I47" i="6" s="1"/>
  <c r="AN50" i="6"/>
  <c r="AM50" i="6" s="1"/>
  <c r="I50" i="6" s="1"/>
  <c r="AN187" i="6"/>
  <c r="AM187" i="6" s="1"/>
  <c r="I187" i="6" s="1"/>
  <c r="AN306" i="6"/>
  <c r="AM306" i="6" s="1"/>
  <c r="I306" i="6" s="1"/>
  <c r="AN440" i="6"/>
  <c r="AM440" i="6" s="1"/>
  <c r="I440" i="6" s="1"/>
  <c r="AN343" i="6"/>
  <c r="AM343" i="6" s="1"/>
  <c r="I343" i="6" s="1"/>
  <c r="AN422" i="6"/>
  <c r="AM422" i="6" s="1"/>
  <c r="I422" i="6" s="1"/>
  <c r="AN373" i="6"/>
  <c r="AM373" i="6" s="1"/>
  <c r="I373" i="6" s="1"/>
  <c r="AN27" i="6"/>
  <c r="AM27" i="6" s="1"/>
  <c r="I27" i="6" s="1"/>
  <c r="AN286" i="6"/>
  <c r="AM286" i="6" s="1"/>
  <c r="I286" i="6" s="1"/>
  <c r="AN444" i="6"/>
  <c r="AM444" i="6" s="1"/>
  <c r="I444" i="6" s="1"/>
  <c r="AN133" i="6"/>
  <c r="AM133" i="6" s="1"/>
  <c r="I133" i="6" s="1"/>
  <c r="AN21" i="6"/>
  <c r="AM21" i="6" s="1"/>
  <c r="I21" i="6" s="1"/>
  <c r="AN84" i="6"/>
  <c r="AM84" i="6" s="1"/>
  <c r="I84" i="6" s="1"/>
  <c r="AN184" i="6"/>
  <c r="AM184" i="6" s="1"/>
  <c r="I184" i="6" s="1"/>
  <c r="AN294" i="6"/>
  <c r="AM294" i="6" s="1"/>
  <c r="I294" i="6" s="1"/>
  <c r="AN226" i="6"/>
  <c r="AM226" i="6" s="1"/>
  <c r="I226" i="6" s="1"/>
  <c r="AN44" i="6"/>
  <c r="AM44" i="6" s="1"/>
  <c r="I44" i="6" s="1"/>
  <c r="AN129" i="6"/>
  <c r="AM129" i="6" s="1"/>
  <c r="I129" i="6" s="1"/>
  <c r="AN232" i="6"/>
  <c r="AM232" i="6" s="1"/>
  <c r="I232" i="6" s="1"/>
  <c r="AN288" i="6"/>
  <c r="AM288" i="6" s="1"/>
  <c r="I288" i="6" s="1"/>
  <c r="AN211" i="6"/>
  <c r="AM211" i="6" s="1"/>
  <c r="I211" i="6" s="1"/>
  <c r="AN418" i="6"/>
  <c r="AM418" i="6" s="1"/>
  <c r="I418" i="6" s="1"/>
  <c r="AN67" i="6"/>
  <c r="AM67" i="6" s="1"/>
  <c r="I67" i="6" s="1"/>
  <c r="AN205" i="6"/>
  <c r="AM205" i="6" s="1"/>
  <c r="I205" i="6" s="1"/>
  <c r="AN370" i="6"/>
  <c r="AM370" i="6" s="1"/>
  <c r="I370" i="6" s="1"/>
  <c r="AN451" i="6"/>
  <c r="AM451" i="6" s="1"/>
  <c r="I451" i="6" s="1"/>
  <c r="AN257" i="6"/>
  <c r="AM257" i="6" s="1"/>
  <c r="I257" i="6" s="1"/>
  <c r="AN360" i="6"/>
  <c r="AM360" i="6" s="1"/>
  <c r="I360" i="6" s="1"/>
  <c r="AN197" i="6"/>
  <c r="AM197" i="6" s="1"/>
  <c r="I197" i="6" s="1"/>
  <c r="AG135" i="6"/>
  <c r="AF135" i="6" s="1"/>
  <c r="F135" i="6" s="1"/>
  <c r="AG45" i="6"/>
  <c r="AF45" i="6" s="1"/>
  <c r="F45" i="6" s="1"/>
  <c r="AG217" i="6"/>
  <c r="AF217" i="6" s="1"/>
  <c r="F217" i="6" s="1"/>
  <c r="AG65" i="6"/>
  <c r="AF65" i="6" s="1"/>
  <c r="F65" i="6" s="1"/>
  <c r="AG195" i="6"/>
  <c r="AF195" i="6" s="1"/>
  <c r="F195" i="6" s="1"/>
  <c r="AG412" i="6"/>
  <c r="AF412" i="6" s="1"/>
  <c r="F412" i="6" s="1"/>
  <c r="AG375" i="6"/>
  <c r="AF375" i="6" s="1"/>
  <c r="F375" i="6" s="1"/>
  <c r="AG271" i="6"/>
  <c r="AF271" i="6" s="1"/>
  <c r="F271" i="6" s="1"/>
  <c r="AG303" i="6"/>
  <c r="AF303" i="6" s="1"/>
  <c r="F303" i="6" s="1"/>
  <c r="AG80" i="6"/>
  <c r="AF80" i="6" s="1"/>
  <c r="F80" i="6" s="1"/>
  <c r="AG280" i="6"/>
  <c r="AF280" i="6" s="1"/>
  <c r="F280" i="6" s="1"/>
  <c r="AG173" i="6"/>
  <c r="AF173" i="6" s="1"/>
  <c r="F173" i="6" s="1"/>
  <c r="AG20" i="6"/>
  <c r="AF20" i="6" s="1"/>
  <c r="F20" i="6" s="1"/>
  <c r="AG288" i="6"/>
  <c r="AF288" i="6" s="1"/>
  <c r="F288" i="6" s="1"/>
  <c r="AG297" i="6"/>
  <c r="AF297" i="6" s="1"/>
  <c r="F297" i="6" s="1"/>
  <c r="AG48" i="6"/>
  <c r="AF48" i="6" s="1"/>
  <c r="F48" i="6" s="1"/>
  <c r="AG294" i="6"/>
  <c r="AF294" i="6" s="1"/>
  <c r="F294" i="6" s="1"/>
  <c r="AG91" i="6"/>
  <c r="AF91" i="6" s="1"/>
  <c r="F91" i="6" s="1"/>
  <c r="AG76" i="6"/>
  <c r="AF76" i="6" s="1"/>
  <c r="F76" i="6" s="1"/>
  <c r="AG354" i="6"/>
  <c r="AF354" i="6" s="1"/>
  <c r="F354" i="6" s="1"/>
  <c r="AG227" i="6"/>
  <c r="AF227" i="6" s="1"/>
  <c r="F227" i="6" s="1"/>
  <c r="AG147" i="6"/>
  <c r="AF147" i="6" s="1"/>
  <c r="F147" i="6" s="1"/>
  <c r="AG252" i="6"/>
  <c r="AF252" i="6" s="1"/>
  <c r="F252" i="6" s="1"/>
  <c r="AG389" i="6"/>
  <c r="AF389" i="6" s="1"/>
  <c r="F389" i="6" s="1"/>
  <c r="AG233" i="6"/>
  <c r="AF233" i="6" s="1"/>
  <c r="F233" i="6" s="1"/>
  <c r="AG470" i="6"/>
  <c r="AF470" i="6" s="1"/>
  <c r="AG83" i="6"/>
  <c r="AF83" i="6" s="1"/>
  <c r="F83" i="6" s="1"/>
  <c r="AG219" i="6"/>
  <c r="AF219" i="6" s="1"/>
  <c r="F219" i="6" s="1"/>
  <c r="AG245" i="6"/>
  <c r="AF245" i="6" s="1"/>
  <c r="F245" i="6" s="1"/>
  <c r="AG187" i="6"/>
  <c r="AF187" i="6" s="1"/>
  <c r="F187" i="6" s="1"/>
  <c r="AG122" i="6"/>
  <c r="AF122" i="6" s="1"/>
  <c r="F122" i="6" s="1"/>
  <c r="AG321" i="6"/>
  <c r="AF321" i="6" s="1"/>
  <c r="F321" i="6" s="1"/>
  <c r="AG157" i="6"/>
  <c r="AF157" i="6" s="1"/>
  <c r="F157" i="6" s="1"/>
  <c r="AG207" i="6"/>
  <c r="AF207" i="6" s="1"/>
  <c r="F207" i="6" s="1"/>
  <c r="AG423" i="6"/>
  <c r="AF423" i="6" s="1"/>
  <c r="F423" i="6" s="1"/>
  <c r="AG131" i="6"/>
  <c r="AF131" i="6" s="1"/>
  <c r="F131" i="6" s="1"/>
  <c r="AG460" i="6"/>
  <c r="AF460" i="6" s="1"/>
  <c r="F460" i="6" s="1"/>
  <c r="AG132" i="6"/>
  <c r="AF132" i="6" s="1"/>
  <c r="F132" i="6" s="1"/>
  <c r="AG366" i="6"/>
  <c r="AF366" i="6" s="1"/>
  <c r="F366" i="6" s="1"/>
  <c r="AG170" i="6"/>
  <c r="AF170" i="6" s="1"/>
  <c r="F170" i="6" s="1"/>
  <c r="AG75" i="6"/>
  <c r="AF75" i="6" s="1"/>
  <c r="F75" i="6" s="1"/>
  <c r="AG401" i="6"/>
  <c r="AF401" i="6" s="1"/>
  <c r="F401" i="6" s="1"/>
  <c r="AG166" i="6"/>
  <c r="AF166" i="6" s="1"/>
  <c r="F166" i="6" s="1"/>
  <c r="AG311" i="6"/>
  <c r="AF311" i="6" s="1"/>
  <c r="F311" i="6" s="1"/>
  <c r="AG336" i="6"/>
  <c r="AF336" i="6" s="1"/>
  <c r="F336" i="6" s="1"/>
  <c r="AG87" i="6"/>
  <c r="AF87" i="6" s="1"/>
  <c r="F87" i="6" s="1"/>
  <c r="AG316" i="6"/>
  <c r="AF316" i="6" s="1"/>
  <c r="F316" i="6" s="1"/>
  <c r="AG410" i="6"/>
  <c r="AF410" i="6" s="1"/>
  <c r="F410" i="6" s="1"/>
  <c r="AG295" i="6"/>
  <c r="AF295" i="6" s="1"/>
  <c r="F295" i="6" s="1"/>
  <c r="AG180" i="6"/>
  <c r="AF180" i="6" s="1"/>
  <c r="F180" i="6" s="1"/>
  <c r="AG457" i="6"/>
  <c r="AF457" i="6" s="1"/>
  <c r="F457" i="6" s="1"/>
  <c r="AG306" i="6"/>
  <c r="AF306" i="6" s="1"/>
  <c r="F306" i="6" s="1"/>
  <c r="AG84" i="6"/>
  <c r="AF84" i="6" s="1"/>
  <c r="F84" i="6" s="1"/>
  <c r="AG276" i="6"/>
  <c r="AF276" i="6" s="1"/>
  <c r="F276" i="6" s="1"/>
  <c r="AG24" i="6"/>
  <c r="AF24" i="6" s="1"/>
  <c r="F24" i="6" s="1"/>
  <c r="AG251" i="6"/>
  <c r="AF251" i="6" s="1"/>
  <c r="F251" i="6" s="1"/>
  <c r="AG107" i="6"/>
  <c r="AF107" i="6" s="1"/>
  <c r="F107" i="6" s="1"/>
  <c r="AG253" i="6"/>
  <c r="AF253" i="6" s="1"/>
  <c r="F253" i="6" s="1"/>
  <c r="AG413" i="6"/>
  <c r="AF413" i="6" s="1"/>
  <c r="F413" i="6" s="1"/>
  <c r="AG324" i="6"/>
  <c r="AF324" i="6" s="1"/>
  <c r="F324" i="6" s="1"/>
  <c r="AG205" i="6"/>
  <c r="AF205" i="6" s="1"/>
  <c r="F205" i="6" s="1"/>
  <c r="AG208" i="6"/>
  <c r="AF208" i="6" s="1"/>
  <c r="F208" i="6" s="1"/>
  <c r="AG315" i="6"/>
  <c r="AF315" i="6" s="1"/>
  <c r="F315" i="6" s="1"/>
  <c r="AG58" i="6"/>
  <c r="AF58" i="6" s="1"/>
  <c r="F58" i="6" s="1"/>
  <c r="AG451" i="6"/>
  <c r="AF451" i="6" s="1"/>
  <c r="F451" i="6" s="1"/>
  <c r="AG305" i="6"/>
  <c r="AF305" i="6" s="1"/>
  <c r="F305" i="6" s="1"/>
  <c r="AG461" i="6"/>
  <c r="AF461" i="6" s="1"/>
  <c r="F461" i="6" s="1"/>
  <c r="AG109" i="6"/>
  <c r="AF109" i="6" s="1"/>
  <c r="F109" i="6" s="1"/>
  <c r="AG447" i="6"/>
  <c r="AF447" i="6" s="1"/>
  <c r="F447" i="6" s="1"/>
  <c r="AG318" i="6"/>
  <c r="AF318" i="6" s="1"/>
  <c r="F318" i="6" s="1"/>
  <c r="AG137" i="6"/>
  <c r="AF137" i="6" s="1"/>
  <c r="F137" i="6" s="1"/>
  <c r="AG86" i="6"/>
  <c r="AF86" i="6" s="1"/>
  <c r="F86" i="6" s="1"/>
  <c r="AG454" i="6"/>
  <c r="AF454" i="6" s="1"/>
  <c r="F454" i="6" s="1"/>
  <c r="AG168" i="6"/>
  <c r="AF168" i="6" s="1"/>
  <c r="F168" i="6" s="1"/>
  <c r="AG103" i="6"/>
  <c r="AF103" i="6" s="1"/>
  <c r="F103" i="6" s="1"/>
  <c r="AG296" i="6"/>
  <c r="AF296" i="6" s="1"/>
  <c r="F296" i="6" s="1"/>
  <c r="AG171" i="6"/>
  <c r="AF171" i="6" s="1"/>
  <c r="F171" i="6" s="1"/>
  <c r="AG378" i="6"/>
  <c r="AF378" i="6" s="1"/>
  <c r="F378" i="6" s="1"/>
  <c r="AG344" i="6"/>
  <c r="AF344" i="6" s="1"/>
  <c r="F344" i="6" s="1"/>
  <c r="AG322" i="6"/>
  <c r="AF322" i="6" s="1"/>
  <c r="F322" i="6" s="1"/>
  <c r="AG82" i="6"/>
  <c r="AF82" i="6" s="1"/>
  <c r="F82" i="6" s="1"/>
  <c r="AG160" i="6"/>
  <c r="AF160" i="6" s="1"/>
  <c r="F160" i="6" s="1"/>
  <c r="AG405" i="6"/>
  <c r="AF405" i="6" s="1"/>
  <c r="F405" i="6" s="1"/>
  <c r="AG159" i="6"/>
  <c r="AF159" i="6" s="1"/>
  <c r="F159" i="6" s="1"/>
  <c r="AG55" i="6"/>
  <c r="AF55" i="6" s="1"/>
  <c r="F55" i="6" s="1"/>
  <c r="AG464" i="6"/>
  <c r="AF464" i="6" s="1"/>
  <c r="F464" i="6" s="1"/>
  <c r="AG151" i="6"/>
  <c r="AF151" i="6" s="1"/>
  <c r="F151" i="6" s="1"/>
  <c r="AG428" i="6"/>
  <c r="AF428" i="6" s="1"/>
  <c r="F428" i="6" s="1"/>
  <c r="AG177" i="6"/>
  <c r="AF177" i="6" s="1"/>
  <c r="F177" i="6" s="1"/>
  <c r="AG259" i="6"/>
  <c r="AF259" i="6" s="1"/>
  <c r="F259" i="6" s="1"/>
  <c r="AG246" i="6"/>
  <c r="AF246" i="6" s="1"/>
  <c r="F246" i="6" s="1"/>
  <c r="AG287" i="6"/>
  <c r="AF287" i="6" s="1"/>
  <c r="F287" i="6" s="1"/>
  <c r="AG220" i="6"/>
  <c r="AF220" i="6" s="1"/>
  <c r="F220" i="6" s="1"/>
  <c r="AG258" i="6"/>
  <c r="AF258" i="6" s="1"/>
  <c r="F258" i="6" s="1"/>
  <c r="AG355" i="6"/>
  <c r="AF355" i="6" s="1"/>
  <c r="F355" i="6" s="1"/>
  <c r="AG186" i="6"/>
  <c r="AF186" i="6" s="1"/>
  <c r="F186" i="6" s="1"/>
  <c r="AG74" i="6"/>
  <c r="AF74" i="6" s="1"/>
  <c r="F74" i="6" s="1"/>
  <c r="AG95" i="6"/>
  <c r="AF95" i="6" s="1"/>
  <c r="F95" i="6" s="1"/>
  <c r="AG243" i="6"/>
  <c r="AF243" i="6" s="1"/>
  <c r="F243" i="6" s="1"/>
  <c r="AG363" i="6"/>
  <c r="AF363" i="6" s="1"/>
  <c r="F363" i="6" s="1"/>
  <c r="AG215" i="6"/>
  <c r="AF215" i="6" s="1"/>
  <c r="F215" i="6" s="1"/>
  <c r="AG403" i="6"/>
  <c r="AF403" i="6" s="1"/>
  <c r="F403" i="6" s="1"/>
  <c r="AG120" i="6"/>
  <c r="AF120" i="6" s="1"/>
  <c r="F120" i="6" s="1"/>
  <c r="AG399" i="6"/>
  <c r="AF399" i="6" s="1"/>
  <c r="F399" i="6" s="1"/>
  <c r="AG192" i="6"/>
  <c r="AF192" i="6" s="1"/>
  <c r="F192" i="6" s="1"/>
  <c r="AG455" i="6"/>
  <c r="AF455" i="6" s="1"/>
  <c r="F455" i="6" s="1"/>
  <c r="AG304" i="6"/>
  <c r="AF304" i="6" s="1"/>
  <c r="F304" i="6" s="1"/>
  <c r="AG466" i="6"/>
  <c r="AF466" i="6" s="1"/>
  <c r="F466" i="6" s="1"/>
  <c r="AG348" i="6"/>
  <c r="AF348" i="6" s="1"/>
  <c r="F348" i="6" s="1"/>
  <c r="AG406" i="6"/>
  <c r="AF406" i="6" s="1"/>
  <c r="F406" i="6" s="1"/>
  <c r="AG450" i="6"/>
  <c r="AF450" i="6" s="1"/>
  <c r="F450" i="6" s="1"/>
  <c r="AG374" i="6"/>
  <c r="AF374" i="6" s="1"/>
  <c r="F374" i="6" s="1"/>
  <c r="AG400" i="6"/>
  <c r="AF400" i="6" s="1"/>
  <c r="F400" i="6" s="1"/>
  <c r="AG174" i="6"/>
  <c r="AF174" i="6" s="1"/>
  <c r="F174" i="6" s="1"/>
  <c r="AG64" i="6"/>
  <c r="AF64" i="6" s="1"/>
  <c r="F64" i="6" s="1"/>
  <c r="AG206" i="6"/>
  <c r="AF206" i="6" s="1"/>
  <c r="F206" i="6" s="1"/>
  <c r="AG111" i="6"/>
  <c r="AF111" i="6" s="1"/>
  <c r="F111" i="6" s="1"/>
  <c r="AG181" i="6"/>
  <c r="AF181" i="6" s="1"/>
  <c r="F181" i="6" s="1"/>
  <c r="AG469" i="6"/>
  <c r="AF469" i="6" s="1"/>
  <c r="AG172" i="6"/>
  <c r="AF172" i="6" s="1"/>
  <c r="F172" i="6" s="1"/>
  <c r="AG426" i="6"/>
  <c r="AF426" i="6" s="1"/>
  <c r="F426" i="6" s="1"/>
  <c r="AG320" i="6"/>
  <c r="AF320" i="6" s="1"/>
  <c r="F320" i="6" s="1"/>
  <c r="AG226" i="6"/>
  <c r="AF226" i="6" s="1"/>
  <c r="F226" i="6" s="1"/>
  <c r="AG25" i="6"/>
  <c r="AF25" i="6" s="1"/>
  <c r="F25" i="6" s="1"/>
  <c r="AG144" i="6"/>
  <c r="AF144" i="6" s="1"/>
  <c r="F144" i="6" s="1"/>
  <c r="AG81" i="6"/>
  <c r="AF81" i="6" s="1"/>
  <c r="F81" i="6" s="1"/>
  <c r="AG94" i="6"/>
  <c r="AF94" i="6" s="1"/>
  <c r="F94" i="6" s="1"/>
  <c r="AG427" i="6"/>
  <c r="AF427" i="6" s="1"/>
  <c r="F427" i="6" s="1"/>
  <c r="AG417" i="6"/>
  <c r="AF417" i="6" s="1"/>
  <c r="F417" i="6" s="1"/>
  <c r="AG200" i="6"/>
  <c r="AF200" i="6" s="1"/>
  <c r="F200" i="6" s="1"/>
  <c r="AG164" i="6"/>
  <c r="AF164" i="6" s="1"/>
  <c r="F164" i="6" s="1"/>
  <c r="AG89" i="6"/>
  <c r="AF89" i="6" s="1"/>
  <c r="F89" i="6" s="1"/>
  <c r="AG237" i="6"/>
  <c r="AF237" i="6" s="1"/>
  <c r="F237" i="6" s="1"/>
  <c r="AG293" i="6"/>
  <c r="AF293" i="6" s="1"/>
  <c r="F293" i="6" s="1"/>
  <c r="AG53" i="6"/>
  <c r="AF53" i="6" s="1"/>
  <c r="F53" i="6" s="1"/>
  <c r="AG407" i="6"/>
  <c r="AF407" i="6" s="1"/>
  <c r="F407" i="6" s="1"/>
  <c r="AG420" i="6"/>
  <c r="AF420" i="6" s="1"/>
  <c r="F420" i="6" s="1"/>
  <c r="AG367" i="6"/>
  <c r="AF367" i="6" s="1"/>
  <c r="F367" i="6" s="1"/>
  <c r="AG161" i="6"/>
  <c r="AF161" i="6" s="1"/>
  <c r="F161" i="6" s="1"/>
  <c r="AG78" i="6"/>
  <c r="AF78" i="6" s="1"/>
  <c r="F78" i="6" s="1"/>
  <c r="AG97" i="6"/>
  <c r="AF97" i="6" s="1"/>
  <c r="F97" i="6" s="1"/>
  <c r="AG379" i="6"/>
  <c r="AF379" i="6" s="1"/>
  <c r="F379" i="6" s="1"/>
  <c r="AG63" i="6"/>
  <c r="AF63" i="6" s="1"/>
  <c r="F63" i="6" s="1"/>
  <c r="AG333" i="6"/>
  <c r="AF333" i="6" s="1"/>
  <c r="F333" i="6" s="1"/>
  <c r="AG43" i="6"/>
  <c r="AF43" i="6" s="1"/>
  <c r="F43" i="6" s="1"/>
  <c r="AG416" i="6"/>
  <c r="AF416" i="6" s="1"/>
  <c r="F416" i="6" s="1"/>
  <c r="AG108" i="6"/>
  <c r="AF108" i="6" s="1"/>
  <c r="F108" i="6" s="1"/>
  <c r="AG282" i="6"/>
  <c r="AF282" i="6" s="1"/>
  <c r="F282" i="6" s="1"/>
  <c r="AG421" i="6"/>
  <c r="AF421" i="6" s="1"/>
  <c r="F421" i="6" s="1"/>
  <c r="AG110" i="6"/>
  <c r="AF110" i="6" s="1"/>
  <c r="F110" i="6" s="1"/>
  <c r="AG263" i="6"/>
  <c r="AF263" i="6" s="1"/>
  <c r="F263" i="6" s="1"/>
  <c r="AG118" i="6"/>
  <c r="AF118" i="6" s="1"/>
  <c r="F118" i="6" s="1"/>
  <c r="AG169" i="6"/>
  <c r="AF169" i="6" s="1"/>
  <c r="F169" i="6" s="1"/>
  <c r="AG353" i="6"/>
  <c r="AF353" i="6" s="1"/>
  <c r="F353" i="6" s="1"/>
  <c r="AG196" i="6"/>
  <c r="AF196" i="6" s="1"/>
  <c r="F196" i="6" s="1"/>
  <c r="AG437" i="6"/>
  <c r="AF437" i="6" s="1"/>
  <c r="F437" i="6" s="1"/>
  <c r="AG66" i="6"/>
  <c r="AF66" i="6" s="1"/>
  <c r="F66" i="6" s="1"/>
  <c r="AG231" i="6"/>
  <c r="AF231" i="6" s="1"/>
  <c r="F231" i="6" s="1"/>
  <c r="AG13" i="6"/>
  <c r="AF13" i="6" s="1"/>
  <c r="F13" i="6" s="1"/>
  <c r="AG179" i="6"/>
  <c r="AF179" i="6" s="1"/>
  <c r="F179" i="6" s="1"/>
  <c r="AG29" i="6"/>
  <c r="AF29" i="6" s="1"/>
  <c r="F29" i="6" s="1"/>
  <c r="AG444" i="6"/>
  <c r="AF444" i="6" s="1"/>
  <c r="F444" i="6" s="1"/>
  <c r="AG142" i="6"/>
  <c r="AF142" i="6" s="1"/>
  <c r="F142" i="6" s="1"/>
  <c r="AG250" i="6"/>
  <c r="AF250" i="6" s="1"/>
  <c r="F250" i="6" s="1"/>
  <c r="AG302" i="6"/>
  <c r="AF302" i="6" s="1"/>
  <c r="F302" i="6" s="1"/>
  <c r="AG404" i="6"/>
  <c r="AF404" i="6" s="1"/>
  <c r="F404" i="6" s="1"/>
  <c r="AG317" i="6"/>
  <c r="AF317" i="6" s="1"/>
  <c r="F317" i="6" s="1"/>
  <c r="AG124" i="6"/>
  <c r="AF124" i="6" s="1"/>
  <c r="F124" i="6" s="1"/>
  <c r="AG442" i="6"/>
  <c r="AF442" i="6" s="1"/>
  <c r="F442" i="6" s="1"/>
  <c r="AG278" i="6"/>
  <c r="AF278" i="6" s="1"/>
  <c r="F278" i="6" s="1"/>
  <c r="AG313" i="6"/>
  <c r="AF313" i="6" s="1"/>
  <c r="F313" i="6" s="1"/>
  <c r="AG247" i="6"/>
  <c r="AF247" i="6" s="1"/>
  <c r="F247" i="6" s="1"/>
  <c r="AG419" i="6"/>
  <c r="AF419" i="6" s="1"/>
  <c r="F419" i="6" s="1"/>
  <c r="AG362" i="6"/>
  <c r="AF362" i="6" s="1"/>
  <c r="F362" i="6" s="1"/>
  <c r="AG300" i="6"/>
  <c r="AF300" i="6" s="1"/>
  <c r="F300" i="6" s="1"/>
  <c r="AG141" i="6"/>
  <c r="AF141" i="6" s="1"/>
  <c r="F141" i="6" s="1"/>
  <c r="AG114" i="6"/>
  <c r="AF114" i="6" s="1"/>
  <c r="F114" i="6" s="1"/>
  <c r="AG267" i="6"/>
  <c r="AF267" i="6" s="1"/>
  <c r="F267" i="6" s="1"/>
  <c r="AG51" i="6"/>
  <c r="AF51" i="6" s="1"/>
  <c r="F51" i="6" s="1"/>
  <c r="AG15" i="6"/>
  <c r="AF15" i="6" s="1"/>
  <c r="F15" i="6" s="1"/>
  <c r="AG150" i="6"/>
  <c r="AF150" i="6" s="1"/>
  <c r="F150" i="6" s="1"/>
  <c r="AG119" i="6"/>
  <c r="AF119" i="6" s="1"/>
  <c r="F119" i="6" s="1"/>
  <c r="AG272" i="6"/>
  <c r="AF272" i="6" s="1"/>
  <c r="F272" i="6" s="1"/>
  <c r="AG339" i="6"/>
  <c r="AF339" i="6" s="1"/>
  <c r="F339" i="6" s="1"/>
  <c r="AG368" i="6"/>
  <c r="AF368" i="6" s="1"/>
  <c r="F368" i="6" s="1"/>
  <c r="AG176" i="6"/>
  <c r="AF176" i="6" s="1"/>
  <c r="F176" i="6" s="1"/>
  <c r="AG96" i="6"/>
  <c r="AF96" i="6" s="1"/>
  <c r="F96" i="6" s="1"/>
  <c r="AG156" i="6"/>
  <c r="AF156" i="6" s="1"/>
  <c r="F156" i="6" s="1"/>
  <c r="AG154" i="6"/>
  <c r="AF154" i="6" s="1"/>
  <c r="F154" i="6" s="1"/>
  <c r="AG266" i="6"/>
  <c r="AF266" i="6" s="1"/>
  <c r="F266" i="6" s="1"/>
  <c r="AG244" i="6"/>
  <c r="AF244" i="6" s="1"/>
  <c r="F244" i="6" s="1"/>
  <c r="AG369" i="6"/>
  <c r="AF369" i="6" s="1"/>
  <c r="F369" i="6" s="1"/>
  <c r="AG72" i="6"/>
  <c r="AF72" i="6" s="1"/>
  <c r="F72" i="6" s="1"/>
  <c r="AG433" i="6"/>
  <c r="AF433" i="6" s="1"/>
  <c r="F433" i="6" s="1"/>
  <c r="AG415" i="6"/>
  <c r="AF415" i="6" s="1"/>
  <c r="F415" i="6" s="1"/>
  <c r="AG387" i="6"/>
  <c r="AF387" i="6" s="1"/>
  <c r="F387" i="6" s="1"/>
  <c r="AG12" i="6"/>
  <c r="AF12" i="6" s="1"/>
  <c r="F12" i="6" s="1"/>
  <c r="AG345" i="6"/>
  <c r="AF345" i="6" s="1"/>
  <c r="F345" i="6" s="1"/>
  <c r="AG241" i="6"/>
  <c r="AF241" i="6" s="1"/>
  <c r="F241" i="6" s="1"/>
  <c r="AG61" i="6"/>
  <c r="AF61" i="6" s="1"/>
  <c r="F61" i="6" s="1"/>
  <c r="AG340" i="6"/>
  <c r="AF340" i="6" s="1"/>
  <c r="F340" i="6" s="1"/>
  <c r="AG371" i="6"/>
  <c r="AF371" i="6" s="1"/>
  <c r="F371" i="6" s="1"/>
  <c r="AG189" i="6"/>
  <c r="AF189" i="6" s="1"/>
  <c r="F189" i="6" s="1"/>
  <c r="AG257" i="6"/>
  <c r="AF257" i="6" s="1"/>
  <c r="F257" i="6" s="1"/>
  <c r="AG429" i="6"/>
  <c r="AF429" i="6" s="1"/>
  <c r="F429" i="6" s="1"/>
  <c r="AG198" i="6"/>
  <c r="AF198" i="6" s="1"/>
  <c r="F198" i="6" s="1"/>
  <c r="AG468" i="6"/>
  <c r="AF468" i="6" s="1"/>
  <c r="F468" i="6" s="1"/>
  <c r="AG152" i="6"/>
  <c r="AF152" i="6" s="1"/>
  <c r="F152" i="6" s="1"/>
  <c r="AG79" i="6"/>
  <c r="AF79" i="6" s="1"/>
  <c r="F79" i="6" s="1"/>
  <c r="AG264" i="6"/>
  <c r="AF264" i="6" s="1"/>
  <c r="F264" i="6" s="1"/>
  <c r="AG18" i="6"/>
  <c r="AF18" i="6" s="1"/>
  <c r="F18" i="6" s="1"/>
  <c r="AG376" i="6"/>
  <c r="AF376" i="6" s="1"/>
  <c r="F376" i="6" s="1"/>
  <c r="AG265" i="6"/>
  <c r="AF265" i="6" s="1"/>
  <c r="F265" i="6" s="1"/>
  <c r="AG145" i="6"/>
  <c r="AF145" i="6" s="1"/>
  <c r="F145" i="6" s="1"/>
  <c r="AG435" i="6"/>
  <c r="AF435" i="6" s="1"/>
  <c r="F435" i="6" s="1"/>
  <c r="AG458" i="6"/>
  <c r="AF458" i="6" s="1"/>
  <c r="F458" i="6" s="1"/>
  <c r="AG394" i="6"/>
  <c r="AF394" i="6" s="1"/>
  <c r="F394" i="6" s="1"/>
  <c r="AG256" i="6"/>
  <c r="AF256" i="6" s="1"/>
  <c r="F256" i="6" s="1"/>
  <c r="AG197" i="6"/>
  <c r="AF197" i="6" s="1"/>
  <c r="F197" i="6" s="1"/>
  <c r="AG346" i="6"/>
  <c r="AF346" i="6" s="1"/>
  <c r="F346" i="6" s="1"/>
  <c r="AG436" i="6"/>
  <c r="AF436" i="6" s="1"/>
  <c r="F436" i="6" s="1"/>
  <c r="AG330" i="6"/>
  <c r="AF330" i="6" s="1"/>
  <c r="F330" i="6" s="1"/>
  <c r="AG188" i="6"/>
  <c r="AF188" i="6" s="1"/>
  <c r="F188" i="6" s="1"/>
  <c r="AG23" i="6"/>
  <c r="AF23" i="6" s="1"/>
  <c r="F23" i="6" s="1"/>
  <c r="AG337" i="6"/>
  <c r="AF337" i="6" s="1"/>
  <c r="F337" i="6" s="1"/>
  <c r="AG202" i="6"/>
  <c r="AF202" i="6" s="1"/>
  <c r="F202" i="6" s="1"/>
  <c r="AG140" i="6"/>
  <c r="AF140" i="6" s="1"/>
  <c r="F140" i="6" s="1"/>
  <c r="AG274" i="6"/>
  <c r="AF274" i="6" s="1"/>
  <c r="F274" i="6" s="1"/>
  <c r="AG364" i="6"/>
  <c r="AF364" i="6" s="1"/>
  <c r="F364" i="6" s="1"/>
  <c r="AG284" i="6"/>
  <c r="AF284" i="6" s="1"/>
  <c r="F284" i="6" s="1"/>
  <c r="AG211" i="6"/>
  <c r="AF211" i="6" s="1"/>
  <c r="F211" i="6" s="1"/>
  <c r="AG162" i="6"/>
  <c r="AF162" i="6" s="1"/>
  <c r="F162" i="6" s="1"/>
  <c r="AG62" i="6"/>
  <c r="AF62" i="6" s="1"/>
  <c r="F62" i="6" s="1"/>
  <c r="AG136" i="6"/>
  <c r="AF136" i="6" s="1"/>
  <c r="F136" i="6" s="1"/>
  <c r="AG347" i="6"/>
  <c r="AF347" i="6" s="1"/>
  <c r="F347" i="6" s="1"/>
  <c r="AG383" i="6"/>
  <c r="AF383" i="6" s="1"/>
  <c r="F383" i="6" s="1"/>
  <c r="AG11" i="6"/>
  <c r="AF11" i="6" s="1"/>
  <c r="F11" i="6" s="1"/>
  <c r="AG281" i="6"/>
  <c r="AF281" i="6" s="1"/>
  <c r="F281" i="6" s="1"/>
  <c r="AG115" i="6"/>
  <c r="AF115" i="6" s="1"/>
  <c r="F115" i="6" s="1"/>
  <c r="AG396" i="6"/>
  <c r="AF396" i="6" s="1"/>
  <c r="F396" i="6" s="1"/>
  <c r="AG210" i="6"/>
  <c r="AF210" i="6" s="1"/>
  <c r="F210" i="6" s="1"/>
  <c r="AG34" i="6"/>
  <c r="AF34" i="6" s="1"/>
  <c r="F34" i="6" s="1"/>
  <c r="AG248" i="6"/>
  <c r="AF248" i="6" s="1"/>
  <c r="F248" i="6" s="1"/>
  <c r="AG165" i="6"/>
  <c r="AF165" i="6" s="1"/>
  <c r="F165" i="6" s="1"/>
  <c r="AG446" i="6"/>
  <c r="AF446" i="6" s="1"/>
  <c r="F446" i="6" s="1"/>
  <c r="AG16" i="6"/>
  <c r="AF16" i="6" s="1"/>
  <c r="F16" i="6" s="1"/>
  <c r="AG270" i="6"/>
  <c r="AF270" i="6" s="1"/>
  <c r="F270" i="6" s="1"/>
  <c r="AG323" i="6"/>
  <c r="AF323" i="6" s="1"/>
  <c r="F323" i="6" s="1"/>
  <c r="AG411" i="6"/>
  <c r="AF411" i="6" s="1"/>
  <c r="F411" i="6" s="1"/>
  <c r="AG21" i="6"/>
  <c r="AF21" i="6" s="1"/>
  <c r="F21" i="6" s="1"/>
  <c r="AG397" i="6"/>
  <c r="AF397" i="6" s="1"/>
  <c r="F397" i="6" s="1"/>
  <c r="AG335" i="6"/>
  <c r="AF335" i="6" s="1"/>
  <c r="F335" i="6" s="1"/>
  <c r="AG39" i="6"/>
  <c r="AF39" i="6" s="1"/>
  <c r="F39" i="6" s="1"/>
  <c r="AG234" i="6"/>
  <c r="AF234" i="6" s="1"/>
  <c r="F234" i="6" s="1"/>
  <c r="AG285" i="6"/>
  <c r="AF285" i="6" s="1"/>
  <c r="F285" i="6" s="1"/>
  <c r="AG453" i="6"/>
  <c r="AF453" i="6" s="1"/>
  <c r="F453" i="6" s="1"/>
  <c r="AG19" i="6"/>
  <c r="AF19" i="6" s="1"/>
  <c r="F19" i="6" s="1"/>
  <c r="AG312" i="6"/>
  <c r="AF312" i="6" s="1"/>
  <c r="F312" i="6" s="1"/>
  <c r="AG88" i="6"/>
  <c r="AF88" i="6" s="1"/>
  <c r="F88" i="6" s="1"/>
  <c r="AG338" i="6"/>
  <c r="AF338" i="6" s="1"/>
  <c r="F338" i="6" s="1"/>
  <c r="AG163" i="6"/>
  <c r="AF163" i="6" s="1"/>
  <c r="F163" i="6" s="1"/>
  <c r="AG138" i="6"/>
  <c r="AF138" i="6" s="1"/>
  <c r="F138" i="6" s="1"/>
  <c r="AG105" i="6"/>
  <c r="AF105" i="6" s="1"/>
  <c r="F105" i="6" s="1"/>
  <c r="AG100" i="6"/>
  <c r="AF100" i="6" s="1"/>
  <c r="F100" i="6" s="1"/>
  <c r="AG32" i="6"/>
  <c r="AF32" i="6" s="1"/>
  <c r="F32" i="6" s="1"/>
  <c r="AG92" i="6"/>
  <c r="AF92" i="6" s="1"/>
  <c r="F92" i="6" s="1"/>
  <c r="AG452" i="6"/>
  <c r="AF452" i="6" s="1"/>
  <c r="F452" i="6" s="1"/>
  <c r="AG175" i="6"/>
  <c r="AF175" i="6" s="1"/>
  <c r="F175" i="6" s="1"/>
  <c r="AG70" i="6"/>
  <c r="AF70" i="6" s="1"/>
  <c r="F70" i="6" s="1"/>
  <c r="AG342" i="6"/>
  <c r="AF342" i="6" s="1"/>
  <c r="F342" i="6" s="1"/>
  <c r="AG153" i="6"/>
  <c r="AF153" i="6" s="1"/>
  <c r="F153" i="6" s="1"/>
  <c r="AG439" i="6"/>
  <c r="AF439" i="6" s="1"/>
  <c r="F439" i="6" s="1"/>
  <c r="AG56" i="6"/>
  <c r="AF56" i="6" s="1"/>
  <c r="F56" i="6" s="1"/>
  <c r="AG125" i="6"/>
  <c r="AF125" i="6" s="1"/>
  <c r="F125" i="6" s="1"/>
  <c r="AG441" i="6"/>
  <c r="AF441" i="6" s="1"/>
  <c r="F441" i="6" s="1"/>
  <c r="AG382" i="6"/>
  <c r="AF382" i="6" s="1"/>
  <c r="F382" i="6" s="1"/>
  <c r="AG431" i="6"/>
  <c r="AF431" i="6" s="1"/>
  <c r="F431" i="6" s="1"/>
  <c r="AG326" i="6"/>
  <c r="AF326" i="6" s="1"/>
  <c r="F326" i="6" s="1"/>
  <c r="AG279" i="6"/>
  <c r="AF279" i="6" s="1"/>
  <c r="F279" i="6" s="1"/>
  <c r="AG167" i="6"/>
  <c r="AF167" i="6" s="1"/>
  <c r="F167" i="6" s="1"/>
  <c r="AG90" i="6"/>
  <c r="AF90" i="6" s="1"/>
  <c r="F90" i="6" s="1"/>
  <c r="AG325" i="6"/>
  <c r="AF325" i="6" s="1"/>
  <c r="F325" i="6" s="1"/>
  <c r="AG224" i="6"/>
  <c r="AF224" i="6" s="1"/>
  <c r="F224" i="6" s="1"/>
  <c r="AG216" i="6"/>
  <c r="AF216" i="6" s="1"/>
  <c r="F216" i="6" s="1"/>
  <c r="AG127" i="6"/>
  <c r="AF127" i="6" s="1"/>
  <c r="F127" i="6" s="1"/>
  <c r="AG356" i="6"/>
  <c r="AF356" i="6" s="1"/>
  <c r="F356" i="6" s="1"/>
  <c r="AG432" i="6"/>
  <c r="AF432" i="6" s="1"/>
  <c r="F432" i="6" s="1"/>
  <c r="AG50" i="6"/>
  <c r="AF50" i="6" s="1"/>
  <c r="F50" i="6" s="1"/>
  <c r="AG38" i="6"/>
  <c r="AF38" i="6" s="1"/>
  <c r="F38" i="6" s="1"/>
  <c r="AG9" i="6"/>
  <c r="AF9" i="6" s="1"/>
  <c r="F9" i="6" s="1"/>
  <c r="AG240" i="6"/>
  <c r="AF240" i="6" s="1"/>
  <c r="F240" i="6" s="1"/>
  <c r="AG292" i="6"/>
  <c r="AF292" i="6" s="1"/>
  <c r="F292" i="6" s="1"/>
  <c r="AG456" i="6"/>
  <c r="AF456" i="6" s="1"/>
  <c r="F456" i="6" s="1"/>
  <c r="AG408" i="6"/>
  <c r="AF408" i="6" s="1"/>
  <c r="F408" i="6" s="1"/>
  <c r="AG178" i="6"/>
  <c r="AF178" i="6" s="1"/>
  <c r="F178" i="6" s="1"/>
  <c r="AG268" i="6"/>
  <c r="AF268" i="6" s="1"/>
  <c r="F268" i="6" s="1"/>
  <c r="AG361" i="6"/>
  <c r="AF361" i="6" s="1"/>
  <c r="F361" i="6" s="1"/>
  <c r="AG242" i="6"/>
  <c r="AF242" i="6" s="1"/>
  <c r="F242" i="6" s="1"/>
  <c r="AG438" i="6"/>
  <c r="AF438" i="6" s="1"/>
  <c r="F438" i="6" s="1"/>
  <c r="AG68" i="6"/>
  <c r="AF68" i="6" s="1"/>
  <c r="F68" i="6" s="1"/>
  <c r="AG106" i="6"/>
  <c r="AF106" i="6" s="1"/>
  <c r="F106" i="6" s="1"/>
  <c r="AG319" i="6"/>
  <c r="AF319" i="6" s="1"/>
  <c r="F319" i="6" s="1"/>
  <c r="AG27" i="6"/>
  <c r="AF27" i="6" s="1"/>
  <c r="F27" i="6" s="1"/>
  <c r="AG381" i="6"/>
  <c r="AF381" i="6" s="1"/>
  <c r="F381" i="6" s="1"/>
  <c r="AG448" i="6"/>
  <c r="AF448" i="6" s="1"/>
  <c r="F448" i="6" s="1"/>
  <c r="AG390" i="6"/>
  <c r="AF390" i="6" s="1"/>
  <c r="F390" i="6" s="1"/>
  <c r="AG310" i="6"/>
  <c r="AF310" i="6" s="1"/>
  <c r="F310" i="6" s="1"/>
  <c r="AG158" i="6"/>
  <c r="AF158" i="6" s="1"/>
  <c r="F158" i="6" s="1"/>
  <c r="AG47" i="6"/>
  <c r="AF47" i="6" s="1"/>
  <c r="F47" i="6" s="1"/>
  <c r="AG341" i="6"/>
  <c r="AF341" i="6" s="1"/>
  <c r="F341" i="6" s="1"/>
  <c r="AG148" i="6"/>
  <c r="AF148" i="6" s="1"/>
  <c r="F148" i="6" s="1"/>
  <c r="AG26" i="6"/>
  <c r="AF26" i="6" s="1"/>
  <c r="F26" i="6" s="1"/>
  <c r="AG128" i="6"/>
  <c r="AF128" i="6" s="1"/>
  <c r="F128" i="6" s="1"/>
  <c r="AG388" i="6"/>
  <c r="AF388" i="6" s="1"/>
  <c r="F388" i="6" s="1"/>
  <c r="AG232" i="6"/>
  <c r="AF232" i="6" s="1"/>
  <c r="F232" i="6" s="1"/>
  <c r="AG60" i="6"/>
  <c r="AF60" i="6" s="1"/>
  <c r="F60" i="6" s="1"/>
  <c r="AG286" i="6"/>
  <c r="AF286" i="6" s="1"/>
  <c r="F286" i="6" s="1"/>
  <c r="AG184" i="6"/>
  <c r="AF184" i="6" s="1"/>
  <c r="F184" i="6" s="1"/>
  <c r="AG209" i="6"/>
  <c r="AF209" i="6" s="1"/>
  <c r="F209" i="6" s="1"/>
  <c r="AG414" i="6"/>
  <c r="AF414" i="6" s="1"/>
  <c r="F414" i="6" s="1"/>
  <c r="AG57" i="6"/>
  <c r="AF57" i="6" s="1"/>
  <c r="F57" i="6" s="1"/>
  <c r="AG465" i="6"/>
  <c r="AF465" i="6" s="1"/>
  <c r="F465" i="6" s="1"/>
  <c r="AG434" i="6"/>
  <c r="AF434" i="6" s="1"/>
  <c r="F434" i="6" s="1"/>
  <c r="AG262" i="6"/>
  <c r="AF262" i="6" s="1"/>
  <c r="F262" i="6" s="1"/>
  <c r="AG46" i="6"/>
  <c r="AF46" i="6" s="1"/>
  <c r="F46" i="6" s="1"/>
  <c r="AG139" i="6"/>
  <c r="AF139" i="6" s="1"/>
  <c r="F139" i="6" s="1"/>
  <c r="AG459" i="6"/>
  <c r="AF459" i="6" s="1"/>
  <c r="F459" i="6" s="1"/>
  <c r="AG218" i="6"/>
  <c r="AF218" i="6" s="1"/>
  <c r="F218" i="6" s="1"/>
  <c r="AG365" i="6"/>
  <c r="AF365" i="6" s="1"/>
  <c r="F365" i="6" s="1"/>
  <c r="AG290" i="6"/>
  <c r="AF290" i="6" s="1"/>
  <c r="F290" i="6" s="1"/>
  <c r="AG260" i="6"/>
  <c r="AF260" i="6" s="1"/>
  <c r="F260" i="6" s="1"/>
  <c r="AG190" i="6"/>
  <c r="AF190" i="6" s="1"/>
  <c r="F190" i="6" s="1"/>
  <c r="AG225" i="6"/>
  <c r="AF225" i="6" s="1"/>
  <c r="F225" i="6" s="1"/>
  <c r="AG370" i="6"/>
  <c r="AF370" i="6" s="1"/>
  <c r="F370" i="6" s="1"/>
  <c r="AG359" i="6"/>
  <c r="AF359" i="6" s="1"/>
  <c r="F359" i="6" s="1"/>
  <c r="AG201" i="6"/>
  <c r="AF201" i="6" s="1"/>
  <c r="F201" i="6" s="1"/>
  <c r="AG307" i="6"/>
  <c r="AF307" i="6" s="1"/>
  <c r="F307" i="6" s="1"/>
  <c r="AG33" i="6"/>
  <c r="AF33" i="6" s="1"/>
  <c r="F33" i="6" s="1"/>
  <c r="AG255" i="6"/>
  <c r="AF255" i="6" s="1"/>
  <c r="F255" i="6" s="1"/>
  <c r="AG73" i="6"/>
  <c r="AF73" i="6" s="1"/>
  <c r="F73" i="6" s="1"/>
  <c r="AG42" i="6"/>
  <c r="AF42" i="6" s="1"/>
  <c r="F42" i="6" s="1"/>
  <c r="AG17" i="6"/>
  <c r="AF17" i="6" s="1"/>
  <c r="F17" i="6" s="1"/>
  <c r="AG380" i="6"/>
  <c r="AF380" i="6" s="1"/>
  <c r="F380" i="6" s="1"/>
  <c r="AG273" i="6"/>
  <c r="AF273" i="6" s="1"/>
  <c r="F273" i="6" s="1"/>
  <c r="AG40" i="6"/>
  <c r="AF40" i="6" s="1"/>
  <c r="F40" i="6" s="1"/>
  <c r="AG445" i="6"/>
  <c r="AF445" i="6" s="1"/>
  <c r="F445" i="6" s="1"/>
  <c r="AG59" i="6"/>
  <c r="AF59" i="6" s="1"/>
  <c r="F59" i="6" s="1"/>
  <c r="AG117" i="6"/>
  <c r="AF117" i="6" s="1"/>
  <c r="F117" i="6" s="1"/>
  <c r="AG277" i="6"/>
  <c r="AF277" i="6" s="1"/>
  <c r="F277" i="6" s="1"/>
  <c r="AG418" i="6"/>
  <c r="AF418" i="6" s="1"/>
  <c r="F418" i="6" s="1"/>
  <c r="AG37" i="6"/>
  <c r="AF37" i="6" s="1"/>
  <c r="F37" i="6" s="1"/>
  <c r="AG372" i="6"/>
  <c r="AF372" i="6" s="1"/>
  <c r="F372" i="6" s="1"/>
  <c r="AG221" i="6"/>
  <c r="AF221" i="6" s="1"/>
  <c r="F221" i="6" s="1"/>
  <c r="AG67" i="6"/>
  <c r="AF67" i="6" s="1"/>
  <c r="F67" i="6" s="1"/>
  <c r="AG350" i="6"/>
  <c r="AF350" i="6" s="1"/>
  <c r="F350" i="6" s="1"/>
  <c r="AG113" i="6"/>
  <c r="AF113" i="6" s="1"/>
  <c r="F113" i="6" s="1"/>
  <c r="AG229" i="6"/>
  <c r="AF229" i="6" s="1"/>
  <c r="F229" i="6" s="1"/>
  <c r="AG77" i="6"/>
  <c r="AF77" i="6" s="1"/>
  <c r="F77" i="6" s="1"/>
  <c r="AG112" i="6"/>
  <c r="AF112" i="6" s="1"/>
  <c r="F112" i="6" s="1"/>
  <c r="AG31" i="6"/>
  <c r="AF31" i="6" s="1"/>
  <c r="F31" i="6" s="1"/>
  <c r="AG52" i="6"/>
  <c r="AF52" i="6" s="1"/>
  <c r="F52" i="6" s="1"/>
  <c r="AG214" i="6"/>
  <c r="AF214" i="6" s="1"/>
  <c r="F214" i="6" s="1"/>
  <c r="AG343" i="6"/>
  <c r="AF343" i="6" s="1"/>
  <c r="F343" i="6" s="1"/>
  <c r="AG334" i="6"/>
  <c r="AF334" i="6" s="1"/>
  <c r="F334" i="6" s="1"/>
  <c r="AG449" i="6"/>
  <c r="AF449" i="6" s="1"/>
  <c r="F449" i="6" s="1"/>
  <c r="AG360" i="6"/>
  <c r="AF360" i="6" s="1"/>
  <c r="F360" i="6" s="1"/>
  <c r="AG352" i="6"/>
  <c r="AF352" i="6" s="1"/>
  <c r="F352" i="6" s="1"/>
  <c r="AG291" i="6"/>
  <c r="AF291" i="6" s="1"/>
  <c r="F291" i="6" s="1"/>
  <c r="AG44" i="6"/>
  <c r="AF44" i="6" s="1"/>
  <c r="F44" i="6" s="1"/>
  <c r="AG254" i="6"/>
  <c r="AF254" i="6" s="1"/>
  <c r="F254" i="6" s="1"/>
  <c r="AG212" i="6"/>
  <c r="AF212" i="6" s="1"/>
  <c r="F212" i="6" s="1"/>
  <c r="AG71" i="6"/>
  <c r="AF71" i="6" s="1"/>
  <c r="F71" i="6" s="1"/>
  <c r="AG129" i="6"/>
  <c r="AF129" i="6" s="1"/>
  <c r="F129" i="6" s="1"/>
  <c r="AG422" i="6"/>
  <c r="AF422" i="6" s="1"/>
  <c r="F422" i="6" s="1"/>
  <c r="AG230" i="6"/>
  <c r="AF230" i="6" s="1"/>
  <c r="F230" i="6" s="1"/>
  <c r="AG298" i="6"/>
  <c r="AF298" i="6" s="1"/>
  <c r="F298" i="6" s="1"/>
  <c r="AG351" i="6"/>
  <c r="AF351" i="6" s="1"/>
  <c r="F351" i="6" s="1"/>
  <c r="AG41" i="6"/>
  <c r="AF41" i="6" s="1"/>
  <c r="F41" i="6" s="1"/>
  <c r="AG223" i="6"/>
  <c r="AF223" i="6" s="1"/>
  <c r="F223" i="6" s="1"/>
  <c r="AG193" i="6"/>
  <c r="AF193" i="6" s="1"/>
  <c r="F193" i="6" s="1"/>
  <c r="AG101" i="6"/>
  <c r="AF101" i="6" s="1"/>
  <c r="F101" i="6" s="1"/>
  <c r="AG93" i="6"/>
  <c r="AF93" i="6" s="1"/>
  <c r="F93" i="6" s="1"/>
  <c r="AG373" i="6"/>
  <c r="AF373" i="6" s="1"/>
  <c r="F373" i="6" s="1"/>
  <c r="AG54" i="6"/>
  <c r="AF54" i="6" s="1"/>
  <c r="F54" i="6" s="1"/>
  <c r="AG391" i="6"/>
  <c r="AF391" i="6" s="1"/>
  <c r="F391" i="6" s="1"/>
  <c r="AG358" i="6"/>
  <c r="AF358" i="6" s="1"/>
  <c r="F358" i="6" s="1"/>
  <c r="AG126" i="6"/>
  <c r="AF126" i="6" s="1"/>
  <c r="F126" i="6" s="1"/>
  <c r="AG14" i="6"/>
  <c r="AF14" i="6" s="1"/>
  <c r="F14" i="6" s="1"/>
  <c r="AG261" i="6"/>
  <c r="AF261" i="6" s="1"/>
  <c r="F261" i="6" s="1"/>
  <c r="AG239" i="6"/>
  <c r="AF239" i="6" s="1"/>
  <c r="F239" i="6" s="1"/>
  <c r="AG85" i="6"/>
  <c r="AF85" i="6" s="1"/>
  <c r="F85" i="6" s="1"/>
  <c r="AG236" i="6"/>
  <c r="AF236" i="6" s="1"/>
  <c r="F236" i="6" s="1"/>
  <c r="AG384" i="6"/>
  <c r="AF384" i="6" s="1"/>
  <c r="F384" i="6" s="1"/>
  <c r="AG30" i="6"/>
  <c r="AF30" i="6" s="1"/>
  <c r="F30" i="6" s="1"/>
  <c r="AG238" i="6"/>
  <c r="AF238" i="6" s="1"/>
  <c r="F238" i="6" s="1"/>
  <c r="AG275" i="6"/>
  <c r="AF275" i="6" s="1"/>
  <c r="F275" i="6" s="1"/>
  <c r="AG143" i="6"/>
  <c r="AF143" i="6" s="1"/>
  <c r="F143" i="6" s="1"/>
  <c r="AG134" i="6"/>
  <c r="AF134" i="6" s="1"/>
  <c r="F134" i="6" s="1"/>
  <c r="AG123" i="6"/>
  <c r="AF123" i="6" s="1"/>
  <c r="F123" i="6" s="1"/>
  <c r="AG155" i="6"/>
  <c r="AF155" i="6" s="1"/>
  <c r="F155" i="6" s="1"/>
  <c r="AG102" i="6"/>
  <c r="AF102" i="6" s="1"/>
  <c r="F102" i="6" s="1"/>
  <c r="AG440" i="6"/>
  <c r="AF440" i="6" s="1"/>
  <c r="F440" i="6" s="1"/>
  <c r="AG357" i="6"/>
  <c r="AF357" i="6" s="1"/>
  <c r="F357" i="6" s="1"/>
  <c r="AG199" i="6"/>
  <c r="AF199" i="6" s="1"/>
  <c r="F199" i="6" s="1"/>
  <c r="AG183" i="6"/>
  <c r="AF183" i="6" s="1"/>
  <c r="F183" i="6" s="1"/>
  <c r="AG308" i="6"/>
  <c r="AF308" i="6" s="1"/>
  <c r="F308" i="6" s="1"/>
  <c r="AG425" i="6"/>
  <c r="AF425" i="6" s="1"/>
  <c r="F425" i="6" s="1"/>
  <c r="AG392" i="6"/>
  <c r="AF392" i="6" s="1"/>
  <c r="F392" i="6" s="1"/>
  <c r="AG191" i="6"/>
  <c r="AF191" i="6" s="1"/>
  <c r="F191" i="6" s="1"/>
  <c r="AG283" i="6"/>
  <c r="AF283" i="6" s="1"/>
  <c r="F283" i="6" s="1"/>
  <c r="AG395" i="6"/>
  <c r="AF395" i="6" s="1"/>
  <c r="F395" i="6" s="1"/>
  <c r="AG203" i="6"/>
  <c r="AF203" i="6" s="1"/>
  <c r="F203" i="6" s="1"/>
  <c r="AG121" i="6"/>
  <c r="AF121" i="6" s="1"/>
  <c r="F121" i="6" s="1"/>
  <c r="AG228" i="6"/>
  <c r="AF228" i="6" s="1"/>
  <c r="F228" i="6" s="1"/>
  <c r="AG185" i="6"/>
  <c r="AF185" i="6" s="1"/>
  <c r="F185" i="6" s="1"/>
  <c r="AG222" i="6"/>
  <c r="AF222" i="6" s="1"/>
  <c r="F222" i="6" s="1"/>
  <c r="AG329" i="6"/>
  <c r="AF329" i="6" s="1"/>
  <c r="F329" i="6" s="1"/>
  <c r="AG289" i="6"/>
  <c r="AF289" i="6" s="1"/>
  <c r="F289" i="6" s="1"/>
  <c r="AG409" i="6"/>
  <c r="AF409" i="6" s="1"/>
  <c r="F409" i="6" s="1"/>
  <c r="AG213" i="6"/>
  <c r="AF213" i="6" s="1"/>
  <c r="F213" i="6" s="1"/>
  <c r="AG314" i="6"/>
  <c r="AF314" i="6" s="1"/>
  <c r="F314" i="6" s="1"/>
  <c r="AG467" i="6"/>
  <c r="AF467" i="6" s="1"/>
  <c r="F467" i="6" s="1"/>
  <c r="AG309" i="6"/>
  <c r="AF309" i="6" s="1"/>
  <c r="F309" i="6" s="1"/>
  <c r="AG328" i="6"/>
  <c r="AF328" i="6" s="1"/>
  <c r="F328" i="6" s="1"/>
  <c r="AG104" i="6"/>
  <c r="AF104" i="6" s="1"/>
  <c r="F104" i="6" s="1"/>
  <c r="AG146" i="6"/>
  <c r="AF146" i="6" s="1"/>
  <c r="F146" i="6" s="1"/>
  <c r="AG331" i="6"/>
  <c r="AF331" i="6" s="1"/>
  <c r="F331" i="6" s="1"/>
  <c r="AG194" i="6"/>
  <c r="AF194" i="6" s="1"/>
  <c r="F194" i="6" s="1"/>
  <c r="AG35" i="6"/>
  <c r="AF35" i="6" s="1"/>
  <c r="F35" i="6" s="1"/>
  <c r="AG49" i="6"/>
  <c r="AF49" i="6" s="1"/>
  <c r="F49" i="6" s="1"/>
  <c r="AG443" i="6"/>
  <c r="AF443" i="6" s="1"/>
  <c r="F443" i="6" s="1"/>
  <c r="AG269" i="6"/>
  <c r="AF269" i="6" s="1"/>
  <c r="F269" i="6" s="1"/>
  <c r="AG462" i="6"/>
  <c r="AF462" i="6" s="1"/>
  <c r="F462" i="6" s="1"/>
  <c r="AG398" i="6"/>
  <c r="AF398" i="6" s="1"/>
  <c r="F398" i="6" s="1"/>
  <c r="AG22" i="6"/>
  <c r="AF22" i="6" s="1"/>
  <c r="F22" i="6" s="1"/>
  <c r="AG385" i="6"/>
  <c r="AF385" i="6" s="1"/>
  <c r="F385" i="6" s="1"/>
  <c r="AG116" i="6"/>
  <c r="AF116" i="6" s="1"/>
  <c r="F116" i="6" s="1"/>
  <c r="AG130" i="6"/>
  <c r="AF130" i="6" s="1"/>
  <c r="F130" i="6" s="1"/>
  <c r="AG249" i="6"/>
  <c r="AF249" i="6" s="1"/>
  <c r="F249" i="6" s="1"/>
  <c r="AG36" i="6"/>
  <c r="AF36" i="6" s="1"/>
  <c r="F36" i="6" s="1"/>
  <c r="AG182" i="6"/>
  <c r="AF182" i="6" s="1"/>
  <c r="F182" i="6" s="1"/>
  <c r="AG204" i="6"/>
  <c r="AF204" i="6" s="1"/>
  <c r="F204" i="6" s="1"/>
  <c r="AG69" i="6"/>
  <c r="AF69" i="6" s="1"/>
  <c r="F69" i="6" s="1"/>
  <c r="AG10" i="6"/>
  <c r="AF10" i="6" s="1"/>
  <c r="F10" i="6" s="1"/>
  <c r="AG98" i="6"/>
  <c r="AF98" i="6" s="1"/>
  <c r="F98" i="6" s="1"/>
  <c r="AG402" i="6"/>
  <c r="AF402" i="6" s="1"/>
  <c r="F402" i="6" s="1"/>
  <c r="AG235" i="6"/>
  <c r="AF235" i="6" s="1"/>
  <c r="F235" i="6" s="1"/>
  <c r="AG299" i="6"/>
  <c r="AF299" i="6" s="1"/>
  <c r="F299" i="6" s="1"/>
  <c r="AG133" i="6"/>
  <c r="AF133" i="6" s="1"/>
  <c r="F133" i="6" s="1"/>
  <c r="AG386" i="6"/>
  <c r="AF386" i="6" s="1"/>
  <c r="F386" i="6" s="1"/>
  <c r="AG377" i="6"/>
  <c r="AF377" i="6" s="1"/>
  <c r="F377" i="6" s="1"/>
  <c r="AG99" i="6"/>
  <c r="AF99" i="6" s="1"/>
  <c r="F99" i="6" s="1"/>
  <c r="AG349" i="6"/>
  <c r="AF349" i="6" s="1"/>
  <c r="F349" i="6" s="1"/>
  <c r="AG424" i="6"/>
  <c r="AF424" i="6" s="1"/>
  <c r="F424" i="6" s="1"/>
  <c r="AG463" i="6"/>
  <c r="AF463" i="6" s="1"/>
  <c r="F463" i="6" s="1"/>
  <c r="AG332" i="6"/>
  <c r="AF332" i="6" s="1"/>
  <c r="F332" i="6" s="1"/>
  <c r="AG393" i="6"/>
  <c r="AF393" i="6" s="1"/>
  <c r="F393" i="6" s="1"/>
  <c r="AG28" i="6"/>
  <c r="AF28" i="6" s="1"/>
  <c r="F28" i="6" s="1"/>
  <c r="AG149" i="6"/>
  <c r="AF149" i="6" s="1"/>
  <c r="F149" i="6" s="1"/>
  <c r="AG301" i="6"/>
  <c r="AF301" i="6" s="1"/>
  <c r="F301" i="6" s="1"/>
  <c r="AG327" i="6"/>
  <c r="AF327" i="6" s="1"/>
  <c r="F327" i="6" s="1"/>
  <c r="AG430" i="6"/>
  <c r="AF430" i="6" s="1"/>
  <c r="F430" i="6" s="1"/>
  <c r="L8" i="6" l="1"/>
  <c r="A12" i="10"/>
  <c r="A13" i="10" s="1"/>
  <c r="A14" i="10" s="1"/>
  <c r="A15" i="10" s="1"/>
  <c r="I8" i="6"/>
  <c r="O8" i="6"/>
  <c r="R8" i="6"/>
  <c r="F8" i="6"/>
  <c r="A16" i="10" l="1"/>
  <c r="A17" i="10" l="1"/>
  <c r="A18" i="10" l="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D16" i="10" l="1"/>
  <c r="D9" i="10"/>
  <c r="D12" i="10"/>
  <c r="D10" i="10"/>
  <c r="D2" i="10"/>
  <c r="D4" i="10"/>
  <c r="D3" i="10"/>
  <c r="D8" i="10"/>
  <c r="D7" i="10"/>
  <c r="D13" i="10"/>
  <c r="D6" i="10"/>
  <c r="D14" i="10"/>
  <c r="D5" i="10"/>
  <c r="D212" i="10"/>
  <c r="D36" i="10"/>
  <c r="D323" i="10"/>
  <c r="D303" i="10"/>
  <c r="D47" i="10"/>
  <c r="D210" i="10"/>
  <c r="D174" i="10"/>
  <c r="D312" i="10"/>
  <c r="D94" i="10"/>
  <c r="D28" i="10"/>
  <c r="D139" i="10"/>
  <c r="D221" i="10"/>
  <c r="D175" i="10"/>
  <c r="D61" i="10"/>
  <c r="D67" i="10"/>
  <c r="D262" i="10"/>
  <c r="D244" i="10"/>
  <c r="D33" i="10"/>
  <c r="D284" i="10"/>
  <c r="D18" i="10"/>
  <c r="D213" i="10"/>
  <c r="D177" i="10"/>
  <c r="D11" i="10"/>
  <c r="D89" i="10"/>
  <c r="D70" i="10"/>
  <c r="D26" i="10"/>
  <c r="D264" i="10"/>
  <c r="D20" i="10"/>
  <c r="D271" i="10"/>
  <c r="D275" i="10"/>
  <c r="D103" i="10"/>
  <c r="D24" i="10"/>
  <c r="D276" i="10"/>
  <c r="D219" i="10"/>
  <c r="D64" i="10"/>
  <c r="D305" i="10"/>
  <c r="D289" i="10"/>
  <c r="D131" i="10"/>
  <c r="D136" i="10"/>
  <c r="D99" i="10"/>
  <c r="D192" i="10"/>
  <c r="D181" i="10"/>
  <c r="D214" i="10"/>
  <c r="D150" i="10"/>
  <c r="D206" i="10"/>
  <c r="D22" i="10"/>
  <c r="D282" i="10"/>
  <c r="D138" i="10"/>
  <c r="D135" i="10"/>
  <c r="D32" i="10"/>
  <c r="D232" i="10"/>
  <c r="D195" i="10"/>
  <c r="D256" i="10"/>
  <c r="D121" i="10"/>
  <c r="D69" i="10"/>
  <c r="D320" i="10"/>
  <c r="D56" i="10"/>
  <c r="D100" i="10"/>
  <c r="D209" i="10"/>
  <c r="D72" i="10"/>
  <c r="D60" i="10"/>
  <c r="D190" i="10"/>
  <c r="D281" i="10"/>
  <c r="D92" i="10"/>
  <c r="D82" i="10"/>
  <c r="D55" i="10"/>
  <c r="D30" i="10"/>
  <c r="D316" i="10"/>
  <c r="D31" i="10"/>
  <c r="D162" i="10"/>
  <c r="D145" i="10"/>
  <c r="D274" i="10"/>
  <c r="D112" i="10"/>
  <c r="D86" i="10"/>
  <c r="D46" i="10"/>
  <c r="D148" i="10"/>
  <c r="D246" i="10"/>
  <c r="D185" i="10"/>
  <c r="D171" i="10"/>
  <c r="D25" i="10"/>
  <c r="D267" i="10"/>
  <c r="D176" i="10"/>
  <c r="D110" i="10"/>
  <c r="D318" i="10"/>
  <c r="D53" i="10"/>
  <c r="D183" i="10"/>
  <c r="D222" i="10"/>
  <c r="D84" i="10"/>
  <c r="D132" i="10"/>
  <c r="D157" i="10"/>
  <c r="D173" i="10"/>
  <c r="D134" i="10"/>
  <c r="D223" i="10"/>
  <c r="D38" i="10"/>
  <c r="D317" i="10"/>
  <c r="D217" i="10"/>
  <c r="D193" i="10"/>
  <c r="D52" i="10"/>
  <c r="D58" i="10"/>
  <c r="D207" i="10"/>
  <c r="D44" i="10"/>
  <c r="D321" i="10"/>
  <c r="D17" i="10"/>
  <c r="D29" i="10"/>
  <c r="D62" i="10"/>
  <c r="D270" i="10"/>
  <c r="D73" i="10"/>
  <c r="D253" i="10"/>
  <c r="D247" i="10"/>
  <c r="D42" i="10"/>
  <c r="D283" i="10"/>
  <c r="D144" i="10"/>
  <c r="D322" i="10"/>
  <c r="D248" i="10"/>
  <c r="D225" i="10"/>
  <c r="D286" i="10"/>
  <c r="D90" i="10"/>
  <c r="D156" i="10"/>
  <c r="D153" i="10"/>
  <c r="D243" i="10"/>
  <c r="D21" i="10"/>
  <c r="D143" i="10"/>
  <c r="D242" i="10"/>
  <c r="D126" i="10"/>
  <c r="D141" i="10"/>
  <c r="D329" i="10"/>
  <c r="D83" i="10"/>
  <c r="D40" i="10"/>
  <c r="D294" i="10"/>
  <c r="D133" i="10"/>
  <c r="D147" i="10"/>
  <c r="D293" i="10"/>
  <c r="D151" i="10"/>
  <c r="D299" i="10"/>
  <c r="D93" i="10"/>
  <c r="D306" i="10"/>
  <c r="D196" i="10"/>
  <c r="D257" i="10"/>
  <c r="D85" i="10"/>
  <c r="D45" i="10"/>
  <c r="D140" i="10"/>
  <c r="D201" i="10"/>
  <c r="D290" i="10"/>
  <c r="D258" i="10"/>
  <c r="D251" i="10"/>
  <c r="D310" i="10"/>
  <c r="D91" i="10"/>
  <c r="D167" i="10"/>
  <c r="D296" i="10"/>
  <c r="D49" i="10"/>
  <c r="D106" i="10"/>
  <c r="D307" i="10"/>
  <c r="D164" i="10"/>
  <c r="D19" i="10"/>
  <c r="D118" i="10"/>
  <c r="D43" i="10"/>
  <c r="D230" i="10"/>
  <c r="D227" i="10"/>
  <c r="D218" i="10"/>
  <c r="D161" i="10"/>
  <c r="D236" i="10"/>
  <c r="D260" i="10"/>
  <c r="D163" i="10"/>
  <c r="D298" i="10"/>
  <c r="D101" i="10"/>
  <c r="D280" i="10"/>
  <c r="D285" i="10"/>
  <c r="D202" i="10"/>
  <c r="D105" i="10"/>
  <c r="D114" i="10"/>
  <c r="D199" i="10"/>
  <c r="D23" i="10"/>
  <c r="D288" i="10"/>
  <c r="D184" i="10"/>
  <c r="D204" i="10"/>
  <c r="D292" i="10"/>
  <c r="D235" i="10"/>
  <c r="D245" i="10"/>
  <c r="D77" i="10"/>
  <c r="D215" i="10"/>
  <c r="D15" i="10"/>
  <c r="D130" i="10"/>
  <c r="D129" i="10"/>
  <c r="D78" i="10"/>
  <c r="D107" i="10"/>
  <c r="D314" i="10"/>
  <c r="D191" i="10"/>
  <c r="D109" i="10"/>
  <c r="D97" i="10"/>
  <c r="D128" i="10"/>
  <c r="D115" i="10"/>
  <c r="D291" i="10"/>
  <c r="D137" i="10"/>
  <c r="D182" i="10"/>
  <c r="D302" i="10"/>
  <c r="D178" i="10"/>
  <c r="D155" i="10"/>
  <c r="D108" i="10"/>
  <c r="D39" i="10"/>
  <c r="D287" i="10"/>
  <c r="D160" i="10"/>
  <c r="D208" i="10"/>
  <c r="D124" i="10"/>
  <c r="D119" i="10"/>
  <c r="D122" i="10"/>
  <c r="D231" i="10"/>
  <c r="D224" i="10"/>
  <c r="D259" i="10"/>
  <c r="D279" i="10"/>
  <c r="D104" i="10"/>
  <c r="D154" i="10"/>
  <c r="D142" i="10"/>
  <c r="D220" i="10"/>
  <c r="D203" i="10"/>
  <c r="D116" i="10"/>
  <c r="D211" i="10"/>
  <c r="D238" i="10"/>
  <c r="D189" i="10"/>
  <c r="D98" i="10"/>
  <c r="D96" i="10"/>
  <c r="D187" i="10"/>
  <c r="D300" i="10"/>
  <c r="D237" i="10"/>
  <c r="D197" i="10"/>
  <c r="D250" i="10"/>
  <c r="D57" i="10"/>
  <c r="D229" i="10"/>
  <c r="D179" i="10"/>
  <c r="D51" i="10"/>
  <c r="D266" i="10"/>
  <c r="D234" i="10"/>
  <c r="D233" i="10"/>
  <c r="D170" i="10"/>
  <c r="D273" i="10"/>
  <c r="D50" i="10"/>
  <c r="D252" i="10"/>
  <c r="D255" i="10"/>
  <c r="D309" i="10"/>
  <c r="D158" i="10"/>
  <c r="D113" i="10"/>
  <c r="D327" i="10"/>
  <c r="D304" i="10"/>
  <c r="D152" i="10"/>
  <c r="D68" i="10"/>
  <c r="D240" i="10"/>
  <c r="D41" i="10"/>
  <c r="D311" i="10"/>
  <c r="D37" i="10"/>
  <c r="D146" i="10"/>
  <c r="D59" i="10"/>
  <c r="D172" i="10"/>
  <c r="D198" i="10"/>
  <c r="D295" i="10"/>
  <c r="D278" i="10"/>
  <c r="D241" i="10"/>
  <c r="D169" i="10"/>
  <c r="D48" i="10"/>
  <c r="D166" i="10"/>
  <c r="D272" i="10"/>
  <c r="D95" i="10"/>
  <c r="D325" i="10"/>
  <c r="D65" i="10"/>
  <c r="D34" i="10"/>
  <c r="D186" i="10"/>
  <c r="D81" i="10"/>
  <c r="D239" i="10"/>
  <c r="D123" i="10"/>
  <c r="D326" i="10"/>
  <c r="D200" i="10"/>
  <c r="D216" i="10"/>
  <c r="D297" i="10"/>
  <c r="D268" i="10"/>
  <c r="D205" i="10"/>
  <c r="D66" i="10"/>
  <c r="D328" i="10"/>
  <c r="D277" i="10"/>
  <c r="D188" i="10"/>
  <c r="D159" i="10"/>
  <c r="D165" i="10"/>
  <c r="D263" i="10"/>
  <c r="D111" i="10"/>
  <c r="D102" i="10"/>
  <c r="D324" i="10"/>
  <c r="D35" i="10"/>
  <c r="D261" i="10"/>
  <c r="D120" i="10"/>
  <c r="D75" i="10"/>
  <c r="D87" i="10"/>
  <c r="D88" i="10"/>
  <c r="D63" i="10"/>
  <c r="D127" i="10"/>
  <c r="D194" i="10"/>
  <c r="D228" i="10"/>
  <c r="D301" i="10"/>
  <c r="D315" i="10"/>
  <c r="D54" i="10"/>
  <c r="D319" i="10"/>
  <c r="D125" i="10"/>
  <c r="D308" i="10"/>
  <c r="D180" i="10"/>
  <c r="D265" i="10"/>
  <c r="D168" i="10"/>
  <c r="D254" i="10"/>
  <c r="D149" i="10"/>
  <c r="D269" i="10"/>
  <c r="D226" i="10"/>
  <c r="D249" i="10"/>
  <c r="D76" i="10"/>
  <c r="D71" i="10"/>
  <c r="D27" i="10"/>
  <c r="D74" i="10"/>
  <c r="D313" i="10"/>
  <c r="D117" i="10"/>
  <c r="D80" i="10"/>
  <c r="D79" i="10"/>
  <c r="C1" i="10" l="1"/>
  <c r="C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A982C217-31CC-4C52-908B-D64E683A4EA0}">
      <text>
        <r>
          <rPr>
            <b/>
            <sz val="9"/>
            <color indexed="81"/>
            <rFont val="Tahoma"/>
            <family val="2"/>
          </rPr>
          <t>To search for an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<sst xmlns="http://schemas.openxmlformats.org/spreadsheetml/2006/main" count="113076" uniqueCount="15633">
  <si>
    <t>Select Area:</t>
  </si>
  <si>
    <t>New Forest</t>
  </si>
  <si>
    <t>South East</t>
  </si>
  <si>
    <t>View PRPs in area</t>
  </si>
  <si>
    <t>!!Titles Columns!!</t>
  </si>
  <si>
    <t>Area, Region &amp; England</t>
  </si>
  <si>
    <t>England</t>
  </si>
  <si>
    <t>Chart 5</t>
  </si>
  <si>
    <t>Owned</t>
  </si>
  <si>
    <t>Managed</t>
  </si>
  <si>
    <t>Chart 6</t>
  </si>
  <si>
    <t>Low cost rental</t>
  </si>
  <si>
    <t>General needs</t>
  </si>
  <si>
    <t>(in pie chart) &gt;</t>
  </si>
  <si>
    <t>Chart 7</t>
  </si>
  <si>
    <t>General needs self-contained</t>
  </si>
  <si>
    <t>Chart 8</t>
  </si>
  <si>
    <t>General needs non-self-contained</t>
  </si>
  <si>
    <t>Supported housing</t>
  </si>
  <si>
    <t>Housing for older people</t>
  </si>
  <si>
    <t>Low cost home ownership (LCHO)*</t>
  </si>
  <si>
    <t>Low cost home ownership (LCHO)</t>
  </si>
  <si>
    <t>Decent Homes Standard (DHS)</t>
  </si>
  <si>
    <t>Percentage of low cost rental units owned which failed the DHS</t>
  </si>
  <si>
    <t>PRP counts</t>
  </si>
  <si>
    <t>Sales type</t>
  </si>
  <si>
    <t>Small PRPs (&lt;1,000 units owned)</t>
  </si>
  <si>
    <t>Total sales to registered providers</t>
  </si>
  <si>
    <t>Large PRPs (1,000+ units owned)</t>
  </si>
  <si>
    <t>Total sales to tenants</t>
  </si>
  <si>
    <t>Total PRPs</t>
  </si>
  <si>
    <t>Total sales to other</t>
  </si>
  <si>
    <t>First tranche low cost home ownership sales</t>
  </si>
  <si>
    <t>Owned units</t>
  </si>
  <si>
    <t>100% staircased low cost home ownership sales</t>
  </si>
  <si>
    <t>Total Units</t>
  </si>
  <si>
    <t>% of stock owned</t>
  </si>
  <si>
    <t>Large PRPs only - unweighted.</t>
  </si>
  <si>
    <t xml:space="preserve">Total general needs self-contained vacant units
</t>
  </si>
  <si>
    <t xml:space="preserve">General needs - self-contained - owned </t>
  </si>
  <si>
    <t>Vacant and available for letting</t>
  </si>
  <si>
    <t>(in bar chart)</t>
  </si>
  <si>
    <t>Vacant and not available for letting</t>
  </si>
  <si>
    <t>Total number of vacant units</t>
  </si>
  <si>
    <t>% of units vacant</t>
  </si>
  <si>
    <t>Includes intermediate rent and Affordable Rent general needs units</t>
  </si>
  <si>
    <t>Net</t>
  </si>
  <si>
    <t>Service</t>
  </si>
  <si>
    <t>Gross</t>
  </si>
  <si>
    <t>Unit</t>
  </si>
  <si>
    <t>rent</t>
  </si>
  <si>
    <t>charge^</t>
  </si>
  <si>
    <t>rent^</t>
  </si>
  <si>
    <t>count</t>
  </si>
  <si>
    <t xml:space="preserve">Owned stock.  Large PRPs only - unweighted.  Stock outside England is excluded.  </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</si>
  <si>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</si>
  <si>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Supported housing / housing for older people</t>
  </si>
  <si>
    <t>Affordable Rent general needs</t>
  </si>
  <si>
    <t xml:space="preserve">Owned stock.  All PRPs owning Affordable Rent units - unweighted.  Stock outside England is excluded.  </t>
  </si>
  <si>
    <t>Affordable Rent supported housing / housing for older people</t>
  </si>
  <si>
    <t>£ per week</t>
  </si>
  <si>
    <t>Unit Size</t>
  </si>
  <si>
    <t xml:space="preserve"> rent</t>
  </si>
  <si>
    <t>Non-self-contained</t>
  </si>
  <si>
    <t>Bedsit</t>
  </si>
  <si>
    <t>1 Bedroom</t>
  </si>
  <si>
    <t>2 Bedroom</t>
  </si>
  <si>
    <t>3 Bedroom</t>
  </si>
  <si>
    <t>4 Bedroom</t>
  </si>
  <si>
    <t>5 Bedroom</t>
  </si>
  <si>
    <t>6+ Bedroom</t>
  </si>
  <si>
    <t>All self-contained</t>
  </si>
  <si>
    <t>All stock sizes</t>
  </si>
  <si>
    <t xml:space="preserve"> </t>
  </si>
  <si>
    <t xml:space="preserve">Unit Size
</t>
  </si>
  <si>
    <t>4+ Bedroom</t>
  </si>
  <si>
    <t>Local Authority / Region</t>
  </si>
  <si>
    <t>LA_Code</t>
  </si>
  <si>
    <t>Region</t>
  </si>
  <si>
    <t>Units owned GN SC - LA</t>
  </si>
  <si>
    <t>Units managed GN SC - LA</t>
  </si>
  <si>
    <t>Units owned GN NSC - LA</t>
  </si>
  <si>
    <t>Units managed GN NSC - LA</t>
  </si>
  <si>
    <t>Units owned SH - LA</t>
  </si>
  <si>
    <t>Units managed SH - LA</t>
  </si>
  <si>
    <t>Units owned HOP - LA</t>
  </si>
  <si>
    <t>Units managed HOP - LA</t>
  </si>
  <si>
    <t>Units owned LCHO &lt;100% Equity - LA</t>
  </si>
  <si>
    <t>Units managed LCHO &lt;100% Equity - LA</t>
  </si>
  <si>
    <t>Total units owned - LA</t>
  </si>
  <si>
    <t>Total units managed - LA</t>
  </si>
  <si>
    <t>DHS - Total social rented stock owned (GN, SH and HOP) - LA</t>
  </si>
  <si>
    <t>DHS - Total number of units owned which failed the DHS - LA</t>
  </si>
  <si>
    <t>PRP count - Small - LA</t>
  </si>
  <si>
    <t>PRP count - Large - LA</t>
  </si>
  <si>
    <t>Owned units - Large - LA</t>
  </si>
  <si>
    <t>GN SC units owned (Large only) - LA</t>
  </si>
  <si>
    <t>Vacant and available for letting - LA</t>
  </si>
  <si>
    <t>Vacant and not available for letting - LA</t>
  </si>
  <si>
    <t>Total vacant units - LA</t>
  </si>
  <si>
    <t>Average weekly rent GN - Net Rent - LA</t>
  </si>
  <si>
    <t>Average weekly rent GN - Target Rent - LA</t>
  </si>
  <si>
    <t>Average weekly rent GN - Service Charge - LA</t>
  </si>
  <si>
    <t>Average weekly rent GN - Gross Rent - LA</t>
  </si>
  <si>
    <t>Average weekly rent GN - Unit Count - LA</t>
  </si>
  <si>
    <t>Average weekly rent SH - Net Rent - LA</t>
  </si>
  <si>
    <t>Average weekly rent SH - Target Rent - LA</t>
  </si>
  <si>
    <t>Average weekly rent SH - Service Charge - LA</t>
  </si>
  <si>
    <t>Average weekly rent SH - Gross Rent - LA</t>
  </si>
  <si>
    <t>Average weekly rent SH - Unit Count - LA</t>
  </si>
  <si>
    <t>Average weekly rent Affordable Rent GN - Gross Rent - LA</t>
  </si>
  <si>
    <t>Average weekly rent Affordable Rent GN - Unit Count - LA</t>
  </si>
  <si>
    <t>Average weekly rent Affordable Rent SH/HOP - Gross Rent - LA</t>
  </si>
  <si>
    <t>Average weekly rent Affordable Rent SH/HOP - Unit Count - LA</t>
  </si>
  <si>
    <t>Average weekly rent GN NSC - Net Rent - LA</t>
  </si>
  <si>
    <t>Average weekly rent GN NSC - Target Rent - LA</t>
  </si>
  <si>
    <t>Average weekly rent GN NSC - Service Charge - LA</t>
  </si>
  <si>
    <t>Average weekly rent GN NSC - Gross Rent - LA</t>
  </si>
  <si>
    <t>Average weekly rent GN NSC - Unit Count - LA</t>
  </si>
  <si>
    <t>Average weekly rent GN Bedsit - Net Rent - LA</t>
  </si>
  <si>
    <t>Average weekly rent GN Bedsit - Target Rent - LA</t>
  </si>
  <si>
    <t>Average weekly rent GN Bedsit - Service Charge - LA</t>
  </si>
  <si>
    <t>Average weekly rent GN Bedsit - Gross Rent - LA</t>
  </si>
  <si>
    <t>Average weekly rent GN Bedsit - Unit Count - LA</t>
  </si>
  <si>
    <t>Average weekly rent GN 1 Bedroom - Net Rent - LA</t>
  </si>
  <si>
    <t>Average weekly rent GN 1 Bedroom - Target Rent - LA</t>
  </si>
  <si>
    <t>Average weekly rent GN 1 Bedroom - Service Charge - LA</t>
  </si>
  <si>
    <t>Average weekly rent GN 1 Bedroom - Gross Rent - LA</t>
  </si>
  <si>
    <t>Average weekly rent GN 1 Bedroom - Unit Count - LA</t>
  </si>
  <si>
    <t>Average weekly rent GN 2 Bedroom - Net Rent - LA</t>
  </si>
  <si>
    <t>Average weekly rent GN 2 Bedroom - Target Rent - LA</t>
  </si>
  <si>
    <t>Average weekly rent GN 2 Bedroom - Service Charge - LA</t>
  </si>
  <si>
    <t>Average weekly rent GN 2 Bedroom - Gross Rent - LA</t>
  </si>
  <si>
    <t>Average weekly rent GN 2 Bedroom - Unit Count - LA</t>
  </si>
  <si>
    <t>Average weekly rent GN 3 Bedroom - Net Rent - LA</t>
  </si>
  <si>
    <t>Average weekly rent GN 3 Bedroom - Target Rent - LA</t>
  </si>
  <si>
    <t>Average weekly rent GN 3 Bedroom - Service Charge - LA</t>
  </si>
  <si>
    <t>Average weekly rent GN 3 Bedroom - Gross Rent - LA</t>
  </si>
  <si>
    <t>Average weekly rent GN 3 Bedroom - Unit Count - LA</t>
  </si>
  <si>
    <t>Average weekly rent GN 4 Bedroom - Net Rent - LA</t>
  </si>
  <si>
    <t>Average weekly rent GN 4 Bedroom - Target Rent - LA</t>
  </si>
  <si>
    <t>Average weekly rent GN 4 Bedroom - Service Charge - LA</t>
  </si>
  <si>
    <t>Average weekly rent GN 4 Bedroom - Gross Rent - LA</t>
  </si>
  <si>
    <t>Average weekly rent GN 4 Bedroom - Unit Count - LA</t>
  </si>
  <si>
    <t>Average weekly rent GN 5 Bedroom - Net Rent - LA</t>
  </si>
  <si>
    <t>Average weekly rent GN 5 Bedroom - Target Rent - LA</t>
  </si>
  <si>
    <t>Average weekly rent GN 5 Bedroom - Service Charge - LA</t>
  </si>
  <si>
    <t>Average weekly rent GN 5 Bedroom - Gross Rent - LA</t>
  </si>
  <si>
    <t>Average weekly rent GN 5 Bedroom - Unit Count - LA</t>
  </si>
  <si>
    <t>Average weekly rent GN 6+ Bedroom - Net Rent - LA</t>
  </si>
  <si>
    <t>Average weekly rent GN 6+ Bedroom - Target Rent - LA</t>
  </si>
  <si>
    <t>Average weekly rent GN 6+ Bedroom - Service Charge - LA</t>
  </si>
  <si>
    <t>Average weekly rent GN 6+ Bedroom - Gross Rent - LA</t>
  </si>
  <si>
    <t>Average weekly rent GN 6+ Bedroom - Unit Count - LA</t>
  </si>
  <si>
    <t>Average weekly rent GN All Self-Contained - Net Rent - LA</t>
  </si>
  <si>
    <t>Average weekly rent GN All Self-Contained - Target Rent - LA</t>
  </si>
  <si>
    <t>Average weekly rent GN All Self-Contained - Service Charge - LA</t>
  </si>
  <si>
    <t>Average weekly rent GN All Self-Contained - Gross Rent - LA</t>
  </si>
  <si>
    <t>Average weekly rent GN All Self-Contained - Unit Count - LA</t>
  </si>
  <si>
    <t>Average weekly rent GN All Stock Sizes - Net Rent - LA</t>
  </si>
  <si>
    <t>Average weekly rent GN All Stock Sizes - Target Rent - LA</t>
  </si>
  <si>
    <t>Average weekly rent GN All Stock Sizes - Service Charge - LA</t>
  </si>
  <si>
    <t>Average weekly rent GN All Stock Sizes - Gross Rent - LA</t>
  </si>
  <si>
    <t>Average weekly rent GN All Stock Sizes - Unit Count - LA</t>
  </si>
  <si>
    <t>Average weekly rent SH/HOP NSC - Net Rent - LA</t>
  </si>
  <si>
    <t>Average weekly rent SH/HOP NSC - Target Rent - LA</t>
  </si>
  <si>
    <t>Average weekly rent SH/HOP NSC - Service Charge - LA</t>
  </si>
  <si>
    <t>Average weekly rent SH/HOP NSC - Gross Rent - LA</t>
  </si>
  <si>
    <t>Average weekly rent SH/HOP NSC - Unit Count - LA</t>
  </si>
  <si>
    <t>Average weekly rent SH/HOP Bedsit - Net Rent - LA</t>
  </si>
  <si>
    <t>Average weekly rent SH/HOP Bedsit - Target Rent - LA</t>
  </si>
  <si>
    <t>Average weekly rent SH/HOP Bedsit - Service Charge - LA</t>
  </si>
  <si>
    <t>Average weekly rent SH/HOP Bedsit - Gross Rent - LA</t>
  </si>
  <si>
    <t>Average weekly rent SH/HOP Bedsit - Unit Count - LA</t>
  </si>
  <si>
    <t>Average weekly rent SH/HOP 1 Bedroom - Net Rent - LA</t>
  </si>
  <si>
    <t>Average weekly rent SH/HOP 1 Bedroom - Target Rent - LA</t>
  </si>
  <si>
    <t>Average weekly rent SH/HOP 1 Bedroom - Service Charge - LA</t>
  </si>
  <si>
    <t>Average weekly rent SH/HOP 1 Bedroom - Gross Rent - LA</t>
  </si>
  <si>
    <t>Average weekly rent SH/HOP 1 Bedroom - Unit Count - LA</t>
  </si>
  <si>
    <t>Average weekly rent SH/HOP 2 Bedroom - Net Rent - LA</t>
  </si>
  <si>
    <t>Average weekly rent SH/HOP 2 Bedroom - Target Rent - LA</t>
  </si>
  <si>
    <t>Average weekly rent SH/HOP 2 Bedroom - Service Charge - LA</t>
  </si>
  <si>
    <t>Average weekly rent SH/HOP 2 Bedroom - Gross Rent - LA</t>
  </si>
  <si>
    <t>Average weekly rent SH/HOP 2 Bedroom - Unit Count - LA</t>
  </si>
  <si>
    <t>Average weekly rent SH/HOP 3 Bedroom - Net Rent - LA</t>
  </si>
  <si>
    <t>Average weekly rent SH/HOP 3 Bedroom - Target Rent - LA</t>
  </si>
  <si>
    <t>Average weekly rent SH/HOP 3 Bedroom - Service Charge - LA</t>
  </si>
  <si>
    <t>Average weekly rent SH/HOP 3 Bedroom - Gross Rent - LA</t>
  </si>
  <si>
    <t>Average weekly rent SH/HOP 3 Bedroom - Unit Count - LA</t>
  </si>
  <si>
    <t>Average weekly rent SH/HOP 4+ Bedroom - Net Rent - LA</t>
  </si>
  <si>
    <t>Average weekly rent SH/HOP 4+ Bedroom - Target Rent - LA</t>
  </si>
  <si>
    <t>Average weekly rent SH/HOP 4+ Bedroom - Service Charge - LA</t>
  </si>
  <si>
    <t>Average weekly rent SH/HOP 4+ Bedroom - Gross Rent - LA</t>
  </si>
  <si>
    <t>Average weekly rent SH/HOP 4+ Bedroom - Unit Count - LA</t>
  </si>
  <si>
    <t>Average weekly rent SH/HOP All Self-Contained Bedroom - Net Rent - LA</t>
  </si>
  <si>
    <t>Average weekly rent SH/HOP All Self-Contained Bedroom - Target Rent - LA</t>
  </si>
  <si>
    <t>Average weekly rent SH/HOP All Self-Contained Bedroom - Service Charge - LA</t>
  </si>
  <si>
    <t>Average weekly rent SH/HOP All Self-Contained Bedroom - Gross Rent - LA</t>
  </si>
  <si>
    <t>Average weekly rent SH/HOP All Self-Contained Bedroom - Unit Count - LA</t>
  </si>
  <si>
    <t>Average weekly rent SH/HOP All Stock Sizes Bedroom - Net Rent - LA</t>
  </si>
  <si>
    <t>Average weekly rent SH/HOP All Stock Sizes Bedroom - Target Rent - LA</t>
  </si>
  <si>
    <t>Average weekly rent SH/HOP All Stock Sizes Bedroom - Service Charge - LA</t>
  </si>
  <si>
    <t>Average weekly rent SH/HOP All Stock Sizes Bedroom - Gross Rent - LA</t>
  </si>
  <si>
    <t>Average weekly rent SH/HOP All Stock Sizes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</si>
  <si>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</si>
  <si>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</si>
  <si>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</si>
  <si>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</si>
  <si>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</si>
  <si>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</si>
  <si>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</si>
  <si>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</si>
  <si>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</si>
  <si>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</si>
  <si>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</si>
  <si>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</si>
  <si>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</si>
  <si>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</si>
  <si>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</si>
  <si>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</si>
  <si>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GN All Self-Contained - Gross Rent - LA</t>
  </si>
  <si>
    <t>Average weekly rent Affordable Rent GN All Self-Contained - Unit Count - LA</t>
  </si>
  <si>
    <t>Average weekly rent Affordable Rent GN All Stock Sizes - Gross Rent - LA</t>
  </si>
  <si>
    <t>Average weekly rent Affordable Rent GN All Stock Sizes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</si>
  <si>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</si>
  <si>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</si>
  <si>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</si>
  <si>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</si>
  <si>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</si>
  <si>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</si>
  <si>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</si>
  <si>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</si>
  <si>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</si>
  <si>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</si>
  <si>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</si>
  <si>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</si>
  <si>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Average weekly rent Affordable Rent SH/HOP All Self-Contained - Gross Rent - LA</t>
  </si>
  <si>
    <t>Average weekly rent Affordable Rent SH/HOP All Self-Contained - Unit Count - LA</t>
  </si>
  <si>
    <t>Average weekly rent Affordable Rent SH/HOP All Stock Sizes - Gross Rent - LA</t>
  </si>
  <si>
    <t>Average weekly rent Affordable Rent SH/HOP All Stock Sizes - Unit Count - LA</t>
  </si>
  <si>
    <t>Sales by large PRPs - sales to RPs - LA</t>
  </si>
  <si>
    <t>Sales by large PRPs - sales to tenants - LA</t>
  </si>
  <si>
    <t>Sales by large PRPs - sales to other - LA</t>
  </si>
  <si>
    <t>Sales by large PRPs - first tranche LCHO sales - LA</t>
  </si>
  <si>
    <t>Sales by large PRPs - 100% staircased LCHO sales - LA</t>
  </si>
  <si>
    <t>T9L1C1</t>
  </si>
  <si>
    <t>T9L2C1</t>
  </si>
  <si>
    <t>T9L3C1</t>
  </si>
  <si>
    <t>T9L4C1</t>
  </si>
  <si>
    <t>T9L5C1</t>
  </si>
  <si>
    <t>T9L6C1</t>
  </si>
  <si>
    <t>T9L7C1</t>
  </si>
  <si>
    <t>T9L8C1</t>
  </si>
  <si>
    <t>T9L9C1</t>
  </si>
  <si>
    <t>T9L10C1</t>
  </si>
  <si>
    <t>T10L1C1</t>
  </si>
  <si>
    <t>T10L2C1</t>
  </si>
  <si>
    <t>T10L3C1</t>
  </si>
  <si>
    <t>T10L4C1</t>
  </si>
  <si>
    <t>T10L5C1</t>
  </si>
  <si>
    <t>T10L6C1</t>
  </si>
  <si>
    <t>T10L7C1</t>
  </si>
  <si>
    <t>T10L8C1</t>
  </si>
  <si>
    <t>T11L1C1</t>
  </si>
  <si>
    <t>T11L2C1</t>
  </si>
  <si>
    <t>T11L3C1</t>
  </si>
  <si>
    <t>T11L4C1</t>
  </si>
  <si>
    <t>T11L5C1</t>
  </si>
  <si>
    <t>T11L6C1</t>
  </si>
  <si>
    <t>T11L7C1</t>
  </si>
  <si>
    <t>T11L8C1</t>
  </si>
  <si>
    <t>T11L9C1</t>
  </si>
  <si>
    <t>T11L10C1</t>
  </si>
  <si>
    <t>T12L1C1</t>
  </si>
  <si>
    <t>T12L2C1</t>
  </si>
  <si>
    <t>T12L3C1</t>
  </si>
  <si>
    <t>T12L4C1</t>
  </si>
  <si>
    <t>T12L5C1</t>
  </si>
  <si>
    <t>T12L6C1</t>
  </si>
  <si>
    <t>T12L7C1</t>
  </si>
  <si>
    <t>T12L8C1</t>
  </si>
  <si>
    <t>00_Eng</t>
  </si>
  <si>
    <t>East Midlands</t>
  </si>
  <si>
    <t>East of England</t>
  </si>
  <si>
    <t>London</t>
  </si>
  <si>
    <t>North East</t>
  </si>
  <si>
    <t>North West</t>
  </si>
  <si>
    <t>South West</t>
  </si>
  <si>
    <t>West Midlands</t>
  </si>
  <si>
    <t>Yorkshire and The Humber</t>
  </si>
  <si>
    <t>Adur</t>
  </si>
  <si>
    <t>E07000223</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</si>
  <si>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</si>
  <si>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</si>
  <si>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</si>
  <si>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</si>
  <si>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</si>
  <si>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</si>
  <si>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</si>
  <si>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</si>
  <si>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</si>
  <si>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</si>
  <si>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</si>
  <si>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</si>
  <si>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</si>
  <si>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</si>
  <si>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</si>
  <si>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</si>
  <si>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</si>
  <si>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</si>
  <si>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</si>
  <si>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</si>
  <si>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</si>
  <si>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</si>
  <si>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</si>
  <si>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</si>
  <si>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</si>
  <si>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</si>
  <si>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</si>
  <si>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</si>
  <si>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</si>
  <si>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</si>
  <si>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</si>
  <si>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</si>
  <si>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</si>
  <si>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</si>
  <si>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</si>
  <si>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</si>
  <si>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</si>
  <si>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</si>
  <si>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</si>
  <si>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</si>
  <si>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</si>
  <si>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</si>
  <si>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</si>
  <si>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</si>
  <si>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</si>
  <si>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</si>
  <si>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</si>
  <si>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</si>
  <si>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</si>
  <si>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</si>
  <si>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</si>
  <si>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</si>
  <si>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</si>
  <si>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</si>
  <si>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</si>
  <si>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</si>
  <si>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</si>
  <si>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</si>
  <si>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</si>
  <si>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</si>
  <si>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</si>
  <si>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</si>
  <si>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</si>
  <si>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</si>
  <si>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</si>
  <si>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</si>
  <si>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</si>
  <si>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</si>
  <si>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</si>
  <si>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</si>
  <si>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</si>
  <si>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</si>
  <si>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</si>
  <si>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</si>
  <si>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</si>
  <si>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</si>
  <si>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</si>
  <si>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</si>
  <si>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</si>
  <si>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</si>
  <si>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</si>
  <si>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</si>
  <si>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</si>
  <si>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</si>
  <si>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</si>
  <si>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</si>
  <si>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</si>
  <si>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</si>
  <si>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</si>
  <si>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</si>
  <si>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</si>
  <si>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</si>
  <si>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</si>
  <si>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</si>
  <si>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</si>
  <si>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</si>
  <si>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</si>
  <si>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</si>
  <si>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</si>
  <si>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</si>
  <si>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</si>
  <si>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</si>
  <si>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</si>
  <si>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</si>
  <si>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</si>
  <si>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</si>
  <si>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</si>
  <si>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</si>
  <si>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</si>
  <si>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Cornwall</t>
  </si>
  <si>
    <t>E06000052</t>
  </si>
  <si>
    <t>Cotswold</t>
  </si>
  <si>
    <t>E07000079</t>
  </si>
  <si>
    <t>County Durham</t>
  </si>
  <si>
    <t>E06000047</t>
  </si>
  <si>
    <t>Coventry</t>
  </si>
  <si>
    <t>E08000026</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</si>
  <si>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</si>
  <si>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</si>
  <si>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</si>
  <si>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</si>
  <si>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</si>
  <si>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</si>
  <si>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</si>
  <si>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</si>
  <si>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</si>
  <si>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</si>
  <si>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</si>
  <si>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</si>
  <si>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</si>
  <si>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</si>
  <si>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</si>
  <si>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</si>
  <si>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</si>
  <si>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</si>
  <si>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</si>
  <si>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</si>
  <si>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</si>
  <si>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</si>
  <si>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</si>
  <si>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</si>
  <si>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</si>
  <si>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</si>
  <si>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</si>
  <si>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</si>
  <si>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</si>
  <si>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</si>
  <si>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</si>
  <si>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</si>
  <si>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</si>
  <si>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</si>
  <si>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</si>
  <si>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</si>
  <si>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</si>
  <si>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</si>
  <si>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 Suffolk</t>
  </si>
  <si>
    <t>E07000244</t>
  </si>
  <si>
    <t>Eastbourne</t>
  </si>
  <si>
    <t>E07000061</t>
  </si>
  <si>
    <t>Eastleigh</t>
  </si>
  <si>
    <t>E07000086</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</si>
  <si>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</si>
  <si>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</si>
  <si>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</si>
  <si>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</si>
  <si>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</si>
  <si>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</si>
  <si>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</si>
  <si>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</si>
  <si>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</si>
  <si>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</si>
  <si>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</si>
  <si>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</si>
  <si>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</si>
  <si>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</si>
  <si>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</si>
  <si>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</si>
  <si>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</si>
  <si>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</si>
  <si>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</si>
  <si>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</si>
  <si>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</si>
  <si>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</si>
  <si>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</si>
  <si>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</si>
  <si>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</si>
  <si>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</si>
  <si>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</si>
  <si>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</si>
  <si>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</si>
  <si>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</si>
  <si>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</si>
  <si>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</si>
  <si>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</si>
  <si>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</si>
  <si>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</si>
  <si>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</si>
  <si>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</si>
  <si>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</si>
  <si>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</si>
  <si>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</si>
  <si>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</si>
  <si>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</si>
  <si>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Hammersmith and Fulham</t>
  </si>
  <si>
    <t>E09000013</t>
  </si>
  <si>
    <t>Harborough</t>
  </si>
  <si>
    <t>E07000131</t>
  </si>
  <si>
    <t>Haringey</t>
  </si>
  <si>
    <t>E09000014</t>
  </si>
  <si>
    <t>Harlow</t>
  </si>
  <si>
    <t>E07000073</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</si>
  <si>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</si>
  <si>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</si>
  <si>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</si>
  <si>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</si>
  <si>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</si>
  <si>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</si>
  <si>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</si>
  <si>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</si>
  <si>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</si>
  <si>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</si>
  <si>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</si>
  <si>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</si>
  <si>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</si>
  <si>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</si>
  <si>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</si>
  <si>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</si>
  <si>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</si>
  <si>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</si>
  <si>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</si>
  <si>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</si>
  <si>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</si>
  <si>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</si>
  <si>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</si>
  <si>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</si>
  <si>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</si>
  <si>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</si>
  <si>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</si>
  <si>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</si>
  <si>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</si>
  <si>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</si>
  <si>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</si>
  <si>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</si>
  <si>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</si>
  <si>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</si>
  <si>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</si>
  <si>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</si>
  <si>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</si>
  <si>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</si>
  <si>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</si>
  <si>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</si>
  <si>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</si>
  <si>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</si>
  <si>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</si>
  <si>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</si>
  <si>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</si>
  <si>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</si>
  <si>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</si>
  <si>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</si>
  <si>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</si>
  <si>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</si>
  <si>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</si>
  <si>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</si>
  <si>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</si>
  <si>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</si>
  <si>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</si>
  <si>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</si>
  <si>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</si>
  <si>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</si>
  <si>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</si>
  <si>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</si>
  <si>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</si>
  <si>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</si>
  <si>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</si>
  <si>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</si>
  <si>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</si>
  <si>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</si>
  <si>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</si>
  <si>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</si>
  <si>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</si>
  <si>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</si>
  <si>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</si>
  <si>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</si>
  <si>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</si>
  <si>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</si>
  <si>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</si>
  <si>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</si>
  <si>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</si>
  <si>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</si>
  <si>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</si>
  <si>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</si>
  <si>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</si>
  <si>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</si>
  <si>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</si>
  <si>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</si>
  <si>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Merton</t>
  </si>
  <si>
    <t>E09000024</t>
  </si>
  <si>
    <t>Mid Devon</t>
  </si>
  <si>
    <t>E07000042</t>
  </si>
  <si>
    <t>Mid Suffolk</t>
  </si>
  <si>
    <t>E07000203</t>
  </si>
  <si>
    <t>Mid Sussex</t>
  </si>
  <si>
    <t>E07000228</t>
  </si>
  <si>
    <t>Middlesbrough</t>
  </si>
  <si>
    <t>E06000002</t>
  </si>
  <si>
    <t>Milton Keynes</t>
  </si>
  <si>
    <t>E06000042</t>
  </si>
  <si>
    <t>Mole Valley</t>
  </si>
  <si>
    <t>E07000210</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</si>
  <si>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</si>
  <si>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</si>
  <si>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</si>
  <si>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</si>
  <si>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</si>
  <si>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</si>
  <si>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</si>
  <si>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</si>
  <si>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</si>
  <si>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</si>
  <si>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</si>
  <si>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</si>
  <si>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</si>
  <si>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</si>
  <si>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</si>
  <si>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</si>
  <si>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</si>
  <si>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</si>
  <si>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</si>
  <si>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</si>
  <si>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</si>
  <si>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</si>
  <si>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</si>
  <si>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</si>
  <si>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</si>
  <si>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</si>
  <si>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</si>
  <si>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</si>
  <si>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</si>
  <si>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</si>
  <si>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</si>
  <si>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</si>
  <si>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</si>
  <si>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</si>
  <si>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</si>
  <si>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</si>
  <si>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</si>
  <si>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</si>
  <si>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</si>
  <si>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</si>
  <si>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</si>
  <si>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</si>
  <si>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</si>
  <si>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</si>
  <si>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</si>
  <si>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</si>
  <si>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</si>
  <si>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</si>
  <si>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</si>
  <si>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</si>
  <si>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</si>
  <si>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</si>
  <si>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</si>
  <si>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</si>
  <si>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</si>
  <si>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</si>
  <si>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</si>
  <si>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</si>
  <si>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</si>
  <si>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</si>
  <si>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</si>
  <si>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</si>
  <si>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</si>
  <si>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</si>
  <si>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</si>
  <si>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</si>
  <si>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</si>
  <si>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</si>
  <si>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</si>
  <si>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</si>
  <si>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</si>
  <si>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</si>
  <si>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</si>
  <si>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</si>
  <si>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</si>
  <si>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</si>
  <si>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</si>
  <si>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</si>
  <si>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</si>
  <si>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</si>
  <si>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</si>
  <si>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</si>
  <si>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</si>
  <si>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</si>
  <si>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</si>
  <si>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</si>
  <si>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</si>
  <si>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</si>
  <si>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</si>
  <si>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Salford</t>
  </si>
  <si>
    <t>E08000006</t>
  </si>
  <si>
    <t>Sandwell</t>
  </si>
  <si>
    <t>E08000028</t>
  </si>
  <si>
    <t>Sefton</t>
  </si>
  <si>
    <t>E08000014</t>
  </si>
  <si>
    <t>Sevenoaks</t>
  </si>
  <si>
    <t>E07000111</t>
  </si>
  <si>
    <t>Sheffield</t>
  </si>
  <si>
    <t>E08000019</t>
  </si>
  <si>
    <t>Shropshire</t>
  </si>
  <si>
    <t>E06000051</t>
  </si>
  <si>
    <t>Slough</t>
  </si>
  <si>
    <t>E06000039</t>
  </si>
  <si>
    <t>Solihull</t>
  </si>
  <si>
    <t>E08000029</t>
  </si>
  <si>
    <t>South Cambridgeshire</t>
  </si>
  <si>
    <t>E07000012</t>
  </si>
  <si>
    <t>South Derbyshire</t>
  </si>
  <si>
    <t>E07000039</t>
  </si>
  <si>
    <t>South Gloucestershire</t>
  </si>
  <si>
    <t>E06000025</t>
  </si>
  <si>
    <t>South Hams</t>
  </si>
  <si>
    <t>E07000044</t>
  </si>
  <si>
    <t>South Holland</t>
  </si>
  <si>
    <t>E07000140</t>
  </si>
  <si>
    <t>South Kesteven</t>
  </si>
  <si>
    <t>E07000141</t>
  </si>
  <si>
    <t>South Norfolk</t>
  </si>
  <si>
    <t>E07000149</t>
  </si>
  <si>
    <t>South Oxfordshire</t>
  </si>
  <si>
    <t>E07000179</t>
  </si>
  <si>
    <t>South Ribble</t>
  </si>
  <si>
    <t>E07000126</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</si>
  <si>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</si>
  <si>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</si>
  <si>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</si>
  <si>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</si>
  <si>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</si>
  <si>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</si>
  <si>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</si>
  <si>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</si>
  <si>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</si>
  <si>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</si>
  <si>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</si>
  <si>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</si>
  <si>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</si>
  <si>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</si>
  <si>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</si>
  <si>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</si>
  <si>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</si>
  <si>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</si>
  <si>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</si>
  <si>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</si>
  <si>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</si>
  <si>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</si>
  <si>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</si>
  <si>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</si>
  <si>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</si>
  <si>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</si>
  <si>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</si>
  <si>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</si>
  <si>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</si>
  <si>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</si>
  <si>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</si>
  <si>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</si>
  <si>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</si>
  <si>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</si>
  <si>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</si>
  <si>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</si>
  <si>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</si>
  <si>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</si>
  <si>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</si>
  <si>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</si>
  <si>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</si>
  <si>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</si>
  <si>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</si>
  <si>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</si>
  <si>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</si>
  <si>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</si>
  <si>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</si>
  <si>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</si>
  <si>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</si>
  <si>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</si>
  <si>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</si>
  <si>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</si>
  <si>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</si>
  <si>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</si>
  <si>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</si>
  <si>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</si>
  <si>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</si>
  <si>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</si>
  <si>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</si>
  <si>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</si>
  <si>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</si>
  <si>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</si>
  <si>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</si>
  <si>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</si>
  <si>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</si>
  <si>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</si>
  <si>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</si>
  <si>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</si>
  <si>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</si>
  <si>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</si>
  <si>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</si>
  <si>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</si>
  <si>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</si>
  <si>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</si>
  <si>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</si>
  <si>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</si>
  <si>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</si>
  <si>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</si>
  <si>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</si>
  <si>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</si>
  <si>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</si>
  <si>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</si>
  <si>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</si>
  <si>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</si>
  <si>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</si>
  <si>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</si>
  <si>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</si>
  <si>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</si>
  <si>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</si>
  <si>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</si>
  <si>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</si>
  <si>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</si>
  <si>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</si>
  <si>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</si>
  <si>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</si>
  <si>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</si>
  <si>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</si>
  <si>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</si>
  <si>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</si>
  <si>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</si>
  <si>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</si>
  <si>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</si>
  <si>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</si>
  <si>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</si>
  <si>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</si>
  <si>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</si>
  <si>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</si>
  <si>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</si>
  <si>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</si>
  <si>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</si>
  <si>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</si>
  <si>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</si>
  <si>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</si>
  <si>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</si>
  <si>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</si>
  <si>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</si>
  <si>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</si>
  <si>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</si>
  <si>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</si>
  <si>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</si>
  <si>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</si>
  <si>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</si>
  <si>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</si>
  <si>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</si>
  <si>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</si>
  <si>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</si>
  <si>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</si>
  <si>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</si>
  <si>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</si>
  <si>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</si>
  <si>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</si>
  <si>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</si>
  <si>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</si>
  <si>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</si>
  <si>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</si>
  <si>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</si>
  <si>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</si>
  <si>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</si>
  <si>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</si>
  <si>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</si>
  <si>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</si>
  <si>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</si>
  <si>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Rents and unit counts by unit size, for England - Large PRPs</t>
  </si>
  <si>
    <t>All Self-Contained</t>
  </si>
  <si>
    <t>All Stock Sizes</t>
  </si>
  <si>
    <t>Rents and unit counts by unit size, for England</t>
  </si>
  <si>
    <t>Average GROSS RENTS by unit size, for England</t>
  </si>
  <si>
    <t>Local Authority Names</t>
  </si>
  <si>
    <t>None</t>
  </si>
  <si>
    <t>Eng</t>
  </si>
  <si>
    <t>EM</t>
  </si>
  <si>
    <t>EE</t>
  </si>
  <si>
    <t>LON</t>
  </si>
  <si>
    <t>NE</t>
  </si>
  <si>
    <t>NW</t>
  </si>
  <si>
    <t>SE</t>
  </si>
  <si>
    <t>SW</t>
  </si>
  <si>
    <t>WM</t>
  </si>
  <si>
    <t>Yorkshire and the Humber</t>
  </si>
  <si>
    <t>YTH</t>
  </si>
  <si>
    <t>Return to Area Summary 
To change area return to Area Summary</t>
  </si>
  <si>
    <t>% Total Social Stock in area</t>
  </si>
  <si>
    <t>% of PRPs total Social Stock</t>
  </si>
  <si>
    <t>% General needs self-contained units in area</t>
  </si>
  <si>
    <t>% of PRPs total general needs self-contained stock</t>
  </si>
  <si>
    <t>% General needs bedspaces in area</t>
  </si>
  <si>
    <t>% of PRPs total general needs bedspaces stock</t>
  </si>
  <si>
    <t>% Supported housing units in area</t>
  </si>
  <si>
    <t>% of PRPs total supported housing stock</t>
  </si>
  <si>
    <t>% Housing for older people units in area</t>
  </si>
  <si>
    <t>% of PRPs total housing for older people stock</t>
  </si>
  <si>
    <t>RP LA count</t>
  </si>
  <si>
    <t>Total Social Stock</t>
  </si>
  <si>
    <t>BSPs data</t>
  </si>
  <si>
    <t>SH data</t>
  </si>
  <si>
    <t>HOP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</si>
  <si>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</si>
  <si>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</si>
  <si>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</si>
  <si>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</si>
  <si>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</si>
  <si>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</si>
  <si>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</si>
  <si>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</si>
  <si>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</si>
  <si>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</si>
  <si>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</si>
  <si>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</si>
  <si>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</si>
  <si>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</si>
  <si>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</si>
  <si>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</si>
  <si>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</si>
  <si>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</si>
  <si>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</si>
  <si>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</si>
  <si>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 HOP Total</t>
  </si>
  <si>
    <t>All units:</t>
  </si>
  <si>
    <t>Abbeyfield Wessex Society Limited</t>
  </si>
  <si>
    <t>Small</t>
  </si>
  <si>
    <t>Ability Housing Association</t>
  </si>
  <si>
    <t>New ForestAbility Housing Association</t>
  </si>
  <si>
    <t>Advance Housing and Support Limited</t>
  </si>
  <si>
    <t>Large</t>
  </si>
  <si>
    <t>New ForestAdvance Housing and Support Limited</t>
  </si>
  <si>
    <t>Anchor Hanover Group</t>
  </si>
  <si>
    <t>New ForestAnchor Hanover Group</t>
  </si>
  <si>
    <t>Aster Communities</t>
  </si>
  <si>
    <t>New ForestAster Communities</t>
  </si>
  <si>
    <t>Clarion Housing Association Limited</t>
  </si>
  <si>
    <t>New ForestClarion Housing Association Limited</t>
  </si>
  <si>
    <t>Empower Housing Association Limited</t>
  </si>
  <si>
    <t>New ForestEmpower Housing Association Limited</t>
  </si>
  <si>
    <t>Heylo Housing Registered Provider Limited</t>
  </si>
  <si>
    <t>Home Group Limited</t>
  </si>
  <si>
    <t>New ForestHome Group Limited</t>
  </si>
  <si>
    <t>Housing 21</t>
  </si>
  <si>
    <t>New ForestHousing 21</t>
  </si>
  <si>
    <t>LiveWest Homes Limited</t>
  </si>
  <si>
    <t>Metropolitan Housing Trust Limited</t>
  </si>
  <si>
    <t>New ForestMetropolitan Housing Trust Limited</t>
  </si>
  <si>
    <t>Moat Homes Limited</t>
  </si>
  <si>
    <t>New ForestMoat Homes Limited</t>
  </si>
  <si>
    <t>MuirCroft Housing Association Limited</t>
  </si>
  <si>
    <t>New ForestMuirCroft Housing Association Limited</t>
  </si>
  <si>
    <t>Notting Hill Home Ownership Limited</t>
  </si>
  <si>
    <t>New ForestNotting Hill Home Ownership Limited</t>
  </si>
  <si>
    <t>Places for People Homes Limited</t>
  </si>
  <si>
    <t>New ForestPlaces for People Homes Limited</t>
  </si>
  <si>
    <t>Reside Housing Association Limited</t>
  </si>
  <si>
    <t>New ForestReside Housing Association Limited</t>
  </si>
  <si>
    <t>Sanctuary Housing Association</t>
  </si>
  <si>
    <t>New ForestSanctuary Housing Association</t>
  </si>
  <si>
    <t>Sandbourne Housing Association</t>
  </si>
  <si>
    <t>New ForestSandbourne Housing Association</t>
  </si>
  <si>
    <t>Southern Housing Group Limited</t>
  </si>
  <si>
    <t>Sovereign Housing Association Limited</t>
  </si>
  <si>
    <t>New ForestSovereign Housing Association Limited</t>
  </si>
  <si>
    <t>Stonewater Limited</t>
  </si>
  <si>
    <t>New ForestStonewater Limited</t>
  </si>
  <si>
    <t>Synergy Housing Limited</t>
  </si>
  <si>
    <t>New ForestSynergy Housing Limited</t>
  </si>
  <si>
    <t>The Swaythling Housing Society Limited</t>
  </si>
  <si>
    <t>New ForestThe Swaythling Housing Society Limited</t>
  </si>
  <si>
    <t>Vivid Housing Limited</t>
  </si>
  <si>
    <t>New ForestVivid Housing Limited</t>
  </si>
  <si>
    <t>region</t>
  </si>
  <si>
    <t>Accent Housing Limited</t>
  </si>
  <si>
    <t>Acis Group Limited</t>
  </si>
  <si>
    <t>Action Housing and Support Limited</t>
  </si>
  <si>
    <t>Adullam Homes Housing Association Limited</t>
  </si>
  <si>
    <t>Alliance Housing Association (South Yorkshire) Limited</t>
  </si>
  <si>
    <t>Arches Housing Limited</t>
  </si>
  <si>
    <t>Arcon Housing Association Limited</t>
  </si>
  <si>
    <t>Arpeggio Properties Limited</t>
  </si>
  <si>
    <t>Ashbourne Almshouse Charity</t>
  </si>
  <si>
    <t>Bethel Housing Association Limited</t>
  </si>
  <si>
    <t>bpha Limited</t>
  </si>
  <si>
    <t>Bromford Home Ownership Limited</t>
  </si>
  <si>
    <t>Bromford Housing Association Limited</t>
  </si>
  <si>
    <t>Brunts Charity</t>
  </si>
  <si>
    <t>Care Housing Association Limited</t>
  </si>
  <si>
    <t>Catalyst Housing Limited</t>
  </si>
  <si>
    <t>Cheshire Peaks &amp; Plains Housing Trust Limited</t>
  </si>
  <si>
    <t>Chesterfield Churches Housing Association Limited</t>
  </si>
  <si>
    <t>Chrysalis Supported Association Limited</t>
  </si>
  <si>
    <t>Cossington Housing Co-operative Limited</t>
  </si>
  <si>
    <t>Creative Support Limited</t>
  </si>
  <si>
    <t>Cross Keys Homes Limited</t>
  </si>
  <si>
    <t>Derby Homes Limited</t>
  </si>
  <si>
    <t>Derwent Community Housing Association Limited</t>
  </si>
  <si>
    <t>Derwent Housing Association Limited</t>
  </si>
  <si>
    <t>Dimensions (UK) Limited</t>
  </si>
  <si>
    <t>EMH Housing and Regeneration Limited</t>
  </si>
  <si>
    <t>English Rural Housing Association Limited</t>
  </si>
  <si>
    <t>Farmer and Lemmoin-Cannon Charity</t>
  </si>
  <si>
    <t>First Priority Housing Association Limited</t>
  </si>
  <si>
    <t>Framework Housing Association</t>
  </si>
  <si>
    <t>Funding Affordable Homes Housing Association Limited</t>
  </si>
  <si>
    <t>Futures Homescape Limited</t>
  </si>
  <si>
    <t>Futures Homeway Limited</t>
  </si>
  <si>
    <t>Grand Union Housing Group Limited</t>
  </si>
  <si>
    <t>Great Places Housing Association</t>
  </si>
  <si>
    <t>Greatwell Homes Limited</t>
  </si>
  <si>
    <t>Habinteg Housing Association Limited</t>
  </si>
  <si>
    <t>Halo Housing Association Limited</t>
  </si>
  <si>
    <t>Hastoe Housing Association Limited</t>
  </si>
  <si>
    <t>Hilldale Housing Association Limited</t>
  </si>
  <si>
    <t>Hyde Housing Association Limited</t>
  </si>
  <si>
    <t>Inclusion Housing Community Interest Company</t>
  </si>
  <si>
    <t>Jigsaw Homes Midlands</t>
  </si>
  <si>
    <t>John Higgs Almshouses</t>
  </si>
  <si>
    <t>'Johnnie' Johnson Housing Trust Limited</t>
  </si>
  <si>
    <t>Lace Housing Limited</t>
  </si>
  <si>
    <t>Langley House Trust</t>
  </si>
  <si>
    <t>Leeds Federated Housing Association Limited</t>
  </si>
  <si>
    <t>Lets for Life</t>
  </si>
  <si>
    <t>Lincolnshire Employment Accommodation Project Limited</t>
  </si>
  <si>
    <t>Lincolnshire Housing Partnership Limited</t>
  </si>
  <si>
    <t>Lincolnshire Rural Housing Association Limited</t>
  </si>
  <si>
    <t>Lincolnshire Y.M.C.A. Ltd</t>
  </si>
  <si>
    <t>London &amp; Quadrant Housing Trust</t>
  </si>
  <si>
    <t>Longhurst Group Limited</t>
  </si>
  <si>
    <t>Mansfield Road (Nottingham) Baptist Housing Association Limited</t>
  </si>
  <si>
    <t>Masonic Housing Association</t>
  </si>
  <si>
    <t>Maynard Co-operative Housing Association Limited</t>
  </si>
  <si>
    <t>Midland Heart Limited</t>
  </si>
  <si>
    <t>Muir Group Housing Association Limited</t>
  </si>
  <si>
    <t>My Space Housing Solutions</t>
  </si>
  <si>
    <t>NACRO</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</si>
  <si>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</si>
  <si>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</si>
  <si>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</si>
  <si>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</si>
  <si>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</si>
  <si>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</si>
  <si>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Optivo</t>
  </si>
  <si>
    <t>Orbit Group Limited</t>
  </si>
  <si>
    <t>P3 Housing Limited</t>
  </si>
  <si>
    <t>Paragon Asra Housing Limited</t>
  </si>
  <si>
    <t>Parasol Homes Limited</t>
  </si>
  <si>
    <t>Parson Latham's Hospital In Barnwell</t>
  </si>
  <si>
    <t>Partners Foundation Limited</t>
  </si>
  <si>
    <t>Peak District Rural Housing Association Limited</t>
  </si>
  <si>
    <t>Places for People Living+ Limited</t>
  </si>
  <si>
    <t>Platform Housing Limited</t>
  </si>
  <si>
    <t>Plexus UK (First Project) Limited</t>
  </si>
  <si>
    <t>Progress Housing Association Limited</t>
  </si>
  <si>
    <t>Refuge</t>
  </si>
  <si>
    <t>Retail Trust</t>
  </si>
  <si>
    <t>Ross Walk Housing Co-operative Limited</t>
  </si>
  <si>
    <t>Rykneld Homes Limited</t>
  </si>
  <si>
    <t>Salvation Army Housing Association</t>
  </si>
  <si>
    <t>Sanctuary Affordable Housing Limited</t>
  </si>
  <si>
    <t>Severn Almshouses Trust</t>
  </si>
  <si>
    <t>Sir Robert Coke's Almshouses</t>
  </si>
  <si>
    <t>South Yorkshire Housing Association Limited</t>
  </si>
  <si>
    <t>Stonewater (2) Limited</t>
  </si>
  <si>
    <t>Stonewater (5) Limited</t>
  </si>
  <si>
    <t>Sustain (UK) Ltd</t>
  </si>
  <si>
    <t>Swift Homes Limited</t>
  </si>
  <si>
    <t>The Abbeyfield Loughborough Society Limited</t>
  </si>
  <si>
    <t>The Abbeyfield Society</t>
  </si>
  <si>
    <t>The Charity of St Leonard's Hospital</t>
  </si>
  <si>
    <t>The Exaireo Trust Ltd</t>
  </si>
  <si>
    <t>The Guinness Partnership Limited</t>
  </si>
  <si>
    <t>The Louisa Lilley Almshouses</t>
  </si>
  <si>
    <t>The Richmond Fellowship</t>
  </si>
  <si>
    <t>The Riverside Group Limited</t>
  </si>
  <si>
    <t>The Teetotal Homes</t>
  </si>
  <si>
    <t>The William Holmes Almshouses</t>
  </si>
  <si>
    <t>Together Housing Association Limited</t>
  </si>
  <si>
    <t>Trent &amp; Dove Housing Limited</t>
  </si>
  <si>
    <t>Trident Housing Association Limited</t>
  </si>
  <si>
    <t>Trinity Housing Association Limited</t>
  </si>
  <si>
    <t>Tuntum Housing Association Limited</t>
  </si>
  <si>
    <t>Westmoreland Supported Housing Limited</t>
  </si>
  <si>
    <t>William Henry Hirst Memorial Homes</t>
  </si>
  <si>
    <t>YMCA Derbyshire</t>
  </si>
  <si>
    <t>Your Housing Limited</t>
  </si>
  <si>
    <t>Abbeyfield Braintree, Bocking and Felsted Society Limited</t>
  </si>
  <si>
    <t>Alice Coralie Glyn Homes</t>
  </si>
  <si>
    <t>Argyle Street Housing Co-operative Limited</t>
  </si>
  <si>
    <t>Arhag Housing Association Limited</t>
  </si>
  <si>
    <t>Asett Homes Ltd</t>
  </si>
  <si>
    <t>Aylott Janes Almshouses</t>
  </si>
  <si>
    <t>B3 Living Limited</t>
  </si>
  <si>
    <t>Balkerne Gardens Trust Limited</t>
  </si>
  <si>
    <t>Bedford Citizens Housing Association Limited</t>
  </si>
  <si>
    <t>Billericay Community Housing Association Limited</t>
  </si>
  <si>
    <t>Birnbeck Housing Association Limited</t>
  </si>
  <si>
    <t>Blackburn YMCA</t>
  </si>
  <si>
    <t>Bocking United Charities</t>
  </si>
  <si>
    <t>Braughing Housing Association Limited</t>
  </si>
  <si>
    <t>Brentwood Housing Trust Limited</t>
  </si>
  <si>
    <t>Broadland Housing Association Limited</t>
  </si>
  <si>
    <t>Chelmer Housing Partnership Limited</t>
  </si>
  <si>
    <t>Cherry Hinton Almshouse Charity</t>
  </si>
  <si>
    <t>Chisel Limited</t>
  </si>
  <si>
    <t>Chorus Homes Limited</t>
  </si>
  <si>
    <t>Co-op Homes (South) Limited</t>
  </si>
  <si>
    <t>Co-operative Development Society Limited</t>
  </si>
  <si>
    <t>Corton House Limited</t>
  </si>
  <si>
    <t>Cotman Housing Association Limited</t>
  </si>
  <si>
    <t>CWL Housing</t>
  </si>
  <si>
    <t>E W King Memorial Homes</t>
  </si>
  <si>
    <t>Eastlight Community Homes Limited</t>
  </si>
  <si>
    <t>Estuary Housing Association Limited</t>
  </si>
  <si>
    <t>First Garden Cities Homes Limited</t>
  </si>
  <si>
    <t>Flagship Housing Group Limited</t>
  </si>
  <si>
    <t>Freebridge Community Housing Limited</t>
  </si>
  <si>
    <t>Gateway Housing Association Limited</t>
  </si>
  <si>
    <t>Gemini Housing Co-operative Limited</t>
  </si>
  <si>
    <t>Great Hospital</t>
  </si>
  <si>
    <t>Harlow Poors Charities</t>
  </si>
  <si>
    <t>Hightown Housing Association Limited</t>
  </si>
  <si>
    <t>Homeless Action Resource Project</t>
  </si>
  <si>
    <t>Homes for Wells Limited</t>
  </si>
  <si>
    <t>Housing Solutions</t>
  </si>
  <si>
    <t>Hundred Houses Society Limited</t>
  </si>
  <si>
    <t>Innisfree Housing Association Limited</t>
  </si>
  <si>
    <t>Jewish Community Housing Association Limited</t>
  </si>
  <si>
    <t>Legal &amp; General Affordable Homes Limited</t>
  </si>
  <si>
    <t>Local Space</t>
  </si>
  <si>
    <t>Maldon Housing Association Limited</t>
  </si>
  <si>
    <t>Mersea Island Trust</t>
  </si>
  <si>
    <t>Moat Housing Group Limited</t>
  </si>
  <si>
    <t>Newlon Housing Trust</t>
  </si>
  <si>
    <t>Norwich Consolidated Charities</t>
  </si>
  <si>
    <t>Norwich Housing Society Limited</t>
  </si>
  <si>
    <t>Notting Hill Genesis</t>
  </si>
  <si>
    <t>Oak Housing Limited</t>
  </si>
  <si>
    <t>Omega Housing Limited</t>
  </si>
  <si>
    <t>One Housing Group Limited</t>
  </si>
  <si>
    <t>One YMCA</t>
  </si>
  <si>
    <t>Origin Housing 2 Limited</t>
  </si>
  <si>
    <t>Origin Housing Limited</t>
  </si>
  <si>
    <t>Orwell Housing Association Limited</t>
  </si>
  <si>
    <t>Paradigm Homes Charitable Housing Association Limited</t>
  </si>
  <si>
    <t>Paradise Housing Co-operative Limited</t>
  </si>
  <si>
    <t>Park Properties Housing Association Ltd</t>
  </si>
  <si>
    <t>Peabody Developments Limited</t>
  </si>
  <si>
    <t>Peabody Trust</t>
  </si>
  <si>
    <t>Peal Community Housing Limited</t>
  </si>
  <si>
    <t>Pine Ridge Housing Association Limited</t>
  </si>
  <si>
    <t>Ramsey Welfare Charities</t>
  </si>
  <si>
    <t>Rickmansworth Churches Housing Association Limited</t>
  </si>
  <si>
    <t>Robert Hibbert's Almshouse Charity</t>
  </si>
  <si>
    <t>Saffron Housing Trust Limited</t>
  </si>
  <si>
    <t>Sapphire Independent Housing Limited</t>
  </si>
  <si>
    <t>Settle Group</t>
  </si>
  <si>
    <t>Shepherds Bush Housing Association Limited</t>
  </si>
  <si>
    <t>Southend-on-Sea Young Men's Christian Association</t>
  </si>
  <si>
    <t>St Johns Homes</t>
  </si>
  <si>
    <t>St Mungo Community Housing Association</t>
  </si>
  <si>
    <t>Swan Housing Association Limited</t>
  </si>
  <si>
    <t>Tamil Community Housing Association Limited</t>
  </si>
  <si>
    <t>The Abbeyfield (Berkhamsted &amp; Hemel Hempstead) Society Limited</t>
  </si>
  <si>
    <t>The Abbeyfield Basildon Society Limited</t>
  </si>
  <si>
    <t>The Abbeyfield Canvey Island Society Limited</t>
  </si>
  <si>
    <t>The Abbeyfield Kings Langley Society Limited</t>
  </si>
  <si>
    <t>The Abbeyfield Orwell Extra Care Society Limited</t>
  </si>
  <si>
    <t>The Abbeyfield West Herts Society Limited</t>
  </si>
  <si>
    <t>The Baker's Benevolent Society</t>
  </si>
  <si>
    <t>The Cambridge Housing Society Limited</t>
  </si>
  <si>
    <t>The Cambridgeshire Cottage Housing Society Limited</t>
  </si>
  <si>
    <t>The Field Lane Foundation</t>
  </si>
  <si>
    <t>The Fishermen's Hospital</t>
  </si>
  <si>
    <t>The Havebury Housing Partnership</t>
  </si>
  <si>
    <t>The Henry Gilder Drake Charity</t>
  </si>
  <si>
    <t>The Industrial Dwellings Society (1885) Limited</t>
  </si>
  <si>
    <t>The John Henry Keene Memorial Homes</t>
  </si>
  <si>
    <t>The Papworth Trust</t>
  </si>
  <si>
    <t>The Saint Mary Magdalen's Hospital</t>
  </si>
  <si>
    <t>The Shen Place Almshouses</t>
  </si>
  <si>
    <t>The Stuart Court Memorial Charity</t>
  </si>
  <si>
    <t>Thirteen Housing Group Limited</t>
  </si>
  <si>
    <t>Thrive Homes Limited</t>
  </si>
  <si>
    <t>Turning Point</t>
  </si>
  <si>
    <t>V &amp; F Homes Limited</t>
  </si>
  <si>
    <t>Waters Almshouses</t>
  </si>
  <si>
    <t>Watford Community Housing Trust</t>
  </si>
  <si>
    <t>Webster Almshouse Trust</t>
  </si>
  <si>
    <t>West Norfolk Housing Company Ltd</t>
  </si>
  <si>
    <t>William Paul Housing Trust</t>
  </si>
  <si>
    <t>Winnocks and Kendalls Almshouse Charity</t>
  </si>
  <si>
    <t>Wisbech Charities</t>
  </si>
  <si>
    <t>Wisden Housing Co-operative Limited</t>
  </si>
  <si>
    <t>Witham Housing Association Limited</t>
  </si>
  <si>
    <t>YMCA Norfolk</t>
  </si>
  <si>
    <t>YMCA Trinity Group</t>
  </si>
  <si>
    <t>A2Dominion Homes Limited</t>
  </si>
  <si>
    <t>A2Dominion South Limited</t>
  </si>
  <si>
    <t>Abbeyfield Southern Oaks</t>
  </si>
  <si>
    <t>Abeona Housing Co-operative Limited</t>
  </si>
  <si>
    <t>Access Homes Housing Association Limited</t>
  </si>
  <si>
    <t>Addiscombe Catholic Housing Association Limited</t>
  </si>
  <si>
    <t>Agudas Israel Housing Association Limited</t>
  </si>
  <si>
    <t>Almshouse Charity of Sir William Powell</t>
  </si>
  <si>
    <t>Apna Ghar Housing Association Limited</t>
  </si>
  <si>
    <t>Arundel Buildings Housing Co-operative Limited</t>
  </si>
  <si>
    <t>Ash-Shahada Housing Association Limited</t>
  </si>
  <si>
    <t>Aston-Mansfield Charitable Trust</t>
  </si>
  <si>
    <t>Bahay Kubo Housing Association Limited</t>
  </si>
  <si>
    <t>Battersea Tenants Co-operative Limited</t>
  </si>
  <si>
    <t>Bedfont Stoney Wall Housing Co-operative Limited</t>
  </si>
  <si>
    <t>Belgrave Street Housing Co-operative Limited</t>
  </si>
  <si>
    <t>Bexley United Charities</t>
  </si>
  <si>
    <t>Blue Square Residential Ltd</t>
  </si>
  <si>
    <t>Bow Housing Society Limited</t>
  </si>
  <si>
    <t>Brandrams Housing Co-operative Limited</t>
  </si>
  <si>
    <t>Brighton Buildings Housing Co-operative Limited</t>
  </si>
  <si>
    <t>Brixton Housing Co-operative Limited</t>
  </si>
  <si>
    <t>Cedarmore Housing Association Limited</t>
  </si>
  <si>
    <t>Central and Cecil Housing Trust</t>
  </si>
  <si>
    <t>Centrepoint Soho</t>
  </si>
  <si>
    <t>Changing Lives Housing Trust</t>
  </si>
  <si>
    <t>Charlton Triangle Homes Limited</t>
  </si>
  <si>
    <t>Chippenham Housing Co-operative Limited</t>
  </si>
  <si>
    <t>Chislehurst and Sidcup Housing Association</t>
  </si>
  <si>
    <t>Christian Action (Enfield) Housing Association Limited</t>
  </si>
  <si>
    <t>Clissold Housing Co-operative Limited</t>
  </si>
  <si>
    <t>Craymill Housing Co-operative Limited</t>
  </si>
  <si>
    <t>Cromwood Housing Ltd</t>
  </si>
  <si>
    <t>Cross Lances Housing Co-operative Limited</t>
  </si>
  <si>
    <t>Croydon Churches Housing Association Limited</t>
  </si>
  <si>
    <t>Cyron Housing Co-operative Limited</t>
  </si>
  <si>
    <t>David Henry Waring Home</t>
  </si>
  <si>
    <t>Dawley Housing Co-operative Limited</t>
  </si>
  <si>
    <t>Dennetts Housing Co-operative Limited</t>
  </si>
  <si>
    <t>Dovepark Properties Limited</t>
  </si>
  <si>
    <t>East End Homes Limited</t>
  </si>
  <si>
    <t>Ebony Sistren Housing Association Limited</t>
  </si>
  <si>
    <t>Edward Henry House Co-operative Limited</t>
  </si>
  <si>
    <t>Ekarro Housing Co-operative Limited</t>
  </si>
  <si>
    <t>Ekaya Housing Association Limited</t>
  </si>
  <si>
    <t>Eldon Housing Association Limited</t>
  </si>
  <si>
    <t>Eleanor Palmer Trust</t>
  </si>
  <si>
    <t>Everbrook Housing Co-operative Limited</t>
  </si>
  <si>
    <t>Evolve Housing + Support</t>
  </si>
  <si>
    <t>Fairhazel Co-operative Limited</t>
  </si>
  <si>
    <t>First Wave Housing Limited</t>
  </si>
  <si>
    <t>Forest Housing Association Limited</t>
  </si>
  <si>
    <t>George Green's Almshouses</t>
  </si>
  <si>
    <t>Glebe Housing Association Limited</t>
  </si>
  <si>
    <t>Golding Homes Limited</t>
  </si>
  <si>
    <t>Grainger Trust Limited</t>
  </si>
  <si>
    <t>Grand Union Housing Co-operative Limited</t>
  </si>
  <si>
    <t>Great Wall Society Limited</t>
  </si>
  <si>
    <t>Green Dragon Lane Housing Co-operative Limited</t>
  </si>
  <si>
    <t>Greenwich Housing Society Limited</t>
  </si>
  <si>
    <t>Hackney Housing Co-operative Limited</t>
  </si>
  <si>
    <t>Hackney Parish Almshouses Charity</t>
  </si>
  <si>
    <t>Hammersmith United Charities</t>
  </si>
  <si>
    <t>Harefield Parochial Charities</t>
  </si>
  <si>
    <t>Harrison Housing</t>
  </si>
  <si>
    <t>Hazel Housing Co-operative Limited</t>
  </si>
  <si>
    <t>Heathview Tenants' Co-operative Limited</t>
  </si>
  <si>
    <t>Helen Peele Memorial Almshouses</t>
  </si>
  <si>
    <t>Hendon Christian Housing Association Limited</t>
  </si>
  <si>
    <t>Hexagon Housing Association Limited</t>
  </si>
  <si>
    <t>HFL Homes Limited</t>
  </si>
  <si>
    <t>Hibbert Almshouse Charity</t>
  </si>
  <si>
    <t>Hill Homes</t>
  </si>
  <si>
    <t>Hillside Housing Trust Limited</t>
  </si>
  <si>
    <t>Home from Home Housing Association Limited</t>
  </si>
  <si>
    <t>Homesdale (Woodford Baptist Homes) Limited</t>
  </si>
  <si>
    <t>Hopton's Charity</t>
  </si>
  <si>
    <t>Hornsey Housing Trust Limited</t>
  </si>
  <si>
    <t>Housing For Women</t>
  </si>
  <si>
    <t>Housing Pathways Trust</t>
  </si>
  <si>
    <t>Hyde Southbank Homes Limited</t>
  </si>
  <si>
    <t>Hyelm</t>
  </si>
  <si>
    <t>Imani Housing Co-operative Limited</t>
  </si>
  <si>
    <t>Islington and Shoreditch Housing Association Limited</t>
  </si>
  <si>
    <t>Islington Community Housing Co-operative Limited</t>
  </si>
  <si>
    <t>Joel Emanuel Trust</t>
  </si>
  <si>
    <t>Kaleidoscope (Kingston) Housing Association Limited</t>
  </si>
  <si>
    <t>Karin Housing Association Limited</t>
  </si>
  <si>
    <t>Keniston Housing Association Limited</t>
  </si>
  <si>
    <t>Kingston upon Thames Churches Housing Association Limited</t>
  </si>
  <si>
    <t>Kirkdale Housing Co-operative Limited</t>
  </si>
  <si>
    <t>Ladybur Housing Co-operative Limited</t>
  </si>
  <si>
    <t>Lambeth Self Help Housing Association Limited</t>
  </si>
  <si>
    <t>Larcombe Housing Association Limited</t>
  </si>
  <si>
    <t>Lawrence Campe's Almshouse Trust</t>
  </si>
  <si>
    <t>Lewisham Family Co-operative Association Limited</t>
  </si>
  <si>
    <t>Leytonstone Housing Co-operative Limited</t>
  </si>
  <si>
    <t>Longlife Housing Co-operative Limited</t>
  </si>
  <si>
    <t>Look Ahead Care and Support Limited</t>
  </si>
  <si>
    <t>Major Housing Association Limited</t>
  </si>
  <si>
    <t>May Day Permanent Housing Co-operative Limited</t>
  </si>
  <si>
    <t>Methodist Homes Housing Association Limited</t>
  </si>
  <si>
    <t>Millat Asian Housing Association Limited</t>
  </si>
  <si>
    <t>Miller Walk Housing Co-operative Limited</t>
  </si>
  <si>
    <t>Monmouth Road Housing Co-operative Limited</t>
  </si>
  <si>
    <t>Mount Green Housing Association Limited</t>
  </si>
  <si>
    <t>Mulberry Housing Co-operative Limited</t>
  </si>
  <si>
    <t>New Foundations Housing Association Limited</t>
  </si>
  <si>
    <t>New Swift Housing Co-operative Limited</t>
  </si>
  <si>
    <t>New Venture Housing Co-operative Limited</t>
  </si>
  <si>
    <t>New World Housing Association Limited</t>
  </si>
  <si>
    <t>North Camden Housing Co-operative Limited</t>
  </si>
  <si>
    <t>North London Muslim Housing Association Limited</t>
  </si>
  <si>
    <t>Notting Dale Housing Co-operative Limited</t>
  </si>
  <si>
    <t>Octavia Housing</t>
  </si>
  <si>
    <t>Odu-Dua Housing Association Limited</t>
  </si>
  <si>
    <t>Old Isleworth Housing Co-operative Limited</t>
  </si>
  <si>
    <t>Orchard Housing Society Limited</t>
  </si>
  <si>
    <t>Otto Schiff Housing Association</t>
  </si>
  <si>
    <t>Palm Housing Co-operative Limited</t>
  </si>
  <si>
    <t>Pan African Refugee Housing Co-operative Limited</t>
  </si>
  <si>
    <t>Park Hill Housing Co-operative Limited</t>
  </si>
  <si>
    <t>Pearman Street Co-operative Limited</t>
  </si>
  <si>
    <t>Penge Churches Housing Association Limited</t>
  </si>
  <si>
    <t>Penn and Widow Smith Almshouses</t>
  </si>
  <si>
    <t>Peter Bedford Housing Association Limited</t>
  </si>
  <si>
    <t>Phoenix Community Housing Association (Bellingham and Downham) Limited</t>
  </si>
  <si>
    <t>Phoenix Community Housing Co-operative Limited</t>
  </si>
  <si>
    <t>Phoenix House</t>
  </si>
  <si>
    <t>Pinner House Society Limited</t>
  </si>
  <si>
    <t>Poplar Housing And Regeneration Community Association Limited</t>
  </si>
  <si>
    <t>Portman House</t>
  </si>
  <si>
    <t>Providence Row Housing Association</t>
  </si>
  <si>
    <t>Quadrant-Brownswood Tenant Co-operative Limited</t>
  </si>
  <si>
    <t>Quo Vadis Trust</t>
  </si>
  <si>
    <t>Radcliffe Housing Society Limited</t>
  </si>
  <si>
    <t>Raven Housing Trust Limited</t>
  </si>
  <si>
    <t>Redwood Housing Co-operative Limited</t>
  </si>
  <si>
    <t>Richmond Avenue Housing Co-operative Limited</t>
  </si>
  <si>
    <t>Richmond Housing Partnership Limited</t>
  </si>
  <si>
    <t>Rosemary Simmons Memorial Housing Association Limited</t>
  </si>
  <si>
    <t>Rotherhithe Waterside Limited</t>
  </si>
  <si>
    <t>Seymour Street Homes Limited</t>
  </si>
  <si>
    <t>Shian Housing Association Limited</t>
  </si>
  <si>
    <t>Soho Housing Association Limited</t>
  </si>
  <si>
    <t>South Camden Housing Co-operative Limited</t>
  </si>
  <si>
    <t>Southern Home Ownership Limited</t>
  </si>
  <si>
    <t>Southward Housing Co-operative Limited</t>
  </si>
  <si>
    <t>Spitalfields Housing Association Limited</t>
  </si>
  <si>
    <t>St Christopher's Fellowship</t>
  </si>
  <si>
    <t>St George's Church Housing Co-operative Limited</t>
  </si>
  <si>
    <t>St Joseph's Almshouses</t>
  </si>
  <si>
    <t>St Martin of Tours Housing Association Limited</t>
  </si>
  <si>
    <t>Stroud Green Housing Co-operative Limited</t>
  </si>
  <si>
    <t>Sutton Housing Society Limited</t>
  </si>
  <si>
    <t>Swan Lane Housing Co-operative Limited</t>
  </si>
  <si>
    <t>Sydenham Housing Co-operative Limited</t>
  </si>
  <si>
    <t>TBG Open Door Limited</t>
  </si>
  <si>
    <t>Teachers' Housing Association Limited</t>
  </si>
  <si>
    <t>Thames Valley Housing Association Limited</t>
  </si>
  <si>
    <t>The Abbeyfield Deptford Society Limited</t>
  </si>
  <si>
    <t>The Abbeyfield Dulwich Society Limited</t>
  </si>
  <si>
    <t>The Abbeyfield London Polish Society Limited</t>
  </si>
  <si>
    <t>The Abbeyfield Sanderstead Society Limited</t>
  </si>
  <si>
    <t>The Abbeyfield Uxbridge Society Limited</t>
  </si>
  <si>
    <t>The Barnes Fund</t>
  </si>
  <si>
    <t>The Cinque Cottages</t>
  </si>
  <si>
    <t>The Drapers' Almshouse Charity</t>
  </si>
  <si>
    <t>The Finchley Charities</t>
  </si>
  <si>
    <t>The Hampton Parochial Charities</t>
  </si>
  <si>
    <t>The Merchant Taylors' Boone's Charity</t>
  </si>
  <si>
    <t>The New Cut Housing Co-operative Limited</t>
  </si>
  <si>
    <t>The Skinners'  Almshouse Charity</t>
  </si>
  <si>
    <t>The Sons of Divine Providence</t>
  </si>
  <si>
    <t>The West Hackney Almshouse Charity</t>
  </si>
  <si>
    <t>Thrale Almshouse and Relief in Need Charity</t>
  </si>
  <si>
    <t>Tooting Bec Housing Co-operative Limited</t>
  </si>
  <si>
    <t>Tower Hamlets Community Housing</t>
  </si>
  <si>
    <t>Townshend Close Housing Co-operative Limited</t>
  </si>
  <si>
    <t>Transform Housing &amp; Support</t>
  </si>
  <si>
    <t>Trinity Homes</t>
  </si>
  <si>
    <t>Veterans Aid</t>
  </si>
  <si>
    <t>Vine Housing Co-operative Limited</t>
  </si>
  <si>
    <t>Walterton and Elgin Community Homes Limited</t>
  </si>
  <si>
    <t>Waltham Forest Housing Association Limited</t>
  </si>
  <si>
    <t>Wandle Housing Association Limited</t>
  </si>
  <si>
    <t>Water Tower Housing Co-operative Limited</t>
  </si>
  <si>
    <t>Waverley (Eighth) Co-operative Housing Association Limited</t>
  </si>
  <si>
    <t>Weavers' Almshouse Charities</t>
  </si>
  <si>
    <t>Wellington Housing Co-operative Limited</t>
  </si>
  <si>
    <t>West Ham Non-Ecclesiastical Charity</t>
  </si>
  <si>
    <t>West Hampstead Housing Co-operative Limited</t>
  </si>
  <si>
    <t>West London YMCA</t>
  </si>
  <si>
    <t>Westlon Housing Association Limited</t>
  </si>
  <si>
    <t>Westminster Community Homes Limited</t>
  </si>
  <si>
    <t>Westway Housing Association Limited</t>
  </si>
  <si>
    <t>Whitworth Housing Co-operative Limited</t>
  </si>
  <si>
    <t>Willesden Green Housing Co-operative Limited</t>
  </si>
  <si>
    <t>Windsor Walk Housing Association Limited</t>
  </si>
  <si>
    <t>Winsor Housing Co-operative Limited</t>
  </si>
  <si>
    <t>Wollaston and Pauncefort Almshouse Charity</t>
  </si>
  <si>
    <t>Women's Pioneer Housing Limited</t>
  </si>
  <si>
    <t>Woodside Housing Co-operative Limited</t>
  </si>
  <si>
    <t>YMCA St Paul's Group</t>
  </si>
  <si>
    <t>YMCA Thames Gateway</t>
  </si>
  <si>
    <t>3CHA Ltd</t>
  </si>
  <si>
    <t>700 Club</t>
  </si>
  <si>
    <t>Adler Housing</t>
  </si>
  <si>
    <t>Aged Merchant Seamen's Homes</t>
  </si>
  <si>
    <t>Albion Housing Co-operative Limited</t>
  </si>
  <si>
    <t>Ath-Gray Housing Co-operative Limited</t>
  </si>
  <si>
    <t>Believe Housing Limited</t>
  </si>
  <si>
    <t>Bernicia Group</t>
  </si>
  <si>
    <t>Beyond Housing Limited</t>
  </si>
  <si>
    <t>Bomarsund Housing Co-operative Limited</t>
  </si>
  <si>
    <t>Brandon Aged Persons Homes</t>
  </si>
  <si>
    <t>Broadacres Housing Association Limited</t>
  </si>
  <si>
    <t>Castles &amp; Coasts Housing Association Limited</t>
  </si>
  <si>
    <t>Depaul Housing Services</t>
  </si>
  <si>
    <t>Durham Action on Single Housing Limited</t>
  </si>
  <si>
    <t>Durham Aged Mineworkers' Homes Association</t>
  </si>
  <si>
    <t>Falcon Housing Association C.I.C</t>
  </si>
  <si>
    <t>Falconar Street Housing Co-operative Limited</t>
  </si>
  <si>
    <t>Gentoo Group Limited</t>
  </si>
  <si>
    <t>Hellens Residential Limited</t>
  </si>
  <si>
    <t>Hirst Housing Co-operative Limited</t>
  </si>
  <si>
    <t>Hospital of St Mary The Virgin (Rye Hill &amp; Benwell)</t>
  </si>
  <si>
    <t>Humankind Charity</t>
  </si>
  <si>
    <t>IKE Supported Housing Limited</t>
  </si>
  <si>
    <t>Jacob Wright's Cottages</t>
  </si>
  <si>
    <t>Jane Gibson Almshouses</t>
  </si>
  <si>
    <t>Joseph Rowntree Housing Trust</t>
  </si>
  <si>
    <t>Karbon Homes Limited</t>
  </si>
  <si>
    <t>Keelman Homes Limited</t>
  </si>
  <si>
    <t>Leazes Homes Limited</t>
  </si>
  <si>
    <t>Livin Housing Limited</t>
  </si>
  <si>
    <t>New Moves Housing Co-operative Limited</t>
  </si>
  <si>
    <t>New Walk Property Management CIC</t>
  </si>
  <si>
    <t>North Star Housing Group</t>
  </si>
  <si>
    <t>Oxfield Housing Co-operative Association Limited</t>
  </si>
  <si>
    <t>Peel Street Housing Co-operative Limited</t>
  </si>
  <si>
    <t>Railway Housing Association and Benefit Fund</t>
  </si>
  <si>
    <t>Red House Farm Housing Co-operative Limited</t>
  </si>
  <si>
    <t>Sherburn House Charity</t>
  </si>
  <si>
    <t>Sir William Turner's Hospital</t>
  </si>
  <si>
    <t>Square Building Trust Limited</t>
  </si>
  <si>
    <t>Sunderland Riverside Housing Co-operative Limited</t>
  </si>
  <si>
    <t>TCUK Homes Limited</t>
  </si>
  <si>
    <t>The Abbeyfield Berwick Society Limited</t>
  </si>
  <si>
    <t>The Glendale Gateway Trust</t>
  </si>
  <si>
    <t>The Hunter Memorial Homes Trust</t>
  </si>
  <si>
    <t>Thornholme Housing Co-operative Limited</t>
  </si>
  <si>
    <t>Tyne Housing Association Limited</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</si>
  <si>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</si>
  <si>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</si>
  <si>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</si>
  <si>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</si>
  <si>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</si>
  <si>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</si>
  <si>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</si>
  <si>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</si>
  <si>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</si>
  <si>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</si>
  <si>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Auxesia Homes Limited</t>
  </si>
  <si>
    <t>Birkenhead Forum Housing Association Limited</t>
  </si>
  <si>
    <t>Blue Pits Housing Action</t>
  </si>
  <si>
    <t>Bolton at Home Limited</t>
  </si>
  <si>
    <t>Brownlow Hill Housing Co-operative Limited</t>
  </si>
  <si>
    <t>Calico Homes Limited</t>
  </si>
  <si>
    <t>Canning Housing Co-operative Limited</t>
  </si>
  <si>
    <t>Castle Housing Limited</t>
  </si>
  <si>
    <t>Cathedral Mansions Housing Co-operative Limited</t>
  </si>
  <si>
    <t>Charity of Marjorie Hurst</t>
  </si>
  <si>
    <t>Cherryfield Housing Co-operative Limited</t>
  </si>
  <si>
    <t>City Of Liverpool YMCA (Incorporated)</t>
  </si>
  <si>
    <t>Cobalt Housing Limited</t>
  </si>
  <si>
    <t>Colonel Slater Homes</t>
  </si>
  <si>
    <t>Commonplace Housing Co-operative Limited</t>
  </si>
  <si>
    <t>Community Gateway Association Limited</t>
  </si>
  <si>
    <t>Concept Housing Association CIC</t>
  </si>
  <si>
    <t>Croft Housing Association Limited</t>
  </si>
  <si>
    <t>Crosby Housing Association Limited</t>
  </si>
  <si>
    <t>Dingle Residents Co-operative Limited</t>
  </si>
  <si>
    <t>Eden Housing Association Limited</t>
  </si>
  <si>
    <t>Excel Housing Solutions</t>
  </si>
  <si>
    <t>Fairfield Moravian Housing Association Limited</t>
  </si>
  <si>
    <t>Family Housing Association (Birkenhead and Wirral) Limited</t>
  </si>
  <si>
    <t>Fence Trust</t>
  </si>
  <si>
    <t>First Choice Homes Oldham Limited</t>
  </si>
  <si>
    <t>ForHousing Limited</t>
  </si>
  <si>
    <t>Frontis Homes Limited</t>
  </si>
  <si>
    <t>Grafton Crescent Housing Co-operative Limited</t>
  </si>
  <si>
    <t>Halton Housing</t>
  </si>
  <si>
    <t>Hamlet Village Housing Co-operative Limited</t>
  </si>
  <si>
    <t>Harbour Light Assisted Living CIC</t>
  </si>
  <si>
    <t>Hesketh Street Housing Co-operative Limited</t>
  </si>
  <si>
    <t>Holt Road Area Housing Co-operative Limited</t>
  </si>
  <si>
    <t>Homes for Change Limited</t>
  </si>
  <si>
    <t>Honeycomb Group Limited</t>
  </si>
  <si>
    <t>Humphrey Booth Housing Charity</t>
  </si>
  <si>
    <t>Irwell Valley Housing Association Limited</t>
  </si>
  <si>
    <t>J &amp; M Residential Lettings Limited</t>
  </si>
  <si>
    <t>Jigsaw Homes Group Limited</t>
  </si>
  <si>
    <t>Joseph and Eleanor Gunson Almshouse Trust</t>
  </si>
  <si>
    <t>Kendal Almshouse Charity</t>
  </si>
  <si>
    <t>Kentish Homes Limited</t>
  </si>
  <si>
    <t>Knowsley Residents Housing Co-operative Limited</t>
  </si>
  <si>
    <t>Langrove Community Housing Co-operative Limited</t>
  </si>
  <si>
    <t>Lark Lane Housing Co-operative Limited</t>
  </si>
  <si>
    <t>Leeds and Yorkshire Housing Association Limited</t>
  </si>
  <si>
    <t>Lightbown Cottage Home Trust</t>
  </si>
  <si>
    <t>Liverpool Gingerbread Housing Co-operative Limited</t>
  </si>
  <si>
    <t>Liverpool Jewish Housing Association Limited</t>
  </si>
  <si>
    <t>Livv Housing Group</t>
  </si>
  <si>
    <t>Lodge Lane East Co-operative Housing Limited</t>
  </si>
  <si>
    <t>Lune Valley Rural Housing Association Limited</t>
  </si>
  <si>
    <t>Lyvennet Community Trust</t>
  </si>
  <si>
    <t>Magenta Living</t>
  </si>
  <si>
    <t>Manchester Jewish Housing Association</t>
  </si>
  <si>
    <t>Manchester Unity Housing Association Limited</t>
  </si>
  <si>
    <t>Mitre Housing Association Limited</t>
  </si>
  <si>
    <t>Mosscare St. Vincent's Housing Group Limited</t>
  </si>
  <si>
    <t>New Longsight Housing Co-operative Limited</t>
  </si>
  <si>
    <t>Newleaf Housing Co-operative Limited</t>
  </si>
  <si>
    <t>One Manchester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</si>
  <si>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</si>
  <si>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</si>
  <si>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</si>
  <si>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</si>
  <si>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</si>
  <si>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</si>
  <si>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</si>
  <si>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</si>
  <si>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Redwing Living Limited</t>
  </si>
  <si>
    <t>Regenda Limited</t>
  </si>
  <si>
    <t>Rochdale Boroughwide Housing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</si>
  <si>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</si>
  <si>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</si>
  <si>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</si>
  <si>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</si>
  <si>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</si>
  <si>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</si>
  <si>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</si>
  <si>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</si>
  <si>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</si>
  <si>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</si>
  <si>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Southway Housing Trust (Manchester) Limited</t>
  </si>
  <si>
    <t>Spotland and Falinge Housing Association Limited</t>
  </si>
  <si>
    <t>Springwood Housing Co-operative Limited</t>
  </si>
  <si>
    <t>Steve Biko Housing Association Limited</t>
  </si>
  <si>
    <t>Stockport Homes Limited</t>
  </si>
  <si>
    <t>The Abbeyfield Barrow-in- Furness Society Limited</t>
  </si>
  <si>
    <t>The Abbeyfield Bury Society Limited</t>
  </si>
  <si>
    <t>The Abbeyfield Ellesmere Port Society Limited</t>
  </si>
  <si>
    <t>The Abbeyfield Whitehaven Society Limited</t>
  </si>
  <si>
    <t>The Edward Mayes Trust</t>
  </si>
  <si>
    <t>The Poynton-with-Worth Almshouse Charity</t>
  </si>
  <si>
    <t>Thirlmere Housing Co-operative Limited</t>
  </si>
  <si>
    <t>Torus62 Limited</t>
  </si>
  <si>
    <t>Trafford Housing Trust Limited</t>
  </si>
  <si>
    <t>Waddington Hospital</t>
  </si>
  <si>
    <t>Warrington Housing Association Limited</t>
  </si>
  <si>
    <t>Weaver Vale Housing Trust Limited</t>
  </si>
  <si>
    <t>Weller Streets Housing Co-operative Limited</t>
  </si>
  <si>
    <t>Westfield Housing Association Limited</t>
  </si>
  <si>
    <t>Westvale Housing Co-operative Limited</t>
  </si>
  <si>
    <t>Wirral Methodist Housing Association Limited</t>
  </si>
  <si>
    <t>YMCA St Helens</t>
  </si>
  <si>
    <t>Yorkshire Housing Limited</t>
  </si>
  <si>
    <t>A2Dominion Housing Options Limited</t>
  </si>
  <si>
    <t>Abbeyfield South Downs Limited</t>
  </si>
  <si>
    <t>Abbeyfield Wey Valley Society Limited</t>
  </si>
  <si>
    <t>AccommodationYes Limited</t>
  </si>
  <si>
    <t>Agamemnon Housing Association Limited</t>
  </si>
  <si>
    <t>Allnutt Mill Housing Co-operative Limited</t>
  </si>
  <si>
    <t>Almshouse Charity of Elizabeth Smith</t>
  </si>
  <si>
    <t>Almshouses of Miss Anne Hopkins-Smith</t>
  </si>
  <si>
    <t>Anchor Property Holdings Limited</t>
  </si>
  <si>
    <t>Angiers Almshouse Charity</t>
  </si>
  <si>
    <t>Ashford Pavilion Housing Co-operative Limited</t>
  </si>
  <si>
    <t>Aster 3 Limited</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</si>
  <si>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</si>
  <si>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</si>
  <si>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</si>
  <si>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</si>
  <si>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</si>
  <si>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</si>
  <si>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</si>
  <si>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Brighton Lions Housing Society Limited</t>
  </si>
  <si>
    <t>Brighton YMCA</t>
  </si>
  <si>
    <t>Charity of Julia Spicer for Almshouses</t>
  </si>
  <si>
    <t>Chichester Greyfriars Housing Association Limited</t>
  </si>
  <si>
    <t>Church Almshouses Charity</t>
  </si>
  <si>
    <t>Collins Memorial Trust</t>
  </si>
  <si>
    <t>Cottsway 2</t>
  </si>
  <si>
    <t>Cottsway Housing Association Limited</t>
  </si>
  <si>
    <t>Countess of Derby's Almshouse</t>
  </si>
  <si>
    <t>Darent Housing Co-operative Limited</t>
  </si>
  <si>
    <t>Dartford Almshouse Charity</t>
  </si>
  <si>
    <t>Delce Manor Housing Co-operative Limited</t>
  </si>
  <si>
    <t>Dorking Charity</t>
  </si>
  <si>
    <t>Dormer's Hospital Charity</t>
  </si>
  <si>
    <t>Drayton Parochial Charities</t>
  </si>
  <si>
    <t>Dunk's Almshouse Charity</t>
  </si>
  <si>
    <t>Elles Housing Co-operative Limited</t>
  </si>
  <si>
    <t>Elm Trees Retirement Living Limited</t>
  </si>
  <si>
    <t>Enham Trust</t>
  </si>
  <si>
    <t>Epsom and Ewell Housing Association Limited</t>
  </si>
  <si>
    <t>Fairplace Homes Ltd</t>
  </si>
  <si>
    <t>Fitzgerald Charity</t>
  </si>
  <si>
    <t>Five Villages Home Association Limited</t>
  </si>
  <si>
    <t>Franklands Village Housing Association Limited</t>
  </si>
  <si>
    <t>Franklyn Housing Co-operative Limited</t>
  </si>
  <si>
    <t>Golden Hill Housing Co-operative Limited</t>
  </si>
  <si>
    <t>Gravesend Churches Housing Association Limited</t>
  </si>
  <si>
    <t>Greenoak Housing Association Limited</t>
  </si>
  <si>
    <t>Guild Care</t>
  </si>
  <si>
    <t>Guildford Sunset Homes</t>
  </si>
  <si>
    <t>Hamwic Housing Co-operative Limited</t>
  </si>
  <si>
    <t>Hatton Housing Trust Limited</t>
  </si>
  <si>
    <t>Havant Housing Association Limited</t>
  </si>
  <si>
    <t>Henley and District Housing Trust Limited</t>
  </si>
  <si>
    <t>Henley YMCA</t>
  </si>
  <si>
    <t>Hewitt Homes</t>
  </si>
  <si>
    <t>Island Cottages Limited</t>
  </si>
  <si>
    <t>James Bradford Almshouses Trust</t>
  </si>
  <si>
    <t>John Bowley and Sherwood Almshouses</t>
  </si>
  <si>
    <t>King George V Memorial Houses</t>
  </si>
  <si>
    <t>Kingsclere Almshouses Charity</t>
  </si>
  <si>
    <t>Loddon Homes Limited</t>
  </si>
  <si>
    <t>Louisa Cottages Charity</t>
  </si>
  <si>
    <t>Lynsted Housing Co-operative Limited</t>
  </si>
  <si>
    <t>Malins Affordable Homes Limited</t>
  </si>
  <si>
    <t>Martlet Homes Limited</t>
  </si>
  <si>
    <t>Milldale Housing Co-operative Limited</t>
  </si>
  <si>
    <t>Milton Keynes YMCA Limited</t>
  </si>
  <si>
    <t>Minster Housing Co-operative Limited</t>
  </si>
  <si>
    <t>Moat Farm Housing Co-operative Limited</t>
  </si>
  <si>
    <t>Northchapel, Petworth and Tillington Almshouses</t>
  </si>
  <si>
    <t>Oakapple Housing Co-operative Limited</t>
  </si>
  <si>
    <t>Oast Wood Housing Co-operative Limited</t>
  </si>
  <si>
    <t>Ockley Housing Association Limited</t>
  </si>
  <si>
    <t>Old Farm Park Housing Co-operative Limited</t>
  </si>
  <si>
    <t>Orts Road Housing Co-operative Limited</t>
  </si>
  <si>
    <t>Peace Cottages Charity</t>
  </si>
  <si>
    <t>Pearson's &amp; St Elizabeth's Cottage Homes</t>
  </si>
  <si>
    <t>Pine Tree Housing Co-operative Limited</t>
  </si>
  <si>
    <t>Porthove Housing Association Limited</t>
  </si>
  <si>
    <t>Portsmouth Churches Housing Association Limited</t>
  </si>
  <si>
    <t>Portsmouth Rotary Housing Association Limited</t>
  </si>
  <si>
    <t>Reading YMCA</t>
  </si>
  <si>
    <t>Red Kite Community Housing Limited</t>
  </si>
  <si>
    <t>Resthaven Almshouses</t>
  </si>
  <si>
    <t>Rockdale Housing Association Limited</t>
  </si>
  <si>
    <t>Rogate and Terwick Housing Association Limited</t>
  </si>
  <si>
    <t>Rosebery Housing Association Limited</t>
  </si>
  <si>
    <t>Rosewood Housing Limited</t>
  </si>
  <si>
    <t>Rowland Hill and Vaughan Almshouse Charity</t>
  </si>
  <si>
    <t>Royal Air Forces Association Housing Limited</t>
  </si>
  <si>
    <t>Saxon Weald</t>
  </si>
  <si>
    <t>Senacre Housing Co-operative Limited</t>
  </si>
  <si>
    <t>Sherborne Close Housing Society Limited</t>
  </si>
  <si>
    <t>Shorncliffe Housing Co-operative Limited</t>
  </si>
  <si>
    <t>Silva Homes Limited</t>
  </si>
  <si>
    <t>Sir Robert Geffery's Almshouse Trust</t>
  </si>
  <si>
    <t>Soha Housing Limited</t>
  </si>
  <si>
    <t>Southdown Housing Association Limited</t>
  </si>
  <si>
    <t>Southsea Self Help Housing Limited</t>
  </si>
  <si>
    <t>St Luke's Housing Society Limited</t>
  </si>
  <si>
    <t>Stewart's and Budgen's Almshouses</t>
  </si>
  <si>
    <t>Sussex Overseas Housing Society Limited</t>
  </si>
  <si>
    <t>Thame and District Housing Association Limited</t>
  </si>
  <si>
    <t>Thames Ditton Homes Limited</t>
  </si>
  <si>
    <t>The Abbeyfield Chalfonts Society Limited</t>
  </si>
  <si>
    <t>The Abbeyfield Crowborough Society Limited</t>
  </si>
  <si>
    <t>The Abbeyfield Fareham Society Limited</t>
  </si>
  <si>
    <t>The Abbeyfield Great Missenden &amp; District Society</t>
  </si>
  <si>
    <t>The Abbeyfield North Downs Society Limited</t>
  </si>
  <si>
    <t>The Abbeyfield Pirbright and District Society Ltd</t>
  </si>
  <si>
    <t>The Andover Charities</t>
  </si>
  <si>
    <t>The Charity of Mrs Mabel Luke</t>
  </si>
  <si>
    <t>The Fellowship Houses Trust</t>
  </si>
  <si>
    <t>The Grange Centre for People with Disabilities</t>
  </si>
  <si>
    <t>The Honywood and Douglas Charity</t>
  </si>
  <si>
    <t>The Hospital of the Holy Trinity Aylesford</t>
  </si>
  <si>
    <t>The Molyneux Almshouses</t>
  </si>
  <si>
    <t>The Society of St James</t>
  </si>
  <si>
    <t>Thorner's Homes</t>
  </si>
  <si>
    <t>Thorngate Churcher Trust</t>
  </si>
  <si>
    <t>Town and Country Housing</t>
  </si>
  <si>
    <t>TPHA Limited</t>
  </si>
  <si>
    <t>Two Saints Limited</t>
  </si>
  <si>
    <t>Vectis Housing Association Limited</t>
  </si>
  <si>
    <t>Walton-on-Thames Charity</t>
  </si>
  <si>
    <t>Wargrave-on-Thames Housing Association Limited</t>
  </si>
  <si>
    <t>Warwick Housing Co-operative Limited</t>
  </si>
  <si>
    <t>West Kent Housing Association</t>
  </si>
  <si>
    <t>Westree Road Housing Co-operative Limited</t>
  </si>
  <si>
    <t>Weybank Housing Co-operative Limited</t>
  </si>
  <si>
    <t>Wickham Community Land Trust</t>
  </si>
  <si>
    <t>Winchester Working Men's Housing Society Limited</t>
  </si>
  <si>
    <t>Woodley Sandford and Charvil Charitable Trust</t>
  </si>
  <si>
    <t>Worthing Homes Limited</t>
  </si>
  <si>
    <t>Yarlington Housing Group</t>
  </si>
  <si>
    <t>YMCA Downslink Group</t>
  </si>
  <si>
    <t>YMCA East Surrey</t>
  </si>
  <si>
    <t>YMCA Fairthorne Housing</t>
  </si>
  <si>
    <t>Abbeyfield Bristol and Keynsham Society</t>
  </si>
  <si>
    <t>Ashley Community &amp; Housing Ltd</t>
  </si>
  <si>
    <t>Beer Community Land Trust Limited</t>
  </si>
  <si>
    <t>Boscombe Rotary and Inner Wheel Housing Association Limited</t>
  </si>
  <si>
    <t>Bournemouth Young Men's Christian Association</t>
  </si>
  <si>
    <t>Bristol and Anchor Almshouse Charity</t>
  </si>
  <si>
    <t>Bristol CLT Limited</t>
  </si>
  <si>
    <t>Bristowe (Fair Rent) Housing Association Limited</t>
  </si>
  <si>
    <t>Brunelcare</t>
  </si>
  <si>
    <t>Charity of Alice Dale</t>
  </si>
  <si>
    <t>Cheltenham Borough Homes Limited</t>
  </si>
  <si>
    <t>Cheltenham Young Men's Christian Association</t>
  </si>
  <si>
    <t>Cirencester Housing Limited</t>
  </si>
  <si>
    <t>Citizen Housing Group Limited</t>
  </si>
  <si>
    <t>City of Exeter YMCA</t>
  </si>
  <si>
    <t>City of Wells Almshouses</t>
  </si>
  <si>
    <t>Coastline Housing Limited</t>
  </si>
  <si>
    <t>Cooke's Almshouse Charity</t>
  </si>
  <si>
    <t>Cornerstone Housing Limited</t>
  </si>
  <si>
    <t>Cornwall CLT Limited</t>
  </si>
  <si>
    <t>Cornwall Housing Limited</t>
  </si>
  <si>
    <t>Cornwall Rural Housing Association Limited</t>
  </si>
  <si>
    <t>Curo Group (Albion) Limited</t>
  </si>
  <si>
    <t>Curo Places Limited</t>
  </si>
  <si>
    <t>Danby Almshouse Charity</t>
  </si>
  <si>
    <t>Earle's Retreat</t>
  </si>
  <si>
    <t>East Boro Housing Trust Limited</t>
  </si>
  <si>
    <t>Elim Housing Association Limited</t>
  </si>
  <si>
    <t>Emily Brydges Willyams Memorial Houses</t>
  </si>
  <si>
    <t>Exeter Homes Trust</t>
  </si>
  <si>
    <t>Falcon Rural Housing Limited</t>
  </si>
  <si>
    <t>Ford Street and Maynard Almshouse Charity</t>
  </si>
  <si>
    <t>Fountain Housing Association Limited</t>
  </si>
  <si>
    <t>French Weir Affordable Homes LLP</t>
  </si>
  <si>
    <t>German Lutheran Housing Association Limited</t>
  </si>
  <si>
    <t>Gloucester City Homes Limited</t>
  </si>
  <si>
    <t>Gloucestershire Rural Housing Association Limited</t>
  </si>
  <si>
    <t>Guinness Housing Association Limited</t>
  </si>
  <si>
    <t>Julian House</t>
  </si>
  <si>
    <t>King's Barton Housing Association Limited</t>
  </si>
  <si>
    <t>Locking Deanery Housing Society Limited</t>
  </si>
  <si>
    <t>Magna Housing Limited</t>
  </si>
  <si>
    <t>Marshfield Consolidated Charities</t>
  </si>
  <si>
    <t>Merlin Housing Society Limited</t>
  </si>
  <si>
    <t>Municipal &amp; Owen Carter Almshouse Charities</t>
  </si>
  <si>
    <t>Municipal Charities</t>
  </si>
  <si>
    <t>North Devon Homes</t>
  </si>
  <si>
    <t>NSAH (Alliance Homes) Limited</t>
  </si>
  <si>
    <t>Ocean Housing Limited</t>
  </si>
  <si>
    <t>Old Cleeve Memorial Cottages</t>
  </si>
  <si>
    <t>Orchard Homes</t>
  </si>
  <si>
    <t>Plymouth Charity Trust</t>
  </si>
  <si>
    <t>Plymouth Community Homes Limited</t>
  </si>
  <si>
    <t>Poole Old Peoples Welfare and Housing Society Limited</t>
  </si>
  <si>
    <t>Red Devon Housing Limited</t>
  </si>
  <si>
    <t>Roborough Community Property Association Limited</t>
  </si>
  <si>
    <t>Rooftop Housing Association Limited</t>
  </si>
  <si>
    <t>Salisbury City Almshouse and Welfare Charities</t>
  </si>
  <si>
    <t>Selwood Housing Society Limited</t>
  </si>
  <si>
    <t>SHAL Housing Limited</t>
  </si>
  <si>
    <t>Shepton Mallet United Charities</t>
  </si>
  <si>
    <t>Sidcot Friends Housing Society Limited</t>
  </si>
  <si>
    <t>Somewhere Co-operative Housing Association Limited</t>
  </si>
  <si>
    <t>South Devon Rural Housing Association Limited</t>
  </si>
  <si>
    <t>Sovereign Living Limited</t>
  </si>
  <si>
    <t>Sturts Community Trust</t>
  </si>
  <si>
    <t>Tamar Housing Society Limited</t>
  </si>
  <si>
    <t>Taunton Heritage Trust</t>
  </si>
  <si>
    <t>Teign Housing</t>
  </si>
  <si>
    <t>The Abbeyfield (Wells) Society Limited</t>
  </si>
  <si>
    <t>The Abbeyfield (Weymouth) Society Limited</t>
  </si>
  <si>
    <t>The Abbeyfield Bradford-on-Avon Society Limited</t>
  </si>
  <si>
    <t>The Abbeyfield Buckland Monachorum Society Limited</t>
  </si>
  <si>
    <t>The Abbeyfield Holsworthy Society Limited</t>
  </si>
  <si>
    <t>The Abbeyfield Saltash Society Limited</t>
  </si>
  <si>
    <t>The Abbeyfield South Molton Society Limited</t>
  </si>
  <si>
    <t>The Abbeyfield South West Society Limited</t>
  </si>
  <si>
    <t>The Abbeyfield Tiverton Society Limited</t>
  </si>
  <si>
    <t>The Bampfylde Almshouse Charity</t>
  </si>
  <si>
    <t>The Blue House</t>
  </si>
  <si>
    <t>The Duchess of Somerset's Hospital</t>
  </si>
  <si>
    <t>The Flood Charity</t>
  </si>
  <si>
    <t>The Gloucester Charities Trust</t>
  </si>
  <si>
    <t>The Margaret Jane Ashley Almshouse Charity</t>
  </si>
  <si>
    <t>The Reverend Rowland Hill Almshouse Charity</t>
  </si>
  <si>
    <t>The Society of Merchant Venturers' Almshouse Charity</t>
  </si>
  <si>
    <t>Tiverton Almshouse Trust</t>
  </si>
  <si>
    <t>Tregonwell Almshouse Trust</t>
  </si>
  <si>
    <t>Two Rivers Housing</t>
  </si>
  <si>
    <t>UCCLT Housing Ltd</t>
  </si>
  <si>
    <t>West of England Friends Housing Society Limited</t>
  </si>
  <si>
    <t>Westward Housing Group Limited</t>
  </si>
  <si>
    <t>White Horse Housing Association Limited</t>
  </si>
  <si>
    <t>Wyedean Housing Association Limited</t>
  </si>
  <si>
    <t>YMCA Brunel Group</t>
  </si>
  <si>
    <t>20-20 Housing Co-operative Limited</t>
  </si>
  <si>
    <t>Alpha Housing Co-operative Limited</t>
  </si>
  <si>
    <t>Balsall Heath Housing Co-operative Limited</t>
  </si>
  <si>
    <t>Birmingham Civic Housing Association Limited</t>
  </si>
  <si>
    <t>Birmingham Jewish Housing Association Limited</t>
  </si>
  <si>
    <t>Black Country Housing Group Limited</t>
  </si>
  <si>
    <t>Bordesley Green Housing Co-operative Limited</t>
  </si>
  <si>
    <t>Bournville Village Trust</t>
  </si>
  <si>
    <t>Bournville Works Housing Society Limited</t>
  </si>
  <si>
    <t>Brighter Futures Housing Association Limited</t>
  </si>
  <si>
    <t>Broadening Choices for Older People</t>
  </si>
  <si>
    <t>Bromsgrove District Housing Trust Limited</t>
  </si>
  <si>
    <t>Bromsgrove United Charities</t>
  </si>
  <si>
    <t>Butlin and Elborow Housing Trust</t>
  </si>
  <si>
    <t>Charity of Mrs Catherine Walker</t>
  </si>
  <si>
    <t>Choices Housing Association Limited</t>
  </si>
  <si>
    <t>Claverdon Benefice Housing Association Limited</t>
  </si>
  <si>
    <t>Condlyffe Charity</t>
  </si>
  <si>
    <t>Coventry Church (Municipal) Charities</t>
  </si>
  <si>
    <t>Elizabeth Dowell's Trust</t>
  </si>
  <si>
    <t>Empowering People Inspiring Communities Limited</t>
  </si>
  <si>
    <t>Expectations (UK)</t>
  </si>
  <si>
    <t>Glover's Trust Endowed Fund</t>
  </si>
  <si>
    <t>Harpers Marsh and Crumps Almshouse Charity</t>
  </si>
  <si>
    <t>Hawes Street Housing Limited</t>
  </si>
  <si>
    <t>Heart of England Young Men's Christian Association</t>
  </si>
  <si>
    <t>Heartsease House Community Interest Company</t>
  </si>
  <si>
    <t>Hibiscus Housing Association Limited</t>
  </si>
  <si>
    <t>Holmwood Tenants Co-operative Limited</t>
  </si>
  <si>
    <t>Lench's Trust</t>
  </si>
  <si>
    <t>Lyng Community Association</t>
  </si>
  <si>
    <t>Margaret Colquhoun Chavasse Almshouses</t>
  </si>
  <si>
    <t>Nehemiah United Churches Housing Association Limited</t>
  </si>
  <si>
    <t>New Outlook Housing Association Limited</t>
  </si>
  <si>
    <t>Paddock Housing Co-operative Limited</t>
  </si>
  <si>
    <t>Platform Housing Group Limited</t>
  </si>
  <si>
    <t>Rayner House and Yew Trees Limited</t>
  </si>
  <si>
    <t>Reliance Social Housing C.I.C</t>
  </si>
  <si>
    <t>Sambourne Trust</t>
  </si>
  <si>
    <t>Sandwell Homeless and Resettlement Project Limited</t>
  </si>
  <si>
    <t>Severnside Housing</t>
  </si>
  <si>
    <t>Shahjalal Housing Co-operative Limited</t>
  </si>
  <si>
    <t>Shrewsbury Drapers Company Charity</t>
  </si>
  <si>
    <t>Shropshire Association for Supported Housing Limited</t>
  </si>
  <si>
    <t>Shropshire Rural Housing Association Limited</t>
  </si>
  <si>
    <t>Sir Josiah Mason's Almshouse Charity</t>
  </si>
  <si>
    <t>Siward James and Arkwright Trust Charity</t>
  </si>
  <si>
    <t>Small Heath Park Housing Co-operative Limited</t>
  </si>
  <si>
    <t>Solihull Care Housing Association Limited</t>
  </si>
  <si>
    <t>South Road Housing Co-operative Limited</t>
  </si>
  <si>
    <t>St Anne's Hostel</t>
  </si>
  <si>
    <t>St Basil's</t>
  </si>
  <si>
    <t>St Peter's Saltley Housing Association Limited</t>
  </si>
  <si>
    <t>Starley Housing Co-operative Limited</t>
  </si>
  <si>
    <t>Stoke-on-Trent Housing Society Limited</t>
  </si>
  <si>
    <t>Tamworth Cornerstone Housing Association Limited</t>
  </si>
  <si>
    <t>The Abbeyfield Worcester and Hereford Society Limited</t>
  </si>
  <si>
    <t>The Ash Homes</t>
  </si>
  <si>
    <t>The Berrow Cottage Homes</t>
  </si>
  <si>
    <t>The Birch, Samson and Littleton United Charities</t>
  </si>
  <si>
    <t>The Community Housing Group Limited</t>
  </si>
  <si>
    <t>The Harborne Parish Lands Charity</t>
  </si>
  <si>
    <t>The James Charities</t>
  </si>
  <si>
    <t>The Pioneer Housing and Community Group Limited</t>
  </si>
  <si>
    <t>The Wrekin Housing Group Limited</t>
  </si>
  <si>
    <t>Triangle Housing Co-operative Limited</t>
  </si>
  <si>
    <t>Trinity Hospital at Clun</t>
  </si>
  <si>
    <t>Victoria Tenants Co-operative Limited</t>
  </si>
  <si>
    <t>Walsall Housing Group Limited</t>
  </si>
  <si>
    <t>Warwickshire Rural Housing Association Limited</t>
  </si>
  <si>
    <t>Whitehead Almshouses</t>
  </si>
  <si>
    <t>Worcester Municipal Charities CIO</t>
  </si>
  <si>
    <t>Worcestershire YMCA Limited</t>
  </si>
  <si>
    <t>Yardley Great Trust</t>
  </si>
  <si>
    <t>YMCA Black Country Group</t>
  </si>
  <si>
    <t>Abbeyfield The Dales Limited</t>
  </si>
  <si>
    <t>Bradford Cyrenians Limited</t>
  </si>
  <si>
    <t>Bridge-It Housing UK Team Ltd</t>
  </si>
  <si>
    <t>Calder Valley Community Land Trust Limited</t>
  </si>
  <si>
    <t>Charity Of Elizabeth Wadsworth</t>
  </si>
  <si>
    <t>Chartford Housing Limited</t>
  </si>
  <si>
    <t>Colton's Hospital</t>
  </si>
  <si>
    <t>Connect Housing Association Limited</t>
  </si>
  <si>
    <t>Cooke Almshouse Charity</t>
  </si>
  <si>
    <t>Doncaster Young Men's Christian Association</t>
  </si>
  <si>
    <t>Emily Bentley Homes</t>
  </si>
  <si>
    <t>Foundation</t>
  </si>
  <si>
    <t>Frank Crossley's Almshouses</t>
  </si>
  <si>
    <t>George Newton Housing Trust</t>
  </si>
  <si>
    <t>Goodwin Development Trust</t>
  </si>
  <si>
    <t>Grantham's Almshouses</t>
  </si>
  <si>
    <t>Harrogate Flower Fund Homes Limited</t>
  </si>
  <si>
    <t>Harrogate Housing Association Limited</t>
  </si>
  <si>
    <t>Harrogate Neighbours Housing Association Limited</t>
  </si>
  <si>
    <t>Highstone Housing Association Limited</t>
  </si>
  <si>
    <t>Hull and East Yorkshire Mind</t>
  </si>
  <si>
    <t>Hull Churches Housing Association Limited</t>
  </si>
  <si>
    <t>Hull House Improvement Society Limited</t>
  </si>
  <si>
    <t>Hull Resettlement Project Limited</t>
  </si>
  <si>
    <t>Hull United Charities</t>
  </si>
  <si>
    <t>Incommunities Limited</t>
  </si>
  <si>
    <t>John Pease Cottages</t>
  </si>
  <si>
    <t>Joseph Crossley's Almshouses</t>
  </si>
  <si>
    <t>Kirklees Housing Association Limited</t>
  </si>
  <si>
    <t>Lady Lumley's Almshouses</t>
  </si>
  <si>
    <t>Leeds Jewish Housing Association Limited</t>
  </si>
  <si>
    <t>Manningham Housing Association Limited</t>
  </si>
  <si>
    <t>Marsden Memorial Homes</t>
  </si>
  <si>
    <t>Pickering and Ferens Homes</t>
  </si>
  <si>
    <t>Pinnacle Spaces Limited</t>
  </si>
  <si>
    <t>Ripon YMCA</t>
  </si>
  <si>
    <t>Roger's Almshouses</t>
  </si>
  <si>
    <t>St Andrew Housing Co-operative Limited</t>
  </si>
  <si>
    <t>Tangram Housing Co-operative Limited</t>
  </si>
  <si>
    <t>Target Housing Limited</t>
  </si>
  <si>
    <t>The Abbeyfield Thirsk &amp; Sowerby Society Limited</t>
  </si>
  <si>
    <t>The Abbeyfield York Society Limited</t>
  </si>
  <si>
    <t>The Harcourt Almshouse Charities</t>
  </si>
  <si>
    <t>The Hospital of Reverend William James</t>
  </si>
  <si>
    <t>The Hospital of St Thomas the Apostle in Doncaster</t>
  </si>
  <si>
    <t>The Robert Salter Charity</t>
  </si>
  <si>
    <t>The Walker Barstow Homes</t>
  </si>
  <si>
    <t>Unity Housing Association Limited</t>
  </si>
  <si>
    <t>Wakefield And District Housing Limited</t>
  </si>
  <si>
    <t>Wakefield Charities' Homes</t>
  </si>
  <si>
    <t>Whitby Merchant Seamen's Hospital Houses</t>
  </si>
  <si>
    <t>RP_Code</t>
  </si>
  <si>
    <t>RP_Name</t>
  </si>
  <si>
    <t>No. LAs RP operates in</t>
  </si>
  <si>
    <t>Lookup for filters</t>
  </si>
  <si>
    <t>4568</t>
  </si>
  <si>
    <t>4569</t>
  </si>
  <si>
    <t>4570</t>
  </si>
  <si>
    <t>4572</t>
  </si>
  <si>
    <t>4576</t>
  </si>
  <si>
    <t>4582</t>
  </si>
  <si>
    <t>4584</t>
  </si>
  <si>
    <t>4607</t>
  </si>
  <si>
    <t>4608</t>
  </si>
  <si>
    <t>4609</t>
  </si>
  <si>
    <t>4612</t>
  </si>
  <si>
    <t>4619</t>
  </si>
  <si>
    <t>4630</t>
  </si>
  <si>
    <t>4633</t>
  </si>
  <si>
    <t>4634</t>
  </si>
  <si>
    <t>4635</t>
  </si>
  <si>
    <t>4636</t>
  </si>
  <si>
    <t>4637</t>
  </si>
  <si>
    <t>4638</t>
  </si>
  <si>
    <t>4639</t>
  </si>
  <si>
    <t>4640</t>
  </si>
  <si>
    <t>4641</t>
  </si>
  <si>
    <t>4644</t>
  </si>
  <si>
    <t>4645</t>
  </si>
  <si>
    <t>4647</t>
  </si>
  <si>
    <t>4648</t>
  </si>
  <si>
    <t>4651</t>
  </si>
  <si>
    <t>4653</t>
  </si>
  <si>
    <t>4658</t>
  </si>
  <si>
    <t>4659</t>
  </si>
  <si>
    <t>4660</t>
  </si>
  <si>
    <t>4661</t>
  </si>
  <si>
    <t>4662</t>
  </si>
  <si>
    <t>4663</t>
  </si>
  <si>
    <t>4666</t>
  </si>
  <si>
    <t>4668</t>
  </si>
  <si>
    <t>4670</t>
  </si>
  <si>
    <t>4672</t>
  </si>
  <si>
    <t>4675</t>
  </si>
  <si>
    <t>4676</t>
  </si>
  <si>
    <t>4677</t>
  </si>
  <si>
    <t>4679</t>
  </si>
  <si>
    <t>4680</t>
  </si>
  <si>
    <t>4682</t>
  </si>
  <si>
    <t>4683</t>
  </si>
  <si>
    <t>4684</t>
  </si>
  <si>
    <t>4686</t>
  </si>
  <si>
    <t>4687</t>
  </si>
  <si>
    <t>4688</t>
  </si>
  <si>
    <t>4689</t>
  </si>
  <si>
    <t>4690</t>
  </si>
  <si>
    <t>4691</t>
  </si>
  <si>
    <t>4692</t>
  </si>
  <si>
    <t>4693</t>
  </si>
  <si>
    <t>4695</t>
  </si>
  <si>
    <t>4696</t>
  </si>
  <si>
    <t>4700</t>
  </si>
  <si>
    <t>4702</t>
  </si>
  <si>
    <t>4703</t>
  </si>
  <si>
    <t>4706</t>
  </si>
  <si>
    <t>4707</t>
  </si>
  <si>
    <t>4709</t>
  </si>
  <si>
    <t>4712</t>
  </si>
  <si>
    <t>4713</t>
  </si>
  <si>
    <t>4715</t>
  </si>
  <si>
    <t>4716</t>
  </si>
  <si>
    <t>4717</t>
  </si>
  <si>
    <t>4718</t>
  </si>
  <si>
    <t>4719</t>
  </si>
  <si>
    <t>4720</t>
  </si>
  <si>
    <t>4722</t>
  </si>
  <si>
    <t>4725</t>
  </si>
  <si>
    <t>4726</t>
  </si>
  <si>
    <t>4728</t>
  </si>
  <si>
    <t>4729</t>
  </si>
  <si>
    <t>4730</t>
  </si>
  <si>
    <t>4731</t>
  </si>
  <si>
    <t>4733</t>
  </si>
  <si>
    <t>4735</t>
  </si>
  <si>
    <t>4736</t>
  </si>
  <si>
    <t>4737</t>
  </si>
  <si>
    <t>4738</t>
  </si>
  <si>
    <t>4739</t>
  </si>
  <si>
    <t>4741</t>
  </si>
  <si>
    <t>4742</t>
  </si>
  <si>
    <t>4743</t>
  </si>
  <si>
    <t>4744</t>
  </si>
  <si>
    <t>4745</t>
  </si>
  <si>
    <t>4749</t>
  </si>
  <si>
    <t>4751</t>
  </si>
  <si>
    <t>4756</t>
  </si>
  <si>
    <t>4757</t>
  </si>
  <si>
    <t>4758</t>
  </si>
  <si>
    <t>4760</t>
  </si>
  <si>
    <t>4762</t>
  </si>
  <si>
    <t>4763</t>
  </si>
  <si>
    <t>4764</t>
  </si>
  <si>
    <t>4765</t>
  </si>
  <si>
    <t>4766</t>
  </si>
  <si>
    <t>4767</t>
  </si>
  <si>
    <t>4768</t>
  </si>
  <si>
    <t>4770</t>
  </si>
  <si>
    <t>4771</t>
  </si>
  <si>
    <t>4772</t>
  </si>
  <si>
    <t>4773</t>
  </si>
  <si>
    <t>4774</t>
  </si>
  <si>
    <t>4775</t>
  </si>
  <si>
    <t>4776</t>
  </si>
  <si>
    <t>4777</t>
  </si>
  <si>
    <t>4778</t>
  </si>
  <si>
    <t>4779</t>
  </si>
  <si>
    <t>4780</t>
  </si>
  <si>
    <t>4781</t>
  </si>
  <si>
    <t>4783</t>
  </si>
  <si>
    <t>4784</t>
  </si>
  <si>
    <t>4785</t>
  </si>
  <si>
    <t>4787</t>
  </si>
  <si>
    <t>4788</t>
  </si>
  <si>
    <t>4789</t>
  </si>
  <si>
    <t>4790</t>
  </si>
  <si>
    <t>4791</t>
  </si>
  <si>
    <t>4792</t>
  </si>
  <si>
    <t>4793</t>
  </si>
  <si>
    <t>4794</t>
  </si>
  <si>
    <t>4795</t>
  </si>
  <si>
    <t>4796</t>
  </si>
  <si>
    <t>4797</t>
  </si>
  <si>
    <t>4799</t>
  </si>
  <si>
    <t>4800</t>
  </si>
  <si>
    <t>4801</t>
  </si>
  <si>
    <t>4803</t>
  </si>
  <si>
    <t>4804</t>
  </si>
  <si>
    <t>4807</t>
  </si>
  <si>
    <t>4808</t>
  </si>
  <si>
    <t>4809</t>
  </si>
  <si>
    <t>4810</t>
  </si>
  <si>
    <t>4811</t>
  </si>
  <si>
    <t>4812</t>
  </si>
  <si>
    <t>4813</t>
  </si>
  <si>
    <t>4814</t>
  </si>
  <si>
    <t>4815</t>
  </si>
  <si>
    <t>4817</t>
  </si>
  <si>
    <t>4819</t>
  </si>
  <si>
    <t>4821</t>
  </si>
  <si>
    <t>4822</t>
  </si>
  <si>
    <t>4823</t>
  </si>
  <si>
    <t>4824</t>
  </si>
  <si>
    <t>4825</t>
  </si>
  <si>
    <t>4826</t>
  </si>
  <si>
    <t>4827</t>
  </si>
  <si>
    <t>4828</t>
  </si>
  <si>
    <t>4829</t>
  </si>
  <si>
    <t>4830</t>
  </si>
  <si>
    <t>4837</t>
  </si>
  <si>
    <t>4838</t>
  </si>
  <si>
    <t>4839</t>
  </si>
  <si>
    <t>4840</t>
  </si>
  <si>
    <t>4841</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</si>
  <si>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</si>
  <si>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</si>
  <si>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</si>
  <si>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</si>
  <si>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</si>
  <si>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</si>
  <si>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</si>
  <si>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</si>
  <si>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</si>
  <si>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</si>
  <si>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</si>
  <si>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</si>
  <si>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</si>
  <si>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</si>
  <si>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</si>
  <si>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</si>
  <si>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</si>
  <si>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</si>
  <si>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</si>
  <si>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</si>
  <si>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</si>
  <si>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</si>
  <si>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</si>
  <si>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</si>
  <si>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</si>
  <si>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4870</t>
  </si>
  <si>
    <t>4871</t>
  </si>
  <si>
    <t>4872</t>
  </si>
  <si>
    <t>4873</t>
  </si>
  <si>
    <t>4875</t>
  </si>
  <si>
    <t>4876</t>
  </si>
  <si>
    <t>4877</t>
  </si>
  <si>
    <t>4878</t>
  </si>
  <si>
    <t>4880</t>
  </si>
  <si>
    <t>4881</t>
  </si>
  <si>
    <t>5050</t>
  </si>
  <si>
    <t>5051</t>
  </si>
  <si>
    <t>5054</t>
  </si>
  <si>
    <t>5055</t>
  </si>
  <si>
    <t>5056</t>
  </si>
  <si>
    <t>5057</t>
  </si>
  <si>
    <t>5058</t>
  </si>
  <si>
    <t>5059</t>
  </si>
  <si>
    <t>5060</t>
  </si>
  <si>
    <t>5061</t>
  </si>
  <si>
    <t>5062</t>
  </si>
  <si>
    <t>5064</t>
  </si>
  <si>
    <t>5065</t>
  </si>
  <si>
    <t>5066</t>
  </si>
  <si>
    <t>5071</t>
  </si>
  <si>
    <t>5073</t>
  </si>
  <si>
    <t>5075</t>
  </si>
  <si>
    <t>5079</t>
  </si>
  <si>
    <t>5084</t>
  </si>
  <si>
    <t>5086</t>
  </si>
  <si>
    <t>5087</t>
  </si>
  <si>
    <t>5088</t>
  </si>
  <si>
    <t>5089</t>
  </si>
  <si>
    <t>5090</t>
  </si>
  <si>
    <t>A0056</t>
  </si>
  <si>
    <t>A0069</t>
  </si>
  <si>
    <t>A0072</t>
  </si>
  <si>
    <t>A0132</t>
  </si>
  <si>
    <t>A0157</t>
  </si>
  <si>
    <t>A0163</t>
  </si>
  <si>
    <t>A0185</t>
  </si>
  <si>
    <t>A0192</t>
  </si>
  <si>
    <t>A0208</t>
  </si>
  <si>
    <t>A0211</t>
  </si>
  <si>
    <t>A0215</t>
  </si>
  <si>
    <t>A0230</t>
  </si>
  <si>
    <t>A0261</t>
  </si>
  <si>
    <t>A0318</t>
  </si>
  <si>
    <t>A0333</t>
  </si>
  <si>
    <t>A0376</t>
  </si>
  <si>
    <t>A0379</t>
  </si>
  <si>
    <t>A0458</t>
  </si>
  <si>
    <t>A0473</t>
  </si>
  <si>
    <t>A0485</t>
  </si>
  <si>
    <t>A0486</t>
  </si>
  <si>
    <t>A0513</t>
  </si>
  <si>
    <t>A0534</t>
  </si>
  <si>
    <t>A0544</t>
  </si>
  <si>
    <t>A0564</t>
  </si>
  <si>
    <t>A0565</t>
  </si>
  <si>
    <t>A0567</t>
  </si>
  <si>
    <t>A0581</t>
  </si>
  <si>
    <t>A0592</t>
  </si>
  <si>
    <t>A0600</t>
  </si>
  <si>
    <t>A0611</t>
  </si>
  <si>
    <t>A0627</t>
  </si>
  <si>
    <t>A0629</t>
  </si>
  <si>
    <t>A0648</t>
  </si>
  <si>
    <t>A0656</t>
  </si>
  <si>
    <t>A0736</t>
  </si>
  <si>
    <t>A0746</t>
  </si>
  <si>
    <t>A0798</t>
  </si>
  <si>
    <t>A0846</t>
  </si>
  <si>
    <t>A1048</t>
  </si>
  <si>
    <t>A1055</t>
  </si>
  <si>
    <t>A1056</t>
  </si>
  <si>
    <t>A1063</t>
  </si>
  <si>
    <t>A1067</t>
  </si>
  <si>
    <t>A1070</t>
  </si>
  <si>
    <t>A1071</t>
  </si>
  <si>
    <t>A1072</t>
  </si>
  <si>
    <t>A1157</t>
  </si>
  <si>
    <t>A1160</t>
  </si>
  <si>
    <t>A1168</t>
  </si>
  <si>
    <t>A1254</t>
  </si>
  <si>
    <t>A1273</t>
  </si>
  <si>
    <t>A1274</t>
  </si>
  <si>
    <t>A1276</t>
  </si>
  <si>
    <t>A1286</t>
  </si>
  <si>
    <t>A1325</t>
  </si>
  <si>
    <t>A1328</t>
  </si>
  <si>
    <t>A1329</t>
  </si>
  <si>
    <t>A1348</t>
  </si>
  <si>
    <t>A1442</t>
  </si>
  <si>
    <t>A1464</t>
  </si>
  <si>
    <t>A1482</t>
  </si>
  <si>
    <t>A1632</t>
  </si>
  <si>
    <t>A1789</t>
  </si>
  <si>
    <t>A1843</t>
  </si>
  <si>
    <t>A1855</t>
  </si>
  <si>
    <t>A1892</t>
  </si>
  <si>
    <t>A1920</t>
  </si>
  <si>
    <t>A1921</t>
  </si>
  <si>
    <t>A2064</t>
  </si>
  <si>
    <t>A2070</t>
  </si>
  <si>
    <t>A2071</t>
  </si>
  <si>
    <t>A2072</t>
  </si>
  <si>
    <t>A2074</t>
  </si>
  <si>
    <t>A2093</t>
  </si>
  <si>
    <t>A2130</t>
  </si>
  <si>
    <t>A2144</t>
  </si>
  <si>
    <t>A2150</t>
  </si>
  <si>
    <t>A2233</t>
  </si>
  <si>
    <t>A2246</t>
  </si>
  <si>
    <t>A2247</t>
  </si>
  <si>
    <t>A2250</t>
  </si>
  <si>
    <t>A2255</t>
  </si>
  <si>
    <t>A2293</t>
  </si>
  <si>
    <t>A2334</t>
  </si>
  <si>
    <t>A2363</t>
  </si>
  <si>
    <t>A2366</t>
  </si>
  <si>
    <t>A2367</t>
  </si>
  <si>
    <t>A2395</t>
  </si>
  <si>
    <t>A2405</t>
  </si>
  <si>
    <t>A2448</t>
  </si>
  <si>
    <t>A2455</t>
  </si>
  <si>
    <t>A2481</t>
  </si>
  <si>
    <t>A2482</t>
  </si>
  <si>
    <t>A2485</t>
  </si>
  <si>
    <t>A2566</t>
  </si>
  <si>
    <t>A2567</t>
  </si>
  <si>
    <t>A2570</t>
  </si>
  <si>
    <t>A2604</t>
  </si>
  <si>
    <t>A2635</t>
  </si>
  <si>
    <t>A2643</t>
  </si>
  <si>
    <t>A2670</t>
  </si>
  <si>
    <t>A2704</t>
  </si>
  <si>
    <t>A2710</t>
  </si>
  <si>
    <t>A2721</t>
  </si>
  <si>
    <t>A2722</t>
  </si>
  <si>
    <t>A2759</t>
  </si>
  <si>
    <t>A2785</t>
  </si>
  <si>
    <t>A2786</t>
  </si>
  <si>
    <t>A2803</t>
  </si>
  <si>
    <t>A2819</t>
  </si>
  <si>
    <t>A2820</t>
  </si>
  <si>
    <t>A2821</t>
  </si>
  <si>
    <t>A2835</t>
  </si>
  <si>
    <t>A2837</t>
  </si>
  <si>
    <t>A2840</t>
  </si>
  <si>
    <t>A2917</t>
  </si>
  <si>
    <t>A2920</t>
  </si>
  <si>
    <t>A2945</t>
  </si>
  <si>
    <t>A2948</t>
  </si>
  <si>
    <t>A2987</t>
  </si>
  <si>
    <t>A2989</t>
  </si>
  <si>
    <t>A2991</t>
  </si>
  <si>
    <t>A2992</t>
  </si>
  <si>
    <t>A2993</t>
  </si>
  <si>
    <t>A3010</t>
  </si>
  <si>
    <t>A3035</t>
  </si>
  <si>
    <t>A3036</t>
  </si>
  <si>
    <t>A3183</t>
  </si>
  <si>
    <t>A3257</t>
  </si>
  <si>
    <t>A3266</t>
  </si>
  <si>
    <t>A3267</t>
  </si>
  <si>
    <t>A3311</t>
  </si>
  <si>
    <t>A3358</t>
  </si>
  <si>
    <t>A3386</t>
  </si>
  <si>
    <t>A3387</t>
  </si>
  <si>
    <t>A3388</t>
  </si>
  <si>
    <t>A3418</t>
  </si>
  <si>
    <t>A3448</t>
  </si>
  <si>
    <t>A3456</t>
  </si>
  <si>
    <t>A3457</t>
  </si>
  <si>
    <t>A3467</t>
  </si>
  <si>
    <t>A3486</t>
  </si>
  <si>
    <t>A3494</t>
  </si>
  <si>
    <t>A3527</t>
  </si>
  <si>
    <t>A3536</t>
  </si>
  <si>
    <t>A3538</t>
  </si>
  <si>
    <t>A3552</t>
  </si>
  <si>
    <t>A3564</t>
  </si>
  <si>
    <t>A3567</t>
  </si>
  <si>
    <t>A3581</t>
  </si>
  <si>
    <t>A3583</t>
  </si>
  <si>
    <t>A3590</t>
  </si>
  <si>
    <t>A3603</t>
  </si>
  <si>
    <t>A3612</t>
  </si>
  <si>
    <t>A3647</t>
  </si>
  <si>
    <t>A3648</t>
  </si>
  <si>
    <t>A3666</t>
  </si>
  <si>
    <t>A3667</t>
  </si>
  <si>
    <t>A3681</t>
  </si>
  <si>
    <t>A3697</t>
  </si>
  <si>
    <t>A3706</t>
  </si>
  <si>
    <t>A3714</t>
  </si>
  <si>
    <t>A3721</t>
  </si>
  <si>
    <t>A3722</t>
  </si>
  <si>
    <t>A3748</t>
  </si>
  <si>
    <t>A3759</t>
  </si>
  <si>
    <t>A3761</t>
  </si>
  <si>
    <t>A3768</t>
  </si>
  <si>
    <t>A3783</t>
  </si>
  <si>
    <t>A3822</t>
  </si>
  <si>
    <t>A3838</t>
  </si>
  <si>
    <t>A3909</t>
  </si>
  <si>
    <t>A3911</t>
  </si>
  <si>
    <t>A3937</t>
  </si>
  <si>
    <t>A3946</t>
  </si>
  <si>
    <t>A3969</t>
  </si>
  <si>
    <t>A3970</t>
  </si>
  <si>
    <t>A3989</t>
  </si>
  <si>
    <t>A3990</t>
  </si>
  <si>
    <t>A3996</t>
  </si>
  <si>
    <t>A3997</t>
  </si>
  <si>
    <t>A4001</t>
  </si>
  <si>
    <t>A4020</t>
  </si>
  <si>
    <t>A4022</t>
  </si>
  <si>
    <t>A4028</t>
  </si>
  <si>
    <t>A4029</t>
  </si>
  <si>
    <t>A4037</t>
  </si>
  <si>
    <t>A4038</t>
  </si>
  <si>
    <t>A4055</t>
  </si>
  <si>
    <t>A4057</t>
  </si>
  <si>
    <t>A4063</t>
  </si>
  <si>
    <t>A4071</t>
  </si>
  <si>
    <t>A4080</t>
  </si>
  <si>
    <t>A4089</t>
  </si>
  <si>
    <t>A4136</t>
  </si>
  <si>
    <t>A4153</t>
  </si>
  <si>
    <t>A4157</t>
  </si>
  <si>
    <t>A4183</t>
  </si>
  <si>
    <t>A4256</t>
  </si>
  <si>
    <t>A4257</t>
  </si>
  <si>
    <t>A4271</t>
  </si>
  <si>
    <t>A4273</t>
  </si>
  <si>
    <t>A4298</t>
  </si>
  <si>
    <t>A4330</t>
  </si>
  <si>
    <t>A4354</t>
  </si>
  <si>
    <t>A4410</t>
  </si>
  <si>
    <t>A4417</t>
  </si>
  <si>
    <t>A4430</t>
  </si>
  <si>
    <t>C0447</t>
  </si>
  <si>
    <t>C0508</t>
  </si>
  <si>
    <t>C1686</t>
  </si>
  <si>
    <t>C1810</t>
  </si>
  <si>
    <t>C1853</t>
  </si>
  <si>
    <t>C1981</t>
  </si>
  <si>
    <t>C2046</t>
  </si>
  <si>
    <t>C2157</t>
  </si>
  <si>
    <t>C2198</t>
  </si>
  <si>
    <t>C2206</t>
  </si>
  <si>
    <t>C2303</t>
  </si>
  <si>
    <t>C2304</t>
  </si>
  <si>
    <t>C2313</t>
  </si>
  <si>
    <t>C2390</t>
  </si>
  <si>
    <t>C2412</t>
  </si>
  <si>
    <t>C2416</t>
  </si>
  <si>
    <t>C2417</t>
  </si>
  <si>
    <t>C2418</t>
  </si>
  <si>
    <t>C2421</t>
  </si>
  <si>
    <t>C2422</t>
  </si>
  <si>
    <t>C2436</t>
  </si>
  <si>
    <t>C2437</t>
  </si>
  <si>
    <t>C2438</t>
  </si>
  <si>
    <t>C2457</t>
  </si>
  <si>
    <t>C2462</t>
  </si>
  <si>
    <t>C2531</t>
  </si>
  <si>
    <t>C2532</t>
  </si>
  <si>
    <t>C2533</t>
  </si>
  <si>
    <t>C2548</t>
  </si>
  <si>
    <t>C2576</t>
  </si>
  <si>
    <t>C2577</t>
  </si>
  <si>
    <t>C2579</t>
  </si>
  <si>
    <t>C2581</t>
  </si>
  <si>
    <t>C2585</t>
  </si>
  <si>
    <t>C2593</t>
  </si>
  <si>
    <t>C2613</t>
  </si>
  <si>
    <t>C2682</t>
  </si>
  <si>
    <t>C2683</t>
  </si>
  <si>
    <t>C2692</t>
  </si>
  <si>
    <t>C2695</t>
  </si>
  <si>
    <t>C2731</t>
  </si>
  <si>
    <t>C2744</t>
  </si>
  <si>
    <t>C2745</t>
  </si>
  <si>
    <t>C2747</t>
  </si>
  <si>
    <t>C2749</t>
  </si>
  <si>
    <t>C2772</t>
  </si>
  <si>
    <t>C2787</t>
  </si>
  <si>
    <t>C2788</t>
  </si>
  <si>
    <t>C2824</t>
  </si>
  <si>
    <t>C2849</t>
  </si>
  <si>
    <t>C2873</t>
  </si>
  <si>
    <t>C2903</t>
  </si>
  <si>
    <t>C2938</t>
  </si>
  <si>
    <t>C2968</t>
  </si>
  <si>
    <t>C2976</t>
  </si>
  <si>
    <t>C2977</t>
  </si>
  <si>
    <t>C3001</t>
  </si>
  <si>
    <t>C3022</t>
  </si>
  <si>
    <t>C3023</t>
  </si>
  <si>
    <t>C3024</t>
  </si>
  <si>
    <t>C3026</t>
  </si>
  <si>
    <t>C3027</t>
  </si>
  <si>
    <t>C3041</t>
  </si>
  <si>
    <t>C3043</t>
  </si>
  <si>
    <t>C3044</t>
  </si>
  <si>
    <t>C3069</t>
  </si>
  <si>
    <t>C3098</t>
  </si>
  <si>
    <t>C3125</t>
  </si>
  <si>
    <t>C3126</t>
  </si>
  <si>
    <t>C3128</t>
  </si>
  <si>
    <t>C3129</t>
  </si>
  <si>
    <t>C3157</t>
  </si>
  <si>
    <t>C3172</t>
  </si>
  <si>
    <t>C3174</t>
  </si>
  <si>
    <t>C3178</t>
  </si>
  <si>
    <t>C3185</t>
  </si>
  <si>
    <t>C3186</t>
  </si>
  <si>
    <t>C3190</t>
  </si>
  <si>
    <t>C3207</t>
  </si>
  <si>
    <t>C3226</t>
  </si>
  <si>
    <t>C3227</t>
  </si>
  <si>
    <t>C3272</t>
  </si>
  <si>
    <t>C3275</t>
  </si>
  <si>
    <t>C3277</t>
  </si>
  <si>
    <t>C3285</t>
  </si>
  <si>
    <t>C3298</t>
  </si>
  <si>
    <t>C3299</t>
  </si>
  <si>
    <t>C3300</t>
  </si>
  <si>
    <t>C3302</t>
  </si>
  <si>
    <t>C3335</t>
  </si>
  <si>
    <t>C3337</t>
  </si>
  <si>
    <t>C3339</t>
  </si>
  <si>
    <t>C3347</t>
  </si>
  <si>
    <t>C3348</t>
  </si>
  <si>
    <t>C3376</t>
  </si>
  <si>
    <t>C3379</t>
  </si>
  <si>
    <t>C3394</t>
  </si>
  <si>
    <t>C3396</t>
  </si>
  <si>
    <t>C3409</t>
  </si>
  <si>
    <t>C3411</t>
  </si>
  <si>
    <t>C3446</t>
  </si>
  <si>
    <t>C3454</t>
  </si>
  <si>
    <t>C3455</t>
  </si>
  <si>
    <t>C3472</t>
  </si>
  <si>
    <t>C3489</t>
  </si>
  <si>
    <t>C3497</t>
  </si>
  <si>
    <t>C3499</t>
  </si>
  <si>
    <t>C3509</t>
  </si>
  <si>
    <t>C3516</t>
  </si>
  <si>
    <t>C3517</t>
  </si>
  <si>
    <t>C3518</t>
  </si>
  <si>
    <t>C3531</t>
  </si>
  <si>
    <t>C3555</t>
  </si>
  <si>
    <t>C3556</t>
  </si>
  <si>
    <t>C3557</t>
  </si>
  <si>
    <t>C3572</t>
  </si>
  <si>
    <t>C3573</t>
  </si>
  <si>
    <t>C3574</t>
  </si>
  <si>
    <t>C3607</t>
  </si>
  <si>
    <t>C3608</t>
  </si>
  <si>
    <t>C3609</t>
  </si>
  <si>
    <t>C3627</t>
  </si>
  <si>
    <t>C3628</t>
  </si>
  <si>
    <t>C3635</t>
  </si>
  <si>
    <t>C3636</t>
  </si>
  <si>
    <t>C3637</t>
  </si>
  <si>
    <t>C3638</t>
  </si>
  <si>
    <t>C3641</t>
  </si>
  <si>
    <t>C3650</t>
  </si>
  <si>
    <t>C3674</t>
  </si>
  <si>
    <t>C3675</t>
  </si>
  <si>
    <t>C3686</t>
  </si>
  <si>
    <t>C3691</t>
  </si>
  <si>
    <t>C3693</t>
  </si>
  <si>
    <t>C3695</t>
  </si>
  <si>
    <t>C3701</t>
  </si>
  <si>
    <t>C3718</t>
  </si>
  <si>
    <t>C3719</t>
  </si>
  <si>
    <t>C3723</t>
  </si>
  <si>
    <t>C3724</t>
  </si>
  <si>
    <t>C3726</t>
  </si>
  <si>
    <t>C3738</t>
  </si>
  <si>
    <t>C3739</t>
  </si>
  <si>
    <t>C3745</t>
  </si>
  <si>
    <t>C3755</t>
  </si>
  <si>
    <t>C3756</t>
  </si>
  <si>
    <t>C3769</t>
  </si>
  <si>
    <t>C3771</t>
  </si>
  <si>
    <t>C3772</t>
  </si>
  <si>
    <t>C3777</t>
  </si>
  <si>
    <t>C3789</t>
  </si>
  <si>
    <t>C3843</t>
  </si>
  <si>
    <t>C3856</t>
  </si>
  <si>
    <t>C3890</t>
  </si>
  <si>
    <t>C3891</t>
  </si>
  <si>
    <t>C3906</t>
  </si>
  <si>
    <t>C3963</t>
  </si>
  <si>
    <t>C3964</t>
  </si>
  <si>
    <t>C3991</t>
  </si>
  <si>
    <t>C3992</t>
  </si>
  <si>
    <t>C3993</t>
  </si>
  <si>
    <t>C4015</t>
  </si>
  <si>
    <t>C4042</t>
  </si>
  <si>
    <t>C4044</t>
  </si>
  <si>
    <t>C4054</t>
  </si>
  <si>
    <t>C4100</t>
  </si>
  <si>
    <t>C4101</t>
  </si>
  <si>
    <t>C4102</t>
  </si>
  <si>
    <t>C4103</t>
  </si>
  <si>
    <t>C4108</t>
  </si>
  <si>
    <t>C4110</t>
  </si>
  <si>
    <t>C4112</t>
  </si>
  <si>
    <t>C4113</t>
  </si>
  <si>
    <t>C4133</t>
  </si>
  <si>
    <t>C4135</t>
  </si>
  <si>
    <t>C4180</t>
  </si>
  <si>
    <t>H0008</t>
  </si>
  <si>
    <t>H0068</t>
  </si>
  <si>
    <t>H0129</t>
  </si>
  <si>
    <t>H0134</t>
  </si>
  <si>
    <t>H0213</t>
  </si>
  <si>
    <t>H0229</t>
  </si>
  <si>
    <t>H0299</t>
  </si>
  <si>
    <t>H0301</t>
  </si>
  <si>
    <t>H0312</t>
  </si>
  <si>
    <t>H0315</t>
  </si>
  <si>
    <t>H0335</t>
  </si>
  <si>
    <t>H0340</t>
  </si>
  <si>
    <t>H0347</t>
  </si>
  <si>
    <t>H0374</t>
  </si>
  <si>
    <t>H0375</t>
  </si>
  <si>
    <t>H0480</t>
  </si>
  <si>
    <t>H0481</t>
  </si>
  <si>
    <t>H0548</t>
  </si>
  <si>
    <t>H0552</t>
  </si>
  <si>
    <t>H0553</t>
  </si>
  <si>
    <t>H0559</t>
  </si>
  <si>
    <t>H0595</t>
  </si>
  <si>
    <t>H0619</t>
  </si>
  <si>
    <t>H0670</t>
  </si>
  <si>
    <t>H0705</t>
  </si>
  <si>
    <t>H0833</t>
  </si>
  <si>
    <t>H0895</t>
  </si>
  <si>
    <t>H0924</t>
  </si>
  <si>
    <t>H1046</t>
  </si>
  <si>
    <t>H1167</t>
  </si>
  <si>
    <t>H1185</t>
  </si>
  <si>
    <t>H1313</t>
  </si>
  <si>
    <t>H1335</t>
  </si>
  <si>
    <t>H1362</t>
  </si>
  <si>
    <t>H1395</t>
  </si>
  <si>
    <t>H1470</t>
  </si>
  <si>
    <t>H1528</t>
  </si>
  <si>
    <t>H1653</t>
  </si>
  <si>
    <t>H1696</t>
  </si>
  <si>
    <t>H1720</t>
  </si>
  <si>
    <t>H1869</t>
  </si>
  <si>
    <t>H1972</t>
  </si>
  <si>
    <t>H2025</t>
  </si>
  <si>
    <t>H2055</t>
  </si>
  <si>
    <t>H2136</t>
  </si>
  <si>
    <t>H2168</t>
  </si>
  <si>
    <t>H2228</t>
  </si>
  <si>
    <t>H2257</t>
  </si>
  <si>
    <t>H2295</t>
  </si>
  <si>
    <t>H2374</t>
  </si>
  <si>
    <t>H2381</t>
  </si>
  <si>
    <t>H2452</t>
  </si>
  <si>
    <t>H2473</t>
  </si>
  <si>
    <t>H2475</t>
  </si>
  <si>
    <t>H2509</t>
  </si>
  <si>
    <t>H2676</t>
  </si>
  <si>
    <t>H2739</t>
  </si>
  <si>
    <t>H2755</t>
  </si>
  <si>
    <t>H2776</t>
  </si>
  <si>
    <t>H2851</t>
  </si>
  <si>
    <t>H2905</t>
  </si>
  <si>
    <t>H2907</t>
  </si>
  <si>
    <t>H2934</t>
  </si>
  <si>
    <t>H2960</t>
  </si>
  <si>
    <t>H2961</t>
  </si>
  <si>
    <t>H3021</t>
  </si>
  <si>
    <t>H3158</t>
  </si>
  <si>
    <t>H3182</t>
  </si>
  <si>
    <t>H3230</t>
  </si>
  <si>
    <t>H3283</t>
  </si>
  <si>
    <t>H3286</t>
  </si>
  <si>
    <t>H3294</t>
  </si>
  <si>
    <t>H3370</t>
  </si>
  <si>
    <t>H3383</t>
  </si>
  <si>
    <t>H3470</t>
  </si>
  <si>
    <t>H3505</t>
  </si>
  <si>
    <t>H3569</t>
  </si>
  <si>
    <t>H3600</t>
  </si>
  <si>
    <t>H3639</t>
  </si>
  <si>
    <t>H3727</t>
  </si>
  <si>
    <t>H3731</t>
  </si>
  <si>
    <t>H3762</t>
  </si>
  <si>
    <t>H3763</t>
  </si>
  <si>
    <t>H3795</t>
  </si>
  <si>
    <t>H3835</t>
  </si>
  <si>
    <t>H3853</t>
  </si>
  <si>
    <t>H3858</t>
  </si>
  <si>
    <t>H3862</t>
  </si>
  <si>
    <t>H3868</t>
  </si>
  <si>
    <t>H3905</t>
  </si>
  <si>
    <t>H3938</t>
  </si>
  <si>
    <t>H3994</t>
  </si>
  <si>
    <t>H4058</t>
  </si>
  <si>
    <t>H4085</t>
  </si>
  <si>
    <t>H4099</t>
  </si>
  <si>
    <t>H4115</t>
  </si>
  <si>
    <t>H4128</t>
  </si>
  <si>
    <t>H4156</t>
  </si>
  <si>
    <t>H4179</t>
  </si>
  <si>
    <t>H4245</t>
  </si>
  <si>
    <t>H4246</t>
  </si>
  <si>
    <t>H4270</t>
  </si>
  <si>
    <t>H4276</t>
  </si>
  <si>
    <t>H4310</t>
  </si>
  <si>
    <t>H4315</t>
  </si>
  <si>
    <t>H4400</t>
  </si>
  <si>
    <t>H4418</t>
  </si>
  <si>
    <t>H4426</t>
  </si>
  <si>
    <t>L0006</t>
  </si>
  <si>
    <t>L0011</t>
  </si>
  <si>
    <t>L0018</t>
  </si>
  <si>
    <t>L0021</t>
  </si>
  <si>
    <t>L0026</t>
  </si>
  <si>
    <t>L0028</t>
  </si>
  <si>
    <t>L0038</t>
  </si>
  <si>
    <t>L0042</t>
  </si>
  <si>
    <t>L0047</t>
  </si>
  <si>
    <t>L0053</t>
  </si>
  <si>
    <t>L0055</t>
  </si>
  <si>
    <t>L0061</t>
  </si>
  <si>
    <t>L0063</t>
  </si>
  <si>
    <t>L0067</t>
  </si>
  <si>
    <t>L0078</t>
  </si>
  <si>
    <t>L0087</t>
  </si>
  <si>
    <t>L0104</t>
  </si>
  <si>
    <t>L0124</t>
  </si>
  <si>
    <t>L0147</t>
  </si>
  <si>
    <t>L0156</t>
  </si>
  <si>
    <t>L0159</t>
  </si>
  <si>
    <t>L0173</t>
  </si>
  <si>
    <t>L0244</t>
  </si>
  <si>
    <t>L0247</t>
  </si>
  <si>
    <t>L0249</t>
  </si>
  <si>
    <t>L0259</t>
  </si>
  <si>
    <t>L0266</t>
  </si>
  <si>
    <t>L0277</t>
  </si>
  <si>
    <t>L0284</t>
  </si>
  <si>
    <t>L0302</t>
  </si>
  <si>
    <t>L0308</t>
  </si>
  <si>
    <t>L0386</t>
  </si>
  <si>
    <t>L0388</t>
  </si>
  <si>
    <t>L0406</t>
  </si>
  <si>
    <t>L0438</t>
  </si>
  <si>
    <t>L0440</t>
  </si>
  <si>
    <t>L0449</t>
  </si>
  <si>
    <t>L0457</t>
  </si>
  <si>
    <t>L0461</t>
  </si>
  <si>
    <t>L0514</t>
  </si>
  <si>
    <t>L0517</t>
  </si>
  <si>
    <t>L0518</t>
  </si>
  <si>
    <t>L0519</t>
  </si>
  <si>
    <t>L0659</t>
  </si>
  <si>
    <t>L0664</t>
  </si>
  <si>
    <t>L0673</t>
  </si>
  <si>
    <t>L0686</t>
  </si>
  <si>
    <t>L0689</t>
  </si>
  <si>
    <t>L0690</t>
  </si>
  <si>
    <t>L0695</t>
  </si>
  <si>
    <t>L0699</t>
  </si>
  <si>
    <t>L0702</t>
  </si>
  <si>
    <t>L0715</t>
  </si>
  <si>
    <t>L0717</t>
  </si>
  <si>
    <t>L0718</t>
  </si>
  <si>
    <t>L0719</t>
  </si>
  <si>
    <t>L0721</t>
  </si>
  <si>
    <t>L0726</t>
  </si>
  <si>
    <t>L0848</t>
  </si>
  <si>
    <t>L0849</t>
  </si>
  <si>
    <t>L0871</t>
  </si>
  <si>
    <t>L0877</t>
  </si>
  <si>
    <t>L0889</t>
  </si>
  <si>
    <t>L0891</t>
  </si>
  <si>
    <t>L0892</t>
  </si>
  <si>
    <t>L0908</t>
  </si>
  <si>
    <t>L0913</t>
  </si>
  <si>
    <t>L0916</t>
  </si>
  <si>
    <t>L0923</t>
  </si>
  <si>
    <t>L0927</t>
  </si>
  <si>
    <t>L0938</t>
  </si>
  <si>
    <t>L0961</t>
  </si>
  <si>
    <t>L0970</t>
  </si>
  <si>
    <t>L0976</t>
  </si>
  <si>
    <t>L0979</t>
  </si>
  <si>
    <t>L0992</t>
  </si>
  <si>
    <t>L1000</t>
  </si>
  <si>
    <t>L1001</t>
  </si>
  <si>
    <t>L1002</t>
  </si>
  <si>
    <t>L1005</t>
  </si>
  <si>
    <t>L1007</t>
  </si>
  <si>
    <t>L1015</t>
  </si>
  <si>
    <t>L1019</t>
  </si>
  <si>
    <t>L1031</t>
  </si>
  <si>
    <t>L1033</t>
  </si>
  <si>
    <t>L1216</t>
  </si>
  <si>
    <t>L1218</t>
  </si>
  <si>
    <t>L1230</t>
  </si>
  <si>
    <t>L1231</t>
  </si>
  <si>
    <t>L1236</t>
  </si>
  <si>
    <t>L1243</t>
  </si>
  <si>
    <t>L1253</t>
  </si>
  <si>
    <t>L1255</t>
  </si>
  <si>
    <t>L1257</t>
  </si>
  <si>
    <t>L1259</t>
  </si>
  <si>
    <t>L1299</t>
  </si>
  <si>
    <t>L1306</t>
  </si>
  <si>
    <t>L1322</t>
  </si>
  <si>
    <t>L1389</t>
  </si>
  <si>
    <t>L1393</t>
  </si>
  <si>
    <t>L1397</t>
  </si>
  <si>
    <t>L1405</t>
  </si>
  <si>
    <t>L1444</t>
  </si>
  <si>
    <t>L1505</t>
  </si>
  <si>
    <t>L1508</t>
  </si>
  <si>
    <t>L1511</t>
  </si>
  <si>
    <t>L1512</t>
  </si>
  <si>
    <t>L1515</t>
  </si>
  <si>
    <t>L1518</t>
  </si>
  <si>
    <t>L1530</t>
  </si>
  <si>
    <t>L1533</t>
  </si>
  <si>
    <t>L1537</t>
  </si>
  <si>
    <t>L1538</t>
  </si>
  <si>
    <t>L1548</t>
  </si>
  <si>
    <t>L1551</t>
  </si>
  <si>
    <t>L1556</t>
  </si>
  <si>
    <t>L1656</t>
  </si>
  <si>
    <t>L1668</t>
  </si>
  <si>
    <t>L1680</t>
  </si>
  <si>
    <t>L1693</t>
  </si>
  <si>
    <t>L1700</t>
  </si>
  <si>
    <t>L1714</t>
  </si>
  <si>
    <t>L1716</t>
  </si>
  <si>
    <t>L1719</t>
  </si>
  <si>
    <t>L1815</t>
  </si>
  <si>
    <t>L1821</t>
  </si>
  <si>
    <t>L1824</t>
  </si>
  <si>
    <t>L1829</t>
  </si>
  <si>
    <t>L1856</t>
  </si>
  <si>
    <t>L1867</t>
  </si>
  <si>
    <t>L1958</t>
  </si>
  <si>
    <t>L1965</t>
  </si>
  <si>
    <t>L1990</t>
  </si>
  <si>
    <t>L1994</t>
  </si>
  <si>
    <t>L1998</t>
  </si>
  <si>
    <t>L2000</t>
  </si>
  <si>
    <t>L2023</t>
  </si>
  <si>
    <t>L2034</t>
  </si>
  <si>
    <t>L2036</t>
  </si>
  <si>
    <t>L2159</t>
  </si>
  <si>
    <t>L2179</t>
  </si>
  <si>
    <t>L2188</t>
  </si>
  <si>
    <t>L2194</t>
  </si>
  <si>
    <t>L2195</t>
  </si>
  <si>
    <t>L2205</t>
  </si>
  <si>
    <t>L2209</t>
  </si>
  <si>
    <t>L2285</t>
  </si>
  <si>
    <t>L2424</t>
  </si>
  <si>
    <t>L2434</t>
  </si>
  <si>
    <t>L2441</t>
  </si>
  <si>
    <t>L2518</t>
  </si>
  <si>
    <t>L2732</t>
  </si>
  <si>
    <t>L2793</t>
  </si>
  <si>
    <t>L2889</t>
  </si>
  <si>
    <t>L3076</t>
  </si>
  <si>
    <t>L3262</t>
  </si>
  <si>
    <t>L3305</t>
  </si>
  <si>
    <t>L3519</t>
  </si>
  <si>
    <t>L3535</t>
  </si>
  <si>
    <t>L3559</t>
  </si>
  <si>
    <t>L3598</t>
  </si>
  <si>
    <t>L3613</t>
  </si>
  <si>
    <t>L3626</t>
  </si>
  <si>
    <t>L3629</t>
  </si>
  <si>
    <t>L3642</t>
  </si>
  <si>
    <t>L3692</t>
  </si>
  <si>
    <t>L3698</t>
  </si>
  <si>
    <t>L3711</t>
  </si>
  <si>
    <t>L3713</t>
  </si>
  <si>
    <t>L3736</t>
  </si>
  <si>
    <t>L3757</t>
  </si>
  <si>
    <t>L3758</t>
  </si>
  <si>
    <t>L3790</t>
  </si>
  <si>
    <t>L3808</t>
  </si>
  <si>
    <t>L3833</t>
  </si>
  <si>
    <t>L3880</t>
  </si>
  <si>
    <t>L3881</t>
  </si>
  <si>
    <t>L3885</t>
  </si>
  <si>
    <t>L3899</t>
  </si>
  <si>
    <t>L3933</t>
  </si>
  <si>
    <t>L3939</t>
  </si>
  <si>
    <t>L3974</t>
  </si>
  <si>
    <t>L3981</t>
  </si>
  <si>
    <t>L4004</t>
  </si>
  <si>
    <t>L4047</t>
  </si>
  <si>
    <t>L4060</t>
  </si>
  <si>
    <t>L4073</t>
  </si>
  <si>
    <t>L4088</t>
  </si>
  <si>
    <t>L4118</t>
  </si>
  <si>
    <t>L4123</t>
  </si>
  <si>
    <t>L4130</t>
  </si>
  <si>
    <t>L4140</t>
  </si>
  <si>
    <t>L4145</t>
  </si>
  <si>
    <t>L4160</t>
  </si>
  <si>
    <t>L4167</t>
  </si>
  <si>
    <t>L4170</t>
  </si>
  <si>
    <t>L4178</t>
  </si>
  <si>
    <t>L4191</t>
  </si>
  <si>
    <t>L4199</t>
  </si>
  <si>
    <t>L4204</t>
  </si>
  <si>
    <t>L4207</t>
  </si>
  <si>
    <t>L4212</t>
  </si>
  <si>
    <t>L4218</t>
  </si>
  <si>
    <t>L4219</t>
  </si>
  <si>
    <t>L4223</t>
  </si>
  <si>
    <t>L4229</t>
  </si>
  <si>
    <t>L4230</t>
  </si>
  <si>
    <t>L4238</t>
  </si>
  <si>
    <t>L4251</t>
  </si>
  <si>
    <t>L4254</t>
  </si>
  <si>
    <t>L4260</t>
  </si>
  <si>
    <t>L4277</t>
  </si>
  <si>
    <t>L4279</t>
  </si>
  <si>
    <t>L4299</t>
  </si>
  <si>
    <t>L4303</t>
  </si>
  <si>
    <t>L4311</t>
  </si>
  <si>
    <t>L4312</t>
  </si>
  <si>
    <t>L4313</t>
  </si>
  <si>
    <t>L4331</t>
  </si>
  <si>
    <t>L4334</t>
  </si>
  <si>
    <t>L4341</t>
  </si>
  <si>
    <t>L4346</t>
  </si>
  <si>
    <t>L4361</t>
  </si>
  <si>
    <t>L4362</t>
  </si>
  <si>
    <t>L4370</t>
  </si>
  <si>
    <t>L4372</t>
  </si>
  <si>
    <t>L4376</t>
  </si>
  <si>
    <t>L4383</t>
  </si>
  <si>
    <t>L4385</t>
  </si>
  <si>
    <t>L4389</t>
  </si>
  <si>
    <t>L4420</t>
  </si>
  <si>
    <t>L4434</t>
  </si>
  <si>
    <t>L4435</t>
  </si>
  <si>
    <t>L4440</t>
  </si>
  <si>
    <t>L4441</t>
  </si>
  <si>
    <t>L4443</t>
  </si>
  <si>
    <t>L4447</t>
  </si>
  <si>
    <t>L4450</t>
  </si>
  <si>
    <t>L4455</t>
  </si>
  <si>
    <t>L4456</t>
  </si>
  <si>
    <t>L4457</t>
  </si>
  <si>
    <t>L4459</t>
  </si>
  <si>
    <t>L4463</t>
  </si>
  <si>
    <t>L4466</t>
  </si>
  <si>
    <t>L4472</t>
  </si>
  <si>
    <t>L4473</t>
  </si>
  <si>
    <t>L4476</t>
  </si>
  <si>
    <t>L4485</t>
  </si>
  <si>
    <t>L4486</t>
  </si>
  <si>
    <t>L4495</t>
  </si>
  <si>
    <t>L4498</t>
  </si>
  <si>
    <t>L4499</t>
  </si>
  <si>
    <t>L4505</t>
  </si>
  <si>
    <t>L4507</t>
  </si>
  <si>
    <t>L4509</t>
  </si>
  <si>
    <t>L4513</t>
  </si>
  <si>
    <t>L4517</t>
  </si>
  <si>
    <t>L4520</t>
  </si>
  <si>
    <t>L4521</t>
  </si>
  <si>
    <t>L4522</t>
  </si>
  <si>
    <t>L4528</t>
  </si>
  <si>
    <t>L4532</t>
  </si>
  <si>
    <t>L4534</t>
  </si>
  <si>
    <t>L4535</t>
  </si>
  <si>
    <t>L4538</t>
  </si>
  <si>
    <t>L4543</t>
  </si>
  <si>
    <t>L4547</t>
  </si>
  <si>
    <t>L4549</t>
  </si>
  <si>
    <t>L4550</t>
  </si>
  <si>
    <t>L4551</t>
  </si>
  <si>
    <t>L4552</t>
  </si>
  <si>
    <t>L4556</t>
  </si>
  <si>
    <t>L4628</t>
  </si>
  <si>
    <t>LH0013</t>
  </si>
  <si>
    <t>LH0032</t>
  </si>
  <si>
    <t>LH0050</t>
  </si>
  <si>
    <t>LH0079</t>
  </si>
  <si>
    <t>LH0084</t>
  </si>
  <si>
    <t>LH0117</t>
  </si>
  <si>
    <t>LH0131</t>
  </si>
  <si>
    <t>LH0155</t>
  </si>
  <si>
    <t>LH0170</t>
  </si>
  <si>
    <t>LH0171</t>
  </si>
  <si>
    <t>LH0250</t>
  </si>
  <si>
    <t>LH0269</t>
  </si>
  <si>
    <t>LH0279</t>
  </si>
  <si>
    <t>LH0280</t>
  </si>
  <si>
    <t>LH0391</t>
  </si>
  <si>
    <t>LH0418</t>
  </si>
  <si>
    <t>LH0424</t>
  </si>
  <si>
    <t>LH0426</t>
  </si>
  <si>
    <t>LH0459</t>
  </si>
  <si>
    <t>LH0495</t>
  </si>
  <si>
    <t>LH0526</t>
  </si>
  <si>
    <t>LH0674</t>
  </si>
  <si>
    <t>LH0676</t>
  </si>
  <si>
    <t>LH0704</t>
  </si>
  <si>
    <t>LH0869</t>
  </si>
  <si>
    <t>LH0870</t>
  </si>
  <si>
    <t>LH0884</t>
  </si>
  <si>
    <t>LH0888</t>
  </si>
  <si>
    <t>LH0902</t>
  </si>
  <si>
    <t>LH0910</t>
  </si>
  <si>
    <t>LH0920</t>
  </si>
  <si>
    <t>LH0959</t>
  </si>
  <si>
    <t>LH0971</t>
  </si>
  <si>
    <t>LH0977</t>
  </si>
  <si>
    <t>LH0989</t>
  </si>
  <si>
    <t>LH1020</t>
  </si>
  <si>
    <t>LH1026</t>
  </si>
  <si>
    <t>LH1315</t>
  </si>
  <si>
    <t>LH1321</t>
  </si>
  <si>
    <t>LH1388</t>
  </si>
  <si>
    <t>LH1396</t>
  </si>
  <si>
    <t>LH1647</t>
  </si>
  <si>
    <t>LH1648</t>
  </si>
  <si>
    <t>LH1649</t>
  </si>
  <si>
    <t>LH1662</t>
  </si>
  <si>
    <t>LH1704</t>
  </si>
  <si>
    <t>LH1722</t>
  </si>
  <si>
    <t>LH1832</t>
  </si>
  <si>
    <t>LH1833</t>
  </si>
  <si>
    <t>LH1836</t>
  </si>
  <si>
    <t>LH1960</t>
  </si>
  <si>
    <t>LH2021</t>
  </si>
  <si>
    <t>LH2162</t>
  </si>
  <si>
    <t>LH2174</t>
  </si>
  <si>
    <t>LH2186</t>
  </si>
  <si>
    <t>LH2343</t>
  </si>
  <si>
    <t>LH2429</t>
  </si>
  <si>
    <t>LH2916</t>
  </si>
  <si>
    <t>LH3047</t>
  </si>
  <si>
    <t>LH3197</t>
  </si>
  <si>
    <t>LH3594</t>
  </si>
  <si>
    <t>LH3651</t>
  </si>
  <si>
    <t>LH3673</t>
  </si>
  <si>
    <t>LH3685</t>
  </si>
  <si>
    <t>LH3687</t>
  </si>
  <si>
    <t>LH3728</t>
  </si>
  <si>
    <t>LH3737</t>
  </si>
  <si>
    <t>LH3766</t>
  </si>
  <si>
    <t>LH3796</t>
  </si>
  <si>
    <t>LH3811</t>
  </si>
  <si>
    <t>LH3827</t>
  </si>
  <si>
    <t>LH3829</t>
  </si>
  <si>
    <t>LH3859</t>
  </si>
  <si>
    <t>LH3882</t>
  </si>
  <si>
    <t>LH3883</t>
  </si>
  <si>
    <t>LH3887</t>
  </si>
  <si>
    <t>LH3889</t>
  </si>
  <si>
    <t>LH3902</t>
  </si>
  <si>
    <t>LH3904</t>
  </si>
  <si>
    <t>LH3926</t>
  </si>
  <si>
    <t>LH3940</t>
  </si>
  <si>
    <t>LH3942</t>
  </si>
  <si>
    <t>LH3980</t>
  </si>
  <si>
    <t>LH4014</t>
  </si>
  <si>
    <t>LH4026</t>
  </si>
  <si>
    <t>LH4032</t>
  </si>
  <si>
    <t>LH4035</t>
  </si>
  <si>
    <t>LH4050</t>
  </si>
  <si>
    <t>LH4078</t>
  </si>
  <si>
    <t>LH4095</t>
  </si>
  <si>
    <t>LH4097</t>
  </si>
  <si>
    <t>LH4106</t>
  </si>
  <si>
    <t>LH4121</t>
  </si>
  <si>
    <t>LH4138</t>
  </si>
  <si>
    <t>LH4149</t>
  </si>
  <si>
    <t>LH4152</t>
  </si>
  <si>
    <t>LH4165</t>
  </si>
  <si>
    <t>LH4184</t>
  </si>
  <si>
    <t>LH4200</t>
  </si>
  <si>
    <t>LH4208</t>
  </si>
  <si>
    <t>LH4209</t>
  </si>
  <si>
    <t>LH4220</t>
  </si>
  <si>
    <t>LH4248</t>
  </si>
  <si>
    <t>LH4249</t>
  </si>
  <si>
    <t>LH4253</t>
  </si>
  <si>
    <t>LH4261</t>
  </si>
  <si>
    <t>LH4264</t>
  </si>
  <si>
    <t>LH4266</t>
  </si>
  <si>
    <t>LH4297</t>
  </si>
  <si>
    <t>LH4325</t>
  </si>
  <si>
    <t>LH4336</t>
  </si>
  <si>
    <t>LH4337</t>
  </si>
  <si>
    <t>LH4338</t>
  </si>
  <si>
    <t>LH4339</t>
  </si>
  <si>
    <t>LH4343</t>
  </si>
  <si>
    <t>LH4345</t>
  </si>
  <si>
    <t>LH4353</t>
  </si>
  <si>
    <t>LH4377</t>
  </si>
  <si>
    <t>LH4401</t>
  </si>
  <si>
    <t>LH4402</t>
  </si>
  <si>
    <t>LH4403</t>
  </si>
  <si>
    <t>LH4412</t>
  </si>
  <si>
    <t>LH4415</t>
  </si>
  <si>
    <t>LH4428</t>
  </si>
  <si>
    <t>LH4454</t>
  </si>
  <si>
    <t>SL3119</t>
  </si>
  <si>
    <t>SL3270</t>
  </si>
  <si>
    <t>SL3442</t>
  </si>
  <si>
    <t>SL3605</t>
  </si>
  <si>
    <t>SL4293</t>
  </si>
  <si>
    <t>N/A</t>
  </si>
  <si>
    <t>CLCRR025_LA_GN_SC_Own</t>
  </si>
  <si>
    <t>CLCRR026_LA_GN_BSp_Own</t>
  </si>
  <si>
    <t>CLCRR027_LA_Sup_Own</t>
  </si>
  <si>
    <t>CLCRR029_LA_HOP_Own</t>
  </si>
  <si>
    <t>CLCHO012_LA_LCHO_Less_100_Eqty_Own</t>
  </si>
  <si>
    <t>RP_Type</t>
  </si>
  <si>
    <t>SDR_Size</t>
  </si>
  <si>
    <t>Survey_Status</t>
  </si>
  <si>
    <t>LA_Nm</t>
  </si>
  <si>
    <t>Concat</t>
  </si>
  <si>
    <t>CLCRR031_LA_DHS_Fails</t>
  </si>
  <si>
    <t>Long Form</t>
  </si>
  <si>
    <t>Signed Off</t>
  </si>
  <si>
    <t>AdurClarion Housing Association Limited</t>
  </si>
  <si>
    <t>AdurHabinteg Housing Association Limited</t>
  </si>
  <si>
    <t>AdurHome Group Limited</t>
  </si>
  <si>
    <t>AdurHousing 21</t>
  </si>
  <si>
    <t>AdurHyde Housing Association Limited</t>
  </si>
  <si>
    <t>AdurMetropolitan Housing Trust Limited</t>
  </si>
  <si>
    <t>AdurMoat Homes Limited</t>
  </si>
  <si>
    <t>AdurOrbit Group Limited</t>
  </si>
  <si>
    <t>AdurSanctuary Housing Association</t>
  </si>
  <si>
    <t>Short Form</t>
  </si>
  <si>
    <t>AdurSouthdown Housing Association Limited</t>
  </si>
  <si>
    <t>AdurStonewater Limited</t>
  </si>
  <si>
    <t>AdurThe Fellowship Houses Trust</t>
  </si>
  <si>
    <t>AdurThe Guinness Partnership Limited</t>
  </si>
  <si>
    <t>AdurWestmoreland Supported Housing Limited</t>
  </si>
  <si>
    <t>AdurWorthing Homes Limited</t>
  </si>
  <si>
    <t>Amber ValleyAdullam Homes Housing Association Limited</t>
  </si>
  <si>
    <t>Amber ValleyAdvance Housing and Support Limited</t>
  </si>
  <si>
    <t>Amber ValleyAnchor Hanover Group</t>
  </si>
  <si>
    <t>Amber ValleyEMH Housing and Regeneration Limited</t>
  </si>
  <si>
    <t>Amber ValleyFramework Housing Association</t>
  </si>
  <si>
    <t>Amber ValleyFutures Homescape Limited</t>
  </si>
  <si>
    <t>Amber ValleyHeylo Housing Registered Provider Limited</t>
  </si>
  <si>
    <t>Amber ValleyHome Group Limited</t>
  </si>
  <si>
    <t>Amber ValleyLonghurst Group Limited</t>
  </si>
  <si>
    <t>Amber ValleyMetropolitan Housing Trust Limited</t>
  </si>
  <si>
    <t>Amber ValleyNottingham Community Housing Association Limited</t>
  </si>
  <si>
    <t>Amber ValleyPartners Foundation Limited</t>
  </si>
  <si>
    <t>Amber ValleyPlaces for People Homes Limited</t>
  </si>
  <si>
    <t>Amber ValleyPlatform Housing Limited</t>
  </si>
  <si>
    <t>Amber ValleyProgress Housing Association Limited</t>
  </si>
  <si>
    <t>Amber ValleyReside Housing Association Limited</t>
  </si>
  <si>
    <t>Amber ValleySevern Almshouses Trust</t>
  </si>
  <si>
    <t>Amber ValleyStonewater Limited</t>
  </si>
  <si>
    <t>Amber ValleyThe Guinness Partnership Limited</t>
  </si>
  <si>
    <t>Amber ValleyThe Riverside Group Limited</t>
  </si>
  <si>
    <t>Amber ValleyThe William Holmes Almshouses</t>
  </si>
  <si>
    <t>Amber ValleyYMCA Derbyshire</t>
  </si>
  <si>
    <t>ArunAbility Housing Association</t>
  </si>
  <si>
    <t>ArunAnchor Hanover Group</t>
  </si>
  <si>
    <t>ArunClarion Housing Association Limited</t>
  </si>
  <si>
    <t>ArunHastoe Housing Association Limited</t>
  </si>
  <si>
    <t>ArunHeylo Housing Registered Provider Limited</t>
  </si>
  <si>
    <t>ArunHome Group Limited</t>
  </si>
  <si>
    <t>ArunHyde Housing Association Limited</t>
  </si>
  <si>
    <t>ArunMartlet Homes Limited</t>
  </si>
  <si>
    <t>ArunMoat Homes Limited</t>
  </si>
  <si>
    <t>ArunNotting Hill Home Ownership Limited</t>
  </si>
  <si>
    <t>ArunParagon Asra Housing Limited</t>
  </si>
  <si>
    <t>ArunPlaces for People Homes Limited</t>
  </si>
  <si>
    <t>ArunReside Housing Association Limited</t>
  </si>
  <si>
    <t>ArunSanctuary Housing Association</t>
  </si>
  <si>
    <t>ArunSaxon Weald</t>
  </si>
  <si>
    <t>ArunSouthdown Housing Association Limited</t>
  </si>
  <si>
    <t>ArunStonewater Limited</t>
  </si>
  <si>
    <t>ArunThe Guinness Partnership Limited</t>
  </si>
  <si>
    <t>ArunWandle Housing Association Limited</t>
  </si>
  <si>
    <t>ArunWorthing Homes Limited</t>
  </si>
  <si>
    <t>AshfieldAcis Group Limited</t>
  </si>
  <si>
    <t>AshfieldAnchor Hanover Group</t>
  </si>
  <si>
    <t>AshfieldEMH Housing and Regeneration Limited</t>
  </si>
  <si>
    <t>AshfieldFramework Housing Association</t>
  </si>
  <si>
    <t>AshfieldFutures Homescape Limited</t>
  </si>
  <si>
    <t>AshfieldHeylo Housing Registered Provider Limited</t>
  </si>
  <si>
    <t>AshfieldHousing 21</t>
  </si>
  <si>
    <t>AshfieldMetropolitan Housing Trust Limited</t>
  </si>
  <si>
    <t>AshfieldNottingham Community Housing Association Limited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</si>
  <si>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</si>
  <si>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</si>
  <si>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</si>
  <si>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</si>
  <si>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</si>
  <si>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</si>
  <si>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Riverside Group Limited</t>
  </si>
  <si>
    <t>AshfieldTuntum Housing Association Limited</t>
  </si>
  <si>
    <t>AshfordAccent Housing Limited</t>
  </si>
  <si>
    <t>AshfordAdvance Housing and Support Limited</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</si>
  <si>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</si>
  <si>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</si>
  <si>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</si>
  <si>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</si>
  <si>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</si>
  <si>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</si>
  <si>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</si>
  <si>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</si>
  <si>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AshfordMoat Homes Limited</t>
  </si>
  <si>
    <t>AshfordOrbit Group Limited</t>
  </si>
  <si>
    <t>AshfordPlaces for People Homes Limited</t>
  </si>
  <si>
    <t>AshfordPlaces for People Living+ Limited</t>
  </si>
  <si>
    <t>AshfordReside Housing Association Limited</t>
  </si>
  <si>
    <t>AshfordSalvation Army Housing Association</t>
  </si>
  <si>
    <t>AshfordSanctuary Housing Association</t>
  </si>
  <si>
    <t>AshfordThe Guinness Partnership Limited</t>
  </si>
  <si>
    <t>AshfordThe Riverside Group Limited</t>
  </si>
  <si>
    <t>AshfordTown and Country Housing</t>
  </si>
  <si>
    <t>AshfordWest Kent Housing Association</t>
  </si>
  <si>
    <t>BaberghAnchor Hanover Group</t>
  </si>
  <si>
    <t>BaberghClarion Housing Association Limited</t>
  </si>
  <si>
    <t>BaberghEastlight Community Homes Limited</t>
  </si>
  <si>
    <t>BaberghEmpower Housing Association Limited</t>
  </si>
  <si>
    <t>BaberghEstuary Housing Association Limited</t>
  </si>
  <si>
    <t>BaberghFlagship Housing Group Limited</t>
  </si>
  <si>
    <t>BaberghHastoe Housing Association Limited</t>
  </si>
  <si>
    <t>BaberghHeylo Housing Registered Provider Limited</t>
  </si>
  <si>
    <t>BaberghHousing 21</t>
  </si>
  <si>
    <t>BaberghMetropolitan Housing Trust Limited</t>
  </si>
  <si>
    <t>BaberghOrbit Group Limited</t>
  </si>
  <si>
    <t>BaberghOrwell Housing Association Limited</t>
  </si>
  <si>
    <t>BaberghProgress Housing Association Limited</t>
  </si>
  <si>
    <t>BaberghReside Housing Association Limited</t>
  </si>
  <si>
    <t>BaberghSanctuary Affordable Housing Limited</t>
  </si>
  <si>
    <t>BaberghSanctuary Housing Association</t>
  </si>
  <si>
    <t>BaberghThe Havebury Housing Partnership</t>
  </si>
  <si>
    <t>BaberghThirteen Housing Group Limited</t>
  </si>
  <si>
    <t>Barking and DagenhamAnchor Hanover Group</t>
  </si>
  <si>
    <t>Barking and DagenhamClarion Housing Association Limited</t>
  </si>
  <si>
    <t>Barking and DagenhamEstuary Housing Association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</si>
  <si>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</si>
  <si>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</si>
  <si>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</si>
  <si>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</si>
  <si>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</si>
  <si>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</si>
  <si>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</si>
  <si>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</si>
  <si>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</si>
  <si>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</si>
  <si>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</si>
  <si>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</si>
  <si>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DagenhamSanctuary Housing Association</t>
  </si>
  <si>
    <t>Barking and DagenhamSouthern Home Ownership Limited</t>
  </si>
  <si>
    <t>Barking and DagenhamSwan Housing Association Limited</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</si>
  <si>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</si>
  <si>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</si>
  <si>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</si>
  <si>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</si>
  <si>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</si>
  <si>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</si>
  <si>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BarnetBirnbeck Housing Association Limited</t>
  </si>
  <si>
    <t>BarnetBlue Square Residential Ltd</t>
  </si>
  <si>
    <t>BarnetChristian Action (Enfield) Housing Association Limited</t>
  </si>
  <si>
    <t>BarnetClarion Housing Association Limited</t>
  </si>
  <si>
    <t>BarnetDimensions (UK) Limited</t>
  </si>
  <si>
    <t>BarnetEleanor Palmer Trust</t>
  </si>
  <si>
    <t>BarnetEmpower Housing Association Limited</t>
  </si>
  <si>
    <t>BarnetFirst Wave Housing Limited</t>
  </si>
  <si>
    <t>BarnetHabinteg Housing Association Limited</t>
  </si>
  <si>
    <t>BarnetHendon Christian Housing Association Limited</t>
  </si>
  <si>
    <t>BarnetHill Homes</t>
  </si>
  <si>
    <t>BarnetHome Group Limited</t>
  </si>
  <si>
    <t>BarnetJewish Community Housing Association Limited</t>
  </si>
  <si>
    <t>BarnetLawrence Campe's Almshouse Trust</t>
  </si>
  <si>
    <t>BarnetLondon &amp; Quadrant Housing Trust</t>
  </si>
  <si>
    <t>BarnetMetropolitan Housing Trust Limited</t>
  </si>
  <si>
    <t>BarnetNotting Hill Genesis</t>
  </si>
  <si>
    <t>BarnetNotting Hill Home Ownership Limited</t>
  </si>
  <si>
    <t>BarnetOctavia Housing</t>
  </si>
  <si>
    <t>BarnetOdu-Dua Housing Association Limited</t>
  </si>
  <si>
    <t>BarnetOrchard Housing Society Limited</t>
  </si>
  <si>
    <t>BarnetOrigin Housing Limited</t>
  </si>
  <si>
    <t>BarnetOtto Schiff Housing Association</t>
  </si>
  <si>
    <t>BarnetParadigm Homes Charitable Housing Association Limited</t>
  </si>
  <si>
    <t>BarnetParagon Asra Housing Limited</t>
  </si>
  <si>
    <t>BarnetParasol Homes Limited</t>
  </si>
  <si>
    <t>BarnetPeabody Trust</t>
  </si>
  <si>
    <t>BarnetPlaces for People Homes Limited</t>
  </si>
  <si>
    <t>BarnetReside Housing Association Limited</t>
  </si>
  <si>
    <t>BarnetRetail Trust</t>
  </si>
  <si>
    <t>BarnetSanctuary Affordable Housing Limited</t>
  </si>
  <si>
    <t>BarnetSanctuary Housing Association</t>
  </si>
  <si>
    <t>BarnetShepherds Bush Housing Association Limited</t>
  </si>
  <si>
    <t>BarnetTBG Open Door Limited</t>
  </si>
  <si>
    <t>BarnetThe Abbeyfield Society</t>
  </si>
  <si>
    <t>BarnetThe Finchley Charities</t>
  </si>
  <si>
    <t>BarnetThe Guinness Partnership Limited</t>
  </si>
  <si>
    <t>BarnetThe Industrial Dwellings Society (1885) Limited</t>
  </si>
  <si>
    <t>BarnetWestlon Housing Association Limited</t>
  </si>
  <si>
    <t>BarnetWestmoreland Supported Housing Limited</t>
  </si>
  <si>
    <t>BarnetWestway Housing Association Limited</t>
  </si>
  <si>
    <t>BarnsleyAcis Group Limited</t>
  </si>
  <si>
    <t>BarnsleyAction Housing and Support Limited</t>
  </si>
  <si>
    <t>BarnsleyAnchor Hanover Group</t>
  </si>
  <si>
    <t>BarnsleyHabinteg Housing Association Limited</t>
  </si>
  <si>
    <t>BarnsleyHeylo Housing Registered Provider Limited</t>
  </si>
  <si>
    <t>BarnsleyHighstone Housing Association Limited</t>
  </si>
  <si>
    <t>BarnsleyHome Group Limited</t>
  </si>
  <si>
    <t>BarnsleyHumankind Charity</t>
  </si>
  <si>
    <t>BarnsleyInclusion Housing Community Interest Company</t>
  </si>
  <si>
    <t>BarnsleyJ &amp; M Residential Lettings Limited</t>
  </si>
  <si>
    <t>BarnsleyPlaces for People Homes Limited</t>
  </si>
  <si>
    <t>BarnsleyReside Housing Association Limited</t>
  </si>
  <si>
    <t>BarnsleySanctuary Affordable Housing Limited</t>
  </si>
  <si>
    <t>BarnsleySanctuary Housing Association</t>
  </si>
  <si>
    <t>BarnsleySouth Yorkshire Housing Association Limited</t>
  </si>
  <si>
    <t>BarnsleyThe Guinness Partnership Limited</t>
  </si>
  <si>
    <t>BarnsleyThe Riverside Group Limited</t>
  </si>
  <si>
    <t>BarnsleyTogether Housing Association Limited</t>
  </si>
  <si>
    <t>BarnsleyWakefield And District Housing Limited</t>
  </si>
  <si>
    <t>BarnsleyYorkshire Housing Limited</t>
  </si>
  <si>
    <t>BasildonAdvance Housing and Support Limited</t>
  </si>
  <si>
    <t>BasildonAnchor Hanover Group</t>
  </si>
  <si>
    <t>BasildonBillericay Community Housing Association Limited</t>
  </si>
  <si>
    <t>BasildonChelmer Housing Partnership Limited</t>
  </si>
  <si>
    <t>BasildonChrysalis Supported Association Limited</t>
  </si>
  <si>
    <t>BasildonClarion Housing Association Limited</t>
  </si>
  <si>
    <t>BasildonEstuary Housing Association Limited</t>
  </si>
  <si>
    <t>BasildonHome Group Limited</t>
  </si>
  <si>
    <t>BasildonHousing 21</t>
  </si>
  <si>
    <t>BasildonLocal Space</t>
  </si>
  <si>
    <t>BasildonLondon &amp; Quadrant Housing Trust</t>
  </si>
  <si>
    <t>BasildonMetropolitan Housing Trust Limited</t>
  </si>
  <si>
    <t>BasildonMoat Homes Limited</t>
  </si>
  <si>
    <t>BasildonNACRO</t>
  </si>
  <si>
    <t>BasildonNotting Hill Genesis</t>
  </si>
  <si>
    <t>BasildonPlaces for People Homes Limited</t>
  </si>
  <si>
    <t>BasildonSalvation Army Housing Association</t>
  </si>
  <si>
    <t>BasildonSanctuary Housing Association</t>
  </si>
  <si>
    <t>BasildonSwan Housing Association Limited</t>
  </si>
  <si>
    <t>BasildonThe Abbeyfield Basildon Society Limited</t>
  </si>
  <si>
    <t>BasildonThe Guinness Partnership Limited</t>
  </si>
  <si>
    <t>BasildonThe Papworth Trust</t>
  </si>
  <si>
    <t>Basingstoke and DeaneA2Dominion South Limited</t>
  </si>
  <si>
    <t>Basingstoke and DeaneAbility Housing Association</t>
  </si>
  <si>
    <t>Basingstoke and DeaneAdvance Housing and Support Limited</t>
  </si>
  <si>
    <t>Basingstoke and DeaneAnchor Hanover Group</t>
  </si>
  <si>
    <t>Basingstoke and DeaneAster Communities</t>
  </si>
  <si>
    <t>Basingstoke and DeaneClarion Housing Association Limited</t>
  </si>
  <si>
    <t>Basingstoke and DeaneEnglish Rural Housing Association Limited</t>
  </si>
  <si>
    <t>Basingstoke and DeaneFirst Priority Housing Association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</si>
  <si>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</si>
  <si>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</si>
  <si>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</si>
  <si>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</si>
  <si>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</si>
  <si>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DeaneKingsclere Almshouses Charity</t>
  </si>
  <si>
    <t>Basingstoke and DeaneLondon &amp; Quadrant Housing Trust</t>
  </si>
  <si>
    <t>Basingstoke and DeaneMetropolitan Housing Trust Limited</t>
  </si>
  <si>
    <t>Basingstoke and DeaneMoat Homes Limited</t>
  </si>
  <si>
    <t>Basingstoke and DeanePlaces for People Homes Limited</t>
  </si>
  <si>
    <t>Basingstoke and DeanePlexus UK (First Project) Limited</t>
  </si>
  <si>
    <t>Basingstoke and DeaneSanctuary Housing Association</t>
  </si>
  <si>
    <t>Basingstoke and DeaneSaxon Weald</t>
  </si>
  <si>
    <t>Basingstoke and DeaneSir Robert Geffery's Almshouse Trust</t>
  </si>
  <si>
    <t>Basingstoke and DeaneSovereign Housing Association Limited</t>
  </si>
  <si>
    <t>Basingstoke and DeaneStonewater Limited</t>
  </si>
  <si>
    <t>Basingstoke and DeaneThe Abbeyfield Society</t>
  </si>
  <si>
    <t>Basingstoke and DeaneThe Guinness Partnership Limited</t>
  </si>
  <si>
    <t>Basingstoke and DeaneThe Swaythling Housing Society Limited</t>
  </si>
  <si>
    <t>Basingstoke and DeaneVivid Housing Limited</t>
  </si>
  <si>
    <t>Basingstoke and DeaneYMCA Fairthorne Housing</t>
  </si>
  <si>
    <t>BassetlawAcis Group Limited</t>
  </si>
  <si>
    <t>BassetlawAdvance Housing and Support Limited</t>
  </si>
  <si>
    <t>BassetlawAnchor Hanover Group</t>
  </si>
  <si>
    <t>BassetlawEMH Housing and Regeneration Limited</t>
  </si>
  <si>
    <t>BassetlawFramework Housing Association</t>
  </si>
  <si>
    <t>BassetlawHeylo Housing Registered Provider Limited</t>
  </si>
  <si>
    <t>Bassetlaw'Johnnie' Johnson Housing Trust Limited</t>
  </si>
  <si>
    <t>BassetlawLonghurst Group Limited</t>
  </si>
  <si>
    <t>BassetlawMetropolitan Housing Trust Limited</t>
  </si>
  <si>
    <t>BassetlawNACRO</t>
  </si>
  <si>
    <t>BassetlawNottingham Community Housing Association Limited</t>
  </si>
  <si>
    <t>BassetlawOngo Homes Limited</t>
  </si>
  <si>
    <t>BassetlawPlaces for People Homes Limited</t>
  </si>
  <si>
    <t>BassetlawPlatform Housing Limited</t>
  </si>
  <si>
    <t>BassetlawProgress Housing Association Limited</t>
  </si>
  <si>
    <t>BassetlawSouth Yorkshire Housing Association Limited</t>
  </si>
  <si>
    <t>BassetlawThe Guinness Partnership Limited</t>
  </si>
  <si>
    <t>BassetlawTogether Housing Association Limited</t>
  </si>
  <si>
    <t>Bath and North East SomersetAbbeyfield Bristol and Keynsham Society</t>
  </si>
  <si>
    <t>Bath and North East SomersetAdvance Housing and Support Limited</t>
  </si>
  <si>
    <t>Bath and North East SomersetAnchor Hanover Group</t>
  </si>
  <si>
    <t>Bath and North East SomersetAster Communities</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</si>
  <si>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</si>
  <si>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</si>
  <si>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</si>
  <si>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</si>
  <si>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</si>
  <si>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</si>
  <si>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</si>
  <si>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</si>
  <si>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</si>
  <si>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</si>
  <si>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</si>
  <si>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</si>
  <si>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</si>
  <si>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</si>
  <si>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</si>
  <si>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SomersetSanctuary Housing Association</t>
  </si>
  <si>
    <t>Bath and North East SomersetSelwood Housing Society Limited</t>
  </si>
  <si>
    <t>Bath and North East SomersetShepherds Bush Housing Association Limited</t>
  </si>
  <si>
    <t>Bath and North East SomersetSovereign Housing Association Limited</t>
  </si>
  <si>
    <t>Bath and North East SomersetThe Guinness Partnership Limited</t>
  </si>
  <si>
    <t>Bath and North East SomersetThe Riverside Group Limited</t>
  </si>
  <si>
    <t>Bath and North East SomersetWhite Horse Housing Association Limited</t>
  </si>
  <si>
    <t>BedfordAccent Housing Limited</t>
  </si>
  <si>
    <t>BedfordAnchor Hanover Group</t>
  </si>
  <si>
    <t>BedfordBedford Citizens Housing Association Limited</t>
  </si>
  <si>
    <t>Bedfordbpha Limited</t>
  </si>
  <si>
    <t>BedfordClarion Housing Association Limited</t>
  </si>
  <si>
    <t>BedfordCross Keys Homes Limited</t>
  </si>
  <si>
    <t>BedfordDimensions (UK) Limited</t>
  </si>
  <si>
    <t>BedfordGrand Union Housing Group Limited</t>
  </si>
  <si>
    <t>BedfordHastoe Housing Association Limited</t>
  </si>
  <si>
    <t>BedfordHeylo Housing Registered Provider Limited</t>
  </si>
  <si>
    <t>BedfordHousing 21</t>
  </si>
  <si>
    <t>BedfordInclusion Housing Community Interest Company</t>
  </si>
  <si>
    <t>BedfordLangley House Trust</t>
  </si>
  <si>
    <t>BedfordLondon &amp; Quadrant Housing Trust</t>
  </si>
  <si>
    <t>BedfordMetropolitan Housing Trust Limited</t>
  </si>
  <si>
    <t>BedfordMoat Homes Limited</t>
  </si>
  <si>
    <t>BedfordOrbit Group Limited</t>
  </si>
  <si>
    <t>BedfordParadigm Homes Charitable Housing Association Limited</t>
  </si>
  <si>
    <t>BedfordPlaces for People Homes Limited</t>
  </si>
  <si>
    <t>BedfordPlaces for People Living+ Limited</t>
  </si>
  <si>
    <t>BedfordSettle Group</t>
  </si>
  <si>
    <t>BedfordSt Johns Homes</t>
  </si>
  <si>
    <t>BedfordStonewater (5) Limited</t>
  </si>
  <si>
    <t>BedfordStonewater Limited</t>
  </si>
  <si>
    <t>BedfordThe Guinness Partnership Limited</t>
  </si>
  <si>
    <t>BedfordThe Papworth Trust</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</si>
  <si>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</si>
  <si>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</si>
  <si>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</si>
  <si>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</si>
  <si>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</si>
  <si>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</si>
  <si>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</si>
  <si>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</si>
  <si>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</si>
  <si>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</si>
  <si>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</si>
  <si>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BexleyGolding Homes Limited</t>
  </si>
  <si>
    <t>BexleyHabinteg Housing Association Limited</t>
  </si>
  <si>
    <t>BexleyHazel Housing Co-operative Limited</t>
  </si>
  <si>
    <t>BexleyHexagon Housing Association Limited</t>
  </si>
  <si>
    <t>BexleyHousing 21</t>
  </si>
  <si>
    <t>BexleyHyde Housing Association Limited</t>
  </si>
  <si>
    <t>BexleyKeniston Housing Association Limited</t>
  </si>
  <si>
    <t>BexleyLondon &amp; Quadrant Housing Trust</t>
  </si>
  <si>
    <t>BexleyMoat Homes Limited</t>
  </si>
  <si>
    <t>BexleyNotting Hill Genesis</t>
  </si>
  <si>
    <t>BexleyOrbit Group Limited</t>
  </si>
  <si>
    <t>BexleyParagon Asra Housing Limited</t>
  </si>
  <si>
    <t>BexleyPeabody Trust</t>
  </si>
  <si>
    <t>BexleyPlaces for People Homes Limited</t>
  </si>
  <si>
    <t>BexleyReside Housing Association Limited</t>
  </si>
  <si>
    <t>BexleySanctuary Housing Association</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</si>
  <si>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</si>
  <si>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</si>
  <si>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</si>
  <si>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</si>
  <si>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</si>
  <si>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</si>
  <si>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</si>
  <si>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BirminghamAdullam Homes Housing Association Limited</t>
  </si>
  <si>
    <t>BirminghamAdvance Housing and Support Limited</t>
  </si>
  <si>
    <t>BirminghamAlpha Housing Co-operative Limited</t>
  </si>
  <si>
    <t>BirminghamAnchor Hanover Group</t>
  </si>
  <si>
    <t>BirminghamAshley Community &amp; Housing Ltd</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</si>
  <si>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</si>
  <si>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</si>
  <si>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</si>
  <si>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</si>
  <si>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</si>
  <si>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</si>
  <si>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</si>
  <si>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</si>
  <si>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</si>
  <si>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Housing Association Limited</t>
  </si>
  <si>
    <t>BirminghamBromsgrove District Housing Trust Limited</t>
  </si>
  <si>
    <t>BirminghamCitizen Housing Group Limited</t>
  </si>
  <si>
    <t>BirminghamClarion Housing Association Limited</t>
  </si>
  <si>
    <t>BirminghamCreative Support Limited</t>
  </si>
  <si>
    <t>BirminghamDimensions (UK) Limited</t>
  </si>
  <si>
    <t>BirminghamElim Housing Association Limited</t>
  </si>
  <si>
    <t>BirminghamElizabeth Dowell's Trust</t>
  </si>
  <si>
    <t>BirminghamExpectations (UK)</t>
  </si>
  <si>
    <t>BirminghamFirst Priority Housing Association Limited</t>
  </si>
  <si>
    <t>BirminghamGlover's Trust Endowed Fund</t>
  </si>
  <si>
    <t>BirminghamHabinteg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</si>
  <si>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</si>
  <si>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</si>
  <si>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</si>
  <si>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</si>
  <si>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</si>
  <si>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</si>
  <si>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</si>
  <si>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BirminghamLench's Trust</t>
  </si>
  <si>
    <t>BirminghamLonghurst Group Limited</t>
  </si>
  <si>
    <t>BirminghamMidland Heart Limited</t>
  </si>
  <si>
    <t>BirminghamMosscare St. Vincent's Housing Group Limited</t>
  </si>
  <si>
    <t>BirminghamNehemiah United Churches Housing Association Limited</t>
  </si>
  <si>
    <t>BirminghamNew Outlook Housing Association Limited</t>
  </si>
  <si>
    <t>BirminghamPlaces for People Homes Limited</t>
  </si>
  <si>
    <t>BirminghamPlatform Housing Limited</t>
  </si>
  <si>
    <t>BirminghamProgress Housing Association Limited</t>
  </si>
  <si>
    <t>BirminghamReliance Social Housing C.I.C</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</si>
  <si>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</si>
  <si>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</si>
  <si>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</si>
  <si>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</si>
  <si>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</si>
  <si>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</si>
  <si>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</si>
  <si>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BirminghamSt Anne's Hostel</t>
  </si>
  <si>
    <t>BirminghamSt Basil's</t>
  </si>
  <si>
    <t>BirminghamSt Peter's Saltley Housing Association Limited</t>
  </si>
  <si>
    <t>BirminghamSustain (UK) Ltd</t>
  </si>
  <si>
    <t>BirminghamTeachers' Housing Association Limited</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</si>
  <si>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</si>
  <si>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</si>
  <si>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</si>
  <si>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</si>
  <si>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</si>
  <si>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</si>
  <si>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</si>
  <si>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BirminghamVictoria Tenants Co-operative Limited</t>
  </si>
  <si>
    <t>BirminghamWalsall Housing Group Limited</t>
  </si>
  <si>
    <t>BirminghamWestmoreland Supported Housing Limited</t>
  </si>
  <si>
    <t>BirminghamYardley Great Trust</t>
  </si>
  <si>
    <t>BlabyAdvance Housing and Support Limited</t>
  </si>
  <si>
    <t>BlabyAnchor Hanover Group</t>
  </si>
  <si>
    <t>BlabyCreative Support Limited</t>
  </si>
  <si>
    <t>BlabyEMH Housing and Regeneration Limited</t>
  </si>
  <si>
    <t>BlabyEnglish Rural Housing Association Limited</t>
  </si>
  <si>
    <t>BlabyFutures Homescape Limited</t>
  </si>
  <si>
    <t>BlabyLonghurst Group Limited</t>
  </si>
  <si>
    <t>BlabyMidland Heart Limited</t>
  </si>
  <si>
    <t>BlabyNottingham Community Housing Association Limited</t>
  </si>
  <si>
    <t>BlabyParagon Asra Housing Limited</t>
  </si>
  <si>
    <t>BlabyPlaces for People Homes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</si>
  <si>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</si>
  <si>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</si>
  <si>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</si>
  <si>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</si>
  <si>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</si>
  <si>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</si>
  <si>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</si>
  <si>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</si>
  <si>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DarwenBlackburn YMCA</t>
  </si>
  <si>
    <t>Blackburn with DarwenCare Housing Association Limited</t>
  </si>
  <si>
    <t>Blackburn with DarwenEmpower Housing Association Limited</t>
  </si>
  <si>
    <t>Blackburn with DarwenGreat Places Housing Association</t>
  </si>
  <si>
    <t>Blackburn with DarwenHalo Housing Association Limited</t>
  </si>
  <si>
    <t>Blackburn with DarwenHousing 21</t>
  </si>
  <si>
    <t>Blackburn with DarwenInclusion Housing Community Interest Company</t>
  </si>
  <si>
    <t>Blackburn with DarwenLightbown Cottage Home Trust</t>
  </si>
  <si>
    <t>Blackburn with DarwenMosscare St. Vincent's Housing Group Limited</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</si>
  <si>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</si>
  <si>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</si>
  <si>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</si>
  <si>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</si>
  <si>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</si>
  <si>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</si>
  <si>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DarwenSalvation Army Housing Association</t>
  </si>
  <si>
    <t>Blackburn with DarwenSanctuary Housing Association</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</si>
  <si>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</si>
  <si>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</si>
  <si>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</si>
  <si>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</si>
  <si>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</si>
  <si>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</si>
  <si>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BlackpoolCommunity Gateway Association Limited</t>
  </si>
  <si>
    <t>BlackpoolCreative Support Limited</t>
  </si>
  <si>
    <t>BlackpoolEmpower Housing Association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</si>
  <si>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</si>
  <si>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</si>
  <si>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</si>
  <si>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</si>
  <si>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</si>
  <si>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</si>
  <si>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BlackpoolManchester Unity Housing Association Limited</t>
  </si>
  <si>
    <t>BlackpoolMuir Group Housing Association Limited</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</si>
  <si>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</si>
  <si>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</si>
  <si>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</si>
  <si>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</si>
  <si>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</si>
  <si>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</si>
  <si>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</si>
  <si>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</si>
  <si>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</si>
  <si>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</si>
  <si>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BolsoverCare Housing Association Limited</t>
  </si>
  <si>
    <t>BolsoverEMH Housing and Regeneration Limited</t>
  </si>
  <si>
    <t>BolsoverFutures Homescape Limited</t>
  </si>
  <si>
    <t>BolsoverHeylo Housing Registered Provider Limited</t>
  </si>
  <si>
    <t>BolsoverHome Group Limited</t>
  </si>
  <si>
    <t>BolsoverHousing 21</t>
  </si>
  <si>
    <t>BolsoverInclusion Housing Community Interest Company</t>
  </si>
  <si>
    <t>BolsoverParagon Asra Housing Limited</t>
  </si>
  <si>
    <t>BolsoverPlaces for People Living+ Limited</t>
  </si>
  <si>
    <t>BolsoverProgress Housing Association Limited</t>
  </si>
  <si>
    <t>BolsoverSouth Yorkshire Housing Association Limited</t>
  </si>
  <si>
    <t>BolsoverThe Guinness Partnership Limited</t>
  </si>
  <si>
    <t>BolsoverThe Riverside Group Limited</t>
  </si>
  <si>
    <t>BolsoverTrident Housing Association Limited</t>
  </si>
  <si>
    <t>BoltonAnchor Hanover Group</t>
  </si>
  <si>
    <t>BoltonArpeggio Properties Limited</t>
  </si>
  <si>
    <t>BoltonBolton at Home Limited</t>
  </si>
  <si>
    <t>BoltonCare Housing Association Limited</t>
  </si>
  <si>
    <t>BoltonClarion Housing Association Limited</t>
  </si>
  <si>
    <t>BoltonGreat Places Housing Association</t>
  </si>
  <si>
    <t>BoltonHalo Housing Association Limited</t>
  </si>
  <si>
    <t>BoltonHilldale Housing Association Limited</t>
  </si>
  <si>
    <t>BoltonInclusion Housing Community Interest Company</t>
  </si>
  <si>
    <t>BoltonIrwell Valley Housing Association Limited</t>
  </si>
  <si>
    <t>BoltonMosscare St. Vincent's Housing Group Limited</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</si>
  <si>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</si>
  <si>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</si>
  <si>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</si>
  <si>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</si>
  <si>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</si>
  <si>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</si>
  <si>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</si>
  <si>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</si>
  <si>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</si>
  <si>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</si>
  <si>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</si>
  <si>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</si>
  <si>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</si>
  <si>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BostonClarion Housing Association Limited</t>
  </si>
  <si>
    <t>BostonEmpower Housing Association Limited</t>
  </si>
  <si>
    <t>BostonFramework Housing Association</t>
  </si>
  <si>
    <t>BostonHousing 21</t>
  </si>
  <si>
    <t>BostonLincolnshire Housing Partnership Limited</t>
  </si>
  <si>
    <t>BostonLincolnshire Rural Housing Association Limited</t>
  </si>
  <si>
    <t>BostonLonghurst Group Limited</t>
  </si>
  <si>
    <t>BostonNACRO</t>
  </si>
  <si>
    <t>BostonPlatform Housing Limited</t>
  </si>
  <si>
    <t>BostonProgress Housing Association Limited</t>
  </si>
  <si>
    <t>Bracknell ForestA2Dominion South Limited</t>
  </si>
  <si>
    <t>Bracknell ForestAbility Housing Association</t>
  </si>
  <si>
    <t>Bracknell ForestAccent Housing Limited</t>
  </si>
  <si>
    <t>Bracknell ForestAdvance Housing and Support Limited</t>
  </si>
  <si>
    <t>Bracknell ForestAnchor Hanover Group</t>
  </si>
  <si>
    <t>Bracknell ForestClarion Housing Association Limited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</si>
  <si>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</si>
  <si>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</si>
  <si>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</si>
  <si>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</si>
  <si>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</si>
  <si>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ForestLondon &amp; Quadrant Housing Trust</t>
  </si>
  <si>
    <t>Bracknell ForestLook Ahead Care and Support Limited</t>
  </si>
  <si>
    <t>Bracknell ForestMetropolitan Housing Trust Limited</t>
  </si>
  <si>
    <t>Bracknell ForestMoat Homes Limited</t>
  </si>
  <si>
    <t>Bracknell ForestNotting Hill Home Ownership Limited</t>
  </si>
  <si>
    <t>Bracknell ForestPlaces for People Living+ Limited</t>
  </si>
  <si>
    <t>Bracknell ForestShepherds Bush Housing Association Limited</t>
  </si>
  <si>
    <t>Bracknell ForestSilva Homes Limited</t>
  </si>
  <si>
    <t>Bracknell ForestSovereign Housing Association Limited</t>
  </si>
  <si>
    <t>Bracknell ForestStonewater Limited</t>
  </si>
  <si>
    <t>Bracknell ForestThe Swaythling Housing Society Limited</t>
  </si>
  <si>
    <t>Bracknell ForestVivid Housing Limited</t>
  </si>
  <si>
    <t>BradfordAbbeyfield The Dales Limited</t>
  </si>
  <si>
    <t>BradfordAccent Housing Limited</t>
  </si>
  <si>
    <t>BradfordAnchor Hanover Group</t>
  </si>
  <si>
    <t>BradfordArpeggio Properties Limited</t>
  </si>
  <si>
    <t>BradfordBradford Cyrenians Limited</t>
  </si>
  <si>
    <t>BradfordCare Housing Association Limited</t>
  </si>
  <si>
    <t>BradfordCentrepoint Soho</t>
  </si>
  <si>
    <t>BradfordChartford Housing Limited</t>
  </si>
  <si>
    <t>BradfordClarion Housing Association Limited</t>
  </si>
  <si>
    <t>BradfordCreative Support Limited</t>
  </si>
  <si>
    <t>BradfordGeorge Newton Housing Trust</t>
  </si>
  <si>
    <t>BradfordGreat Places Housing Association</t>
  </si>
  <si>
    <t>BradfordHabinteg Housing Association Limited</t>
  </si>
  <si>
    <t>BradfordHalo Housing Association Limited</t>
  </si>
  <si>
    <t>BradfordHeylo Housing Registered Provider Limited</t>
  </si>
  <si>
    <t>BradfordHome Group Limited</t>
  </si>
  <si>
    <t>BradfordHousing 21</t>
  </si>
  <si>
    <t>BradfordHumankind Charity</t>
  </si>
  <si>
    <t>BradfordInclusion Housing Community Interest Company</t>
  </si>
  <si>
    <t>BradfordIncommunities Limited</t>
  </si>
  <si>
    <t>Bradford'Johnnie' Johnson Housing Trust Limited</t>
  </si>
  <si>
    <t>BradfordLangley House Trust</t>
  </si>
  <si>
    <t>BradfordManningham Housing Association Limited</t>
  </si>
  <si>
    <t>BradfordMethodist Homes Housing Association Limited</t>
  </si>
  <si>
    <t>BradfordMuir Group Housing Association Limited</t>
  </si>
  <si>
    <t>BradfordNotting Hill Home Ownership Limited</t>
  </si>
  <si>
    <t>BradfordPlaces for People Homes Limited</t>
  </si>
  <si>
    <t>BradfordPlaces for People Living+ Limited</t>
  </si>
  <si>
    <t>BradfordPlexus UK (First Project) Limited</t>
  </si>
  <si>
    <t>BradfordProgress Housing Association Limited</t>
  </si>
  <si>
    <t>BradfordSanctuary Housing Association</t>
  </si>
  <si>
    <t>BradfordThe Guinness Partnership Limited</t>
  </si>
  <si>
    <t>BradfordThe Riverside Group Limited</t>
  </si>
  <si>
    <t>BradfordTogether Housing Association Limited</t>
  </si>
  <si>
    <t>BradfordWakefield And District Housing Limited</t>
  </si>
  <si>
    <t>BradfordWestmoreland Supported Housing Limited</t>
  </si>
  <si>
    <t>BradfordYorkshire Housing Limited</t>
  </si>
  <si>
    <t>BradfordYour Housing Limited</t>
  </si>
  <si>
    <t>BraintreeAbbeyfield Braintree, Bocking and Felsted Society Limited</t>
  </si>
  <si>
    <t>BraintreeAnchor Hanover Group</t>
  </si>
  <si>
    <t>BraintreeBocking United Charities</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</si>
  <si>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</si>
  <si>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</si>
  <si>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</si>
  <si>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</si>
  <si>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</si>
  <si>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</si>
  <si>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Group Limited</t>
  </si>
  <si>
    <t>BraintreeHabinteg Housing Association Limited</t>
  </si>
  <si>
    <t>BraintreeHastoe Housing Association Limited</t>
  </si>
  <si>
    <t>BraintreeHeylo Housing Registered Provider Limited</t>
  </si>
  <si>
    <t>BraintreeHome Group Limited</t>
  </si>
  <si>
    <t>BraintreeHousing 21</t>
  </si>
  <si>
    <t>BraintreeLocal Space</t>
  </si>
  <si>
    <t>BraintreeLondon &amp; Quadrant Housing Trust</t>
  </si>
  <si>
    <t>BraintreeMetropolitan Housing Trust Limited</t>
  </si>
  <si>
    <t>BraintreeNACRO</t>
  </si>
  <si>
    <t>BraintreePlaces for People Homes Limited</t>
  </si>
  <si>
    <t>BraintreeReside Housing Association Limited</t>
  </si>
  <si>
    <t>BraintreeSaffron Housing Trust Limited</t>
  </si>
  <si>
    <t>BraintreeSalvation Army Housing Association</t>
  </si>
  <si>
    <t>BraintreeSanctuary Affordable Housing Limited</t>
  </si>
  <si>
    <t>BraintreeSanctuary Housing Association</t>
  </si>
  <si>
    <t>BraintreeSwan Housing Association Limited</t>
  </si>
  <si>
    <t>BraintreeThe Guinness Partnership Limited</t>
  </si>
  <si>
    <t>BraintreeThe Havebury Housing Partnership</t>
  </si>
  <si>
    <t>BraintreeWebster Almshouse Trust</t>
  </si>
  <si>
    <t>BraintreeWitham Housing Association Limited</t>
  </si>
  <si>
    <t>BrecklandAnchor Hanover Group</t>
  </si>
  <si>
    <t>BrecklandBroadland Housing Association Limited</t>
  </si>
  <si>
    <t>BrecklandClarion Housing Association Limited</t>
  </si>
  <si>
    <t>BrecklandEmpower Housing Association Limited</t>
  </si>
  <si>
    <t>BrecklandFlagship Housing Group Limited</t>
  </si>
  <si>
    <t>BrecklandHabinteg Housing Association Limited</t>
  </si>
  <si>
    <t>BrecklandHastoe Housing Association Limited</t>
  </si>
  <si>
    <t>BrecklandHousing 21</t>
  </si>
  <si>
    <t>BrecklandMuir Group Housing Association Limited</t>
  </si>
  <si>
    <t>BrecklandOrbit Group Limited</t>
  </si>
  <si>
    <t>BrecklandOrwell Housing Association Limited</t>
  </si>
  <si>
    <t>BrecklandProgress Housing Association Limited</t>
  </si>
  <si>
    <t>BrecklandSaffron Housing Trust Limited</t>
  </si>
  <si>
    <t>BrecklandSanctuary Affordable Housing Limited</t>
  </si>
  <si>
    <t>BrecklandSanctuary Housing Association</t>
  </si>
  <si>
    <t>BrecklandThe Havebury Housing Partnership</t>
  </si>
  <si>
    <t>BrecklandThe Papworth Trust</t>
  </si>
  <si>
    <t>BrentA2Dominion Homes Limited</t>
  </si>
  <si>
    <t>BrentArhag Housing Association Limited</t>
  </si>
  <si>
    <t>BrentBlue Square Residential Ltd</t>
  </si>
  <si>
    <t>BrentCentrepoint Soho</t>
  </si>
  <si>
    <t>BrentClarion Housing Association Limited</t>
  </si>
  <si>
    <t>BrentCyron Housing Co-operative Limited</t>
  </si>
  <si>
    <t>BrentDimensions (UK) Limited</t>
  </si>
  <si>
    <t>BrentFirst Wave Housing Limited</t>
  </si>
  <si>
    <t>BrentHabinteg Housing Association Limited</t>
  </si>
  <si>
    <t>BrentHastoe Housing Association Limited</t>
  </si>
  <si>
    <t>BrentHillside Housing Trust Limited</t>
  </si>
  <si>
    <t>BrentHome Group Limited</t>
  </si>
  <si>
    <t>BrentHyde Housing Association Limited</t>
  </si>
  <si>
    <t>BrentInnisfree Housing Association Limited</t>
  </si>
  <si>
    <t>BrentJewish Community Housing Association Limited</t>
  </si>
  <si>
    <t>BrentLangley House Trust</t>
  </si>
  <si>
    <t>BrentLondon &amp; Quadrant Housing Trust</t>
  </si>
  <si>
    <t>BrentMethodist Homes Housing Association Limited</t>
  </si>
  <si>
    <t>BrentMetropolitan Housing Trust Limited</t>
  </si>
  <si>
    <t>BrentNotting Hill Genesis</t>
  </si>
  <si>
    <t>BrentNotting Hill Home Ownership Limited</t>
  </si>
  <si>
    <t>BrentOctavia Housing</t>
  </si>
  <si>
    <t>BrentOdu-Dua Housing Association Limited</t>
  </si>
  <si>
    <t>BrentOrigin Housing 2 Limited</t>
  </si>
  <si>
    <t>BrentOrigin Housing Limited</t>
  </si>
  <si>
    <t>BrentParadigm Homes Charitable Housing Association Limited</t>
  </si>
  <si>
    <t>BrentParagon Asra Housing Limited</t>
  </si>
  <si>
    <t>BrentParasol Homes Limited</t>
  </si>
  <si>
    <t>BrentPeabody Trust</t>
  </si>
  <si>
    <t>BrentReside Housing Association Limited</t>
  </si>
  <si>
    <t>BrentSanctuary Housing Association</t>
  </si>
  <si>
    <t>BrentSapphire Independent Housing Limited</t>
  </si>
  <si>
    <t>BrentShepherds Bush Housing Association Limited</t>
  </si>
  <si>
    <t>BrentSt Mungo Community Housing Association</t>
  </si>
  <si>
    <t>BrentTamil Community Housing Association Limited</t>
  </si>
  <si>
    <t>BrentTeachers' Housing Association Limited</t>
  </si>
  <si>
    <t>BrentThe Riverside Group Limited</t>
  </si>
  <si>
    <t>BrentWest Hampstead Housing Co-operative Limited</t>
  </si>
  <si>
    <t>BrentWestway Housing Association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</si>
  <si>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</si>
  <si>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</si>
  <si>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</si>
  <si>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</si>
  <si>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</si>
  <si>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</si>
  <si>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</si>
  <si>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</si>
  <si>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</si>
  <si>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</si>
  <si>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</si>
  <si>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BrentwoodLondon &amp; Quadrant Housing Trust</t>
  </si>
  <si>
    <t>BrentwoodMoat Homes Limited</t>
  </si>
  <si>
    <t>BrentwoodNotting Hill Genesis</t>
  </si>
  <si>
    <t>BrentwoodSaffron Housing Trust Limited</t>
  </si>
  <si>
    <t>BrentwoodSalvation Army Housing Association</t>
  </si>
  <si>
    <t>BrentwoodSanctuary Housing Association</t>
  </si>
  <si>
    <t>BrentwoodSwan Housing Association Limited</t>
  </si>
  <si>
    <t>BrentwoodThe Shen Place Almshouses</t>
  </si>
  <si>
    <t>Brighton and HoveAbbeyfield South Downs Limited</t>
  </si>
  <si>
    <t>Brighton and HoveAnchor Hanover Group</t>
  </si>
  <si>
    <t>Brighton and HoveBrighton and Hove Jewish Housing Association Limited</t>
  </si>
  <si>
    <t>Brighton and HoveBrighton Lions Housing Society Limited</t>
  </si>
  <si>
    <t>Brighton and HoveBrighton YMCA</t>
  </si>
  <si>
    <t>Brighton and HoveChisel Limited</t>
  </si>
  <si>
    <t>Brighton and HoveClarion Housing Association Limited</t>
  </si>
  <si>
    <t>Brighton and HoveDimensions (UK) Limited</t>
  </si>
  <si>
    <t>Brighton and HoveHome Group Limited</t>
  </si>
  <si>
    <t>Brighton and HoveHyde Housing Association Limited</t>
  </si>
  <si>
    <t>Brighton and HoveMoat Homes Limited</t>
  </si>
  <si>
    <t>Brighton and HoveNotting Hill Home Ownership Limited</t>
  </si>
  <si>
    <t>Brighton and HoveOrbit Group Limited</t>
  </si>
  <si>
    <t>Brighton and HoveOrigin Housing Limited</t>
  </si>
  <si>
    <t>Brighton and HovePlaces for People Homes Limited</t>
  </si>
  <si>
    <t>Brighton and HovePorthove Housing Association Limited</t>
  </si>
  <si>
    <t>Brighton and HoveReside Housing Association Limited</t>
  </si>
  <si>
    <t>Brighton and HoveSanctuary Housing Association</t>
  </si>
  <si>
    <t>Brighton and HoveSaxon Weald</t>
  </si>
  <si>
    <t>Brighton and HoveShepherds Bush Housing Association Limited</t>
  </si>
  <si>
    <t>Brighton and HoveSouthdown Housing Association Limited</t>
  </si>
  <si>
    <t>Brighton and HoveSt Mungo Community Housing Association</t>
  </si>
  <si>
    <t>Brighton and HoveStonewater Limited</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</si>
  <si>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</si>
  <si>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</si>
  <si>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</si>
  <si>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</si>
  <si>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</si>
  <si>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HoveWestmoreland Supported Housing Limited</t>
  </si>
  <si>
    <t>Brighton and HoveWorthing Homes Limited</t>
  </si>
  <si>
    <t>Brighton and HoveYMCA Downslink Group</t>
  </si>
  <si>
    <t>BroadlandAdvance Housing and Support Limited</t>
  </si>
  <si>
    <t>BroadlandBroadland Housing Association Limited</t>
  </si>
  <si>
    <t>BroadlandClarion Housing Association Limited</t>
  </si>
  <si>
    <t>BroadlandFlagship Housing Group Limited</t>
  </si>
  <si>
    <t>BroadlandOrbit Group Limited</t>
  </si>
  <si>
    <t>BroadlandPlaces for People Homes Limited</t>
  </si>
  <si>
    <t>BroadlandProgress Housing Association Limited</t>
  </si>
  <si>
    <t>BroadlandSaffron Housing Trust Limited</t>
  </si>
  <si>
    <t>BroadlandSanctuary Affordable Housing Limited</t>
  </si>
  <si>
    <t>BroadlandShepherds Bush Housing Association Limited</t>
  </si>
  <si>
    <t>BroadlandThe Papworth Trust</t>
  </si>
  <si>
    <t>BromleyA2Dominion Homes Limited</t>
  </si>
  <si>
    <t>BromleyAccent Housing Limited</t>
  </si>
  <si>
    <t>BromleyAdvance Housing and Support Limited</t>
  </si>
  <si>
    <t>BromleyAnchor Hanover Group</t>
  </si>
  <si>
    <t>BromleyBirnbeck Housing Association Limited</t>
  </si>
  <si>
    <t>BromleyCedarmore Housing Association Limited</t>
  </si>
  <si>
    <t>BromleyChisel Limited</t>
  </si>
  <si>
    <t>BromleyChislehurst and Sidcup Housing Association</t>
  </si>
  <si>
    <t>BromleyClarion Housing Association Limited</t>
  </si>
  <si>
    <t>BromleyCroydon Churches Housing Association Limited</t>
  </si>
  <si>
    <t>BromleyEkaya Housing Association Limited</t>
  </si>
  <si>
    <t>BromleyGlebe Housing Association Limited</t>
  </si>
  <si>
    <t>BromleyHabinteg Housing Association Limited</t>
  </si>
  <si>
    <t>BromleyHexagon Housing Association Limited</t>
  </si>
  <si>
    <t>BromleyHome Group Limited</t>
  </si>
  <si>
    <t>BromleyHyde Housing Association Limited</t>
  </si>
  <si>
    <t>BromleyKeniston Housing Association Limited</t>
  </si>
  <si>
    <t>BromleyLondon &amp; Quadrant Housing Trust</t>
  </si>
  <si>
    <t>BromleyLook Ahead Care and Support Limited</t>
  </si>
  <si>
    <t>BromleyMetropolitan Housing Trust Limited</t>
  </si>
  <si>
    <t>BromleyMoat Homes Limited</t>
  </si>
  <si>
    <t>BromleyNotting Hill Genesis</t>
  </si>
  <si>
    <t>BromleyNotting Hill Home Ownership Limited</t>
  </si>
  <si>
    <t>BromleyOrbit Group Limited</t>
  </si>
  <si>
    <t>BromleyPeabody Trust</t>
  </si>
  <si>
    <t>BromleyPenge Churches Housing Association Limited</t>
  </si>
  <si>
    <t>BromleyPhoenix Community Housing Association (Bellingham and Downham) Limited</t>
  </si>
  <si>
    <t>BromleyPhoenix House</t>
  </si>
  <si>
    <t>BromleyRadcliffe Housing Society Limited</t>
  </si>
  <si>
    <t>BromleyReside Housing Association Limited</t>
  </si>
  <si>
    <t>BromleySanctuary Housing Association</t>
  </si>
  <si>
    <t>BromleyThe Abbeyfield London Polish Society Limited</t>
  </si>
  <si>
    <t>BromleyThe Guinness Partnership Limited</t>
  </si>
  <si>
    <t>BromleyThe Riverside Group Limited</t>
  </si>
  <si>
    <t>BromleyWandle Housing Association Limited</t>
  </si>
  <si>
    <t>BromleyWestminster Community Homes Limited</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</si>
  <si>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</si>
  <si>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</si>
  <si>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</si>
  <si>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</si>
  <si>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</si>
  <si>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BromsgroveHousing 21</t>
  </si>
  <si>
    <t>BromsgroveLonghurst Group Limited</t>
  </si>
  <si>
    <t>BromsgroveMidland Heart Limited</t>
  </si>
  <si>
    <t>BromsgrovePlatform Housing Limited</t>
  </si>
  <si>
    <t>BromsgroveRooftop Housing Association Limited</t>
  </si>
  <si>
    <t>BromsgroveStonewater Limited</t>
  </si>
  <si>
    <t>BromsgroveWalsall Housing Group Limited</t>
  </si>
  <si>
    <t>BroxbourneAnchor Hanover Group</t>
  </si>
  <si>
    <t>BroxbourneB3 Living Limited</t>
  </si>
  <si>
    <t>BroxbourneClarion Housing Association Limited</t>
  </si>
  <si>
    <t>BroxbourneHastoe Housing Association Limited</t>
  </si>
  <si>
    <t>BroxbourneHightown Housing Association Limited</t>
  </si>
  <si>
    <t>BroxbourneHome Group Limited</t>
  </si>
  <si>
    <t>BroxbourneHousing Solutions</t>
  </si>
  <si>
    <t>BroxbourneMetropolitan Housing Trust Limited</t>
  </si>
  <si>
    <t>BroxbourneNotting Hill Genesis</t>
  </si>
  <si>
    <t>BroxbourneNotting Hill Home Ownership Limited</t>
  </si>
  <si>
    <t>BroxbourneParadigm Homes Charitable Housing Association Limited</t>
  </si>
  <si>
    <t>BroxbourneSanctuary Housing Association</t>
  </si>
  <si>
    <t>BroxbourneThrive Homes Limited</t>
  </si>
  <si>
    <t>BroxtoweAccent Housing Limited</t>
  </si>
  <si>
    <t>BroxtoweAdvance Housing and Support Limited</t>
  </si>
  <si>
    <t>BroxtoweAnchor Hanover Group</t>
  </si>
  <si>
    <t>BroxtoweEMH Housing and Regeneration Limited</t>
  </si>
  <si>
    <t>BroxtoweFramework Housing Association</t>
  </si>
  <si>
    <t>BroxtoweFutures Homescape Limited</t>
  </si>
  <si>
    <t>BroxtoweHeylo Housing Registered Provider Limited</t>
  </si>
  <si>
    <t>BroxtoweLonghurst Group Limited</t>
  </si>
  <si>
    <t>BroxtoweMetropolitan Housing Trust Limited</t>
  </si>
  <si>
    <t>BroxtoweMidland Heart Limited</t>
  </si>
  <si>
    <t>BroxtoweNottingham Community Housing Association Limited</t>
  </si>
  <si>
    <t>BroxtoweParagon Asra Housing Limited</t>
  </si>
  <si>
    <t>BroxtowePlaces for People Homes Limited</t>
  </si>
  <si>
    <t>BroxtowePlatform Housing Limited</t>
  </si>
  <si>
    <t>BroxtoweProgress Housing Association Limited</t>
  </si>
  <si>
    <t>BroxtoweTuntum Housing Association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</si>
  <si>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</si>
  <si>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</si>
  <si>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</si>
  <si>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</si>
  <si>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</si>
  <si>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</si>
  <si>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</si>
  <si>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BurnleyGreat Places Housing Association</t>
  </si>
  <si>
    <t>BurnleyHousing 21</t>
  </si>
  <si>
    <t>BurnleyInclusion Housing Community Interest Company</t>
  </si>
  <si>
    <t>BurnleyMuir Group Housing Association Limited</t>
  </si>
  <si>
    <t>BurnleyOnward Homes Limited</t>
  </si>
  <si>
    <t>BurnleyPlaces for People Homes Limited</t>
  </si>
  <si>
    <t>BurnleyProgress Housing Association Limited</t>
  </si>
  <si>
    <t>BurnleyRegenda Limited</t>
  </si>
  <si>
    <t>BurnleyTogether Housing Association Limited</t>
  </si>
  <si>
    <t>BurnleyYour Housing Limited</t>
  </si>
  <si>
    <t>BuryAdullam Homes Housing Association Limited</t>
  </si>
  <si>
    <t>BuryAlpha (R.S.L.) Limited</t>
  </si>
  <si>
    <t>BuryAnchor Hanover Group</t>
  </si>
  <si>
    <t>BuryCreative Support Limited</t>
  </si>
  <si>
    <t>BuryEmpower Housing Association Limited</t>
  </si>
  <si>
    <t>BuryGreat Places Housing Association</t>
  </si>
  <si>
    <t>BuryHalo Housing Association Limited</t>
  </si>
  <si>
    <t>BuryHousing 21</t>
  </si>
  <si>
    <t>BuryInclusion Housing Community Interest Company</t>
  </si>
  <si>
    <t>BuryIrwell Valley Housing Association Limited</t>
  </si>
  <si>
    <t>Bury'Johnnie' Johnson Housing Trust Limited</t>
  </si>
  <si>
    <t>BuryMosscare St. Vincent's Housing Group Limited</t>
  </si>
  <si>
    <t>BuryMuir Group Housing Association Limited</t>
  </si>
  <si>
    <t>BuryOnward Homes Limited</t>
  </si>
  <si>
    <t>BuryPartners Foundation Limited</t>
  </si>
  <si>
    <t>BuryPlaces for People Homes Limited</t>
  </si>
  <si>
    <t>BuryPlaces for People Living+ Limited</t>
  </si>
  <si>
    <t>BuryProgress Housing Association Limited</t>
  </si>
  <si>
    <t>BuryRegenda Limited</t>
  </si>
  <si>
    <t>BurySanctuary Housing Association</t>
  </si>
  <si>
    <t>BurySix Town Housing Limited</t>
  </si>
  <si>
    <t>BuryThe Abbeyfield Bury Society Limited</t>
  </si>
  <si>
    <t>BuryThe Guinness Partnership Limited</t>
  </si>
  <si>
    <t>BuryThe Riverside Group Limited</t>
  </si>
  <si>
    <t>BuryYMCA Trinity Group</t>
  </si>
  <si>
    <t>BuryYour Housing Limited</t>
  </si>
  <si>
    <t>CalderdaleAccent Housing Limited</t>
  </si>
  <si>
    <t>CalderdaleAnchor Hanover Group</t>
  </si>
  <si>
    <t>CalderdaleArpeggio Properties Limited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</si>
  <si>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</si>
  <si>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</si>
  <si>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</si>
  <si>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</si>
  <si>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</si>
  <si>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</si>
  <si>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</si>
  <si>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</si>
  <si>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</si>
  <si>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</si>
  <si>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</si>
  <si>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</si>
  <si>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</si>
  <si>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</si>
  <si>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</si>
  <si>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CalderdalePlaces for People Homes Limited</t>
  </si>
  <si>
    <t>CalderdalePlaces for People Living+ Limited</t>
  </si>
  <si>
    <t>CalderdaleSanctuary Housing Association</t>
  </si>
  <si>
    <t>CalderdaleThe Guinness Partnership Limited</t>
  </si>
  <si>
    <t>CalderdaleThe Riverside Group Limited</t>
  </si>
  <si>
    <t>CalderdaleTogether Housing Association Limited</t>
  </si>
  <si>
    <t>CalderdaleYorkshire Housing Limited</t>
  </si>
  <si>
    <t>CalderdaleYour Housing Limited</t>
  </si>
  <si>
    <t>CambridgeAnchor Hanover Group</t>
  </si>
  <si>
    <t>CambridgeArgyle Street Housing Co-operative Limited</t>
  </si>
  <si>
    <t>Cambridgebpha Limited</t>
  </si>
  <si>
    <t>CambridgeCherry Hinton Almshouse Charity</t>
  </si>
  <si>
    <t>CambridgeClarion Housing Association Limited</t>
  </si>
  <si>
    <t>CambridgeFlagship Housing Group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</si>
  <si>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</si>
  <si>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</si>
  <si>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</si>
  <si>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</si>
  <si>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</si>
  <si>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</si>
  <si>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</si>
  <si>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</si>
  <si>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</si>
  <si>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</si>
  <si>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</si>
  <si>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CambridgeSanctuary Housing Association</t>
  </si>
  <si>
    <t>CambridgeStonewater Limited</t>
  </si>
  <si>
    <t>CambridgeThe Cambridge Housing Society Limited</t>
  </si>
  <si>
    <t>CambridgeThe Papworth Trust</t>
  </si>
  <si>
    <t>CambridgeThe Riverside Group Limited</t>
  </si>
  <si>
    <t>CambridgeWaters Almshouses</t>
  </si>
  <si>
    <t>CambridgeYMCA Trinity Group</t>
  </si>
  <si>
    <t>CamdenA2Dominion Homes Limited</t>
  </si>
  <si>
    <t>CamdenAbeona Housing Co-operative Limited</t>
  </si>
  <si>
    <t>CamdenArhag Housing Association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</si>
  <si>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</si>
  <si>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</si>
  <si>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</si>
  <si>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</si>
  <si>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</si>
  <si>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</si>
  <si>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</si>
  <si>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</si>
  <si>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</si>
  <si>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</si>
  <si>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</si>
  <si>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</si>
  <si>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CamdenNewlon Housing Trust</t>
  </si>
  <si>
    <t>CamdenNorth Camden Housing Co-operative Limited</t>
  </si>
  <si>
    <t>CamdenNotting Hill Genesis</t>
  </si>
  <si>
    <t>CamdenNotting Hill Home Ownership Limited</t>
  </si>
  <si>
    <t>CamdenOctavia Housing</t>
  </si>
  <si>
    <t>CamdenOdu-Dua Housing Association Limited</t>
  </si>
  <si>
    <t>CamdenOrigin Housing 2 Limited</t>
  </si>
  <si>
    <t>CamdenOrigin Housing Limited</t>
  </si>
  <si>
    <t>CamdenPan African Refugee Housing Co-operative Limited</t>
  </si>
  <si>
    <t>CamdenParagon Asra Housing Limited</t>
  </si>
  <si>
    <t>CamdenPeabody Trust</t>
  </si>
  <si>
    <t>CamdenPlaces for People Homes Limited</t>
  </si>
  <si>
    <t>CamdenPlaces for People Living+ Limited</t>
  </si>
  <si>
    <t>CamdenSalvation Army Housing Association</t>
  </si>
  <si>
    <t>CamdenSanctuary Housing Association</t>
  </si>
  <si>
    <t>CamdenSapphire Independent Housing Limited</t>
  </si>
  <si>
    <t>CamdenSoho Housing Association Limited</t>
  </si>
  <si>
    <t>CamdenSouth Camden Housing Co-operative Limited</t>
  </si>
  <si>
    <t>CamdenSt Christopher's Fellowship</t>
  </si>
  <si>
    <t>CamdenSt Mungo Community Housing Association</t>
  </si>
  <si>
    <t>CamdenThe Guinness Partnership Limited</t>
  </si>
  <si>
    <t>CamdenThe Industrial Dwellings Society (1885) Limited</t>
  </si>
  <si>
    <t>CamdenThe Riverside Group Limited</t>
  </si>
  <si>
    <t>CamdenWest Hampstead Housing Co-operative Limited</t>
  </si>
  <si>
    <t>CamdenWomen's Pioneer Housing Limited</t>
  </si>
  <si>
    <t>Cannock ChaseAdullam Homes Housing Association Limited</t>
  </si>
  <si>
    <t>Cannock ChaseAnchor Hanover Group</t>
  </si>
  <si>
    <t>Cannock ChaseAspire Housing Limited</t>
  </si>
  <si>
    <t>Cannock ChaseBromford Housing Association Limited</t>
  </si>
  <si>
    <t>Cannock ChaseCitizen Housing Group Limited</t>
  </si>
  <si>
    <t>Cannock ChaseClarion Housing Association Limited</t>
  </si>
  <si>
    <t>Cannock ChaseHeylo Housing Registered Provider Limited</t>
  </si>
  <si>
    <t>Cannock ChaseHousing 21</t>
  </si>
  <si>
    <t>Cannock ChaseInclusion Housing Community Interest Company</t>
  </si>
  <si>
    <t>Cannock ChaseMasonic Housing Association</t>
  </si>
  <si>
    <t>Cannock ChaseMidland Heart Limited</t>
  </si>
  <si>
    <t>Cannock ChasePlatform Housing Limited</t>
  </si>
  <si>
    <t>Cannock ChaseSanctuary Housing Association</t>
  </si>
  <si>
    <t>Cannock ChaseThe Birch, Samson and Littleton United Charities</t>
  </si>
  <si>
    <t>Cannock ChaseThe Wrekin Housing Group Limited</t>
  </si>
  <si>
    <t>Cannock ChaseTrident Housing Association Limited</t>
  </si>
  <si>
    <t>Cannock ChaseWalsall Housing Group Limited</t>
  </si>
  <si>
    <t>CanterburyAdvance Housing and Support Limited</t>
  </si>
  <si>
    <t>CanterburyAnchor Hanover Group</t>
  </si>
  <si>
    <t>CanterburyCo-operative Development Society Limited</t>
  </si>
  <si>
    <t>CanterburyFranklyn Housing Co-operative Limited</t>
  </si>
  <si>
    <t>CanterburyGolden Hill Housing Co-operative Limited</t>
  </si>
  <si>
    <t>CanterburyGolding Homes Limited</t>
  </si>
  <si>
    <t>CanterburyHilldale Housing Association Limited</t>
  </si>
  <si>
    <t>CanterburyHome Group Limited</t>
  </si>
  <si>
    <t>CanterburyHousing 21</t>
  </si>
  <si>
    <t>CanterburyHyde Housing Association Limited</t>
  </si>
  <si>
    <t>CanterburyInclusion Housing Community Interest Company</t>
  </si>
  <si>
    <t>CanterburyMoat Homes Limited</t>
  </si>
  <si>
    <t>CanterburyOrbit Group Limited</t>
  </si>
  <si>
    <t>CanterburyPine Tree Housing Co-operative Limited</t>
  </si>
  <si>
    <t>CanterburyPlaces for People Homes Limited</t>
  </si>
  <si>
    <t>CanterburySanctuary Housing Association</t>
  </si>
  <si>
    <t>CanterburyThe Riverside Group Limited</t>
  </si>
  <si>
    <t>CanterburyTown and Country Housing</t>
  </si>
  <si>
    <t>CanterburyWarwick Housing Co-operative Limited</t>
  </si>
  <si>
    <t>CanterburyWest Kent Housing Association</t>
  </si>
  <si>
    <t>CanterburyWestmoreland Supported Housing Limited</t>
  </si>
  <si>
    <t>Castle PointAdvance Housing and Support Limited</t>
  </si>
  <si>
    <t>Castle PointAnchor Hanover Group</t>
  </si>
  <si>
    <t>Castle PointChelmer Housing Partnership Limited</t>
  </si>
  <si>
    <t>Castle PointEstuary Housing Association Limited</t>
  </si>
  <si>
    <t>Castle PointHome Group Limited</t>
  </si>
  <si>
    <t>Castle PointLocal Space</t>
  </si>
  <si>
    <t>Castle PointLondon &amp; Quadrant Housing Trust</t>
  </si>
  <si>
    <t>Castle PointMoat Homes Limited</t>
  </si>
  <si>
    <t>Castle PointNACRO</t>
  </si>
  <si>
    <t>Castle PointNotting Hill Genesis</t>
  </si>
  <si>
    <t>Castle PointNotting Hill Home Ownership Limited</t>
  </si>
  <si>
    <t>Castle PointOrigin Housing Limited</t>
  </si>
  <si>
    <t>Castle PointPlaces for People Homes Limited</t>
  </si>
  <si>
    <t>Castle PointSaffron Housing Trust Limited</t>
  </si>
  <si>
    <t>Castle PointSwan Housing Association Limited</t>
  </si>
  <si>
    <t>Castle PointThe Abbeyfield Canvey Island Society Limited</t>
  </si>
  <si>
    <t>Castle PointThe Abbeyfield Society</t>
  </si>
  <si>
    <t>Castle PointThe Industrial Dwellings Society (1885) Limited</t>
  </si>
  <si>
    <t>Castle PointThe Papworth Trust</t>
  </si>
  <si>
    <t>Central BedfordshireAdvance Housing and Support Limited</t>
  </si>
  <si>
    <t>Central BedfordshireAnchor Hanover Group</t>
  </si>
  <si>
    <t>Central Bedfordshirebpha Limited</t>
  </si>
  <si>
    <t>Central BedfordshireClarion Housing Association Limited</t>
  </si>
  <si>
    <t>Central BedfordshireCross Keys Homes Limited</t>
  </si>
  <si>
    <t>Central BedfordshireDimensions (UK) Limited</t>
  </si>
  <si>
    <t>Central BedfordshireFirst Garden Cities Homes Limited</t>
  </si>
  <si>
    <t>Central BedfordshireGrand Union Housing Group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</si>
  <si>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</si>
  <si>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</si>
  <si>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</si>
  <si>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</si>
  <si>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</si>
  <si>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</si>
  <si>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BedfordshireNotting Hill Home Ownership Limited</t>
  </si>
  <si>
    <t>Central BedfordshireParadigm Homes Charitable Housing Association Limited</t>
  </si>
  <si>
    <t>Central BedfordshirePlaces for People Homes Limited</t>
  </si>
  <si>
    <t>Central BedfordshirePlaces for People Living+ Limited</t>
  </si>
  <si>
    <t>Central BedfordshireReside Housing Association Limited</t>
  </si>
  <si>
    <t>Central BedfordshireSettle Group</t>
  </si>
  <si>
    <t>Central BedfordshireStonewater (5) Limited</t>
  </si>
  <si>
    <t>Central BedfordshireStonewater Limited</t>
  </si>
  <si>
    <t>Central BedfordshireThe Guinness Partnership Limited</t>
  </si>
  <si>
    <t>Central BedfordshireThe Riverside Group Limited</t>
  </si>
  <si>
    <t>Central BedfordshireThrive Homes Limited</t>
  </si>
  <si>
    <t>CharnwoodAdullam Homes Housing Association Limited</t>
  </si>
  <si>
    <t>CharnwoodAdvance Housing and Support Limited</t>
  </si>
  <si>
    <t>CharnwoodAnchor Hanover Group</t>
  </si>
  <si>
    <t>CharnwoodEMH Housing and Regeneration Limited</t>
  </si>
  <si>
    <t>CharnwoodEmpower Housing Association Limited</t>
  </si>
  <si>
    <t>CharnwoodHalo Housing Association Limited</t>
  </si>
  <si>
    <t>CharnwoodHeylo Housing Registered Provider Limited</t>
  </si>
  <si>
    <t>CharnwoodHousing 21</t>
  </si>
  <si>
    <t>CharnwoodInclusion Housing Community Interest Company</t>
  </si>
  <si>
    <t>CharnwoodLonghurst Group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</si>
  <si>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</si>
  <si>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</si>
  <si>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</si>
  <si>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</si>
  <si>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</si>
  <si>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CharnwoodPlatform Housing Limited</t>
  </si>
  <si>
    <t>CharnwoodProgress Housing Association Limited</t>
  </si>
  <si>
    <t>CharnwoodStonewater (5) Limited</t>
  </si>
  <si>
    <t>CharnwoodStonewater Limited</t>
  </si>
  <si>
    <t>CharnwoodThe Abbeyfield Society</t>
  </si>
  <si>
    <t>CharnwoodThe Exaireo Trust Ltd</t>
  </si>
  <si>
    <t>CharnwoodThe Riverside Group Limited</t>
  </si>
  <si>
    <t>CharnwoodTrinity Housing Association Limited</t>
  </si>
  <si>
    <t>CharnwoodTuntum Housing Association Limited</t>
  </si>
  <si>
    <t>ChelmsfordChelmer Housing Partnership Limited</t>
  </si>
  <si>
    <t>ChelmsfordClarion Housing Association Limited</t>
  </si>
  <si>
    <t>ChelmsfordEastlight Community Homes Limited</t>
  </si>
  <si>
    <t>ChelmsfordEnglish Rural Housing Association Limited</t>
  </si>
  <si>
    <t>ChelmsfordEstuary Housing Association Limited</t>
  </si>
  <si>
    <t>ChelmsfordHabinteg Housing Association Limited</t>
  </si>
  <si>
    <t>ChelmsfordHastoe Housing Association Limited</t>
  </si>
  <si>
    <t>ChelmsfordHeylo Housing Registered Provider Limited</t>
  </si>
  <si>
    <t>ChelmsfordHome Group Limited</t>
  </si>
  <si>
    <t>ChelmsfordLondon &amp; Quadrant Housing Trust</t>
  </si>
  <si>
    <t>ChelmsfordMasonic Housing Association</t>
  </si>
  <si>
    <t>ChelmsfordMetropolitan Housing Trust Limited</t>
  </si>
  <si>
    <t>ChelmsfordMoat Homes Limited</t>
  </si>
  <si>
    <t>ChelmsfordNACRO</t>
  </si>
  <si>
    <t>ChelmsfordNotting Hill Genesis</t>
  </si>
  <si>
    <t>ChelmsfordNotting Hill Home Ownership Limited</t>
  </si>
  <si>
    <t>ChelmsfordOrigin Housing Limited</t>
  </si>
  <si>
    <t>ChelmsfordPlaces for People Homes Limited</t>
  </si>
  <si>
    <t>ChelmsfordSaffron Housing Trust Limited</t>
  </si>
  <si>
    <t>ChelmsfordSanctuary Housing Association</t>
  </si>
  <si>
    <t>ChelmsfordSwan Housing Association Limited</t>
  </si>
  <si>
    <t>ChelmsfordThe Guinness Partnership Limited</t>
  </si>
  <si>
    <t>ChelmsfordThe John Henry Keene Memorial Homes</t>
  </si>
  <si>
    <t>CheltenhamAdvance Housing and Support Limited</t>
  </si>
  <si>
    <t>CheltenhamAnchor Hanover Group</t>
  </si>
  <si>
    <t>CheltenhamBromford Housing Association Limited</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</si>
  <si>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</si>
  <si>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</si>
  <si>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</si>
  <si>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</si>
  <si>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</si>
  <si>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</si>
  <si>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CheltenhamHeylo Housing Registered Provider Limited</t>
  </si>
  <si>
    <t>CheltenhamHilldale Housing Association Limited</t>
  </si>
  <si>
    <t>CheltenhamHome Group Limited</t>
  </si>
  <si>
    <t>CheltenhamHousing 21</t>
  </si>
  <si>
    <t>CheltenhamLiveWest Homes Limited</t>
  </si>
  <si>
    <t>CheltenhamMerlin Housing Society Limited</t>
  </si>
  <si>
    <t>CheltenhamPlatform Housing Limited</t>
  </si>
  <si>
    <t>CheltenhamRooftop Housing Association Limited</t>
  </si>
  <si>
    <t>CheltenhamSalvation Army Housing Association</t>
  </si>
  <si>
    <t>CheltenhamSanctuary Affordable Housing Limited</t>
  </si>
  <si>
    <t>CheltenhamSanctuary Housing Association</t>
  </si>
  <si>
    <t>CheltenhamSovereign Housing Association Limited</t>
  </si>
  <si>
    <t>CheltenhamThe Guinness Partnership Limited</t>
  </si>
  <si>
    <t>CheltenhamThe Riverside Group Limited</t>
  </si>
  <si>
    <t>CherwellA2Dominion Homes Limited</t>
  </si>
  <si>
    <t>CherwellA2Dominion South Limited</t>
  </si>
  <si>
    <t>CherwellAbility Housing Association</t>
  </si>
  <si>
    <t>CherwellAdvance Housing and Support Limited</t>
  </si>
  <si>
    <t>CherwellAnchor Hanover Group</t>
  </si>
  <si>
    <t>Cherwellbpha Limited</t>
  </si>
  <si>
    <t>CherwellBromford Home Ownership Limited</t>
  </si>
  <si>
    <t>CherwellBromford Housing Association Limited</t>
  </si>
  <si>
    <t>CherwellClarion Housing Association Limited</t>
  </si>
  <si>
    <t>CherwellEnglish Rural Housing Association Limited</t>
  </si>
  <si>
    <t>CherwellGrand Union Housing Group Limited</t>
  </si>
  <si>
    <t>CherwellHeylo Housing Registered Provider Limited</t>
  </si>
  <si>
    <t>CherwellHome Group Limited</t>
  </si>
  <si>
    <t>CherwellHousing 21</t>
  </si>
  <si>
    <t>CherwellMethodist Homes Housing Association Limited</t>
  </si>
  <si>
    <t>CherwellMoat Homes Limited</t>
  </si>
  <si>
    <t>CherwellParadigm Homes Charitable Housing Association Limited</t>
  </si>
  <si>
    <t>CherwellPlaces for People Homes Limited</t>
  </si>
  <si>
    <t>CherwellPlatform Housing Limited</t>
  </si>
  <si>
    <t>CherwellSanctuary Affordable Housing Limited</t>
  </si>
  <si>
    <t>CherwellSanctuary Housing Association</t>
  </si>
  <si>
    <t>CherwellShepherds Bush Housing Association Limited</t>
  </si>
  <si>
    <t>CherwellSoha Housing Limited</t>
  </si>
  <si>
    <t>CherwellSovereign Housing Association Limited</t>
  </si>
  <si>
    <t>CherwellStonewater (5) Limited</t>
  </si>
  <si>
    <t>CherwellStonewater Limited</t>
  </si>
  <si>
    <t>CherwellThe Abbeyfield Society</t>
  </si>
  <si>
    <t>CherwellThrive Homes Limited</t>
  </si>
  <si>
    <t>Cheshire EastAdullam Homes Housing Association Limited</t>
  </si>
  <si>
    <t>Cheshire EastAlpha (R.S.L.) Limited</t>
  </si>
  <si>
    <t>Cheshire EastAnchor Hanover Group</t>
  </si>
  <si>
    <t>Cheshire EastArpeggio Properties Limited</t>
  </si>
  <si>
    <t>Cheshire EastAspire Housing Limited</t>
  </si>
  <si>
    <t>Cheshire EastAuxesia Homes Limited</t>
  </si>
  <si>
    <t>Cheshire EastCharity of Marjorie Hurst</t>
  </si>
  <si>
    <t>Cheshire EastCheshire Peaks &amp; Plains Housing Trust Limited</t>
  </si>
  <si>
    <t>Cheshire EastFence Trust</t>
  </si>
  <si>
    <t>Cheshire EastGreat Places Housing Association</t>
  </si>
  <si>
    <t>Cheshire EastHeylo Housing Registered Provider Limited</t>
  </si>
  <si>
    <t>Cheshire EastHilldale Housing Association Limited</t>
  </si>
  <si>
    <t>Cheshire EastHoneycomb Group Limited</t>
  </si>
  <si>
    <t>Cheshire EastInclusion Housing Community Interest Company</t>
  </si>
  <si>
    <t>Cheshire East'Johnnie' Johnson Housing Trust Limited</t>
  </si>
  <si>
    <t>Cheshire EastMagenta Living</t>
  </si>
  <si>
    <t>Cheshire EastMosscare St. Vincent's Housing Group Limited</t>
  </si>
  <si>
    <t>Cheshire EastMuir Group Housing Association Limited</t>
  </si>
  <si>
    <t>Cheshire EastOne Vision Housing Limited</t>
  </si>
  <si>
    <t>Cheshire EastOnward Homes Limited</t>
  </si>
  <si>
    <t>Cheshire EastPartners Foundation Limited</t>
  </si>
  <si>
    <t>Cheshire EastPlaces for People Homes Limited</t>
  </si>
  <si>
    <t>Cheshire EastPlaces for People Living+ Limited</t>
  </si>
  <si>
    <t>Cheshire EastPlexus UK (First Project) Limited</t>
  </si>
  <si>
    <t>Cheshire EastPlus Dane Housing Limited</t>
  </si>
  <si>
    <t>Cheshire EastRegenda Limited</t>
  </si>
  <si>
    <t>Cheshire EastReside Housing Association Limited</t>
  </si>
  <si>
    <t>Cheshire EastSanctuary Housing Association</t>
  </si>
  <si>
    <t>Cheshire EastSouthway Housing Trust (Manchester) Limited</t>
  </si>
  <si>
    <t>Cheshire EastThe Guinness Partnership Limited</t>
  </si>
  <si>
    <t>Cheshire EastThe Poynton-with-Worth Almshouse Charity</t>
  </si>
  <si>
    <t>Cheshire EastThe Riverside Group Limited</t>
  </si>
  <si>
    <t>Cheshire EastTorus62 Limited</t>
  </si>
  <si>
    <t>Cheshire EastWeaver Vale Housing Trust Limited</t>
  </si>
  <si>
    <t>Cheshire EastWestmoreland Supported Housing Limited</t>
  </si>
  <si>
    <t>Cheshire EastYour Housing Limited</t>
  </si>
  <si>
    <t>Cheshire West and ChesterAlpha (R.S.L.) Limited</t>
  </si>
  <si>
    <t>Cheshire West and ChesterAnchor Hanover Group</t>
  </si>
  <si>
    <t>Cheshire West and ChesterAspire Housing Limited</t>
  </si>
  <si>
    <t>Cheshire West and ChesterBirkenhead Forum Housing Association Limited</t>
  </si>
  <si>
    <t>Cheshire West and ChesterCheshire Peaks &amp; Plains Housing Trust Limited</t>
  </si>
  <si>
    <t>Cheshire West and ChesterClarion Housing Association Limited</t>
  </si>
  <si>
    <t>Cheshire West and ChesterEmpower Housing Association Limited</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</si>
  <si>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</si>
  <si>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</si>
  <si>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</si>
  <si>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</si>
  <si>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ChesterGreat Places Housing Association</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</si>
  <si>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</si>
  <si>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</si>
  <si>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</si>
  <si>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</si>
  <si>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</si>
  <si>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</si>
  <si>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ChesterLets for Life</t>
  </si>
  <si>
    <t>Cheshire West and ChesterMagenta Living</t>
  </si>
  <si>
    <t>Cheshire West and ChesterMuir Group Housing Association Limited</t>
  </si>
  <si>
    <t>Cheshire West and ChesterOne Vision Housing Limited</t>
  </si>
  <si>
    <t>Cheshire West and ChesterOnward Homes Limited</t>
  </si>
  <si>
    <t>Cheshire West and ChesterPlaces for People Homes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</si>
  <si>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</si>
  <si>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</si>
  <si>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</si>
  <si>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</si>
  <si>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</si>
  <si>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ChesterSanctuary Affordable Housing Limited</t>
  </si>
  <si>
    <t>Cheshire West and ChesterSanctuary Housing Association</t>
  </si>
  <si>
    <t>Cheshire West and ChesterSouth Cheshire Housing Society Limited</t>
  </si>
  <si>
    <t>Cheshire West and ChesterThe Abbeyfield Ellesmere Port Society Limited</t>
  </si>
  <si>
    <t>Cheshire West and ChesterThe Guinness Partnership Limited</t>
  </si>
  <si>
    <t>Cheshire West and ChesterThe Richmond Fellowship</t>
  </si>
  <si>
    <t>Cheshire West and ChesterThe Riverside Group Limited</t>
  </si>
  <si>
    <t>Cheshire West and ChesterTorus62 Limited</t>
  </si>
  <si>
    <t>Cheshire West and ChesterWeaver Vale Housing Trust Limited</t>
  </si>
  <si>
    <t>Cheshire West and ChesterWirral Methodist Housing Association Limited</t>
  </si>
  <si>
    <t>Cheshire West and ChesterYour Housing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</si>
  <si>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</si>
  <si>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</si>
  <si>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</si>
  <si>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</si>
  <si>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</si>
  <si>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ChesterfieldChesterfield Churches Housing Association Limited</t>
  </si>
  <si>
    <t>ChesterfieldEMH Housing and Regeneration Limited</t>
  </si>
  <si>
    <t>ChesterfieldGreat Places Housing Association</t>
  </si>
  <si>
    <t>ChesterfieldHabinteg Housing Association Limited</t>
  </si>
  <si>
    <t>ChesterfieldHeylo Housing Registered Provider Limited</t>
  </si>
  <si>
    <t>ChesterfieldHome Group Limited</t>
  </si>
  <si>
    <t>ChesterfieldHousing 21</t>
  </si>
  <si>
    <t>ChesterfieldInclusion Housing Community Interest Company</t>
  </si>
  <si>
    <t>Chesterfield'Johnnie' Johnson Housing Trust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</si>
  <si>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</si>
  <si>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</si>
  <si>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</si>
  <si>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</si>
  <si>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</si>
  <si>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</si>
  <si>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ChesterfieldSalvation Army Housing Association</t>
  </si>
  <si>
    <t>ChesterfieldSanctuary Housing Association</t>
  </si>
  <si>
    <t>ChesterfieldSouth Yorkshire Housing Association Limited</t>
  </si>
  <si>
    <t>ChesterfieldThe Guinness Partnership Limited</t>
  </si>
  <si>
    <t>ChesterfieldTogether Housing Association Limited</t>
  </si>
  <si>
    <t>ChichesterA2Dominion Homes Limited</t>
  </si>
  <si>
    <t>ChichesterA2Dominion South Limited</t>
  </si>
  <si>
    <t>ChichesterAnchor Hanover Group</t>
  </si>
  <si>
    <t>ChichesterChichester Greyfriars Housing Association Limited</t>
  </si>
  <si>
    <t>ChichesterClarion Housing Association Limited</t>
  </si>
  <si>
    <t>ChichesterCountess of Derby's Almshouse</t>
  </si>
  <si>
    <t>ChichesterGreenoak Housing Association Limited</t>
  </si>
  <si>
    <t>ChichesterHastoe Housing Association Limited</t>
  </si>
  <si>
    <t>ChichesterHome Group Limited</t>
  </si>
  <si>
    <t>ChichesterHyde Housing Association Limited</t>
  </si>
  <si>
    <t>ChichesterMartlet Homes Limited</t>
  </si>
  <si>
    <t>ChichesterMetropolitan Housing Trust Limited</t>
  </si>
  <si>
    <t>ChichesterMoat Homes Limited</t>
  </si>
  <si>
    <t>ChichesterNorthchapel, Petworth and Tillington Almshouses</t>
  </si>
  <si>
    <t>ChichesterNotting Hill Home Ownership Limited</t>
  </si>
  <si>
    <t>ChichesterPlaces for People Homes Limited</t>
  </si>
  <si>
    <t>ChichesterPlaces for People Living+ Limited</t>
  </si>
  <si>
    <t>ChichesterSouthdown Housing Association Limited</t>
  </si>
  <si>
    <t>ChichesterStonewater Limited</t>
  </si>
  <si>
    <t>ChichesterThe Guinness Partnership Limited</t>
  </si>
  <si>
    <t>ChichesterThe Swaythling Housing Society Limited</t>
  </si>
  <si>
    <t>ChichesterWorthing Homes Limited</t>
  </si>
  <si>
    <t>ChorleyAccent Housing Limited</t>
  </si>
  <si>
    <t>ChorleyAnchor Hanover Group</t>
  </si>
  <si>
    <t>ChorleyArpeggio Properties Limited</t>
  </si>
  <si>
    <t>ChorleyAssured Living Housing Association Limited</t>
  </si>
  <si>
    <t>ChorleyCare Housing Association Limited</t>
  </si>
  <si>
    <t>ChorleyCommunity Gateway Association Limited</t>
  </si>
  <si>
    <t>ChorleyCreative Support Limited</t>
  </si>
  <si>
    <t>ChorleyEmpower Housing Association Limited</t>
  </si>
  <si>
    <t>ChorleyGreat Places Housing Association</t>
  </si>
  <si>
    <t>ChorleyHalo Housing Association Limited</t>
  </si>
  <si>
    <t>ChorleyHarbour Light Assisted Living CIC</t>
  </si>
  <si>
    <t>ChorleyHome Group Limited</t>
  </si>
  <si>
    <t>ChorleyNew Foundations Housing Association Limited</t>
  </si>
  <si>
    <t>ChorleyPlaces for People Homes Limited</t>
  </si>
  <si>
    <t>ChorleyPlaces for People Living+ Limited</t>
  </si>
  <si>
    <t>ChorleyPlexus UK (First Project) Limited</t>
  </si>
  <si>
    <t>ChorleyProgress Housing Association Limited</t>
  </si>
  <si>
    <t>ChorleyRegenda Limited</t>
  </si>
  <si>
    <t>ChorleyThe Guinness Partnership Limited</t>
  </si>
  <si>
    <t>ChorleyTogether Housing Association Limited</t>
  </si>
  <si>
    <t>ChorleyYour Housing Limited</t>
  </si>
  <si>
    <t>City of LondonAnchor Hanover Group</t>
  </si>
  <si>
    <t>City of LondonSt Mungo Community Housing Association</t>
  </si>
  <si>
    <t>City of LondonThe Guinness Partnership Limited</t>
  </si>
  <si>
    <t>ColchesterAdvance Housing and Support Limited</t>
  </si>
  <si>
    <t>ColchesterAnchor Hanover Group</t>
  </si>
  <si>
    <t>ColchesterBalkerne Gardens Trust Limited</t>
  </si>
  <si>
    <t>ColchesterBlackburn YMCA</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</si>
  <si>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</si>
  <si>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</si>
  <si>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</si>
  <si>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</si>
  <si>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</si>
  <si>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</si>
  <si>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</si>
  <si>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ColchesterEnglish Rural Housing Association Limited</t>
  </si>
  <si>
    <t>ColchesterEstuary Housing Association Limited</t>
  </si>
  <si>
    <t>ColchesterFirst Priority Housing Association Limited</t>
  </si>
  <si>
    <t>ColchesterFlagship Housing Group Limited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</si>
  <si>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</si>
  <si>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</si>
  <si>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</si>
  <si>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</si>
  <si>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</si>
  <si>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ColchesterLocal Space</t>
  </si>
  <si>
    <t>ColchesterLondon &amp; Quadrant Housing Trust</t>
  </si>
  <si>
    <t>ColchesterMersea Island Trust</t>
  </si>
  <si>
    <t>ColchesterNACRO</t>
  </si>
  <si>
    <t>ColchesterNotting Hill Genesis</t>
  </si>
  <si>
    <t>ColchesterOrwell Housing Association Limited</t>
  </si>
  <si>
    <t>ColchesterPlaces for People Homes Limited</t>
  </si>
  <si>
    <t>ColchesterPlaces for People Living+ Limited</t>
  </si>
  <si>
    <t>ColchesterProgress Housing Association Limited</t>
  </si>
  <si>
    <t>ColchesterSaffron Housing Trust Limited</t>
  </si>
  <si>
    <t>ColchesterSalvation Army Housing Association</t>
  </si>
  <si>
    <t>ColchesterSanctuary Housing Association</t>
  </si>
  <si>
    <t>ColchesterSwan Housing Association Limited</t>
  </si>
  <si>
    <t>ColchesterThe Guinness Partnership Limited</t>
  </si>
  <si>
    <t>ColchesterWinnocks and Kendalls Almshouse Charity</t>
  </si>
  <si>
    <t>CornwallAdvance Housing and Support Limited</t>
  </si>
  <si>
    <t>CornwallAnchor Hanover Group</t>
  </si>
  <si>
    <t>CornwallAster Communities</t>
  </si>
  <si>
    <t>CornwallBlackburn YMCA</t>
  </si>
  <si>
    <t>CornwallCharity of Alice Dale</t>
  </si>
  <si>
    <t>CornwallClarion Housing Association Limited</t>
  </si>
  <si>
    <t>CornwallCoastline Housing Limited</t>
  </si>
  <si>
    <t>CornwallCornwall CLT Limited</t>
  </si>
  <si>
    <t>CornwallCornwall Housing Limited</t>
  </si>
  <si>
    <t>CornwallCornwall Rural Housing Association Limited</t>
  </si>
  <si>
    <t>CornwallEarle's Retreat</t>
  </si>
  <si>
    <t>CornwallEmily Brydges Willyams Memorial Houses</t>
  </si>
  <si>
    <t>CornwallHabinteg Housing Association Limited</t>
  </si>
  <si>
    <t>CornwallHastoe Housing Association Limited</t>
  </si>
  <si>
    <t>CornwallHeylo Housing Registered Provider Limited</t>
  </si>
  <si>
    <t>CornwallHome Group Limited</t>
  </si>
  <si>
    <t>CornwallHousing 21</t>
  </si>
  <si>
    <t>CornwallLegal &amp; General Affordable Homes Limited</t>
  </si>
  <si>
    <t>CornwallLiveWest Homes Limited</t>
  </si>
  <si>
    <t>CornwallMoat Homes Limited</t>
  </si>
  <si>
    <t>CornwallNotting Hill Home Ownership Limited</t>
  </si>
  <si>
    <t>CornwallOcean Housing Limited</t>
  </si>
  <si>
    <t>CornwallPlaces for People Homes Limited</t>
  </si>
  <si>
    <t>CornwallPlymouth Community Homes Limited</t>
  </si>
  <si>
    <t>CornwallReside Housing Association Limited</t>
  </si>
  <si>
    <t>CornwallSalvation Army Housing Association</t>
  </si>
  <si>
    <t>CornwallSanctuary Affordable Housing Limited</t>
  </si>
  <si>
    <t>CornwallSanctuary Housing Association</t>
  </si>
  <si>
    <t>CornwallSovereign Housing Association Limited</t>
  </si>
  <si>
    <t>CornwallSynergy Housing Limited</t>
  </si>
  <si>
    <t>CornwallThe Abbeyfield Saltash Society Limited</t>
  </si>
  <si>
    <t>CornwallThe Abbeyfield Society</t>
  </si>
  <si>
    <t>CornwallThe Abbeyfield South West Society Limited</t>
  </si>
  <si>
    <t>CornwallThe Guinness Partnership Limited</t>
  </si>
  <si>
    <t>CornwallWestmoreland Supported Housing Limited</t>
  </si>
  <si>
    <t>CornwallWestward Housing Group Limited</t>
  </si>
  <si>
    <t>CotswoldAdvance Housing and Support Limited</t>
  </si>
  <si>
    <t>CotswoldAnchor Hanover Group</t>
  </si>
  <si>
    <t>CotswoldBromford Housing Association Limited</t>
  </si>
  <si>
    <t>CotswoldCottsway Housing Association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</si>
  <si>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</si>
  <si>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</si>
  <si>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</si>
  <si>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</si>
  <si>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</si>
  <si>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</si>
  <si>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</si>
  <si>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Housing Association</t>
  </si>
  <si>
    <t>CotswoldSoha Housing Limited</t>
  </si>
  <si>
    <t>CotswoldSovereign Housing Association Limited</t>
  </si>
  <si>
    <t>CotswoldStonewater Limited</t>
  </si>
  <si>
    <t>CotswoldThe Abbeyfield Society</t>
  </si>
  <si>
    <t>CotswoldThe Guinness Partnership Limited</t>
  </si>
  <si>
    <t>CotswoldTwo Rivers Housing</t>
  </si>
  <si>
    <t>County DurhamAccent Housing Limited</t>
  </si>
  <si>
    <t>County DurhamAnchor Hanover Group</t>
  </si>
  <si>
    <t>County DurhamBelieve Housing Limited</t>
  </si>
  <si>
    <t>County DurhamBernicia Group</t>
  </si>
  <si>
    <t>County DurhamBrandon Aged Persons Homes</t>
  </si>
  <si>
    <t>County DurhamCastles &amp; Coasts Housing Association Limited</t>
  </si>
  <si>
    <t>County DurhamDurham Action on Single Housing Limited</t>
  </si>
  <si>
    <t>County DurhamDurham Aged Mineworkers' Homes Association</t>
  </si>
  <si>
    <t>County DurhamFalcon Housing Association C.I.C</t>
  </si>
  <si>
    <t>County DurhamHellens Residential Limited</t>
  </si>
  <si>
    <t>County DurhamHeylo Housing Registered Provider Limited</t>
  </si>
  <si>
    <t>County DurhamHome Group Limited</t>
  </si>
  <si>
    <t>County DurhamHousing 21</t>
  </si>
  <si>
    <t>County DurhamHumankind Charity</t>
  </si>
  <si>
    <t>County DurhamIKE Supported Housing Limited</t>
  </si>
  <si>
    <t>County DurhamInclusion Housing Community Interest Company</t>
  </si>
  <si>
    <t>County DurhamJacob Wright's Cottages</t>
  </si>
  <si>
    <t>County Durham'Johnnie' Johnson Housing Trust Limited</t>
  </si>
  <si>
    <t>County DurhamKarbon Homes Limited</t>
  </si>
  <si>
    <t>County DurhamLivin Housing Limited</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</si>
  <si>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</si>
  <si>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</si>
  <si>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</si>
  <si>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</si>
  <si>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</si>
  <si>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</si>
  <si>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DurhamSherburn House Charity</t>
  </si>
  <si>
    <t>County DurhamTCUK Homes Limited</t>
  </si>
  <si>
    <t>County DurhamThe Riverside Group Limited</t>
  </si>
  <si>
    <t>County DurhamThirteen Housing Group Limited</t>
  </si>
  <si>
    <t>County DurhamWestmoreland Supported Housing Limited</t>
  </si>
  <si>
    <t>County DurhamWilliam Russell Bequest</t>
  </si>
  <si>
    <t>CoventryAdvance Housing and Support Limited</t>
  </si>
  <si>
    <t>CoventryAnchor Hanover Group</t>
  </si>
  <si>
    <t>CoventryCitizen Housing Group Limited</t>
  </si>
  <si>
    <t>CoventryClarion Housing Association Limited</t>
  </si>
  <si>
    <t>CoventryCoventry Church (Municipal) Charities</t>
  </si>
  <si>
    <t>CoventryDimensions (UK) Limited</t>
  </si>
  <si>
    <t>CoventryFairplace Homes Ltd</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</si>
  <si>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</si>
  <si>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</si>
  <si>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</si>
  <si>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</si>
  <si>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</si>
  <si>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</si>
  <si>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</si>
  <si>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</si>
  <si>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CoventryOrbit Group Limited</t>
  </si>
  <si>
    <t>CoventryParagon Asra Housing Limited</t>
  </si>
  <si>
    <t>CoventryPlaces for People Homes Limited</t>
  </si>
  <si>
    <t>CoventrySanctuary Housing Association</t>
  </si>
  <si>
    <t>CoventryStarley Housing Co-operative Limited</t>
  </si>
  <si>
    <t>CoventryTrinity Housing Association Limited</t>
  </si>
  <si>
    <t>CrawleyA2Dominion South Limited</t>
  </si>
  <si>
    <t>CrawleyAnchor Hanover Group</t>
  </si>
  <si>
    <t>Crawleybpha Limited</t>
  </si>
  <si>
    <t>CrawleyClarion Housing Association Limited</t>
  </si>
  <si>
    <t>CrawleyHilldale Housing Association Limited</t>
  </si>
  <si>
    <t>CrawleyHousing 21</t>
  </si>
  <si>
    <t>CrawleyHyde Housing Association Limited</t>
  </si>
  <si>
    <t>CrawleyInclusion Housing Community Interest Company</t>
  </si>
  <si>
    <t>CrawleyKeniston Housing Association Limited</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</si>
  <si>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</si>
  <si>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</si>
  <si>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</si>
  <si>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</si>
  <si>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</si>
  <si>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</si>
  <si>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CrawleyPlaces for People Homes Limited</t>
  </si>
  <si>
    <t>CrawleyRaven Housing Trust Limited</t>
  </si>
  <si>
    <t>CrawleySanctuary Housing Association</t>
  </si>
  <si>
    <t>CrawleySouthdown Housing Association Limited</t>
  </si>
  <si>
    <t>CrawleyStonewater Limited</t>
  </si>
  <si>
    <t>CrawleyThe Field Lane Foundation</t>
  </si>
  <si>
    <t>CrawleyThe Guinness Partnership Limited</t>
  </si>
  <si>
    <t>CrawleyTown and Country Housing</t>
  </si>
  <si>
    <t>CrawleyTransform Housing &amp; Support</t>
  </si>
  <si>
    <t>CrawleyYMCA Downslink Group</t>
  </si>
  <si>
    <t>CroydonA2Dominion Homes Limited</t>
  </si>
  <si>
    <t>CroydonA2Dominion South Limited</t>
  </si>
  <si>
    <t>CroydonAbbeyfield Southern Oaks</t>
  </si>
  <si>
    <t>CroydonAbility Housing Association</t>
  </si>
  <si>
    <t>CroydonAddiscombe Catholic Housing Association Limited</t>
  </si>
  <si>
    <t>CroydonAdvance Housing and Support Limited</t>
  </si>
  <si>
    <t>CroydonAnchor Hanover Group</t>
  </si>
  <si>
    <t>CroydonCentrepoint Soho</t>
  </si>
  <si>
    <t>CroydonChanging Lives Housing Trust</t>
  </si>
  <si>
    <t>CroydonChisel Limited</t>
  </si>
  <si>
    <t>CroydonClarion Housing Association Limited</t>
  </si>
  <si>
    <t>CroydonCromwood Housing Ltd</t>
  </si>
  <si>
    <t>CroydonCroydon Churches Housing Association Limited</t>
  </si>
  <si>
    <t>CroydonEkaya Housing Association Limited</t>
  </si>
  <si>
    <t>CroydonEldon Housing Association Limited</t>
  </si>
  <si>
    <t>CroydonEvolve Housing + Support</t>
  </si>
  <si>
    <t>CroydonHabinteg Housing Association Limited</t>
  </si>
  <si>
    <t>CroydonHastoe Housing Association Limited</t>
  </si>
  <si>
    <t>CroydonHexagon Housing Association Limited</t>
  </si>
  <si>
    <t>CroydonHome Group Limited</t>
  </si>
  <si>
    <t>CroydonHousing 21</t>
  </si>
  <si>
    <t>CroydonHyde Housing Association Limited</t>
  </si>
  <si>
    <t>CroydonKeniston Housing Association Limited</t>
  </si>
  <si>
    <t>CroydonLangley House Trust</t>
  </si>
  <si>
    <t>CroydonLondon &amp; Quadrant Housing Trust</t>
  </si>
  <si>
    <t>CroydonLook Ahead Care and Support Limited</t>
  </si>
  <si>
    <t>CroydonMetropolitan Housing Trust Limited</t>
  </si>
  <si>
    <t>CroydonMoat Homes Limited</t>
  </si>
  <si>
    <t>CroydonNotting Hill Genesis</t>
  </si>
  <si>
    <t>CroydonNotting Hill Home Ownership Limited</t>
  </si>
  <si>
    <t>CroydonOrbit Group Limited</t>
  </si>
  <si>
    <t>CroydonParagon Asra Housing Limited</t>
  </si>
  <si>
    <t>CroydonPeabody Trust</t>
  </si>
  <si>
    <t>CroydonPlaces for People Homes Limited</t>
  </si>
  <si>
    <t>CroydonQuo Vadis Trust</t>
  </si>
  <si>
    <t>CroydonRadcliffe Housing Society Limited</t>
  </si>
  <si>
    <t>CroydonReside Housing Association Limited</t>
  </si>
  <si>
    <t>CroydonSanctuary Housing Association</t>
  </si>
  <si>
    <t>CroydonTeachers' Housing Association Limited</t>
  </si>
  <si>
    <t>CroydonThe Abbeyfield Sanderstead Society Limited</t>
  </si>
  <si>
    <t>CroydonThe Guinness Partnership Limited</t>
  </si>
  <si>
    <t>CroydonThe Riverside Group Limited</t>
  </si>
  <si>
    <t>CroydonWandle Housing Association Limited</t>
  </si>
  <si>
    <t>DacorumAnchor Hanover Group</t>
  </si>
  <si>
    <t>DacorumClarion Housing Association Limited</t>
  </si>
  <si>
    <t>DacorumCo-operative Development Society Limited</t>
  </si>
  <si>
    <t>DacorumEnglish Rural Housing Association Limited</t>
  </si>
  <si>
    <t>DacorumFirst Priority Housing Association Limited</t>
  </si>
  <si>
    <t>DacorumGrand Union Housing Group Limited</t>
  </si>
  <si>
    <t>DacorumHastoe Housing Association Limited</t>
  </si>
  <si>
    <t>DacorumHightown Housing Association Limited</t>
  </si>
  <si>
    <t>DacorumJewish Community Housing Association Limited</t>
  </si>
  <si>
    <t>DacorumLondon &amp; Quadrant Housing Trust</t>
  </si>
  <si>
    <t>DacorumMetropolitan Housing Trust Limited</t>
  </si>
  <si>
    <t>DacorumNotting Hill Genesis</t>
  </si>
  <si>
    <t>DacorumNotting Hill Home Ownership Limited</t>
  </si>
  <si>
    <t>DacorumParadigm Homes Charitable Housing Association Limited</t>
  </si>
  <si>
    <t>DacorumReside Housing Association Limited</t>
  </si>
  <si>
    <t>DacorumSanctuary Housing Association</t>
  </si>
  <si>
    <t>DacorumThe Abbeyfield (Berkhamsted &amp; Hemel Hempstead) Society Limited</t>
  </si>
  <si>
    <t>DacorumThe Abbeyfield Kings Langley Society Limited</t>
  </si>
  <si>
    <t>DacorumThrive Homes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</si>
  <si>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</si>
  <si>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</si>
  <si>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</si>
  <si>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</si>
  <si>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</si>
  <si>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</si>
  <si>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DarlingtonBernicia Group</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</si>
  <si>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</si>
  <si>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</si>
  <si>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</si>
  <si>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</si>
  <si>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</si>
  <si>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</si>
  <si>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DarlingtonHellens Residential Limited</t>
  </si>
  <si>
    <t>DarlingtonHeylo Housing Registered Provider Limited</t>
  </si>
  <si>
    <t>DarlingtonHome Group Limited</t>
  </si>
  <si>
    <t>DarlingtonHousing 21</t>
  </si>
  <si>
    <t>DarlingtonHumankind Charity</t>
  </si>
  <si>
    <t>DarlingtonKarbon Homes Limited</t>
  </si>
  <si>
    <t>DarlingtonLivin Housing Limited</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</si>
  <si>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</si>
  <si>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</si>
  <si>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</si>
  <si>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</si>
  <si>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</si>
  <si>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</si>
  <si>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</si>
  <si>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</si>
  <si>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DarlingtonThirteen Housing Group Limited</t>
  </si>
  <si>
    <t>DartfordAdvance Housing and Support Limited</t>
  </si>
  <si>
    <t>DartfordClarion Housing Association Limited</t>
  </si>
  <si>
    <t>DartfordCo-operative Development Society Limited</t>
  </si>
  <si>
    <t>DartfordDarent Housing Co-operative Limited</t>
  </si>
  <si>
    <t>DartfordDartford Almshouse Charity</t>
  </si>
  <si>
    <t>DartfordGolding Homes Limited</t>
  </si>
  <si>
    <t>DartfordGravesend Churches Housing Association Limited</t>
  </si>
  <si>
    <t>DartfordHome Group Limited</t>
  </si>
  <si>
    <t>DartfordHyde Housing Association Limited</t>
  </si>
  <si>
    <t>DartfordLondon &amp; Quadrant Housing Trust</t>
  </si>
  <si>
    <t>DartfordMoat Homes Limited</t>
  </si>
  <si>
    <t>DartfordOrbit Group Limited</t>
  </si>
  <si>
    <t>DartfordPlaces for People Homes Limited</t>
  </si>
  <si>
    <t>DartfordReside Housing Association Limited</t>
  </si>
  <si>
    <t>DartfordSalvation Army Housing Association</t>
  </si>
  <si>
    <t>DartfordThe Riverside Group Limited</t>
  </si>
  <si>
    <t>DartfordTown and Country Housing</t>
  </si>
  <si>
    <t>DartfordWest Kent Housing Association</t>
  </si>
  <si>
    <t>DartfordYMCA Thames Gateway</t>
  </si>
  <si>
    <t>DerbyAction Housing and Support Limited</t>
  </si>
  <si>
    <t>DerbyAnchor Hanover Group</t>
  </si>
  <si>
    <t>DerbyCreative Support Limited</t>
  </si>
  <si>
    <t>DerbyDerby Homes Limited</t>
  </si>
  <si>
    <t>DerbyDimensions (UK) Limited</t>
  </si>
  <si>
    <t>DerbyEMH Housing and Regeneration Limited</t>
  </si>
  <si>
    <t>DerbyFirst Priority Housing Association Limited</t>
  </si>
  <si>
    <t>DerbyFutures Homescape Limited</t>
  </si>
  <si>
    <t>DerbyHeylo Housing Registered Provider Limited</t>
  </si>
  <si>
    <t>DerbyHome Group Limited</t>
  </si>
  <si>
    <t>DerbyHousing 21</t>
  </si>
  <si>
    <t>DerbyInclusion Housing Community Interest Company</t>
  </si>
  <si>
    <t>DerbyLonghurst Group Limited</t>
  </si>
  <si>
    <t>DerbyMetropolitan Housing Trust Limited</t>
  </si>
  <si>
    <t>DerbyNACRO</t>
  </si>
  <si>
    <t>DerbyNottingham Community Housing Association Limited</t>
  </si>
  <si>
    <t>DerbyP3 Housing Limited</t>
  </si>
  <si>
    <t>DerbyPlaces for People Homes Limited</t>
  </si>
  <si>
    <t>DerbyRetail Trust</t>
  </si>
  <si>
    <t>DerbySalvation Army Housing Association</t>
  </si>
  <si>
    <t>DerbySanctuary Housing Association</t>
  </si>
  <si>
    <t>DerbyStonewater Limited</t>
  </si>
  <si>
    <t>DerbyThe Guinness Partnership Limited</t>
  </si>
  <si>
    <t>DerbyThe Riverside Group Limited</t>
  </si>
  <si>
    <t>DerbyTuntum Housing Association Limited</t>
  </si>
  <si>
    <t>DerbyYMCA Derbyshire</t>
  </si>
  <si>
    <t>Derbyshire DalesAshbourne Almshouse Charity</t>
  </si>
  <si>
    <t>Derbyshire DalesEMH Housing and Regeneration Limited</t>
  </si>
  <si>
    <t>Derbyshire DalesFutures Homescape Limited</t>
  </si>
  <si>
    <t>Derbyshire DalesHeylo Housing Registered Provider Limited</t>
  </si>
  <si>
    <t>Derbyshire DalesHousing 21</t>
  </si>
  <si>
    <t>Derbyshire DalesJohn Higgs Almshouses</t>
  </si>
  <si>
    <t>Derbyshire DalesMetropolitan Housing Trust Limited</t>
  </si>
  <si>
    <t>Derbyshire DalesNottingham Community Housing Association Limited</t>
  </si>
  <si>
    <t>Derbyshire DalesPeak District Rural Housing Association Limited</t>
  </si>
  <si>
    <t>Derbyshire DalesPlatform Housing Limited</t>
  </si>
  <si>
    <t>Derbyshire DalesSir Robert Coke's Almshouses</t>
  </si>
  <si>
    <t>Derbyshire DalesSouth Yorkshire Housing Association Limited</t>
  </si>
  <si>
    <t>Derbyshire DalesThe Guinness Partnership Limited</t>
  </si>
  <si>
    <t>DoncasterAcis Group Limited</t>
  </si>
  <si>
    <t>DoncasterAction Housing and Support Limited</t>
  </si>
  <si>
    <t>DoncasterAdvance Housing and Support Limited</t>
  </si>
  <si>
    <t>DoncasterAlliance Housing Association (South Yorkshire) Limited</t>
  </si>
  <si>
    <t>DoncasterAnchor Hanover Group</t>
  </si>
  <si>
    <t>DoncasterCooke Almshouse Charity</t>
  </si>
  <si>
    <t>DoncasterDoncaster Young Men's Christian Association</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</si>
  <si>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</si>
  <si>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</si>
  <si>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</si>
  <si>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</si>
  <si>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</si>
  <si>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</si>
  <si>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</si>
  <si>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Doncaster'Johnnie' Johnson Housing Trust Limited</t>
  </si>
  <si>
    <t>DoncasterOngo Homes Limited</t>
  </si>
  <si>
    <t>DoncasterPartners Foundation Limited</t>
  </si>
  <si>
    <t>DoncasterPlaces for People Homes Limited</t>
  </si>
  <si>
    <t>DoncasterProgress Housing Association Limited</t>
  </si>
  <si>
    <t>DoncasterRailway Housing Association and Benefit Fund</t>
  </si>
  <si>
    <t>DoncasterSalvation Army Housing Association</t>
  </si>
  <si>
    <t>DoncasterSanctuary Affordable Housing Limited</t>
  </si>
  <si>
    <t>DoncasterSanctuary Housing Association</t>
  </si>
  <si>
    <t>DoncasterSouth Yorkshire Housing Association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</si>
  <si>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</si>
  <si>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</si>
  <si>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</si>
  <si>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</si>
  <si>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</si>
  <si>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DoncasterYorkshire Housing Limited</t>
  </si>
  <si>
    <t>DorsetAbbeyfield Wessex Society Limited</t>
  </si>
  <si>
    <t>DorsetAdvance Housing and Support Limited</t>
  </si>
  <si>
    <t>DorsetAnchor Hanover Group</t>
  </si>
  <si>
    <t>DorsetAster 3 Limited</t>
  </si>
  <si>
    <t>DorsetAster Communities</t>
  </si>
  <si>
    <t>DorsetBournemouth Churches Housing Association Limited</t>
  </si>
  <si>
    <t>DorsetChrysalis Supported Association Limited</t>
  </si>
  <si>
    <t>DorsetEast Boro Housing Trust Limited</t>
  </si>
  <si>
    <t>DorsetEmpower Housing Association Limited</t>
  </si>
  <si>
    <t>DorsetFirst Priority Housing Association Limited</t>
  </si>
  <si>
    <t>DorsetFrontis Homes Limited</t>
  </si>
  <si>
    <t>DorsetHastoe Housing Association Limited</t>
  </si>
  <si>
    <t>DorsetHeylo Housing Registered Provider Limited</t>
  </si>
  <si>
    <t>DorsetHilldale Housing Association Limited</t>
  </si>
  <si>
    <t>DorsetHousing 21</t>
  </si>
  <si>
    <t>DorsetLiveWest Homes Limited</t>
  </si>
  <si>
    <t>DorsetMagna Housing Limited</t>
  </si>
  <si>
    <t>DorsetMoat Homes Limited</t>
  </si>
  <si>
    <t>DorsetParasol Homes Limited</t>
  </si>
  <si>
    <t>DorsetPlaces for People Homes Limited</t>
  </si>
  <si>
    <t>DorsetReside Housing Association Limited</t>
  </si>
  <si>
    <t>DorsetSanctuary Housing Association</t>
  </si>
  <si>
    <t>DorsetSandbourne Housing Association</t>
  </si>
  <si>
    <t>DorsetSovereign Housing Association Limited</t>
  </si>
  <si>
    <t>DorsetStonewater (5) Limited</t>
  </si>
  <si>
    <t>DorsetStonewater Limited</t>
  </si>
  <si>
    <t>DorsetSturts Community Trust</t>
  </si>
  <si>
    <t>DorsetSynergy Housing Limited</t>
  </si>
  <si>
    <t>DorsetTeachers' Housing Association Limited</t>
  </si>
  <si>
    <t>DorsetThe Abbeyfield (Weymouth) Society Limited</t>
  </si>
  <si>
    <t>DorsetThe Abbeyfield Society</t>
  </si>
  <si>
    <t>DorsetThe Guinness Partnership Limited</t>
  </si>
  <si>
    <t>DorsetThe Margaret Jane Ashley Almshouse Charity</t>
  </si>
  <si>
    <t>DorsetThe Swaythling Housing Society Limited</t>
  </si>
  <si>
    <t>DorsetTregonwell Almshouse Trust</t>
  </si>
  <si>
    <t>DorsetWestmoreland Supported Housing Limited</t>
  </si>
  <si>
    <t>DoverAdvance Housing and Support Limited</t>
  </si>
  <si>
    <t>DoverAnchor Hanover Group</t>
  </si>
  <si>
    <t>DoverEnglish Rural Housing Association Limited</t>
  </si>
  <si>
    <t>DoverHilldale Housing Association Limited</t>
  </si>
  <si>
    <t>DoverHome Group Limited</t>
  </si>
  <si>
    <t>DoverHousing 21</t>
  </si>
  <si>
    <t>DoverMilldale Housing Co-operative Limited</t>
  </si>
  <si>
    <t>DoverMoat Homes Limited</t>
  </si>
  <si>
    <t>DoverOrbit Group Limited</t>
  </si>
  <si>
    <t>DoverPlaces for People Homes Limited</t>
  </si>
  <si>
    <t>DoverPlaces for People Living+ Limited</t>
  </si>
  <si>
    <t>DoverReside Housing Association Limited</t>
  </si>
  <si>
    <t>DoverSanctuary Affordable Housing Limited</t>
  </si>
  <si>
    <t>DoverSanctuary Housing Association</t>
  </si>
  <si>
    <t>DoverThe Riverside Group Limited</t>
  </si>
  <si>
    <t>DoverTown and Country Housing</t>
  </si>
  <si>
    <t>DoverWest Kent Housing Association</t>
  </si>
  <si>
    <t>DudleyAdvance Housing and Support Limited</t>
  </si>
  <si>
    <t>DudleyAnchor Hanover Group</t>
  </si>
  <si>
    <t>DudleyBlack Country Housing Group Limited</t>
  </si>
  <si>
    <t>Dudleybpha Limited</t>
  </si>
  <si>
    <t>DudleyBromford Housing Association Limited</t>
  </si>
  <si>
    <t>DudleyCitizen Housing Group Limited</t>
  </si>
  <si>
    <t>DudleyClarion Housing Association Limited</t>
  </si>
  <si>
    <t>DudleyHeylo Housing Registered Provider Limited</t>
  </si>
  <si>
    <t>DudleyHome Group Limited</t>
  </si>
  <si>
    <t>DudleyHousing 21</t>
  </si>
  <si>
    <t>DudleyInclusion Housing Community Interest Company</t>
  </si>
  <si>
    <t>DudleyMidland Heart Limited</t>
  </si>
  <si>
    <t>DudleyNehemiah United Churches Housing Association Limited</t>
  </si>
  <si>
    <t>DudleyPlatform Housing Limited</t>
  </si>
  <si>
    <t>DudleyRooftop Housing Association Limited</t>
  </si>
  <si>
    <t>DudleySanctuary Housing Association</t>
  </si>
  <si>
    <t>DudleyWalsall Housing Group Limited</t>
  </si>
  <si>
    <t>EalingA2Dominion Homes Limited</t>
  </si>
  <si>
    <t>EalingA2Dominion South Limited</t>
  </si>
  <si>
    <t>EalingAnchor Hanover Group</t>
  </si>
  <si>
    <t>EalingBirnbeck Housing Association Limited</t>
  </si>
  <si>
    <t>EalingBlue Square Residential Ltd</t>
  </si>
  <si>
    <t>EalingCentral and Cecil Housing Trust</t>
  </si>
  <si>
    <t>EalingCentrepoint Soho</t>
  </si>
  <si>
    <t>EalingChrysalis Supported Association Limited</t>
  </si>
  <si>
    <t>EalingClarion Housing Association Limited</t>
  </si>
  <si>
    <t>EalingCo-op Homes (South) Limited</t>
  </si>
  <si>
    <t>EalingFirst Wave Housing Limited</t>
  </si>
  <si>
    <t>EalingHabinteg Housing Association Limited</t>
  </si>
  <si>
    <t>EalingHendon Christian Housing Association Limited</t>
  </si>
  <si>
    <t>EalingHilldale Housing Association Limited</t>
  </si>
  <si>
    <t>EalingHome Group Limited</t>
  </si>
  <si>
    <t>EalingHousing For Women</t>
  </si>
  <si>
    <t>EalingHousing Pathways Trust</t>
  </si>
  <si>
    <t>EalingInclusion Housing Community Interest Company</t>
  </si>
  <si>
    <t>EalingInnisfree Housing Association Limited</t>
  </si>
  <si>
    <t>EalingLondon &amp; Quadrant Housing Trust</t>
  </si>
  <si>
    <t>EalingLook Ahead Care and Support Limited</t>
  </si>
  <si>
    <t>EalingMetropolitan Housing Trust Limited</t>
  </si>
  <si>
    <t>EalingMoat Homes Limited</t>
  </si>
  <si>
    <t>EalingNew Foundations Housing Association Limited</t>
  </si>
  <si>
    <t>EalingNotting Hill Genesis</t>
  </si>
  <si>
    <t>EalingNotting Hill Home Ownership Limited</t>
  </si>
  <si>
    <t>EalingOctavia Housing</t>
  </si>
  <si>
    <t>EalingOmega Housing Limited</t>
  </si>
  <si>
    <t>EalingOrigin Housing Limited</t>
  </si>
  <si>
    <t>EalingParagon Asra Housing Limited</t>
  </si>
  <si>
    <t>EalingPeabody Trust</t>
  </si>
  <si>
    <t>EalingPlaces for People Homes Limited</t>
  </si>
  <si>
    <t>EalingSanctuary Housing Association</t>
  </si>
  <si>
    <t>EalingShepherds Bush Housing Association Limited</t>
  </si>
  <si>
    <t>EalingSt Christopher's Fellowship</t>
  </si>
  <si>
    <t>EalingSt Mungo Community Housing Association</t>
  </si>
  <si>
    <t>EalingStonewater Limited</t>
  </si>
  <si>
    <t>EalingThe Abbeyfield London Polish Society Limited</t>
  </si>
  <si>
    <t>EalingThe Guinness Partnership Limited</t>
  </si>
  <si>
    <t>EalingWandle Housing Association Limited</t>
  </si>
  <si>
    <t>EalingWater Tower Housing Co-operative Limited</t>
  </si>
  <si>
    <t>EalingWestlon Housing Association Limited</t>
  </si>
  <si>
    <t>EalingWestway Housing Association Limited</t>
  </si>
  <si>
    <t>EalingWomen's Pioneer Housing Limited</t>
  </si>
  <si>
    <t>East Cambridgeshirebpha Limited</t>
  </si>
  <si>
    <t>East CambridgeshireClarion Housing Association Limited</t>
  </si>
  <si>
    <t>East CambridgeshireEmpower Housing Association Limited</t>
  </si>
  <si>
    <t>East CambridgeshireFlagship Housing Group Limited</t>
  </si>
  <si>
    <t>East CambridgeshireFutures Homescape Limited</t>
  </si>
  <si>
    <t>East CambridgeshireHastoe Housing Association Limited</t>
  </si>
  <si>
    <t>East CambridgeshireHeylo Housing Registered Provider Limited</t>
  </si>
  <si>
    <t>East CambridgeshireHundred Houses Society Limited</t>
  </si>
  <si>
    <t>East CambridgeshireLonghurst Group Limited</t>
  </si>
  <si>
    <t>East CambridgeshireMetropolitan Housing Trust Limited</t>
  </si>
  <si>
    <t>East CambridgeshireMuir Group Housing Association Limited</t>
  </si>
  <si>
    <t>East CambridgeshireOrbit Group Limited</t>
  </si>
  <si>
    <t>East CambridgeshireProgress Housing Association Limited</t>
  </si>
  <si>
    <t>East CambridgeshireSaffron Housing Trust Limited</t>
  </si>
  <si>
    <t>East CambridgeshireSanctuary Affordable Housing Limited</t>
  </si>
  <si>
    <t>East CambridgeshireSanctuary Housing Association</t>
  </si>
  <si>
    <t>East CambridgeshireSovereign Housing Association Limited</t>
  </si>
  <si>
    <t>East CambridgeshireThe Cambridge Housing Society Limited</t>
  </si>
  <si>
    <t>East CambridgeshireThe Havebury Housing Partnership</t>
  </si>
  <si>
    <t>East CambridgeshireThe Papworth Trust</t>
  </si>
  <si>
    <t>East DevonAdvance Housing and Support Limited</t>
  </si>
  <si>
    <t>East DevonAster Communities</t>
  </si>
  <si>
    <t>East DevonBeer Community Land Trust Limited</t>
  </si>
  <si>
    <t>East DevonCornerstone Housing Limited</t>
  </si>
  <si>
    <t>East DevonEnglish Rural Housing Association Limited</t>
  </si>
  <si>
    <t>East DevonHastoe Housing Association Limited</t>
  </si>
  <si>
    <t>East DevonHeylo Housing Registered Provider Limited</t>
  </si>
  <si>
    <t>East DevonHousing 21</t>
  </si>
  <si>
    <t>East DevonInclusion Housing Community Interest Company</t>
  </si>
  <si>
    <t>East DevonLiveWest Homes Limited</t>
  </si>
  <si>
    <t>East DevonProgress Housing Association Limited</t>
  </si>
  <si>
    <t>East DevonSalvation Army Housing Association</t>
  </si>
  <si>
    <t>East DevonSanctuary Affordable Housing Limited</t>
  </si>
  <si>
    <t>East DevonSanctuary Housing Association</t>
  </si>
  <si>
    <t>East DevonSovereign Housing Association Limited</t>
  </si>
  <si>
    <t>East DevonStonewater Limited</t>
  </si>
  <si>
    <t>East DevonSynergy Housing Limited</t>
  </si>
  <si>
    <t>East DevonThe Bampfylde Almshouse Charity</t>
  </si>
  <si>
    <t>East DevonThe Guinness Partnership Limited</t>
  </si>
  <si>
    <t>East DevonTrinity Housing Association Limited</t>
  </si>
  <si>
    <t>East DevonWestward Housing Group Limited</t>
  </si>
  <si>
    <t>East HampshireA2Dominion South Limited</t>
  </si>
  <si>
    <t>East HampshireAbility Housing Association</t>
  </si>
  <si>
    <t>East HampshireAdvance Housing and Support Limited</t>
  </si>
  <si>
    <t>East HampshireAnchor Hanover Group</t>
  </si>
  <si>
    <t>East HampshireAster Communities</t>
  </si>
  <si>
    <t>East HampshireClarion Housing Association Limited</t>
  </si>
  <si>
    <t>East HampshireHome Group Limited</t>
  </si>
  <si>
    <t>East HampshireLondon &amp; Quadrant Housing Trust</t>
  </si>
  <si>
    <t>East HampshireMetropolitan Housing Trust Limited</t>
  </si>
  <si>
    <t>East HampshireMoat Homes Limited</t>
  </si>
  <si>
    <t>East HampshirePlaces for People Homes Limited</t>
  </si>
  <si>
    <t>East HampshireReside Housing Association Limited</t>
  </si>
  <si>
    <t>East HampshireSanctuary Housing Association</t>
  </si>
  <si>
    <t>East HampshireSilva Homes Limited</t>
  </si>
  <si>
    <t>East HampshireSovereign Housing Association Limited</t>
  </si>
  <si>
    <t>East HampshireSynergy Housing Limited</t>
  </si>
  <si>
    <t>East HampshireThe Guinness Partnership Limited</t>
  </si>
  <si>
    <t>East HampshireThe Swaythling Housing Society Limited</t>
  </si>
  <si>
    <t>East HampshireVivid Housing Limited</t>
  </si>
  <si>
    <t>East HertfordshireB3 Living Limited</t>
  </si>
  <si>
    <t>East HertfordshireBraughing Housing Association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</si>
  <si>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</si>
  <si>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</si>
  <si>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</si>
  <si>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</si>
  <si>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</si>
  <si>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</si>
  <si>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</si>
  <si>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</si>
  <si>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HertfordshireLegal &amp; General Affordable Homes Limited</t>
  </si>
  <si>
    <t>East HertfordshireLondon &amp; Quadrant Housing Trust</t>
  </si>
  <si>
    <t>East HertfordshireMetropolitan Housing Trust Limited</t>
  </si>
  <si>
    <t>East HertfordshireNotting Hill Genesis</t>
  </si>
  <si>
    <t>East HertfordshireNotting Hill Home Ownership Limited</t>
  </si>
  <si>
    <t>East HertfordshireOne YMCA</t>
  </si>
  <si>
    <t>East HertfordshireOrbit Group Limited</t>
  </si>
  <si>
    <t>East HertfordshireOrigin Housing Limited</t>
  </si>
  <si>
    <t>East HertfordshireParadigm Homes Charitable Housing Association Limited</t>
  </si>
  <si>
    <t>East HertfordshirePlaces for People Homes Limited</t>
  </si>
  <si>
    <t>East HertfordshireSanctuary Housing Association</t>
  </si>
  <si>
    <t>East HertfordshireThe Papworth Trust</t>
  </si>
  <si>
    <t>East HertfordshireThrive Homes Limited</t>
  </si>
  <si>
    <t>East LindseyAcis Group Limited</t>
  </si>
  <si>
    <t>East LindseyAdvance Housing and Support Limited</t>
  </si>
  <si>
    <t>East LindseyAnchor Hanover Group</t>
  </si>
  <si>
    <t>East LindseyDimensions (UK) Limited</t>
  </si>
  <si>
    <t>East LindseyEMH Housing and Regeneration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</si>
  <si>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</si>
  <si>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</si>
  <si>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</si>
  <si>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</si>
  <si>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</si>
  <si>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LindseyLonghurst Group Limited</t>
  </si>
  <si>
    <t>East LindseyNottingham Community Housing Association Limited</t>
  </si>
  <si>
    <t>East LindseyPlatform Housing Limited</t>
  </si>
  <si>
    <t>East LindseyProgress Housing Association Limited</t>
  </si>
  <si>
    <t>East LindseySalvation Army Housing Association</t>
  </si>
  <si>
    <t>East LindseySanctuary Housing Association</t>
  </si>
  <si>
    <t>East Riding of YorkshireAccent Housing Limited</t>
  </si>
  <si>
    <t>East Riding of YorkshireAnchor Hanover Group</t>
  </si>
  <si>
    <t>East Riding of YorkshireArpeggio Properties Limited</t>
  </si>
  <si>
    <t>East Riding of YorkshireBeyond Housing Limited</t>
  </si>
  <si>
    <t>East Riding of YorkshireBroadacres Housing Association Limited</t>
  </si>
  <si>
    <t>East Riding of YorkshireDimensions (UK) Limited</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</si>
  <si>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</si>
  <si>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</si>
  <si>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</si>
  <si>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</si>
  <si>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</si>
  <si>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</si>
  <si>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YorkshireJoseph Rowntree Housing Trust</t>
  </si>
  <si>
    <t>East Riding of YorkshireKarbon Homes Limited</t>
  </si>
  <si>
    <t>East Riding of YorkshirePickering and Ferens Homes</t>
  </si>
  <si>
    <t>East Riding of YorkshirePlaces for People Homes Limited</t>
  </si>
  <si>
    <t>East Riding of YorkshirePlaces for People Living+ Limited</t>
  </si>
  <si>
    <t>East Riding of YorkshireRailway Housing Association and Benefit Fund</t>
  </si>
  <si>
    <t>East Riding of YorkshireReside Housing Association Limited</t>
  </si>
  <si>
    <t>East Riding of YorkshireSanctuary Affordable Housing Limited</t>
  </si>
  <si>
    <t>East Riding of YorkshireSanctuary Housing Association</t>
  </si>
  <si>
    <t>East Riding of YorkshireSt Andrew Housing Co-operative Limited</t>
  </si>
  <si>
    <t>East Riding of YorkshireThe Abbeyfield Society</t>
  </si>
  <si>
    <t>East Riding of YorkshireThe Riverside Group Limited</t>
  </si>
  <si>
    <t>East Riding of YorkshireTogether Housing Association Limited</t>
  </si>
  <si>
    <t>East Riding of YorkshireWakefield And District Housing Limited</t>
  </si>
  <si>
    <t>East Riding of YorkshireWestmoreland Supported Housing Limited</t>
  </si>
  <si>
    <t>East Riding of YorkshireYorkshire Housing Limited</t>
  </si>
  <si>
    <t>East StaffordshireAdvance Housing and Support Limited</t>
  </si>
  <si>
    <t>East StaffordshireAnchor Hanover Group</t>
  </si>
  <si>
    <t>East StaffordshireAspire Housing Limited</t>
  </si>
  <si>
    <t>East StaffordshireChrysalis Supported Association Limited</t>
  </si>
  <si>
    <t>East StaffordshireEMH Housing and Regeneration Limited</t>
  </si>
  <si>
    <t>East StaffordshireHeylo Housing Registered Provider Limited</t>
  </si>
  <si>
    <t>East StaffordshireHousing 21</t>
  </si>
  <si>
    <t>East StaffordshireMetropolitan Housing Trust Limited</t>
  </si>
  <si>
    <t>East StaffordshireMidland Heart Limited</t>
  </si>
  <si>
    <t>East StaffordshirePlatform Housing Limited</t>
  </si>
  <si>
    <t>East StaffordshireSanctuary Housing Association</t>
  </si>
  <si>
    <t>East StaffordshireThe Riverside Group Limited</t>
  </si>
  <si>
    <t>East StaffordshireTrent &amp; Dove Housing Limited</t>
  </si>
  <si>
    <t>East SuffolkAnchor Hanover Group</t>
  </si>
  <si>
    <t>East SuffolkAsett Homes Ltd</t>
  </si>
  <si>
    <t>East SuffolkBroadland Housing Association Limited</t>
  </si>
  <si>
    <t>East SuffolkClarion Housing Association Limited</t>
  </si>
  <si>
    <t>East SuffolkEnglish Rural Housing Association Limited</t>
  </si>
  <si>
    <t>East SuffolkFlagship Housing Group Limited</t>
  </si>
  <si>
    <t>East SuffolkHastoe Housing Association Limited</t>
  </si>
  <si>
    <t>East SuffolkHome Group Limited</t>
  </si>
  <si>
    <t>East SuffolkHousing 21</t>
  </si>
  <si>
    <t>East SuffolkOrbit Group Limited</t>
  </si>
  <si>
    <t>East SuffolkOrwell Housing Association Limited</t>
  </si>
  <si>
    <t>East SuffolkPeal Community Housing Limited</t>
  </si>
  <si>
    <t>East SuffolkPlaces for People Homes Limited</t>
  </si>
  <si>
    <t>East SuffolkProgress Housing Association Limited</t>
  </si>
  <si>
    <t>East SuffolkSaffron Housing Trust Limited</t>
  </si>
  <si>
    <t>East SuffolkSanctuary Affordable Housing Limited</t>
  </si>
  <si>
    <t>East SuffolkSanctuary Housing Association</t>
  </si>
  <si>
    <t>East SuffolkThe Abbeyfield Society</t>
  </si>
  <si>
    <t>East SuffolkThe Havebury Housing Partnership</t>
  </si>
  <si>
    <t>East SuffolkThe Papworth Trust</t>
  </si>
  <si>
    <t>EastbourneA2Dominion Homes Limited</t>
  </si>
  <si>
    <t>EastbourneAbbeyfield South Downs Limited</t>
  </si>
  <si>
    <t>EastbourneAnchor Hanover Group</t>
  </si>
  <si>
    <t>EastbourneArpeggio Properties Limited</t>
  </si>
  <si>
    <t>EastbourneClarion Housing Association Limited</t>
  </si>
  <si>
    <t>EastbourneFirst Priority Housing Association Limited</t>
  </si>
  <si>
    <t>EastbourneHastoe Housing Association Limited</t>
  </si>
  <si>
    <t>EastbourneHome Group Limited</t>
  </si>
  <si>
    <t>EastbourneHousing 21</t>
  </si>
  <si>
    <t>EastbourneMoat Homes Limited</t>
  </si>
  <si>
    <t>EastbourneOrbit Group Limited</t>
  </si>
  <si>
    <t>EastbournePlaces for People Homes Limited</t>
  </si>
  <si>
    <t>EastbourneSalvation Army Housing Association</t>
  </si>
  <si>
    <t>EastbourneSanctuary Housing Association</t>
  </si>
  <si>
    <t>EastbourneSaxon Weald</t>
  </si>
  <si>
    <t>EastbourneSouthdown Housing Association Limited</t>
  </si>
  <si>
    <t>EastbourneStonewater (5) Limited</t>
  </si>
  <si>
    <t>EastbourneStonewater Limited</t>
  </si>
  <si>
    <t>EastbourneTown and Country Housing</t>
  </si>
  <si>
    <t>EastbourneYMCA Downslink Group</t>
  </si>
  <si>
    <t>EastleighA2Dominion South Limited</t>
  </si>
  <si>
    <t>EastleighAdvance Housing and Support Limited</t>
  </si>
  <si>
    <t>EastleighAnchor Hanover Group</t>
  </si>
  <si>
    <t>EastleighAster Communities</t>
  </si>
  <si>
    <t>EastleighClarion Housing Association Limited</t>
  </si>
  <si>
    <t>EastleighCollins Memorial Trust</t>
  </si>
  <si>
    <t>EastleighHeylo Housing Registered Provider Limited</t>
  </si>
  <si>
    <t>EastleighHome Group Limited</t>
  </si>
  <si>
    <t>EastleighHousing 21</t>
  </si>
  <si>
    <t>EastleighHyde Housing Association Limited</t>
  </si>
  <si>
    <t>EastleighNotting Hill Home Ownership Limited</t>
  </si>
  <si>
    <t>EastleighParasol Homes Limited</t>
  </si>
  <si>
    <t>EastleighPlaces for People Homes Limited</t>
  </si>
  <si>
    <t>EastleighReside Housing Association Limited</t>
  </si>
  <si>
    <t>EastleighSaxon Weald</t>
  </si>
  <si>
    <t>EastleighSovereign Housing Association Limited</t>
  </si>
  <si>
    <t>EastleighStonewater Limited</t>
  </si>
  <si>
    <t>EastleighSynergy Housing Limited</t>
  </si>
  <si>
    <t>EastleighThe Swaythling Housing Society Limited</t>
  </si>
  <si>
    <t>EastleighTwo Saints Limited</t>
  </si>
  <si>
    <t>EastleighVivid Housing Limited</t>
  </si>
  <si>
    <t>ElmbridgeA2Dominion South Limited</t>
  </si>
  <si>
    <t>ElmbridgeAdvance Housing and Support Limited</t>
  </si>
  <si>
    <t>ElmbridgeHastoe Housing Association Limited</t>
  </si>
  <si>
    <t>ElmbridgeHeylo Housing Registered Provider Limited</t>
  </si>
  <si>
    <t>ElmbridgeLondon &amp; Quadrant Housing Trust</t>
  </si>
  <si>
    <t>ElmbridgeMetropolitan Housing Trust Limited</t>
  </si>
  <si>
    <t>ElmbridgeMount Green Housing Association Limited</t>
  </si>
  <si>
    <t>ElmbridgeParagon Asra Housing Limited</t>
  </si>
  <si>
    <t>ElmbridgeReside Housing Association Limited</t>
  </si>
  <si>
    <t>ElmbridgeSanctuary Affordable Housing Limited</t>
  </si>
  <si>
    <t>ElmbridgeThames Ditton Homes Limited</t>
  </si>
  <si>
    <t>ElmbridgeThe Sons of Divine Providence</t>
  </si>
  <si>
    <t>ElmbridgeTransform Housing &amp; Support</t>
  </si>
  <si>
    <t>ElmbridgeWalton-on-Thames Charity</t>
  </si>
  <si>
    <t>ElmbridgeWestmoreland Supported Housing Limited</t>
  </si>
  <si>
    <t>EnfieldA2Dominion Homes Limited</t>
  </si>
  <si>
    <t>EnfieldAnchor Hanover Group</t>
  </si>
  <si>
    <t>EnfieldArhag Housing Association Limited</t>
  </si>
  <si>
    <t>EnfieldBlue Square Residential Ltd</t>
  </si>
  <si>
    <t>EnfieldChristian Action (Enfield) Housing Association Limited</t>
  </si>
  <si>
    <t>EnfieldClarion Housing Association Limited</t>
  </si>
  <si>
    <t>EnfieldDovepark Properties Limited</t>
  </si>
  <si>
    <t>EnfieldHabinteg Housing Association Limited</t>
  </si>
  <si>
    <t>EnfieldHilldale Housing Association Limited</t>
  </si>
  <si>
    <t>EnfieldHome Group Limited</t>
  </si>
  <si>
    <t>EnfieldHousing 21</t>
  </si>
  <si>
    <t>EnfieldInclusion Housing Community Interest Company</t>
  </si>
  <si>
    <t>EnfieldInnisfree Housing Association Limited</t>
  </si>
  <si>
    <t>EnfieldLocal Space</t>
  </si>
  <si>
    <t>EnfieldLondon &amp; Quadrant Housing Trust</t>
  </si>
  <si>
    <t>EnfieldMetropolitan Housing Trust Limited</t>
  </si>
  <si>
    <t>EnfieldMoat Homes Limited</t>
  </si>
  <si>
    <t>EnfieldNewlon Housing Trust</t>
  </si>
  <si>
    <t>EnfieldNorth London Muslim Housing Association Limited</t>
  </si>
  <si>
    <t>EnfieldNotting Hill Genesis</t>
  </si>
  <si>
    <t>EnfieldNotting Hill Home Ownership Limited</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</si>
  <si>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</si>
  <si>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</si>
  <si>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</si>
  <si>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</si>
  <si>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</si>
  <si>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</si>
  <si>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</si>
  <si>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EnfieldSanctuary Housing Association</t>
  </si>
  <si>
    <t>EnfieldShepherds Bush Housing Association Limited</t>
  </si>
  <si>
    <t>EnfieldSt Mungo Community Housing Association</t>
  </si>
  <si>
    <t>EnfieldStroud Green Housing Co-operative Limited</t>
  </si>
  <si>
    <t>EnfieldTamil Community Housing Association Limited</t>
  </si>
  <si>
    <t>EnfieldThe Riverside Group Limited</t>
  </si>
  <si>
    <t>EnfieldThe Skinners'  Almshouse Charity</t>
  </si>
  <si>
    <t>EnfieldWestway Housing Association Limited</t>
  </si>
  <si>
    <t>Epping ForestAbility Housing Association</t>
  </si>
  <si>
    <t>Epping ForestAnchor Hanover Group</t>
  </si>
  <si>
    <t>Epping ForestB3 Living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</si>
  <si>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</si>
  <si>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</si>
  <si>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</si>
  <si>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</si>
  <si>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</si>
  <si>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</si>
  <si>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</si>
  <si>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</si>
  <si>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</si>
  <si>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ForestOrbit Group Limited</t>
  </si>
  <si>
    <t>Epping ForestPlaces for People Homes Limited</t>
  </si>
  <si>
    <t>Epping ForestSaffron Housing Trust Limited</t>
  </si>
  <si>
    <t>Epping ForestSanctuary Housing Association</t>
  </si>
  <si>
    <t>Epping ForestSwan Housing Association Limited</t>
  </si>
  <si>
    <t>Epping ForestThe Baker's Benevolent Society</t>
  </si>
  <si>
    <t>Epping ForestThe Papworth Trust</t>
  </si>
  <si>
    <t>Epping ForestThe Riverside Group Limited</t>
  </si>
  <si>
    <t>Epsom and EwellAbbeyfield Southern Oaks</t>
  </si>
  <si>
    <t>Epsom and EwellAdvance Housing and Support Limited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</si>
  <si>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</si>
  <si>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</si>
  <si>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</si>
  <si>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</si>
  <si>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</si>
  <si>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</si>
  <si>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EwellMetropolitan Housing Trust Limited</t>
  </si>
  <si>
    <t>Epsom and EwellMount Green Housing Association Limited</t>
  </si>
  <si>
    <t>Epsom and EwellNotting Hill Home Ownership Limited</t>
  </si>
  <si>
    <t>Epsom and EwellOrbit Group Limited</t>
  </si>
  <si>
    <t>Epsom and EwellParagon Asra Housing Limited</t>
  </si>
  <si>
    <t>Epsom and EwellRaven Housing Trust Limited</t>
  </si>
  <si>
    <t>Epsom and EwellSanctuary Affordable Housing Limited</t>
  </si>
  <si>
    <t>Epsom and EwellShepherds Bush Housing Association Limited</t>
  </si>
  <si>
    <t>Epsom and EwellThe Grange Centre for People with Disabilities</t>
  </si>
  <si>
    <t>Epsom and EwellThe Riverside Group Limited</t>
  </si>
  <si>
    <t>Epsom and EwellTransform Housing &amp; Support</t>
  </si>
  <si>
    <t>Epsom and EwellWandle Housing Association Limited</t>
  </si>
  <si>
    <t>Epsom and EwellWestmoreland Supported Housing Limited</t>
  </si>
  <si>
    <t>ErewashEMH Housing and Regeneration Limited</t>
  </si>
  <si>
    <t>ErewashFramework Housing Association</t>
  </si>
  <si>
    <t>ErewashFutures Homescape Limited</t>
  </si>
  <si>
    <t>ErewashFutures Homeway Limited</t>
  </si>
  <si>
    <t>ErewashLonghurst Group Limited</t>
  </si>
  <si>
    <t>ErewashMetropolitan Housing Trust Limited</t>
  </si>
  <si>
    <t>ErewashMidland Heart Limited</t>
  </si>
  <si>
    <t>ErewashNottingham Community Housing Association Limited</t>
  </si>
  <si>
    <t>ErewashP3 Housing Limited</t>
  </si>
  <si>
    <t>ErewashPlaces for People Homes Limited</t>
  </si>
  <si>
    <t>ErewashPlatform Housing Limited</t>
  </si>
  <si>
    <t>ErewashSalvation Army Housing Association</t>
  </si>
  <si>
    <t>ErewashThe Guinness Partnership Limited</t>
  </si>
  <si>
    <t>ErewashThe Riverside Group Limited</t>
  </si>
  <si>
    <t>ErewashTrident Housing Association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</si>
  <si>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</si>
  <si>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</si>
  <si>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</si>
  <si>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</si>
  <si>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</si>
  <si>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</si>
  <si>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</si>
  <si>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</si>
  <si>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ExeterFirst Priority Housing Association Limited</t>
  </si>
  <si>
    <t>ExeterHome Group Limited</t>
  </si>
  <si>
    <t>ExeterInclusion Housing Community Interest Company</t>
  </si>
  <si>
    <t>ExeterLiveWest Homes Limited</t>
  </si>
  <si>
    <t>ExeterLondon &amp; Quadrant Housing Trust</t>
  </si>
  <si>
    <t>ExeterMagna Housing Limited</t>
  </si>
  <si>
    <t>ExeterMoat Homes Limited</t>
  </si>
  <si>
    <t>ExeterPlaces for People Homes Limited</t>
  </si>
  <si>
    <t>ExeterProgress Housing Association Limited</t>
  </si>
  <si>
    <t>ExeterSalvation Army Housing Association</t>
  </si>
  <si>
    <t>ExeterSanctuary Housing Association</t>
  </si>
  <si>
    <t>ExeterSovereign Housing Association Limited</t>
  </si>
  <si>
    <t>ExeterStonewater Limited</t>
  </si>
  <si>
    <t>ExeterSynergy Housing Limited</t>
  </si>
  <si>
    <t>ExeterTeign Housing</t>
  </si>
  <si>
    <t>ExeterThe Guinness Partnership Limited</t>
  </si>
  <si>
    <t>ExeterWestward Housing Group Limited</t>
  </si>
  <si>
    <t>FarehamA2Dominion South Limited</t>
  </si>
  <si>
    <t>FarehamAdvance Housing and Support Limited</t>
  </si>
  <si>
    <t>FarehamAnchor Hanover Group</t>
  </si>
  <si>
    <t>FarehamAster Communities</t>
  </si>
  <si>
    <t>FarehamBournemouth Churches Housing Association Limited</t>
  </si>
  <si>
    <t>FarehamClarion Housing Association Limited</t>
  </si>
  <si>
    <t>FarehamHeylo Housing Registered Provider Limited</t>
  </si>
  <si>
    <t>FarehamHilldale Housing Association Limited</t>
  </si>
  <si>
    <t>FarehamHome Group Limited</t>
  </si>
  <si>
    <t>FarehamHyde Housing Association Limited</t>
  </si>
  <si>
    <t>FarehamMartlet Homes Limited</t>
  </si>
  <si>
    <t>FarehamMoat Homes Limited</t>
  </si>
  <si>
    <t>FarehamOrigin Housing Limited</t>
  </si>
  <si>
    <t>FarehamPlaces for People Homes Limited</t>
  </si>
  <si>
    <t>FarehamPortsmouth Rotary Housing Association Limited</t>
  </si>
  <si>
    <t>FarehamProgress Housing Association Limited</t>
  </si>
  <si>
    <t>FarehamSanctuary Housing Association</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</si>
  <si>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</si>
  <si>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</si>
  <si>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</si>
  <si>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</si>
  <si>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</si>
  <si>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</si>
  <si>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</si>
  <si>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</si>
  <si>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FenlandAnchor Hanover Group</t>
  </si>
  <si>
    <t>Fenlandbpha Limited</t>
  </si>
  <si>
    <t>FenlandChrysalis Supported Association Limited</t>
  </si>
  <si>
    <t>FenlandClarion Housing Association Limited</t>
  </si>
  <si>
    <t>FenlandCross Keys Homes Limited</t>
  </si>
  <si>
    <t>FenlandFirst Priority Housing Association Limited</t>
  </si>
  <si>
    <t>FenlandFlagship Housing Group Limited</t>
  </si>
  <si>
    <t>FenlandFunding Affordable Homes Housing Association Limited</t>
  </si>
  <si>
    <t>FenlandHome Group Limited</t>
  </si>
  <si>
    <t>FenlandHousing 21</t>
  </si>
  <si>
    <t>FenlandHundred Houses Society Limited</t>
  </si>
  <si>
    <t>FenlandInclusion Housing Community Interest Company</t>
  </si>
  <si>
    <t>FenlandLonghurst Group Limited</t>
  </si>
  <si>
    <t>FenlandMetropolitan Housing Trust Limited</t>
  </si>
  <si>
    <t>FenlandMuir Group Housing Association Limited</t>
  </si>
  <si>
    <t>FenlandPlaces for People Homes Limited</t>
  </si>
  <si>
    <t>FenlandPlaces for People Living+ Limited</t>
  </si>
  <si>
    <t>FenlandReside Housing Association Limited</t>
  </si>
  <si>
    <t>FenlandSaffron Housing Trust Limited</t>
  </si>
  <si>
    <t>FenlandSanctuary Affordable Housing Limited</t>
  </si>
  <si>
    <t>FenlandSanctuary Housing Association</t>
  </si>
  <si>
    <t>FenlandThe Cambridge Housing Society Limited</t>
  </si>
  <si>
    <t>FenlandThe Papworth Trust</t>
  </si>
  <si>
    <t>FenlandWisbech Charities</t>
  </si>
  <si>
    <t>Folkestone and HytheAnchor Hanover Group</t>
  </si>
  <si>
    <t>Folkestone and HytheBlenheim Housing Co-operative Limited</t>
  </si>
  <si>
    <t>Folkestone and HytheCo-operative Development Society Limited</t>
  </si>
  <si>
    <t>Folkestone and HytheEnglish Rural Housing Association Limited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</si>
  <si>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</si>
  <si>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</si>
  <si>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</si>
  <si>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</si>
  <si>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</si>
  <si>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</si>
  <si>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HytheLook Ahead Care and Support Limited</t>
  </si>
  <si>
    <t>Folkestone and HytheMethodist Homes Housing Association Limited</t>
  </si>
  <si>
    <t>Folkestone and HytheMoat Farm Housing Co-operative Limited</t>
  </si>
  <si>
    <t>Folkestone and HytheMoat Homes Limited</t>
  </si>
  <si>
    <t>Folkestone and HytheOrbit Group Limited</t>
  </si>
  <si>
    <t>Folkestone and HythePlaces for People Homes Limited</t>
  </si>
  <si>
    <t>Folkestone and HytheReside Housing Association Limited</t>
  </si>
  <si>
    <t>Folkestone and HytheSalvation Army Housing Association</t>
  </si>
  <si>
    <t>Folkestone and HytheSanctuary Affordable Housing Limited</t>
  </si>
  <si>
    <t>Folkestone and HytheSanctuary Housing Association</t>
  </si>
  <si>
    <t>Folkestone and HytheShepherds Bush Housing Association Limited</t>
  </si>
  <si>
    <t>Folkestone and HytheShorncliffe Housing Co-operative Limited</t>
  </si>
  <si>
    <t>Folkestone and HytheThe Riverside Group Limited</t>
  </si>
  <si>
    <t>Folkestone and HytheTown and Country Housing</t>
  </si>
  <si>
    <t>Folkestone and HytheTrinity Housing Association Limited</t>
  </si>
  <si>
    <t>Forest of DeanAdvance Housing and Support Limited</t>
  </si>
  <si>
    <t>Forest of DeanAnchor Hanover Group</t>
  </si>
  <si>
    <t>Forest of DeanBromford Housing Association Limited</t>
  </si>
  <si>
    <t>Forest of DeanCitizen Housing Group Limited</t>
  </si>
  <si>
    <t>Forest of DeanHeylo Housing Registered Provider Limited</t>
  </si>
  <si>
    <t>Forest of DeanHousing 21</t>
  </si>
  <si>
    <t>Forest of DeanLiveWest Homes Limited</t>
  </si>
  <si>
    <t>Forest of DeanMerlin Housing Society Limited</t>
  </si>
  <si>
    <t>Forest of DeanRooftop Housing Association Limited</t>
  </si>
  <si>
    <t>Forest of DeanSanctuary Housing Association</t>
  </si>
  <si>
    <t>Forest of DeanSovereign Housing Association Limited</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</si>
  <si>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</si>
  <si>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</si>
  <si>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</si>
  <si>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</si>
  <si>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</si>
  <si>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</si>
  <si>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FyldeArpeggio Properties Limited</t>
  </si>
  <si>
    <t>FyldeAuxesia Homes Limited</t>
  </si>
  <si>
    <t>FyldeCare Housing Association Limited</t>
  </si>
  <si>
    <t>FyldeCommunity Gateway Association Limited</t>
  </si>
  <si>
    <t>FyldeEmpower Housing Association Limited</t>
  </si>
  <si>
    <t>FyldeForHousing Limited</t>
  </si>
  <si>
    <t>FyldeGreat Places Housing Association</t>
  </si>
  <si>
    <t>FyldeHeylo Housing Registered Provider Limited</t>
  </si>
  <si>
    <t>FyldeMuir Group Housing Association Limited</t>
  </si>
  <si>
    <t>FyldeParasol Homes Limited</t>
  </si>
  <si>
    <t>FyldePlaces for People Homes Limited</t>
  </si>
  <si>
    <t>FyldePlaces for People Living+ Limited</t>
  </si>
  <si>
    <t>FyldeProgress Housing Association Limited</t>
  </si>
  <si>
    <t>FyldeRegenda Limited</t>
  </si>
  <si>
    <t>FyldeThe Guinness Partnership Limited</t>
  </si>
  <si>
    <t>FyldeYour Housing Limited</t>
  </si>
  <si>
    <t>GatesheadAccent Housing Limited</t>
  </si>
  <si>
    <t>GatesheadAdler Housing</t>
  </si>
  <si>
    <t>GatesheadAnchor Hanover Group</t>
  </si>
  <si>
    <t>GatesheadBernicia Group</t>
  </si>
  <si>
    <t>GatesheadCastles &amp; Coasts Housing Association Limited</t>
  </si>
  <si>
    <t>GatesheadDurham Aged Mineworkers' Homes Association</t>
  </si>
  <si>
    <t>GatesheadHome Group Limited</t>
  </si>
  <si>
    <t>GatesheadHousing 21</t>
  </si>
  <si>
    <t>GatesheadInclusion Housing Community Interest Company</t>
  </si>
  <si>
    <t>Gateshead'Johnnie' Johnson Housing Trust Limited</t>
  </si>
  <si>
    <t>GatesheadKarbon Homes Limited</t>
  </si>
  <si>
    <t>GatesheadKeelman Homes Limited</t>
  </si>
  <si>
    <t>GatesheadPlaces for People Homes Limited</t>
  </si>
  <si>
    <t>GatesheadPlaces for People Living+ Limited</t>
  </si>
  <si>
    <t>GatesheadRailway Housing Association and Benefit Fund</t>
  </si>
  <si>
    <t>GatesheadTCUK Homes Limited</t>
  </si>
  <si>
    <t>GatesheadThe Richmond Fellowship</t>
  </si>
  <si>
    <t>GatesheadThe Riverside Group Limited</t>
  </si>
  <si>
    <t>GatesheadThirteen Housing Group Limited</t>
  </si>
  <si>
    <t>GatesheadTyne Housing Association Limited</t>
  </si>
  <si>
    <t>GedlingAccent Housing Limited</t>
  </si>
  <si>
    <t>GedlingAcis Group Limited</t>
  </si>
  <si>
    <t>GedlingAdvance Housing and Support Limited</t>
  </si>
  <si>
    <t>GedlingAnchor Hanover Group</t>
  </si>
  <si>
    <t>GedlingEMH Housing and Regeneration Limited</t>
  </si>
  <si>
    <t>GedlingEmpower Housing Association Limited</t>
  </si>
  <si>
    <t>GedlingFramework Housing Association</t>
  </si>
  <si>
    <t>GedlingHome Group Limited</t>
  </si>
  <si>
    <t>GedlingHousing 21</t>
  </si>
  <si>
    <t>GedlingInclusion Housing Community Interest Company</t>
  </si>
  <si>
    <t>GedlingJigsaw Homes Midlands</t>
  </si>
  <si>
    <t>GedlingLonghurst Group Limited</t>
  </si>
  <si>
    <t>GedlingMetropolitan Housing Trust Limited</t>
  </si>
  <si>
    <t>GedlingNottingham Community Housing Association Limited</t>
  </si>
  <si>
    <t>GedlingParagon Asra Housing Limited</t>
  </si>
  <si>
    <t>GedlingPlaces for People Homes Limited</t>
  </si>
  <si>
    <t>GedlingPlatform Housing Limited</t>
  </si>
  <si>
    <t>GedlingProgress Housing Association Limited</t>
  </si>
  <si>
    <t>GedlingThe Guinness Partnership Limited</t>
  </si>
  <si>
    <t>GedlingTuntum Housing Association Limited</t>
  </si>
  <si>
    <t>GloucesterAdvance Housing and Support Limited</t>
  </si>
  <si>
    <t>GloucesterAnchor Hanover Group</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</si>
  <si>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</si>
  <si>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</si>
  <si>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</si>
  <si>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</si>
  <si>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</si>
  <si>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GloucesterFirst Priority Housing Association Limited</t>
  </si>
  <si>
    <t>GloucesterGloucester City Homes Limited</t>
  </si>
  <si>
    <t>GloucesterGuinness Housing Association Limited</t>
  </si>
  <si>
    <t>GloucesterHeylo Housing Registered Provider Limited</t>
  </si>
  <si>
    <t>GloucesterHome Group Limited</t>
  </si>
  <si>
    <t>GloucesterHousing 21</t>
  </si>
  <si>
    <t>GloucesterInclusion Housing Community Interest Company</t>
  </si>
  <si>
    <t>GloucesterLiveWest Homes Limited</t>
  </si>
  <si>
    <t>GloucesterMerlin Housing Society Limited</t>
  </si>
  <si>
    <t>GloucesterMoat Homes Limited</t>
  </si>
  <si>
    <t>GloucesterPlaces for People Homes Limited</t>
  </si>
  <si>
    <t>GloucesterPlaces for People Living+ Limited</t>
  </si>
  <si>
    <t>GloucesterPlatform Housing Limited</t>
  </si>
  <si>
    <t>GloucesterRooftop Housing Association Limited</t>
  </si>
  <si>
    <t>GloucesterSovereign Housing Association Limited</t>
  </si>
  <si>
    <t>GloucesterThe Abbeyfield Society</t>
  </si>
  <si>
    <t>GloucesterThe Gloucester Charities Trust</t>
  </si>
  <si>
    <t>GloucesterThe Guinness Partnership Limited</t>
  </si>
  <si>
    <t>GloucesterThe Riverside Group Limited</t>
  </si>
  <si>
    <t>GloucesterTrinity Housing Association Limited</t>
  </si>
  <si>
    <t>GloucesterTwo Rivers Housing</t>
  </si>
  <si>
    <t>GloucesterWestmoreland Supported Housing Limited</t>
  </si>
  <si>
    <t>GosportAdvance Housing and Support Limited</t>
  </si>
  <si>
    <t>GosportAgamemnon Housing Association Limited</t>
  </si>
  <si>
    <t>GosportAnchor Hanover Group</t>
  </si>
  <si>
    <t>GosportHome Group Limited</t>
  </si>
  <si>
    <t>GosportMartlet Homes Limited</t>
  </si>
  <si>
    <t>GosportMoat Homes Limited</t>
  </si>
  <si>
    <t>GosportPlaces for People Homes Limited</t>
  </si>
  <si>
    <t>GosportProgress Housing Association Limited</t>
  </si>
  <si>
    <t>GosportReside Housing Association Limited</t>
  </si>
  <si>
    <t>GosportSanctuary Housing Association</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</si>
  <si>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</si>
  <si>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</si>
  <si>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</si>
  <si>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</si>
  <si>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</si>
  <si>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</si>
  <si>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</si>
  <si>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</si>
  <si>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</si>
  <si>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</si>
  <si>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GraveshamGravesend Churches Housing Association Limited</t>
  </si>
  <si>
    <t>GraveshamHeylo Housing Registered Provider Limited</t>
  </si>
  <si>
    <t>GraveshamHyde Housing Association Limited</t>
  </si>
  <si>
    <t>GraveshamLondon &amp; Quadrant Housing Trust</t>
  </si>
  <si>
    <t>GraveshamMoat Homes Limited</t>
  </si>
  <si>
    <t>GraveshamOrbit Group Limited</t>
  </si>
  <si>
    <t>GraveshamPlaces for People Homes Limited</t>
  </si>
  <si>
    <t>GraveshamPlaces for People Living+ Limited</t>
  </si>
  <si>
    <t>GraveshamSanctuary Affordable Housing Limited</t>
  </si>
  <si>
    <t>GraveshamTown and Country Housing</t>
  </si>
  <si>
    <t>GraveshamWest Kent Housing Association</t>
  </si>
  <si>
    <t>Great YarmouthAnchor Hanover Group</t>
  </si>
  <si>
    <t>Great YarmouthBroadland Housing Association Limited</t>
  </si>
  <si>
    <t>Great YarmouthClarion Housing Association Limited</t>
  </si>
  <si>
    <t>Great YarmouthEMH Housing and Regeneration Limited</t>
  </si>
  <si>
    <t>Great YarmouthFlagship Housing Group Limited</t>
  </si>
  <si>
    <t>Great YarmouthHousing 21</t>
  </si>
  <si>
    <t>Great YarmouthOrbit Group Limited</t>
  </si>
  <si>
    <t>Great YarmouthOrwell Housing Association Limited</t>
  </si>
  <si>
    <t>Great YarmouthPlaces for People Homes Limited</t>
  </si>
  <si>
    <t>Great YarmouthProgress Housing Association Limited</t>
  </si>
  <si>
    <t>Great YarmouthSaffron Housing Trust Limited</t>
  </si>
  <si>
    <t>Great YarmouthSanctuary Affordable Housing Limited</t>
  </si>
  <si>
    <t>Great YarmouthThe Abbeyfield Society</t>
  </si>
  <si>
    <t>Great YarmouthThe Fishermen's Hospital</t>
  </si>
  <si>
    <t>Great YarmouthYMCA Norfolk</t>
  </si>
  <si>
    <t>GreenwichA2Dominion Homes Limited</t>
  </si>
  <si>
    <t>GreenwichAnchor Hanover Group</t>
  </si>
  <si>
    <t>GreenwichCentrepoint Soho</t>
  </si>
  <si>
    <t>GreenwichChanging Lives Housing Trust</t>
  </si>
  <si>
    <t>GreenwichCharlton Triangle Homes Limited</t>
  </si>
  <si>
    <t>GreenwichChisel Limited</t>
  </si>
  <si>
    <t>GreenwichEkaya Housing Association Limited</t>
  </si>
  <si>
    <t>GreenwichGreenwich Housing Society Limited</t>
  </si>
  <si>
    <t>GreenwichHabinteg Housing Association Limited</t>
  </si>
  <si>
    <t>GreenwichHexagon Housing Association Limited</t>
  </si>
  <si>
    <t>GreenwichHome Group Limited</t>
  </si>
  <si>
    <t>GreenwichHousing For Women</t>
  </si>
  <si>
    <t>GreenwichHyde Housing Association Limited</t>
  </si>
  <si>
    <t>GreenwichLangley House Trust</t>
  </si>
  <si>
    <t>GreenwichLocal Space</t>
  </si>
  <si>
    <t>GreenwichLondon &amp; Quadrant Housing Trust</t>
  </si>
  <si>
    <t>GreenwichMoat Homes Limited</t>
  </si>
  <si>
    <t>GreenwichNew World Housing Association Limited</t>
  </si>
  <si>
    <t>GreenwichNotting Hill Genesis</t>
  </si>
  <si>
    <t>GreenwichNotting Hill Home Ownership Limited</t>
  </si>
  <si>
    <t>GreenwichOrbit Group Limited</t>
  </si>
  <si>
    <t>GreenwichParagon Asra Housing Limited</t>
  </si>
  <si>
    <t>GreenwichParasol Homes Limited</t>
  </si>
  <si>
    <t>GreenwichPeabody Trust</t>
  </si>
  <si>
    <t>GreenwichPenn and Widow Smith Almshouses</t>
  </si>
  <si>
    <t>GreenwichReside Housing Association Limited</t>
  </si>
  <si>
    <t>GreenwichSanctuary Housing Association</t>
  </si>
  <si>
    <t>GreenwichShepherds Bush Housing Association Limited</t>
  </si>
  <si>
    <t>GreenwichTamil Community Housing Association Limited</t>
  </si>
  <si>
    <t>GreenwichThe Drapers' Almshouse Charity</t>
  </si>
  <si>
    <t>GreenwichThe Riverside Group Limited</t>
  </si>
  <si>
    <t>GreenwichWestmoreland Supported Housing Limited</t>
  </si>
  <si>
    <t>GuildfordA2Dominion South Limited</t>
  </si>
  <si>
    <t>GuildfordAbbeyfield Wey Valley Society Limited</t>
  </si>
  <si>
    <t>GuildfordAdvance Housing and Support Limited</t>
  </si>
  <si>
    <t>GuildfordBarnwood Housing Co-operative Limited</t>
  </si>
  <si>
    <t>GuildfordClarion Housing Association Limited</t>
  </si>
  <si>
    <t>GuildfordEnglish Rural Housing Association Limited</t>
  </si>
  <si>
    <t>GuildfordGreenoak Housing Association Limited</t>
  </si>
  <si>
    <t>GuildfordGuildford Sunset Homes</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</si>
  <si>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</si>
  <si>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</si>
  <si>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</si>
  <si>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</si>
  <si>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</si>
  <si>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</si>
  <si>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GuildfordSalvation Army Housing Association</t>
  </si>
  <si>
    <t>GuildfordShepherds Bush Housing Association Limited</t>
  </si>
  <si>
    <t>GuildfordSovereign Housing Association Limited</t>
  </si>
  <si>
    <t>GuildfordStonewater Limited</t>
  </si>
  <si>
    <t>GuildfordThe Abbeyfield Pirbright and District Society Ltd</t>
  </si>
  <si>
    <t>GuildfordThe Riverside Group Limited</t>
  </si>
  <si>
    <t>GuildfordThe Swaythling Housing Society Limited</t>
  </si>
  <si>
    <t>GuildfordTransform Housing &amp; Support</t>
  </si>
  <si>
    <t>GuildfordVivid Housing Limited</t>
  </si>
  <si>
    <t>GuildfordWestmoreland Supported Housing Limited</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</si>
  <si>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</si>
  <si>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</si>
  <si>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</si>
  <si>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</si>
  <si>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</si>
  <si>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</si>
  <si>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HackneyCentral and Cecil Housing Trust</t>
  </si>
  <si>
    <t>HackneyCentrepoint Soho</t>
  </si>
  <si>
    <t>HackneyClarion Housing Association Limited</t>
  </si>
  <si>
    <t>HackneyClissold Housing Co-operative Limited</t>
  </si>
  <si>
    <t>HackneyEverbrook Housing Co-operative Limited</t>
  </si>
  <si>
    <t>HackneyGateway Housing Association Limited</t>
  </si>
  <si>
    <t>HackneyHabinteg Housing Association Limited</t>
  </si>
  <si>
    <t>HackneyHackney Housing Co-operative Limited</t>
  </si>
  <si>
    <t>HackneyHackney Parish Almshouses Charity</t>
  </si>
  <si>
    <t>HackneyHyelm</t>
  </si>
  <si>
    <t>HackneyIslington and Shoreditch Housing Association Limited</t>
  </si>
  <si>
    <t>HackneyKarin Housing Association Limited</t>
  </si>
  <si>
    <t>HackneyLocal Space</t>
  </si>
  <si>
    <t>HackneyLondon &amp; Quadrant Housing Trust</t>
  </si>
  <si>
    <t>HackneyMetropolitan Housing Trust Limited</t>
  </si>
  <si>
    <t>HackneyNACRO</t>
  </si>
  <si>
    <t>HackneyNewlon Housing Trust</t>
  </si>
  <si>
    <t>HackneyNorth London Muslim Housing Association Limited</t>
  </si>
  <si>
    <t>HackneyNotting Hill Genesis</t>
  </si>
  <si>
    <t>HackneyNotting Hill Home Ownership Limited</t>
  </si>
  <si>
    <t>HackneyOrigin Housing Limited</t>
  </si>
  <si>
    <t>HackneyParadigm Homes Charitable Housing Association Limited</t>
  </si>
  <si>
    <t>HackneyPeabody Trust</t>
  </si>
  <si>
    <t>HackneyPeter Bedford Housing Association Limited</t>
  </si>
  <si>
    <t>HackneyPhoenix Community Housing Co-operative Limited</t>
  </si>
  <si>
    <t>HackneyPlaces for People Homes Limited</t>
  </si>
  <si>
    <t>HackneyPlaces for People Living+ Limited</t>
  </si>
  <si>
    <t>HackneyProvidence Row Housing Association</t>
  </si>
  <si>
    <t>HackneyQuadrant-Brownswood Tenant Co-operative Limited</t>
  </si>
  <si>
    <t>HackneySanctuary Affordable Housing Limited</t>
  </si>
  <si>
    <t>HackneySanctuary Housing Association</t>
  </si>
  <si>
    <t>HackneyShian Housing Association Limited</t>
  </si>
  <si>
    <t>HackneySouthern Home Ownership Limited</t>
  </si>
  <si>
    <t>HackneySt Mungo Community Housing Association</t>
  </si>
  <si>
    <t>HackneyTamil Community Housing Association Limited</t>
  </si>
  <si>
    <t>HackneyThe Guinness Partnership Limited</t>
  </si>
  <si>
    <t>HackneyThe Industrial Dwellings Society (1885) Limited</t>
  </si>
  <si>
    <t>HackneyThe West Hackney Almshouse Charity</t>
  </si>
  <si>
    <t>HaltonAnchor Hanover Group</t>
  </si>
  <si>
    <t>HaltonBlackburn YMCA</t>
  </si>
  <si>
    <t>HaltonCare Housing Association Limited</t>
  </si>
  <si>
    <t>HaltonClarion Housing Association Limited</t>
  </si>
  <si>
    <t>HaltonCreative Support Limited</t>
  </si>
  <si>
    <t>HaltonHalton Housing</t>
  </si>
  <si>
    <t>HaltonHeylo Housing Registered Provider Limited</t>
  </si>
  <si>
    <t>HaltonHousing 21</t>
  </si>
  <si>
    <t>HaltonInclusion Housing Community Interest Company</t>
  </si>
  <si>
    <t>HaltonLivv Housing Group</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</si>
  <si>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</si>
  <si>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</si>
  <si>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</si>
  <si>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</si>
  <si>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</si>
  <si>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</si>
  <si>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Riverside Group Limited</t>
  </si>
  <si>
    <t>HaltonYour Housing Limited</t>
  </si>
  <si>
    <t>Hammersmith and FulhamA2Dominion Homes Limited</t>
  </si>
  <si>
    <t>Hammersmith and FulhamAnchor Hanover Group</t>
  </si>
  <si>
    <t>Hammersmith and FulhamArhag Housing Association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</si>
  <si>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</si>
  <si>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</si>
  <si>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</si>
  <si>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</si>
  <si>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</si>
  <si>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FulhamHabinteg Housing Association Limited</t>
  </si>
  <si>
    <t>Hammersmith and FulhamHammersmith United Charities</t>
  </si>
  <si>
    <t>Hammersmith and FulhamHarrison Housing</t>
  </si>
  <si>
    <t>Hammersmith and FulhamHome Group Limited</t>
  </si>
  <si>
    <t>Hammersmith and FulhamInnisfree Housing Association Limited</t>
  </si>
  <si>
    <t>Hammersmith and FulhamLondon &amp; Quadrant Housing Trust</t>
  </si>
  <si>
    <t>Hammersmith and FulhamLook Ahead Care and Support Limited</t>
  </si>
  <si>
    <t>Hammersmith and FulhamMetropolitan Housing Trust Limited</t>
  </si>
  <si>
    <t>Hammersmith and FulhamNotting Hill Genesis</t>
  </si>
  <si>
    <t>Hammersmith and FulhamNotting Hill Home Ownership Limited</t>
  </si>
  <si>
    <t>Hammersmith and FulhamOctavia Housing</t>
  </si>
  <si>
    <t>Hammersmith and FulhamParagon Asra Housing Limited</t>
  </si>
  <si>
    <t>Hammersmith and FulhamPeabody Trust</t>
  </si>
  <si>
    <t>Hammersmith and FulhamPlaces for People Homes Limited</t>
  </si>
  <si>
    <t>Hammersmith and FulhamSalvation Army Housing Association</t>
  </si>
  <si>
    <t>Hammersmith and FulhamShepherds Bush Housing Association Limited</t>
  </si>
  <si>
    <t>Hammersmith and FulhamSt Mungo Community Housing Association</t>
  </si>
  <si>
    <t>Hammersmith and FulhamThames Valley Housing Association Limited</t>
  </si>
  <si>
    <t>Hammersmith and FulhamThe Guinness Partnership Limited</t>
  </si>
  <si>
    <t>Hammersmith and FulhamWestway Housing Association Limited</t>
  </si>
  <si>
    <t>Hammersmith and FulhamWomen's Pioneer Housing Limited</t>
  </si>
  <si>
    <t>Hammersmith and FulhamYMCA St Paul's Group</t>
  </si>
  <si>
    <t>HarboroughAdvance Housing and Support Limited</t>
  </si>
  <si>
    <t>Harboroughbpha Limited</t>
  </si>
  <si>
    <t>HarboroughDimensions (UK) Limited</t>
  </si>
  <si>
    <t>HarboroughEMH Housing and Regeneration Limited</t>
  </si>
  <si>
    <t>HarboroughFramework Housing Association</t>
  </si>
  <si>
    <t>HarboroughHeylo Housing Registered Provider Limited</t>
  </si>
  <si>
    <t>HarboroughLiveWest Homes Limited</t>
  </si>
  <si>
    <t>HarboroughLonghurst Group Limited</t>
  </si>
  <si>
    <t>HarboroughMidland Heart Limited</t>
  </si>
  <si>
    <t>HarboroughNottingham Community Housing Association Limited</t>
  </si>
  <si>
    <t>HarboroughParagon Asra Housing Limited</t>
  </si>
  <si>
    <t>HarboroughPlatform Housing Limited</t>
  </si>
  <si>
    <t>HarboroughThe Guinness Partnership Limited</t>
  </si>
  <si>
    <t>HarboroughThe Riverside Group Limited</t>
  </si>
  <si>
    <t>HarboroughTrinity Housing Association Limited</t>
  </si>
  <si>
    <t>HaringeyAgudas Israel Housing Association Limited</t>
  </si>
  <si>
    <t>HaringeyAnchor Hanover Group</t>
  </si>
  <si>
    <t>HaringeyArhag Housing Association Limited</t>
  </si>
  <si>
    <t>HaringeyCentral and Cecil Housing Trust</t>
  </si>
  <si>
    <t>HaringeyChristian Action (Enfield) Housing Association Limited</t>
  </si>
  <si>
    <t>HaringeyClarion Housing Association Limited</t>
  </si>
  <si>
    <t>HaringeyCo-op Homes (South) Limited</t>
  </si>
  <si>
    <t>HaringeyHabinteg Housing Association Limited</t>
  </si>
  <si>
    <t>HaringeyHill Homes</t>
  </si>
  <si>
    <t>HaringeyHome Group Limited</t>
  </si>
  <si>
    <t>HaringeyHornsey Housing Trust Limited</t>
  </si>
  <si>
    <t>HaringeyInnisfree Housing Association Limited</t>
  </si>
  <si>
    <t>HaringeyIslington and Shoreditch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</si>
  <si>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</si>
  <si>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</si>
  <si>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</si>
  <si>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</si>
  <si>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</si>
  <si>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</si>
  <si>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HaringeyNew Swift Housing Co-operative Limited</t>
  </si>
  <si>
    <t>HaringeyNewlon Housing Trust</t>
  </si>
  <si>
    <t>HaringeyNotting Hill Genesis</t>
  </si>
  <si>
    <t>HaringeyNotting Hill Home Ownership Limited</t>
  </si>
  <si>
    <t>HaringeyOrigin Housing Limited</t>
  </si>
  <si>
    <t>HaringeyParagon Asra Housing Limited</t>
  </si>
  <si>
    <t>HaringeyParasol Homes Limited</t>
  </si>
  <si>
    <t>HaringeyPeabody Trust</t>
  </si>
  <si>
    <t>HaringeyPlaces for People Homes Limited</t>
  </si>
  <si>
    <t>HaringeyPlaces for People Living+ Limited</t>
  </si>
  <si>
    <t>HaringeyQuadrant-Brownswood Tenant Co-operative Limited</t>
  </si>
  <si>
    <t>HaringeyReside Housing Association Limited</t>
  </si>
  <si>
    <t>HaringeySanctuary Affordable Housing Limited</t>
  </si>
  <si>
    <t>HaringeySanctuary Housing Association</t>
  </si>
  <si>
    <t>HaringeyShian Housing Association Limited</t>
  </si>
  <si>
    <t>HaringeySt Mungo Community Housing Association</t>
  </si>
  <si>
    <t>HaringeyStroud Green Housing Co-operative Limited</t>
  </si>
  <si>
    <t>HaringeyTamil Community Housing Association Limited</t>
  </si>
  <si>
    <t>HaringeyTeachers' Housing Association Limited</t>
  </si>
  <si>
    <t>HaringeyThe Abbeyfield Society</t>
  </si>
  <si>
    <t>HaringeyThe Industrial Dwellings Society (1885) Limited</t>
  </si>
  <si>
    <t>HaringeyThe Riverside Group Limited</t>
  </si>
  <si>
    <t>HaringeyWollaston and Pauncefort Almshouse Charity</t>
  </si>
  <si>
    <t>HaringeyWoodside Housing Co-operative Limited</t>
  </si>
  <si>
    <t>HarlowAnchor Hanover Group</t>
  </si>
  <si>
    <t>HarlowB3 Living Limited</t>
  </si>
  <si>
    <t>HarlowChelmer Housing Partnership Limited</t>
  </si>
  <si>
    <t>HarlowClarion Housing Association Limited</t>
  </si>
  <si>
    <t>HarlowEstuary Housing Association Limited</t>
  </si>
  <si>
    <t>HarlowHarlow Poors Charities</t>
  </si>
  <si>
    <t>HarlowHome Group Limited</t>
  </si>
  <si>
    <t>HarlowLondon &amp; Quadrant Housing Trust</t>
  </si>
  <si>
    <t>HarlowMetropolitan Housing Trust Limited</t>
  </si>
  <si>
    <t>HarlowMoat Homes Limited</t>
  </si>
  <si>
    <t>HarlowMoat Housing Group Limited</t>
  </si>
  <si>
    <t>HarlowNACRO</t>
  </si>
  <si>
    <t>HarlowNotting Hill Genesis</t>
  </si>
  <si>
    <t>HarlowSanctuary Housing Association</t>
  </si>
  <si>
    <t>HarlowSwan Housing Association Limited</t>
  </si>
  <si>
    <t>HarlowThe Riverside Group Limited</t>
  </si>
  <si>
    <t>HarrowA2Dominion Homes Limited</t>
  </si>
  <si>
    <t>HarrowAnchor Hanover Group</t>
  </si>
  <si>
    <t>HarrowChrysalis Supported Association Limited</t>
  </si>
  <si>
    <t>HarrowClarion Housing Association Limited</t>
  </si>
  <si>
    <t>HarrowHeylo Housing Registered Provider Limited</t>
  </si>
  <si>
    <t>HarrowHome Group Limited</t>
  </si>
  <si>
    <t>HarrowHyde Housing Association Limited</t>
  </si>
  <si>
    <t>HarrowInnisfree Housing Association Limited</t>
  </si>
  <si>
    <t>HarrowJewish Community Housing Association Limited</t>
  </si>
  <si>
    <t>HarrowLondon &amp; Quadrant Housing Trust</t>
  </si>
  <si>
    <t>HarrowMetropolitan Housing Trust Limited</t>
  </si>
  <si>
    <t>HarrowMoat Homes Limited</t>
  </si>
  <si>
    <t>HarrowNotting Hill Genesis</t>
  </si>
  <si>
    <t>HarrowNotting Hill Home Ownership Limited</t>
  </si>
  <si>
    <t>HarrowOctavia Housing</t>
  </si>
  <si>
    <t>HarrowOrigin Housing Limited</t>
  </si>
  <si>
    <t>HarrowParadigm Homes Charitable Housing Association Limited</t>
  </si>
  <si>
    <t>HarrowParagon Asra Housing Limited</t>
  </si>
  <si>
    <t>HarrowPeabody Trust</t>
  </si>
  <si>
    <t>HarrowPinner House Society Limited</t>
  </si>
  <si>
    <t>HarrowSalvation Army Housing Association</t>
  </si>
  <si>
    <t>HarrowSanctuary Housing Association</t>
  </si>
  <si>
    <t>HarrowShepherds Bush Housing Association Limited</t>
  </si>
  <si>
    <t>HarrowThe Guinness Partnership Limited</t>
  </si>
  <si>
    <t>HarrowWomen's Pioneer Housing Limited</t>
  </si>
  <si>
    <t>HartA2Dominion Homes Limited</t>
  </si>
  <si>
    <t>HartAccent Housing Limited</t>
  </si>
  <si>
    <t>HartAdvance Housing and Support Limited</t>
  </si>
  <si>
    <t>HartAnchor Hanover Group</t>
  </si>
  <si>
    <t>HartAster Communities</t>
  </si>
  <si>
    <t>HartClarion Housing Association Limited</t>
  </si>
  <si>
    <t>HartEnglish Rural Housing Association Limited</t>
  </si>
  <si>
    <t>HartHeylo Housing Registered Provider Limited</t>
  </si>
  <si>
    <t>HartHome Group Limited</t>
  </si>
  <si>
    <t>HartLondon &amp; Quadrant Housing Trust</t>
  </si>
  <si>
    <t>HartMetropolitan Housing Trust Limited</t>
  </si>
  <si>
    <t>HartMoat Homes Limited</t>
  </si>
  <si>
    <t>HartSilva Homes Limited</t>
  </si>
  <si>
    <t>HartSovereign Housing Association Limited</t>
  </si>
  <si>
    <t>HartSynergy Housing Limited</t>
  </si>
  <si>
    <t>HartThe Swaythling Housing Society Limited</t>
  </si>
  <si>
    <t>HartVivid Housing Limited</t>
  </si>
  <si>
    <t>HartlepoolAccent Housing Limited</t>
  </si>
  <si>
    <t>HartlepoolAnchor Hanover Group</t>
  </si>
  <si>
    <t>HartlepoolBernicia Group</t>
  </si>
  <si>
    <t>HartlepoolDimensions (UK) Limited</t>
  </si>
  <si>
    <t>HartlepoolHeylo Housing Registered Provider Limited</t>
  </si>
  <si>
    <t>HartlepoolHome Group Limited</t>
  </si>
  <si>
    <t>HartlepoolHousing 21</t>
  </si>
  <si>
    <t>HartlepoolJoseph Rowntree Housing Trust</t>
  </si>
  <si>
    <t>HartlepoolKarbon Homes Limited</t>
  </si>
  <si>
    <t>HartlepoolNACRO</t>
  </si>
  <si>
    <t>HartlepoolNorth Star Housing Group</t>
  </si>
  <si>
    <t>HartlepoolRailway Housing Association and Benefit Fund</t>
  </si>
  <si>
    <t>HartlepoolSanctuary Housing Association</t>
  </si>
  <si>
    <t>HartlepoolThirteen Housing Group Limited</t>
  </si>
  <si>
    <t>HastingsAbility Housing Association</t>
  </si>
  <si>
    <t>HastingsAnchor Hanover Group</t>
  </si>
  <si>
    <t>HastingsHome Group Limited</t>
  </si>
  <si>
    <t>HastingsHousing 21</t>
  </si>
  <si>
    <t>HastingsLocal Space</t>
  </si>
  <si>
    <t>HastingsOrbit Group Limited</t>
  </si>
  <si>
    <t>HastingsPlaces for People Homes Limited</t>
  </si>
  <si>
    <t>HastingsRadcliffe Housing Society Limited</t>
  </si>
  <si>
    <t>HastingsSalvation Army Housing Association</t>
  </si>
  <si>
    <t>HastingsSanctuary Housing Association</t>
  </si>
  <si>
    <t>HastingsSouthdown Housing Association Limited</t>
  </si>
  <si>
    <t>HastingsStonewater Limited</t>
  </si>
  <si>
    <t>HastingsYMCA Downslink Group</t>
  </si>
  <si>
    <t>HavantAbility Housing Association</t>
  </si>
  <si>
    <t>HavantAdvance Housing and Support Limited</t>
  </si>
  <si>
    <t>HavantAgamemnon Housing Association Limited</t>
  </si>
  <si>
    <t>HavantAster Communities</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</si>
  <si>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</si>
  <si>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</si>
  <si>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</si>
  <si>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</si>
  <si>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</si>
  <si>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</si>
  <si>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</si>
  <si>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HavantMoat Homes Limited</t>
  </si>
  <si>
    <t>HavantPlaces for People Homes Limited</t>
  </si>
  <si>
    <t>HavantProgress Housing Association Limited</t>
  </si>
  <si>
    <t>HavantReside Housing Association Limited</t>
  </si>
  <si>
    <t>HavantSanctuary Housing Association</t>
  </si>
  <si>
    <t>HavantSaxon Weald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</si>
  <si>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</si>
  <si>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</si>
  <si>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</si>
  <si>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</si>
  <si>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</si>
  <si>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</si>
  <si>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</si>
  <si>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HaveringA2Dominion Homes Limited</t>
  </si>
  <si>
    <t>HaveringAnchor Hanover Group</t>
  </si>
  <si>
    <t>HaveringBrentwood Housing Trust Limited</t>
  </si>
  <si>
    <t>HaveringCentrepoint Soho</t>
  </si>
  <si>
    <t>HaveringClarion Housing Association Limited</t>
  </si>
  <si>
    <t>HaveringEstuary Housing Association Limited</t>
  </si>
  <si>
    <t>HaveringHabinteg Housing Association Limited</t>
  </si>
  <si>
    <t>HaveringHastoe Housing Association Limited</t>
  </si>
  <si>
    <t>HaveringHome Group Limited</t>
  </si>
  <si>
    <t>HaveringHousing 21</t>
  </si>
  <si>
    <t>HaveringLocal Space</t>
  </si>
  <si>
    <t>HaveringLondon &amp; Quadrant Housing Trust</t>
  </si>
  <si>
    <t>HaveringLook Ahead Care and Support Limited</t>
  </si>
  <si>
    <t>HaveringMetropolitan Housing Trust Limited</t>
  </si>
  <si>
    <t>HaveringMoat Homes Limited</t>
  </si>
  <si>
    <t>HaveringNewlon Housing Trust</t>
  </si>
  <si>
    <t>HaveringNotting Hill Genesis</t>
  </si>
  <si>
    <t>HaveringNotting Hill Home Ownership Limited</t>
  </si>
  <si>
    <t>HaveringOrbit Group Limited</t>
  </si>
  <si>
    <t>HaveringPeabody Trust</t>
  </si>
  <si>
    <t>HaveringShepherds Bush Housing Association Limited</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</si>
  <si>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</si>
  <si>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</si>
  <si>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</si>
  <si>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</si>
  <si>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</si>
  <si>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</si>
  <si>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HertsmereArhag Housing Association Limited</t>
  </si>
  <si>
    <t>HertsmereB3 Living Limited</t>
  </si>
  <si>
    <t>HertsmereClarion Housing Association Limited</t>
  </si>
  <si>
    <t>HertsmereFirst Garden Cities Homes Limited</t>
  </si>
  <si>
    <t>HertsmereGrand Union Housing Group Limited</t>
  </si>
  <si>
    <t>HertsmereHabinteg Housing Association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</si>
  <si>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</si>
  <si>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</si>
  <si>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</si>
  <si>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</si>
  <si>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</si>
  <si>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</si>
  <si>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HertsmereNotting Hill Genesis</t>
  </si>
  <si>
    <t>HertsmereNotting Hill Home Ownership Limited</t>
  </si>
  <si>
    <t>HertsmereOrigin Housing Limited</t>
  </si>
  <si>
    <t>HertsmereParadigm Homes Charitable Housing Association Limited</t>
  </si>
  <si>
    <t>HertsmerePine Ridge Housing Association Limited</t>
  </si>
  <si>
    <t>HertsmerePlaces for People Homes Limited</t>
  </si>
  <si>
    <t>HertsmereReside Housing Association Limited</t>
  </si>
  <si>
    <t>HertsmereSanctuary Housing Association</t>
  </si>
  <si>
    <t>HertsmereSapphire Independent Housing Limited</t>
  </si>
  <si>
    <t>HertsmereTamil Community Housing Association Limited</t>
  </si>
  <si>
    <t>HertsmereThe Abbeyfield Society</t>
  </si>
  <si>
    <t>HertsmereThe Guinness Partnership Limited</t>
  </si>
  <si>
    <t>HertsmereThe Industrial Dwellings Society (1885) Limited</t>
  </si>
  <si>
    <t>HertsmereThrive Homes Limited</t>
  </si>
  <si>
    <t>HertsmereWatford Community Housing Trust</t>
  </si>
  <si>
    <t>High PeakAdullam Homes Housing Association Limited</t>
  </si>
  <si>
    <t>High PeakAnchor Hanover Group</t>
  </si>
  <si>
    <t>High PeakCheshire Peaks &amp; Plains Housing Trust Limited</t>
  </si>
  <si>
    <t>High PeakEMH Housing and Regeneration Limited</t>
  </si>
  <si>
    <t>High PeakGreat Places Housing Association</t>
  </si>
  <si>
    <t>High PeakHeylo Housing Registered Provider Limited</t>
  </si>
  <si>
    <t>High PeakInclusion Housing Community Interest Company</t>
  </si>
  <si>
    <t>High Peak'Johnnie' Johnson Housing Trust Limited</t>
  </si>
  <si>
    <t>High PeakNottingham Community Housing Association Limited</t>
  </si>
  <si>
    <t>High PeakPartners Foundation Limited</t>
  </si>
  <si>
    <t>High PeakPeak District Rural Housing Association Limited</t>
  </si>
  <si>
    <t>High PeakSouth Yorkshire Housing Association Limited</t>
  </si>
  <si>
    <t>High PeakStonewater Limited</t>
  </si>
  <si>
    <t>High PeakThe Guinness Partnership Limited</t>
  </si>
  <si>
    <t>High PeakYour Housing Limited</t>
  </si>
  <si>
    <t>HillingdonA2Dominion Homes Limited</t>
  </si>
  <si>
    <t>HillingdonA2Dominion South Limited</t>
  </si>
  <si>
    <t>HillingdonAbility Housing Association</t>
  </si>
  <si>
    <t>HillingdonAnchor Hanover Group</t>
  </si>
  <si>
    <t>HillingdonCentral and Cecil Housing Trust</t>
  </si>
  <si>
    <t>HillingdonCo-op Homes (South) Limited</t>
  </si>
  <si>
    <t>HillingdonDawley Housing Co-operative Limited</t>
  </si>
  <si>
    <t>HillingdonHabinteg Housing Association Limited</t>
  </si>
  <si>
    <t>HillingdonHarefield Parochial Charities</t>
  </si>
  <si>
    <t>HillingdonHastoe Housing Association Limited</t>
  </si>
  <si>
    <t>HillingdonHome Group Limited</t>
  </si>
  <si>
    <t>HillingdonInclusion Housing Community Interest Company</t>
  </si>
  <si>
    <t>HillingdonInnisfree Housing Association Limited</t>
  </si>
  <si>
    <t>HillingdonLondon &amp; Quadrant Housing Trust</t>
  </si>
  <si>
    <t>HillingdonLook Ahead Care and Support Limited</t>
  </si>
  <si>
    <t>HillingdonMetropolitan Housing Trust Limited</t>
  </si>
  <si>
    <t>HillingdonNotting Hill Genesis</t>
  </si>
  <si>
    <t>HillingdonNotting Hill Home Ownership Limited</t>
  </si>
  <si>
    <t>HillingdonParadigm Homes Charitable Housing Association Limited</t>
  </si>
  <si>
    <t>HillingdonParagon Asra Housing Limited</t>
  </si>
  <si>
    <t>HillingdonPeabody Trust</t>
  </si>
  <si>
    <t>HillingdonPlaces for People Homes Limited</t>
  </si>
  <si>
    <t>HillingdonRichmond Housing Partnership Limited</t>
  </si>
  <si>
    <t>HillingdonSanctuary Housing Association</t>
  </si>
  <si>
    <t>HillingdonShepherds Bush Housing Association Limited</t>
  </si>
  <si>
    <t>HillingdonThe Abbeyfield Uxbridge Society Limited</t>
  </si>
  <si>
    <t>HillingdonThe Guinness Partnership Limited</t>
  </si>
  <si>
    <t>HillingdonThe Riverside Group Limited</t>
  </si>
  <si>
    <t>HillingdonWomen's Pioneer Housing Limited</t>
  </si>
  <si>
    <t>Hinckley and BosworthAdullam Homes Housing Association Limited</t>
  </si>
  <si>
    <t>Hinckley and BosworthAdvance Housing and Support Limited</t>
  </si>
  <si>
    <t>Hinckley and BosworthAnchor Hanover Group</t>
  </si>
  <si>
    <t>Hinckley and BosworthEMH Housing and Regeneration Limited</t>
  </si>
  <si>
    <t>Hinckley and BosworthFutures Homescape Limited</t>
  </si>
  <si>
    <t>Hinckley and BosworthHilldale Housing Association Limited</t>
  </si>
  <si>
    <t>Hinckley and BosworthInclusion Housing Community Interest Company</t>
  </si>
  <si>
    <t>Hinckley and BosworthMidland Heart Limited</t>
  </si>
  <si>
    <t>Hinckley and BosworthMy Space Housing Solutions</t>
  </si>
  <si>
    <t>Hinckley and BosworthNottingham Community Housing Association Limited</t>
  </si>
  <si>
    <t>Hinckley and BosworthOrbit Group Limited</t>
  </si>
  <si>
    <t>Hinckley and BosworthParagon Asra Housing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</si>
  <si>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</si>
  <si>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</si>
  <si>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</si>
  <si>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</si>
  <si>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</si>
  <si>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</si>
  <si>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South Limited</t>
  </si>
  <si>
    <t>HorshamAnchor Hanover Group</t>
  </si>
  <si>
    <t>HorshamClarion Housing Association Limited</t>
  </si>
  <si>
    <t>HorshamEnglish Rural Housing Association Limited</t>
  </si>
  <si>
    <t>HorshamGreenoak Housing Association Limited</t>
  </si>
  <si>
    <t>HorshamHastoe Housing Association Limited</t>
  </si>
  <si>
    <t>HorshamHeylo Housing Registered Provider Limited</t>
  </si>
  <si>
    <t>HorshamHome Group Limited</t>
  </si>
  <si>
    <t>HorshamHousing 21</t>
  </si>
  <si>
    <t>HorshamHyde Housing Association Limited</t>
  </si>
  <si>
    <t>HorshamLondon &amp; Quadrant Housing Trust</t>
  </si>
  <si>
    <t>HorshamMetropolitan Housing Trust Limited</t>
  </si>
  <si>
    <t>HorshamMoat Homes Limited</t>
  </si>
  <si>
    <t>HorshamMount Green Housing Association Limited</t>
  </si>
  <si>
    <t>HorshamOrbit Group Limited</t>
  </si>
  <si>
    <t>HorshamPlaces for People Homes Limited</t>
  </si>
  <si>
    <t>HorshamRaven Housing Trust Limited</t>
  </si>
  <si>
    <t>HorshamRoyal Air Forces Association Housing Limited</t>
  </si>
  <si>
    <t>HorshamSanctuary Housing Association</t>
  </si>
  <si>
    <t>HorshamSaxon Weald</t>
  </si>
  <si>
    <t>HorshamSouthdown Housing Association Limited</t>
  </si>
  <si>
    <t>HorshamStonewater (5) Limited</t>
  </si>
  <si>
    <t>HorshamStonewater Limited</t>
  </si>
  <si>
    <t>HorshamThe Guinness Partnership Limited</t>
  </si>
  <si>
    <t>HorshamThe Richmond Fellowship</t>
  </si>
  <si>
    <t>HorshamYMCA Downslink Group</t>
  </si>
  <si>
    <t>HounslowA2Dominion Homes Limited</t>
  </si>
  <si>
    <t>HounslowA2Dominion South Limited</t>
  </si>
  <si>
    <t>HounslowBedfont Stoney Wall Housing Co-operative Limited</t>
  </si>
  <si>
    <t>HounslowBlue Square Residential Ltd</t>
  </si>
  <si>
    <t>HounslowCentral and Cecil Housing Trust</t>
  </si>
  <si>
    <t>HounslowChrysalis Supported Association Limited</t>
  </si>
  <si>
    <t>HounslowClarion Housing Association Limited</t>
  </si>
  <si>
    <t>HounslowCo-op Homes (South) Limited</t>
  </si>
  <si>
    <t>HounslowCross Lances Housing Co-operative Limited</t>
  </si>
  <si>
    <t>HounslowDavid Henry Waring Home</t>
  </si>
  <si>
    <t>HounslowDimensions (UK) Limited</t>
  </si>
  <si>
    <t>HounslowGreen Dragon Lane Housing Co-operative Limited</t>
  </si>
  <si>
    <t>HounslowHabinteg Housing Association Limited</t>
  </si>
  <si>
    <t>HounslowHeylo Housing Registered Provider Limited</t>
  </si>
  <si>
    <t>HounslowHome Group Limited</t>
  </si>
  <si>
    <t>HounslowHousing 21</t>
  </si>
  <si>
    <t>HounslowHousing For Women</t>
  </si>
  <si>
    <t>HounslowHousing Pathways Trust</t>
  </si>
  <si>
    <t>HounslowInclusion Housing Community Interest Company</t>
  </si>
  <si>
    <t>HounslowLondon &amp; Quadrant Housing Trust</t>
  </si>
  <si>
    <t>HounslowLonghurst Group Limited</t>
  </si>
  <si>
    <t>HounslowMetropolitan Housing Trust Limited</t>
  </si>
  <si>
    <t>HounslowNotting Hill Genesis</t>
  </si>
  <si>
    <t>HounslowNotting Hill Home Ownership Limited</t>
  </si>
  <si>
    <t>HounslowOctavia Housing</t>
  </si>
  <si>
    <t>HounslowOld Isleworth Housing Co-operative Limited</t>
  </si>
  <si>
    <t>HounslowOrigin Housing Limited</t>
  </si>
  <si>
    <t>HounslowParagon Asra Housing Limited</t>
  </si>
  <si>
    <t>HounslowPlaces for People Homes Limited</t>
  </si>
  <si>
    <t>HounslowRefuge</t>
  </si>
  <si>
    <t>HounslowRichmond Housing Partnership Limited</t>
  </si>
  <si>
    <t>HounslowSanctuary Housing Association</t>
  </si>
  <si>
    <t>HounslowShepherds Bush Housing Association Limited</t>
  </si>
  <si>
    <t>HounslowSt Mungo Community Housing Association</t>
  </si>
  <si>
    <t>HounslowThe Skinners'  Almshouse Charity</t>
  </si>
  <si>
    <t>HounslowWellington Housing Co-operative Limited</t>
  </si>
  <si>
    <t>HounslowWestway Housing Association Limited</t>
  </si>
  <si>
    <t>HuntingdonshireAccent Housing Limited</t>
  </si>
  <si>
    <t>HuntingdonshireAnchor Hanover Group</t>
  </si>
  <si>
    <t>Huntingdonshirebpha Limited</t>
  </si>
  <si>
    <t>HuntingdonshireClarion Housing Association Limited</t>
  </si>
  <si>
    <t>HuntingdonshireCross Keys Homes Limited</t>
  </si>
  <si>
    <t>HuntingdonshireDimensions (UK) Limited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</si>
  <si>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</si>
  <si>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</si>
  <si>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</si>
  <si>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</si>
  <si>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</si>
  <si>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</si>
  <si>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HuntingdonshireLonghurst Group Limited</t>
  </si>
  <si>
    <t>HuntingdonshireMetropolitan Housing Trust Limited</t>
  </si>
  <si>
    <t>HuntingdonshireMuir Group Housing Association Limited</t>
  </si>
  <si>
    <t>HuntingdonshireOrbit Group Limited</t>
  </si>
  <si>
    <t>HuntingdonshirePlaces for People Homes Limited</t>
  </si>
  <si>
    <t>HuntingdonshirePlaces for People Living+ Limited</t>
  </si>
  <si>
    <t>HuntingdonshireProgress Housing Association Limited</t>
  </si>
  <si>
    <t>HuntingdonshireRamsey Welfare Charities</t>
  </si>
  <si>
    <t>HuntingdonshireReside Housing Association Limited</t>
  </si>
  <si>
    <t>HuntingdonshireSalvation Army Housing Association</t>
  </si>
  <si>
    <t>HuntingdonshireStonewater Limited</t>
  </si>
  <si>
    <t>HuntingdonshireThe Cambridge Housing Society Limited</t>
  </si>
  <si>
    <t>HuntingdonshireThe Guinness Partnership Limited</t>
  </si>
  <si>
    <t>HuntingdonshireThe Havebury Housing Partnership</t>
  </si>
  <si>
    <t>HuntingdonshireThe Papworth Trust</t>
  </si>
  <si>
    <t>HyndburnAccent Housing Limited</t>
  </si>
  <si>
    <t>HyndburnAnchor Hanover Group</t>
  </si>
  <si>
    <t>HyndburnCalico Homes Limited</t>
  </si>
  <si>
    <t>HyndburnCare Housing Association Limited</t>
  </si>
  <si>
    <t>HyndburnCreative Support Limited</t>
  </si>
  <si>
    <t>HyndburnEmpower Housing Association Limited</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</si>
  <si>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</si>
  <si>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</si>
  <si>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</si>
  <si>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</si>
  <si>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</si>
  <si>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</si>
  <si>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</si>
  <si>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</si>
  <si>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</si>
  <si>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</si>
  <si>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</si>
  <si>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</si>
  <si>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</si>
  <si>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HyndburnTogether Housing Association Limited</t>
  </si>
  <si>
    <t>HyndburnTrinity Housing Association Limited</t>
  </si>
  <si>
    <t>HyndburnYour Housing Limited</t>
  </si>
  <si>
    <t>IpswichAnchor Hanover Group</t>
  </si>
  <si>
    <t>IpswichBroadland Housing Association Limited</t>
  </si>
  <si>
    <t>IpswichClarion Housing Association Limited</t>
  </si>
  <si>
    <t>IpswichEmpower Housing Association Limited</t>
  </si>
  <si>
    <t>IpswichFlagship Housing Group Limited</t>
  </si>
  <si>
    <t>IpswichHabinteg Housing Association Limited</t>
  </si>
  <si>
    <t>IpswichHeylo Housing Registered Provider Limited</t>
  </si>
  <si>
    <t>IpswichHome Group Limited</t>
  </si>
  <si>
    <t>IpswichHousing 21</t>
  </si>
  <si>
    <t>IpswichNotting Hill Genesis</t>
  </si>
  <si>
    <t>IpswichOak Housing Limited</t>
  </si>
  <si>
    <t>IpswichOrbit Group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</si>
  <si>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</si>
  <si>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</si>
  <si>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</si>
  <si>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</si>
  <si>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</si>
  <si>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</si>
  <si>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</si>
  <si>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IpswichThe Abbeyfield Orwell Extra Care Society Limited</t>
  </si>
  <si>
    <t>IpswichThe Abbeyfield Society</t>
  </si>
  <si>
    <t>IpswichThe Guinness Partnership Limited</t>
  </si>
  <si>
    <t>IpswichThe Papworth Trust</t>
  </si>
  <si>
    <t>IpswichThe Richmond Fellowship</t>
  </si>
  <si>
    <t>IpswichThe Riverside Group Limited</t>
  </si>
  <si>
    <t>IpswichWilliam Paul Housing Trust</t>
  </si>
  <si>
    <t>IpswichYMCA Trinity Group</t>
  </si>
  <si>
    <t>Isle of WightAnchor Hanover Group</t>
  </si>
  <si>
    <t>Isle of WightHeylo Housing Registered Provider Limited</t>
  </si>
  <si>
    <t>Isle of WightHome Group Limited</t>
  </si>
  <si>
    <t>Isle of WightHousing 21</t>
  </si>
  <si>
    <t>Isle of WightIsland Cottages Limited</t>
  </si>
  <si>
    <t>Isle of WightMoat Homes Limited</t>
  </si>
  <si>
    <t>Isle of WightPlaces for People Homes Limited</t>
  </si>
  <si>
    <t>Isle of WightReside Housing Association Limited</t>
  </si>
  <si>
    <t>Isle of WightSovereign Housing Association Limited</t>
  </si>
  <si>
    <t>Isle of WightThe Abbeyfield Society</t>
  </si>
  <si>
    <t>Isle of WightThe Swaythling Housing Society Limited</t>
  </si>
  <si>
    <t>Isle of WightTwo Saints Limited</t>
  </si>
  <si>
    <t>Isle of WightVectis Housing Association Limited</t>
  </si>
  <si>
    <t>Isle of WightYMCA Fairthorne Housing</t>
  </si>
  <si>
    <t>Isles of ScillyAnchor Hanover Group</t>
  </si>
  <si>
    <t>Isles of ScillyCornwall Rural Housing Association Limited</t>
  </si>
  <si>
    <t>Isles of ScillyLiveWest Homes Limited</t>
  </si>
  <si>
    <t>IslingtonAnchor Hanover Group</t>
  </si>
  <si>
    <t>IslingtonArhag Housing Association Limited</t>
  </si>
  <si>
    <t>IslingtonCentral and Cecil Housing Trust</t>
  </si>
  <si>
    <t>IslingtonClarion Housing Association Limited</t>
  </si>
  <si>
    <t>IslingtonGreat Wall Society Limited</t>
  </si>
  <si>
    <t>IslingtonHabinteg Housing Association Limited</t>
  </si>
  <si>
    <t>IslingtonHome Group Limited</t>
  </si>
  <si>
    <t>IslingtonHyde Housing Association Limited</t>
  </si>
  <si>
    <t>IslingtonInnisfree Housing Association Limited</t>
  </si>
  <si>
    <t>IslingtonIslington and Shoreditch Housing Association Limited</t>
  </si>
  <si>
    <t>IslingtonIslington Community Housing Co-operative Limited</t>
  </si>
  <si>
    <t>IslingtonKeniston Housing Association Limited</t>
  </si>
  <si>
    <t>IslingtonLondon &amp; Quadrant Housing Trust</t>
  </si>
  <si>
    <t>IslingtonMetropolitan Housing Trust Limited</t>
  </si>
  <si>
    <t>IslingtonNew Swift Housing Co-operative Limited</t>
  </si>
  <si>
    <t>IslingtonNewlon Housing Trust</t>
  </si>
  <si>
    <t>IslingtonNotting Hill Genesis</t>
  </si>
  <si>
    <t>IslingtonNotting Hill Home Ownership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</si>
  <si>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</si>
  <si>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</si>
  <si>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</si>
  <si>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</si>
  <si>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</si>
  <si>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</si>
  <si>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</si>
  <si>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</si>
  <si>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</si>
  <si>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</si>
  <si>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</si>
  <si>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</si>
  <si>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IslingtonSouthern Home Ownership Limited</t>
  </si>
  <si>
    <t>IslingtonSt Martin of Tours Housing Association Limited</t>
  </si>
  <si>
    <t>IslingtonSt Mungo Community Housing Association</t>
  </si>
  <si>
    <t>IslingtonThe Guinness Partnership Limited</t>
  </si>
  <si>
    <t>IslingtonThe Richmond Fellowship</t>
  </si>
  <si>
    <t>IslingtonThe Riverside Group Limited</t>
  </si>
  <si>
    <t>IslingtonWaverley (Eighth) Co-operative Housing Association Limited</t>
  </si>
  <si>
    <t>Kensington and ChelseaA2Dominion Homes Limited</t>
  </si>
  <si>
    <t>Kensington and ChelseaAnchor Hanover Group</t>
  </si>
  <si>
    <t>Kensington and ChelseaArhag Housing Association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</si>
  <si>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</si>
  <si>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</si>
  <si>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</si>
  <si>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</si>
  <si>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</si>
  <si>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</si>
  <si>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ChelseaLondon &amp; Quadrant Housing Trust</t>
  </si>
  <si>
    <t>Kensington and ChelseaLook Ahead Care and Support Limited</t>
  </si>
  <si>
    <t>Kensington and ChelseaMetropolitan Housing Trust Limited</t>
  </si>
  <si>
    <t>Kensington and ChelseaNotting Dale Housing Co-operative Limited</t>
  </si>
  <si>
    <t>Kensington and ChelseaNotting Hill Genesis</t>
  </si>
  <si>
    <t>Kensington and ChelseaNotting Hill Home Ownership Limited</t>
  </si>
  <si>
    <t>Kensington and ChelseaOctavia Housing</t>
  </si>
  <si>
    <t>Kensington and ChelseaPeabody Trust</t>
  </si>
  <si>
    <t>Kensington and ChelseaPlaces for People Homes Limited</t>
  </si>
  <si>
    <t>Kensington and ChelseaSalvation Army Housing Association</t>
  </si>
  <si>
    <t>Kensington and ChelseaSanctuary Housing Association</t>
  </si>
  <si>
    <t>Kensington and ChelseaShepherds Bush Housing Association Limited</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</si>
  <si>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</si>
  <si>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</si>
  <si>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</si>
  <si>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</si>
  <si>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</si>
  <si>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ChelseaThe Richmond Fellowship</t>
  </si>
  <si>
    <t>Kensington and ChelseaTurning Point</t>
  </si>
  <si>
    <t>Kensington and ChelseaWestway Housing Association Limited</t>
  </si>
  <si>
    <t>Kensington and ChelseaWomen's Pioneer Housing Limited</t>
  </si>
  <si>
    <t>King's Lynn and West NorfolkAnchor Hanover Group</t>
  </si>
  <si>
    <t>King's Lynn and West NorfolkBroadland Housing Association Limited</t>
  </si>
  <si>
    <t>King's Lynn and West NorfolkClarion Housing Association Limited</t>
  </si>
  <si>
    <t>King's Lynn and West NorfolkFirst Priority Housing Association Limited</t>
  </si>
  <si>
    <t>King's Lynn and West NorfolkFlagship Housing Group Limited</t>
  </si>
  <si>
    <t>King's Lynn and West NorfolkFreebridge Community Housing Limited</t>
  </si>
  <si>
    <t>King's Lynn and West NorfolkHastoe Housing Association Limited</t>
  </si>
  <si>
    <t>King's Lynn and West NorfolkHousing 21</t>
  </si>
  <si>
    <t>King's Lynn and West NorfolkLincolnshire Rural Housing Association Limited</t>
  </si>
  <si>
    <t>King's Lynn and West NorfolkLonghurst Group Limited</t>
  </si>
  <si>
    <t>King's Lynn and West NorfolkMuir Group Housing Association Limited</t>
  </si>
  <si>
    <t>King's Lynn and West NorfolkPlaces for People Homes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</si>
  <si>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</si>
  <si>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</si>
  <si>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</si>
  <si>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</si>
  <si>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</si>
  <si>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NorfolkThe Papworth Trust</t>
  </si>
  <si>
    <t>King's Lynn and West NorfolkWest Norfolk Housing Company Ltd</t>
  </si>
  <si>
    <t>King's Lynn and West NorfolkYMCA Norfolk</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</si>
  <si>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</si>
  <si>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</si>
  <si>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</si>
  <si>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</si>
  <si>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</si>
  <si>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</si>
  <si>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ThamesHabinteg Housing Association Limited</t>
  </si>
  <si>
    <t>Kingston upon ThamesHome Group Limited</t>
  </si>
  <si>
    <t>Kingston upon ThamesHousing 21</t>
  </si>
  <si>
    <t>Kingston upon ThamesKaleidoscope (Kingston) Housing Association Limited</t>
  </si>
  <si>
    <t>Kingston upon ThamesKingston upon Thames Churches Housing Association Limited</t>
  </si>
  <si>
    <t>Kingston upon ThamesLondon &amp; Quadrant Housing Trust</t>
  </si>
  <si>
    <t>Kingston upon ThamesMetropolitan Housing Trust Limited</t>
  </si>
  <si>
    <t>Kingston upon ThamesMillat Asian Housing Association Limited</t>
  </si>
  <si>
    <t>Kingston upon ThamesMount Green Housing Association Limited</t>
  </si>
  <si>
    <t>Kingston upon ThamesNotting Hill Home Ownership Limited</t>
  </si>
  <si>
    <t>Kingston upon ThamesOrigin Housing Limited</t>
  </si>
  <si>
    <t>Kingston upon ThamesParagon Asra Housing Limited</t>
  </si>
  <si>
    <t>Kingston upon ThamesPlaces for People Homes Limited</t>
  </si>
  <si>
    <t>Kingston upon ThamesReside Housing Association Limited</t>
  </si>
  <si>
    <t>Kingston upon ThamesRichmond Housing Partnership Limited</t>
  </si>
  <si>
    <t>Kingston upon ThamesShepherds Bush Housing Association Limited</t>
  </si>
  <si>
    <t>Kingston upon ThamesTeachers' Housing Association Limited</t>
  </si>
  <si>
    <t>Kingston upon ThamesThe Sons of Divine Providence</t>
  </si>
  <si>
    <t>Kingston upon ThamesWandle Housing Association Limited</t>
  </si>
  <si>
    <t>Kingston upon ThamesWestmoreland Supported Housing Limited</t>
  </si>
  <si>
    <t>Kingston upon ThamesYMCA St Paul's Group</t>
  </si>
  <si>
    <t>KirkleesAccent Housing Limited</t>
  </si>
  <si>
    <t>KirkleesAlpha (R.S.L.) Limited</t>
  </si>
  <si>
    <t>KirkleesAnchor Hanover Group</t>
  </si>
  <si>
    <t>KirkleesArpeggio Properties Limited</t>
  </si>
  <si>
    <t>KirkleesCare Housing Association Limited</t>
  </si>
  <si>
    <t>KirkleesChartford Housing Limited</t>
  </si>
  <si>
    <t>KirkleesConnect Housing Association Limited</t>
  </si>
  <si>
    <t>KirkleesFrontis Homes Limited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</si>
  <si>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</si>
  <si>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</si>
  <si>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</si>
  <si>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</si>
  <si>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</si>
  <si>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</si>
  <si>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KirkleesInclusion Housing Community Interest Company</t>
  </si>
  <si>
    <t>KirkleesIncommunities Limited</t>
  </si>
  <si>
    <t>Kirklees'Johnnie' Johnson Housing Trust Limited</t>
  </si>
  <si>
    <t>KirkleesKirklees Housing Association Limited</t>
  </si>
  <si>
    <t>KirkleesMethodist Homes Housing Association Limited</t>
  </si>
  <si>
    <t>KirkleesPinnacle Spaces Limited</t>
  </si>
  <si>
    <t>KirkleesPlaces for People Homes Limited</t>
  </si>
  <si>
    <t>KirkleesThe Riverside Group Limited</t>
  </si>
  <si>
    <t>KirkleesTogether Housing Association Limited</t>
  </si>
  <si>
    <t>KirkleesTrinity Housing Association Limited</t>
  </si>
  <si>
    <t>KirkleesUnity Housing Association Limited</t>
  </si>
  <si>
    <t>KirkleesWakefield And District Housing Limited</t>
  </si>
  <si>
    <t>KirkleesYorkshire Housing Limited</t>
  </si>
  <si>
    <t>KirkleesYour Housing Limited</t>
  </si>
  <si>
    <t>KnowsleyAnchor Hanover Group</t>
  </si>
  <si>
    <t>KnowsleyCherryfield Housing Co-operative Limited</t>
  </si>
  <si>
    <t>KnowsleyCobalt Housing Limited</t>
  </si>
  <si>
    <t>KnowsleyEmpower Housing Association Limited</t>
  </si>
  <si>
    <t>KnowsleyForHousing Limited</t>
  </si>
  <si>
    <t>KnowsleyHalo Housing Association Limited</t>
  </si>
  <si>
    <t>KnowsleyHarbour Light Assisted Living CIC</t>
  </si>
  <si>
    <t>KnowsleyHeylo Housing Registered Provider Limited</t>
  </si>
  <si>
    <t>KnowsleyHousing 21</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</si>
  <si>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</si>
  <si>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</si>
  <si>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</si>
  <si>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</si>
  <si>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</si>
  <si>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</si>
  <si>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KnowsleyPlaces for People Homes Limited</t>
  </si>
  <si>
    <t>KnowsleyPlus Dane Housing Limited</t>
  </si>
  <si>
    <t>KnowsleyProgress Housing Association Limited</t>
  </si>
  <si>
    <t>KnowsleyReside Housing Association Limited</t>
  </si>
  <si>
    <t>KnowsleyRusland Road Housing Co-operative Limited</t>
  </si>
  <si>
    <t>KnowsleySanctuary Housing Association</t>
  </si>
  <si>
    <t>KnowsleySouthdene Housing Co-operative Limited</t>
  </si>
  <si>
    <t>KnowsleySpringwood Housing Co-operative Limited</t>
  </si>
  <si>
    <t>KnowsleyThe Riverside Group Limited</t>
  </si>
  <si>
    <t>KnowsleyTorus62 Limited</t>
  </si>
  <si>
    <t>KnowsleyTrinity Housing Association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</si>
  <si>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</si>
  <si>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</si>
  <si>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</si>
  <si>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</si>
  <si>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</si>
  <si>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</si>
  <si>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</si>
  <si>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LambethBrixton Housing Co-operative Limited</t>
  </si>
  <si>
    <t>LambethClarion Housing Association Limited</t>
  </si>
  <si>
    <t>LambethEdward Henry House Co-operative Limited</t>
  </si>
  <si>
    <t>LambethEkaya Housing Association Limited</t>
  </si>
  <si>
    <t>LambethEvolve Housing + Support</t>
  </si>
  <si>
    <t>LambethGateway Housing Association Limited</t>
  </si>
  <si>
    <t>LambethHarrison Housing</t>
  </si>
  <si>
    <t>LambethHexagon Housing Association Limited</t>
  </si>
  <si>
    <t>LambethHFL Homes Limited</t>
  </si>
  <si>
    <t>LambethHibbert Almshouse Charity</t>
  </si>
  <si>
    <t>LambethHilldale Housing Association Limited</t>
  </si>
  <si>
    <t>LambethHome Group Limited</t>
  </si>
  <si>
    <t>LambethHyde Housing Association Limited</t>
  </si>
  <si>
    <t>LambethHyde Southbank Homes Limited</t>
  </si>
  <si>
    <t>LambethInclusion Housing Community Interest Company</t>
  </si>
  <si>
    <t>LambethInnisfree Housing Association Limited</t>
  </si>
  <si>
    <t>LambethJewish Community Housing Association Limited</t>
  </si>
  <si>
    <t>LambethKeniston Housing Association Limited</t>
  </si>
  <si>
    <t>LambethLambeth Self Help Housing Association Limited</t>
  </si>
  <si>
    <t>LambethLondon &amp; Quadrant Housing Trust</t>
  </si>
  <si>
    <t>LambethMetropolitan Housing Trust Limited</t>
  </si>
  <si>
    <t>LambethMiller Walk Housing Co-operative Limited</t>
  </si>
  <si>
    <t>LambethMulberry Housing Co-operative Limited</t>
  </si>
  <si>
    <t>LambethNew World Housing Association Limited</t>
  </si>
  <si>
    <t>LambethNotting Hill Genesis</t>
  </si>
  <si>
    <t>LambethNotting Hill Home Ownership Limited</t>
  </si>
  <si>
    <t>LambethOrigin Housing Limited</t>
  </si>
  <si>
    <t>LambethPalm Housing Co-operative Limited</t>
  </si>
  <si>
    <t>LambethParagon Asra Housing Limited</t>
  </si>
  <si>
    <t>LambethPark Hill Housing Co-operative Limited</t>
  </si>
  <si>
    <t>LambethPeabody Trust</t>
  </si>
  <si>
    <t>LambethPearman Street Co-operative Limited</t>
  </si>
  <si>
    <t>LambethPhoenix House</t>
  </si>
  <si>
    <t>LambethPlaces for People Homes Limited</t>
  </si>
  <si>
    <t>LambethRadcliffe Housing Society Limited</t>
  </si>
  <si>
    <t>LambethSalvation Army Housing Association</t>
  </si>
  <si>
    <t>LambethSanctuary Housing Association</t>
  </si>
  <si>
    <t>LambethShepherds Bush Housing Association Limited</t>
  </si>
  <si>
    <t>LambethSt Martin of Tours Housing Association Limited</t>
  </si>
  <si>
    <t>LambethSt Mungo Community Housing Association</t>
  </si>
  <si>
    <t>LambethThe Guinness Partnership Limited</t>
  </si>
  <si>
    <t>LambethThe Riverside Group Limited</t>
  </si>
  <si>
    <t>LambethThrale Almshouse and Relief in Need Charity</t>
  </si>
  <si>
    <t>LambethTrinity Homes</t>
  </si>
  <si>
    <t>LambethVine Housing Co-operative Limited</t>
  </si>
  <si>
    <t>LambethWandle Housing Association Limited</t>
  </si>
  <si>
    <t>LambethWestmoreland Supported Housing Limited</t>
  </si>
  <si>
    <t>LancasterAnchor Hanover Group</t>
  </si>
  <si>
    <t>LancasterArpeggio Properties Limited</t>
  </si>
  <si>
    <t>LancasterAssured Living Housing Association Limited</t>
  </si>
  <si>
    <t>LancasterCare Housing Association Limited</t>
  </si>
  <si>
    <t>LancasterCastle Housing Limited</t>
  </si>
  <si>
    <t>LancasterCastles &amp; Coasts Housing Association Limited</t>
  </si>
  <si>
    <t>LancasterCreative Support Limited</t>
  </si>
  <si>
    <t>LancasterDimensions (UK) Limited</t>
  </si>
  <si>
    <t>LancasterEmpower Housing Association Limited</t>
  </si>
  <si>
    <t>LancasterGreat Places Housing Association</t>
  </si>
  <si>
    <t>LancasterHalo Housing Association Limited</t>
  </si>
  <si>
    <t>LancasterHeylo Housing Registered Provider Limited</t>
  </si>
  <si>
    <t>LancasterHilldale Housing Association Limited</t>
  </si>
  <si>
    <t>LancasterHousing 21</t>
  </si>
  <si>
    <t>LancasterInclusion Housing Community Interest Company</t>
  </si>
  <si>
    <t>Lancaster'Johnnie' Johnson Housing Trust Limited</t>
  </si>
  <si>
    <t>LancasterLune Valley Rural Housing Association Limited</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</si>
  <si>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</si>
  <si>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</si>
  <si>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</si>
  <si>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</si>
  <si>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</si>
  <si>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</si>
  <si>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</si>
  <si>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Guinness Partnership Limited</t>
  </si>
  <si>
    <t>LancasterThe Riverside Group Limited</t>
  </si>
  <si>
    <t>LancasterYour Housing Limited</t>
  </si>
  <si>
    <t>LeedsAbbeyfield The Dales Limited</t>
  </si>
  <si>
    <t>LeedsAccent Housing Limited</t>
  </si>
  <si>
    <t>LeedsAlpha (R.S.L.) Limited</t>
  </si>
  <si>
    <t>LeedsAnchor Hanover Group</t>
  </si>
  <si>
    <t>LeedsArpeggio Properties Limited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</si>
  <si>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</si>
  <si>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</si>
  <si>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</si>
  <si>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</si>
  <si>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</si>
  <si>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</si>
  <si>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LeedsFoundation</t>
  </si>
  <si>
    <t>LeedsFrontis Homes Limited</t>
  </si>
  <si>
    <t>LeedsHabinteg Housing Association Limited</t>
  </si>
  <si>
    <t>LeedsHalo Housing Association Limited</t>
  </si>
  <si>
    <t>LeedsHeylo Housing Registered Provider Limited</t>
  </si>
  <si>
    <t>LeedsHome Group Limited</t>
  </si>
  <si>
    <t>LeedsHousing 21</t>
  </si>
  <si>
    <t>LeedsIKE Supported Housing Limited</t>
  </si>
  <si>
    <t>LeedsInclusion Housing Community Interest Company</t>
  </si>
  <si>
    <t>LeedsJoseph Rowntree Housing Trust</t>
  </si>
  <si>
    <t>LeedsLeeds Federated Housing Association Limited</t>
  </si>
  <si>
    <t>LeedsLeeds Jewish Housing Association Limited</t>
  </si>
  <si>
    <t>LeedsMarsden Memorial Homes</t>
  </si>
  <si>
    <t>LeedsMethodist Homes Housing Association Limited</t>
  </si>
  <si>
    <t>LeedsPartners Foundation Limited</t>
  </si>
  <si>
    <t>LeedsPlaces for People Homes Limited</t>
  </si>
  <si>
    <t>LeedsPlaces for People Living+ Limited</t>
  </si>
  <si>
    <t>LeedsPlexus UK (First Project) Limited</t>
  </si>
  <si>
    <t>LeedsProgress Housing Association Limited</t>
  </si>
  <si>
    <t>LeedsRailway Housing Association and Benefit Fund</t>
  </si>
  <si>
    <t>LeedsReside Housing Association Limited</t>
  </si>
  <si>
    <t>LeedsSalvation Army Housing Association</t>
  </si>
  <si>
    <t>LeedsSanctuary Affordable Housing Limited</t>
  </si>
  <si>
    <t>LeedsSanctuary Housing Association</t>
  </si>
  <si>
    <t>LeedsStonewater Limited</t>
  </si>
  <si>
    <t>LeedsTangram Housing Co-operative Limited</t>
  </si>
  <si>
    <t>LeedsThe Guinness Partnership Limited</t>
  </si>
  <si>
    <t>LeedsThe Riverside Group Limited</t>
  </si>
  <si>
    <t>LeedsThe Robert Salter Charity</t>
  </si>
  <si>
    <t>LeedsTogether Housing Association Limited</t>
  </si>
  <si>
    <t>LeedsUnity Housing Association Limited</t>
  </si>
  <si>
    <t>LeedsWakefield And District Housing Limited</t>
  </si>
  <si>
    <t>LeedsWestmoreland Supported Housing Limited</t>
  </si>
  <si>
    <t>LeedsYorkshire Housing Limited</t>
  </si>
  <si>
    <t>LeedsYour Housing Limited</t>
  </si>
  <si>
    <t>LeicesterAdullam Homes Housing Association Limited</t>
  </si>
  <si>
    <t>LeicesterAdvance Housing and Support Limited</t>
  </si>
  <si>
    <t>LeicesterAnchor Hanover Group</t>
  </si>
  <si>
    <t>LeicesterArpeggio Properties Limited</t>
  </si>
  <si>
    <t>LeicesterCossington Housing Co-operative Limited</t>
  </si>
  <si>
    <t>LeicesterCreative Support Limited</t>
  </si>
  <si>
    <t>LeicesterDimensions (UK) Limited</t>
  </si>
  <si>
    <t>LeicesterEMH Housing and Regeneration Limited</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</si>
  <si>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</si>
  <si>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</si>
  <si>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</si>
  <si>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</si>
  <si>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</si>
  <si>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</si>
  <si>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</si>
  <si>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LeicesterLonghurst Group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</si>
  <si>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</si>
  <si>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</si>
  <si>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</si>
  <si>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</si>
  <si>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</si>
  <si>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</si>
  <si>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</si>
  <si>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</si>
  <si>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</si>
  <si>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</si>
  <si>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</si>
  <si>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LeicesterSanctuary Housing Association</t>
  </si>
  <si>
    <t>LeicesterStonewater (5) Limited</t>
  </si>
  <si>
    <t>LeicesterStonewater Limited</t>
  </si>
  <si>
    <t>LeicesterThe Riverside Group Limited</t>
  </si>
  <si>
    <t>LeicesterTrinity Housing Association Limited</t>
  </si>
  <si>
    <t>LeicesterTuntum Housing Association Limited</t>
  </si>
  <si>
    <t>LewesA2Dominion Homes Limited</t>
  </si>
  <si>
    <t>LewesClarion Housing Association Limited</t>
  </si>
  <si>
    <t>LewesFitzgerald Charity</t>
  </si>
  <si>
    <t>LewesHabinteg Housing Association Limited</t>
  </si>
  <si>
    <t>LewesHastoe Housing Association Limited</t>
  </si>
  <si>
    <t>LewesHome Group Limited</t>
  </si>
  <si>
    <t>LewesHousing 21</t>
  </si>
  <si>
    <t>LewesHyde Housing Association Limited</t>
  </si>
  <si>
    <t>LewesInclusion Housing Community Interest Company</t>
  </si>
  <si>
    <t>LewesLondon &amp; Quadrant Housing Trust</t>
  </si>
  <si>
    <t>LewesMartlet Homes Limited</t>
  </si>
  <si>
    <t>LewesMoat Homes Limited</t>
  </si>
  <si>
    <t>LewesOrbit Group Limited</t>
  </si>
  <si>
    <t>LewesPlaces for People Homes Limited</t>
  </si>
  <si>
    <t>LewesRaven Housing Trust Limited</t>
  </si>
  <si>
    <t>LewesSalvation Army Housing Association</t>
  </si>
  <si>
    <t>LewesSanctuary Housing Association</t>
  </si>
  <si>
    <t>LewesSaxon Weald</t>
  </si>
  <si>
    <t>LewesSouthdown Housing Association Limited</t>
  </si>
  <si>
    <t>LewesThe Abbeyfield Crowborough Society Limited</t>
  </si>
  <si>
    <t>LewesThe Guinness Partnership Limited</t>
  </si>
  <si>
    <t>LewishamA2Dominion Homes Limited</t>
  </si>
  <si>
    <t>LewishamAnchor Hanover Group</t>
  </si>
  <si>
    <t>LewishamArhag Housing Association Limited</t>
  </si>
  <si>
    <t>LewishamCentrepoint Soho</t>
  </si>
  <si>
    <t>LewishamChisel Limited</t>
  </si>
  <si>
    <t>LewishamChislehurst and Sidcup Housing Association</t>
  </si>
  <si>
    <t>LewishamClarion Housing Association Limited</t>
  </si>
  <si>
    <t>LewishamDennetts Housing Co-operative Limited</t>
  </si>
  <si>
    <t>LewishamEkaya Housing Association Limited</t>
  </si>
  <si>
    <t>LewishamHabinteg Housing Association Limited</t>
  </si>
  <si>
    <t>LewishamHexagon Housing Association Limited</t>
  </si>
  <si>
    <t>LewishamHousing 21</t>
  </si>
  <si>
    <t>LewishamHousing For Women</t>
  </si>
  <si>
    <t>LewishamHyde Housing Association Limited</t>
  </si>
  <si>
    <t>LewishamInnisfree Housing Association Limited</t>
  </si>
  <si>
    <t>LewishamKirkdale Housing Co-operative Limited</t>
  </si>
  <si>
    <t>LewishamLewisham Family Co-operative Association Limited</t>
  </si>
  <si>
    <t>LewishamLocal Space</t>
  </si>
  <si>
    <t>LewishamLondon &amp; Quadrant Housing Trust</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</si>
  <si>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</si>
  <si>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</si>
  <si>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</si>
  <si>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</si>
  <si>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</si>
  <si>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</si>
  <si>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</si>
  <si>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LewishamParagon Asra Housing Limited</t>
  </si>
  <si>
    <t>LewishamPeabody Trust</t>
  </si>
  <si>
    <t>LewishamPhoenix Community Housing Association (Bellingham and Downham) Limited</t>
  </si>
  <si>
    <t>LewishamPhoenix House</t>
  </si>
  <si>
    <t>LewishamPlaces for People Homes Limited</t>
  </si>
  <si>
    <t>LewishamQuo Vadis Trust</t>
  </si>
  <si>
    <t>LewishamReside Housing Association Limited</t>
  </si>
  <si>
    <t>LewishamSanctuary Housing Association</t>
  </si>
  <si>
    <t>LewishamSt Christopher's Fellowship</t>
  </si>
  <si>
    <t>LewishamSt Mungo Community Housing Association</t>
  </si>
  <si>
    <t>LewishamTamil Community Housing Association Limited</t>
  </si>
  <si>
    <t>LewishamThe Abbeyfield Deptford Society Limited</t>
  </si>
  <si>
    <t>LewishamThe Merchant Taylors' Boone's Charity</t>
  </si>
  <si>
    <t>LewishamThe Riverside Group Limited</t>
  </si>
  <si>
    <t>LewishamWandle Housing Association Limited</t>
  </si>
  <si>
    <t>LichfieldAdvance Housing and Support Limited</t>
  </si>
  <si>
    <t>LichfieldBromford Home Ownership Limited</t>
  </si>
  <si>
    <t>LichfieldBromford Housing Association Limited</t>
  </si>
  <si>
    <t>LichfieldCitizen Housing Group Limited</t>
  </si>
  <si>
    <t>LichfieldClarion Housing Association Limited</t>
  </si>
  <si>
    <t>LichfieldHousing 21</t>
  </si>
  <si>
    <t>LichfieldInclusion Housing Community Interest Company</t>
  </si>
  <si>
    <t>LichfieldMetropolitan Housing Trust Limited</t>
  </si>
  <si>
    <t>LichfieldMidland Heart Limited</t>
  </si>
  <si>
    <t>LichfieldOrbit Group Limited</t>
  </si>
  <si>
    <t>LichfieldPlatform Housing Limited</t>
  </si>
  <si>
    <t>LichfieldSanctuary Housing Association</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</si>
  <si>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</si>
  <si>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</si>
  <si>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</si>
  <si>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</si>
  <si>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</si>
  <si>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</si>
  <si>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</si>
  <si>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</si>
  <si>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</si>
  <si>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LincolnAnchor Hanover Group</t>
  </si>
  <si>
    <t>LincolnClarion Housing Association Limited</t>
  </si>
  <si>
    <t>LincolnEMH Housing and Regeneration Limited</t>
  </si>
  <si>
    <t>LincolnFramework Housing Association</t>
  </si>
  <si>
    <t>LincolnInclusion Housing Community Interest Company</t>
  </si>
  <si>
    <t>LincolnLace Housing Limited</t>
  </si>
  <si>
    <t>LincolnLincolnshire Employment Accommodation Project Limited</t>
  </si>
  <si>
    <t>LincolnLincolnshire Y.M.C.A. Ltd</t>
  </si>
  <si>
    <t>LincolnLonghurst Group Limited</t>
  </si>
  <si>
    <t>LincolnNACRO</t>
  </si>
  <si>
    <t>LincolnNottingham Community Housing Association Limited</t>
  </si>
  <si>
    <t>LincolnParasol Homes Limited</t>
  </si>
  <si>
    <t>LincolnPlaces for People Homes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</si>
  <si>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</si>
  <si>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</si>
  <si>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</si>
  <si>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</si>
  <si>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</si>
  <si>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</si>
  <si>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</si>
  <si>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</si>
  <si>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</si>
  <si>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</si>
  <si>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</si>
  <si>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</si>
  <si>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</si>
  <si>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</si>
  <si>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LiverpoolCobalt Housing Limited</t>
  </si>
  <si>
    <t>LiverpoolCreative Support Limited</t>
  </si>
  <si>
    <t>LiverpoolCroft Housing Association Limited</t>
  </si>
  <si>
    <t>LiverpoolCrosby Housing Association Limited</t>
  </si>
  <si>
    <t>LiverpoolDingle Residents Co-operative Limited</t>
  </si>
  <si>
    <t>LiverpoolEmpower Housing Association Limited</t>
  </si>
  <si>
    <t>LiverpoolExcel Housing Solutions</t>
  </si>
  <si>
    <t>LiverpoolFirst Priority Housing Association Limited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</si>
  <si>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</si>
  <si>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</si>
  <si>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</si>
  <si>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</si>
  <si>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</si>
  <si>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</si>
  <si>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</si>
  <si>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</si>
  <si>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LiverpoolHousing 21</t>
  </si>
  <si>
    <t>LiverpoolInclusion Housing Community Interest Company</t>
  </si>
  <si>
    <t>LiverpoolKentish Homes Limited</t>
  </si>
  <si>
    <t>LiverpoolLangrove Community Housing Co-operative Limited</t>
  </si>
  <si>
    <t>LiverpoolLark Lane Housing Co-operative Limited</t>
  </si>
  <si>
    <t>LiverpoolLiverpool Gingerbread Housing Co-operative Limited</t>
  </si>
  <si>
    <t>LiverpoolLiverpool Jewish Housing Association Limited</t>
  </si>
  <si>
    <t>LiverpoolLodge Lane East Co-operative Housing Limited</t>
  </si>
  <si>
    <t>LiverpoolMuir Group Housing Association Limited</t>
  </si>
  <si>
    <t>LiverpoolNew Foundations Housing Association Limited</t>
  </si>
  <si>
    <t>LiverpoolNewleaf Housing Co-operative Limited</t>
  </si>
  <si>
    <t>LiverpoolOne Vision Housing Limited</t>
  </si>
  <si>
    <t>LiverpoolOnward Homes Limited</t>
  </si>
  <si>
    <t>LiverpoolPartners Foundation Limited</t>
  </si>
  <si>
    <t>LiverpoolPine Court Housing Association Limited</t>
  </si>
  <si>
    <t>LiverpoolPlaces for People Homes Limited</t>
  </si>
  <si>
    <t>LiverpoolPlus Dane Housing Limited</t>
  </si>
  <si>
    <t>LiverpoolPrince Albert Gardens Housing Co-operative Limited</t>
  </si>
  <si>
    <t>LiverpoolProgress Housing Association Limited</t>
  </si>
  <si>
    <t>LiverpoolRedwing Living Limited</t>
  </si>
  <si>
    <t>LiverpoolRegenda Limited</t>
  </si>
  <si>
    <t>LiverpoolReside Housing Association Limited</t>
  </si>
  <si>
    <t>LiverpoolRetail Trust</t>
  </si>
  <si>
    <t>LiverpoolSalvation Army Housing Association</t>
  </si>
  <si>
    <t>LiverpoolSanctuary Affordable Housing Limited</t>
  </si>
  <si>
    <t>LiverpoolSanctuary Housing Association</t>
  </si>
  <si>
    <t>LiverpoolShorefields Co-operative Limited</t>
  </si>
  <si>
    <t>LiverpoolSouth Liverpool Homes Limited</t>
  </si>
  <si>
    <t>LiverpoolSouthern Crescent Co-operative Limited</t>
  </si>
  <si>
    <t>LiverpoolSteve Biko Housing Association Limited</t>
  </si>
  <si>
    <t>LiverpoolThe Richmond Fellowship</t>
  </si>
  <si>
    <t>LiverpoolThe Riverside Group Limited</t>
  </si>
  <si>
    <t>LiverpoolThirlmere Housing Co-operative Limited</t>
  </si>
  <si>
    <t>LiverpoolTorus62 Limited</t>
  </si>
  <si>
    <t>LiverpoolTrinity Housing Association Limited</t>
  </si>
  <si>
    <t>LiverpoolWeller Streets Housing Co-operative Limited</t>
  </si>
  <si>
    <t>LiverpoolYour Housing Limited</t>
  </si>
  <si>
    <t>LutonAdvance Housing and Support Limited</t>
  </si>
  <si>
    <t>LutonAnchor Hanover Group</t>
  </si>
  <si>
    <t>LutonAylott Janes Almshouses</t>
  </si>
  <si>
    <t>Lutonbpha Limited</t>
  </si>
  <si>
    <t>LutonClarion Housing Association Limited</t>
  </si>
  <si>
    <t>LutonGrand Union Housing Group Limited</t>
  </si>
  <si>
    <t>LutonHastoe Housing Association Limited</t>
  </si>
  <si>
    <t>LutonHeylo Housing Registered Provider Limited</t>
  </si>
  <si>
    <t>LutonHightown Housing Association Limited</t>
  </si>
  <si>
    <t>LutonHome Group Limited</t>
  </si>
  <si>
    <t>LutonLangley House Trust</t>
  </si>
  <si>
    <t>LutonMetropolitan Housing Trust Limited</t>
  </si>
  <si>
    <t>LutonNotting Hill Genesis</t>
  </si>
  <si>
    <t>LutonOmega Housing Limited</t>
  </si>
  <si>
    <t>LutonParadigm Homes Charitable Housing Association Limited</t>
  </si>
  <si>
    <t>LutonPlaces for People Homes Limited</t>
  </si>
  <si>
    <t>LutonPlaces for People Living+ Limited</t>
  </si>
  <si>
    <t>LutonRobert Hibbert's Almshouse Charity</t>
  </si>
  <si>
    <t>LutonSanctuary Housing Association</t>
  </si>
  <si>
    <t>LutonSettle Group</t>
  </si>
  <si>
    <t>LutonShepherds Bush Housing Association Limited</t>
  </si>
  <si>
    <t>LutonThe Papworth Trust</t>
  </si>
  <si>
    <t>MaidstoneAccommodationYes Limited</t>
  </si>
  <si>
    <t>MaidstoneAdvance Housing and Support Limited</t>
  </si>
  <si>
    <t>MaidstoneAllnutt Mill Housing Co-operative Limited</t>
  </si>
  <si>
    <t>MaidstoneAnchor Hanover Group</t>
  </si>
  <si>
    <t>MaidstoneClarion Housing Association Limited</t>
  </si>
  <si>
    <t>MaidstoneEnglish Rural Housing Association Limited</t>
  </si>
  <si>
    <t>MaidstoneGolding Homes Limited</t>
  </si>
  <si>
    <t>MaidstoneGravesend Churches Housing Association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</si>
  <si>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</si>
  <si>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</si>
  <si>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</si>
  <si>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</si>
  <si>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</si>
  <si>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</si>
  <si>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MaidstoneMoat Homes Limited</t>
  </si>
  <si>
    <t>MaidstoneOakapple Housing Co-operative Limited</t>
  </si>
  <si>
    <t>MaidstoneOast Wood Housing Co-operative Limited</t>
  </si>
  <si>
    <t>MaidstoneOrbit Group Limited</t>
  </si>
  <si>
    <t>MaidstonePeace Cottages Charity</t>
  </si>
  <si>
    <t>MaidstonePlaces for People Homes Limited</t>
  </si>
  <si>
    <t>MaidstonePlaces for People Living+ Limited</t>
  </si>
  <si>
    <t>MaidstoneReside Housing Association Limited</t>
  </si>
  <si>
    <t>MaidstoneSanctuary Housing Association</t>
  </si>
  <si>
    <t>MaidstoneSenacre Housing Co-operative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</si>
  <si>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</si>
  <si>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</si>
  <si>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</si>
  <si>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</si>
  <si>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</si>
  <si>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</si>
  <si>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MaldonChelmer Housing Partnership Limited</t>
  </si>
  <si>
    <t>MaldonClarion Housing Association Limited</t>
  </si>
  <si>
    <t>MaldonEnglish Rural Housing Association Limited</t>
  </si>
  <si>
    <t>MaldonEstuary Housing Association Limited</t>
  </si>
  <si>
    <t>MaldonHastoe Housing Association Limited</t>
  </si>
  <si>
    <t>MaldonHeylo Housing Registered Provider Limited</t>
  </si>
  <si>
    <t>MaldonLondon &amp; Quadrant Housing Trust</t>
  </si>
  <si>
    <t>MaldonMaldon Housing Association Limited</t>
  </si>
  <si>
    <t>MaldonMetropolitan Housing Trust Limited</t>
  </si>
  <si>
    <t>MaldonMoat Homes Limited</t>
  </si>
  <si>
    <t>MaldonNotting Hill Home Ownership Limited</t>
  </si>
  <si>
    <t>MaldonPlaces for People Homes Limited</t>
  </si>
  <si>
    <t>MaldonSalvation Army Housing Association</t>
  </si>
  <si>
    <t>MaldonSanctuary Housing Association</t>
  </si>
  <si>
    <t>MaldonSwan Housing Association Limited</t>
  </si>
  <si>
    <t>MaldonThe Henry Gilder Drake Charity</t>
  </si>
  <si>
    <t>Malvern HillsAdvance Housing and Support Limited</t>
  </si>
  <si>
    <t>Malvern HillsAnchor Hanover Group</t>
  </si>
  <si>
    <t>Malvern HillsBromford Housing Association Limited</t>
  </si>
  <si>
    <t>Malvern HillsCitizen Housing Group Limited</t>
  </si>
  <si>
    <t>Malvern HillsHeylo Housing Registered Provider Limited</t>
  </si>
  <si>
    <t>Malvern HillsHousing 21</t>
  </si>
  <si>
    <t>Malvern HillsPlatform Housing Group Limited</t>
  </si>
  <si>
    <t>Malvern HillsPlatform Housing Limited</t>
  </si>
  <si>
    <t>Malvern HillsRooftop Housing Association Limited</t>
  </si>
  <si>
    <t>Malvern HillsSanctuary Housing Association</t>
  </si>
  <si>
    <t>Malvern HillsThe Community Housing Group Limited</t>
  </si>
  <si>
    <t>Malvern HillsWalsall Housing Group Limited</t>
  </si>
  <si>
    <t>ManchesterAgudas Israel Housing Association Limited</t>
  </si>
  <si>
    <t>ManchesterAnchor Hanover Group</t>
  </si>
  <si>
    <t>ManchesterArawak Walton Housing Association Limited</t>
  </si>
  <si>
    <t>ManchesterArpeggio Properties Limited</t>
  </si>
  <si>
    <t>ManchesterCalico Homes Limited</t>
  </si>
  <si>
    <t>ManchesterCare Housing Association Limited</t>
  </si>
  <si>
    <t>ManchesterCentrepoint Soho</t>
  </si>
  <si>
    <t>ManchesterClarion Housing Association Limited</t>
  </si>
  <si>
    <t>ManchesterCommonplace Housing Co-operative Limited</t>
  </si>
  <si>
    <t>ManchesterCreative Support Limited</t>
  </si>
  <si>
    <t>ManchesterDepaul Housing Services</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</si>
  <si>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</si>
  <si>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</si>
  <si>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</si>
  <si>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</si>
  <si>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</si>
  <si>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</si>
  <si>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</si>
  <si>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</si>
  <si>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</si>
  <si>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Manchester'Johnnie' Johnson Housing Trust Limited</t>
  </si>
  <si>
    <t>ManchesterManchester Jewish Housing Association</t>
  </si>
  <si>
    <t>ManchesterMosscare St. Vincent's Housing Group Limited</t>
  </si>
  <si>
    <t>ManchesterNACRO</t>
  </si>
  <si>
    <t>ManchesterNew Longsight Housing Co-operative Limited</t>
  </si>
  <si>
    <t>ManchesterOne Manchester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</si>
  <si>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</si>
  <si>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</si>
  <si>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</si>
  <si>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</si>
  <si>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</si>
  <si>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</si>
  <si>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</si>
  <si>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</si>
  <si>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ManchesterSouthway Housing Trust (Manchester) Limited</t>
  </si>
  <si>
    <t>ManchesterThe Edward Mayes Trust</t>
  </si>
  <si>
    <t>ManchesterThe Guinness Partnership Limited</t>
  </si>
  <si>
    <t>ManchesterThe Richmond Fellowship</t>
  </si>
  <si>
    <t>ManchesterThe Riverside Group Limited</t>
  </si>
  <si>
    <t>ManchesterTrinity Housing Association Limited</t>
  </si>
  <si>
    <t>ManchesterTurning Point</t>
  </si>
  <si>
    <t>ManchesterYour Housing Limited</t>
  </si>
  <si>
    <t>MansfieldAcis Group Limited</t>
  </si>
  <si>
    <t>MansfieldAdvance Housing and Support Limited</t>
  </si>
  <si>
    <t>MansfieldBrunts Charity</t>
  </si>
  <si>
    <t>MansfieldEMH Housing and Regeneration Limited</t>
  </si>
  <si>
    <t>MansfieldFramework Housing Association</t>
  </si>
  <si>
    <t>MansfieldHousing 21</t>
  </si>
  <si>
    <t>MansfieldInclusion Housing Community Interest Company</t>
  </si>
  <si>
    <t>MansfieldLonghurst Group Limited</t>
  </si>
  <si>
    <t>MansfieldMetropolitan Housing Trust Limited</t>
  </si>
  <si>
    <t>MansfieldNottingham Community Housing Association Limited</t>
  </si>
  <si>
    <t>MansfieldParagon Asra Housing Limited</t>
  </si>
  <si>
    <t>MansfieldPlaces for People Homes Limited</t>
  </si>
  <si>
    <t>MansfieldProgress Housing Association Limited</t>
  </si>
  <si>
    <t>MansfieldReside Housing Association Limited</t>
  </si>
  <si>
    <t>MansfieldSanctuary Housing Association</t>
  </si>
  <si>
    <t>MansfieldSouth Yorkshire Housing Association Limited</t>
  </si>
  <si>
    <t>MansfieldTuntum Housing Association Limited</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</si>
  <si>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</si>
  <si>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</si>
  <si>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</si>
  <si>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</si>
  <si>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</si>
  <si>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</si>
  <si>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</si>
  <si>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MedwayHeylo Housing Registered Provider Limited</t>
  </si>
  <si>
    <t>MedwayHome Group Limited</t>
  </si>
  <si>
    <t>MedwayHousing 21</t>
  </si>
  <si>
    <t>MedwayHyde Housing Association Limited</t>
  </si>
  <si>
    <t>MedwayInclusion Housing Community Interest Company</t>
  </si>
  <si>
    <t>MedwayLangley House Trust</t>
  </si>
  <si>
    <t>MedwayLondon &amp; Quadrant Housing Trust</t>
  </si>
  <si>
    <t>MedwayMoat Homes Limited</t>
  </si>
  <si>
    <t>MedwayNotting Hill Home Ownership Limited</t>
  </si>
  <si>
    <t>MedwayOrbit Group Limited</t>
  </si>
  <si>
    <t>MedwayPlaces for People Homes Limited</t>
  </si>
  <si>
    <t>MedwayReside Housing Association Limited</t>
  </si>
  <si>
    <t>MedwaySanctuary Housing Association</t>
  </si>
  <si>
    <t>MedwayThe Riverside Group Limited</t>
  </si>
  <si>
    <t>MedwayTown and Country Housing</t>
  </si>
  <si>
    <t>MedwayWest Kent Housing Association</t>
  </si>
  <si>
    <t>MeltonAdvance Housing and Support Limited</t>
  </si>
  <si>
    <t>MeltonEMH Housing and Regeneration Limited</t>
  </si>
  <si>
    <t>MeltonEnglish Rural Housing Association Limited</t>
  </si>
  <si>
    <t>MeltonHeylo Housing Registered Provider Limited</t>
  </si>
  <si>
    <t>MeltonHousing 21</t>
  </si>
  <si>
    <t>MeltonLonghurst Group Limited</t>
  </si>
  <si>
    <t>MeltonMuir Group Housing Association Limited</t>
  </si>
  <si>
    <t>MeltonNottingham Community Housing Association Limited</t>
  </si>
  <si>
    <t>MeltonParagon Asra Housing Limited</t>
  </si>
  <si>
    <t>MeltonPlatform Housing Limited</t>
  </si>
  <si>
    <t>MeltonProgress Housing Association Limited</t>
  </si>
  <si>
    <t>MeltonThe Riverside Group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</si>
  <si>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</si>
  <si>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</si>
  <si>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</si>
  <si>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</si>
  <si>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</si>
  <si>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</si>
  <si>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MertonEkaya Housing Association Limited</t>
  </si>
  <si>
    <t>MertonHome Group Limited</t>
  </si>
  <si>
    <t>MertonHousing 21</t>
  </si>
  <si>
    <t>MertonHyde Housing Association Limited</t>
  </si>
  <si>
    <t>MertonLondon &amp; Quadrant Housing Trust</t>
  </si>
  <si>
    <t>MertonMetropolitan Housing Trust Limited</t>
  </si>
  <si>
    <t>MertonMillat Asian Housing Association Limited</t>
  </si>
  <si>
    <t>MertonMoat Homes Limited</t>
  </si>
  <si>
    <t>MertonNotting Hill Genesis</t>
  </si>
  <si>
    <t>MertonNotting Hill Home Ownership Limited</t>
  </si>
  <si>
    <t>MertonOrbit Group Limited</t>
  </si>
  <si>
    <t>MertonOrigin Housing Limited</t>
  </si>
  <si>
    <t>MertonParagon Asra Housing Limited</t>
  </si>
  <si>
    <t>MertonPeabody Trust</t>
  </si>
  <si>
    <t>MertonPlaces for People Homes Limited</t>
  </si>
  <si>
    <t>MertonSanctuary Housing Association</t>
  </si>
  <si>
    <t>MertonShepherds Bush Housing Association Limited</t>
  </si>
  <si>
    <t>MertonSt Christopher's Fellowship</t>
  </si>
  <si>
    <t>MertonThames Valley Housing Association Limited</t>
  </si>
  <si>
    <t>MertonThe Cinque Cottages</t>
  </si>
  <si>
    <t>MertonThe Riverside Group Limited</t>
  </si>
  <si>
    <t>MertonWandle Housing Association Limited</t>
  </si>
  <si>
    <t>MertonYMCA St Paul's Group</t>
  </si>
  <si>
    <t>Mid DevonAdvance Housing and Support Limited</t>
  </si>
  <si>
    <t>Mid DevonAster Communities</t>
  </si>
  <si>
    <t>Mid DevonClarion Housing Association Limited</t>
  </si>
  <si>
    <t>Mid DevonCornerstone Housing Limited</t>
  </si>
  <si>
    <t>Mid DevonFalcon Rural Housing Limited</t>
  </si>
  <si>
    <t>Mid DevonHastoe Housing Association Limited</t>
  </si>
  <si>
    <t>Mid DevonHousing 21</t>
  </si>
  <si>
    <t>Mid DevonLiveWest Homes Limited</t>
  </si>
  <si>
    <t>Mid DevonProgress Housing Association Limited</t>
  </si>
  <si>
    <t>Mid DevonSanctuary Housing Association</t>
  </si>
  <si>
    <t>Mid DevonSovereign Housing Association Limited</t>
  </si>
  <si>
    <t>Mid DevonStonewater (5) Limited</t>
  </si>
  <si>
    <t>Mid DevonStonewater Limited</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</si>
  <si>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</si>
  <si>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</si>
  <si>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</si>
  <si>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</si>
  <si>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</si>
  <si>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</si>
  <si>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SuffolkAnchor Hanover Group</t>
  </si>
  <si>
    <t>Mid SuffolkClarion Housing Association Limited</t>
  </si>
  <si>
    <t>Mid SuffolkFlagship Housing Group Limited</t>
  </si>
  <si>
    <t>Mid SuffolkHastoe Housing Association Limited</t>
  </si>
  <si>
    <t>Mid SuffolkHeylo Housing Registered Provider Limited</t>
  </si>
  <si>
    <t>Mid SuffolkHousing 21</t>
  </si>
  <si>
    <t>Mid SuffolkOrbit Group Limited</t>
  </si>
  <si>
    <t>Mid SuffolkOrwell Housing Association Limited</t>
  </si>
  <si>
    <t>Mid SuffolkPlaces for People Homes Limited</t>
  </si>
  <si>
    <t>Mid SuffolkProgress Housing Association Limited</t>
  </si>
  <si>
    <t>Mid SuffolkSaffron Housing Trust Limited</t>
  </si>
  <si>
    <t>Mid SuffolkSanctuary Affordable Housing Limited</t>
  </si>
  <si>
    <t>Mid SuffolkSanctuary Housing Association</t>
  </si>
  <si>
    <t>Mid SuffolkThe Havebury Housing Partnership</t>
  </si>
  <si>
    <t>Mid SuffolkThe Papworth Trust</t>
  </si>
  <si>
    <t>Mid SuffolkThe Riverside Group Limited</t>
  </si>
  <si>
    <t>Mid SussexAccent Housing Limited</t>
  </si>
  <si>
    <t>Mid SussexAnchor Hanover Group</t>
  </si>
  <si>
    <t>Mid SussexClarion Housing Association Limited</t>
  </si>
  <si>
    <t>Mid SussexEldon Housing Association Limited</t>
  </si>
  <si>
    <t>Mid SussexEnglish Rural Housing Association Limited</t>
  </si>
  <si>
    <t>Mid SussexFranklands Village Housing Association Limited</t>
  </si>
  <si>
    <t>Mid SussexGreenoak Housing Association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</si>
  <si>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</si>
  <si>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</si>
  <si>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</si>
  <si>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</si>
  <si>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</si>
  <si>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</si>
  <si>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SussexMetropolitan Housing Trust Limited</t>
  </si>
  <si>
    <t>Mid SussexMoat Homes Limited</t>
  </si>
  <si>
    <t>Mid SussexOrbit Group Limited</t>
  </si>
  <si>
    <t>Mid SussexRaven Housing Trust Limited</t>
  </si>
  <si>
    <t>Mid SussexSaxon Weald</t>
  </si>
  <si>
    <t>Mid SussexSouthdown Housing Association Limited</t>
  </si>
  <si>
    <t>Mid SussexStonewater Limited</t>
  </si>
  <si>
    <t>Mid SussexThe Guinness Partnership Limited</t>
  </si>
  <si>
    <t>MiddlesbroughAccent Housing Limited</t>
  </si>
  <si>
    <t>MiddlesbroughAnchor Hanover Group</t>
  </si>
  <si>
    <t>MiddlesbroughArpeggio Properties Limited</t>
  </si>
  <si>
    <t>MiddlesbroughBernicia Group</t>
  </si>
  <si>
    <t>MiddlesbroughBeyond Housing Limited</t>
  </si>
  <si>
    <t>MiddlesbroughCreative Support Limited</t>
  </si>
  <si>
    <t>MiddlesbroughDimensions (UK) Limited</t>
  </si>
  <si>
    <t>MiddlesbroughHabinteg Housing Association Limited</t>
  </si>
  <si>
    <t>MiddlesbroughHome Group Limited</t>
  </si>
  <si>
    <t>MiddlesbroughHousing 21</t>
  </si>
  <si>
    <t>MiddlesbroughKarbon Homes Limited</t>
  </si>
  <si>
    <t>MiddlesbroughNorth Star Housing Group</t>
  </si>
  <si>
    <t>MiddlesbroughOxfield Housing Co-operative Association Limited</t>
  </si>
  <si>
    <t>MiddlesbroughParagon Asra Housing Limited</t>
  </si>
  <si>
    <t>MiddlesbroughPlaces for People Homes Limited</t>
  </si>
  <si>
    <t>MiddlesbroughProgress Housing Association Limited</t>
  </si>
  <si>
    <t>MiddlesbroughRailway Housing Association and Benefit Fund</t>
  </si>
  <si>
    <t>MiddlesbroughSalvation Army Housing Association</t>
  </si>
  <si>
    <t>MiddlesbroughSanctuary Housing Association</t>
  </si>
  <si>
    <t>MiddlesbroughThe Riverside Group Limited</t>
  </si>
  <si>
    <t>MiddlesbroughThirteen Housing Group Limited</t>
  </si>
  <si>
    <t>Milton KeynesA2Dominion Homes Limited</t>
  </si>
  <si>
    <t>Milton KeynesAccent Housing Limited</t>
  </si>
  <si>
    <t>Milton KeynesAdvance Housing and Support Limited</t>
  </si>
  <si>
    <t>Milton KeynesAlmshouses of Miss Anne Hopkins-Smith</t>
  </si>
  <si>
    <t>Milton KeynesAnchor Hanover Group</t>
  </si>
  <si>
    <t>Milton Keynesbpha Limited</t>
  </si>
  <si>
    <t>Milton KeynesClarion Housing Association Limited</t>
  </si>
  <si>
    <t>Milton KeynesCo-operative Development Society Limited</t>
  </si>
  <si>
    <t>Milton KeynesCross Keys Homes Limited</t>
  </si>
  <si>
    <t>Milton KeynesDimensions (UK) Limited</t>
  </si>
  <si>
    <t>Milton KeynesGrand Union Housing Group Limited</t>
  </si>
  <si>
    <t>Milton KeynesHabinteg Housing Association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</si>
  <si>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</si>
  <si>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</si>
  <si>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</si>
  <si>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</si>
  <si>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</si>
  <si>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</si>
  <si>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KeynesMetropolitan Housing Trust Limited</t>
  </si>
  <si>
    <t>Milton KeynesMidland Heart Limited</t>
  </si>
  <si>
    <t>Milton KeynesMilton Keynes YMCA Limited</t>
  </si>
  <si>
    <t>Milton KeynesNotting Hill Genesis</t>
  </si>
  <si>
    <t>Milton KeynesNotting Hill Home Ownership Limited</t>
  </si>
  <si>
    <t>Milton KeynesOld Farm Park Housing Co-operative Limited</t>
  </si>
  <si>
    <t>Milton KeynesOrbit Group Limited</t>
  </si>
  <si>
    <t>Milton KeynesParadigm Homes Charitable Housing Association Limited</t>
  </si>
  <si>
    <t>Milton KeynesPlaces for People Homes Limited</t>
  </si>
  <si>
    <t>Milton KeynesPlaces for People Living+ Limited</t>
  </si>
  <si>
    <t>Milton KeynesReside Housing Association Limited</t>
  </si>
  <si>
    <t>Milton KeynesSanctuary Housing Association</t>
  </si>
  <si>
    <t>Milton KeynesSettle Group</t>
  </si>
  <si>
    <t>Milton KeynesStonewater Limited</t>
  </si>
  <si>
    <t>Milton KeynesThe Guinness Partnership Limited</t>
  </si>
  <si>
    <t>Milton KeynesThe Richmond Fellowship</t>
  </si>
  <si>
    <t>Milton KeynesThrive Homes Limited</t>
  </si>
  <si>
    <t>Mole ValleyA2Dominion Homes Limited</t>
  </si>
  <si>
    <t>Mole ValleyA2Dominion South Limited</t>
  </si>
  <si>
    <t>Mole ValleyAbility Housing Association</t>
  </si>
  <si>
    <t>Mole ValleyAdvance Housing and Support Limited</t>
  </si>
  <si>
    <t>Mole ValleyAnchor Hanover Group</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</si>
  <si>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</si>
  <si>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</si>
  <si>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</si>
  <si>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</si>
  <si>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</si>
  <si>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</si>
  <si>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</si>
  <si>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</si>
  <si>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</si>
  <si>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</si>
  <si>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</si>
  <si>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</si>
  <si>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ValleyRaven Housing Trust Limited</t>
  </si>
  <si>
    <t>Mole ValleyReside Housing Association Limited</t>
  </si>
  <si>
    <t>Mole ValleySovereign Housing Association Limited</t>
  </si>
  <si>
    <t>Mole ValleyThe Field Lane Foundation</t>
  </si>
  <si>
    <t>Mole ValleyThe Grange Centre for People with Disabilities</t>
  </si>
  <si>
    <t>Mole ValleyThe Riverside Group Limited</t>
  </si>
  <si>
    <t>Mole ValleyTown and Country Housing</t>
  </si>
  <si>
    <t>Mole ValleyTransform Housing &amp; Support</t>
  </si>
  <si>
    <t>Newark and SherwoodAccent Housing Limited</t>
  </si>
  <si>
    <t>Newark and SherwoodAcis Group Limited</t>
  </si>
  <si>
    <t>Newark and SherwoodAdvance Housing and Support Limited</t>
  </si>
  <si>
    <t>Newark and SherwoodAnchor Hanover Group</t>
  </si>
  <si>
    <t>Newark and SherwoodEMH Housing and Regeneration Limited</t>
  </si>
  <si>
    <t>Newark and SherwoodEmpower Housing Association Limited</t>
  </si>
  <si>
    <t>Newark and SherwoodFramework Housing Association</t>
  </si>
  <si>
    <t>Newark and SherwoodHeylo Housing Registered Provider Limited</t>
  </si>
  <si>
    <t>Newark and SherwoodHome Group Limited</t>
  </si>
  <si>
    <t>Newark and Sherwood'Johnnie' Johnson Housing Trust Limited</t>
  </si>
  <si>
    <t>Newark and SherwoodLonghurst Group Limited</t>
  </si>
  <si>
    <t>Newark and SherwoodMetropolitan Housing Trust Limited</t>
  </si>
  <si>
    <t>Newark and SherwoodNewark Housing Association Limited</t>
  </si>
  <si>
    <t>Newark and SherwoodNottingham Community Housing Association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</si>
  <si>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</si>
  <si>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</si>
  <si>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</si>
  <si>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</si>
  <si>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</si>
  <si>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SherwoodStonewater (5) Limited</t>
  </si>
  <si>
    <t>Newark and SherwoodThe Charity of St Leonard's Hospital</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</si>
  <si>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</si>
  <si>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</si>
  <si>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</si>
  <si>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</si>
  <si>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</si>
  <si>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TyneBernicia Group</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</si>
  <si>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</si>
  <si>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</si>
  <si>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</si>
  <si>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</si>
  <si>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</si>
  <si>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</si>
  <si>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</si>
  <si>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</si>
  <si>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Tyne'Johnnie' Johnson Housing Trust Limited</t>
  </si>
  <si>
    <t>Newcastle upon TyneKarbon Homes Limited</t>
  </si>
  <si>
    <t>Newcastle upon TyneLeazes Homes Limited</t>
  </si>
  <si>
    <t>Newcastle upon TyneMethodist Homes Housing Association Limited</t>
  </si>
  <si>
    <t>Newcastle upon TyneNew Moves Housing Co-operative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</si>
  <si>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</si>
  <si>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</si>
  <si>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</si>
  <si>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</si>
  <si>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</si>
  <si>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</si>
  <si>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</si>
  <si>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</si>
  <si>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</si>
  <si>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</si>
  <si>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</si>
  <si>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</si>
  <si>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</si>
  <si>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</si>
  <si>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</si>
  <si>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</si>
  <si>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</si>
  <si>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Newcastle-under-LymeHoneycomb Group Limited</t>
  </si>
  <si>
    <t>Newcastle-under-LymeHousing 21</t>
  </si>
  <si>
    <t>Newcastle-under-LymeMidland Heart Limited</t>
  </si>
  <si>
    <t>Newcastle-under-LymePlus Dane Housing Limited</t>
  </si>
  <si>
    <t>Newcastle-under-LymeSanctuary Housing Association</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</si>
  <si>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</si>
  <si>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</si>
  <si>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</si>
  <si>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</si>
  <si>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</si>
  <si>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</si>
  <si>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NewhamAston-Mansfield Charitable Trust</t>
  </si>
  <si>
    <t>NewhamBahay Kubo Housing Association Limited</t>
  </si>
  <si>
    <t>NewhamCentrepoint Soho</t>
  </si>
  <si>
    <t>NewhamClarion Housing Association Limited</t>
  </si>
  <si>
    <t>NewhamGateway Housing Association Limited</t>
  </si>
  <si>
    <t>NewhamGrainger Trust Limited</t>
  </si>
  <si>
    <t>NewhamHabinteg Housing Association Limited</t>
  </si>
  <si>
    <t>NewhamHeylo Housing Registered Provider Limited</t>
  </si>
  <si>
    <t>NewhamHome from Home Housing Association Limited</t>
  </si>
  <si>
    <t>NewhamHome Group Limited</t>
  </si>
  <si>
    <t>NewhamKarin Housing Association Limited</t>
  </si>
  <si>
    <t>NewhamLocal Space</t>
  </si>
  <si>
    <t>NewhamLondon &amp; Quadrant Housing Trust</t>
  </si>
  <si>
    <t>NewhamLonglife Housing Co-operative Limited</t>
  </si>
  <si>
    <t>NewhamLook Ahead Care and Support Limited</t>
  </si>
  <si>
    <t>NewhamMetropolitan Housing Trust Limited</t>
  </si>
  <si>
    <t>NewhamNorth London Muslim Housing Association Limited</t>
  </si>
  <si>
    <t>NewhamNotting Hill Genesis</t>
  </si>
  <si>
    <t>NewhamNotting Hill Home Ownership Limited</t>
  </si>
  <si>
    <t>NewhamOmega Housing Limited</t>
  </si>
  <si>
    <t>NewhamParagon Asra Housing Limited</t>
  </si>
  <si>
    <t>NewhamPeabody Trust</t>
  </si>
  <si>
    <t>NewhamPhoenix Community Housing Co-operative Limited</t>
  </si>
  <si>
    <t>NewhamPlaces for People Homes Limited</t>
  </si>
  <si>
    <t>NewhamPlaces for People Living+ Limited</t>
  </si>
  <si>
    <t>NewhamSanctuary Affordable Housing Limited</t>
  </si>
  <si>
    <t>NewhamSanctuary Housing Association</t>
  </si>
  <si>
    <t>NewhamSwan Housing Association Limited</t>
  </si>
  <si>
    <t>NewhamTamil Community Housing Association Limited</t>
  </si>
  <si>
    <t>NewhamThe Guinness Partnership Limited</t>
  </si>
  <si>
    <t>NewhamThe Riverside Group Limited</t>
  </si>
  <si>
    <t>NewhamWest Ham Non-Ecclesiastical Charity</t>
  </si>
  <si>
    <t>NewhamWinsor Housing Co-operative Limited</t>
  </si>
  <si>
    <t>North DevonAdvance Housing and Support Limited</t>
  </si>
  <si>
    <t>North DevonAnchor Hanover Group</t>
  </si>
  <si>
    <t>North DevonAster Communities</t>
  </si>
  <si>
    <t>North DevonFrontis Homes Limited</t>
  </si>
  <si>
    <t>North DevonHastoe Housing Association Limited</t>
  </si>
  <si>
    <t>North DevonHeylo Housing Registered Provider Limited</t>
  </si>
  <si>
    <t>North DevonHousing 21</t>
  </si>
  <si>
    <t>North DevonLiveWest Homes Limited</t>
  </si>
  <si>
    <t>North DevonMethodist Homes Housing Association Limited</t>
  </si>
  <si>
    <t>North DevonMoat Homes Limited</t>
  </si>
  <si>
    <t>North DevonNorth Devon Homes</t>
  </si>
  <si>
    <t>North DevonProgress Housing Association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</si>
  <si>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</si>
  <si>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</si>
  <si>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</si>
  <si>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</si>
  <si>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</si>
  <si>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</si>
  <si>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</si>
  <si>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</si>
  <si>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</si>
  <si>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DerbyshireArches Housing Limited</t>
  </si>
  <si>
    <t>North East DerbyshireEMH Housing and Regeneration Limited</t>
  </si>
  <si>
    <t>North East DerbyshireFutures Homescape Limited</t>
  </si>
  <si>
    <t>North East DerbyshireHeylo Housing Registered Provider Limited</t>
  </si>
  <si>
    <t>North East DerbyshireHousing 21</t>
  </si>
  <si>
    <t>North East DerbyshireInclusion Housing Community Interest Company</t>
  </si>
  <si>
    <t>North East DerbyshireMetropolitan Housing Trust Limited</t>
  </si>
  <si>
    <t>North East DerbyshirePeak District Rural Housing Association Limited</t>
  </si>
  <si>
    <t>North East DerbyshirePlaces for People Living+ Limited</t>
  </si>
  <si>
    <t>North East DerbyshirePlatform Housing Limited</t>
  </si>
  <si>
    <t>North East DerbyshireReside Housing Association Limited</t>
  </si>
  <si>
    <t>North East DerbyshireRykneld Homes Limited</t>
  </si>
  <si>
    <t>North East DerbyshireSanctuary Affordable Housing Limited</t>
  </si>
  <si>
    <t>North East DerbyshireSanctuary Housing Association</t>
  </si>
  <si>
    <t>North East DerbyshireSouth Yorkshire Housing Association Limited</t>
  </si>
  <si>
    <t>North East DerbyshireThe Guinness Partnership Limited</t>
  </si>
  <si>
    <t>North East DerbyshireTogether Housing Association Limited</t>
  </si>
  <si>
    <t>North East LincolnshireAcis Group Limited</t>
  </si>
  <si>
    <t>North East LincolnshireAnchor Hanover Group</t>
  </si>
  <si>
    <t>North East LincolnshireArpeggio Properties Limited</t>
  </si>
  <si>
    <t>North East LincolnshireChrysalis Supported Association Limited</t>
  </si>
  <si>
    <t>North East LincolnshireGrantham's Almshouses</t>
  </si>
  <si>
    <t>North East LincolnshireHousing 21</t>
  </si>
  <si>
    <t>North East LincolnshireInclusion Housing Community Interest Company</t>
  </si>
  <si>
    <t>North East LincolnshireLincolnshire Housing Partnership Limited</t>
  </si>
  <si>
    <t>North East LincolnshireLonghurst Group Limited</t>
  </si>
  <si>
    <t>North East LincolnshirePlaces for People Homes Limited</t>
  </si>
  <si>
    <t>North East LincolnshireProgress Housing Association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</si>
  <si>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</si>
  <si>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</si>
  <si>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</si>
  <si>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</si>
  <si>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</si>
  <si>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HertfordshireAnchor Hanover Group</t>
  </si>
  <si>
    <t>North HertfordshireB3 Living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</si>
  <si>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</si>
  <si>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</si>
  <si>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</si>
  <si>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</si>
  <si>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</si>
  <si>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</si>
  <si>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</si>
  <si>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</si>
  <si>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</si>
  <si>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Hertfordshire'Johnnie' Johnson Housing Trust Limited</t>
  </si>
  <si>
    <t>North HertfordshireMetropolitan Housing Trust Limited</t>
  </si>
  <si>
    <t>North HertfordshireNotting Hill Genesis</t>
  </si>
  <si>
    <t>North HertfordshireNotting Hill Home Ownership Limited</t>
  </si>
  <si>
    <t>North HertfordshireOrigin Housing 2 Limited</t>
  </si>
  <si>
    <t>North HertfordshireOrigin Housing Limited</t>
  </si>
  <si>
    <t>North HertfordshireParadigm Homes Charitable Housing Association Limited</t>
  </si>
  <si>
    <t>North HertfordshirePlaces for People Homes Limited</t>
  </si>
  <si>
    <t>North HertfordshireReside Housing Association Limited</t>
  </si>
  <si>
    <t>North HertfordshireSanctuary Housing Association</t>
  </si>
  <si>
    <t>North HertfordshireSettle Group</t>
  </si>
  <si>
    <t>North HertfordshireSt Mungo Community Housing Association</t>
  </si>
  <si>
    <t>North HertfordshireThe Guinness Partnership Limited</t>
  </si>
  <si>
    <t>North HertfordshireThe Papworth Trust</t>
  </si>
  <si>
    <t>North HertfordshireThrive Homes Limited</t>
  </si>
  <si>
    <t>North KestevenAcis Group Limited</t>
  </si>
  <si>
    <t>North KestevenAdvance Housing and Support Limited</t>
  </si>
  <si>
    <t>North KestevenEMH Housing and Regeneration Limited</t>
  </si>
  <si>
    <t>North KestevenEmpower Housing Association Limited</t>
  </si>
  <si>
    <t>North KestevenFramework Housing Association</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</si>
  <si>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</si>
  <si>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</si>
  <si>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</si>
  <si>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</si>
  <si>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</si>
  <si>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KestevenLonghurst Group Limited</t>
  </si>
  <si>
    <t>North KestevenNottingham Community Housing Association Limited</t>
  </si>
  <si>
    <t>North KestevenOngo Homes Limited</t>
  </si>
  <si>
    <t>North KestevenParasol Homes Limited</t>
  </si>
  <si>
    <t>North KestevenPartners Foundation Limited</t>
  </si>
  <si>
    <t>North KestevenPlaces for People Homes Limited</t>
  </si>
  <si>
    <t>North KestevenPlatform Housing Limited</t>
  </si>
  <si>
    <t>North KestevenProgress Housing Association Limited</t>
  </si>
  <si>
    <t>North KestevenReside Housing Association Limited</t>
  </si>
  <si>
    <t>North KestevenSanctuary Housing Association</t>
  </si>
  <si>
    <t>North KestevenThe Teetotal Homes</t>
  </si>
  <si>
    <t>North LincolnshireAcis Group Limited</t>
  </si>
  <si>
    <t>North LincolnshireAnchor Hanover Group</t>
  </si>
  <si>
    <t>North LincolnshireCare Housing Association Limited</t>
  </si>
  <si>
    <t>North LincolnshireFramework Housing Association</t>
  </si>
  <si>
    <t>North LincolnshireHome Group Limited</t>
  </si>
  <si>
    <t>North LincolnshireHousing 21</t>
  </si>
  <si>
    <t>North LincolnshireInclusion Housing Community Interest Company</t>
  </si>
  <si>
    <t>North LincolnshireLincolnshire Rural Housing Association Limited</t>
  </si>
  <si>
    <t>North LincolnshireLonghurst Group Limited</t>
  </si>
  <si>
    <t>North LincolnshireOngo Homes Limited</t>
  </si>
  <si>
    <t>North LincolnshirePlaces for People Homes Limited</t>
  </si>
  <si>
    <t>North LincolnshirePlaces for People Living+ Limited</t>
  </si>
  <si>
    <t>North LincolnshireProgress Housing Association Limited</t>
  </si>
  <si>
    <t>North LincolnshireSanctuary Housing Association</t>
  </si>
  <si>
    <t>North LincolnshireThe Riverside Group Limited</t>
  </si>
  <si>
    <t>North NorfolkAnchor Hanover Group</t>
  </si>
  <si>
    <t>North NorfolkBroadland Housing Association Limited</t>
  </si>
  <si>
    <t>North NorfolkClarion Housing Association Limited</t>
  </si>
  <si>
    <t>North NorfolkFlagship Housing Group Limited</t>
  </si>
  <si>
    <t>North NorfolkHabinteg Housing Association Limited</t>
  </si>
  <si>
    <t>North NorfolkHastoe Housing Association Limited</t>
  </si>
  <si>
    <t>North NorfolkHomes for Wells Limited</t>
  </si>
  <si>
    <t>North NorfolkHousing 21</t>
  </si>
  <si>
    <t>North NorfolkPlaces for People Homes Limited</t>
  </si>
  <si>
    <t>North NorfolkProgress Housing Association Limited</t>
  </si>
  <si>
    <t>North NorfolkSaffron Housing Trust Limited</t>
  </si>
  <si>
    <t>North NorfolkSanctuary Affordable Housing Limited</t>
  </si>
  <si>
    <t>North NorfolkWestmoreland Supported Housing Limited</t>
  </si>
  <si>
    <t>North SomersetAdvance Housing and Support Limited</t>
  </si>
  <si>
    <t>North SomersetAnchor Hanover Group</t>
  </si>
  <si>
    <t>North SomersetAster Communities</t>
  </si>
  <si>
    <t>North SomersetBristowe (Fair Rent) Housing Association Limited</t>
  </si>
  <si>
    <t>North SomersetBrunelcare</t>
  </si>
  <si>
    <t>North SomersetCuro Places Limited</t>
  </si>
  <si>
    <t>North SomersetElim Housing Association Limited</t>
  </si>
  <si>
    <t>North SomersetEnglish Rural Housing Association Limited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</si>
  <si>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</si>
  <si>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</si>
  <si>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</si>
  <si>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</si>
  <si>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</si>
  <si>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SomersetLiveWest Homes Limited</t>
  </si>
  <si>
    <t>North SomersetMerlin Housing Society Limited</t>
  </si>
  <si>
    <t>North SomersetMethodist Homes Housing Association Limited</t>
  </si>
  <si>
    <t>North SomersetMoat Homes Limited</t>
  </si>
  <si>
    <t>North SomersetNew Foundations Housing Association Limited</t>
  </si>
  <si>
    <t>North SomersetNSAH (Alliance Homes) Limited</t>
  </si>
  <si>
    <t>North SomersetPlaces for People Homes Limited</t>
  </si>
  <si>
    <t>North SomersetPlaces for People Living+ Limited</t>
  </si>
  <si>
    <t>North SomersetRooftop Housing Association Limited</t>
  </si>
  <si>
    <t>North SomersetSalvation Army Housing Association</t>
  </si>
  <si>
    <t>North SomersetSanctuary Housing Association</t>
  </si>
  <si>
    <t>North SomersetSidcot Friends Housing Society Limited</t>
  </si>
  <si>
    <t>North SomersetSovereign Housing Association Limited</t>
  </si>
  <si>
    <t>North SomersetStonewater Limited</t>
  </si>
  <si>
    <t>North SomersetThe Abbeyfield Society</t>
  </si>
  <si>
    <t>North SomersetThe Guinness Partnership Limited</t>
  </si>
  <si>
    <t>North SomersetThe Richmond Fellowship</t>
  </si>
  <si>
    <t>North SomersetWestmoreland Supported Housing Limited</t>
  </si>
  <si>
    <t>North TynesideAnchor Hanover Group</t>
  </si>
  <si>
    <t>North TynesideArpeggio Properties Limited</t>
  </si>
  <si>
    <t>North TynesideBernicia Group</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</si>
  <si>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</si>
  <si>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</si>
  <si>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</si>
  <si>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</si>
  <si>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</si>
  <si>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</si>
  <si>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</si>
  <si>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</si>
  <si>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</si>
  <si>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</si>
  <si>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</si>
  <si>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Tyneside'Johnnie' Johnson Housing Trust Limited</t>
  </si>
  <si>
    <t>North TynesideKarbon Homes Limited</t>
  </si>
  <si>
    <t>North TynesideMetropolitan Housing Trust Limited</t>
  </si>
  <si>
    <t>North TynesidePlaces for People Homes Limited</t>
  </si>
  <si>
    <t>North TynesidePlaces for People Living+ Limited</t>
  </si>
  <si>
    <t>North TynesideProgress Housing Association Limited</t>
  </si>
  <si>
    <t>North TynesideRailway Housing Association and Benefit Fund</t>
  </si>
  <si>
    <t>North TynesideRed House Farm Housing Co-operative Limited</t>
  </si>
  <si>
    <t>North TynesideReside Housing Association Limited</t>
  </si>
  <si>
    <t>North TynesideSquare Building Trust Limited</t>
  </si>
  <si>
    <t>North TynesideTCUK Homes Limited</t>
  </si>
  <si>
    <t>North TynesideThe Riverside Group Limited</t>
  </si>
  <si>
    <t>North TynesideThirteen Housing Group Limited</t>
  </si>
  <si>
    <t>North TynesideTurning Point</t>
  </si>
  <si>
    <t>North TynesideTyne Housing Association Limited</t>
  </si>
  <si>
    <t>North TynesideYMCA North Tyneside</t>
  </si>
  <si>
    <t>North WarwickshireAdvance Housing and Support Limited</t>
  </si>
  <si>
    <t>North WarwickshireCitizen Housing Group Limited</t>
  </si>
  <si>
    <t>North WarwickshireFairplace Homes Ltd</t>
  </si>
  <si>
    <t>North WarwickshireLegal &amp; General Affordable Homes Limited</t>
  </si>
  <si>
    <t>North WarwickshireMidland Heart Limited</t>
  </si>
  <si>
    <t>North WarwickshireOrbit Group Limited</t>
  </si>
  <si>
    <t>North WarwickshireParagon Asra Housing Limited</t>
  </si>
  <si>
    <t>North WarwickshirePlatform Housing Limited</t>
  </si>
  <si>
    <t>North WarwickshireTrent &amp; Dove Housing Limited</t>
  </si>
  <si>
    <t>North WarwickshireWarwickshire Rural Housing Association Limited</t>
  </si>
  <si>
    <t>North West LeicestershireAdullam Homes Housing Association Limited</t>
  </si>
  <si>
    <t>North West LeicestershireAdvance Housing and Support Limited</t>
  </si>
  <si>
    <t>North West LeicestershireEMH Housing and Regeneration Limited</t>
  </si>
  <si>
    <t>North West LeicestershireEnglish Rural Housing Association Limited</t>
  </si>
  <si>
    <t>North West LeicestershireFarmer and Lemmoin-Cannon Charity</t>
  </si>
  <si>
    <t>North West LeicestershireFutures Homescape Limited</t>
  </si>
  <si>
    <t>North West LeicestershireHeylo Housing Registered Provider Limited</t>
  </si>
  <si>
    <t>North West LeicestershireHousing 21</t>
  </si>
  <si>
    <t>North West LeicestershireLonghurst Group Limited</t>
  </si>
  <si>
    <t>North West LeicestershireMidland Heart Limited</t>
  </si>
  <si>
    <t>North West LeicestershireNottingham Community Housing Association Limited</t>
  </si>
  <si>
    <t>North West LeicestershireParagon Asra Housing Limited</t>
  </si>
  <si>
    <t>North West LeicestershirePlatform Housing Limited</t>
  </si>
  <si>
    <t>North West LeicestershireSanctuary Affordable Housing Limited</t>
  </si>
  <si>
    <t>North West LeicestershireSanctuary Housing Association</t>
  </si>
  <si>
    <t>North West LeicestershireThe Exaireo Trust Ltd</t>
  </si>
  <si>
    <t>North West LeicestershireThe Riverside Group Limited</t>
  </si>
  <si>
    <t>North West LeicestershireTrent &amp; Dove Housing Limited</t>
  </si>
  <si>
    <t>NorthumberlandAdvance Housing and Support Limited</t>
  </si>
  <si>
    <t>NorthumberlandAnchor Hanover Group</t>
  </si>
  <si>
    <t>NorthumberlandArpeggio Properties Limited</t>
  </si>
  <si>
    <t>NorthumberlandBernicia Group</t>
  </si>
  <si>
    <t>NorthumberlandBomarsund Housing Co-operative Limited</t>
  </si>
  <si>
    <t>NorthumberlandCastles &amp; Coasts Housing Association Limited</t>
  </si>
  <si>
    <t>NorthumberlandDimensions (UK) Limited</t>
  </si>
  <si>
    <t>NorthumberlandGentoo Group Limited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</si>
  <si>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</si>
  <si>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</si>
  <si>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</si>
  <si>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</si>
  <si>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</si>
  <si>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</si>
  <si>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Northumberland'Johnnie' Johnson Housing Trust Limited</t>
  </si>
  <si>
    <t>NorthumberlandKarbon Homes Limited</t>
  </si>
  <si>
    <t>NorthumberlandPlaces for People Homes Limited</t>
  </si>
  <si>
    <t>NorthumberlandPlaces for People Living+ Limited</t>
  </si>
  <si>
    <t>NorthumberlandRailway Housing Association and Benefit Fund</t>
  </si>
  <si>
    <t>NorthumberlandReside Housing Association Limited</t>
  </si>
  <si>
    <t>NorthumberlandTCUK Homes Limited</t>
  </si>
  <si>
    <t>NorthumberlandThe Abbeyfield Berwick Society Limited</t>
  </si>
  <si>
    <t>NorthumberlandThe Abbeyfield Society</t>
  </si>
  <si>
    <t>NorthumberlandThe Glendale Gateway Trust</t>
  </si>
  <si>
    <t>NorthumberlandThe Hunter Memorial Homes Trust</t>
  </si>
  <si>
    <t>NorthumberlandThe Riverside Group Limited</t>
  </si>
  <si>
    <t>NorthumberlandThirteen Housing Group Limited</t>
  </si>
  <si>
    <t>NorthumberlandTyne Housing Association Limited</t>
  </si>
  <si>
    <t>NorthumberlandWestmoreland Supported Housing Limited</t>
  </si>
  <si>
    <t>NorwichAnchor Hanover Group</t>
  </si>
  <si>
    <t>Norwichbpha Limited</t>
  </si>
  <si>
    <t>NorwichBroadland Housing Association Limited</t>
  </si>
  <si>
    <t>NorwichClarion Housing Association Limited</t>
  </si>
  <si>
    <t>NorwichCo-op Homes (South) Limited</t>
  </si>
  <si>
    <t>NorwichCorton House Limited</t>
  </si>
  <si>
    <t>NorwichDimensions (UK) Limited</t>
  </si>
  <si>
    <t>NorwichFlagship Housing Group Limited</t>
  </si>
  <si>
    <t>NorwichGreat Hospital</t>
  </si>
  <si>
    <t>NorwichHabinteg Housing Association Limited</t>
  </si>
  <si>
    <t>NorwichHome Group Limited</t>
  </si>
  <si>
    <t>NorwichHousing 21</t>
  </si>
  <si>
    <t>NorwichLondon &amp; Quadrant Housing Trust</t>
  </si>
  <si>
    <t>NorwichMoat Homes Limited</t>
  </si>
  <si>
    <t>NorwichNorwich Consolidated Charities</t>
  </si>
  <si>
    <t>NorwichNorwich Housing Society Limited</t>
  </si>
  <si>
    <t>NorwichOrbit Group Limited</t>
  </si>
  <si>
    <t>NorwichOrwell Housing Association Limited</t>
  </si>
  <si>
    <t>NorwichPlaces for People Homes Limited</t>
  </si>
  <si>
    <t>NorwichReside Housing Association Limited</t>
  </si>
  <si>
    <t>NorwichSaffron Housing Trust Limited</t>
  </si>
  <si>
    <t>NorwichSanctuary Affordable Housing Limited</t>
  </si>
  <si>
    <t>NorwichStonewater Limited</t>
  </si>
  <si>
    <t>NorwichThe Stuart Court Memorial Charity</t>
  </si>
  <si>
    <t>NorwichYMCA Norfolk</t>
  </si>
  <si>
    <t>NottinghamAccent Housing Limited</t>
  </si>
  <si>
    <t>NottinghamAdvance Housing and Support Limited</t>
  </si>
  <si>
    <t>NottinghamAnchor Hanover Group</t>
  </si>
  <si>
    <t>NottinghamCare Housing Association Limited</t>
  </si>
  <si>
    <t>NottinghamChrysalis Supported Association Limited</t>
  </si>
  <si>
    <t>NottinghamEMH Housing and Regeneration Limited</t>
  </si>
  <si>
    <t>NottinghamFramework Housing Association</t>
  </si>
  <si>
    <t>NottinghamHeylo Housing Registered Provider Limited</t>
  </si>
  <si>
    <t>NottinghamHilldale Housing Association Limited</t>
  </si>
  <si>
    <t>NottinghamHousing 21</t>
  </si>
  <si>
    <t>NottinghamInclusion Housing Community Interest Company</t>
  </si>
  <si>
    <t>Nottingham'Johnnie' Johnson Housing Trust Limited</t>
  </si>
  <si>
    <t>NottinghamLonghurst Group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</si>
  <si>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</si>
  <si>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</si>
  <si>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</si>
  <si>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</si>
  <si>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</si>
  <si>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</si>
  <si>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NottinghamParagon Asra Housing Limited</t>
  </si>
  <si>
    <t>NottinghamPartners Foundation Limited</t>
  </si>
  <si>
    <t>NottinghamPlaces for People Homes Limited</t>
  </si>
  <si>
    <t>NottinghamPlaces for People Living+ Limited</t>
  </si>
  <si>
    <t>NottinghamProgress Housing Association Limited</t>
  </si>
  <si>
    <t>NottinghamSalvation Army Housing Association</t>
  </si>
  <si>
    <t>NottinghamSovereign Housing Association Limited</t>
  </si>
  <si>
    <t>NottinghamStonewater (5) Limited</t>
  </si>
  <si>
    <t>NottinghamStonewater Limited</t>
  </si>
  <si>
    <t>NottinghamThe Abbeyfield Society</t>
  </si>
  <si>
    <t>NottinghamThe Guinness Partnership Limited</t>
  </si>
  <si>
    <t>NottinghamThe Riverside Group Limited</t>
  </si>
  <si>
    <t>NottinghamTuntum Housing Association Limited</t>
  </si>
  <si>
    <t>NottinghamWilliam Henry Hirst Memorial Homes</t>
  </si>
  <si>
    <t>Nuneaton and BedworthAdvance Housing and Support Limited</t>
  </si>
  <si>
    <t>Nuneaton and BedworthAnchor Hanover Group</t>
  </si>
  <si>
    <t>Nuneaton and BedworthBromford Housing Association Limited</t>
  </si>
  <si>
    <t>Nuneaton and BedworthCitizen Housing Group Limited</t>
  </si>
  <si>
    <t>Nuneaton and BedworthClarion Housing Association Limited</t>
  </si>
  <si>
    <t>Nuneaton and BedworthEMH Housing and Regeneration Limited</t>
  </si>
  <si>
    <t>Nuneaton and BedworthFairplace Homes Ltd</t>
  </si>
  <si>
    <t>Nuneaton and BedworthHeylo Housing Registered Provider Limited</t>
  </si>
  <si>
    <t>Nuneaton and BedworthHousing 21</t>
  </si>
  <si>
    <t>Nuneaton and BedworthIKE Supported Housing Limited</t>
  </si>
  <si>
    <t>Nuneaton and BedworthInclusion Housing Community Interest Company</t>
  </si>
  <si>
    <t>Nuneaton and BedworthLonghurst Group Limited</t>
  </si>
  <si>
    <t>Nuneaton and BedworthMethodist Homes Housing Association Limited</t>
  </si>
  <si>
    <t>Nuneaton and BedworthMidland Heart Limited</t>
  </si>
  <si>
    <t>Nuneaton and BedworthOrbit Group Limited</t>
  </si>
  <si>
    <t>Nuneaton and BedworthParagon Asra Housing Limited</t>
  </si>
  <si>
    <t>Nuneaton and BedworthPlaces for People Living+ Limited</t>
  </si>
  <si>
    <t>Nuneaton and BedworthPlatform Housing Limited</t>
  </si>
  <si>
    <t>Nuneaton and BedworthReside Housing Association Limited</t>
  </si>
  <si>
    <t>Nuneaton and BedworthSanctuary Housing Association</t>
  </si>
  <si>
    <t>Nuneaton and BedworthStonewater Limited</t>
  </si>
  <si>
    <t>Nuneaton and BedworthTrinity Housing Association Limited</t>
  </si>
  <si>
    <t>Nuneaton and BedworthWestmoreland Supported Housing Limited</t>
  </si>
  <si>
    <t>Oadby and WigstonAdullam Homes Housing Association Limited</t>
  </si>
  <si>
    <t>Oadby and WigstonAdvance Housing and Support Limited</t>
  </si>
  <si>
    <t>Oadby and WigstonAnchor Hanover Group</t>
  </si>
  <si>
    <t>Oadby and WigstonEMH Housing and Regeneration Limited</t>
  </si>
  <si>
    <t>Oadby and WigstonHousing 21</t>
  </si>
  <si>
    <t>Oadby and WigstonLonghurst Group Limited</t>
  </si>
  <si>
    <t>Oadby and WigstonMetropolitan Housing Trust Limited</t>
  </si>
  <si>
    <t>Oadby and WigstonMidland Heart Limited</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</si>
  <si>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</si>
  <si>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</si>
  <si>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</si>
  <si>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</si>
  <si>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</si>
  <si>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WigstonStonewater Limited</t>
  </si>
  <si>
    <t>Oadby and WigstonThe Riverside Group Limited</t>
  </si>
  <si>
    <t>Oadby and WigstonTrinity Housing Association Limited</t>
  </si>
  <si>
    <t>OldhamAnchor Hanover Group</t>
  </si>
  <si>
    <t>OldhamFirst Choice Homes Oldham Limited</t>
  </si>
  <si>
    <t>OldhamForHousing Limited</t>
  </si>
  <si>
    <t>OldhamGreat Places Housing Association</t>
  </si>
  <si>
    <t>OldhamHalo Housing Association Limited</t>
  </si>
  <si>
    <t>OldhamHousing 21</t>
  </si>
  <si>
    <t>OldhamNew Foundations Housing Association Limited</t>
  </si>
  <si>
    <t>OldhamPartners Foundation Limited</t>
  </si>
  <si>
    <t>OldhamPlaces for People Homes Limited</t>
  </si>
  <si>
    <t>OldhamPlaces for People Living+ Limited</t>
  </si>
  <si>
    <t>OldhamRedwing Living Limited</t>
  </si>
  <si>
    <t>OldhamRegenda Limited</t>
  </si>
  <si>
    <t>OldhamThe Guinness Partnership Limited</t>
  </si>
  <si>
    <t>OldhamThe Riverside Group Limited</t>
  </si>
  <si>
    <t>OxfordA2Dominion Homes Limited</t>
  </si>
  <si>
    <t>OxfordA2Dominion South Limited</t>
  </si>
  <si>
    <t>OxfordAdvance Housing and Support Limited</t>
  </si>
  <si>
    <t>OxfordAnchor Hanover Group</t>
  </si>
  <si>
    <t>Oxfordbpha Limited</t>
  </si>
  <si>
    <t>OxfordBromford Housing Association Limited</t>
  </si>
  <si>
    <t>OxfordFrontis Homes Limited</t>
  </si>
  <si>
    <t>OxfordHastoe Housing Association Limited</t>
  </si>
  <si>
    <t>OxfordHome Group Limited</t>
  </si>
  <si>
    <t>OxfordHousing 21</t>
  </si>
  <si>
    <t>OxfordInclusion Housing Community Interest Company</t>
  </si>
  <si>
    <t>OxfordMetropolitan Housing Trust Limited</t>
  </si>
  <si>
    <t>OxfordSoha Housing Limited</t>
  </si>
  <si>
    <t>OxfordSovereign Housing Association Limited</t>
  </si>
  <si>
    <t>OxfordSt Luke's Housing Society Limited</t>
  </si>
  <si>
    <t>OxfordThe Riverside Group Limited</t>
  </si>
  <si>
    <t>PendleAccent Housing Limited</t>
  </si>
  <si>
    <t>PendleAnchor Hanover Group</t>
  </si>
  <si>
    <t>PendleArpeggio Properties Limited</t>
  </si>
  <si>
    <t>PendleCalico Homes Limited</t>
  </si>
  <si>
    <t>PendleCare Housing Association Limited</t>
  </si>
  <si>
    <t>PendleEmpower Housing Association Limited</t>
  </si>
  <si>
    <t>PendleGreat Places Housing Association</t>
  </si>
  <si>
    <t>PendleHousing 21</t>
  </si>
  <si>
    <t>PendleInclusion Housing Community Interest Company</t>
  </si>
  <si>
    <t>PendleIrwell Valley Housing Association Limited</t>
  </si>
  <si>
    <t>PendleMosscare St. Vincent's Housing Group Limited</t>
  </si>
  <si>
    <t>PendleMuir Group Housing Association Limited</t>
  </si>
  <si>
    <t>PendlePeter Birtwistle Trust</t>
  </si>
  <si>
    <t>PendlePlaces for People Homes Limited</t>
  </si>
  <si>
    <t>PendleProgress Housing Association Limited</t>
  </si>
  <si>
    <t>PendleTogether Housing Association Limited</t>
  </si>
  <si>
    <t>PendleYorkshire Housing Limited</t>
  </si>
  <si>
    <t>PendleYour Housing Limited</t>
  </si>
  <si>
    <t>PeterboroughAccent Housing Limited</t>
  </si>
  <si>
    <t>PeterboroughAnchor Hanover Group</t>
  </si>
  <si>
    <t>Peterboroughbpha Limited</t>
  </si>
  <si>
    <t>PeterboroughChrysalis Supported Association Limited</t>
  </si>
  <si>
    <t>PeterboroughClarion Housing Association Limited</t>
  </si>
  <si>
    <t>PeterboroughCross Keys Homes Limited</t>
  </si>
  <si>
    <t>PeterboroughFirst Priority Housing Association Limited</t>
  </si>
  <si>
    <t>PeterboroughFutures Homescape Limited</t>
  </si>
  <si>
    <t>PeterboroughGrand Union Housing Group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</si>
  <si>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</si>
  <si>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</si>
  <si>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</si>
  <si>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</si>
  <si>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</si>
  <si>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</si>
  <si>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PeterboroughInclusion Housing Community Interest Company</t>
  </si>
  <si>
    <t>PeterboroughLonghurst Group Limited</t>
  </si>
  <si>
    <t>PeterboroughMuir Group Housing Association Limited</t>
  </si>
  <si>
    <t>PeterboroughPlaces for People Homes Limited</t>
  </si>
  <si>
    <t>PeterboroughPlaces for People Living+ Limited</t>
  </si>
  <si>
    <t>PeterboroughSaffron Housing Trust Limited</t>
  </si>
  <si>
    <t>PeterboroughThe Guinness Partnership Limited</t>
  </si>
  <si>
    <t>PeterboroughThe Papworth Trust</t>
  </si>
  <si>
    <t>PeterboroughWestmoreland Supported Housing Limited</t>
  </si>
  <si>
    <t>PeterboroughYMCA Trinity Group</t>
  </si>
  <si>
    <t>PlymouthAdvance Housing and Support Limited</t>
  </si>
  <si>
    <t>PlymouthAnchor Hanover Group</t>
  </si>
  <si>
    <t>PlymouthAster Communities</t>
  </si>
  <si>
    <t>PlymouthBournemouth Churches Housing Association Limited</t>
  </si>
  <si>
    <t>PlymouthClarion Housing Association Limited</t>
  </si>
  <si>
    <t>PlymouthHastoe Housing Association Limited</t>
  </si>
  <si>
    <t>PlymouthHeylo Housing Registered Provider Limited</t>
  </si>
  <si>
    <t>PlymouthHousing 21</t>
  </si>
  <si>
    <t>PlymouthLets for Life</t>
  </si>
  <si>
    <t>PlymouthLiveWest Homes Limited</t>
  </si>
  <si>
    <t>PlymouthMoat Homes Limited</t>
  </si>
  <si>
    <t>PlymouthMunicipal Charities</t>
  </si>
  <si>
    <t>PlymouthPlaces for People Homes Limited</t>
  </si>
  <si>
    <t>PlymouthPlymouth Charity Trust</t>
  </si>
  <si>
    <t>PlymouthPlymouth Community Homes Limited</t>
  </si>
  <si>
    <t>PlymouthSalvation Army Housing Association</t>
  </si>
  <si>
    <t>PlymouthSanctuary Affordable Housing Limited</t>
  </si>
  <si>
    <t>PlymouthSanctuary Housing Association</t>
  </si>
  <si>
    <t>PlymouthSovereign Housing Association Limited</t>
  </si>
  <si>
    <t>PlymouthThe Abbeyfield Society</t>
  </si>
  <si>
    <t>PlymouthThe Guinness Partnership Limited</t>
  </si>
  <si>
    <t>PlymouthWestward Housing Group Limited</t>
  </si>
  <si>
    <t>PortsmouthAdvance Housing and Support Limited</t>
  </si>
  <si>
    <t>PortsmouthAgamemnon Housing Association Limited</t>
  </si>
  <si>
    <t>PortsmouthAnchor Hanover Group</t>
  </si>
  <si>
    <t>PortsmouthBirnbeck Housing Association Limited</t>
  </si>
  <si>
    <t>PortsmouthBournemouth Churches Housing Association Limited</t>
  </si>
  <si>
    <t>PortsmouthClarion Housing Association Limited</t>
  </si>
  <si>
    <t>PortsmouthElm Trees Retirement Living Limited</t>
  </si>
  <si>
    <t>PortsmouthHabinteg Housing Association Limited</t>
  </si>
  <si>
    <t>PortsmouthHavant Housing Association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</si>
  <si>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</si>
  <si>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</si>
  <si>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</si>
  <si>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</si>
  <si>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</si>
  <si>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</si>
  <si>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</si>
  <si>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</si>
  <si>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</si>
  <si>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</si>
  <si>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PortsmouthSouthsea Self Help Housing Limited</t>
  </si>
  <si>
    <t>PortsmouthSovereign Housing Association Limited</t>
  </si>
  <si>
    <t>PortsmouthStonewater Limited</t>
  </si>
  <si>
    <t>PortsmouthThe Guinness Partnership Limited</t>
  </si>
  <si>
    <t>PortsmouthThe Society of St James</t>
  </si>
  <si>
    <t>PortsmouthThe Swaythling Housing Society Limited</t>
  </si>
  <si>
    <t>PortsmouthTwo Saints Limited</t>
  </si>
  <si>
    <t>PortsmouthVivid Housing Limited</t>
  </si>
  <si>
    <t>PortsmouthWestmoreland Supported Housing Limited</t>
  </si>
  <si>
    <t>PrestonAnchor Hanover Group</t>
  </si>
  <si>
    <t>PrestonArpeggio Properties Limited</t>
  </si>
  <si>
    <t>PrestonAssured Living Housing Association Limited</t>
  </si>
  <si>
    <t>PrestonCommunity Gateway Association Limited</t>
  </si>
  <si>
    <t>PrestonCreative Support Limited</t>
  </si>
  <si>
    <t>PrestonEmpower Housing Association Limited</t>
  </si>
  <si>
    <t>PrestonGreat Places Housing Association</t>
  </si>
  <si>
    <t>PrestonHalo Housing Association Limited</t>
  </si>
  <si>
    <t>PrestonHeylo Housing Registered Provider Limited</t>
  </si>
  <si>
    <t>PrestonHilldale Housing Association Limited</t>
  </si>
  <si>
    <t>PrestonHousing 21</t>
  </si>
  <si>
    <t>PrestonInclusion Housing Community Interest Company</t>
  </si>
  <si>
    <t>PrestonNew Foundations Housing Association Limited</t>
  </si>
  <si>
    <t>PrestonOnward Homes Limited</t>
  </si>
  <si>
    <t>PrestonPhoenix House</t>
  </si>
  <si>
    <t>PrestonPlaces for People Homes Limited</t>
  </si>
  <si>
    <t>PrestonPlaces for People Living+ Limited</t>
  </si>
  <si>
    <t>PrestonProgress Housing Association Limited</t>
  </si>
  <si>
    <t>PrestonSalvation Army Housing Association</t>
  </si>
  <si>
    <t>PrestonTogether Housing Association Limited</t>
  </si>
  <si>
    <t>PrestonYour Housing Limited</t>
  </si>
  <si>
    <t>ReadingA2Dominion Homes Limited</t>
  </si>
  <si>
    <t>ReadingA2Dominion Housing Options Limited</t>
  </si>
  <si>
    <t>ReadingA2Dominion South Limited</t>
  </si>
  <si>
    <t>ReadingAbility Housing Association</t>
  </si>
  <si>
    <t>ReadingAdvance Housing and Support Limited</t>
  </si>
  <si>
    <t>ReadingAnchor Hanover Group</t>
  </si>
  <si>
    <t>ReadingClarion Housing Association Limited</t>
  </si>
  <si>
    <t>ReadingCo-op Homes (South) Limited</t>
  </si>
  <si>
    <t>ReadingCreative Support Limited</t>
  </si>
  <si>
    <t>ReadingHeylo Housing Registered Provider Limited</t>
  </si>
  <si>
    <t>ReadingHome Group Limited</t>
  </si>
  <si>
    <t>ReadingHousing Solutions</t>
  </si>
  <si>
    <t>ReadingLondon &amp; Quadrant Housing Trust</t>
  </si>
  <si>
    <t>ReadingMalins Affordable Homes Limited</t>
  </si>
  <si>
    <t>ReadingMetropolitan Housing Trust Limited</t>
  </si>
  <si>
    <t>ReadingMuir Group Housing Association Limited</t>
  </si>
  <si>
    <t>ReadingOrts Road Housing Co-operative Limited</t>
  </si>
  <si>
    <t>ReadingParagon Asra Housing Limited</t>
  </si>
  <si>
    <t>ReadingPlaces for People Homes Limited</t>
  </si>
  <si>
    <t>ReadingReading YMCA</t>
  </si>
  <si>
    <t>ReadingSalvation Army Housing Association</t>
  </si>
  <si>
    <t>ReadingSanctuary Housing Association</t>
  </si>
  <si>
    <t>ReadingSoha Housing Limited</t>
  </si>
  <si>
    <t>ReadingSovereign Housing Association Limited</t>
  </si>
  <si>
    <t>ReadingStonewater Limited</t>
  </si>
  <si>
    <t>ReadingThe Swaythling Housing Society Limited</t>
  </si>
  <si>
    <t>ReadingTrinity Housing Association Limited</t>
  </si>
  <si>
    <t>RedbridgeAdvance Housing and Support Limited</t>
  </si>
  <si>
    <t>RedbridgeAnchor Hanover Group</t>
  </si>
  <si>
    <t>RedbridgeCentrepoint Soho</t>
  </si>
  <si>
    <t>RedbridgeClarion Housing Association Limited</t>
  </si>
  <si>
    <t>RedbridgeEstuary Housing Association Limited</t>
  </si>
  <si>
    <t>RedbridgeForest Housing Association Limited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</si>
  <si>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</si>
  <si>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</si>
  <si>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</si>
  <si>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</si>
  <si>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</si>
  <si>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</si>
  <si>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</si>
  <si>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</si>
  <si>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RedbridgeMetropolitan Housing Trust Limited</t>
  </si>
  <si>
    <t>RedbridgeNewlon Housing Trust</t>
  </si>
  <si>
    <t>RedbridgeNotting Hill Genesis</t>
  </si>
  <si>
    <t>RedbridgeNotting Hill Home Ownership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</si>
  <si>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</si>
  <si>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</si>
  <si>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</si>
  <si>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</si>
  <si>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</si>
  <si>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</si>
  <si>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RedbridgeSanctuary Housing Association</t>
  </si>
  <si>
    <t>RedbridgeShepherds Bush Housing Association Limited</t>
  </si>
  <si>
    <t>RedbridgeSwan Housing Association Limited</t>
  </si>
  <si>
    <t>RedbridgeThe Abbeyfield Society</t>
  </si>
  <si>
    <t>RedbridgeThe Industrial Dwellings Society (1885) Limited</t>
  </si>
  <si>
    <t>RedbridgeThe Riverside Group Limited</t>
  </si>
  <si>
    <t>RedbridgeWeavers' Almshouse Charities</t>
  </si>
  <si>
    <t>Redcar and ClevelandAccent Housing Limited</t>
  </si>
  <si>
    <t>Redcar and ClevelandAnchor Hanover Group</t>
  </si>
  <si>
    <t>Redcar and ClevelandBernicia Group</t>
  </si>
  <si>
    <t>Redcar and ClevelandBeyond Housing Limited</t>
  </si>
  <si>
    <t>Redcar and ClevelandBroadacres Housing Association Limited</t>
  </si>
  <si>
    <t>Redcar and ClevelandCreative Support Limited</t>
  </si>
  <si>
    <t>Redcar and ClevelandGentoo Group Limited</t>
  </si>
  <si>
    <t>Redcar and ClevelandHeylo Housing Registered Provider Limited</t>
  </si>
  <si>
    <t>Redcar and ClevelandHome Group Limited</t>
  </si>
  <si>
    <t>Redcar and ClevelandKarbon Homes Limited</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</si>
  <si>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</si>
  <si>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</si>
  <si>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</si>
  <si>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</si>
  <si>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</si>
  <si>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ClevelandReside Housing Association Limited</t>
  </si>
  <si>
    <t>Redcar and ClevelandSir William Turner's Hospital</t>
  </si>
  <si>
    <t>Redcar and ClevelandThe Richmond Fellowship</t>
  </si>
  <si>
    <t>Redcar and ClevelandThe Riverside Group Limited</t>
  </si>
  <si>
    <t>Redcar and ClevelandThirteen Housing Group Limited</t>
  </si>
  <si>
    <t>RedditchAdvance Housing and Support Limited</t>
  </si>
  <si>
    <t>RedditchAnchor Hanover Group</t>
  </si>
  <si>
    <t>RedditchBromford Housing Association Limited</t>
  </si>
  <si>
    <t>RedditchBromsgrove District Housing Trust Limited</t>
  </si>
  <si>
    <t>RedditchCitizen Housing Group Limited</t>
  </si>
  <si>
    <t>RedditchDimensions (UK) Limited</t>
  </si>
  <si>
    <t>RedditchHalo Housing Association Limited</t>
  </si>
  <si>
    <t>RedditchHeylo Housing Registered Provider Limited</t>
  </si>
  <si>
    <t>RedditchHousing 21</t>
  </si>
  <si>
    <t>RedditchInclusion Housing Community Interest Company</t>
  </si>
  <si>
    <t>RedditchMidland Heart Limited</t>
  </si>
  <si>
    <t>RedditchPlatform Housing Limited</t>
  </si>
  <si>
    <t>RedditchRooftop Housing Association Limited</t>
  </si>
  <si>
    <t>RedditchSanctuary Affordable Housing Limited</t>
  </si>
  <si>
    <t>RedditchSanctuary Housing Association</t>
  </si>
  <si>
    <t>RedditchTrident Housing Association Limited</t>
  </si>
  <si>
    <t>RedditchWalsall Housing Group Limited</t>
  </si>
  <si>
    <t>RedditchWorcestershire YMCA Limited</t>
  </si>
  <si>
    <t>Reigate and BansteadA2Dominion South Limited</t>
  </si>
  <si>
    <t>Reigate and BansteadAccent Housing Limited</t>
  </si>
  <si>
    <t>Reigate and BansteadAdvance Housing and Support Limited</t>
  </si>
  <si>
    <t>Reigate and BansteadAnchor Hanover Group</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</si>
  <si>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</si>
  <si>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</si>
  <si>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</si>
  <si>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</si>
  <si>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</si>
  <si>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BansteadLondon &amp; Quadrant Housing Trust</t>
  </si>
  <si>
    <t>Reigate and BansteadMetropolitan Housing Trust Limited</t>
  </si>
  <si>
    <t>Reigate and BansteadMoat Homes Limited</t>
  </si>
  <si>
    <t>Reigate and BansteadMount Green Housing Association Limited</t>
  </si>
  <si>
    <t>Reigate and BansteadNotting Hill Home Ownership Limited</t>
  </si>
  <si>
    <t>Reigate and BansteadOrbit Group Limited</t>
  </si>
  <si>
    <t>Reigate and BansteadRaven Housing Trust Limited</t>
  </si>
  <si>
    <t>Reigate and BansteadReside Housing Association Limited</t>
  </si>
  <si>
    <t>Reigate and BansteadStonewater Limited</t>
  </si>
  <si>
    <t>Reigate and BansteadThe Field Lane Foundation</t>
  </si>
  <si>
    <t>Reigate and BansteadThe Guinness Partnership Limited</t>
  </si>
  <si>
    <t>Reigate and BansteadTransform Housing &amp; Support</t>
  </si>
  <si>
    <t>Reigate and BansteadWestmoreland Supported Housing Limited</t>
  </si>
  <si>
    <t>Reigate and BansteadYMCA East Surrey</t>
  </si>
  <si>
    <t>Ribble ValleyAccent Housing Limited</t>
  </si>
  <si>
    <t>Ribble ValleyCalico Homes Limited</t>
  </si>
  <si>
    <t>Ribble ValleyCare Housing Association Limited</t>
  </si>
  <si>
    <t>Ribble ValleyGreat Places Housing Association</t>
  </si>
  <si>
    <t>Ribble ValleyHeylo Housing Registered Provider Limited</t>
  </si>
  <si>
    <t>Ribble ValleyHousing 21</t>
  </si>
  <si>
    <t>Ribble ValleyMosscare St. Vincent's Housing Group Limited</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</si>
  <si>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</si>
  <si>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</si>
  <si>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</si>
  <si>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</si>
  <si>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</si>
  <si>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</si>
  <si>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ValleySanctuary Housing Association</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</si>
  <si>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</si>
  <si>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</si>
  <si>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</si>
  <si>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</si>
  <si>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</si>
  <si>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</si>
  <si>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ThamesCentral and Cecil Housing Trust</t>
  </si>
  <si>
    <t>Richmond upon ThamesHastoe Housing Association Limited</t>
  </si>
  <si>
    <t>Richmond upon ThamesHome Group Limited</t>
  </si>
  <si>
    <t>Richmond upon ThamesHousing 21</t>
  </si>
  <si>
    <t>Richmond upon ThamesLondon &amp; Quadrant Housing Trust</t>
  </si>
  <si>
    <t>Richmond upon ThamesLook Ahead Care and Support Limited</t>
  </si>
  <si>
    <t>Richmond upon ThamesMetropolitan Housing Trust Limited</t>
  </si>
  <si>
    <t>Richmond upon ThamesMount Green Housing Association Limited</t>
  </si>
  <si>
    <t>Richmond upon ThamesNotting Hill Genesis</t>
  </si>
  <si>
    <t>Richmond upon ThamesNotting Hill Home Ownership Limited</t>
  </si>
  <si>
    <t>Richmond upon ThamesParagon Asra Housing Limited</t>
  </si>
  <si>
    <t>Richmond upon ThamesPlaces for People Homes Limited</t>
  </si>
  <si>
    <t>Richmond upon ThamesReside Housing Association Limited</t>
  </si>
  <si>
    <t>Richmond upon ThamesRichmond Housing Partnership Limited</t>
  </si>
  <si>
    <t>Richmond upon ThamesShepherds Bush Housing Association Limited</t>
  </si>
  <si>
    <t>Richmond upon ThamesThe Abbeyfield Society</t>
  </si>
  <si>
    <t>Richmond upon ThamesThe Barnes Fund</t>
  </si>
  <si>
    <t>Richmond upon ThamesThe Guinness Partnership Limited</t>
  </si>
  <si>
    <t>Richmond upon ThamesThe Hampton Parochial Charities</t>
  </si>
  <si>
    <t>Richmond upon ThamesThe Sons of Divine Providence</t>
  </si>
  <si>
    <t>RochdaleAccent Housing Limited</t>
  </si>
  <si>
    <t>RochdaleAnchor Hanover Group</t>
  </si>
  <si>
    <t>RochdaleBlue Pits Housing Action</t>
  </si>
  <si>
    <t>RochdaleFalcon Housing Association C.I.C</t>
  </si>
  <si>
    <t>RochdaleFirst Choice Homes Oldham Limited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</si>
  <si>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</si>
  <si>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</si>
  <si>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</si>
  <si>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</si>
  <si>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</si>
  <si>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</si>
  <si>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Rochdale'Johnnie' Johnson Housing Trust Limited</t>
  </si>
  <si>
    <t>RochdaleLangley House Trust</t>
  </si>
  <si>
    <t>RochdaleMosscare St. Vincent's Housing Group Limited</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</si>
  <si>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</si>
  <si>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</si>
  <si>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</si>
  <si>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</si>
  <si>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</si>
  <si>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</si>
  <si>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</si>
  <si>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</si>
  <si>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</si>
  <si>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</si>
  <si>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</si>
  <si>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</si>
  <si>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</si>
  <si>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</si>
  <si>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RochfordClarion Housing Association Limited</t>
  </si>
  <si>
    <t>RochfordEmpower Housing Association Limited</t>
  </si>
  <si>
    <t>RochfordEstuary Housing Association Limited</t>
  </si>
  <si>
    <t>RochfordHabinteg Housing Association Limited</t>
  </si>
  <si>
    <t>RochfordHousing 21</t>
  </si>
  <si>
    <t>RochfordLondon &amp; Quadrant Housing Trust</t>
  </si>
  <si>
    <t>RochfordMoat Homes Limited</t>
  </si>
  <si>
    <t>RochfordNotting Hill Genesis</t>
  </si>
  <si>
    <t>RochfordPlaces for People Homes Limited</t>
  </si>
  <si>
    <t>RochfordSanctuary Affordable Housing Limited</t>
  </si>
  <si>
    <t>RochfordSanctuary Housing Association</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</si>
  <si>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</si>
  <si>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</si>
  <si>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</si>
  <si>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</si>
  <si>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</si>
  <si>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</si>
  <si>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</si>
  <si>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</si>
  <si>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RossendaleHousing 21</t>
  </si>
  <si>
    <t>RossendaleIrwell Valley Housing Association Limited</t>
  </si>
  <si>
    <t>RossendaleLangley House Trust</t>
  </si>
  <si>
    <t>RossendaleMosscare St. Vincent's Housing Group Limited</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</si>
  <si>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</si>
  <si>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</si>
  <si>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</si>
  <si>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</si>
  <si>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</si>
  <si>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</si>
  <si>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RossendaleRegenda Limited</t>
  </si>
  <si>
    <t>RossendaleThe Guinness Partnership Limited</t>
  </si>
  <si>
    <t>RossendaleTogether Housing Association Limited</t>
  </si>
  <si>
    <t>RossendaleYour Housing Limited</t>
  </si>
  <si>
    <t>RotherAbility Housing Association</t>
  </si>
  <si>
    <t>RotherEnglish Rural Housing Association Limited</t>
  </si>
  <si>
    <t>RotherFive Villages Home Association Limited</t>
  </si>
  <si>
    <t>RotherHastoe Housing Association Limited</t>
  </si>
  <si>
    <t>RotherHeylo Housing Registered Provider Limited</t>
  </si>
  <si>
    <t>RotherHome Group Limited</t>
  </si>
  <si>
    <t>RotherHousing 21</t>
  </si>
  <si>
    <t>RotherOrbit Group Limited</t>
  </si>
  <si>
    <t>RotherSanctuary Housing Association</t>
  </si>
  <si>
    <t>RotherStonewater Limited</t>
  </si>
  <si>
    <t>RotherhamAcis Group Limited</t>
  </si>
  <si>
    <t>RotherhamAction Housing and Support Limited</t>
  </si>
  <si>
    <t>RotherhamAlliance Housing Association (South Yorkshire) Limited</t>
  </si>
  <si>
    <t>RotherhamAnchor Hanover Group</t>
  </si>
  <si>
    <t>RotherhamArches Housing Limited</t>
  </si>
  <si>
    <t>RotherhamGreat Places Housing Association</t>
  </si>
  <si>
    <t>RotherhamHabinteg Housing Association Limited</t>
  </si>
  <si>
    <t>RotherhamHousing 21</t>
  </si>
  <si>
    <t>Rotherham'Johnnie' Johnson Housing Trust Limited</t>
  </si>
  <si>
    <t>RotherhamPartners Foundation Limited</t>
  </si>
  <si>
    <t>RotherhamPlaces for People Homes Limited</t>
  </si>
  <si>
    <t>RotherhamPlaces for People Living+ Limited</t>
  </si>
  <si>
    <t>RotherhamProgress Housing Association Limited</t>
  </si>
  <si>
    <t>RotherhamSalvation Army Housing Association</t>
  </si>
  <si>
    <t>RotherhamSanctuary Housing Association</t>
  </si>
  <si>
    <t>RotherhamSouth Yorkshire Housing Association Limited</t>
  </si>
  <si>
    <t>RotherhamTarget Housing Limited</t>
  </si>
  <si>
    <t>RotherhamThe Guinness Partnership Limited</t>
  </si>
  <si>
    <t>RotherhamTogether Housing Association Limited</t>
  </si>
  <si>
    <t>RotherhamWakefield And District Housing Limited</t>
  </si>
  <si>
    <t>RotherhamYorkshire Housing Limited</t>
  </si>
  <si>
    <t>RugbyAdvance Housing and Support Limited</t>
  </si>
  <si>
    <t>RugbyAnchor Hanover Group</t>
  </si>
  <si>
    <t>RugbyBromford Housing Association Limited</t>
  </si>
  <si>
    <t>RugbyButlin and Elborow Housing Trust</t>
  </si>
  <si>
    <t>RugbyCitizen Housing Group Limited</t>
  </si>
  <si>
    <t>RugbyClarion Housing Association Limited</t>
  </si>
  <si>
    <t>RugbyCreative Support Limited</t>
  </si>
  <si>
    <t>RugbyHeylo Housing Registered Provider Limited</t>
  </si>
  <si>
    <t>RugbyHousing 21</t>
  </si>
  <si>
    <t>RugbyLonghurst Group Limited</t>
  </si>
  <si>
    <t>RugbyMidland Heart Limited</t>
  </si>
  <si>
    <t>RugbyOrbit Group Limited</t>
  </si>
  <si>
    <t>RugbyParagon Asra Housing Limited</t>
  </si>
  <si>
    <t>RugbyPlatform Housing Limited</t>
  </si>
  <si>
    <t>RugbySanctuary Affordable Housing Limited</t>
  </si>
  <si>
    <t>RugbySanctuary Housing Association</t>
  </si>
  <si>
    <t>RugbyThe Guinness Partnership Limited</t>
  </si>
  <si>
    <t>RugbyThe Riverside Group Limited</t>
  </si>
  <si>
    <t>RugbyWarwickshire Rural Housing Association Limited</t>
  </si>
  <si>
    <t>RunnymedeA2Dominion Homes Limited</t>
  </si>
  <si>
    <t>RunnymedeA2Dominion South Limited</t>
  </si>
  <si>
    <t>RunnymedeAccent Housing Limited</t>
  </si>
  <si>
    <t>RunnymedeAnchor Hanover Group</t>
  </si>
  <si>
    <t>RunnymedeHousing 21</t>
  </si>
  <si>
    <t>RunnymedeLondon &amp; Quadrant Housing Trust</t>
  </si>
  <si>
    <t>RunnymedeMetropolitan Housing Trust Limited</t>
  </si>
  <si>
    <t>RunnymedeMount Green Housing Association Limited</t>
  </si>
  <si>
    <t>RunnymedeNotting Hill Home Ownership Limited</t>
  </si>
  <si>
    <t>RunnymedeParagon Asra Housing Limited</t>
  </si>
  <si>
    <t>RunnymedeStewart's and Budgen's Almshouses</t>
  </si>
  <si>
    <t>RunnymedeThe Riverside Group Limited</t>
  </si>
  <si>
    <t>RunnymedeTransform Housing &amp; Support</t>
  </si>
  <si>
    <t>RunnymedeVivid Housing Limited</t>
  </si>
  <si>
    <t>RushcliffeAccent Housing Limited</t>
  </si>
  <si>
    <t>RushcliffeAcis Group Limited</t>
  </si>
  <si>
    <t>RushcliffeAdvance Housing and Support Limited</t>
  </si>
  <si>
    <t>RushcliffeAnchor Hanover Group</t>
  </si>
  <si>
    <t>RushcliffeEMH Housing and Regeneration Limited</t>
  </si>
  <si>
    <t>RushcliffeEnglish Rural Housing Association Limited</t>
  </si>
  <si>
    <t>RushcliffeFramework Housing Association</t>
  </si>
  <si>
    <t>RushcliffeHeylo Housing Registered Provider Limited</t>
  </si>
  <si>
    <t>RushcliffeInclusion Housing Community Interest Company</t>
  </si>
  <si>
    <t>RushcliffeJigsaw Homes Midlands</t>
  </si>
  <si>
    <t>RushcliffeLonghurst Group Limited</t>
  </si>
  <si>
    <t>RushcliffeMetropolitan Housing Trust Limited</t>
  </si>
  <si>
    <t>RushcliffeNottingham Community Housing Association Limited</t>
  </si>
  <si>
    <t>RushcliffeParagon Asra Housing Limited</t>
  </si>
  <si>
    <t>RushcliffePlaces for People Homes Limited</t>
  </si>
  <si>
    <t>RushcliffePlatform Housing Limited</t>
  </si>
  <si>
    <t>RushcliffeProgress Housing Association Limited</t>
  </si>
  <si>
    <t>RushcliffeStonewater Limited</t>
  </si>
  <si>
    <t>RushcliffeThe Riverside Group Limited</t>
  </si>
  <si>
    <t>RushcliffeTuntum Housing Association Limited</t>
  </si>
  <si>
    <t>RushcliffeWestmoreland Supported Housing Limited</t>
  </si>
  <si>
    <t>RushmoorA2Dominion South Limited</t>
  </si>
  <si>
    <t>RushmoorAccent Housing Limited</t>
  </si>
  <si>
    <t>RushmoorAdvance Housing and Support Limited</t>
  </si>
  <si>
    <t>RushmoorAnchor Hanover Group</t>
  </si>
  <si>
    <t>RushmoorElles Housing Co-operative Limited</t>
  </si>
  <si>
    <t>RushmoorGrainger Trust Limited</t>
  </si>
  <si>
    <t>RushmoorHome Group Limited</t>
  </si>
  <si>
    <t>RushmoorHousing 21</t>
  </si>
  <si>
    <t>RushmoorLondon &amp; Quadrant Housing Trust</t>
  </si>
  <si>
    <t>RushmoorMetropolitan Housing Trust Limited</t>
  </si>
  <si>
    <t>RushmoorMoat Homes Limited</t>
  </si>
  <si>
    <t>RushmoorNotting Hill Home Ownership Limited</t>
  </si>
  <si>
    <t>RushmoorOmega Housing Limited</t>
  </si>
  <si>
    <t>RushmoorPlexus UK (First Project) Limited</t>
  </si>
  <si>
    <t>RushmoorReside Housing Association Limited</t>
  </si>
  <si>
    <t>RushmoorSanctuary Housing Association</t>
  </si>
  <si>
    <t>RushmoorSovereign Housing Association Limited</t>
  </si>
  <si>
    <t>RushmoorStonewater Limited</t>
  </si>
  <si>
    <t>RushmoorSynergy Housing Limited</t>
  </si>
  <si>
    <t>RushmoorThe Riverside Group Limited</t>
  </si>
  <si>
    <t>RushmoorThe Society of St James</t>
  </si>
  <si>
    <t>RushmoorThe Swaythling Housing Society Limited</t>
  </si>
  <si>
    <t>RushmoorVivid Housing Limited</t>
  </si>
  <si>
    <t>RutlandAccent Housing Limited</t>
  </si>
  <si>
    <t>RutlandAdvance Housing and Support Limited</t>
  </si>
  <si>
    <t>RutlandCross Keys Homes Limited</t>
  </si>
  <si>
    <t>RutlandEMH Housing and Regeneration Limited</t>
  </si>
  <si>
    <t>RutlandLincolnshire Rural Housing Association Limited</t>
  </si>
  <si>
    <t>RutlandLonghurst Group Limited</t>
  </si>
  <si>
    <t>RutlandNottingham Community Housing Association Limited</t>
  </si>
  <si>
    <t>RutlandParagon Asra Housing Limited</t>
  </si>
  <si>
    <t>RutlandPlatform Housing Limited</t>
  </si>
  <si>
    <t>RutlandProgress Housing Association Limited</t>
  </si>
  <si>
    <t>RutlandStonewater Limited</t>
  </si>
  <si>
    <t>SalfordAdullam Homes Housing Association Limited</t>
  </si>
  <si>
    <t>SalfordAgudas Israel Housing Association Limited</t>
  </si>
  <si>
    <t>SalfordAnchor Hanover Group</t>
  </si>
  <si>
    <t>SalfordClarion Housing Association Limited</t>
  </si>
  <si>
    <t>SalfordCreative Support Limited</t>
  </si>
  <si>
    <t>SalfordEmpower Housing Association Limited</t>
  </si>
  <si>
    <t>SalfordForHousing Limited</t>
  </si>
  <si>
    <t>SalfordGreat Places Housing Association</t>
  </si>
  <si>
    <t>SalfordHousing 21</t>
  </si>
  <si>
    <t>SalfordHumphrey Booth Housing Charity</t>
  </si>
  <si>
    <t>SalfordIrwell Valley Housing Association Limited</t>
  </si>
  <si>
    <t>SalfordManchester Jewish Housing Association</t>
  </si>
  <si>
    <t>SalfordMosscare St. Vincent's Housing Group Limited</t>
  </si>
  <si>
    <t>SalfordPlaces for People Homes Limited</t>
  </si>
  <si>
    <t>SalfordPlaces for People Living+ Limited</t>
  </si>
  <si>
    <t>SalfordProgress Housing Association Limited</t>
  </si>
  <si>
    <t>SalfordProject 34</t>
  </si>
  <si>
    <t>SalfordRegenda Limited</t>
  </si>
  <si>
    <t>SalfordRetail Trust</t>
  </si>
  <si>
    <t>SalfordSalix Homes Limited</t>
  </si>
  <si>
    <t>SalfordSalvation Army Housing Association</t>
  </si>
  <si>
    <t>SalfordSanctuary Housing Association</t>
  </si>
  <si>
    <t>SalfordThe Guinness Partnership Limited</t>
  </si>
  <si>
    <t>SalfordThe Riverside Group Limited</t>
  </si>
  <si>
    <t>SalfordTogether Housing Association Limited</t>
  </si>
  <si>
    <t>SalfordTrinity Housing Association Limited</t>
  </si>
  <si>
    <t>SalfordYour Housing Limited</t>
  </si>
  <si>
    <t>SandwellAdullam Homes Housing Association Limited</t>
  </si>
  <si>
    <t>SandwellAdvance Housing and Support Limited</t>
  </si>
  <si>
    <t>SandwellAnchor Hanover Group</t>
  </si>
  <si>
    <t>SandwellBlack Country Housing Group Limited</t>
  </si>
  <si>
    <t>SandwellBromford Housing Association Limited</t>
  </si>
  <si>
    <t>SandwellCitizen Housing Group Limited</t>
  </si>
  <si>
    <t>SandwellClarion Housing Association Limited</t>
  </si>
  <si>
    <t>SandwellHabinteg Housing Association Limited</t>
  </si>
  <si>
    <t>SandwellHeylo Housing Registered Provider Limited</t>
  </si>
  <si>
    <t>SandwellHousing 21</t>
  </si>
  <si>
    <t>SandwellInclusion Housing Community Interest Company</t>
  </si>
  <si>
    <t>SandwellLyng Community Association</t>
  </si>
  <si>
    <t>SandwellMidland Heart Limited</t>
  </si>
  <si>
    <t>SandwellNehemiah United Churches Housing Association Limited</t>
  </si>
  <si>
    <t>SandwellPlaces for People Homes Limited</t>
  </si>
  <si>
    <t>SandwellPlatform Housing Limited</t>
  </si>
  <si>
    <t>SandwellSanctuary Housing Association</t>
  </si>
  <si>
    <t>SandwellSandwell Homeless and Resettlement Project Limited</t>
  </si>
  <si>
    <t>SandwellThe Harborne Parish Lands Charity</t>
  </si>
  <si>
    <t>SandwellThe Riverside Group Limited</t>
  </si>
  <si>
    <t>SandwellTrident Housing Association Limited</t>
  </si>
  <si>
    <t>SandwellTrinity Housing Association Limited</t>
  </si>
  <si>
    <t>SandwellWalsall Housing Group Limited</t>
  </si>
  <si>
    <t>SandwellYMCA Black Country Group</t>
  </si>
  <si>
    <t>SeftonAnchor Hanover Group</t>
  </si>
  <si>
    <t>SeftonBirkenhead Forum Housing Association Limited</t>
  </si>
  <si>
    <t>SeftonBlue Square Residential Ltd</t>
  </si>
  <si>
    <t>SeftonCrosby Housing Association Limited</t>
  </si>
  <si>
    <t>SeftonExcel Housing Solutions</t>
  </si>
  <si>
    <t>SeftonHabinteg Housing Association Limited</t>
  </si>
  <si>
    <t>SeftonHalo Housing Association Limited</t>
  </si>
  <si>
    <t>SeftonHarbour Light Assisted Living CIC</t>
  </si>
  <si>
    <t>SeftonHilldale Housing Association Limited</t>
  </si>
  <si>
    <t>SeftonHousing 21</t>
  </si>
  <si>
    <t>SeftonHumankind Charity</t>
  </si>
  <si>
    <t>SeftonLiverpool Gingerbread Housing Co-operative Limited</t>
  </si>
  <si>
    <t>SeftonOne Vision Housing Limited</t>
  </si>
  <si>
    <t>SeftonOnward Homes Limited</t>
  </si>
  <si>
    <t>SeftonPlaces for People Homes Limited</t>
  </si>
  <si>
    <t>SeftonPlus Dane Housing Limited</t>
  </si>
  <si>
    <t>SeftonProgress Housing Association Limited</t>
  </si>
  <si>
    <t>SeftonRedwing Living Limited</t>
  </si>
  <si>
    <t>SeftonRegenda Limited</t>
  </si>
  <si>
    <t>SeftonSanctuary Housing Association</t>
  </si>
  <si>
    <t>SeftonThe Abbeyfield Society</t>
  </si>
  <si>
    <t>SeftonThe Riverside Group Limited</t>
  </si>
  <si>
    <t>SeftonTorus62 Limited</t>
  </si>
  <si>
    <t>SeftonTrinity Housing Association Limited</t>
  </si>
  <si>
    <t>SeftonYour Housing Limited</t>
  </si>
  <si>
    <t>SevenoaksAdvance Housing and Support Limited</t>
  </si>
  <si>
    <t>SevenoaksAnchor Hanover Group</t>
  </si>
  <si>
    <t>SevenoaksBecket Trust Housing Association Limited</t>
  </si>
  <si>
    <t>SevenoaksDimensions (UK) Limited</t>
  </si>
  <si>
    <t>SevenoaksEnglish Rural Housing Association Limited</t>
  </si>
  <si>
    <t>SevenoaksGolding Homes Limited</t>
  </si>
  <si>
    <t>SevenoaksGrand Union Housing Group Limited</t>
  </si>
  <si>
    <t>SevenoaksHyde Housing Association Limited</t>
  </si>
  <si>
    <t>SevenoaksLondon &amp; Quadrant Housing Trust</t>
  </si>
  <si>
    <t>SevenoaksMetropolitan Housing Trust Limited</t>
  </si>
  <si>
    <t>SevenoaksMoat Homes Limited</t>
  </si>
  <si>
    <t>SevenoaksOrbit Group Limited</t>
  </si>
  <si>
    <t>SevenoaksPlaces for People Homes Limited</t>
  </si>
  <si>
    <t>SevenoaksRadcliffe Housing Society Limited</t>
  </si>
  <si>
    <t>SevenoaksRockdale Housing Association Limited</t>
  </si>
  <si>
    <t>SevenoaksThe Richmond Fellowship</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</si>
  <si>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</si>
  <si>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</si>
  <si>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</si>
  <si>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</si>
  <si>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</si>
  <si>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</si>
  <si>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SheffieldAlpha (R.S.L.) Limited</t>
  </si>
  <si>
    <t>SheffieldAnchor Hanover Group</t>
  </si>
  <si>
    <t>SheffieldArches Housing Limited</t>
  </si>
  <si>
    <t>Sheffieldbpha Limited</t>
  </si>
  <si>
    <t>SheffieldClarion Housing Association Limited</t>
  </si>
  <si>
    <t>SheffieldDimensions (UK) Limited</t>
  </si>
  <si>
    <t>SheffieldEMH Housing and Regeneration Limited</t>
  </si>
  <si>
    <t>SheffieldGreat Places Housing Association</t>
  </si>
  <si>
    <t>SheffieldHalo Housing Association Limited</t>
  </si>
  <si>
    <t>SheffieldHome Group Limited</t>
  </si>
  <si>
    <t>SheffieldHousing 21</t>
  </si>
  <si>
    <t>SheffieldIKE Supported Housing Limited</t>
  </si>
  <si>
    <t>SheffieldInclusion Housing Community Interest Company</t>
  </si>
  <si>
    <t>SheffieldIncommunities Limited</t>
  </si>
  <si>
    <t>Sheffield'Johnnie' Johnson Housing Trust Limited</t>
  </si>
  <si>
    <t>SheffieldLets for Life</t>
  </si>
  <si>
    <t>SheffieldMetropolitan Housing Trust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</si>
  <si>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</si>
  <si>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</si>
  <si>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</si>
  <si>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</si>
  <si>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</si>
  <si>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</si>
  <si>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</si>
  <si>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</si>
  <si>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</si>
  <si>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SheffieldTarget Housing Limited</t>
  </si>
  <si>
    <t>SheffieldThe Guinness Partnership Limited</t>
  </si>
  <si>
    <t>SheffieldTogether Housing Association Limited</t>
  </si>
  <si>
    <t>SheffieldTrinity Housing Association Limited</t>
  </si>
  <si>
    <t>SheffieldYorkshire Housing Limited</t>
  </si>
  <si>
    <t>SheffieldYour Housing Limited</t>
  </si>
  <si>
    <t>ShropshireAlpha (R.S.L.) Limited</t>
  </si>
  <si>
    <t>ShropshireAnchor Hanover Group</t>
  </si>
  <si>
    <t>ShropshireBirnbeck Housing Association Limited</t>
  </si>
  <si>
    <t>ShropshireBromford Housing Association Limited</t>
  </si>
  <si>
    <t>ShropshireCitizen Housing Group Limited</t>
  </si>
  <si>
    <t>ShropshireClarion Housing Association Limited</t>
  </si>
  <si>
    <t>ShropshireHabinteg Housing Association Limited</t>
  </si>
  <si>
    <t>ShropshireHeylo Housing Registered Provider Limited</t>
  </si>
  <si>
    <t>ShropshireHousing 21</t>
  </si>
  <si>
    <t>ShropshireMetropolitan Housing Trust Limited</t>
  </si>
  <si>
    <t>ShropshireMidland Heart Limited</t>
  </si>
  <si>
    <t>ShropshireReside Housing Association Limited</t>
  </si>
  <si>
    <t>ShropshireRooftop Housing Association Limited</t>
  </si>
  <si>
    <t>ShropshireSanctuary Affordable Housing Limited</t>
  </si>
  <si>
    <t>ShropshireSanctuary Housing Association</t>
  </si>
  <si>
    <t>ShropshireShrewsbury Drapers Company Charity</t>
  </si>
  <si>
    <t>ShropshireShropshire Association for Supported Housing Limited</t>
  </si>
  <si>
    <t>ShropshireShropshire Rural Housing Association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</si>
  <si>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</si>
  <si>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</si>
  <si>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</si>
  <si>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</si>
  <si>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</si>
  <si>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South Limited</t>
  </si>
  <si>
    <t>SloughAbility Housing Association</t>
  </si>
  <si>
    <t>SloughAdvance Housing and Support Limited</t>
  </si>
  <si>
    <t>SloughAnchor Hanover Group</t>
  </si>
  <si>
    <t>SloughCo-op Homes (South) Limited</t>
  </si>
  <si>
    <t>SloughHabinteg Housing Association Limited</t>
  </si>
  <si>
    <t>SloughHastoe Housing Association Limited</t>
  </si>
  <si>
    <t>SloughHome Group Limited</t>
  </si>
  <si>
    <t>SloughHousing Solutions</t>
  </si>
  <si>
    <t>SloughLondon &amp; Quadrant Housing Trust</t>
  </si>
  <si>
    <t>SloughLook Ahead Care and Support Limited</t>
  </si>
  <si>
    <t>SloughMetropolitan Housing Trust Limited</t>
  </si>
  <si>
    <t>SloughNotting Hill Home Ownership Limited</t>
  </si>
  <si>
    <t>SloughParadigm Homes Charitable Housing Association Limited</t>
  </si>
  <si>
    <t>SloughParagon Asra Housing Limited</t>
  </si>
  <si>
    <t>SloughPlaces for People Homes Limited</t>
  </si>
  <si>
    <t>SloughReside Housing Association Limited</t>
  </si>
  <si>
    <t>SloughSanctuary Housing Association</t>
  </si>
  <si>
    <t>SloughSovereign Housing Association Limited</t>
  </si>
  <si>
    <t>SloughThe Swaythling Housing Society Limited</t>
  </si>
  <si>
    <t>SloughWestmoreland Supported Housing Limited</t>
  </si>
  <si>
    <t>SloughYMCA St Paul's Group</t>
  </si>
  <si>
    <t>SolihullAdvance Housing and Support Limited</t>
  </si>
  <si>
    <t>SolihullAnchor Hanover Group</t>
  </si>
  <si>
    <t>SolihullBromford Housing Association Limited</t>
  </si>
  <si>
    <t>SolihullCitizen Housing Group Limited</t>
  </si>
  <si>
    <t>SolihullClarion Housing Association Limited</t>
  </si>
  <si>
    <t>SolihullHome Group Limited</t>
  </si>
  <si>
    <t>SolihullHousing 21</t>
  </si>
  <si>
    <t>SolihullMidland Heart Limited</t>
  </si>
  <si>
    <t>SolihullOrbit Group Limited</t>
  </si>
  <si>
    <t>SolihullPlatform Housing Limited</t>
  </si>
  <si>
    <t>SolihullRayner House and Yew Trees Limited</t>
  </si>
  <si>
    <t>SolihullSanctuary Housing Association</t>
  </si>
  <si>
    <t>SolihullSir Josiah Mason's Almshouse Charity</t>
  </si>
  <si>
    <t>SolihullSolihull Care Housing Association Limited</t>
  </si>
  <si>
    <t>SolihullThe Abbeyfield Society</t>
  </si>
  <si>
    <t>SolihullThe Berrow Cottage Homes</t>
  </si>
  <si>
    <t>SolihullTrident Housing Association Limited</t>
  </si>
  <si>
    <t>SolihullWalsall Housing Group Limited</t>
  </si>
  <si>
    <t>SolihullWarwickshire Rural Housing Association Limited</t>
  </si>
  <si>
    <t>SolihullWestmoreland Supported Housing Limited</t>
  </si>
  <si>
    <t>South CambridgeshireAccent Housing Limited</t>
  </si>
  <si>
    <t>South CambridgeshireAnchor Hanover Group</t>
  </si>
  <si>
    <t>South Cambridgeshirebpha Limited</t>
  </si>
  <si>
    <t>South CambridgeshireClarion Housing Association Limited</t>
  </si>
  <si>
    <t>South CambridgeshireCross Keys Homes Limited</t>
  </si>
  <si>
    <t>South CambridgeshireFlagship Housing Group Limited</t>
  </si>
  <si>
    <t>South CambridgeshireFutures Homescape Limited</t>
  </si>
  <si>
    <t>South CambridgeshireGrand Union Housing Group Limited</t>
  </si>
  <si>
    <t>South CambridgeshireHastoe Housing Association Limited</t>
  </si>
  <si>
    <t>South CambridgeshireHeylo Housing Registered Provider Limited</t>
  </si>
  <si>
    <t>South CambridgeshireHundred Houses Society Limited</t>
  </si>
  <si>
    <t>South CambridgeshireLonghurst Group Limited</t>
  </si>
  <si>
    <t>South CambridgeshireMetropolitan Housing Trust Limited</t>
  </si>
  <si>
    <t>South CambridgeshireOrbit Group Limited</t>
  </si>
  <si>
    <t>South CambridgeshireParadigm Homes Charitable Housing Association Limited</t>
  </si>
  <si>
    <t>South CambridgeshirePlaces for People Homes Limited</t>
  </si>
  <si>
    <t>South CambridgeshireSanctuary Affordable Housing Limited</t>
  </si>
  <si>
    <t>South CambridgeshireSanctuary Housing Association</t>
  </si>
  <si>
    <t>South CambridgeshireStonewater Limited</t>
  </si>
  <si>
    <t>South CambridgeshireThe Cambridge Housing Society Limited</t>
  </si>
  <si>
    <t>South CambridgeshireThe Guinness Partnership Limited</t>
  </si>
  <si>
    <t>South CambridgeshireThe Havebury Housing Partnership</t>
  </si>
  <si>
    <t>South CambridgeshireThe Papworth Trust</t>
  </si>
  <si>
    <t>South CambridgeshireThe Riverside Group Limited</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</si>
  <si>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</si>
  <si>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</si>
  <si>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</si>
  <si>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</si>
  <si>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</si>
  <si>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</si>
  <si>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</si>
  <si>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DerbyshireLonghurst Group Limited</t>
  </si>
  <si>
    <t>South DerbyshireMetropolitan Housing Trust Limited</t>
  </si>
  <si>
    <t>South DerbyshireMidland Heart Limited</t>
  </si>
  <si>
    <t>South DerbyshireNottingham Community Housing Association Limited</t>
  </si>
  <si>
    <t>South DerbyshireP3 Housing Limited</t>
  </si>
  <si>
    <t>South DerbyshirePeak District Rural Housing Association Limited</t>
  </si>
  <si>
    <t>South DerbyshirePlatform Housing Limited</t>
  </si>
  <si>
    <t>South DerbyshirePlexus UK (First Project) Limited</t>
  </si>
  <si>
    <t>South DerbyshireSanctuary Housing Association</t>
  </si>
  <si>
    <t>South DerbyshireThe Riverside Group Limited</t>
  </si>
  <si>
    <t>South DerbyshireTrent &amp; Dove Housing Limited</t>
  </si>
  <si>
    <t>South DerbyshireTrident Housing Association Limited</t>
  </si>
  <si>
    <t>South GloucestershireAbbeyfield Bristol and Keynsham Society</t>
  </si>
  <si>
    <t>South GloucestershireAdvance Housing and Support Limited</t>
  </si>
  <si>
    <t>South GloucestershireAnchor Hanover Group</t>
  </si>
  <si>
    <t>South GloucestershireBristowe (Fair Rent) Housing Association Limited</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</si>
  <si>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</si>
  <si>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</si>
  <si>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</si>
  <si>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</si>
  <si>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</si>
  <si>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</si>
  <si>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GloucestershireGuinness Housing Association Limited</t>
  </si>
  <si>
    <t>South GloucestershireHabinteg Housing Association Limited</t>
  </si>
  <si>
    <t>South GloucestershireHeylo Housing Registered Provider Limited</t>
  </si>
  <si>
    <t>South GloucestershireHousing 21</t>
  </si>
  <si>
    <t>South GloucestershireInclusion Housing Community Interest Company</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</si>
  <si>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</si>
  <si>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</si>
  <si>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</si>
  <si>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</si>
  <si>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</si>
  <si>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GloucestershirePlaces for People Homes Limited</t>
  </si>
  <si>
    <t>South GloucestershirePlaces for People Living+ Limited</t>
  </si>
  <si>
    <t>South GloucestershireSanctuary Housing Association</t>
  </si>
  <si>
    <t>South GloucestershireSovereign Housing Association Limited</t>
  </si>
  <si>
    <t>South GloucestershireSovereign Living Limited</t>
  </si>
  <si>
    <t>South GloucestershireStonewater (5) Limited</t>
  </si>
  <si>
    <t>South GloucestershireThe Guinness Partnership Limited</t>
  </si>
  <si>
    <t>South GloucestershireThe Riverside Group Limited</t>
  </si>
  <si>
    <t>South HamsAdvance Housing and Support Limited</t>
  </si>
  <si>
    <t>South HamsAnchor Hanover Group</t>
  </si>
  <si>
    <t>South HamsAster Communities</t>
  </si>
  <si>
    <t>South HamsBournemouth Churches Housing Association Limited</t>
  </si>
  <si>
    <t>South HamsEmpower Housing Association Limited</t>
  </si>
  <si>
    <t>South HamsHastoe Housing Association Limited</t>
  </si>
  <si>
    <t>South HamsHeylo Housing Registered Provider Limited</t>
  </si>
  <si>
    <t>South HamsInclusion Housing Community Interest Company</t>
  </si>
  <si>
    <t>South HamsLiveWest Homes Limited</t>
  </si>
  <si>
    <t>South HamsProgress Housing Association Limited</t>
  </si>
  <si>
    <t>South HamsSanctuary Housing Association</t>
  </si>
  <si>
    <t>South HamsSouth Devon Rural Housing Association Limited</t>
  </si>
  <si>
    <t>South HamsSovereign Housing Association Limited</t>
  </si>
  <si>
    <t>South HamsTeign Housing</t>
  </si>
  <si>
    <t>South HamsThe Abbeyfield Society</t>
  </si>
  <si>
    <t>South HamsThe Abbeyfield South West Society Limited</t>
  </si>
  <si>
    <t>South HamsThe Guinness Partnership Limited</t>
  </si>
  <si>
    <t>South HamsWestward Housing Group Limited</t>
  </si>
  <si>
    <t>South HollandAccent Housing Limited</t>
  </si>
  <si>
    <t>South HollandAdvance Housing and Support Limited</t>
  </si>
  <si>
    <t>South HollandClarion Housing Association Limited</t>
  </si>
  <si>
    <t>South HollandCross Keys Homes Limited</t>
  </si>
  <si>
    <t>South HollandFramework Housing Association</t>
  </si>
  <si>
    <t>South HollandGrand Union Housing Group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</si>
  <si>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</si>
  <si>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</si>
  <si>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</si>
  <si>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</si>
  <si>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</si>
  <si>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HollandLonghurst Group Limited</t>
  </si>
  <si>
    <t>South HollandMuir Group Housing Association Limited</t>
  </si>
  <si>
    <t>South HollandNottingham Community Housing Association Limited</t>
  </si>
  <si>
    <t>South HollandPartners Foundation Limited</t>
  </si>
  <si>
    <t>South HollandPlatform Housing Limited</t>
  </si>
  <si>
    <t>South HollandProgress Housing Association Limited</t>
  </si>
  <si>
    <t>South HollandReside Housing Association Limited</t>
  </si>
  <si>
    <t>South KestevenAccent Housing Limited</t>
  </si>
  <si>
    <t>South KestevenAdvance Housing and Support Limited</t>
  </si>
  <si>
    <t>South KestevenAnchor Hanover Group</t>
  </si>
  <si>
    <t>South Kestevenbpha Limited</t>
  </si>
  <si>
    <t>South KestevenClarion Housing Association Limited</t>
  </si>
  <si>
    <t>South KestevenCross Keys Homes Limited</t>
  </si>
  <si>
    <t>South KestevenEMH Housing and Regeneration Limited</t>
  </si>
  <si>
    <t>South KestevenHeylo Housing Registered Provider Limited</t>
  </si>
  <si>
    <t>South KestevenHousing 21</t>
  </si>
  <si>
    <t>South KestevenLace Housing Limited</t>
  </si>
  <si>
    <t>South KestevenLincolnshire Housing Partnership Limited</t>
  </si>
  <si>
    <t>South KestevenLincolnshire Rural Housing Association Limited</t>
  </si>
  <si>
    <t>South KestevenLiveWest Homes Limited</t>
  </si>
  <si>
    <t>South KestevenLonghurst Group Limited</t>
  </si>
  <si>
    <t>South KestevenMuir Group Housing Association Limited</t>
  </si>
  <si>
    <t>South KestevenNACRO</t>
  </si>
  <si>
    <t>South KestevenNottingham Community Housing Association Limited</t>
  </si>
  <si>
    <t>South KestevenPartners Foundation Limited</t>
  </si>
  <si>
    <t>South KestevenPlaces for People Homes Limited</t>
  </si>
  <si>
    <t>South KestevenPlatform Housing Limited</t>
  </si>
  <si>
    <t>South KestevenProgress Housing Association Limited</t>
  </si>
  <si>
    <t>South KestevenSanctuary Housing Association</t>
  </si>
  <si>
    <t>South NorfolkAnchor Hanover Group</t>
  </si>
  <si>
    <t>South NorfolkBroadland Housing Association Limited</t>
  </si>
  <si>
    <t>South NorfolkClarion Housing Association Limited</t>
  </si>
  <si>
    <t>South NorfolkFlagship Housing Group Limited</t>
  </si>
  <si>
    <t>South NorfolkHastoe Housing Association Limited</t>
  </si>
  <si>
    <t>South NorfolkHeylo Housing Registered Provider Limited</t>
  </si>
  <si>
    <t>South NorfolkHome Group Limited</t>
  </si>
  <si>
    <t>South NorfolkHousing 21</t>
  </si>
  <si>
    <t>South NorfolkOrbit Group Limited</t>
  </si>
  <si>
    <t>South NorfolkOrwell Housing Association Limited</t>
  </si>
  <si>
    <t>South NorfolkPlaces for People Homes Limited</t>
  </si>
  <si>
    <t>South NorfolkProgress Housing Association Limited</t>
  </si>
  <si>
    <t>South NorfolkSaffron Housing Trust Limited</t>
  </si>
  <si>
    <t>South NorfolkSanctuary Affordable Housing Limited</t>
  </si>
  <si>
    <t>South NorfolkSanctuary Housing Association</t>
  </si>
  <si>
    <t>South NorfolkThe Havebury Housing Partnership</t>
  </si>
  <si>
    <t>South NorfolkV &amp; F Homes Limited</t>
  </si>
  <si>
    <t>South OxfordshireA2Dominion Homes Limited</t>
  </si>
  <si>
    <t>South OxfordshireA2Dominion Housing Options Limited</t>
  </si>
  <si>
    <t>South OxfordshireA2Dominion South Limited</t>
  </si>
  <si>
    <t>South OxfordshireAbility Housing Association</t>
  </si>
  <si>
    <t>South OxfordshireAdvance Housing and Support Limited</t>
  </si>
  <si>
    <t>South OxfordshireAnchor Hanover Group</t>
  </si>
  <si>
    <t>South OxfordshireAngiers Almshouse Charity</t>
  </si>
  <si>
    <t>South OxfordshireAster 3 Limited</t>
  </si>
  <si>
    <t>South OxfordshireAster Communities</t>
  </si>
  <si>
    <t>South Oxfordshirebpha Limited</t>
  </si>
  <si>
    <t>South OxfordshireClarion Housing Association Limited</t>
  </si>
  <si>
    <t>South OxfordshireDimensions (UK) Limited</t>
  </si>
  <si>
    <t>South OxfordshireEmpower Housing Association Limited</t>
  </si>
  <si>
    <t>South OxfordshireEnglish Rural Housing Association Limited</t>
  </si>
  <si>
    <t>South OxfordshireHastoe Housing Association Limited</t>
  </si>
  <si>
    <t>South OxfordshireHenley YMCA</t>
  </si>
  <si>
    <t>South OxfordshireHeylo Housing Registered Provider Limited</t>
  </si>
  <si>
    <t>South OxfordshireHome Group Limited</t>
  </si>
  <si>
    <t>South OxfordshireLondon &amp; Quadrant Housing Trust</t>
  </si>
  <si>
    <t>South OxfordshireMetropolitan Housing Trust Limited</t>
  </si>
  <si>
    <t>South OxfordshireMoat Homes Limited</t>
  </si>
  <si>
    <t>South OxfordshireNotting Hill Home Ownership Limited</t>
  </si>
  <si>
    <t>South OxfordshireRed Kite Community Housing Limited</t>
  </si>
  <si>
    <t>South OxfordshireSilva Homes Limited</t>
  </si>
  <si>
    <t>South OxfordshireSoha Housing Limited</t>
  </si>
  <si>
    <t>South OxfordshireSovereign Housing Association Limited</t>
  </si>
  <si>
    <t>South OxfordshireStonewater Limited</t>
  </si>
  <si>
    <t>South OxfordshireThame and District Housing Association Limited</t>
  </si>
  <si>
    <t>South RibbleAccent Housing Limited</t>
  </si>
  <si>
    <t>South RibbleAssured Living Housing Association Limited</t>
  </si>
  <si>
    <t>South RibbleCare Housing Association Limited</t>
  </si>
  <si>
    <t>South RibbleCommunity Gateway Association Limited</t>
  </si>
  <si>
    <t>South RibbleEmpower Housing Association Limited</t>
  </si>
  <si>
    <t>South RibbleGreat Places Housing Association</t>
  </si>
  <si>
    <t>South RibbleHabinteg Housing Association Limited</t>
  </si>
  <si>
    <t>South RibbleHalo Housing Association Limited</t>
  </si>
  <si>
    <t>South RibbleHeylo Housing Registered Provider Limited</t>
  </si>
  <si>
    <t>South RibbleHome Group Limited</t>
  </si>
  <si>
    <t>South RibbleNew Foundations Housing Association Limited</t>
  </si>
  <si>
    <t>South RibblePartners Foundation Limited</t>
  </si>
  <si>
    <t>South RibblePlaces for People Homes Limited</t>
  </si>
  <si>
    <t>South RibblePlaces for People Living+ Limited</t>
  </si>
  <si>
    <t>South RibbleProgress Housing Association Limited</t>
  </si>
  <si>
    <t>South RibbleRegenda Limited</t>
  </si>
  <si>
    <t>South RibbleYour Housing Limited</t>
  </si>
  <si>
    <t>South StaffordshireAnchor Hanover Group</t>
  </si>
  <si>
    <t>South StaffordshireBromford Housing Association Limited</t>
  </si>
  <si>
    <t>South StaffordshireInclusion Housing Community Interest Company</t>
  </si>
  <si>
    <t>South StaffordshireMidland Heart Limited</t>
  </si>
  <si>
    <t>South StaffordshireParasol Homes Limited</t>
  </si>
  <si>
    <t>South StaffordshireSanctuary Housing Association</t>
  </si>
  <si>
    <t>South StaffordshireThe Wrekin Housing Group Limited</t>
  </si>
  <si>
    <t>South StaffordshireWalsall Housing Group Limited</t>
  </si>
  <si>
    <t>South StaffordshireWestmoreland Supported Housing Limited</t>
  </si>
  <si>
    <t>South TynesideAccent Housing Limited</t>
  </si>
  <si>
    <t>South TynesideAnchor Hanover Group</t>
  </si>
  <si>
    <t>South TynesideBernicia Group</t>
  </si>
  <si>
    <t>South TynesideDimensions (UK) Limited</t>
  </si>
  <si>
    <t>South TynesideDurham Aged Mineworkers' Homes Association</t>
  </si>
  <si>
    <t>South TynesideGentoo Group Limited</t>
  </si>
  <si>
    <t>South TynesideHeylo Housing Registered Provider Limited</t>
  </si>
  <si>
    <t>South TynesideHome Group Limited</t>
  </si>
  <si>
    <t>South TynesideHousing 21</t>
  </si>
  <si>
    <t>South TynesideKarbon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</si>
  <si>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</si>
  <si>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</si>
  <si>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</si>
  <si>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</si>
  <si>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</si>
  <si>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</si>
  <si>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</si>
  <si>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</si>
  <si>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</si>
  <si>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</si>
  <si>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</si>
  <si>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SouthamptonAdvance Housing and Support Limited</t>
  </si>
  <si>
    <t>SouthamptonAnchor Hanover Group</t>
  </si>
  <si>
    <t>SouthamptonAster Communities</t>
  </si>
  <si>
    <t>SouthamptonBirnbeck Housing Association Limited</t>
  </si>
  <si>
    <t>SouthamptonClarion Housing Association Limited</t>
  </si>
  <si>
    <t>SouthamptonHabinteg Housing Association Limited</t>
  </si>
  <si>
    <t>SouthamptonHamwic Housing Co-operative Limited</t>
  </si>
  <si>
    <t>SouthamptonHeylo Housing Registered Provider Limited</t>
  </si>
  <si>
    <t>SouthamptonHome Group Limited</t>
  </si>
  <si>
    <t>SouthamptonHousing 21</t>
  </si>
  <si>
    <t>SouthamptonHyde Housing Association Limited</t>
  </si>
  <si>
    <t>SouthamptonMartlet Homes Limited</t>
  </si>
  <si>
    <t>SouthamptonMoat Homes Limited</t>
  </si>
  <si>
    <t>SouthamptonPlaces for People Homes Limited</t>
  </si>
  <si>
    <t>SouthamptonPlaces for People Living+ Limited</t>
  </si>
  <si>
    <t>SouthamptonReside Housing Association Limited</t>
  </si>
  <si>
    <t>SouthamptonSanctuary Housing Association</t>
  </si>
  <si>
    <t>SouthamptonSaxon Weald</t>
  </si>
  <si>
    <t>SouthamptonSovereign Housing Association Limited</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</si>
  <si>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</si>
  <si>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</si>
  <si>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</si>
  <si>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</si>
  <si>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</si>
  <si>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</si>
  <si>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SouthamptonTwo Saints Limited</t>
  </si>
  <si>
    <t>SouthamptonVivid Housing Limited</t>
  </si>
  <si>
    <t>SouthamptonYMCA Fairthorne Housing</t>
  </si>
  <si>
    <t>Southend-on-SeaAnchor Hanover Group</t>
  </si>
  <si>
    <t>Southend-on-SeaChelmer Housing Partnership Limited</t>
  </si>
  <si>
    <t>Southend-on-SeaChrysalis Supported Association Limited</t>
  </si>
  <si>
    <t>Southend-on-SeaCWL Housing</t>
  </si>
  <si>
    <t>Southend-on-SeaEmpower Housing Association Limited</t>
  </si>
  <si>
    <t>Southend-on-SeaEstuary Housing Association Limited</t>
  </si>
  <si>
    <t>Southend-on-SeaHabinteg Housing Association Limited</t>
  </si>
  <si>
    <t>Southend-on-SeaHastoe Housing Association Limited</t>
  </si>
  <si>
    <t>Southend-on-SeaHome Group Limited</t>
  </si>
  <si>
    <t>Southend-on-SeaHomeless Action Resource Project</t>
  </si>
  <si>
    <t>Southend-on-SeaLocal Space</t>
  </si>
  <si>
    <t>Southend-on-SeaLondon &amp; Quadrant Housing Trust</t>
  </si>
  <si>
    <t>Southend-on-SeaMetropolitan Housing Trust Limited</t>
  </si>
  <si>
    <t>Southend-on-SeaMoat Homes Limited</t>
  </si>
  <si>
    <t>Southend-on-SeaNotting Hill Genesis</t>
  </si>
  <si>
    <t>Southend-on-SeaPlaces for People Homes Limited</t>
  </si>
  <si>
    <t>Southend-on-SeaSalvation Army Housing Association</t>
  </si>
  <si>
    <t>Southend-on-SeaSanctuary Housing Association</t>
  </si>
  <si>
    <t>Southend-on-SeaShepherds Bush Housing Association Limited</t>
  </si>
  <si>
    <t>Southend-on-SeaSouthend-on-Sea Young Men's Christian Association</t>
  </si>
  <si>
    <t>Southend-on-SeaSwan Housing Association Limited</t>
  </si>
  <si>
    <t>Southend-on-SeaThe Field Lane Foundation</t>
  </si>
  <si>
    <t>Southend-on-SeaThe Guinness Partnership Limited</t>
  </si>
  <si>
    <t>Southend-on-SeaThe Richmond Fellowship</t>
  </si>
  <si>
    <t>Southend-on-SeaThe Riverside Group Limited</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</si>
  <si>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</si>
  <si>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</si>
  <si>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</si>
  <si>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</si>
  <si>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</si>
  <si>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</si>
  <si>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</si>
  <si>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</si>
  <si>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</si>
  <si>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</si>
  <si>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SouthwarkEkaya Housing Association Limited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</si>
  <si>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</si>
  <si>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</si>
  <si>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</si>
  <si>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</si>
  <si>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</si>
  <si>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</si>
  <si>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</si>
  <si>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</si>
  <si>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SouthwarkKeniston Housing Association Limited</t>
  </si>
  <si>
    <t>SouthwarkLocal Space</t>
  </si>
  <si>
    <t>SouthwarkLondon &amp; Quadrant Housing Trust</t>
  </si>
  <si>
    <t>SouthwarkLook Ahead Care and Support Limited</t>
  </si>
  <si>
    <t>SouthwarkMetropolitan Housing Trust Limited</t>
  </si>
  <si>
    <t>SouthwarkMoat Homes Limited</t>
  </si>
  <si>
    <t>SouthwarkNew Foundations Housing Association Limited</t>
  </si>
  <si>
    <t>SouthwarkNew World Housing Association Limited</t>
  </si>
  <si>
    <t>SouthwarkNotting Hill Genesis</t>
  </si>
  <si>
    <t>SouthwarkNotting Hill Home Ownership Limited</t>
  </si>
  <si>
    <t>SouthwarkOctavia Housing</t>
  </si>
  <si>
    <t>SouthwarkOrigin Housing Limited</t>
  </si>
  <si>
    <t>SouthwarkParagon Asra Housing Limited</t>
  </si>
  <si>
    <t>SouthwarkPeabody Trust</t>
  </si>
  <si>
    <t>SouthwarkProvidence Row Housing Association</t>
  </si>
  <si>
    <t>SouthwarkRadcliffe Housing Society Limited</t>
  </si>
  <si>
    <t>SouthwarkRedwood Housing Co-operative Limited</t>
  </si>
  <si>
    <t>SouthwarkRotherhithe Waterside Limited</t>
  </si>
  <si>
    <t>SouthwarkSalvation Army Housing Association</t>
  </si>
  <si>
    <t>SouthwarkSanctuary Housing Association</t>
  </si>
  <si>
    <t>SouthwarkSt George's Church Housing Co-operative Limited</t>
  </si>
  <si>
    <t>SouthwarkSt Mungo Community Housing Association</t>
  </si>
  <si>
    <t>SouthwarkSwan Lane Housing Co-operative Limited</t>
  </si>
  <si>
    <t>SouthwarkThe Abbeyfield Dulwich Society Limited</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</si>
  <si>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</si>
  <si>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</si>
  <si>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</si>
  <si>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</si>
  <si>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</si>
  <si>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</si>
  <si>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</si>
  <si>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</si>
  <si>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</si>
  <si>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</si>
  <si>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</si>
  <si>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</si>
  <si>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</si>
  <si>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</si>
  <si>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</si>
  <si>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</si>
  <si>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SpelthorneRowland Hill and Vaughan Almshouse Charity</t>
  </si>
  <si>
    <t>SpelthorneShepherds Bush Housing Association Limited</t>
  </si>
  <si>
    <t>SpelthorneTransform Housing &amp; Support</t>
  </si>
  <si>
    <t>St AlbansAbility Housing Association</t>
  </si>
  <si>
    <t>St AlbansAnchor Hanover Group</t>
  </si>
  <si>
    <t>St AlbansB3 Living Limited</t>
  </si>
  <si>
    <t>St Albansbpha Limited</t>
  </si>
  <si>
    <t>St AlbansClarion Housing Association Limited</t>
  </si>
  <si>
    <t>St AlbansDimensions (UK) Limited</t>
  </si>
  <si>
    <t>St AlbansFirst Priority Housing Association Limited</t>
  </si>
  <si>
    <t>St AlbansGrand Union Housing Group Limited</t>
  </si>
  <si>
    <t>St AlbansHightown Housing Association Limited</t>
  </si>
  <si>
    <t>St AlbansHome Group Limited</t>
  </si>
  <si>
    <t>St AlbansHousing 21</t>
  </si>
  <si>
    <t>St AlbansNotting Hill Genesis</t>
  </si>
  <si>
    <t>St AlbansNotting Hill Home Ownership Limited</t>
  </si>
  <si>
    <t>St AlbansParadigm Homes Charitable Housing Association Limited</t>
  </si>
  <si>
    <t>St AlbansParagon Asra Housing Limited</t>
  </si>
  <si>
    <t>St AlbansPlaces for People Homes Limited</t>
  </si>
  <si>
    <t>St AlbansReside Housing Association Limited</t>
  </si>
  <si>
    <t>St AlbansSettle Group</t>
  </si>
  <si>
    <t>St AlbansThrive Homes Limited</t>
  </si>
  <si>
    <t>St. HelensAccent Housing Limited</t>
  </si>
  <si>
    <t>St. HelensAlpha (R.S.L.) Limited</t>
  </si>
  <si>
    <t>St. HelensClarion Housing Association Limited</t>
  </si>
  <si>
    <t>St. HelensEmpower Housing Association Limited</t>
  </si>
  <si>
    <t>St. HelensForHousing Limited</t>
  </si>
  <si>
    <t>St. HelensGreat Places Housing Association</t>
  </si>
  <si>
    <t>St. HelensHeylo Housing Registered Provider Limited</t>
  </si>
  <si>
    <t>St. HelensHousing 21</t>
  </si>
  <si>
    <t>St. HelensInclusion Housing Community Interest Company</t>
  </si>
  <si>
    <t>St. HelensLivv Housing Group</t>
  </si>
  <si>
    <t>St. HelensMosscare St. Vincent's Housing Group Limited</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</si>
  <si>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</si>
  <si>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</si>
  <si>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</si>
  <si>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</si>
  <si>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</si>
  <si>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</si>
  <si>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</si>
  <si>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</si>
  <si>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</si>
  <si>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</si>
  <si>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</si>
  <si>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</si>
  <si>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Abbeyfield Society</t>
  </si>
  <si>
    <t>St. HelensThe Riverside Group Limited</t>
  </si>
  <si>
    <t>St. HelensTorus62 Limited</t>
  </si>
  <si>
    <t>St. HelensYMCA St Helens</t>
  </si>
  <si>
    <t>St. HelensYour Housing Limited</t>
  </si>
  <si>
    <t>StaffordAspire Housing Limited</t>
  </si>
  <si>
    <t>StaffordBromford Housing Association Limited</t>
  </si>
  <si>
    <t>StaffordHalo Housing Association Limited</t>
  </si>
  <si>
    <t>StaffordHeylo Housing Registered Provider Limited</t>
  </si>
  <si>
    <t>StaffordHoneycomb Group Limited</t>
  </si>
  <si>
    <t>StaffordHousing 21</t>
  </si>
  <si>
    <t>StaffordInclusion Housing Community Interest Company</t>
  </si>
  <si>
    <t>StaffordMidland Heart Limited</t>
  </si>
  <si>
    <t>StaffordPlatform Housing Limited</t>
  </si>
  <si>
    <t>StaffordSanctuary Housing Association</t>
  </si>
  <si>
    <t>StaffordThe Riverside Group Limited</t>
  </si>
  <si>
    <t>StaffordThe Wrekin Housing Group Limited</t>
  </si>
  <si>
    <t>StaffordWalsall Housing Group Limited</t>
  </si>
  <si>
    <t>Staffordshire MoorlandsAnchor Hanover Group</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</si>
  <si>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</si>
  <si>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</si>
  <si>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</si>
  <si>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</si>
  <si>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MoorlandsHalo Housing Association Limited</t>
  </si>
  <si>
    <t>Staffordshire MoorlandsHoneycomb Group Limited</t>
  </si>
  <si>
    <t>Staffordshire MoorlandsMidland Heart Limited</t>
  </si>
  <si>
    <t>Staffordshire MoorlandsPeak District Rural Housing Association Limited</t>
  </si>
  <si>
    <t>Staffordshire MoorlandsPlus Dane Housing Limited</t>
  </si>
  <si>
    <t>Staffordshire MoorlandsSanctuary Housing Association</t>
  </si>
  <si>
    <t>Staffordshire MoorlandsThe Ash Homes</t>
  </si>
  <si>
    <t>Staffordshire MoorlandsThe Wrekin Housing Group Limited</t>
  </si>
  <si>
    <t>Staffordshire MoorlandsYour Housing Limited</t>
  </si>
  <si>
    <t>StevenageAdvance Housing and Support Limited</t>
  </si>
  <si>
    <t>StevenageAnchor Hanover Group</t>
  </si>
  <si>
    <t>StevenageB3 Living Limited</t>
  </si>
  <si>
    <t>Stevenagebpha Limited</t>
  </si>
  <si>
    <t>StevenageClarion Housing Association Limited</t>
  </si>
  <si>
    <t>StevenageFirst Garden Cities Homes Limited</t>
  </si>
  <si>
    <t>StevenageFirst Priority Housing Association Limited</t>
  </si>
  <si>
    <t>StevenageHastoe Housing Association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</si>
  <si>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</si>
  <si>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</si>
  <si>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</si>
  <si>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</si>
  <si>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</si>
  <si>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</si>
  <si>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StevenageNotting Hill Genesis</t>
  </si>
  <si>
    <t>StevenageNotting Hill Home Ownership Limited</t>
  </si>
  <si>
    <t>StevenageOrigin Housing Limited</t>
  </si>
  <si>
    <t>StevenageParadigm Homes Charitable Housing Association Limited</t>
  </si>
  <si>
    <t>StevenageReside Housing Association Limited</t>
  </si>
  <si>
    <t>StevenageSettle Group</t>
  </si>
  <si>
    <t>StevenageShepherds Bush Housing Association Limited</t>
  </si>
  <si>
    <t>StevenageThe Guinness Partnership Limited</t>
  </si>
  <si>
    <t>StevenageWisden Housing Co-operative Limited</t>
  </si>
  <si>
    <t>StockportAnchor Hanover Group</t>
  </si>
  <si>
    <t>StockportArawak Walton Housing Association Limited</t>
  </si>
  <si>
    <t>StockportCare Housing Association Limited</t>
  </si>
  <si>
    <t>StockportCreative Support Limited</t>
  </si>
  <si>
    <t>StockportEmpower Housing Association Limited</t>
  </si>
  <si>
    <t>StockportHalo Housing Association Limited</t>
  </si>
  <si>
    <t>StockportHousing 21</t>
  </si>
  <si>
    <t>StockportIrwell Valley Housing Association Limited</t>
  </si>
  <si>
    <t>Stockport'Johnnie' Johnson Housing Trust Limited</t>
  </si>
  <si>
    <t>StockportLets for Life</t>
  </si>
  <si>
    <t>StockportMosscare St. Vincent's Housing Group Limited</t>
  </si>
  <si>
    <t>StockportMuir Group Housing Association Limited</t>
  </si>
  <si>
    <t>StockportPlaces for People Homes Limited</t>
  </si>
  <si>
    <t>StockportPlaces for People Living+ Limited</t>
  </si>
  <si>
    <t>StockportProgress Housing Association Limited</t>
  </si>
  <si>
    <t>StockportStockport Homes Limited</t>
  </si>
  <si>
    <t>StockportThe Abbeyfield Society</t>
  </si>
  <si>
    <t>StockportThe Guinness Partnership Limited</t>
  </si>
  <si>
    <t>StockportThe Riverside Group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</si>
  <si>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</si>
  <si>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</si>
  <si>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</si>
  <si>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</si>
  <si>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</si>
  <si>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</si>
  <si>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</si>
  <si>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</si>
  <si>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</si>
  <si>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</si>
  <si>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</si>
  <si>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</si>
  <si>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</si>
  <si>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</si>
  <si>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</si>
  <si>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</si>
  <si>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Stockton-on-TeesNew Walk Property Management CIC</t>
  </si>
  <si>
    <t>Stockton-on-TeesNorth Star Housing Group</t>
  </si>
  <si>
    <t>Stockton-on-TeesPlaces for People Homes Limited</t>
  </si>
  <si>
    <t>Stockton-on-TeesRailway Housing Association and Benefit Fund</t>
  </si>
  <si>
    <t>Stockton-on-TeesThe Guinness Partnership Limited</t>
  </si>
  <si>
    <t>Stockton-on-TeesThe Riverside Group Limited</t>
  </si>
  <si>
    <t>Stockton-on-TeesThirteen Housing Group Limited</t>
  </si>
  <si>
    <t>Stoke-on-TrentAnchor Hanover Group</t>
  </si>
  <si>
    <t>Stoke-on-TrentAspire Housing Limited</t>
  </si>
  <si>
    <t>Stoke-on-TrentBrighter Futures Housing Association Limited</t>
  </si>
  <si>
    <t>Stoke-on-TrentChoices Housing Association Limited</t>
  </si>
  <si>
    <t>Stoke-on-TrentClarion Housing Association Limited</t>
  </si>
  <si>
    <t>Stoke-on-TrentEmpowering People Inspiring Communities Limited</t>
  </si>
  <si>
    <t>Stoke-on-TrentHawes Street Housing Limited</t>
  </si>
  <si>
    <t>Stoke-on-TrentHeylo Housing Registered Provider Limited</t>
  </si>
  <si>
    <t>Stoke-on-TrentHoneycomb Group Limited</t>
  </si>
  <si>
    <t>Stoke-on-TrentHousing 21</t>
  </si>
  <si>
    <t>Stoke-on-TrentInclusion Housing Community Interest Company</t>
  </si>
  <si>
    <t>Stoke-on-TrentMidland Heart Limited</t>
  </si>
  <si>
    <t>Stoke-on-TrentNACRO</t>
  </si>
  <si>
    <t>Stoke-on-TrentSalvation Army Housing Association</t>
  </si>
  <si>
    <t>Stoke-on-TrentSanctuary Affordable Housing Limited</t>
  </si>
  <si>
    <t>Stoke-on-TrentSanctuary Housing Association</t>
  </si>
  <si>
    <t>Stoke-on-TrentStoke-on-Trent Housing Society Limited</t>
  </si>
  <si>
    <t>Stoke-on-TrentTeachers' Housing Association Limited</t>
  </si>
  <si>
    <t>Stoke-on-TrentThe Riverside Group Limited</t>
  </si>
  <si>
    <t>Stoke-on-TrentThe Wrekin Housing Group Limited</t>
  </si>
  <si>
    <t>Stoke-on-TrentWestmoreland Supported Housing Limited</t>
  </si>
  <si>
    <t>Stoke-on-TrentYour Housing Limited</t>
  </si>
  <si>
    <t>Stratford-on-AvonAdvance Housing and Support Limited</t>
  </si>
  <si>
    <t>Stratford-on-AvonBromford Home Ownership Limited</t>
  </si>
  <si>
    <t>Stratford-on-AvonBromford Housing Association Limited</t>
  </si>
  <si>
    <t>Stratford-on-AvonCreative Support Limited</t>
  </si>
  <si>
    <t>Stratford-on-AvonFrontis Homes Limited</t>
  </si>
  <si>
    <t>Stratford-on-AvonHeylo Housing Registered Provider Limited</t>
  </si>
  <si>
    <t>Stratford-on-AvonLegal &amp; General Affordable Homes Limited</t>
  </si>
  <si>
    <t>Stratford-on-AvonOrbit Group Limited</t>
  </si>
  <si>
    <t>Stratford-on-AvonPlatform Housing Limited</t>
  </si>
  <si>
    <t>Stratford-on-AvonSambourne Trust</t>
  </si>
  <si>
    <t>Stratford-on-AvonSanctuary Affordable Housing Limited</t>
  </si>
  <si>
    <t>Stratford-on-AvonSanctuary Housing Association</t>
  </si>
  <si>
    <t>Stratford-on-AvonWarwickshire Rural Housing Association Limited</t>
  </si>
  <si>
    <t>Stratford-on-AvonWhitehead Almshouses</t>
  </si>
  <si>
    <t>StroudAdvance Housing and Support Limited</t>
  </si>
  <si>
    <t>StroudAnchor Hanover Group</t>
  </si>
  <si>
    <t>StroudAster Communities</t>
  </si>
  <si>
    <t>StroudBirnbeck Housing Association Limited</t>
  </si>
  <si>
    <t>StroudBromford Housing Association Limited</t>
  </si>
  <si>
    <t>StroudCottsway Housing Association Limited</t>
  </si>
  <si>
    <t>StroudElim Housing Association Limited</t>
  </si>
  <si>
    <t>StroudFirst Priority Housing Association Limited</t>
  </si>
  <si>
    <t>StroudFountain Housing Association Limited</t>
  </si>
  <si>
    <t>StroudGloucester City Homes Limited</t>
  </si>
  <si>
    <t>StroudHeylo Housing Registered Provider Limited</t>
  </si>
  <si>
    <t>StroudHilldale Housing Association Limited</t>
  </si>
  <si>
    <t>StroudHome Group Limited</t>
  </si>
  <si>
    <t>StroudHousing 21</t>
  </si>
  <si>
    <t>StroudLiveWest Homes Limited</t>
  </si>
  <si>
    <t>StroudMerlin Housing Society Limited</t>
  </si>
  <si>
    <t>StroudPlaces for People Homes Limited</t>
  </si>
  <si>
    <t>StroudPlaces for People Living+ Limited</t>
  </si>
  <si>
    <t>StroudPlatform Housing Limited</t>
  </si>
  <si>
    <t>StroudRooftop Housing Association Limited</t>
  </si>
  <si>
    <t>StroudSalvation Army Housing Association</t>
  </si>
  <si>
    <t>StroudSanctuary Affordable Housing Limited</t>
  </si>
  <si>
    <t>StroudSanctuary Housing Association</t>
  </si>
  <si>
    <t>StroudSovereign Housing Association Limited</t>
  </si>
  <si>
    <t>StroudStonewater Limited</t>
  </si>
  <si>
    <t>StroudThe Guinness Partnership Limited</t>
  </si>
  <si>
    <t>StroudThe Reverend Rowland Hill Almshouse Charity</t>
  </si>
  <si>
    <t>StroudThe Riverside Group Limited</t>
  </si>
  <si>
    <t>StroudTrinity Housing Association Limited</t>
  </si>
  <si>
    <t>StroudTwo Rivers Housing</t>
  </si>
  <si>
    <t>StroudWestmoreland Supported Housing Limited</t>
  </si>
  <si>
    <t>SunderlandAccent Housing Limited</t>
  </si>
  <si>
    <t>SunderlandAged Merchant Seamen's Homes</t>
  </si>
  <si>
    <t>SunderlandAnchor Hanover Group</t>
  </si>
  <si>
    <t>SunderlandAth-Gray Housing Co-operative Limited</t>
  </si>
  <si>
    <t>SunderlandBelieve Housing Limited</t>
  </si>
  <si>
    <t>SunderlandBernicia Group</t>
  </si>
  <si>
    <t>SunderlandCastles &amp; Coasts Housing Association Limited</t>
  </si>
  <si>
    <t>SunderlandDurham Aged Mineworkers' Homes Association</t>
  </si>
  <si>
    <t>SunderlandGentoo Group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</si>
  <si>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</si>
  <si>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</si>
  <si>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</si>
  <si>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</si>
  <si>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</si>
  <si>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</si>
  <si>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</si>
  <si>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</si>
  <si>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</si>
  <si>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</si>
  <si>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</si>
  <si>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</si>
  <si>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</si>
  <si>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</si>
  <si>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</si>
  <si>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</si>
  <si>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</si>
  <si>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</si>
  <si>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</si>
  <si>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</si>
  <si>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</si>
  <si>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</si>
  <si>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South Limited</t>
  </si>
  <si>
    <t>Surrey HeathAccent Housing Limited</t>
  </si>
  <si>
    <t>Surrey HeathAdvance Housing and Support Limited</t>
  </si>
  <si>
    <t>Surrey HeathAnchor Hanover Group</t>
  </si>
  <si>
    <t>Surrey HeathClarion Housing Association Limited</t>
  </si>
  <si>
    <t>Surrey HeathHome Group Limited</t>
  </si>
  <si>
    <t>Surrey HeathInclusion Housing Community Interest Company</t>
  </si>
  <si>
    <t>Surrey HeathLondon &amp; Quadrant Housing Trust</t>
  </si>
  <si>
    <t>Surrey HeathMetropolitan Housing Trust Limited</t>
  </si>
  <si>
    <t>Surrey HeathMount Green Housing Association Limited</t>
  </si>
  <si>
    <t>Surrey HeathReside Housing Association Limited</t>
  </si>
  <si>
    <t>Surrey HeathSovereign Housing Association Limited</t>
  </si>
  <si>
    <t>Surrey HeathThe Field Lane Foundation</t>
  </si>
  <si>
    <t>Surrey HeathThe Richmond Fellowship</t>
  </si>
  <si>
    <t>Surrey HeathTransform Housing &amp; Support</t>
  </si>
  <si>
    <t>Surrey HeathVivid Housing Limited</t>
  </si>
  <si>
    <t>Surrey HeathWestmoreland Supported Housing Limited</t>
  </si>
  <si>
    <t>SuttonAbbeyfield Southern Oaks</t>
  </si>
  <si>
    <t>SuttonAbility Housing Association</t>
  </si>
  <si>
    <t>SuttonAdvance Housing and Support Limited</t>
  </si>
  <si>
    <t>SuttonAnchor Hanover Group</t>
  </si>
  <si>
    <t>SuttonClarion Housing Association Limited</t>
  </si>
  <si>
    <t>SuttonCroydon Churches Housing Association Limited</t>
  </si>
  <si>
    <t>SuttonHome Group Limited</t>
  </si>
  <si>
    <t>SuttonHousing 21</t>
  </si>
  <si>
    <t>SuttonLarcombe Housing Association Limited</t>
  </si>
  <si>
    <t>SuttonLondon &amp; Quadrant Housing Trust</t>
  </si>
  <si>
    <t>SuttonMetropolitan Housing Trust Limited</t>
  </si>
  <si>
    <t>SuttonMillat Asian Housing Association Limited</t>
  </si>
  <si>
    <t>SuttonMoat Homes Limited</t>
  </si>
  <si>
    <t>SuttonNotting Hill Genesis</t>
  </si>
  <si>
    <t>SuttonNotting Hill Home Ownership Limited</t>
  </si>
  <si>
    <t>SuttonOmega Housing Limited</t>
  </si>
  <si>
    <t>SuttonOrbit Group Limited</t>
  </si>
  <si>
    <t>SuttonPeabody Trust</t>
  </si>
  <si>
    <t>SuttonPlaces for People Homes Limited</t>
  </si>
  <si>
    <t>SuttonProgress Housing Association Limited</t>
  </si>
  <si>
    <t>SuttonRaven Housing Trust Limited</t>
  </si>
  <si>
    <t>SuttonReside Housing Association Limited</t>
  </si>
  <si>
    <t>SuttonShepherds Bush Housing Association Limited</t>
  </si>
  <si>
    <t>SuttonSt Mungo Community Housing Association</t>
  </si>
  <si>
    <t>SuttonSutton Housing Society Limited</t>
  </si>
  <si>
    <t>SuttonThames Valley Housing Association Limited</t>
  </si>
  <si>
    <t>SuttonThe Riverside Group Limited</t>
  </si>
  <si>
    <t>SuttonTransform Housing &amp; Support</t>
  </si>
  <si>
    <t>SuttonWandle Housing Association Limited</t>
  </si>
  <si>
    <t>SuttonWestmoreland Supported Housing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</si>
  <si>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</si>
  <si>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</si>
  <si>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</si>
  <si>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</si>
  <si>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</si>
  <si>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</si>
  <si>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</si>
  <si>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</si>
  <si>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</si>
  <si>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</si>
  <si>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</si>
  <si>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</si>
  <si>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SwaleMinster Housing Co-operative Limited</t>
  </si>
  <si>
    <t>SwaleMoat Homes Limited</t>
  </si>
  <si>
    <t>SwaleOrbit Group Limited</t>
  </si>
  <si>
    <t>SwalePlaces for People Homes Limited</t>
  </si>
  <si>
    <t>SwalePlaces for People Living+ Limited</t>
  </si>
  <si>
    <t>SwaleReside Housing Association Limited</t>
  </si>
  <si>
    <t>SwaleSanctuary Affordable Housing Limited</t>
  </si>
  <si>
    <t>SwaleSanctuary Housing Association</t>
  </si>
  <si>
    <t>SwaleThe Riverside Group Limited</t>
  </si>
  <si>
    <t>SwaleWest Kent Housing Association</t>
  </si>
  <si>
    <t>SwindonA2Dominion Homes Limited</t>
  </si>
  <si>
    <t>SwindonAbility Housing Association</t>
  </si>
  <si>
    <t>SwindonAdvance Housing and Support Limited</t>
  </si>
  <si>
    <t>SwindonAnchor Hanover Group</t>
  </si>
  <si>
    <t>SwindonAster Communities</t>
  </si>
  <si>
    <t>SwindonBromford Housing Association Limited</t>
  </si>
  <si>
    <t>SwindonCottsway Housing Association Limited</t>
  </si>
  <si>
    <t>SwindonFrontis Homes Limited</t>
  </si>
  <si>
    <t>SwindonHabinteg Housing Association Limited</t>
  </si>
  <si>
    <t>SwindonHeylo Housing Registered Provider Limited</t>
  </si>
  <si>
    <t>SwindonHome Group Limited</t>
  </si>
  <si>
    <t>SwindonHousing 21</t>
  </si>
  <si>
    <t>SwindonLiveWest Homes Limited</t>
  </si>
  <si>
    <t>SwindonMethodist Homes Housing Association Limited</t>
  </si>
  <si>
    <t>SwindonMoat Homes Limited</t>
  </si>
  <si>
    <t>SwindonPlaces for People Homes Limited</t>
  </si>
  <si>
    <t>SwindonPlaces for People Living+ Limited</t>
  </si>
  <si>
    <t>SwindonSalvation Army Housing Association</t>
  </si>
  <si>
    <t>SwindonSanctuary Housing Association</t>
  </si>
  <si>
    <t>SwindonSoha Housing Limited</t>
  </si>
  <si>
    <t>SwindonSovereign Housing Association Limited</t>
  </si>
  <si>
    <t>SwindonStonewater (5) Limited</t>
  </si>
  <si>
    <t>SwindonStonewater Limited</t>
  </si>
  <si>
    <t>SwindonSynergy Housing Limited</t>
  </si>
  <si>
    <t>SwindonThe Guinness Partnership Limited</t>
  </si>
  <si>
    <t>SwindonThe Riverside Group Limited</t>
  </si>
  <si>
    <t>SwindonWhite Horse Housing Association Limited</t>
  </si>
  <si>
    <t>TamesideAccent Housing Limited</t>
  </si>
  <si>
    <t>TamesideAdullam Homes Housing Association Limited</t>
  </si>
  <si>
    <t>TamesideAdvance Housing and Support Limited</t>
  </si>
  <si>
    <t>TamesideAnchor Hanover Group</t>
  </si>
  <si>
    <t>TamesideAshton Pioneer Homes Limited</t>
  </si>
  <si>
    <t>TamesideCreative Support Limited</t>
  </si>
  <si>
    <t>TamesideFairfield Moravian Housing Association Limited</t>
  </si>
  <si>
    <t>TamesideFirst Priority Housing Association Limited</t>
  </si>
  <si>
    <t>TamesideGreat Places Housing Association</t>
  </si>
  <si>
    <t>TamesideHalo Housing Association Limited</t>
  </si>
  <si>
    <t>TamesideHeylo Housing Registered Provider Limited</t>
  </si>
  <si>
    <t>TamesideHousing 21</t>
  </si>
  <si>
    <t>TamesideIrwell Valley Housing Association Limited</t>
  </si>
  <si>
    <t>TamesideJigsaw Homes Group Limited</t>
  </si>
  <si>
    <t>Tameside'Johnnie' Johnson Housing Trust Limited</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</si>
  <si>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</si>
  <si>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</si>
  <si>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</si>
  <si>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</si>
  <si>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</si>
  <si>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</si>
  <si>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</si>
  <si>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</si>
  <si>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</si>
  <si>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Housing Association Limited</t>
  </si>
  <si>
    <t>TamworthCitizen Housing Group Limited</t>
  </si>
  <si>
    <t>TamworthClarion Housing Association Limited</t>
  </si>
  <si>
    <t>TamworthEMH Housing and Regeneration Limited</t>
  </si>
  <si>
    <t>TamworthEmpower Housing Association Limited</t>
  </si>
  <si>
    <t>TamworthMetropolitan Housing Trust Limited</t>
  </si>
  <si>
    <t>TamworthMidland Heart Limited</t>
  </si>
  <si>
    <t>TamworthOrbit Group Limited</t>
  </si>
  <si>
    <t>TamworthPlatform Housing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</si>
  <si>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</si>
  <si>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</si>
  <si>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</si>
  <si>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</si>
  <si>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</si>
  <si>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</si>
  <si>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TandridgeClarion Housing Association Limited</t>
  </si>
  <si>
    <t>TandridgeEnglish Rural Housing Association Limited</t>
  </si>
  <si>
    <t>TandridgeGreenoak Housing Association Limited</t>
  </si>
  <si>
    <t>TandridgeHabinteg Housing Association Limited</t>
  </si>
  <si>
    <t>TandridgeHalo Housing Association Limited</t>
  </si>
  <si>
    <t>TandridgeHyde Housing Association Limited</t>
  </si>
  <si>
    <t>TandridgeLondon &amp; Quadrant Housing Trust</t>
  </si>
  <si>
    <t>TandridgeMetropolitan Housing Trust Limited</t>
  </si>
  <si>
    <t>TandridgeMount Green Housing Association Limited</t>
  </si>
  <si>
    <t>TandridgeRadcliffe Housing Society Limited</t>
  </si>
  <si>
    <t>TandridgeRaven Housing Trust Limited</t>
  </si>
  <si>
    <t>TandridgeReside Housing Association Limited</t>
  </si>
  <si>
    <t>TandridgeShepherds Bush Housing Association Limited</t>
  </si>
  <si>
    <t>TandridgeThe Field Lane Foundation</t>
  </si>
  <si>
    <t>TandridgeThe Guinness Partnership Limited</t>
  </si>
  <si>
    <t>TandridgeTransform Housing &amp; Support</t>
  </si>
  <si>
    <t>TeignbridgeAdvance Housing and Support Limited</t>
  </si>
  <si>
    <t>TeignbridgeAnchor Hanover Group</t>
  </si>
  <si>
    <t>TeignbridgeAster Communities</t>
  </si>
  <si>
    <t>TeignbridgeClarion Housing Association Limited</t>
  </si>
  <si>
    <t>TeignbridgeCornerstone Housing Limited</t>
  </si>
  <si>
    <t>TeignbridgeEmpower Housing Association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</si>
  <si>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</si>
  <si>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</si>
  <si>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</si>
  <si>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</si>
  <si>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</si>
  <si>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</si>
  <si>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TeignbridgeProgress Housing Association Limited</t>
  </si>
  <si>
    <t>TeignbridgeRed Devon Housing Limited</t>
  </si>
  <si>
    <t>TeignbridgeSanctuary Affordable Housing Limited</t>
  </si>
  <si>
    <t>TeignbridgeSanctuary Housing Association</t>
  </si>
  <si>
    <t>TeignbridgeSouth Devon Rural Housing Association Limited</t>
  </si>
  <si>
    <t>TeignbridgeSovereign Housing Association Limited</t>
  </si>
  <si>
    <t>TeignbridgeTeign Housing</t>
  </si>
  <si>
    <t>TeignbridgeThe Guinness Partnership Limited</t>
  </si>
  <si>
    <t>TeignbridgeWestward Housing Group Limited</t>
  </si>
  <si>
    <t>Telford and WrekinAlpha (R.S.L.) Limited</t>
  </si>
  <si>
    <t>Telford and WrekinAnchor Hanover Group</t>
  </si>
  <si>
    <t>Telford and WrekinBlackburn YMCA</t>
  </si>
  <si>
    <t>Telford and WrekinBournville Village Trust</t>
  </si>
  <si>
    <t>Telford and WrekinBromford Housing Association Limited</t>
  </si>
  <si>
    <t>Telford and WrekinDimensions (UK) Limited</t>
  </si>
  <si>
    <t>Telford and WrekinHabinteg Housing Association Limited</t>
  </si>
  <si>
    <t>Telford and WrekinHalo Housing Association Limited</t>
  </si>
  <si>
    <t>Telford and WrekinHeylo Housing Registered Provider Limited</t>
  </si>
  <si>
    <t>Telford and WrekinHome Group Limited</t>
  </si>
  <si>
    <t>Telford and WrekinHousing 21</t>
  </si>
  <si>
    <t>Telford and WrekinInclusion Housing Community Interest Company</t>
  </si>
  <si>
    <t>Telford and WrekinPlaces for People Homes Limited</t>
  </si>
  <si>
    <t>Telford and WrekinReside Housing Association Limited</t>
  </si>
  <si>
    <t>Telford and WrekinSanctuary Affordable Housing Limited</t>
  </si>
  <si>
    <t>Telford and WrekinSanctuary Housing Association</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</si>
  <si>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</si>
  <si>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</si>
  <si>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</si>
  <si>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</si>
  <si>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</si>
  <si>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TendringChelmer Housing Partnership Limited</t>
  </si>
  <si>
    <t>TendringClarion Housing Association Limited</t>
  </si>
  <si>
    <t>TendringDimensions (UK) Limited</t>
  </si>
  <si>
    <t>TendringEmpower Housing Association Limited</t>
  </si>
  <si>
    <t>TendringEnglish Rural Housing Association Limited</t>
  </si>
  <si>
    <t>TendringEstuary Housing Association Limited</t>
  </si>
  <si>
    <t>TendringFlagship Housing Group Limited</t>
  </si>
  <si>
    <t>TendringHastoe Housing Association Limited</t>
  </si>
  <si>
    <t>TendringHeylo Housing Registered Provider Limited</t>
  </si>
  <si>
    <t>TendringHome Group Limited</t>
  </si>
  <si>
    <t>TendringHousing 21</t>
  </si>
  <si>
    <t>TendringInclusion Housing Community Interest Company</t>
  </si>
  <si>
    <t>TendringLets for Life</t>
  </si>
  <si>
    <t>TendringLondon &amp; Quadrant Housing Trust</t>
  </si>
  <si>
    <t>TendringNACRO</t>
  </si>
  <si>
    <t>TendringOrwell Housing Association Limited</t>
  </si>
  <si>
    <t>TendringPlaces for People Homes Limited</t>
  </si>
  <si>
    <t>TendringProgress Housing Association Limited</t>
  </si>
  <si>
    <t>TendringSaffron Housing Trust Limited</t>
  </si>
  <si>
    <t>TendringSalvation Army Housing Association</t>
  </si>
  <si>
    <t>TendringSanctuary Affordable Housing Limited</t>
  </si>
  <si>
    <t>TendringSanctuary Housing Association</t>
  </si>
  <si>
    <t>TendringSwan Housing Association Limited</t>
  </si>
  <si>
    <t>TendringThe Guinness Partnership Limited</t>
  </si>
  <si>
    <t>TendringThe Riverside Group Limited</t>
  </si>
  <si>
    <t>Test ValleyAbbeyfield Wessex Society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</si>
  <si>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</si>
  <si>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</si>
  <si>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</si>
  <si>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</si>
  <si>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</si>
  <si>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</si>
  <si>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</si>
  <si>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</si>
  <si>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</si>
  <si>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</si>
  <si>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ValleyLiveWest Homes Limited</t>
  </si>
  <si>
    <t>Test ValleyLondon &amp; Quadrant Housing Trust</t>
  </si>
  <si>
    <t>Test ValleyMoat Homes Limited</t>
  </si>
  <si>
    <t>Test ValleyParasol Homes Limited</t>
  </si>
  <si>
    <t>Test ValleyPlaces for People Homes Limited</t>
  </si>
  <si>
    <t>Test ValleySalvation Army Housing Association</t>
  </si>
  <si>
    <t>Test ValleySanctuary Housing Association</t>
  </si>
  <si>
    <t>Test ValleySovereign Housing Association Limited</t>
  </si>
  <si>
    <t>Test ValleyStonewater Limited</t>
  </si>
  <si>
    <t>Test ValleySynergy Housing Limited</t>
  </si>
  <si>
    <t>Test ValleyThe Andover Charities</t>
  </si>
  <si>
    <t>Test ValleyThe Swaythling Housing Society Limited</t>
  </si>
  <si>
    <t>Test ValleyTwo Saints Limited</t>
  </si>
  <si>
    <t>Test ValleyVivid Housing Limited</t>
  </si>
  <si>
    <t>TewkesburyAdvance Housing and Support Limited</t>
  </si>
  <si>
    <t>TewkesburyAnchor Hanover Group</t>
  </si>
  <si>
    <t>TewkesburyBromford Housing Association Limited</t>
  </si>
  <si>
    <t>TewkesburyCitizen Housing Group Limited</t>
  </si>
  <si>
    <t>TewkesburyCottsway Housing Association Limited</t>
  </si>
  <si>
    <t>TewkesburyEnglish Rural Housing Association Limited</t>
  </si>
  <si>
    <t>TewkesburyGloucester City Homes Limited</t>
  </si>
  <si>
    <t>TewkesburyHeylo Housing Registered Provider Limited</t>
  </si>
  <si>
    <t>TewkesburyHousing 21</t>
  </si>
  <si>
    <t>TewkesburyLangley House Trust</t>
  </si>
  <si>
    <t>TewkesburyLiveWest Homes Limited</t>
  </si>
  <si>
    <t>TewkesburyMerlin Housing Society Limited</t>
  </si>
  <si>
    <t>TewkesburyMoat Homes Limited</t>
  </si>
  <si>
    <t>TewkesburyPlatform Housing Limited</t>
  </si>
  <si>
    <t>TewkesburyRooftop Housing Association Limited</t>
  </si>
  <si>
    <t>TewkesburySanctuary Housing Association</t>
  </si>
  <si>
    <t>TewkesburySovereign Housing Association Limited</t>
  </si>
  <si>
    <t>TewkesburyThe Guinness Partnership Limited</t>
  </si>
  <si>
    <t>TewkesburyTwo Rivers Housing</t>
  </si>
  <si>
    <t>TewkesburyWestmoreland Supported Housing Limited</t>
  </si>
  <si>
    <t>ThanetAdvance Housing and Support Limited</t>
  </si>
  <si>
    <t>ThanetAnchor Hanover Group</t>
  </si>
  <si>
    <t>ThanetFalcon Housing Association C.I.C</t>
  </si>
  <si>
    <t>ThanetHeylo Housing Registered Provider Limited</t>
  </si>
  <si>
    <t>ThanetHousing 21</t>
  </si>
  <si>
    <t>ThanetJewish Community Housing Association Limited</t>
  </si>
  <si>
    <t>ThanetMoat Homes Limited</t>
  </si>
  <si>
    <t>ThanetNew Foundations Housing Association Limited</t>
  </si>
  <si>
    <t>ThanetOrbit Group Limited</t>
  </si>
  <si>
    <t>ThanetPlaces for People Homes Limited</t>
  </si>
  <si>
    <t>ThanetReside Housing Association Limited</t>
  </si>
  <si>
    <t>ThanetSanctuary Housing Association</t>
  </si>
  <si>
    <t>ThanetThe Abbeyfield Society</t>
  </si>
  <si>
    <t>ThanetThe Riverside Group Limited</t>
  </si>
  <si>
    <t>ThanetTown and Country Housing</t>
  </si>
  <si>
    <t>ThanetWest Kent Housing Association</t>
  </si>
  <si>
    <t>ThanetWestmoreland Supported Housing Limited</t>
  </si>
  <si>
    <t>Three RiversAnchor Hanover Group</t>
  </si>
  <si>
    <t>Three RiversClarion Housing Association Limited</t>
  </si>
  <si>
    <t>Three RiversHabinteg Housing Association Limited</t>
  </si>
  <si>
    <t>Three RiversHightown Housing Association Limited</t>
  </si>
  <si>
    <t>Three RiversHome Group Limited</t>
  </si>
  <si>
    <t>Three RiversHousing 21</t>
  </si>
  <si>
    <t>Three RiversMetropolitan Housing Trust Limited</t>
  </si>
  <si>
    <t>Three RiversNotting Hill Genesis</t>
  </si>
  <si>
    <t>Three RiversNotting Hill Home Ownership Limited</t>
  </si>
  <si>
    <t>Three RiversOrigin Housing Limited</t>
  </si>
  <si>
    <t>Three RiversParadigm Homes Charitable Housing Association Limited</t>
  </si>
  <si>
    <t>Three RiversPlaces for People Homes Limited</t>
  </si>
  <si>
    <t>Three RiversPlaces for People Living+ Limited</t>
  </si>
  <si>
    <t>Three RiversRickmansworth Churches Housing Association Limited</t>
  </si>
  <si>
    <t>Three RiversSanctuary Housing Association</t>
  </si>
  <si>
    <t>Three RiversShepherds Bush Housing Association Limited</t>
  </si>
  <si>
    <t>Three RiversThe Abbeyfield West Herts Society Limited</t>
  </si>
  <si>
    <t>Three RiversThe Riverside Group Limited</t>
  </si>
  <si>
    <t>Three RiversThrive Homes Limited</t>
  </si>
  <si>
    <t>Three RiversWatford Community Housing Trust</t>
  </si>
  <si>
    <t>ThurrockAnchor Hanover Group</t>
  </si>
  <si>
    <t>ThurrockBirnbeck Housing Association Limited</t>
  </si>
  <si>
    <t>ThurrockChelmer Housing Partnership Limited</t>
  </si>
  <si>
    <t>ThurrockClarion Housing Association Limited</t>
  </si>
  <si>
    <t>ThurrockCWL Housing</t>
  </si>
  <si>
    <t>ThurrockEstuary Housing Association Limited</t>
  </si>
  <si>
    <t>ThurrockHeylo Housing Registered Provider Limited</t>
  </si>
  <si>
    <t>ThurrockLocal Space</t>
  </si>
  <si>
    <t>ThurrockLondon &amp; Quadrant Housing Trust</t>
  </si>
  <si>
    <t>ThurrockMoat Homes Limited</t>
  </si>
  <si>
    <t>ThurrockNotting Hill Genesis</t>
  </si>
  <si>
    <t>ThurrockPlaces for People Homes Limited</t>
  </si>
  <si>
    <t>ThurrockSanctuary Housing Association</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</si>
  <si>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</si>
  <si>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</si>
  <si>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</si>
  <si>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</si>
  <si>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</si>
  <si>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</si>
  <si>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MallingBlackburn YMCA</t>
  </si>
  <si>
    <t>Tonbridge and MallingBoorman's Almshouses</t>
  </si>
  <si>
    <t>Tonbridge and MallingClarion Housing Association Limited</t>
  </si>
  <si>
    <t>Tonbridge and MallingFirst Priority Housing Association Limited</t>
  </si>
  <si>
    <t>Tonbridge and MallingGolding Homes Limited</t>
  </si>
  <si>
    <t>Tonbridge and MallingHousing 21</t>
  </si>
  <si>
    <t>Tonbridge and MallingHyde Housing Association Limited</t>
  </si>
  <si>
    <t>Tonbridge and MallingLiveWest Homes Limited</t>
  </si>
  <si>
    <t>Tonbridge and MallingLondon &amp; Quadrant Housing Trust</t>
  </si>
  <si>
    <t>Tonbridge and MallingMoat Homes Limited</t>
  </si>
  <si>
    <t>Tonbridge and MallingOrbit Group Limited</t>
  </si>
  <si>
    <t>Tonbridge and MallingParasol Homes Limited</t>
  </si>
  <si>
    <t>Tonbridge and MallingPlaces for People Homes Limited</t>
  </si>
  <si>
    <t>Tonbridge and MallingReside Housing Association Limited</t>
  </si>
  <si>
    <t>Tonbridge and MallingSanctuary Affordable Housing Limited</t>
  </si>
  <si>
    <t>Tonbridge and MallingSanctuary Housing Association</t>
  </si>
  <si>
    <t>Tonbridge and MallingThe Hospital of the Holy Trinity Aylesford</t>
  </si>
  <si>
    <t>Tonbridge and MallingThe Riverside Group Limited</t>
  </si>
  <si>
    <t>Tonbridge and MallingTown and Country Housing</t>
  </si>
  <si>
    <t>Tonbridge and MallingWest Kent Housing Association</t>
  </si>
  <si>
    <t>TorbayAdvance Housing and Support Limited</t>
  </si>
  <si>
    <t>TorbayAnchor Hanover Group</t>
  </si>
  <si>
    <t>TorbayAster Communities</t>
  </si>
  <si>
    <t>TorbayHeylo Housing Registered Provider Limited</t>
  </si>
  <si>
    <t>TorbayHome Group Limited</t>
  </si>
  <si>
    <t>TorbayLangley House Trust</t>
  </si>
  <si>
    <t>TorbayLets for Life</t>
  </si>
  <si>
    <t>TorbayLiveWest Homes Limited</t>
  </si>
  <si>
    <t>TorbayMagna Housing Limited</t>
  </si>
  <si>
    <t>TorbayMoat Homes Limited</t>
  </si>
  <si>
    <t>TorbayPlaces for People Living+ Limited</t>
  </si>
  <si>
    <t>TorbayProgress Housing Association Limited</t>
  </si>
  <si>
    <t>TorbayReside Housing Association Limited</t>
  </si>
  <si>
    <t>TorbaySalvation Army Housing Association</t>
  </si>
  <si>
    <t>TorbaySanctuary Affordable Housing Limited</t>
  </si>
  <si>
    <t>TorbaySanctuary Housing Association</t>
  </si>
  <si>
    <t>TorbaySovereign Housing Association Limited</t>
  </si>
  <si>
    <t>TorbayStonewater (5) Limited</t>
  </si>
  <si>
    <t>TorbayStonewater Limited</t>
  </si>
  <si>
    <t>TorbayTeachers' Housing Association Limited</t>
  </si>
  <si>
    <t>TorbayThe Abbeyfield South West Society Limited</t>
  </si>
  <si>
    <t>TorbayThe Guinness Partnership Limited</t>
  </si>
  <si>
    <t>TorbayWestward Housing Group Limited</t>
  </si>
  <si>
    <t>TorridgeAdvance Housing and Support Limited</t>
  </si>
  <si>
    <t>TorridgeAster Communities</t>
  </si>
  <si>
    <t>TorridgeHastoe Housing Association Limited</t>
  </si>
  <si>
    <t>TorridgeHeylo Housing Registered Provider Limited</t>
  </si>
  <si>
    <t>TorridgeLiveWest Homes Limited</t>
  </si>
  <si>
    <t>TorridgeMoat Homes Limited</t>
  </si>
  <si>
    <t>TorridgeNorth Devon Homes</t>
  </si>
  <si>
    <t>TorridgeRoborough Community Property Association Limited</t>
  </si>
  <si>
    <t>TorridgeSanctuary Affordable Housing Limited</t>
  </si>
  <si>
    <t>TorridgeSanctuary Housing Association</t>
  </si>
  <si>
    <t>TorridgeSovereign Housing Association Limited</t>
  </si>
  <si>
    <t>TorridgeThe Abbeyfield Holsworthy Society Limited</t>
  </si>
  <si>
    <t>TorridgeThe Abbeyfield South West Society Limited</t>
  </si>
  <si>
    <t>TorridgeWestward Housing Group Limited</t>
  </si>
  <si>
    <t>Tower HamletsA2Dominion Homes Limited</t>
  </si>
  <si>
    <t>Tower HamletsAccess Homes Housing Association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</si>
  <si>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</si>
  <si>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</si>
  <si>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</si>
  <si>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</si>
  <si>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</si>
  <si>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</si>
  <si>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</si>
  <si>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</si>
  <si>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</si>
  <si>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HamletsHome Group Limited</t>
  </si>
  <si>
    <t>Tower HamletsIslington and Shoreditch Housing Association Limited</t>
  </si>
  <si>
    <t>Tower HamletsKarin Housing Association Limited</t>
  </si>
  <si>
    <t>Tower HamletsLocal Space</t>
  </si>
  <si>
    <t>Tower HamletsLondon &amp; Quadrant Housing Trust</t>
  </si>
  <si>
    <t>Tower HamletsLook Ahead Care and Support Limited</t>
  </si>
  <si>
    <t>Tower HamletsMetropolitan Housing Trust Limited</t>
  </si>
  <si>
    <t>Tower HamletsNewlon Housing Trust</t>
  </si>
  <si>
    <t>Tower HamletsNorth London Muslim Housing Association Limited</t>
  </si>
  <si>
    <t>Tower HamletsNotting Hill Genesis</t>
  </si>
  <si>
    <t>Tower HamletsNotting Hill Home Ownership Limited</t>
  </si>
  <si>
    <t>Tower HamletsOrbit Group Limited</t>
  </si>
  <si>
    <t>Tower HamletsOrigin Housing Limited</t>
  </si>
  <si>
    <t>Tower HamletsParagon Asra Housing Limited</t>
  </si>
  <si>
    <t>Tower HamletsPeabody Trust</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</si>
  <si>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</si>
  <si>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</si>
  <si>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</si>
  <si>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</si>
  <si>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Housing Association</t>
  </si>
  <si>
    <t>Tower HamletsSouthern Home Ownership Limited</t>
  </si>
  <si>
    <t>Tower HamletsSpitalfields Housing Association Limited</t>
  </si>
  <si>
    <t>Tower HamletsSwan Housing Association Limited</t>
  </si>
  <si>
    <t>Tower HamletsThe Guinness Partnership Limited</t>
  </si>
  <si>
    <t>Tower HamletsThe Industrial Dwellings Society (1885) Limited</t>
  </si>
  <si>
    <t>Tower HamletsTower Hamlets Community Housing</t>
  </si>
  <si>
    <t>Tower HamletsVeterans Aid</t>
  </si>
  <si>
    <t>TraffordAnchor Hanover Group</t>
  </si>
  <si>
    <t>TraffordArawak Walton Housing Association Limited</t>
  </si>
  <si>
    <t>TraffordCreative Support Limited</t>
  </si>
  <si>
    <t>TraffordFrontis Homes Limited</t>
  </si>
  <si>
    <t>TraffordGreat Places Housing Association</t>
  </si>
  <si>
    <t>TraffordHousing 21</t>
  </si>
  <si>
    <t>TraffordInclusion Housing Community Interest Company</t>
  </si>
  <si>
    <t>TraffordIrwell Valley Housing Association Limited</t>
  </si>
  <si>
    <t>Trafford'Johnnie' Johnson Housing Trust Limited</t>
  </si>
  <si>
    <t>TraffordLets for Life</t>
  </si>
  <si>
    <t>TraffordMosscare St. Vincent's Housing Group Limited</t>
  </si>
  <si>
    <t>TraffordNew Foundations Housing Association Limited</t>
  </si>
  <si>
    <t>TraffordPartners Foundation Limited</t>
  </si>
  <si>
    <t>TraffordPlaces for People Homes Limited</t>
  </si>
  <si>
    <t>TraffordProgress Housing Association Limited</t>
  </si>
  <si>
    <t>TraffordRegenda Limited</t>
  </si>
  <si>
    <t>TraffordSalvation Army Housing Association</t>
  </si>
  <si>
    <t>TraffordThe Guinness Partnership Limited</t>
  </si>
  <si>
    <t>TraffordThe Riverside Group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</si>
  <si>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</si>
  <si>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</si>
  <si>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</si>
  <si>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</si>
  <si>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</si>
  <si>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</si>
  <si>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WellsClarion Housing Association Limited</t>
  </si>
  <si>
    <t>Tunbridge WellsCo-operative Development Society Limited</t>
  </si>
  <si>
    <t>Tunbridge WellsDunk's Almshouse Charity</t>
  </si>
  <si>
    <t>Tunbridge WellsEnglish Rural Housing Association Limited</t>
  </si>
  <si>
    <t>Tunbridge WellsGolding Homes Limited</t>
  </si>
  <si>
    <t>Tunbridge WellsHabinteg Housing Association Limited</t>
  </si>
  <si>
    <t>Tunbridge WellsHastoe Housing Association Limited</t>
  </si>
  <si>
    <t>Tunbridge WellsHatton Housing Trust Limited</t>
  </si>
  <si>
    <t>Tunbridge WellsHome Group Limited</t>
  </si>
  <si>
    <t>Tunbridge WellsHyde Housing Association Limited</t>
  </si>
  <si>
    <t>Tunbridge WellsMoat Homes Limited</t>
  </si>
  <si>
    <t>Tunbridge WellsOrbit Group Limited</t>
  </si>
  <si>
    <t>Tunbridge WellsParasol Homes Limited</t>
  </si>
  <si>
    <t>Tunbridge WellsRadcliffe Housing Society Limited</t>
  </si>
  <si>
    <t>Tunbridge WellsSalvation Army Housing Association</t>
  </si>
  <si>
    <t>Tunbridge WellsSanctuary Housing Association</t>
  </si>
  <si>
    <t>Tunbridge WellsSherborne Close Housing Society Limited</t>
  </si>
  <si>
    <t>Tunbridge WellsThe Molyneux Almshouses</t>
  </si>
  <si>
    <t>Tunbridge WellsThe Riverside Group Limited</t>
  </si>
  <si>
    <t>Tunbridge WellsTown and Country Housing</t>
  </si>
  <si>
    <t>Tunbridge WellsWest Kent Housing Association</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</si>
  <si>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</si>
  <si>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</si>
  <si>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</si>
  <si>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</si>
  <si>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</si>
  <si>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</si>
  <si>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</si>
  <si>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</si>
  <si>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UttlesfordHabinteg Housing Association Limited</t>
  </si>
  <si>
    <t>UttlesfordHastoe Housing Association Limited</t>
  </si>
  <si>
    <t>UttlesfordHome Group Limited</t>
  </si>
  <si>
    <t>UttlesfordHousing 21</t>
  </si>
  <si>
    <t>UttlesfordHundred Houses Society Limited</t>
  </si>
  <si>
    <t>UttlesfordLondon &amp; Quadrant Housing Trust</t>
  </si>
  <si>
    <t>UttlesfordMetropolitan Housing Trust Limited</t>
  </si>
  <si>
    <t>UttlesfordMoat Homes Limited</t>
  </si>
  <si>
    <t>UttlesfordPlaces for People Homes Limited</t>
  </si>
  <si>
    <t>UttlesfordReside Housing Association Limited</t>
  </si>
  <si>
    <t>UttlesfordSanctuary Affordable Housing Limited</t>
  </si>
  <si>
    <t>UttlesfordSwan Housing Association Limited</t>
  </si>
  <si>
    <t>UttlesfordThe Cambridge Housing Society Limited</t>
  </si>
  <si>
    <t>Vale of White HorseA2Dominion Homes Limited</t>
  </si>
  <si>
    <t>Vale of White HorseAdvance Housing and Support Limited</t>
  </si>
  <si>
    <t>Vale of White HorseAnchor Hanover Group</t>
  </si>
  <si>
    <t>Vale of White HorseAster Communities</t>
  </si>
  <si>
    <t>Vale of White Horsebpha Limited</t>
  </si>
  <si>
    <t>Vale of White HorseChrysalis Supported Association Limited</t>
  </si>
  <si>
    <t>Vale of White HorseChurch Almshouses Charity</t>
  </si>
  <si>
    <t>Vale of White HorseClarion Housing Association Limited</t>
  </si>
  <si>
    <t>Vale of White HorseDimensions (UK) Limited</t>
  </si>
  <si>
    <t>Vale of White HorseEmpower Housing Association Limited</t>
  </si>
  <si>
    <t>Vale of White HorseGrand Union Housing Group Limited</t>
  </si>
  <si>
    <t>Vale of White HorseHeylo Housing Registered Provider Limited</t>
  </si>
  <si>
    <t>Vale of White HorseHome Group Limited</t>
  </si>
  <si>
    <t>Vale of White HorseLondon &amp; Quadrant Housing Trust</t>
  </si>
  <si>
    <t>Vale of White HorseMetropolitan Housing Trust Limited</t>
  </si>
  <si>
    <t>Vale of White HorseMoat Homes Limited</t>
  </si>
  <si>
    <t>Vale of White HorseSanctuary Housing Association</t>
  </si>
  <si>
    <t>Vale of White HorseSilva Homes Limited</t>
  </si>
  <si>
    <t>Vale of White HorseSoha Housing Limited</t>
  </si>
  <si>
    <t>Vale of White HorseSovereign Housing Association Limited</t>
  </si>
  <si>
    <t>Vale of White HorseStonewater Limited</t>
  </si>
  <si>
    <t>Vale of White HorseSynergy Housing Limited</t>
  </si>
  <si>
    <t>Vale of White HorseThe Guinness Partnership Limited</t>
  </si>
  <si>
    <t>WakefieldAccent Housing Limited</t>
  </si>
  <si>
    <t>WakefieldAnchor Hanover Group</t>
  </si>
  <si>
    <t>WakefieldArpeggio Properties Limited</t>
  </si>
  <si>
    <t>WakefieldBridge-It Housing UK Team Ltd</t>
  </si>
  <si>
    <t>WakefieldConnect Housing Association Limited</t>
  </si>
  <si>
    <t>WakefieldEmily Bentley Homes</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</si>
  <si>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</si>
  <si>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</si>
  <si>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</si>
  <si>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</si>
  <si>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</si>
  <si>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</si>
  <si>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</si>
  <si>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WakefieldKarbon Homes Limited</t>
  </si>
  <si>
    <t>WakefieldLangley House Trust</t>
  </si>
  <si>
    <t>WakefieldLeeds Federated Housing Association Limited</t>
  </si>
  <si>
    <t>WakefieldPlaces for People Homes Limited</t>
  </si>
  <si>
    <t>WakefieldPlexus UK (First Project) Limited</t>
  </si>
  <si>
    <t>WakefieldSouth Yorkshire Housing Association Limited</t>
  </si>
  <si>
    <t>WakefieldStonewater Limited</t>
  </si>
  <si>
    <t>WakefieldThe Guinness Partnership Limited</t>
  </si>
  <si>
    <t>WakefieldThe Riverside Group Limited</t>
  </si>
  <si>
    <t>WakefieldTogether Housing Association Limited</t>
  </si>
  <si>
    <t>WakefieldWakefield And District Housing Limited</t>
  </si>
  <si>
    <t>WakefieldWakefield Charities' Homes</t>
  </si>
  <si>
    <t>WakefieldYorkshire Housing Limited</t>
  </si>
  <si>
    <t>WakefieldYour Housing Limited</t>
  </si>
  <si>
    <t>WalsallAnchor Hanover Group</t>
  </si>
  <si>
    <t>WalsallBlack Country Housing Group Limited</t>
  </si>
  <si>
    <t>WalsallBromford Housing Association Limited</t>
  </si>
  <si>
    <t>WalsallCharity of Mrs Catherine Walker</t>
  </si>
  <si>
    <t>WalsallCitizen Housing Group Limited</t>
  </si>
  <si>
    <t>WalsallClarion Housing Association Limited</t>
  </si>
  <si>
    <t>WalsallHalo Housing Association Limited</t>
  </si>
  <si>
    <t>WalsallHarpers Marsh and Crumps Almshouse Charity</t>
  </si>
  <si>
    <t>WalsallHousing 21</t>
  </si>
  <si>
    <t>WalsallInclusion Housing Community Interest Company</t>
  </si>
  <si>
    <t>WalsallLonghurst Group Limited</t>
  </si>
  <si>
    <t>WalsallMargaret Colquhoun Chavasse Almshouses</t>
  </si>
  <si>
    <t>WalsallMidland Heart Limited</t>
  </si>
  <si>
    <t>WalsallNehemiah United Churches Housing Association Limited</t>
  </si>
  <si>
    <t>WalsallNew Foundations Housing Association Limited</t>
  </si>
  <si>
    <t>WalsallPaddock Housing Co-operative Limited</t>
  </si>
  <si>
    <t>WalsallPlatform Housing Limited</t>
  </si>
  <si>
    <t>WalsallSanctuary Affordable Housing Limited</t>
  </si>
  <si>
    <t>WalsallSanctuary Housing Association</t>
  </si>
  <si>
    <t>WalsallTrinity Housing Association Limited</t>
  </si>
  <si>
    <t>WalsallWalsall Housing Group Limited</t>
  </si>
  <si>
    <t>WalsallYMCA Black Country Group</t>
  </si>
  <si>
    <t>Waltham ForestA2Dominion Homes Limited</t>
  </si>
  <si>
    <t>Waltham ForestAnchor Hanover Group</t>
  </si>
  <si>
    <t>Waltham ForestCentrepoint Soho</t>
  </si>
  <si>
    <t>Waltham ForestChristian Action (Enfield) Housing Association Limited</t>
  </si>
  <si>
    <t>Waltham ForestClarion Housing Association Limited</t>
  </si>
  <si>
    <t>Waltham ForestHabinteg Housing Association Limited</t>
  </si>
  <si>
    <t>Waltham ForestHome from Home Housing Association Limited</t>
  </si>
  <si>
    <t>Waltham ForestHome Group Limited</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</si>
  <si>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</si>
  <si>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</si>
  <si>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</si>
  <si>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</si>
  <si>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</si>
  <si>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</si>
  <si>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</si>
  <si>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ForestNewlon Housing Trust</t>
  </si>
  <si>
    <t>Waltham ForestNorth London Muslim Housing Association Limited</t>
  </si>
  <si>
    <t>Waltham ForestNotting Hill Genesis</t>
  </si>
  <si>
    <t>Waltham ForestNotting Hill Home Ownership Limited</t>
  </si>
  <si>
    <t>Waltham ForestOrbit Group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</si>
  <si>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</si>
  <si>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</si>
  <si>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</si>
  <si>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</si>
  <si>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</si>
  <si>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</si>
  <si>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ForestSalvation Army Housing Association</t>
  </si>
  <si>
    <t>Waltham ForestSanctuary Affordable Housing Limited</t>
  </si>
  <si>
    <t>Waltham ForestSanctuary Housing Association</t>
  </si>
  <si>
    <t>Waltham ForestShepherds Bush Housing Association Limited</t>
  </si>
  <si>
    <t>Waltham ForestTamil Community Housing Association Limited</t>
  </si>
  <si>
    <t>Waltham ForestTeachers' Housing Association Limited</t>
  </si>
  <si>
    <t>Waltham ForestThe Richmond Fellowship</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</si>
  <si>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</si>
  <si>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</si>
  <si>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</si>
  <si>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</si>
  <si>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</si>
  <si>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South Limited</t>
  </si>
  <si>
    <t>WandsworthAnchor Hanover Group</t>
  </si>
  <si>
    <t>WandsworthBattersea Tenants Co-operative Limited</t>
  </si>
  <si>
    <t>WandsworthBow Housing Society Limited</t>
  </si>
  <si>
    <t>WandsworthClarion Housing Association Limited</t>
  </si>
  <si>
    <t>WandsworthEkaya Housing Association Limited</t>
  </si>
  <si>
    <t>WandsworthHabinteg Housing Association Limited</t>
  </si>
  <si>
    <t>WandsworthHyde Housing Association Limited</t>
  </si>
  <si>
    <t>WandsworthImani Housing Co-operative Limited</t>
  </si>
  <si>
    <t>WandsworthLondon &amp; Quadrant Housing Trust</t>
  </si>
  <si>
    <t>WandsworthMethodist Homes Housing Association Limited</t>
  </si>
  <si>
    <t>WandsworthMetropolitan Housing Trust Limited</t>
  </si>
  <si>
    <t>WandsworthNACRO</t>
  </si>
  <si>
    <t>WandsworthNew World Housing Association Limited</t>
  </si>
  <si>
    <t>WandsworthNotting Hill Genesis</t>
  </si>
  <si>
    <t>WandsworthNotting Hill Home Ownership Limited</t>
  </si>
  <si>
    <t>WandsworthOak Housing Limited</t>
  </si>
  <si>
    <t>WandsworthOctavia Housing</t>
  </si>
  <si>
    <t>WandsworthOrigin Housing Limited</t>
  </si>
  <si>
    <t>WandsworthParagon Asra Housing Limited</t>
  </si>
  <si>
    <t>WandsworthPeabody Trust</t>
  </si>
  <si>
    <t>WandsworthSalvation Army Housing Association</t>
  </si>
  <si>
    <t>WandsworthSanctuary Housing Association</t>
  </si>
  <si>
    <t>WandsworthShepherds Bush Housing Association Limited</t>
  </si>
  <si>
    <t>WandsworthSouthward Housing Co-operative Limited</t>
  </si>
  <si>
    <t>WandsworthThames Valley Housing Association Limited</t>
  </si>
  <si>
    <t>WandsworthThe Abbeyfield London Polish Society Limited</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</si>
  <si>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</si>
  <si>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</si>
  <si>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</si>
  <si>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</si>
  <si>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</si>
  <si>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</si>
  <si>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WarringtonCare Housing Association Limited</t>
  </si>
  <si>
    <t>WarringtonClarion Housing Association Limited</t>
  </si>
  <si>
    <t>WarringtonCreative Support Limited</t>
  </si>
  <si>
    <t>WarringtonFirst Priority Housing Association Limited</t>
  </si>
  <si>
    <t>WarringtonFrontis Homes Limited</t>
  </si>
  <si>
    <t>WarringtonGreat Places Housing Association</t>
  </si>
  <si>
    <t>WarringtonHousing 21</t>
  </si>
  <si>
    <t>WarringtonInclusion Housing Community Interest Company</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</si>
  <si>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</si>
  <si>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</si>
  <si>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</si>
  <si>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</si>
  <si>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</si>
  <si>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</si>
  <si>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</si>
  <si>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WarringtonPlus Dane Housing Limited</t>
  </si>
  <si>
    <t>WarringtonSanctuary Housing Association</t>
  </si>
  <si>
    <t>WarringtonTorus62 Limited</t>
  </si>
  <si>
    <t>WarringtonWarrington Housing Association Limited</t>
  </si>
  <si>
    <t>WarringtonYour Housing Limited</t>
  </si>
  <si>
    <t>WarwickAdvance Housing and Support Limited</t>
  </si>
  <si>
    <t>WarwickBromford Housing Association Limited</t>
  </si>
  <si>
    <t>WarwickCitizen Housing Group Limited</t>
  </si>
  <si>
    <t>WarwickClarion Housing Association Limited</t>
  </si>
  <si>
    <t>WarwickDimensions (UK) Limited</t>
  </si>
  <si>
    <t>WarwickFairplace Homes Ltd</t>
  </si>
  <si>
    <t>WarwickHeylo Housing Registered Provider Limited</t>
  </si>
  <si>
    <t>WarwickHousing 21</t>
  </si>
  <si>
    <t>WarwickIKE Supported Housing Limited</t>
  </si>
  <si>
    <t>WarwickInclusion Housing Community Interest Company</t>
  </si>
  <si>
    <t>WarwickLonghurst Group Limited</t>
  </si>
  <si>
    <t>WarwickMasonic Housing Association</t>
  </si>
  <si>
    <t>WarwickMidland Heart Limited</t>
  </si>
  <si>
    <t>WarwickOrbit Group Limited</t>
  </si>
  <si>
    <t>WarwickPlatform Housing Limited</t>
  </si>
  <si>
    <t>WarwickSalvation Army Housing Association</t>
  </si>
  <si>
    <t>WarwickSanctuary Affordable Housing Limited</t>
  </si>
  <si>
    <t>WarwickStonewater (5) Limited</t>
  </si>
  <si>
    <t>WarwickStonewater Limited</t>
  </si>
  <si>
    <t>WarwickWalsall Housing Group Limited</t>
  </si>
  <si>
    <t>WarwickWarwickshire Rural Housing Association Limited</t>
  </si>
  <si>
    <t>WatfordAnchor Hanover Group</t>
  </si>
  <si>
    <t>WatfordChrysalis Supported Association Limited</t>
  </si>
  <si>
    <t>WatfordClarion Housing Association Limited</t>
  </si>
  <si>
    <t>WatfordFirst Priority Housing Association Limited</t>
  </si>
  <si>
    <t>WatfordHightown Housing Association Limited</t>
  </si>
  <si>
    <t>WatfordHome Group Limited</t>
  </si>
  <si>
    <t>WatfordLondon &amp; Quadrant Housing Trust</t>
  </si>
  <si>
    <t>WatfordMetropolitan Housing Trust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</si>
  <si>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</si>
  <si>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</si>
  <si>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</si>
  <si>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</si>
  <si>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</si>
  <si>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</si>
  <si>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WatfordParasol Homes Limited</t>
  </si>
  <si>
    <t>WatfordPlaces for People Homes Limited</t>
  </si>
  <si>
    <t>WatfordPlaces for People Living+ Limited</t>
  </si>
  <si>
    <t>WatfordReside Housing Association Limited</t>
  </si>
  <si>
    <t>WatfordSalvation Army Housing Association</t>
  </si>
  <si>
    <t>WatfordSanctuary Housing Association</t>
  </si>
  <si>
    <t>WatfordThe Riverside Group Limited</t>
  </si>
  <si>
    <t>WatfordThrive Homes Limited</t>
  </si>
  <si>
    <t>WatfordWatford Community Housing Trust</t>
  </si>
  <si>
    <t>WaverleyA2Dominion South Limited</t>
  </si>
  <si>
    <t>WaverleyAbbeyfield Wey Valley Society Limited</t>
  </si>
  <si>
    <t>WaverleyAbility Housing Association</t>
  </si>
  <si>
    <t>WaverleyAccent Housing Limited</t>
  </si>
  <si>
    <t>WaverleyAdvance Housing and Support Limited</t>
  </si>
  <si>
    <t>WaverleyAster 3 Limited</t>
  </si>
  <si>
    <t>WaverleyClarion Housing Association Limited</t>
  </si>
  <si>
    <t>WaverleyEnglish Rural Housing Association Limited</t>
  </si>
  <si>
    <t>WaverleyHewitt Homes</t>
  </si>
  <si>
    <t>WaverleyHeylo Housing Registered Provider Limited</t>
  </si>
  <si>
    <t>WaverleyHyde Housing Association Limited</t>
  </si>
  <si>
    <t>WaverleyLondon &amp; Quadrant Housing Trust</t>
  </si>
  <si>
    <t>WaverleyMetropolitan Housing Trust Limited</t>
  </si>
  <si>
    <t>WaverleyMount Green Housing Association Limited</t>
  </si>
  <si>
    <t>WaverleySovereign Housing Association Limited</t>
  </si>
  <si>
    <t>WaverleyStonewater (5) Limited</t>
  </si>
  <si>
    <t>WaverleyStonewater Limited</t>
  </si>
  <si>
    <t>WaverleySynergy Housing Limited</t>
  </si>
  <si>
    <t>WaverleyThe Riverside Group Limited</t>
  </si>
  <si>
    <t>WaverleyTransform Housing &amp; Support</t>
  </si>
  <si>
    <t>WaverleyVivid Housing Limited</t>
  </si>
  <si>
    <t>WaverleyWestmoreland Supported Housing Limited</t>
  </si>
  <si>
    <t>WaverleyWeybank Housing Co-operative Limited</t>
  </si>
  <si>
    <t>WealdenA2Dominion South Limited</t>
  </si>
  <si>
    <t>WealdenAnchor Hanover Group</t>
  </si>
  <si>
    <t>WealdenClarion Housing Association Limited</t>
  </si>
  <si>
    <t>WealdenGolding Homes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</si>
  <si>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</si>
  <si>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</si>
  <si>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</si>
  <si>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</si>
  <si>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</si>
  <si>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Limited</t>
  </si>
  <si>
    <t>WealdenLondon &amp; Quadrant Housing Trust</t>
  </si>
  <si>
    <t>WealdenMoat Homes Limited</t>
  </si>
  <si>
    <t>WealdenOrbit Group Limited</t>
  </si>
  <si>
    <t>WealdenPlaces for People Homes Limited</t>
  </si>
  <si>
    <t>WealdenSanctuary Housing Association</t>
  </si>
  <si>
    <t>WealdenSaxon Weald</t>
  </si>
  <si>
    <t>WealdenSouthdown Housing Association Limited</t>
  </si>
  <si>
    <t>WealdenStonewater Limited</t>
  </si>
  <si>
    <t>WealdenTown and Country Housing</t>
  </si>
  <si>
    <t>Welwyn HatfieldAlice Coralie Glyn Homes</t>
  </si>
  <si>
    <t>Welwyn HatfieldAnchor Hanover Group</t>
  </si>
  <si>
    <t>Welwyn HatfieldB3 Living Limited</t>
  </si>
  <si>
    <t>Welwyn HatfieldClarion Housing Association Limited</t>
  </si>
  <si>
    <t>Welwyn HatfieldCo-operative Development Society Limited</t>
  </si>
  <si>
    <t>Welwyn HatfieldFirst Garden Cities Homes Limited</t>
  </si>
  <si>
    <t>Welwyn HatfieldGrand Union Housing Group Limited</t>
  </si>
  <si>
    <t>Welwyn HatfieldHeylo Housing Registered Provider Limited</t>
  </si>
  <si>
    <t>Welwyn HatfieldHightown Housing Association Limited</t>
  </si>
  <si>
    <t>Welwyn HatfieldHome Group Limited</t>
  </si>
  <si>
    <t>Welwyn HatfieldInclusion Housing Community Interest Company</t>
  </si>
  <si>
    <t>Welwyn HatfieldMetropolitan Housing Trust Limited</t>
  </si>
  <si>
    <t>Welwyn HatfieldMoat Homes Limited</t>
  </si>
  <si>
    <t>Welwyn HatfieldNotting Hill Genesis</t>
  </si>
  <si>
    <t>Welwyn HatfieldOne YMCA</t>
  </si>
  <si>
    <t>Welwyn HatfieldOrigin Housing Limited</t>
  </si>
  <si>
    <t>Welwyn HatfieldParadigm Homes Charitable Housing Association Limited</t>
  </si>
  <si>
    <t>Welwyn HatfieldPlaces for People Homes Limited</t>
  </si>
  <si>
    <t>Welwyn HatfieldPlaces for People Living+ Limited</t>
  </si>
  <si>
    <t>Welwyn HatfieldSanctuary Housing Association</t>
  </si>
  <si>
    <t>Welwyn HatfieldSettle Group</t>
  </si>
  <si>
    <t>Welwyn HatfieldThe Guinness Partnership Limited</t>
  </si>
  <si>
    <t>Welwyn HatfieldThrive Homes Limited</t>
  </si>
  <si>
    <t>West BerkshireA2Dominion Homes Limited</t>
  </si>
  <si>
    <t>West BerkshireA2Dominion South Limited</t>
  </si>
  <si>
    <t>West BerkshireAbility Housing Association</t>
  </si>
  <si>
    <t>West BerkshireAdvance Housing and Support Limited</t>
  </si>
  <si>
    <t>West BerkshireAnchor Hanover Group</t>
  </si>
  <si>
    <t>West BerkshireAster 3 Limited</t>
  </si>
  <si>
    <t>West BerkshireAster Communities</t>
  </si>
  <si>
    <t>West BerkshireClarion Housing Association Limited</t>
  </si>
  <si>
    <t>West BerkshireEnglish Rural Housing Association Limited</t>
  </si>
  <si>
    <t>West BerkshireHabinteg Housing Association Limited</t>
  </si>
  <si>
    <t>West BerkshireHome Group Limited</t>
  </si>
  <si>
    <t>West BerkshireHousing 21</t>
  </si>
  <si>
    <t>West BerkshireLondon &amp; Quadrant Housing Trust</t>
  </si>
  <si>
    <t>West BerkshireMetropolitan Housing Trust Limited</t>
  </si>
  <si>
    <t>West BerkshireNotting Hill Home Ownership Limited</t>
  </si>
  <si>
    <t>West BerkshireOrigin Housing Limited</t>
  </si>
  <si>
    <t>West BerkshirePlaces for People Homes Limited</t>
  </si>
  <si>
    <t>West BerkshireSanctuary Housing Association</t>
  </si>
  <si>
    <t>West BerkshireSilva Homes Limited</t>
  </si>
  <si>
    <t>West BerkshireSovereign Housing Association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</si>
  <si>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</si>
  <si>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</si>
  <si>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</si>
  <si>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</si>
  <si>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</si>
  <si>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</si>
  <si>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</si>
  <si>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DevonAdvance Housing and Support Limited</t>
  </si>
  <si>
    <t>West DevonAnchor Hanover Group</t>
  </si>
  <si>
    <t>West DevonAster Communities</t>
  </si>
  <si>
    <t>West DevonFord Street and Maynard Almshouse Charity</t>
  </si>
  <si>
    <t>West DevonHastoe Housing Association Limited</t>
  </si>
  <si>
    <t>West DevonHeylo Housing Registered Provider Limited</t>
  </si>
  <si>
    <t>West DevonLiveWest Homes Limited</t>
  </si>
  <si>
    <t>West DevonPlymouth Community Homes Limited</t>
  </si>
  <si>
    <t>West DevonSanctuary Housing Association</t>
  </si>
  <si>
    <t>West DevonSouth Devon Rural Housing Association Limited</t>
  </si>
  <si>
    <t>West DevonSovereign Housing Association Limited</t>
  </si>
  <si>
    <t>West DevonThe Abbeyfield Buckland Monachorum Society Limited</t>
  </si>
  <si>
    <t>West DevonThe Guinness Partnership Limited</t>
  </si>
  <si>
    <t>West DevonWestward Housing Group Limited</t>
  </si>
  <si>
    <t>West LancashireAnchor Hanover Group</t>
  </si>
  <si>
    <t>West LancashireAssured Living Housing Association Limited</t>
  </si>
  <si>
    <t>West LancashireBolton at Home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</si>
  <si>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</si>
  <si>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</si>
  <si>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</si>
  <si>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</si>
  <si>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</si>
  <si>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</si>
  <si>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</si>
  <si>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</si>
  <si>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LancashireMuir Group Housing Association Limited</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</si>
  <si>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</si>
  <si>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</si>
  <si>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</si>
  <si>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</si>
  <si>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</si>
  <si>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</si>
  <si>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</si>
  <si>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LancashireSalvation Army Housing Association</t>
  </si>
  <si>
    <t>West LancashireSanctuary Housing Association</t>
  </si>
  <si>
    <t>West LancashireThe Riverside Group Limited</t>
  </si>
  <si>
    <t>West LancashireThe Sons of Divine Providence</t>
  </si>
  <si>
    <t>West LancashireTorus62 Limited</t>
  </si>
  <si>
    <t>West LancashireYour Housing Limited</t>
  </si>
  <si>
    <t>West LindseyAcis Group Limited</t>
  </si>
  <si>
    <t>West LindseyAdvance Housing and Support Limited</t>
  </si>
  <si>
    <t>West LindseyAnchor Hanover Group</t>
  </si>
  <si>
    <t>West LindseyFramework Housing Association</t>
  </si>
  <si>
    <t>West LindseyHeylo Housing Registered Provider Limited</t>
  </si>
  <si>
    <t>West LindseyLace Housing Limited</t>
  </si>
  <si>
    <t>West LindseyLincolnshire Housing Partnership Limited</t>
  </si>
  <si>
    <t>West LindseyLincolnshire Rural Housing Association Limited</t>
  </si>
  <si>
    <t>West LindseyLonghurst Group Limited</t>
  </si>
  <si>
    <t>West LindseyOngo Homes Limited</t>
  </si>
  <si>
    <t>West LindseyParasol Homes Limited</t>
  </si>
  <si>
    <t>West LindseyPlaces for People Homes Limited</t>
  </si>
  <si>
    <t>West LindseyPlatform Housing Limited</t>
  </si>
  <si>
    <t>West LindseyProgress Housing Association Limited</t>
  </si>
  <si>
    <t>West LindseySanctuary Housing Association</t>
  </si>
  <si>
    <t>West OxfordshireA2Dominion Homes Limited</t>
  </si>
  <si>
    <t>West OxfordshireAdvance Housing and Support Limited</t>
  </si>
  <si>
    <t>West OxfordshireAnchor Hanover Group</t>
  </si>
  <si>
    <t>West OxfordshireAster Communities</t>
  </si>
  <si>
    <t>West OxfordshireClarion Housing Association Limited</t>
  </si>
  <si>
    <t>West OxfordshireCottsway 2</t>
  </si>
  <si>
    <t>West OxfordshireCottsway Housing Association Limited</t>
  </si>
  <si>
    <t>West OxfordshireEnglish Rural Housing Association Limited</t>
  </si>
  <si>
    <t>West OxfordshireGrand Union Housing Group Limited</t>
  </si>
  <si>
    <t>West OxfordshireHeylo Housing Registered Provider Limited</t>
  </si>
  <si>
    <t>West OxfordshireHome Group Limited</t>
  </si>
  <si>
    <t>West OxfordshireLondon &amp; Quadrant Housing Trust</t>
  </si>
  <si>
    <t>West OxfordshireMoat Homes Limited</t>
  </si>
  <si>
    <t>West OxfordshirePlatform Housing Limited</t>
  </si>
  <si>
    <t>West OxfordshireSanctuary Housing Association</t>
  </si>
  <si>
    <t>West OxfordshireSoha Housing Limited</t>
  </si>
  <si>
    <t>West OxfordshireSovereign Housing Association Limited</t>
  </si>
  <si>
    <t>West OxfordshireThe Abbeyfield Society</t>
  </si>
  <si>
    <t>West SuffolkAnchor Hanover Group</t>
  </si>
  <si>
    <t>West Suffolkbpha Limited</t>
  </si>
  <si>
    <t>West SuffolkBroadland Housing Association Limited</t>
  </si>
  <si>
    <t>West SuffolkClarion Housing Association Limited</t>
  </si>
  <si>
    <t>West SuffolkCo-op Homes (South) Limited</t>
  </si>
  <si>
    <t>West SuffolkFlagship Housing Group Limited</t>
  </si>
  <si>
    <t>West SuffolkHastoe Housing Association Limited</t>
  </si>
  <si>
    <t>West SuffolkHousing 21</t>
  </si>
  <si>
    <t>West SuffolkMetropolitan Housing Trust Limited</t>
  </si>
  <si>
    <t>West SuffolkOrbit Group Limited</t>
  </si>
  <si>
    <t>West SuffolkOrwell Housing Association Limited</t>
  </si>
  <si>
    <t>West SuffolkReside Housing Association Limited</t>
  </si>
  <si>
    <t>West SuffolkSaffron Housing Trust Limited</t>
  </si>
  <si>
    <t>West SuffolkSanctuary Affordable Housing Limited</t>
  </si>
  <si>
    <t>West SuffolkSanctuary Housing Association</t>
  </si>
  <si>
    <t>West SuffolkThe Cambridge Housing Society Limited</t>
  </si>
  <si>
    <t>West SuffolkThe Havebury Housing Partnership</t>
  </si>
  <si>
    <t>West SuffolkThe Papworth Trust</t>
  </si>
  <si>
    <t>West SuffolkThe Riverside Group Limited</t>
  </si>
  <si>
    <t>WestminsterA2Dominion Homes Limited</t>
  </si>
  <si>
    <t>WestminsterAnchor Hanover Group</t>
  </si>
  <si>
    <t>WestminsterArhag Housing Association Limited</t>
  </si>
  <si>
    <t>WestminsterCentral and Cecil Housing Trust</t>
  </si>
  <si>
    <t>WestminsterCentrepoint Soho</t>
  </si>
  <si>
    <t>WestminsterChippenham Housing Co-operative Limited</t>
  </si>
  <si>
    <t>WestminsterClarion Housing Association Limited</t>
  </si>
  <si>
    <t>WestminsterDimensions (UK) Limited</t>
  </si>
  <si>
    <t>WestminsterHarrison Housing</t>
  </si>
  <si>
    <t>WestminsterHousing For Women</t>
  </si>
  <si>
    <t>WestminsterJewish Community Housing Association Limited</t>
  </si>
  <si>
    <t>WestminsterLondon &amp; Quadrant Housing Trust</t>
  </si>
  <si>
    <t>WestminsterLook Ahead Care and Support Limited</t>
  </si>
  <si>
    <t>WestminsterMetropolitan Housing Trust Limited</t>
  </si>
  <si>
    <t>WestminsterMonmouth Road Housing Co-operative Limited</t>
  </si>
  <si>
    <t>WestminsterNotting Hill Genesis</t>
  </si>
  <si>
    <t>WestminsterNotting Hill Home Ownership Limited</t>
  </si>
  <si>
    <t>WestminsterOctavia Housing</t>
  </si>
  <si>
    <t>WestminsterOrigin Housing Limited</t>
  </si>
  <si>
    <t>WestminsterPeabody Trust</t>
  </si>
  <si>
    <t>WestminsterPlaces for People Homes Limited</t>
  </si>
  <si>
    <t>WestminsterPortman House</t>
  </si>
  <si>
    <t>WestminsterSalvation Army Housing Association</t>
  </si>
  <si>
    <t>WestminsterSanctuary Housing Association</t>
  </si>
  <si>
    <t>WestminsterSeymour Street Homes Limited</t>
  </si>
  <si>
    <t>WestminsterSoho Housing Association Limited</t>
  </si>
  <si>
    <t>WestminsterSt Mungo Community Housing Association</t>
  </si>
  <si>
    <t>WestminsterThe Riverside Group Limited</t>
  </si>
  <si>
    <t>WestminsterWalterton and Elgin Community Homes Limited</t>
  </si>
  <si>
    <t>WestminsterWest Hampstead Housing Co-operative Limited</t>
  </si>
  <si>
    <t>WestminsterWestminster Community Homes Limited</t>
  </si>
  <si>
    <t>WestminsterWestway Housing Association Limited</t>
  </si>
  <si>
    <t>WestminsterWomen's Pioneer Housing Limited</t>
  </si>
  <si>
    <t>WiganAnchor Hanover Group</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</si>
  <si>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</si>
  <si>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</si>
  <si>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</si>
  <si>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</si>
  <si>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</si>
  <si>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</si>
  <si>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</si>
  <si>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</si>
  <si>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</si>
  <si>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WiganLets for Life</t>
  </si>
  <si>
    <t>WiganMy Space Housing Solutions</t>
  </si>
  <si>
    <t>WiganNew Foundations Housing Association Limited</t>
  </si>
  <si>
    <t>WiganPartners Foundation Limited</t>
  </si>
  <si>
    <t>WiganPlaces for People Homes Limited</t>
  </si>
  <si>
    <t>WiganPlexus UK (First Project) Limited</t>
  </si>
  <si>
    <t>WiganPlus Dane Housing Limited</t>
  </si>
  <si>
    <t>WiganProgress Housing Association Limited</t>
  </si>
  <si>
    <t>WiganSanctuary Housing Association</t>
  </si>
  <si>
    <t>WiganThe Guinness Partnership Limited</t>
  </si>
  <si>
    <t>WiganThe Riverside Group Limited</t>
  </si>
  <si>
    <t>WiganTogether Housing Association Limited</t>
  </si>
  <si>
    <t>WiganTorus62 Limited</t>
  </si>
  <si>
    <t>WiganYour Housing Limited</t>
  </si>
  <si>
    <t>WiltshireA2Dominion South Limited</t>
  </si>
  <si>
    <t>WiltshireAdvance Housing and Support Limited</t>
  </si>
  <si>
    <t>WiltshireAnchor Hanover Group</t>
  </si>
  <si>
    <t>WiltshireAster 3 Limited</t>
  </si>
  <si>
    <t>WiltshireAster Communities</t>
  </si>
  <si>
    <t>WiltshireBournemouth Churches Housing Association Limited</t>
  </si>
  <si>
    <t>Wiltshirebpha Limited</t>
  </si>
  <si>
    <t>WiltshireBromford Housing Association Limited</t>
  </si>
  <si>
    <t>WiltshireClarion Housing Association Limited</t>
  </si>
  <si>
    <t>WiltshireCottsway Housing Association Limited</t>
  </si>
  <si>
    <t>WiltshireCuro Places Limited</t>
  </si>
  <si>
    <t>WiltshireDanby Almshouse Charity</t>
  </si>
  <si>
    <t>WiltshireDimensions (UK) Limited</t>
  </si>
  <si>
    <t>WiltshireEmpower Housing Association Limited</t>
  </si>
  <si>
    <t>WiltshireEnglish Rural Housing Association Limited</t>
  </si>
  <si>
    <t>WiltshireFrontis Homes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</si>
  <si>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</si>
  <si>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</si>
  <si>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</si>
  <si>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</si>
  <si>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</si>
  <si>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</si>
  <si>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WiltshireJulian House</t>
  </si>
  <si>
    <t>WiltshireLiveWest Homes Limited</t>
  </si>
  <si>
    <t>WiltshireLondon &amp; Quadrant Housing Trust</t>
  </si>
  <si>
    <t>WiltshireMerlin Housing Society Limited</t>
  </si>
  <si>
    <t>WiltshireMoat Homes Limited</t>
  </si>
  <si>
    <t>WiltshirePlaces for People Homes Limited</t>
  </si>
  <si>
    <t>WiltshirePlaces for People Living+ Limited</t>
  </si>
  <si>
    <t>WiltshireSalisbury City Almshouse and Welfare Charities</t>
  </si>
  <si>
    <t>WiltshireSalvation Army Housing Association</t>
  </si>
  <si>
    <t>WiltshireSanctuary Housing Association</t>
  </si>
  <si>
    <t>WiltshireSelwood Housing Society Limited</t>
  </si>
  <si>
    <t>WiltshireSoha Housing Limited</t>
  </si>
  <si>
    <t>WiltshireSovereign Housing Association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</si>
  <si>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</si>
  <si>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</si>
  <si>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</si>
  <si>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</si>
  <si>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</si>
  <si>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</si>
  <si>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</si>
  <si>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</si>
  <si>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</si>
  <si>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WiltshireWestward Housing Group Limited</t>
  </si>
  <si>
    <t>WiltshireWhite Horse Housing Association Limited</t>
  </si>
  <si>
    <t>WinchesterA2Dominion Housing Options Limited</t>
  </si>
  <si>
    <t>WinchesterA2Dominion South Limited</t>
  </si>
  <si>
    <t>WinchesterAbility Housing Association</t>
  </si>
  <si>
    <t>WinchesterAdvance Housing and Support Limited</t>
  </si>
  <si>
    <t>WinchesterAnchor Hanover Group</t>
  </si>
  <si>
    <t>WinchesterBournemouth Churches Housing Association Limited</t>
  </si>
  <si>
    <t>WinchesterGrainger Trust Limited</t>
  </si>
  <si>
    <t>WinchesterHeylo Housing Registered Provider Limited</t>
  </si>
  <si>
    <t>WinchesterHome Group Limited</t>
  </si>
  <si>
    <t>WinchesterHousing 21</t>
  </si>
  <si>
    <t>WinchesterHyde Housing Association Limited</t>
  </si>
  <si>
    <t>WinchesterMartlet Homes Limited</t>
  </si>
  <si>
    <t>WinchesterSanctuary Housing Association</t>
  </si>
  <si>
    <t>WinchesterSovereign Housing Association Limited</t>
  </si>
  <si>
    <t>WinchesterStonewater (5) Limited</t>
  </si>
  <si>
    <t>WinchesterStonewater Limited</t>
  </si>
  <si>
    <t>WinchesterSynergy Housing Limited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</si>
  <si>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</si>
  <si>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</si>
  <si>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</si>
  <si>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</si>
  <si>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</si>
  <si>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</si>
  <si>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South Limited</t>
  </si>
  <si>
    <t>Windsor and MaidenheadAdvance Housing and Support Limited</t>
  </si>
  <si>
    <t>Windsor and MaidenheadAnchor Hanover Group</t>
  </si>
  <si>
    <t>Windsor and MaidenheadBirnbeck Housing Association Limited</t>
  </si>
  <si>
    <t>Windsor and MaidenheadHome Group Limited</t>
  </si>
  <si>
    <t>Windsor and MaidenheadHousing Solutions</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</si>
  <si>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</si>
  <si>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</si>
  <si>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</si>
  <si>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</si>
  <si>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</si>
  <si>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MaidenheadParadigm Homes Charitable Housing Association Limited</t>
  </si>
  <si>
    <t>Windsor and MaidenheadPlaces for People Homes Limited</t>
  </si>
  <si>
    <t>Windsor and MaidenheadSovereign Housing Association Limited</t>
  </si>
  <si>
    <t>Windsor and MaidenheadThe Swaythling Housing Society Limited</t>
  </si>
  <si>
    <t>WirralAlpha (R.S.L.) Limited</t>
  </si>
  <si>
    <t>WirralAnchor Hanover Group</t>
  </si>
  <si>
    <t>WirralBirkenhead Forum Housing Association Limited</t>
  </si>
  <si>
    <t>WirralChrysalis Supported Association Limited</t>
  </si>
  <si>
    <t>WirralExcel Housing Solutions</t>
  </si>
  <si>
    <t>WirralFamily Housing Association (Birkenhead and Wirral) Limited</t>
  </si>
  <si>
    <t>WirralFirst Priority Housing Association Limited</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</si>
  <si>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</si>
  <si>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</si>
  <si>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</si>
  <si>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</si>
  <si>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</si>
  <si>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</si>
  <si>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WirralMagenta Living</t>
  </si>
  <si>
    <t>WirralOne Vision Housing Limited</t>
  </si>
  <si>
    <t>WirralOnward Homes Limited</t>
  </si>
  <si>
    <t>WirralPine Court Housing Association Limited</t>
  </si>
  <si>
    <t>WirralPlus Dane Housing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</si>
  <si>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</si>
  <si>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</si>
  <si>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</si>
  <si>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</si>
  <si>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</si>
  <si>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</si>
  <si>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</si>
  <si>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</si>
  <si>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Methodist Housing Association Limited</t>
  </si>
  <si>
    <t>WokingA2Dominion South Limited</t>
  </si>
  <si>
    <t>WokingAbility Housing Association</t>
  </si>
  <si>
    <t>WokingAccent Housing Limited</t>
  </si>
  <si>
    <t>WokingAdvance Housing and Support Limited</t>
  </si>
  <si>
    <t>WokingAnchor Hanover Group</t>
  </si>
  <si>
    <t>WokingClarion Housing Association Limited</t>
  </si>
  <si>
    <t>WokingFirst Priority Housing Association Limited</t>
  </si>
  <si>
    <t>WokingGreenoak Housing Association Limited</t>
  </si>
  <si>
    <t>WokingHome Group Limited</t>
  </si>
  <si>
    <t>WokingHousing 21</t>
  </si>
  <si>
    <t>WokingHyde Housing Association Limited</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</si>
  <si>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</si>
  <si>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</si>
  <si>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</si>
  <si>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</si>
  <si>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</si>
  <si>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</si>
  <si>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WokingShepherds Bush Housing Association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</si>
  <si>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</si>
  <si>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</si>
  <si>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</si>
  <si>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</si>
  <si>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</si>
  <si>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</si>
  <si>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</si>
  <si>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</si>
  <si>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</si>
  <si>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</si>
  <si>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WokinghamAdvance Housing and Support Limited</t>
  </si>
  <si>
    <t>WokinghamAnchor Hanover Group</t>
  </si>
  <si>
    <t>WokinghamCentral and Cecil Housing Trust</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</si>
  <si>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</si>
  <si>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</si>
  <si>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</si>
  <si>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</si>
  <si>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</si>
  <si>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</si>
  <si>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</si>
  <si>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</si>
  <si>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WokinghamMetropolitan Housing Trust Limited</t>
  </si>
  <si>
    <t>WokinghamMoat Homes Limited</t>
  </si>
  <si>
    <t>WokinghamMuir Group Housing Association Limited</t>
  </si>
  <si>
    <t>WokinghamPlaces for People Homes Limited</t>
  </si>
  <si>
    <t>WokinghamSanctuary Housing Association</t>
  </si>
  <si>
    <t>WokinghamSilva Homes Limited</t>
  </si>
  <si>
    <t>WokinghamSovereign Housing Association Limited</t>
  </si>
  <si>
    <t>WokinghamThe Swaythling Housing Society Limited</t>
  </si>
  <si>
    <t>WokinghamVivid Housing Limited</t>
  </si>
  <si>
    <t>WokinghamWargrave-on-Thames Housing Association Limited</t>
  </si>
  <si>
    <t>WokinghamWoodley Sandford and Charvil Charitable Trust</t>
  </si>
  <si>
    <t>WolverhamptonAnchor Hanover Group</t>
  </si>
  <si>
    <t>WolverhamptonAshley Community &amp; Housing Ltd</t>
  </si>
  <si>
    <t>WolverhamptonBlack Country Housing Group Limited</t>
  </si>
  <si>
    <t>WolverhamptonBromford Housing Association Limited</t>
  </si>
  <si>
    <t>WolverhamptonChrysalis Supported Association Limited</t>
  </si>
  <si>
    <t>WolverhamptonCitizen Housing Group Limited</t>
  </si>
  <si>
    <t>WolverhamptonClarion Housing Association Limited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</si>
  <si>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</si>
  <si>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</si>
  <si>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</si>
  <si>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</si>
  <si>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</si>
  <si>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</si>
  <si>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</si>
  <si>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</si>
  <si>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</si>
  <si>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</si>
  <si>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</si>
  <si>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WolverhamptonParasol Homes Limited</t>
  </si>
  <si>
    <t>WolverhamptonSanctuary Housing Association</t>
  </si>
  <si>
    <t>WolverhamptonThe Abbeyfield Society</t>
  </si>
  <si>
    <t>WolverhamptonThe Wrekin Housing Group Limited</t>
  </si>
  <si>
    <t>WolverhamptonWalsall Housing Group Limited</t>
  </si>
  <si>
    <t>WorcesterAdvance Housing and Support Limited</t>
  </si>
  <si>
    <t>WorcesterAnchor Hanover Group</t>
  </si>
  <si>
    <t>WorcesterBlue Square Residential Ltd</t>
  </si>
  <si>
    <t>WorcesterBromford Housing Association Limited</t>
  </si>
  <si>
    <t>WorcesterCitizen Housing Group Limited</t>
  </si>
  <si>
    <t>WorcesterClarion Housing Association Limited</t>
  </si>
  <si>
    <t>WorcesterDimensions (UK) Limited</t>
  </si>
  <si>
    <t>WorcesterHeylo Housing Registered Provider Limited</t>
  </si>
  <si>
    <t>WorcesterHome Group Limited</t>
  </si>
  <si>
    <t>WorcesterIKE Supported Housing Limited</t>
  </si>
  <si>
    <t>WorcesterInclusion Housing Community Interest Company</t>
  </si>
  <si>
    <t>WorcesterMidland Heart Limited</t>
  </si>
  <si>
    <t>WorcesterMuir Group Housing Association Limited</t>
  </si>
  <si>
    <t>WorcesterOrbit Group Limited</t>
  </si>
  <si>
    <t>WorcesterPlatform Housing Group Limited</t>
  </si>
  <si>
    <t>WorcesterPlatform Housing Limited</t>
  </si>
  <si>
    <t>WorcesterRooftop Housing Association Limited</t>
  </si>
  <si>
    <t>WorcesterSanctuary Affordable Housing Limited</t>
  </si>
  <si>
    <t>WorcesterSanctuary Housing Association</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</si>
  <si>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</si>
  <si>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</si>
  <si>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</si>
  <si>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</si>
  <si>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</si>
  <si>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</si>
  <si>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WorthingAbility Housing Association</t>
  </si>
  <si>
    <t>WorthingAnchor Hanover Group</t>
  </si>
  <si>
    <t>WorthingClarion Housing Association Limited</t>
  </si>
  <si>
    <t>WorthingGuild Care</t>
  </si>
  <si>
    <t>WorthingHome Group Limited</t>
  </si>
  <si>
    <t>WorthingHousing 21</t>
  </si>
  <si>
    <t>WorthingHyde Housing Association Limited</t>
  </si>
  <si>
    <t>WorthingMoat Homes Limited</t>
  </si>
  <si>
    <t>WorthingPearson's &amp; St Elizabeth's Cottage Homes</t>
  </si>
  <si>
    <t>WorthingPlaces for People Homes Limited</t>
  </si>
  <si>
    <t>WorthingSanctuary Housing Association</t>
  </si>
  <si>
    <t>WorthingSaxon Weald</t>
  </si>
  <si>
    <t>WorthingSouthdown Housing Association Limited</t>
  </si>
  <si>
    <t>WorthingStonewater Limited</t>
  </si>
  <si>
    <t>WorthingThe Fellowship Houses Trust</t>
  </si>
  <si>
    <t>WorthingThe Guinness Partnership Limited</t>
  </si>
  <si>
    <t>WorthingWorthing Homes Limited</t>
  </si>
  <si>
    <t>WorthingYMCA Downslink Group</t>
  </si>
  <si>
    <t>WychavonAdvance Housing and Support Limited</t>
  </si>
  <si>
    <t>WychavonBromford Home Ownership Limited</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</si>
  <si>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</si>
  <si>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</si>
  <si>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</si>
  <si>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</si>
  <si>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</si>
  <si>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</si>
  <si>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WychavonMerlin Housing Society Limited</t>
  </si>
  <si>
    <t>WychavonMidland Heart Limited</t>
  </si>
  <si>
    <t>WychavonPlatform Housing Limited</t>
  </si>
  <si>
    <t>WychavonRooftop Housing Association Limited</t>
  </si>
  <si>
    <t>WychavonSanctuary Affordable Housing Limited</t>
  </si>
  <si>
    <t>WychavonSanctuary Housing Association</t>
  </si>
  <si>
    <t>WychavonThe Guinness Partnership Limited</t>
  </si>
  <si>
    <t>WychavonTrinity Housing Association Limited</t>
  </si>
  <si>
    <t>WychavonWalsall Housing Group Limited</t>
  </si>
  <si>
    <t>WychavonWestmoreland Supported Housing Limited</t>
  </si>
  <si>
    <t>WyreAccent Housing Limited</t>
  </si>
  <si>
    <t>WyreArpeggio Properties Limited</t>
  </si>
  <si>
    <t>WyreAuxesia Homes Limited</t>
  </si>
  <si>
    <t>WyreBlackburn YMCA</t>
  </si>
  <si>
    <t>WyreCare Housing Association Limited</t>
  </si>
  <si>
    <t>WyreCreative Support Limited</t>
  </si>
  <si>
    <t>WyreEmpower Housing Association Limited</t>
  </si>
  <si>
    <t>WyreGreat Places Housing Association</t>
  </si>
  <si>
    <t>WyreHalo Housing Association Limited</t>
  </si>
  <si>
    <t>WyreHeylo Housing Registered Provider Limited</t>
  </si>
  <si>
    <t>WyreInclusion Housing Community Interest Company</t>
  </si>
  <si>
    <t>WyreLangley House Trust</t>
  </si>
  <si>
    <t>WyreLune Valley Rural Housing Association Limited</t>
  </si>
  <si>
    <t>WyreMuir Group Housing Association Limited</t>
  </si>
  <si>
    <t>WyrePlaces for People Homes Limited</t>
  </si>
  <si>
    <t>WyreProgress Housing Association Limited</t>
  </si>
  <si>
    <t>WyreRegenda Limited</t>
  </si>
  <si>
    <t>WyreThe Abbeyfield Society</t>
  </si>
  <si>
    <t>WyreThe Guinness Partnership Limited</t>
  </si>
  <si>
    <t>WyreYour Housing Limited</t>
  </si>
  <si>
    <t>Wyre ForestBromford Housing Association Limited</t>
  </si>
  <si>
    <t>Wyre ForestCitizen Housing Group Limited</t>
  </si>
  <si>
    <t>Wyre ForestEmpower Housing Association Limited</t>
  </si>
  <si>
    <t>Wyre ForestHome Group Limited</t>
  </si>
  <si>
    <t>Wyre ForestMidland Heart Limited</t>
  </si>
  <si>
    <t>Wyre ForestPlatform Housing Limited</t>
  </si>
  <si>
    <t>Wyre ForestRooftop Housing Association Limited</t>
  </si>
  <si>
    <t>Wyre ForestSanctuary Housing Association</t>
  </si>
  <si>
    <t>Wyre ForestThe Community Housing Group Limited</t>
  </si>
  <si>
    <t>Wyre ForestWestmoreland Supported Housing Limited</t>
  </si>
  <si>
    <t>YorkAccent Housing Limited</t>
  </si>
  <si>
    <t>YorkAdvance Housing and Support Limited</t>
  </si>
  <si>
    <t>YorkAnchor Hanover Group</t>
  </si>
  <si>
    <t>YorkBroadacres Housing Association Limited</t>
  </si>
  <si>
    <t>YorkDimensions (UK)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</si>
  <si>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</si>
  <si>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</si>
  <si>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</si>
  <si>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</si>
  <si>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</si>
  <si>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</si>
  <si>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</si>
  <si>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</si>
  <si>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</si>
  <si>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</si>
  <si>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</si>
  <si>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</si>
  <si>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</si>
  <si>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</si>
  <si>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YorkThe Walker Barstow Homes</t>
  </si>
  <si>
    <t>YorkThirteen Housing Group Limited</t>
  </si>
  <si>
    <t>YorkTogether Housing Association Limited</t>
  </si>
  <si>
    <t>YorkYorkshire Housing Limited</t>
  </si>
  <si>
    <t>Lookup search</t>
  </si>
  <si>
    <t>Dynamic Range</t>
  </si>
  <si>
    <t>Number of additional LAs PRP operates in (not shown for regional totals)</t>
  </si>
  <si>
    <t>Total Social Stock (unweighted)</t>
  </si>
  <si>
    <t>General needs self-contained units (unweighted)</t>
  </si>
  <si>
    <t>General needs bedspaces (unweighted)</t>
  </si>
  <si>
    <t>Supported housing units (unweighted)</t>
  </si>
  <si>
    <t>Housing for older people units (unweighted)</t>
  </si>
  <si>
    <t>Low cost home ownership 
(large PRPs only - unweighted)</t>
  </si>
  <si>
    <t>Number of social stock owning providers in area;                                                             (PRPs who do not own stock are excluded):</t>
  </si>
  <si>
    <t>J</t>
  </si>
  <si>
    <t>K</t>
  </si>
  <si>
    <t>L</t>
  </si>
  <si>
    <t xml:space="preserve">All needs met   </t>
  </si>
  <si>
    <t>Some needs met</t>
  </si>
  <si>
    <t>No needs met</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</si>
  <si>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rFont val="Arial"/>
        <family val="2"/>
      </rPr>
      <t xml:space="preserve">Select the relevant geographic areas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All figures are unweighted, as reported by the providers. </t>
    </r>
  </si>
  <si>
    <t>Contents</t>
  </si>
  <si>
    <t>Section</t>
  </si>
  <si>
    <r>
      <t>Description</t>
    </r>
    <r>
      <rPr>
        <sz val="12"/>
        <rFont val="Arial"/>
        <family val="2"/>
      </rPr>
      <t xml:space="preserve"> </t>
    </r>
    <r>
      <rPr>
        <sz val="9"/>
        <rFont val="Arial"/>
        <family val="2"/>
      </rPr>
      <t>(click links below)</t>
    </r>
  </si>
  <si>
    <t>Glossary</t>
  </si>
  <si>
    <t>Area summary</t>
  </si>
  <si>
    <t>Total social units by provision type</t>
  </si>
  <si>
    <t>Decent Homes Standard</t>
  </si>
  <si>
    <t>Total general needs self-contained vacant units</t>
  </si>
  <si>
    <t>Affordable Rent general needs - average weekly gross rent (£ per week) and units</t>
  </si>
  <si>
    <t>Affordable Rent general needs - rents and unit counts by unit size</t>
  </si>
  <si>
    <t>Affordable Rent supported housing (including housing for older people) - rents and unit counts</t>
  </si>
  <si>
    <t>PRPs in area</t>
  </si>
  <si>
    <t>How to use the search function</t>
  </si>
  <si>
    <t xml:space="preserve">Source: </t>
  </si>
  <si>
    <t>For further information please contact the Referrals and Regulatory Enquiries Team</t>
  </si>
  <si>
    <t xml:space="preserve">Telephone: 0300 1245 225 </t>
  </si>
  <si>
    <t xml:space="preserve">Email: </t>
  </si>
  <si>
    <t>enquiries@rsh.gov.uk</t>
  </si>
  <si>
    <t>Geographic look-up tool</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</si>
  <si>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</si>
  <si>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</si>
  <si>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</si>
  <si>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</si>
  <si>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</si>
  <si>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</si>
  <si>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</si>
  <si>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</si>
  <si>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</si>
  <si>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</si>
  <si>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</si>
  <si>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</si>
  <si>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</si>
  <si>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</si>
  <si>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</si>
  <si>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</si>
  <si>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</si>
  <si>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</si>
  <si>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</si>
  <si>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</si>
  <si>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</si>
  <si>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</si>
  <si>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</si>
  <si>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</si>
  <si>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</si>
  <si>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</si>
  <si>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</si>
  <si>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</si>
  <si>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</si>
  <si>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</si>
  <si>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</si>
  <si>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</si>
  <si>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</si>
  <si>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Self-contained unit</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</si>
  <si>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</si>
  <si>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</si>
  <si>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</si>
  <si>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</si>
  <si>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</si>
  <si>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</si>
  <si>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</si>
  <si>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</si>
  <si>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</si>
  <si>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</si>
  <si>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Version</t>
  </si>
  <si>
    <t>Publication Date</t>
  </si>
  <si>
    <t xml:space="preserve">Changes </t>
  </si>
  <si>
    <t>Original release</t>
  </si>
  <si>
    <t>Contact</t>
  </si>
  <si>
    <t>Telephone: Referrals and Regulatory Enquires Team on 0300 1245 225</t>
  </si>
  <si>
    <t>To select a name from the full list of all Areas:</t>
  </si>
  <si>
    <t>To use the Search function:</t>
  </si>
  <si>
    <t>a)  Enter a search term in the blank box and press "Enter"</t>
  </si>
  <si>
    <t>b) Then click on box again, then click drop down arrow to select a name from the (filtered) matching results</t>
  </si>
  <si>
    <t>Return to sheet "Area Summary"</t>
  </si>
  <si>
    <t>Total social stock</t>
  </si>
  <si>
    <t xml:space="preserve"> Net Rent</t>
  </si>
  <si>
    <t xml:space="preserve"> Gross Rent</t>
  </si>
  <si>
    <t xml:space="preserve">PRPs operating in area: </t>
  </si>
  <si>
    <t xml:space="preserve">Region: </t>
  </si>
  <si>
    <t>PRPs operating in region:</t>
  </si>
  <si>
    <t>Annie Sutton and Hoult Memorial Houses</t>
  </si>
  <si>
    <t>Belgrave Neighbourhood Co-operative Housing Association Limited</t>
  </si>
  <si>
    <t>Bespoke Supportive Tenancies Ltd</t>
  </si>
  <si>
    <t>Derventio Housing Trust CIC</t>
  </si>
  <si>
    <t>Granby House (Youlgrave and District) Society Limited</t>
  </si>
  <si>
    <t>Orbit Housing Association Limited</t>
  </si>
  <si>
    <t>Sage Rented Limited</t>
  </si>
  <si>
    <t>The North Memorial Homes City of Leicester</t>
  </si>
  <si>
    <t>Auckland Home Solutions CIC</t>
  </si>
  <si>
    <t>Haven First</t>
  </si>
  <si>
    <t>Herring House Trust (Great Yarmouth)</t>
  </si>
  <si>
    <t>IMPAKT Housing &amp; Support Ltd</t>
  </si>
  <si>
    <t>Luton Community Housing Limited</t>
  </si>
  <si>
    <t>Solo Housing (East Anglia)</t>
  </si>
  <si>
    <t>The Lowestoft Church &amp; Town Almshouse Charity</t>
  </si>
  <si>
    <t>The Mary Hatch Almshouses with Diamond Jubilee Cottages</t>
  </si>
  <si>
    <t>The Mills Charity</t>
  </si>
  <si>
    <t>The Sybil Carthew Trust</t>
  </si>
  <si>
    <t>Amicus Group Limited</t>
  </si>
  <si>
    <t>Arneway Housing Co-operative Limited</t>
  </si>
  <si>
    <t>Bangla Housing Association Limited</t>
  </si>
  <si>
    <t>Dholak Partnership Homes Limited</t>
  </si>
  <si>
    <t>District Homes C.I.C</t>
  </si>
  <si>
    <t>Hatch Row Housing Co-operative Limited</t>
  </si>
  <si>
    <t>Old Etonian Housing Association Limited</t>
  </si>
  <si>
    <t>Outreach Housing Limited</t>
  </si>
  <si>
    <t>Passage Housing Services</t>
  </si>
  <si>
    <t>Populo Homes</t>
  </si>
  <si>
    <t>Richmond Co-operative Housing Association Limited</t>
  </si>
  <si>
    <t>Seven Dials Housing Co-operative Limited</t>
  </si>
  <si>
    <t>The Abbeyfield Chelsea &amp; Fulham Society Limited</t>
  </si>
  <si>
    <t>The Lygon Almshouses</t>
  </si>
  <si>
    <t>Wilfrid East London Housing Co-operative Limited</t>
  </si>
  <si>
    <t>Summerhill Housing Co-operative (Newcastle) Limited</t>
  </si>
  <si>
    <t>The Fairoak Housing Association</t>
  </si>
  <si>
    <t>The Hartlepools War Memorial Homes &amp; the Crosby Homes</t>
  </si>
  <si>
    <t>Crewe YMCA Limited</t>
  </si>
  <si>
    <t>Jigsaw Homes North</t>
  </si>
  <si>
    <t>Jigsaw Homes Tameside</t>
  </si>
  <si>
    <t>Leta/Claudia Streets Housing Co-operative Limited</t>
  </si>
  <si>
    <t>Lumen Housing Limited</t>
  </si>
  <si>
    <t>Mill Street Co-operative Limited</t>
  </si>
  <si>
    <t>Princes Park Housing Co-operative Limited</t>
  </si>
  <si>
    <t>The Abbeyfield Chester Society Limited</t>
  </si>
  <si>
    <t>Margaret Hyde Charity</t>
  </si>
  <si>
    <t>Old Ben Homes Limited</t>
  </si>
  <si>
    <t>PHA Homes Ltd</t>
  </si>
  <si>
    <t>St Richard of Chichester Christian Care Association Ltd</t>
  </si>
  <si>
    <t>The Abbeyfield Oxford Society Limited</t>
  </si>
  <si>
    <t>The Henry Pinnock &amp; Victoria &amp; Albert Memorial Charity</t>
  </si>
  <si>
    <t>The Lord Mayor of Portsmouth's Coronation Homes</t>
  </si>
  <si>
    <t>Uckfield and District Housing Association Limited</t>
  </si>
  <si>
    <t>Abbeyfield Porlock Society Limited</t>
  </si>
  <si>
    <t>Bridgwater Young Men's Christian Association</t>
  </si>
  <si>
    <t>Brighter Places</t>
  </si>
  <si>
    <t>Charity of Jonathan &amp; Rebecca Edwards</t>
  </si>
  <si>
    <t>The Abbeyfield Camborne Society Limited</t>
  </si>
  <si>
    <t>The Peninsula Trust Limited</t>
  </si>
  <si>
    <t>Torvista Homes Limited</t>
  </si>
  <si>
    <t>Connexus Homes Limited</t>
  </si>
  <si>
    <t>Sir Job Charlton's Hospital Charity</t>
  </si>
  <si>
    <t>The Buchanan Trust</t>
  </si>
  <si>
    <t>The Hopkins and Sneyd Almshouse Charity</t>
  </si>
  <si>
    <t>The Hosyer-Foxe Charity</t>
  </si>
  <si>
    <t>Woodlands Quaker Home</t>
  </si>
  <si>
    <t>YMCA North Staffordshire Ltd</t>
  </si>
  <si>
    <t>Charles Edward Sugden's Almshouses</t>
  </si>
  <si>
    <t>St Anne's Community Services</t>
  </si>
  <si>
    <t>E06000060</t>
  </si>
  <si>
    <t>Buckinghamshire</t>
  </si>
  <si>
    <t>Always start with a blank box (cell E3, sheet "Area summary").</t>
  </si>
  <si>
    <t>To reset, use the delete key to clear the box contents, then click back on the box.</t>
  </si>
  <si>
    <t>Click on the blank box, then click on the drop down arrow to select a name from the list of all areas (Regions and Local Authorities)</t>
  </si>
  <si>
    <t>Owned units - Small - LA</t>
  </si>
  <si>
    <r>
      <t xml:space="preserve">Click for Help on the </t>
    </r>
    <r>
      <rPr>
        <b/>
        <u/>
        <sz val="10"/>
        <color theme="10"/>
        <rFont val="Arial"/>
        <family val="2"/>
      </rPr>
      <t>Search Function</t>
    </r>
  </si>
  <si>
    <t>L4216</t>
  </si>
  <si>
    <t>Anerley Housing Co-operative Limited</t>
  </si>
  <si>
    <t>C3115</t>
  </si>
  <si>
    <t>A0364</t>
  </si>
  <si>
    <t>5081</t>
  </si>
  <si>
    <t>Eldonian Community Based Housing Association Limited</t>
  </si>
  <si>
    <t>5097</t>
  </si>
  <si>
    <t>Keswick Community Housing Trust Limited</t>
  </si>
  <si>
    <t>5106</t>
  </si>
  <si>
    <t>A0582</t>
  </si>
  <si>
    <t>5095</t>
  </si>
  <si>
    <t>4842</t>
  </si>
  <si>
    <t>5114</t>
  </si>
  <si>
    <t>C2693</t>
  </si>
  <si>
    <t>5083</t>
  </si>
  <si>
    <t>C2580</t>
  </si>
  <si>
    <t>A2408</t>
  </si>
  <si>
    <t>The Aberford Almshouses</t>
  </si>
  <si>
    <t>4874</t>
  </si>
  <si>
    <t>The Faversham Municipal Charities 2010</t>
  </si>
  <si>
    <t>A3105</t>
  </si>
  <si>
    <t>A0646</t>
  </si>
  <si>
    <t>5122</t>
  </si>
  <si>
    <t>The Mrs Henrietta Frances Le Personne Benevolent Trust</t>
  </si>
  <si>
    <t>The Ogilvie Charities (Deed No.1)</t>
  </si>
  <si>
    <t>5113</t>
  </si>
  <si>
    <t>The Thornton Cottage Homes</t>
  </si>
  <si>
    <t>5126</t>
  </si>
  <si>
    <t>C4225</t>
  </si>
  <si>
    <t>YMCA London City and North</t>
  </si>
  <si>
    <t>Milton Keynes3CHA Ltd</t>
  </si>
  <si>
    <t>BuckinghamshireA2Dominion South Limited</t>
  </si>
  <si>
    <t>BuckinghamshireAbility Housing Association</t>
  </si>
  <si>
    <t>East CambridgeshireAccent Housing Limited</t>
  </si>
  <si>
    <t>MansfieldAction Housing and Support Limited</t>
  </si>
  <si>
    <t>BoltonAdullam Homes Housing Association Limited</t>
  </si>
  <si>
    <t>BuckinghamshireAdvance Housing and Support Limited</t>
  </si>
  <si>
    <t>TandridgeAdvance Housing and Support Limited</t>
  </si>
  <si>
    <t>Hammersmith and FulhamAlmshouse Charity of Sir William Powell</t>
  </si>
  <si>
    <t>BromleyAmicus Group Limited</t>
  </si>
  <si>
    <t>BuckinghamshireAnchor Hanover Group</t>
  </si>
  <si>
    <t>BromleyAnerley Housing Co-operative Limited</t>
  </si>
  <si>
    <t>DerbyAnnie Sutton and Hoult Memorial Houses</t>
  </si>
  <si>
    <t>BrentArneway Housing Co-operative Limited</t>
  </si>
  <si>
    <t>CoventryAshley Community &amp; Housing Ltd</t>
  </si>
  <si>
    <t>Staffordshire MoorlandsAspire Housing Limited</t>
  </si>
  <si>
    <t>LiverpoolAssured Living Housing Association Limited</t>
  </si>
  <si>
    <t>WyreAssured Living Housing Association Limited</t>
  </si>
  <si>
    <t>EastleighAster 3 Limited</t>
  </si>
  <si>
    <t>SwindonAster 3 Limited</t>
  </si>
  <si>
    <t>Surrey HeathAster Communities</t>
  </si>
  <si>
    <t>ColchesterAuckland Home Solutions CIC</t>
  </si>
  <si>
    <t>HyndburnAuckland Home Solutions CIC</t>
  </si>
  <si>
    <t>LancasterAuckland Home Solutions CIC</t>
  </si>
  <si>
    <t>SunderlandAuckland Home Solutions CIC</t>
  </si>
  <si>
    <t>Cheshire West and ChesterAuxesia Homes Limited</t>
  </si>
  <si>
    <t>HackneyBangla Housing Association Limited</t>
  </si>
  <si>
    <t>IslingtonBangla Housing Association Limited</t>
  </si>
  <si>
    <t>LeicesterBelgrave Neighbourhood Co-operative Housing Association Limited</t>
  </si>
  <si>
    <t>AshfieldBespoke Supportive Tenancies Ltd</t>
  </si>
  <si>
    <t>BassetlawBespoke Supportive Tenancies Ltd</t>
  </si>
  <si>
    <t>BlackpoolBespoke Supportive Tenancies Ltd</t>
  </si>
  <si>
    <t>BolsoverBespoke Supportive Tenancies Ltd</t>
  </si>
  <si>
    <t>BradfordBespoke Supportive Tenancies Ltd</t>
  </si>
  <si>
    <t>Brighton and HoveBespoke Supportive Tenancies Ltd</t>
  </si>
  <si>
    <t>BromleyBespoke Supportive Tenancies Ltd</t>
  </si>
  <si>
    <t>CalderdaleBespoke Supportive Tenancies Ltd</t>
  </si>
  <si>
    <t>Cannock ChaseBespoke Supportive Tenancies Ltd</t>
  </si>
  <si>
    <t>CheltenhamBespoke Supportive Tenancies Ltd</t>
  </si>
  <si>
    <t>Cheshire EastBespoke Supportive Tenancies Ltd</t>
  </si>
  <si>
    <t>Cheshire West and ChesterBespoke Supportive Tenancies Ltd</t>
  </si>
  <si>
    <t>County DurhamBespoke Supportive Tenancies Ltd</t>
  </si>
  <si>
    <t>CoventryBespoke Supportive Tenancies Ltd</t>
  </si>
  <si>
    <t>CroydonBespoke Supportive Tenancies Ltd</t>
  </si>
  <si>
    <t>DarlingtonBespoke Supportive Tenancies Ltd</t>
  </si>
  <si>
    <t>DerbyBespoke Supportive Tenancies Ltd</t>
  </si>
  <si>
    <t>DorsetBespoke Supportive Tenancies Ltd</t>
  </si>
  <si>
    <t>DoverBespoke Supportive Tenancies Ltd</t>
  </si>
  <si>
    <t>EalingBespoke Supportive Tenancies Ltd</t>
  </si>
  <si>
    <t>East DevonBespoke Supportive Tenancies Ltd</t>
  </si>
  <si>
    <t>East HertfordshireBespoke Supportive Tenancies Ltd</t>
  </si>
  <si>
    <t>East Riding of YorkshireBespoke Supportive Tenancies Ltd</t>
  </si>
  <si>
    <t>EastbourneBespoke Supportive Tenancies Ltd</t>
  </si>
  <si>
    <t>EastleighBespoke Supportive Tenancies Ltd</t>
  </si>
  <si>
    <t>Epsom and EwellBespoke Supportive Tenancies Ltd</t>
  </si>
  <si>
    <t>FarehamBespoke Supportive Tenancies Ltd</t>
  </si>
  <si>
    <t>FenlandBespoke Supportive Tenancies Ltd</t>
  </si>
  <si>
    <t>GatesheadBespoke Supportive Tenancies Ltd</t>
  </si>
  <si>
    <t>GedlingBespoke Supportive Tenancies Ltd</t>
  </si>
  <si>
    <t>GloucesterBespoke Supportive Tenancies Ltd</t>
  </si>
  <si>
    <t>GreenwichBespoke Supportive Tenancies Ltd</t>
  </si>
  <si>
    <t>HarrowBespoke Supportive Tenancies Ltd</t>
  </si>
  <si>
    <t>HartlepoolBespoke Supportive Tenancies Ltd</t>
  </si>
  <si>
    <t>HaveringBespoke Supportive Tenancies Ltd</t>
  </si>
  <si>
    <t>HillingdonBespoke Supportive Tenancies Ltd</t>
  </si>
  <si>
    <t>Hinckley and BosworthBespoke Supportive Tenancies Ltd</t>
  </si>
  <si>
    <t>HuntingdonshireBespoke Supportive Tenancies Ltd</t>
  </si>
  <si>
    <t>KnowsleyBespoke Supportive Tenancies Ltd</t>
  </si>
  <si>
    <t>LeedsBespoke Supportive Tenancies Ltd</t>
  </si>
  <si>
    <t>LeicesterBespoke Supportive Tenancies Ltd</t>
  </si>
  <si>
    <t>LincolnBespoke Supportive Tenancies Ltd</t>
  </si>
  <si>
    <t>LiverpoolBespoke Supportive Tenancies Ltd</t>
  </si>
  <si>
    <t>MansfieldBespoke Supportive Tenancies Ltd</t>
  </si>
  <si>
    <t>Milton KeynesBespoke Supportive Tenancies Ltd</t>
  </si>
  <si>
    <t>Mole ValleyBespoke Supportive Tenancies Ltd</t>
  </si>
  <si>
    <t>Newark and SherwoodBespoke Supportive Tenancies Ltd</t>
  </si>
  <si>
    <t>North KestevenBespoke Supportive Tenancies Ltd</t>
  </si>
  <si>
    <t>North LincolnshireBespoke Supportive Tenancies Ltd</t>
  </si>
  <si>
    <t>North TynesideBespoke Supportive Tenancies Ltd</t>
  </si>
  <si>
    <t>NorthumberlandBespoke Supportive Tenancies Ltd</t>
  </si>
  <si>
    <t>NottinghamBespoke Supportive Tenancies Ltd</t>
  </si>
  <si>
    <t>Nuneaton and BedworthBespoke Supportive Tenancies Ltd</t>
  </si>
  <si>
    <t>PeterboroughBespoke Supportive Tenancies Ltd</t>
  </si>
  <si>
    <t>PortsmouthBespoke Supportive Tenancies Ltd</t>
  </si>
  <si>
    <t>PrestonBespoke Supportive Tenancies Ltd</t>
  </si>
  <si>
    <t>ReadingBespoke Supportive Tenancies Ltd</t>
  </si>
  <si>
    <t>Redcar and ClevelandBespoke Supportive Tenancies Ltd</t>
  </si>
  <si>
    <t>Reigate and BansteadBespoke Supportive Tenancies Ltd</t>
  </si>
  <si>
    <t>RotherBespoke Supportive Tenancies Ltd</t>
  </si>
  <si>
    <t>RotherhamBespoke Supportive Tenancies Ltd</t>
  </si>
  <si>
    <t>SandwellBespoke Supportive Tenancies Ltd</t>
  </si>
  <si>
    <t>SheffieldBespoke Supportive Tenancies Ltd</t>
  </si>
  <si>
    <t>SloughBespoke Supportive Tenancies Ltd</t>
  </si>
  <si>
    <t>South DerbyshireBespoke Supportive Tenancies Ltd</t>
  </si>
  <si>
    <t>South StaffordshireBespoke Supportive Tenancies Ltd</t>
  </si>
  <si>
    <t>SouthamptonBespoke Supportive Tenancies Ltd</t>
  </si>
  <si>
    <t>StaffordBespoke Supportive Tenancies Ltd</t>
  </si>
  <si>
    <t>Staffordshire MoorlandsBespoke Supportive Tenancies Ltd</t>
  </si>
  <si>
    <t>StevenageBespoke Supportive Tenancies Ltd</t>
  </si>
  <si>
    <t>Stratford-on-AvonBespoke Supportive Tenancies Ltd</t>
  </si>
  <si>
    <t>SunderlandBespoke Supportive Tenancies Ltd</t>
  </si>
  <si>
    <t>Surrey HeathBespoke Supportive Tenancies Ltd</t>
  </si>
  <si>
    <t>TeignbridgeBespoke Supportive Tenancies Ltd</t>
  </si>
  <si>
    <t>ThanetBespoke Supportive Tenancies Ltd</t>
  </si>
  <si>
    <t>ThurrockBespoke Supportive Tenancies Ltd</t>
  </si>
  <si>
    <t>TorbayBespoke Supportive Tenancies Ltd</t>
  </si>
  <si>
    <t>TorridgeBespoke Supportive Tenancies Ltd</t>
  </si>
  <si>
    <t>TraffordBespoke Supportive Tenancies Ltd</t>
  </si>
  <si>
    <t>WakefieldBespoke Supportive Tenancies Ltd</t>
  </si>
  <si>
    <t>WiganBespoke Supportive Tenancies Ltd</t>
  </si>
  <si>
    <t>WiltshireBespoke Supportive Tenancies Ltd</t>
  </si>
  <si>
    <t>WirralBespoke Supportive Tenancies Ltd</t>
  </si>
  <si>
    <t>WolverhamptonBespoke Supportive Tenancies Ltd</t>
  </si>
  <si>
    <t>WyreBespoke Supportive Tenancies Ltd</t>
  </si>
  <si>
    <t>YorkBespoke Supportive Tenancies Ltd</t>
  </si>
  <si>
    <t>Cheshire EastBlue Square Residential Ltd</t>
  </si>
  <si>
    <t>KirkleesBlue Square Residential Ltd</t>
  </si>
  <si>
    <t>LeedsBlue Square Residential Ltd</t>
  </si>
  <si>
    <t>Stoke-on-TrentBlue Square Residential Ltd</t>
  </si>
  <si>
    <t>StroudBlue Square Residential Ltd</t>
  </si>
  <si>
    <t>YorkBlue Square Residential Ltd</t>
  </si>
  <si>
    <t>ChorleyBolton at Home Limited</t>
  </si>
  <si>
    <t>PrestonBolton at Home Limited</t>
  </si>
  <si>
    <t>South RibbleBolton at Home Limited</t>
  </si>
  <si>
    <t>South TynesideBomarsund Housing Co-operative Limited</t>
  </si>
  <si>
    <t>Buckinghamshirebpha Limited</t>
  </si>
  <si>
    <t>Bath and North East SomersetBridgwater Young Men's Christian Association</t>
  </si>
  <si>
    <t>North SomersetBridgwater Young Men's Christian Association</t>
  </si>
  <si>
    <t>Bath and North East SomersetBrighter Places</t>
  </si>
  <si>
    <t>North SomersetBrighter Places</t>
  </si>
  <si>
    <t>South GloucestershireBrighter Places</t>
  </si>
  <si>
    <t>SwindonBrighter Places</t>
  </si>
  <si>
    <t>Malvern HillsBromford Home Ownership Limited</t>
  </si>
  <si>
    <t>BuckinghamshireBromford Housing Association Limited</t>
  </si>
  <si>
    <t>LancasterCalico Homes Limited</t>
  </si>
  <si>
    <t>PrestonCalico Homes Limited</t>
  </si>
  <si>
    <t>Stockton-on-TeesCare Housing Association Limited</t>
  </si>
  <si>
    <t>DorsetCharity of Jonathan &amp; Rebecca Edwards</t>
  </si>
  <si>
    <t>BradfordCharles Edward Sugden's Almshouses</t>
  </si>
  <si>
    <t>BuckinghamshireClarion Housing Association Limited</t>
  </si>
  <si>
    <t>Cheshire EastClarion Housing Association Limited</t>
  </si>
  <si>
    <t>BarnetConcept Housing Association CIC</t>
  </si>
  <si>
    <t>BrentConcept Housing Association CIC</t>
  </si>
  <si>
    <t>EalingConcept Housing Association CIC</t>
  </si>
  <si>
    <t>LewishamConcept Housing Association CIC</t>
  </si>
  <si>
    <t>SouthwarkConcept Housing Association CIC</t>
  </si>
  <si>
    <t>WarwickCreative Support Limited</t>
  </si>
  <si>
    <t>Cheshire EastCrewe YMCA Limited</t>
  </si>
  <si>
    <t>Barking and DagenhamCromwood Housing Ltd</t>
  </si>
  <si>
    <t>EalingCromwood Housing Ltd</t>
  </si>
  <si>
    <t>EnfieldCromwood Housing Ltd</t>
  </si>
  <si>
    <t>GreenwichCromwood Housing Ltd</t>
  </si>
  <si>
    <t>HaveringCromwood Housing Ltd</t>
  </si>
  <si>
    <t>HillingdonCromwood Housing Ltd</t>
  </si>
  <si>
    <t>HounslowCromwood Housing Ltd</t>
  </si>
  <si>
    <t>RedbridgeCromwood Housing Ltd</t>
  </si>
  <si>
    <t>WandsworthCromwood Housing Ltd</t>
  </si>
  <si>
    <t>DerbyDerventio Housing Trust CIC</t>
  </si>
  <si>
    <t>ErewashDerventio Housing Trust CIC</t>
  </si>
  <si>
    <t>BarnetDistrict Homes C.I.C</t>
  </si>
  <si>
    <t>BexleyDistrict Homes C.I.C</t>
  </si>
  <si>
    <t>BrentDistrict Homes C.I.C</t>
  </si>
  <si>
    <t>CroydonDistrict Homes C.I.C</t>
  </si>
  <si>
    <t>HaringeyDistrict Homes C.I.C</t>
  </si>
  <si>
    <t>MertonDistrict Homes C.I.C</t>
  </si>
  <si>
    <t>RochdaleDistrict Homes C.I.C</t>
  </si>
  <si>
    <t>BuckinghamshireDormer's Hospital Charity</t>
  </si>
  <si>
    <t>Bracknell ForestDovepark Properties Limited</t>
  </si>
  <si>
    <t>Vale of White HorseDrayton Parochial Charities</t>
  </si>
  <si>
    <t>East CambridgeshireEastlight Community Homes Limited</t>
  </si>
  <si>
    <t>East SuffolkEastlight Community Homes Limited</t>
  </si>
  <si>
    <t>MaldonEastlight Community Homes Limited</t>
  </si>
  <si>
    <t>TendringEastlight Community Homes Limited</t>
  </si>
  <si>
    <t>LiverpoolEldonian Community Based Housing Association Limited</t>
  </si>
  <si>
    <t>BasildonEmpower Housing Association Limited</t>
  </si>
  <si>
    <t>HuntingdonshireEmpower Housing Association Limited</t>
  </si>
  <si>
    <t>North NorfolkEmpower Housing Association Limited</t>
  </si>
  <si>
    <t>BuckinghamshireEnglish Rural Housing Association Limited</t>
  </si>
  <si>
    <t>Bracknell ForestFairplace Homes Ltd</t>
  </si>
  <si>
    <t>TraffordForHousing Limited</t>
  </si>
  <si>
    <t>RushcliffeFutures Homescape Limited</t>
  </si>
  <si>
    <t>BroxtoweFutures Homeway Limited</t>
  </si>
  <si>
    <t>Derbyshire DalesGranby House (Youlgrave and District) Society Limited</t>
  </si>
  <si>
    <t>BuckinghamshireGrand Union Housing Group Limited</t>
  </si>
  <si>
    <t>Three RiversGrand Union Housing Group Limited</t>
  </si>
  <si>
    <t>BarnsleyGreat Places Housing Association</t>
  </si>
  <si>
    <t>CharnwoodGreat Places Housing Association</t>
  </si>
  <si>
    <t>CrawleyGreat Places Housing Association</t>
  </si>
  <si>
    <t>Derbyshire DalesGreat Places Housing Association</t>
  </si>
  <si>
    <t>East LindseyGreat Places Housing Association</t>
  </si>
  <si>
    <t>East Riding of YorkshireGreat Places Housing Association</t>
  </si>
  <si>
    <t>North East DerbyshireGreat Places Housing Association</t>
  </si>
  <si>
    <t>SeftonGreat Places Housing Association</t>
  </si>
  <si>
    <t>ShropshireGreat Places Housing Association</t>
  </si>
  <si>
    <t>Staffordshire MoorlandsGreat Places Housing Association</t>
  </si>
  <si>
    <t>StockportGreat Places Housing Association</t>
  </si>
  <si>
    <t>TamworthGreat Places Housing Association</t>
  </si>
  <si>
    <t>WakefieldGreat Places Housing Association</t>
  </si>
  <si>
    <t>WirralGreat Places Housing Association</t>
  </si>
  <si>
    <t>BirminghamHalo Housing Association Limited</t>
  </si>
  <si>
    <t>Cheshire EastHalo Housing Association Limited</t>
  </si>
  <si>
    <t>NorthumberlandHalo Housing Association Limited</t>
  </si>
  <si>
    <t>Cheshire EastHalton Housing</t>
  </si>
  <si>
    <t>BuckinghamshireHastoe Housing Association Limited</t>
  </si>
  <si>
    <t>LambethHatch Row Housing Co-operative Limited</t>
  </si>
  <si>
    <t>South OxfordshireHenley and District Housing Trust Limited</t>
  </si>
  <si>
    <t>Great YarmouthHerring House Trust (Great Yarmouth)</t>
  </si>
  <si>
    <t>BostonHeylo Housing Registered Provider Limited</t>
  </si>
  <si>
    <t>HarlowHeylo Housing Registered Provider Limited</t>
  </si>
  <si>
    <t>LichfieldHeylo Housing Registered Provider Limited</t>
  </si>
  <si>
    <t>MiddlesbroughHeylo Housing Registered Provider Limited</t>
  </si>
  <si>
    <t>PendleHeylo Housing Registered Provider Limited</t>
  </si>
  <si>
    <t>PortsmouthHeylo Housing Registered Provider Limited</t>
  </si>
  <si>
    <t>RotherhamHeylo Housing Registered Provider Limited</t>
  </si>
  <si>
    <t>RushmoorHeylo Housing Registered Provider Limited</t>
  </si>
  <si>
    <t>RutlandHeylo Housing Registered Provider Limited</t>
  </si>
  <si>
    <t>Staffordshire MoorlandsHeylo Housing Registered Provider Limited</t>
  </si>
  <si>
    <t>Tunbridge WellsHeylo Housing Registered Provider Limited</t>
  </si>
  <si>
    <t>West SuffolkHeylo Housing Registered Provider Limited</t>
  </si>
  <si>
    <t>BuckinghamshireHightown Housing Association Limited</t>
  </si>
  <si>
    <t>BasildonHilldale Housing Association Limited</t>
  </si>
  <si>
    <t>BradfordHilldale Housing Association Limited</t>
  </si>
  <si>
    <t>EastleighHilldale Housing Association Limited</t>
  </si>
  <si>
    <t>GedlingHilldale Housing Association Limited</t>
  </si>
  <si>
    <t>SalfordHilldale Housing Association Limited</t>
  </si>
  <si>
    <t>South RibbleHilldale Housing Association Limited</t>
  </si>
  <si>
    <t>SouthamptonHilldale Housing Association Limited</t>
  </si>
  <si>
    <t>Stoke-on-TrentHilldale Housing Association Limited</t>
  </si>
  <si>
    <t>TraffordHilldale Housing Association Limited</t>
  </si>
  <si>
    <t>Vale of White HorseHilldale Housing Association Limited</t>
  </si>
  <si>
    <t>BuckinghamshireHome Group Limited</t>
  </si>
  <si>
    <t>ArunHousing 21</t>
  </si>
  <si>
    <t>BuckinghamshireHousing 21</t>
  </si>
  <si>
    <t>BuckinghamshireHousing Solutions</t>
  </si>
  <si>
    <t>TandridgeHundred Houses Society Limited</t>
  </si>
  <si>
    <t>BedfordIMPAKT Housing &amp; Support Ltd</t>
  </si>
  <si>
    <t>BromsgroveInclusion Housing Community Interest Company</t>
  </si>
  <si>
    <t>Cheshire West and ChesterInclusion Housing Community Interest Company</t>
  </si>
  <si>
    <t>DorsetInclusion Housing Community Interest Company</t>
  </si>
  <si>
    <t>East Riding of YorkshireInclusion Housing Community Interest Company</t>
  </si>
  <si>
    <t>East StaffordshireInclusion Housing Community Interest Company</t>
  </si>
  <si>
    <t>North NorfolkInclusion Housing Community Interest Company</t>
  </si>
  <si>
    <t>North SomersetInclusion Housing Community Interest Company</t>
  </si>
  <si>
    <t>SouthamptonInclusion Housing Community Interest Company</t>
  </si>
  <si>
    <t>Staffordshire MoorlandsInclusion Housing Community Interest Company</t>
  </si>
  <si>
    <t>HaringeyJewish Community Housing Association Limited</t>
  </si>
  <si>
    <t>Newark and SherwoodJigsaw Homes Midlands</t>
  </si>
  <si>
    <t>BuryJigsaw Homes North</t>
  </si>
  <si>
    <t>Cheshire EastJigsaw Homes North</t>
  </si>
  <si>
    <t>Cheshire West and ChesterJigsaw Homes North</t>
  </si>
  <si>
    <t>ChorleyJigsaw Homes North</t>
  </si>
  <si>
    <t>FyldeJigsaw Homes North</t>
  </si>
  <si>
    <t>LancasterJigsaw Homes North</t>
  </si>
  <si>
    <t>ManchesterJigsaw Homes North</t>
  </si>
  <si>
    <t>PrestonJigsaw Homes North</t>
  </si>
  <si>
    <t>Ribble ValleyJigsaw Homes North</t>
  </si>
  <si>
    <t>RochdaleJigsaw Homes North</t>
  </si>
  <si>
    <t>SalfordJigsaw Homes North</t>
  </si>
  <si>
    <t>SeftonJigsaw Homes North</t>
  </si>
  <si>
    <t>South RibbleJigsaw Homes North</t>
  </si>
  <si>
    <t>St. HelensJigsaw Homes North</t>
  </si>
  <si>
    <t>StockportJigsaw Homes North</t>
  </si>
  <si>
    <t>TraffordJigsaw Homes North</t>
  </si>
  <si>
    <t>WarringtonJigsaw Homes North</t>
  </si>
  <si>
    <t>West LancashireJigsaw Homes North</t>
  </si>
  <si>
    <t>WiganJigsaw Homes North</t>
  </si>
  <si>
    <t>WirralJigsaw Homes North</t>
  </si>
  <si>
    <t>WyreJigsaw Homes North</t>
  </si>
  <si>
    <t>StockportJigsaw Homes Tameside</t>
  </si>
  <si>
    <t>TamesideJigsaw Homes Tameside</t>
  </si>
  <si>
    <t>LeedsKarbon Homes Limited</t>
  </si>
  <si>
    <t>Central BedfordshireLangley House Trust</t>
  </si>
  <si>
    <t>BrentLegal &amp; General Affordable Homes Limited</t>
  </si>
  <si>
    <t>Cheshire EastLegal &amp; General Affordable Homes Limited</t>
  </si>
  <si>
    <t>DacorumLegal &amp; General Affordable Homes Limited</t>
  </si>
  <si>
    <t>DoncasterLegal &amp; General Affordable Homes Limited</t>
  </si>
  <si>
    <t>HarlowLegal &amp; General Affordable Homes Limited</t>
  </si>
  <si>
    <t>LancasterLegal &amp; General Affordable Homes Limited</t>
  </si>
  <si>
    <t>MaldonLegal &amp; General Affordable Homes Limited</t>
  </si>
  <si>
    <t>Malvern HillsLegal &amp; General Affordable Homes Limited</t>
  </si>
  <si>
    <t>North DevonLegal &amp; General Affordable Homes Limited</t>
  </si>
  <si>
    <t>Oadby and WigstonLegal &amp; General Affordable Homes Limited</t>
  </si>
  <si>
    <t>South KestevenLegal &amp; General Affordable Homes Limited</t>
  </si>
  <si>
    <t>Vale of White HorseLegal &amp; General Affordable Homes Limited</t>
  </si>
  <si>
    <t>West SuffolkLegal &amp; General Affordable Homes Limited</t>
  </si>
  <si>
    <t>WiganLegal &amp; General Affordable Homes Limited</t>
  </si>
  <si>
    <t>WolverhamptonLegal &amp; General Affordable Homes Limited</t>
  </si>
  <si>
    <t>AdurLondon &amp; Quadrant Housing Trust</t>
  </si>
  <si>
    <t>ArunLondon &amp; Quadrant Housing Trust</t>
  </si>
  <si>
    <t>AshfordLondon &amp; Quadrant Housing Trust</t>
  </si>
  <si>
    <t>Brighton and HoveLondon &amp; Quadrant Housing Trust</t>
  </si>
  <si>
    <t>BroxbourneLondon &amp; Quadrant Housing Trust</t>
  </si>
  <si>
    <t>BuckinghamshireLondon &amp; Quadrant Housing Trust</t>
  </si>
  <si>
    <t>CanterburyLondon &amp; Quadrant Housing Trust</t>
  </si>
  <si>
    <t>Central BedfordshireLondon &amp; Quadrant Housing Trust</t>
  </si>
  <si>
    <t>EastbourneLondon &amp; Quadrant Housing Trust</t>
  </si>
  <si>
    <t>EastleighLondon &amp; Quadrant Housing Trust</t>
  </si>
  <si>
    <t>Forest of DeanLondon &amp; Quadrant Housing Trust</t>
  </si>
  <si>
    <t>HastingsLondon &amp; Quadrant Housing Trust</t>
  </si>
  <si>
    <t>LutonLondon &amp; Quadrant Housing Trust</t>
  </si>
  <si>
    <t>Mid SussexLondon &amp; Quadrant Housing Trust</t>
  </si>
  <si>
    <t>Milton KeynesLondon &amp; Quadrant Housing Trust</t>
  </si>
  <si>
    <t>North SomersetLondon &amp; Quadrant Housing Trust</t>
  </si>
  <si>
    <t>North TynesideLondon &amp; Quadrant Housing Trust</t>
  </si>
  <si>
    <t>PeterboroughLondon &amp; Quadrant Housing Trust</t>
  </si>
  <si>
    <t>RotherLondon &amp; Quadrant Housing Trust</t>
  </si>
  <si>
    <t>South CambridgeshireLondon &amp; Quadrant Housing Trust</t>
  </si>
  <si>
    <t>South KestevenLondon &amp; Quadrant Housing Trust</t>
  </si>
  <si>
    <t>SouthamptonLondon &amp; Quadrant Housing Trust</t>
  </si>
  <si>
    <t>Stratford-on-AvonLondon &amp; Quadrant Housing Trust</t>
  </si>
  <si>
    <t>SwindonLondon &amp; Quadrant Housing Trust</t>
  </si>
  <si>
    <t>ThanetLondon &amp; Quadrant Housing Trust</t>
  </si>
  <si>
    <t>West SuffolkLondon &amp; Quadrant Housing Trust</t>
  </si>
  <si>
    <t>WorthingLondon &amp; Quadrant Housing Trust</t>
  </si>
  <si>
    <t>DacorumLouisa Cottages Charity</t>
  </si>
  <si>
    <t>BlackpoolLumen Housing Limited</t>
  </si>
  <si>
    <t>LutonLuton Community Housing Limited</t>
  </si>
  <si>
    <t>SevenoaksMargaret Hyde Charity</t>
  </si>
  <si>
    <t>BuckinghamshireMasonic Housing Association</t>
  </si>
  <si>
    <t>BuckinghamshireMetropolitan Housing Trust Limited</t>
  </si>
  <si>
    <t>LiverpoolMill Street Co-operative Limited</t>
  </si>
  <si>
    <t>BuckinghamshireMoat Homes Limited</t>
  </si>
  <si>
    <t>DorsetMunicipal &amp; Owen Carter Almshouse Charities</t>
  </si>
  <si>
    <t>DarlingtonNew Walk Property Management CIC</t>
  </si>
  <si>
    <t>MiddlesbroughNew Walk Property Management CIC</t>
  </si>
  <si>
    <t>North TynesideNew Walk Property Management CIC</t>
  </si>
  <si>
    <t>BuckinghamshireNotting Hill Home Ownership Limited</t>
  </si>
  <si>
    <t>DorsetNotting Hill Home Ownership Limited</t>
  </si>
  <si>
    <t>BrentOak Housing Limited</t>
  </si>
  <si>
    <t>BromleyOak Housing Limited</t>
  </si>
  <si>
    <t>CroydonOak Housing Limited</t>
  </si>
  <si>
    <t>DoverOak Housing Limited</t>
  </si>
  <si>
    <t>GraveshamOak Housing Limited</t>
  </si>
  <si>
    <t>MaidstoneOak Housing Limited</t>
  </si>
  <si>
    <t>MedwayOak Housing Limited</t>
  </si>
  <si>
    <t>SouthwarkOak Housing Limited</t>
  </si>
  <si>
    <t>SwaleOak Housing Limited</t>
  </si>
  <si>
    <t>Tower HamletsOak Housing Limited</t>
  </si>
  <si>
    <t>Tunbridge WellsOak Housing Limited</t>
  </si>
  <si>
    <t>WiltshireOak Housing Limited</t>
  </si>
  <si>
    <t>LewesOld Ben Homes Limited</t>
  </si>
  <si>
    <t>Telford and WrekinOld Ben Homes Limited</t>
  </si>
  <si>
    <t>IslingtonOld Etonian Housing Association Limited</t>
  </si>
  <si>
    <t>Windsor and MaidenheadOld Etonian Housing Association Limited</t>
  </si>
  <si>
    <t>BuckinghamshireOne YMCA</t>
  </si>
  <si>
    <t>BuckinghamshireOrbit Group Limited</t>
  </si>
  <si>
    <t>AshfordOrbit Housing Association Limited</t>
  </si>
  <si>
    <t>BaberghOrbit Housing Association Limited</t>
  </si>
  <si>
    <t>BedfordOrbit Housing Association Limited</t>
  </si>
  <si>
    <t>BexleyOrbit Housing Association Limited</t>
  </si>
  <si>
    <t>BlabyOrbit Housing Association Limited</t>
  </si>
  <si>
    <t>BrecklandOrbit Housing Association Limited</t>
  </si>
  <si>
    <t>Brighton and HoveOrbit Housing Association Limited</t>
  </si>
  <si>
    <t>BroadlandOrbit Housing Association Limited</t>
  </si>
  <si>
    <t>CanterburyOrbit Housing Association Limited</t>
  </si>
  <si>
    <t>Central BedfordshireOrbit Housing Association Limited</t>
  </si>
  <si>
    <t>CoventryOrbit Housing Association Limited</t>
  </si>
  <si>
    <t>CroydonOrbit Housing Association Limited</t>
  </si>
  <si>
    <t>DartfordOrbit Housing Association Limited</t>
  </si>
  <si>
    <t>DoverOrbit Housing Association Limited</t>
  </si>
  <si>
    <t>East CambridgeshireOrbit Housing Association Limited</t>
  </si>
  <si>
    <t>East HertfordshireOrbit Housing Association Limited</t>
  </si>
  <si>
    <t>East SuffolkOrbit Housing Association Limited</t>
  </si>
  <si>
    <t>EastbourneOrbit Housing Association Limited</t>
  </si>
  <si>
    <t>Epping ForestOrbit Housing Association Limited</t>
  </si>
  <si>
    <t>Epsom and EwellOrbit Housing Association Limited</t>
  </si>
  <si>
    <t>Folkestone and HytheOrbit Housing Association Limited</t>
  </si>
  <si>
    <t>GraveshamOrbit Housing Association Limited</t>
  </si>
  <si>
    <t>Great YarmouthOrbit Housing Association Limited</t>
  </si>
  <si>
    <t>HarboroughOrbit Housing Association Limited</t>
  </si>
  <si>
    <t>HastingsOrbit Housing Association Limited</t>
  </si>
  <si>
    <t>Hinckley and BosworthOrbit Housing Association Limited</t>
  </si>
  <si>
    <t>HorshamOrbit Housing Association Limited</t>
  </si>
  <si>
    <t>IpswichOrbit Housing Association Limited</t>
  </si>
  <si>
    <t>King's Lynn and West NorfolkOrbit Housing Association Limited</t>
  </si>
  <si>
    <t>LewesOrbit Housing Association Limited</t>
  </si>
  <si>
    <t>LichfieldOrbit Housing Association Limited</t>
  </si>
  <si>
    <t>MaidstoneOrbit Housing Association Limited</t>
  </si>
  <si>
    <t>MedwayOrbit Housing Association Limited</t>
  </si>
  <si>
    <t>Mid SuffolkOrbit Housing Association Limited</t>
  </si>
  <si>
    <t>Milton KeynesOrbit Housing Association Limited</t>
  </si>
  <si>
    <t>North NorfolkOrbit Housing Association Limited</t>
  </si>
  <si>
    <t>North WarwickshireOrbit Housing Association Limited</t>
  </si>
  <si>
    <t>NorwichOrbit Housing Association Limited</t>
  </si>
  <si>
    <t>Nuneaton and BedworthOrbit Housing Association Limited</t>
  </si>
  <si>
    <t>OxfordOrbit Housing Association Limited</t>
  </si>
  <si>
    <t>RedditchOrbit Housing Association Limited</t>
  </si>
  <si>
    <t>Reigate and BansteadOrbit Housing Association Limited</t>
  </si>
  <si>
    <t>RotherOrbit Housing Association Limited</t>
  </si>
  <si>
    <t>RugbyOrbit Housing Association Limited</t>
  </si>
  <si>
    <t>SevenoaksOrbit Housing Association Limited</t>
  </si>
  <si>
    <t>SolihullOrbit Housing Association Limited</t>
  </si>
  <si>
    <t>South CambridgeshireOrbit Housing Association Limited</t>
  </si>
  <si>
    <t>South NorfolkOrbit Housing Association Limited</t>
  </si>
  <si>
    <t>Stratford-on-AvonOrbit Housing Association Limited</t>
  </si>
  <si>
    <t>SuttonOrbit Housing Association Limited</t>
  </si>
  <si>
    <t>SwaleOrbit Housing Association Limited</t>
  </si>
  <si>
    <t>TamworthOrbit Housing Association Limited</t>
  </si>
  <si>
    <t>ThanetOrbit Housing Association Limited</t>
  </si>
  <si>
    <t>Tonbridge and MallingOrbit Housing Association Limited</t>
  </si>
  <si>
    <t>Tunbridge WellsOrbit Housing Association Limited</t>
  </si>
  <si>
    <t>WarwickOrbit Housing Association Limited</t>
  </si>
  <si>
    <t>WealdenOrbit Housing Association Limited</t>
  </si>
  <si>
    <t>West SuffolkOrbit Housing Association Limited</t>
  </si>
  <si>
    <t>WorcesterOrbit Housing Association Limited</t>
  </si>
  <si>
    <t>HackneyOutreach Housing Limited</t>
  </si>
  <si>
    <t>Forest of DeanP3 Housing Limited</t>
  </si>
  <si>
    <t>West LindseyP3 Housing Limited</t>
  </si>
  <si>
    <t>BuckinghamshireParadigm Homes Charitable Housing Association Limited</t>
  </si>
  <si>
    <t>BuckinghamshireParagon Asra Housing Limited</t>
  </si>
  <si>
    <t>HackneyParagon Asra Housing Limited</t>
  </si>
  <si>
    <t>EalingParasol Homes Limited</t>
  </si>
  <si>
    <t>WyreParasol Homes Limited</t>
  </si>
  <si>
    <t>StockportPartners Foundation Limited</t>
  </si>
  <si>
    <t>WestminsterPassage Housing Services</t>
  </si>
  <si>
    <t>BrentwoodPeabody Trust</t>
  </si>
  <si>
    <t>MaldonPeabody Trust</t>
  </si>
  <si>
    <t>East HampshirePHA Homes Ltd</t>
  </si>
  <si>
    <t>HavantPHA Homes Ltd</t>
  </si>
  <si>
    <t>BuckinghamshirePlaces for People Homes Limited</t>
  </si>
  <si>
    <t>East LindseyPlaces for People Homes Limited</t>
  </si>
  <si>
    <t>North West LeicestershirePlaces for People Homes Limited</t>
  </si>
  <si>
    <t>BuckinghamshirePlaces for People Living+ Limited</t>
  </si>
  <si>
    <t>CanterburyPlaces for People Living+ Limited</t>
  </si>
  <si>
    <t>East CambridgeshirePlaces for People Living+ Limited</t>
  </si>
  <si>
    <t>North East LincolnshirePlaces for People Living+ Limited</t>
  </si>
  <si>
    <t>WarringtonPlaces for People Living+ Limited</t>
  </si>
  <si>
    <t>Vale of White HorsePlatform Housing Limited</t>
  </si>
  <si>
    <t>WolverhamptonPlatform Housing Limited</t>
  </si>
  <si>
    <t>NewhamPopulo Homes</t>
  </si>
  <si>
    <t>LiverpoolPrinces Park Housing Co-operative Limited</t>
  </si>
  <si>
    <t>BuckinghamshireProgress Housing Association Limited</t>
  </si>
  <si>
    <t>Cheshire EastProgress Housing Association Limited</t>
  </si>
  <si>
    <t>BuckinghamshireRed Kite Community Housing Limited</t>
  </si>
  <si>
    <t>RochdaleRedwing Living Limited</t>
  </si>
  <si>
    <t>BuckinghamshireReside Housing Association Limited</t>
  </si>
  <si>
    <t>SalfordReside Housing Association Limited</t>
  </si>
  <si>
    <t>TendringReside Housing Association Limited</t>
  </si>
  <si>
    <t>Richmond upon ThamesRichmond Co-operative Housing Association Limited</t>
  </si>
  <si>
    <t>BuckinghamshireRosewood Housing Limited</t>
  </si>
  <si>
    <t>DacorumRosewood Housing Limited</t>
  </si>
  <si>
    <t>South CambridgeshireSaffron Housing Trust Limited</t>
  </si>
  <si>
    <t>Basingstoke and DeaneSage Rented Limited</t>
  </si>
  <si>
    <t>BedfordSage Rented Limited</t>
  </si>
  <si>
    <t>Bracknell ForestSage Rented Limited</t>
  </si>
  <si>
    <t>BraintreeSage Rented Limited</t>
  </si>
  <si>
    <t>BrecklandSage Rented Limited</t>
  </si>
  <si>
    <t>BrentwoodSage Rented Limited</t>
  </si>
  <si>
    <t>BroadlandSage Rented Limited</t>
  </si>
  <si>
    <t>BuckinghamshireSage Rented Limited</t>
  </si>
  <si>
    <t>CambridgeSage Rented Limited</t>
  </si>
  <si>
    <t>Central BedfordshireSage Rented Limited</t>
  </si>
  <si>
    <t>CherwellSage Rented Limited</t>
  </si>
  <si>
    <t>Cheshire EastSage Rented Limited</t>
  </si>
  <si>
    <t>Cheshire West and ChesterSage Rented Limited</t>
  </si>
  <si>
    <t>ChichesterSage Rented Limited</t>
  </si>
  <si>
    <t>CroydonSage Rented Limited</t>
  </si>
  <si>
    <t>DacorumSage Rented Limited</t>
  </si>
  <si>
    <t>DerbySage Rented Limited</t>
  </si>
  <si>
    <t>East HampshireSage Rented Limited</t>
  </si>
  <si>
    <t>East HertfordshireSage Rented Limited</t>
  </si>
  <si>
    <t>East SuffolkSage Rented Limited</t>
  </si>
  <si>
    <t>FarehamSage Rented Limited</t>
  </si>
  <si>
    <t>Folkestone and HytheSage Rented Limited</t>
  </si>
  <si>
    <t>FyldeSage Rented Limited</t>
  </si>
  <si>
    <t>Great YarmouthSage Rented Limited</t>
  </si>
  <si>
    <t>HarboroughSage Rented Limited</t>
  </si>
  <si>
    <t>HarlowSage Rented Limited</t>
  </si>
  <si>
    <t>High PeakSage Rented Limited</t>
  </si>
  <si>
    <t>HillingdonSage Rented Limited</t>
  </si>
  <si>
    <t>HounslowSage Rented Limited</t>
  </si>
  <si>
    <t>HuntingdonshireSage Rented Limited</t>
  </si>
  <si>
    <t>KirkleesSage Rented Limited</t>
  </si>
  <si>
    <t>LeicesterSage Rented Limited</t>
  </si>
  <si>
    <t>LewesSage Rented Limited</t>
  </si>
  <si>
    <t>LewishamSage Rented Limited</t>
  </si>
  <si>
    <t>MaidstoneSage Rented Limited</t>
  </si>
  <si>
    <t>Mid SussexSage Rented Limited</t>
  </si>
  <si>
    <t>NewhamSage Rented Limited</t>
  </si>
  <si>
    <t>North East DerbyshireSage Rented Limited</t>
  </si>
  <si>
    <t>OxfordSage Rented Limited</t>
  </si>
  <si>
    <t>PrestonSage Rented Limited</t>
  </si>
  <si>
    <t>Ribble ValleySage Rented Limited</t>
  </si>
  <si>
    <t>RugbySage Rented Limited</t>
  </si>
  <si>
    <t>RushcliffeSage Rented Limited</t>
  </si>
  <si>
    <t>South CambridgeshireSage Rented Limited</t>
  </si>
  <si>
    <t>South DerbyshireSage Rented Limited</t>
  </si>
  <si>
    <t>South KestevenSage Rented Limited</t>
  </si>
  <si>
    <t>South NorfolkSage Rented Limited</t>
  </si>
  <si>
    <t>South OxfordshireSage Rented Limited</t>
  </si>
  <si>
    <t>StaffordSage Rented Limited</t>
  </si>
  <si>
    <t>StockportSage Rented Limited</t>
  </si>
  <si>
    <t>Stratford-on-AvonSage Rented Limited</t>
  </si>
  <si>
    <t>SuttonSage Rented Limited</t>
  </si>
  <si>
    <t>SwaleSage Rented Limited</t>
  </si>
  <si>
    <t>TamworthSage Rented Limited</t>
  </si>
  <si>
    <t>TendringSage Rented Limited</t>
  </si>
  <si>
    <t>Test ValleySage Rented Limited</t>
  </si>
  <si>
    <t>Tunbridge WellsSage Rented Limited</t>
  </si>
  <si>
    <t>UttlesfordSage Rented Limited</t>
  </si>
  <si>
    <t>WakefieldSage Rented Limited</t>
  </si>
  <si>
    <t>WaverleySage Rented Limited</t>
  </si>
  <si>
    <t>West OxfordshireSage Rented Limited</t>
  </si>
  <si>
    <t>West SuffolkSage Rented Limited</t>
  </si>
  <si>
    <t>WiltshireSage Rented Limited</t>
  </si>
  <si>
    <t>BuckinghamshireSalvation Army Housing Association</t>
  </si>
  <si>
    <t>BradfordSanctuary Affordable Housing Limited</t>
  </si>
  <si>
    <t>BuckinghamshireSanctuary Affordable Housing Limited</t>
  </si>
  <si>
    <t>CalderdaleSanctuary Affordable Housing Limited</t>
  </si>
  <si>
    <t>Cheshire EastSanctuary Affordable Housing Limited</t>
  </si>
  <si>
    <t>ChorleySanctuary Affordable Housing Limited</t>
  </si>
  <si>
    <t>County DurhamSanctuary Affordable Housing Limited</t>
  </si>
  <si>
    <t>GloucesterSanctuary Affordable Housing Limited</t>
  </si>
  <si>
    <t>HartlepoolSanctuary Affordable Housing Limited</t>
  </si>
  <si>
    <t>KirkleesSanctuary Affordable Housing Limited</t>
  </si>
  <si>
    <t>PendleSanctuary Affordable Housing Limited</t>
  </si>
  <si>
    <t>Reigate and BansteadSanctuary Affordable Housing Limited</t>
  </si>
  <si>
    <t>SandwellSanctuary Affordable Housing Limited</t>
  </si>
  <si>
    <t>South RibbleSanctuary Affordable Housing Limited</t>
  </si>
  <si>
    <t>Southend-on-SeaSanctuary Affordable Housing Limited</t>
  </si>
  <si>
    <t>BuckinghamshireSanctuary Housing Association</t>
  </si>
  <si>
    <t>East HertfordshireSettle Group</t>
  </si>
  <si>
    <t>HertsmereSettle Group</t>
  </si>
  <si>
    <t>CamdenSeven Dials Housing Co-operative Limited</t>
  </si>
  <si>
    <t>Telford and WrekinShropshire Rural Housing Association Limited</t>
  </si>
  <si>
    <t>ShropshireSir Job Charlton's Hospital Charity</t>
  </si>
  <si>
    <t>BuckinghamshireSoha Housing Limited</t>
  </si>
  <si>
    <t>BaberghSolo Housing (East Anglia)</t>
  </si>
  <si>
    <t>BrecklandSolo Housing (East Anglia)</t>
  </si>
  <si>
    <t>Great YarmouthSolo Housing (East Anglia)</t>
  </si>
  <si>
    <t>Mid SuffolkSolo Housing (East Anglia)</t>
  </si>
  <si>
    <t>South NorfolkSolo Housing (East Anglia)</t>
  </si>
  <si>
    <t>ExeterSouth Devon Rural Housing Association Limited</t>
  </si>
  <si>
    <t>KirkleesSt Anne's Community Services</t>
  </si>
  <si>
    <t>LeedsSt Anne's Community Services</t>
  </si>
  <si>
    <t>SheffieldSt Anne's Community Services</t>
  </si>
  <si>
    <t>CoventrySt Basil's</t>
  </si>
  <si>
    <t>SandwellSt Basil's</t>
  </si>
  <si>
    <t>SolihullSt Basil's</t>
  </si>
  <si>
    <t>WarwickSt Basil's</t>
  </si>
  <si>
    <t>ReadingSt Mungo Community Housing Association</t>
  </si>
  <si>
    <t>CoventrySt Peter's Saltley Housing Association Limited</t>
  </si>
  <si>
    <t>LichfieldSt Peter's Saltley Housing Association Limited</t>
  </si>
  <si>
    <t>SolihullSt Peter's Saltley Housing Association Limited</t>
  </si>
  <si>
    <t>ArunSt Richard of Chichester Christian Care Association Ltd</t>
  </si>
  <si>
    <t>ChichesterSt Richard of Chichester Christian Care Association Ltd</t>
  </si>
  <si>
    <t>BradfordStonewater Limited</t>
  </si>
  <si>
    <t>BuckinghamshireStonewater Limited</t>
  </si>
  <si>
    <t>CalderdaleStonewater Limited</t>
  </si>
  <si>
    <t>CoventryStonewater Limited</t>
  </si>
  <si>
    <t>DoncasterStonewater Limited</t>
  </si>
  <si>
    <t>DudleyStonewater Limited</t>
  </si>
  <si>
    <t>East LindseyStonewater Limited</t>
  </si>
  <si>
    <t>GloucesterStonewater Limited</t>
  </si>
  <si>
    <t>HarboroughStonewater Limited</t>
  </si>
  <si>
    <t>KirkleesStonewater Limited</t>
  </si>
  <si>
    <t>LutonStonewater Limited</t>
  </si>
  <si>
    <t>Malvern HillsStonewater Limited</t>
  </si>
  <si>
    <t>MeltonStonewater Limited</t>
  </si>
  <si>
    <t>North HertfordshireStonewater Limited</t>
  </si>
  <si>
    <t>North WarwickshireStonewater Limited</t>
  </si>
  <si>
    <t>OxfordStonewater Limited</t>
  </si>
  <si>
    <t>RotherhamStonewater Limited</t>
  </si>
  <si>
    <t>SandwellStonewater Limited</t>
  </si>
  <si>
    <t>ShropshireStonewater Limited</t>
  </si>
  <si>
    <t>SolihullStonewater Limited</t>
  </si>
  <si>
    <t>South GloucestershireStonewater Limited</t>
  </si>
  <si>
    <t>Stratford-on-AvonStonewater Limited</t>
  </si>
  <si>
    <t>TeignbridgeStonewater Limited</t>
  </si>
  <si>
    <t>TewkesburyStonewater Limited</t>
  </si>
  <si>
    <t>WalsallStonewater Limited</t>
  </si>
  <si>
    <t>West BerkshireStonewater Limited</t>
  </si>
  <si>
    <t>West OxfordshireStonewater Limited</t>
  </si>
  <si>
    <t>West SuffolkStonewater Limited</t>
  </si>
  <si>
    <t>WokinghamStonewater Limited</t>
  </si>
  <si>
    <t>WychavonStonewater Limited</t>
  </si>
  <si>
    <t>Wyre ForestStonewater Limited</t>
  </si>
  <si>
    <t>Newcastle upon TyneSummerhill Housing Co-operative (Newcastle) Limited</t>
  </si>
  <si>
    <t>BuckinghamshireThame and District Housing Association Limited</t>
  </si>
  <si>
    <t>EalingThames Valley Housing Association Limited</t>
  </si>
  <si>
    <t>CornwallThe Abbeyfield Camborne Society Limited</t>
  </si>
  <si>
    <t>BuckinghamshireThe Abbeyfield Chalfonts Society Limited</t>
  </si>
  <si>
    <t>Hammersmith and FulhamThe Abbeyfield Chelsea &amp; Fulham Society Limited</t>
  </si>
  <si>
    <t>Cheshire West and ChesterThe Abbeyfield Chester Society Limited</t>
  </si>
  <si>
    <t>OxfordThe Abbeyfield Oxford Society Limited</t>
  </si>
  <si>
    <t>BuckinghamshireThe Abbeyfield Society</t>
  </si>
  <si>
    <t>LeedsThe Aberford Almshouses</t>
  </si>
  <si>
    <t>County DurhamThe Fairoak Housing Association</t>
  </si>
  <si>
    <t>NorthumberlandThe Fairoak Housing Association</t>
  </si>
  <si>
    <t>SwaleThe Faversham Municipal Charities 2010</t>
  </si>
  <si>
    <t>BuckinghamshireThe Guinness Partnership Limited</t>
  </si>
  <si>
    <t>HounslowThe Guinness Partnership Limited</t>
  </si>
  <si>
    <t>NorwichThe Guinness Partnership Limited</t>
  </si>
  <si>
    <t>HartlepoolThe Hartlepools War Memorial Homes &amp; the Crosby Homes</t>
  </si>
  <si>
    <t>GraveshamThe Henry Pinnock &amp; Victoria &amp; Albert Memorial Charity</t>
  </si>
  <si>
    <t>Cannock ChaseThe Hopkins and Sneyd Almshouse Charity</t>
  </si>
  <si>
    <t>ShropshireThe Hosyer-Foxe Charity</t>
  </si>
  <si>
    <t>PortsmouthThe Lord Mayor of Portsmouth's Coronation Homes</t>
  </si>
  <si>
    <t>East SuffolkThe Lowestoft Church &amp; Town Almshouse Charity</t>
  </si>
  <si>
    <t>Hammersmith and FulhamThe Lygon Almshouses</t>
  </si>
  <si>
    <t>IpswichThe Mills Charity</t>
  </si>
  <si>
    <t>TandridgeThe Mrs Henrietta Frances Le Personne Benevolent Trust</t>
  </si>
  <si>
    <t>Oadby and WigstonThe North Memorial Homes City of Leicester</t>
  </si>
  <si>
    <t>ColchesterThe Ogilvie Charities (Deed No.1)</t>
  </si>
  <si>
    <t>East SuffolkThe Ogilvie Charities (Deed No.1)</t>
  </si>
  <si>
    <t>CornwallThe Peninsula Trust Limited</t>
  </si>
  <si>
    <t>BuckinghamshireThe Riverside Group Limited</t>
  </si>
  <si>
    <t>BuckinghamshireThe Swaythling Housing Society Limited</t>
  </si>
  <si>
    <t>Mid SussexThe Swaythling Housing Society Limited</t>
  </si>
  <si>
    <t>East SuffolkThe Sybil Carthew Trust</t>
  </si>
  <si>
    <t>CalderdaleThe Thornton Cottage Homes</t>
  </si>
  <si>
    <t>BuckinghamshireThrive Homes Limited</t>
  </si>
  <si>
    <t>BolsoverTogether Housing Association Limited</t>
  </si>
  <si>
    <t>South RibbleTogether Housing Association Limited</t>
  </si>
  <si>
    <t>TorbayTorvista Homes Limited</t>
  </si>
  <si>
    <t>Mid SussexTransform Housing &amp; Support</t>
  </si>
  <si>
    <t>DerbyTrent &amp; Dove Housing Limited</t>
  </si>
  <si>
    <t>BuckinghamshireTrinity Housing Association Limited</t>
  </si>
  <si>
    <t>East StaffordshireTuntum Housing Association Limited</t>
  </si>
  <si>
    <t>East HampshireTwo Saints Limited</t>
  </si>
  <si>
    <t>WealdenUckfield and District Housing Association Limited</t>
  </si>
  <si>
    <t>ChichesterVivid Housing Limited</t>
  </si>
  <si>
    <t>YorkWakefield And District Housing Limited</t>
  </si>
  <si>
    <t>Welwyn HatfieldWatford Community Housing Trust</t>
  </si>
  <si>
    <t>BuckinghamshireWestmoreland Supported Housing Limited</t>
  </si>
  <si>
    <t>HillingdonWestway Housing Association Limited</t>
  </si>
  <si>
    <t>Tower HamletsWilfrid East London Housing Co-operative Limited</t>
  </si>
  <si>
    <t>WolverhamptonWoodlands Quaker Home</t>
  </si>
  <si>
    <t>Mid SussexWorthing Homes Limited</t>
  </si>
  <si>
    <t>HackneyYMCA London City and North</t>
  </si>
  <si>
    <t>HaringeyYMCA London City and North</t>
  </si>
  <si>
    <t>IslingtonYMCA London City and North</t>
  </si>
  <si>
    <t>Stoke-on-TrentYMCA North Staffordshire Ltd</t>
  </si>
  <si>
    <t>BHT Sussex</t>
  </si>
  <si>
    <t>Affordable Rent supported housing/housing for older people</t>
  </si>
  <si>
    <t>EnglandEast Midlands</t>
  </si>
  <si>
    <t>EnglandEast of England</t>
  </si>
  <si>
    <t>EnglandLondon</t>
  </si>
  <si>
    <t>EnglandNorth East</t>
  </si>
  <si>
    <t>EnglandNorth West</t>
  </si>
  <si>
    <t>EnglandSouth East</t>
  </si>
  <si>
    <t>EnglandSouth West</t>
  </si>
  <si>
    <t>EnglandWest Midlands</t>
  </si>
  <si>
    <t xml:space="preserve">Total social units**/PRP counts, by PRP size
</t>
  </si>
  <si>
    <t>Formula</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</si>
  <si>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</si>
  <si>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</si>
  <si>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</si>
  <si>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</si>
  <si>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and/or hot water. Households which share a common entrance hall, but otherwise have all their accommodation behind their own front door are self-contained. Bedsits are considered self-contained units.</t>
  </si>
  <si>
    <t>Exceptions/excepted units (rents)</t>
  </si>
  <si>
    <t xml:space="preserve">Owned stock.  Large PRPs only - unweighted. Excludes Affordable Rent and intermediate rent, but includes other units with an exception under the Rent Policy Statement.  Stock outside England is excluded.  </t>
  </si>
  <si>
    <t>Units with an exception from the statutory rent setting requirements set out in the Rent Policy Statement.</t>
  </si>
  <si>
    <t>*Excludes Affordable Rent and intermediate rent, but includes other units with an exception under the Rent Policy Statement.</t>
  </si>
  <si>
    <t>Total social units/PRP counts, by PRP size/Sales by Large PRPs</t>
  </si>
  <si>
    <t>Affordable Rent supported housing/housing for older people - average weekly gross rents (£ per week) and units</t>
  </si>
  <si>
    <t>How to use the drop down list and search function to select an Area name</t>
  </si>
  <si>
    <t>PRPs are providers of social housing in England that are registered with us and are not local authorities. This is the definition of PRPs in the Housing and Regeneration Act 2008.</t>
  </si>
  <si>
    <r>
      <t xml:space="preserve">Non-social leasehold </t>
    </r>
    <r>
      <rPr>
        <sz val="12"/>
        <color rgb="FF59468D"/>
        <rFont val="Arial"/>
        <family val="2"/>
      </rPr>
      <t>(see leasehold definition above)</t>
    </r>
    <r>
      <rPr>
        <b/>
        <sz val="12"/>
        <color rgb="FF59468D"/>
        <rFont val="Arial"/>
        <family val="2"/>
      </rPr>
      <t>.</t>
    </r>
  </si>
  <si>
    <t>Sales by large PRPs</t>
  </si>
  <si>
    <t>Low cost rental^</t>
  </si>
  <si>
    <t>Total low cost rental stock owned (GN, SH and HOP)^</t>
  </si>
  <si>
    <t>General needs (social rent)*</t>
  </si>
  <si>
    <t>Supported housing/housing for older people (social rent)*</t>
  </si>
  <si>
    <t>General needs (social rent)</t>
  </si>
  <si>
    <t>Supported housing/housing for older people (social rent)</t>
  </si>
  <si>
    <t>General needs (social rent) - average weekly net rents and units</t>
  </si>
  <si>
    <t>Supported housing/housing for older people (social rent) - average weekly net rents and units</t>
  </si>
  <si>
    <t>General needs (social rent) - rents and unit counts by unit size</t>
  </si>
  <si>
    <t>Social rent</t>
  </si>
  <si>
    <t>In these statistics social rent refers to all low cost rental units that are general needs or supported housing (excluding Affordable Rent and intermediate rent units). This includes units with exceptions from standard rent rules.</t>
  </si>
  <si>
    <t>North Northamptonshire</t>
  </si>
  <si>
    <t>E06000061</t>
  </si>
  <si>
    <t>West Northamptonshire</t>
  </si>
  <si>
    <t>E06000062</t>
  </si>
  <si>
    <t>L4240</t>
  </si>
  <si>
    <t>A2Dominion Housing Group Limited</t>
  </si>
  <si>
    <t>5094</t>
  </si>
  <si>
    <t>H3680</t>
  </si>
  <si>
    <t>Abbeyfield Oxenford Society Limited</t>
  </si>
  <si>
    <t>L4172</t>
  </si>
  <si>
    <t>Abri Group Limited</t>
  </si>
  <si>
    <t>L4511</t>
  </si>
  <si>
    <t>Accent Group Limited</t>
  </si>
  <si>
    <t>4836</t>
  </si>
  <si>
    <t>Affordable Housing Communities Limited</t>
  </si>
  <si>
    <t>H0357</t>
  </si>
  <si>
    <t>Allandale Care Group Limited</t>
  </si>
  <si>
    <t>A2569</t>
  </si>
  <si>
    <t>L4393</t>
  </si>
  <si>
    <t>Aster Group Limited</t>
  </si>
  <si>
    <t>5153</t>
  </si>
  <si>
    <t>AWOL London Limited</t>
  </si>
  <si>
    <t>L0394</t>
  </si>
  <si>
    <t>Barnet Overseas Students Housing Association Ltd</t>
  </si>
  <si>
    <t>Bonham and Strathleven Tenants Co-operative Limited</t>
  </si>
  <si>
    <t>L0528</t>
  </si>
  <si>
    <t>Boughey Roddam Housing Association</t>
  </si>
  <si>
    <t>5132</t>
  </si>
  <si>
    <t>Bradford Flower Homes Development Limited</t>
  </si>
  <si>
    <t>A0644</t>
  </si>
  <si>
    <t>Brandon Poor's Estate</t>
  </si>
  <si>
    <t>C4379</t>
  </si>
  <si>
    <t>Breedon Housing Co-operative Limited</t>
  </si>
  <si>
    <t>L3921</t>
  </si>
  <si>
    <t>Bridge Care Limited</t>
  </si>
  <si>
    <t>5105</t>
  </si>
  <si>
    <t>Broadway Living RP Limited</t>
  </si>
  <si>
    <t>L4449</t>
  </si>
  <si>
    <t>Bromford Housing Group Limited</t>
  </si>
  <si>
    <t>5139</t>
  </si>
  <si>
    <t>Bromley and Croydon Women's Aid Limited</t>
  </si>
  <si>
    <t>A0352</t>
  </si>
  <si>
    <t>Bromley and Sheppard's Colleges Charity</t>
  </si>
  <si>
    <t>Bucklehaven</t>
  </si>
  <si>
    <t>LH4087</t>
  </si>
  <si>
    <t>Clarion Housing Group Limited</t>
  </si>
  <si>
    <t>C3729</t>
  </si>
  <si>
    <t>Coin Street Secondary Housing Co-operative Limited</t>
  </si>
  <si>
    <t>5156</t>
  </si>
  <si>
    <t>Connected Living London (RP) Limited</t>
  </si>
  <si>
    <t>C3554</t>
  </si>
  <si>
    <t>Convent Co-operative Limited</t>
  </si>
  <si>
    <t>5155</t>
  </si>
  <si>
    <t>Crawley Open House</t>
  </si>
  <si>
    <t>SL3118</t>
  </si>
  <si>
    <t>Crystal Palace Housing Association Limited</t>
  </si>
  <si>
    <t>Dawson Housing Limited</t>
  </si>
  <si>
    <t>Day's and Atkinson's Almshouse Charity</t>
  </si>
  <si>
    <t>5157</t>
  </si>
  <si>
    <t>Dorchester Almshouses</t>
  </si>
  <si>
    <t>5125</t>
  </si>
  <si>
    <t>A3485</t>
  </si>
  <si>
    <t>Earsdon, Newburn and Shilbottle Almshouse Charity</t>
  </si>
  <si>
    <t>L4530</t>
  </si>
  <si>
    <t>East Midlands Housing Group Limited</t>
  </si>
  <si>
    <t>Easy Housing Association</t>
  </si>
  <si>
    <t>Fairhive Homes Limited</t>
  </si>
  <si>
    <t>C2949</t>
  </si>
  <si>
    <t>Finsbury Park Housing Co-operative Limited</t>
  </si>
  <si>
    <t>4832</t>
  </si>
  <si>
    <t>First Affordable Limited</t>
  </si>
  <si>
    <t>5140</t>
  </si>
  <si>
    <t>Flint Housing Limited</t>
  </si>
  <si>
    <t>Frances Darlington Charity</t>
  </si>
  <si>
    <t>L4502</t>
  </si>
  <si>
    <t>Futures Housing Group Limited</t>
  </si>
  <si>
    <t>5123</t>
  </si>
  <si>
    <t>George Jones Charity</t>
  </si>
  <si>
    <t>C2730</t>
  </si>
  <si>
    <t>Glenkerry Co-operative Housing Association Limited</t>
  </si>
  <si>
    <t>Golden Lane Housing Limited</t>
  </si>
  <si>
    <t>A1752</t>
  </si>
  <si>
    <t>Grand Feoffment Charities</t>
  </si>
  <si>
    <t>L4465</t>
  </si>
  <si>
    <t>Great Places Housing Group Limited</t>
  </si>
  <si>
    <t>GreenSquareAccord Limited</t>
  </si>
  <si>
    <t>5135</t>
  </si>
  <si>
    <t>Grevayne Social Housing Limited</t>
  </si>
  <si>
    <t>5128</t>
  </si>
  <si>
    <t>Habitare Homes Limited</t>
  </si>
  <si>
    <t>4685</t>
  </si>
  <si>
    <t>Hamelin Trust Services Limited</t>
  </si>
  <si>
    <t>Harrison and Potter Trust</t>
  </si>
  <si>
    <t>Heart of Medway Housing Association Limited</t>
  </si>
  <si>
    <t>Homes Plus Limited</t>
  </si>
  <si>
    <t>LH3903</t>
  </si>
  <si>
    <t>Horniman Housing Association Limited</t>
  </si>
  <si>
    <t>L1312</t>
  </si>
  <si>
    <t>Howard Cottage Housing Association</t>
  </si>
  <si>
    <t>Huyton Community Co-operative for the Elderly Limited</t>
  </si>
  <si>
    <t>C4321</t>
  </si>
  <si>
    <t>Iroko Housing Co-operative Limited</t>
  </si>
  <si>
    <t>5152</t>
  </si>
  <si>
    <t>J49 Ltd</t>
  </si>
  <si>
    <t>A2067</t>
  </si>
  <si>
    <t>Joseph Chariott's Charity</t>
  </si>
  <si>
    <t>L4544</t>
  </si>
  <si>
    <t>Kurdish Housing Association Limited</t>
  </si>
  <si>
    <t>5149</t>
  </si>
  <si>
    <t>Legal &amp; General Affordable Homes (AR) LLP</t>
  </si>
  <si>
    <t>5148</t>
  </si>
  <si>
    <t>Legal &amp; General Affordable Homes (SO) LLP</t>
  </si>
  <si>
    <t>5147</t>
  </si>
  <si>
    <t>Legal and General Affordable Homes (Capital) Limited</t>
  </si>
  <si>
    <t>5146</t>
  </si>
  <si>
    <t>Legal and General Affordable Homes (Development 3) Limited</t>
  </si>
  <si>
    <t>4752</t>
  </si>
  <si>
    <t>Linden First Limited</t>
  </si>
  <si>
    <t>C3441</t>
  </si>
  <si>
    <t>Lindsey Housing Co-operative Limited</t>
  </si>
  <si>
    <t>5141</t>
  </si>
  <si>
    <t>LTYD Homes Limited</t>
  </si>
  <si>
    <t>5115</t>
  </si>
  <si>
    <t>M&amp;G UK Shared Ownership Limited</t>
  </si>
  <si>
    <t>5121</t>
  </si>
  <si>
    <t>McCarthy &amp; Stone (Shared Ownership) Limited</t>
  </si>
  <si>
    <t>5120</t>
  </si>
  <si>
    <t>MP Living Limited</t>
  </si>
  <si>
    <t>5063</t>
  </si>
  <si>
    <t>MTD Housing Limited</t>
  </si>
  <si>
    <t>4649</t>
  </si>
  <si>
    <t>Onward Group Limited</t>
  </si>
  <si>
    <t>4699</t>
  </si>
  <si>
    <t>LH4162</t>
  </si>
  <si>
    <t>Oriel Housing Limited</t>
  </si>
  <si>
    <t>5143</t>
  </si>
  <si>
    <t>Oxfordshire CLT Limited</t>
  </si>
  <si>
    <t>L4215</t>
  </si>
  <si>
    <t>Paradigm Housing Group Limited</t>
  </si>
  <si>
    <t>C4380</t>
  </si>
  <si>
    <t>Pioneer Co-operative Housing (Redditch) Limited</t>
  </si>
  <si>
    <t>L4236</t>
  </si>
  <si>
    <t>Places for People Group Limited</t>
  </si>
  <si>
    <t>SL3224</t>
  </si>
  <si>
    <t>Plumlife Homes Limited</t>
  </si>
  <si>
    <t>H0007</t>
  </si>
  <si>
    <t>Polish Citizens Committee Housing Association Limited</t>
  </si>
  <si>
    <t>5093</t>
  </si>
  <si>
    <t>Preferred Homes Limited</t>
  </si>
  <si>
    <t>Prima Housing Group Limited</t>
  </si>
  <si>
    <t>LH4189</t>
  </si>
  <si>
    <t>Progress Housing Group Limited</t>
  </si>
  <si>
    <t>5136</t>
  </si>
  <si>
    <t>RealHousingCo Limited</t>
  </si>
  <si>
    <t>C4381</t>
  </si>
  <si>
    <t>Riverside Housing Co-operative (Redditch) Limited</t>
  </si>
  <si>
    <t>L4404</t>
  </si>
  <si>
    <t>Rooftop Housing Group Limited</t>
  </si>
  <si>
    <t>4761</t>
  </si>
  <si>
    <t>Safer Places</t>
  </si>
  <si>
    <t>5082</t>
  </si>
  <si>
    <t>LH0113</t>
  </si>
  <si>
    <t>Samuel Lewis Foundation</t>
  </si>
  <si>
    <t>C3097</t>
  </si>
  <si>
    <t>Seagull Housing Co-operative Limited</t>
  </si>
  <si>
    <t>C2318</t>
  </si>
  <si>
    <t>Seymour Housing Co-operative Limited</t>
  </si>
  <si>
    <t>4698</t>
  </si>
  <si>
    <t>Shanly Partnership Homes Limited</t>
  </si>
  <si>
    <t>C3236</t>
  </si>
  <si>
    <t>Shearwood Housing Co-operative Limited</t>
  </si>
  <si>
    <t>5142</t>
  </si>
  <si>
    <t>SL3365</t>
  </si>
  <si>
    <t>Springboard Two Housing Association Limited</t>
  </si>
  <si>
    <t>4753</t>
  </si>
  <si>
    <t>St. Arthur Homes Limited</t>
  </si>
  <si>
    <t>Stanley and Brocklehurst Almshouses</t>
  </si>
  <si>
    <t>H0228</t>
  </si>
  <si>
    <t>The Abbeyfield (Darlington) Society Limited</t>
  </si>
  <si>
    <t>H1471</t>
  </si>
  <si>
    <t>The Abbeyfield (Norwich) Society Limited</t>
  </si>
  <si>
    <t>H0001</t>
  </si>
  <si>
    <t>The Abbeyfield Burnham and Highbridge Society Limited</t>
  </si>
  <si>
    <t>H3860</t>
  </si>
  <si>
    <t>The Abbeyfield East London Extra Care Society Limited</t>
  </si>
  <si>
    <t>H3955</t>
  </si>
  <si>
    <t>H2854</t>
  </si>
  <si>
    <t>The Abbeyfield Hoylake and West Kirby Society Limited</t>
  </si>
  <si>
    <t>H3873</t>
  </si>
  <si>
    <t>The Abbeyfield Lancashire Extra Care Society Limited</t>
  </si>
  <si>
    <t>H3295</t>
  </si>
  <si>
    <t>The Abbeyfield Lancaster Society Limited</t>
  </si>
  <si>
    <t>H0560</t>
  </si>
  <si>
    <t>L4005</t>
  </si>
  <si>
    <t>The Blackpool Fylde and Wyre Society for the Blind</t>
  </si>
  <si>
    <t>A0826</t>
  </si>
  <si>
    <t>The Christian Union Almshouses</t>
  </si>
  <si>
    <t>The Cooper and Adkinson Almshouse Charity</t>
  </si>
  <si>
    <t>A0542</t>
  </si>
  <si>
    <t>The Feoffees of the Parish Lands of Highweek</t>
  </si>
  <si>
    <t>The Henry Boys' Almshouses</t>
  </si>
  <si>
    <t>5131</t>
  </si>
  <si>
    <t>The Hospital of William Parson</t>
  </si>
  <si>
    <t>L4491</t>
  </si>
  <si>
    <t>The Housing Plus Group Limited</t>
  </si>
  <si>
    <t>C2513</t>
  </si>
  <si>
    <t>The Mile End Housing Co-operative Limited</t>
  </si>
  <si>
    <t>The Sir Oswald Stoll Foundation</t>
  </si>
  <si>
    <t>The Vanbrugh and Tempest Almshouse Charity</t>
  </si>
  <si>
    <t>5154</t>
  </si>
  <si>
    <t>C4382</t>
  </si>
  <si>
    <t>The Winyates Co-operative Limited</t>
  </si>
  <si>
    <t>5111</t>
  </si>
  <si>
    <t>L4464</t>
  </si>
  <si>
    <t>Together Housing Group Limited</t>
  </si>
  <si>
    <t>C2614</t>
  </si>
  <si>
    <t>Two Piers Housing Co-operative Limited</t>
  </si>
  <si>
    <t>A3553</t>
  </si>
  <si>
    <t>Victoria Homes</t>
  </si>
  <si>
    <t>L4460</t>
  </si>
  <si>
    <t>Victory Housing Trust</t>
  </si>
  <si>
    <t>C3278</t>
  </si>
  <si>
    <t>Wellington Mills Housing Co-operative Limited</t>
  </si>
  <si>
    <t>L0668</t>
  </si>
  <si>
    <t>Welwyn Garden City Housing Association Limited</t>
  </si>
  <si>
    <t>5138</t>
  </si>
  <si>
    <t>Witton Lodge Community Interest Company</t>
  </si>
  <si>
    <t>5101</t>
  </si>
  <si>
    <t>Woolfardisworthy Sports and Community Hall</t>
  </si>
  <si>
    <t>YMCA Robin Hood Group</t>
  </si>
  <si>
    <t>L4203</t>
  </si>
  <si>
    <t>Your Housing Group Limited</t>
  </si>
  <si>
    <t>LH2018</t>
  </si>
  <si>
    <t>Zebra Housing Association Limited</t>
  </si>
  <si>
    <t>5145</t>
  </si>
  <si>
    <t>Zen Housing Ltd</t>
  </si>
  <si>
    <t>L4398</t>
  </si>
  <si>
    <t>Chorus Homes Group Limited</t>
  </si>
  <si>
    <t>C3284</t>
  </si>
  <si>
    <t>Ewart Road Housing Co-operative Limited</t>
  </si>
  <si>
    <t>LH2204</t>
  </si>
  <si>
    <t>North East Housing Association Limited</t>
  </si>
  <si>
    <t>L4422</t>
  </si>
  <si>
    <t>Ocean Housing Group Limited</t>
  </si>
  <si>
    <t>C4378</t>
  </si>
  <si>
    <t>Redditch Co-operative 2000 Limited</t>
  </si>
  <si>
    <t>5092</t>
  </si>
  <si>
    <t>ReSI Homes Limited</t>
  </si>
  <si>
    <t>5053</t>
  </si>
  <si>
    <t>ReSI Housing Limited</t>
  </si>
  <si>
    <t>L1967</t>
  </si>
  <si>
    <t>Retirement Lease Housing Association</t>
  </si>
  <si>
    <t>Sunny Vale Supported Accommodation Limited</t>
  </si>
  <si>
    <t>L0469</t>
  </si>
  <si>
    <t>The Perry Almshouse Charity</t>
  </si>
  <si>
    <t>W H Saunders &amp; Frank Wareham Charity</t>
  </si>
  <si>
    <t>C2696</t>
  </si>
  <si>
    <t>W14 Housing Co-operative Limited</t>
  </si>
  <si>
    <t>A3011</t>
  </si>
  <si>
    <t>Whicher and Kifford Almshouses</t>
  </si>
  <si>
    <t>Amber ValleyGolden Lane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</si>
  <si>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</si>
  <si>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</si>
  <si>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</si>
  <si>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</si>
  <si>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</si>
  <si>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</si>
  <si>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</si>
  <si>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</si>
  <si>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Rented Limited</t>
  </si>
  <si>
    <t>BaberghChelmer Housing Partnership Limited</t>
  </si>
  <si>
    <t>BaberghGolden Lane Housing Limited</t>
  </si>
  <si>
    <t>BaberghGrand Feoffment Charities</t>
  </si>
  <si>
    <t>BaberghInclusion Housing Community Interest Company</t>
  </si>
  <si>
    <t>BarnetArpeggio Properties Limited</t>
  </si>
  <si>
    <t>BarnetDay's and Atkinson's Almshouse Charity</t>
  </si>
  <si>
    <t>BarnetGolden Lane Housing Limited</t>
  </si>
  <si>
    <t>BarnsleyGolden Lane Housing Limited</t>
  </si>
  <si>
    <t>BasildonOrbit Group Limited</t>
  </si>
  <si>
    <t>BasildonPeabody Trust</t>
  </si>
  <si>
    <t>Basingstoke and DeaneAbri Group Limited</t>
  </si>
  <si>
    <t>Basingstoke and DeaneGolden Lane Housing Limited</t>
  </si>
  <si>
    <t>BassetlawGolden Lane Housing Limited</t>
  </si>
  <si>
    <t>BassetlawLegal &amp; General Affordable Homes Limited</t>
  </si>
  <si>
    <t>BassetlawSanctuary Affordable Housing Limited</t>
  </si>
  <si>
    <t>Bath and North East SomersetGolden Lane Housing Limited</t>
  </si>
  <si>
    <t>BedfordGolden Lane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</si>
  <si>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</si>
  <si>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</si>
  <si>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</si>
  <si>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</si>
  <si>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</si>
  <si>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</si>
  <si>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</si>
  <si>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</si>
  <si>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BirminghamWitton Lodge Community Interest Company</t>
  </si>
  <si>
    <t>BolsoverFramework Housing Association</t>
  </si>
  <si>
    <t>BolsoverGolden Lane Housing Limited</t>
  </si>
  <si>
    <t>BoltonBlackburn YMCA</t>
  </si>
  <si>
    <t>BoltonJigsaw Homes North</t>
  </si>
  <si>
    <t>BostonGolden Lane Housing Limited</t>
  </si>
  <si>
    <t>Bracknell ForestAbri Group Limited</t>
  </si>
  <si>
    <t>BradfordBradford Flower Homes Development Limited</t>
  </si>
  <si>
    <t>BradfordBridge-It Housing UK Team Ltd</t>
  </si>
  <si>
    <t>BradfordConnect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</si>
  <si>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</si>
  <si>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</si>
  <si>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</si>
  <si>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</si>
  <si>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</si>
  <si>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</si>
  <si>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</si>
  <si>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</si>
  <si>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</si>
  <si>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BrentLegal &amp; General Affordable Homes (AR) LLP</t>
  </si>
  <si>
    <t>BrentTBG Open Door Limited</t>
  </si>
  <si>
    <t>BrentwoodMetropolitan Housing Trust Limited</t>
  </si>
  <si>
    <t>BrentwoodOrbit Group Limited</t>
  </si>
  <si>
    <t>Brighton and HoveBHT Sussex</t>
  </si>
  <si>
    <t>Brighton and HoveGolden Lane Housing Limited</t>
  </si>
  <si>
    <t>Brighton and HovePeabody Trust</t>
  </si>
  <si>
    <t>Brighton and HoveTwo Piers Housing Co-operative Limited</t>
  </si>
  <si>
    <t>BroadlandLegal &amp; General Affordable Homes Limited</t>
  </si>
  <si>
    <t>BroadlandV &amp; F Homes Limited</t>
  </si>
  <si>
    <t>BromleyBromley and Croydon Women's Aid Limited</t>
  </si>
  <si>
    <t>BromleyBromley and Sheppard's Colleges Charity</t>
  </si>
  <si>
    <t>BromleyCromwood Housing Ltd</t>
  </si>
  <si>
    <t>BromleyGolden Lane Housing Limited</t>
  </si>
  <si>
    <t>BromleyLegal &amp; General Affordable Homes (AR) LLP</t>
  </si>
  <si>
    <t>BromleyLegal &amp; General Affordable Homes Limited</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</si>
  <si>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</si>
  <si>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</si>
  <si>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</si>
  <si>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</si>
  <si>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</si>
  <si>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</si>
  <si>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</si>
  <si>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</si>
  <si>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</si>
  <si>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</si>
  <si>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</si>
  <si>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</si>
  <si>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</si>
  <si>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</si>
  <si>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</si>
  <si>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</si>
  <si>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Cannock ChaseGrevayne Social Housing Limited</t>
  </si>
  <si>
    <t>Cannock ChaseHomes Plus Limited</t>
  </si>
  <si>
    <t>CanterburyGolden Lane Housing Limited</t>
  </si>
  <si>
    <t>CanterburyThe Cooper and Adkinson Almshouse Charity</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</si>
  <si>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</si>
  <si>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</si>
  <si>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</si>
  <si>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</si>
  <si>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</si>
  <si>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BedfordshireOrbit Group Limited</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</si>
  <si>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</si>
  <si>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</si>
  <si>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</si>
  <si>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</si>
  <si>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</si>
  <si>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</si>
  <si>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</si>
  <si>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</si>
  <si>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</si>
  <si>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</si>
  <si>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</si>
  <si>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</si>
  <si>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</si>
  <si>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</si>
  <si>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</si>
  <si>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</si>
  <si>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</si>
  <si>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</si>
  <si>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</si>
  <si>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</si>
  <si>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</si>
  <si>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</si>
  <si>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ChesterfieldEmpower Housing Association Limited</t>
  </si>
  <si>
    <t>ChesterfieldFramework Housing Association</t>
  </si>
  <si>
    <t>ChesterfieldGolden Lane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</si>
  <si>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</si>
  <si>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</si>
  <si>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</si>
  <si>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</si>
  <si>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</si>
  <si>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</si>
  <si>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ChorleyFrances Darlington Charity</t>
  </si>
  <si>
    <t>ChorleyOne Vision Housing Limited</t>
  </si>
  <si>
    <t>ChorleyOnward Homes Limited</t>
  </si>
  <si>
    <t>ColchesterArpeggio Properties Limited</t>
  </si>
  <si>
    <t>ColchesterGolden Lane Housing Limited</t>
  </si>
  <si>
    <t>ColchesterLegal &amp; General Affordable Homes Limited</t>
  </si>
  <si>
    <t>ColchesterPeabody Trust</t>
  </si>
  <si>
    <t>CornwallGolden Lane Housing Limited</t>
  </si>
  <si>
    <t>CornwallHilldale Housing Association Limited</t>
  </si>
  <si>
    <t>CornwallLegal &amp; General Affordable Homes (AR) LLP</t>
  </si>
  <si>
    <t>CotswoldGreenSquareAccord Limited</t>
  </si>
  <si>
    <t>County DurhamGolden Lane Housing Limited</t>
  </si>
  <si>
    <t>CoventryGolden Lane Housing Limited</t>
  </si>
  <si>
    <t>CoventryGreenSquareAccord Limited</t>
  </si>
  <si>
    <t>CoventryHeart of England Young Men's Christian Association</t>
  </si>
  <si>
    <t>CoventryThe Exaireo Trust Ltd</t>
  </si>
  <si>
    <t>CrawleyCrawley Open House</t>
  </si>
  <si>
    <t>CroydonAsh-Shahada Housing Association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</si>
  <si>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</si>
  <si>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</si>
  <si>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</si>
  <si>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</si>
  <si>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</si>
  <si>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</si>
  <si>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</si>
  <si>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</si>
  <si>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</si>
  <si>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</si>
  <si>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</si>
  <si>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DarlingtonThe Abbeyfield (Darlington) Society Limited</t>
  </si>
  <si>
    <t>DartfordAnchor Hanover Group</t>
  </si>
  <si>
    <t>DartfordGolden Lane Housing Limited</t>
  </si>
  <si>
    <t>DerbyGolden Lane Housing Limited</t>
  </si>
  <si>
    <t>Derbyshire DalesGolden Lane Housing Limited</t>
  </si>
  <si>
    <t>Derbyshire DalesThe Richmond Fellowship</t>
  </si>
  <si>
    <t>DoncasterGolden Lane Housing Limited</t>
  </si>
  <si>
    <t>DoncasterLegal &amp; General Affordable Homes (AR) LLP</t>
  </si>
  <si>
    <t>DoncasterPlaces for People Living+ Limited</t>
  </si>
  <si>
    <t>DorsetAbri Group Limited</t>
  </si>
  <si>
    <t>DorsetDimensions (UK) Limited</t>
  </si>
  <si>
    <t>DorsetGolden Lane Housing Limited</t>
  </si>
  <si>
    <t>DorsetSage Rented Limited</t>
  </si>
  <si>
    <t>DoverGolden Lane Housing Limited</t>
  </si>
  <si>
    <t>DoverHeylo Housing Registered Provider Limited</t>
  </si>
  <si>
    <t>DoverInclusion Housing Community Interest Company</t>
  </si>
  <si>
    <t>DudleyGolden Lane Housing Limited</t>
  </si>
  <si>
    <t>DudleyGreenSquareAccord Limited</t>
  </si>
  <si>
    <t>DudleyHomes Plus Limited</t>
  </si>
  <si>
    <t>DudleyTrident Housing Association Limited</t>
  </si>
  <si>
    <t>EalingAWOL London Limited</t>
  </si>
  <si>
    <t>EalingBroadway Living RP Limited</t>
  </si>
  <si>
    <t>EalingDholak Partnership Homes Limited</t>
  </si>
  <si>
    <t>EalingGolden Lane Housing Limited</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</si>
  <si>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</si>
  <si>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</si>
  <si>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</si>
  <si>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</si>
  <si>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</si>
  <si>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</si>
  <si>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</si>
  <si>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</si>
  <si>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</si>
  <si>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</si>
  <si>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</si>
  <si>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YorkshireSage Rented Limited</t>
  </si>
  <si>
    <t>East Riding of YorkshireThirteen Housing Group Limited</t>
  </si>
  <si>
    <t>East Riding of YorkshireYMCA Robin Hood Group</t>
  </si>
  <si>
    <t>East StaffordshireSage Rented Limited</t>
  </si>
  <si>
    <t>East SuffolkGolden Lane Housing Limited</t>
  </si>
  <si>
    <t>EastbourneGolden Lane Housing Limited</t>
  </si>
  <si>
    <t>EastleighAbri Group Limited</t>
  </si>
  <si>
    <t>EastleighGolden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</si>
  <si>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</si>
  <si>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</si>
  <si>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</si>
  <si>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</si>
  <si>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</si>
  <si>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</si>
  <si>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</si>
  <si>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</si>
  <si>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</si>
  <si>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</si>
  <si>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</si>
  <si>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</si>
  <si>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</si>
  <si>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</si>
  <si>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</si>
  <si>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</si>
  <si>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</si>
  <si>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</si>
  <si>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</si>
  <si>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</si>
  <si>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</si>
  <si>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</si>
  <si>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</si>
  <si>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</si>
  <si>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</si>
  <si>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</si>
  <si>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GloucesterGolden Lane Housing Limited</t>
  </si>
  <si>
    <t>GloucesterGreenSquareAccord Limited</t>
  </si>
  <si>
    <t>GosportAbri Group Limited</t>
  </si>
  <si>
    <t>GosportInclusion Housing Community Interest Company</t>
  </si>
  <si>
    <t>GraveshamGolden Lane Housing Limited</t>
  </si>
  <si>
    <t>GraveshamHome Group Limited</t>
  </si>
  <si>
    <t>GraveshamSage Rented Limited</t>
  </si>
  <si>
    <t>Great YarmouthGolden Lane Housing Limited</t>
  </si>
  <si>
    <t>GreenwichGolden Lane Housing Limited</t>
  </si>
  <si>
    <t>GreenwichInclusion Housing Community Interest Company</t>
  </si>
  <si>
    <t>GuildfordAbri Group Limited</t>
  </si>
  <si>
    <t>GuildfordOmega Housing Limited</t>
  </si>
  <si>
    <t>GuildfordThe Hospital of William Parson</t>
  </si>
  <si>
    <t>HackneyOak Housing Limited</t>
  </si>
  <si>
    <t>HackneyPoplar Housing And Regeneration Community Association Limited</t>
  </si>
  <si>
    <t>HaltonGolden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</si>
  <si>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</si>
  <si>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</si>
  <si>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</si>
  <si>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</si>
  <si>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</si>
  <si>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HaringeyTBG Open Door Limited</t>
  </si>
  <si>
    <t>HarlowLegal &amp; General Affordable Homes (AR) LLP</t>
  </si>
  <si>
    <t>HarlowOrbit Group Limited</t>
  </si>
  <si>
    <t>HarlowPeabody Trust</t>
  </si>
  <si>
    <t>HarrowSage Rented Limited</t>
  </si>
  <si>
    <t>HartAbri Group Limited</t>
  </si>
  <si>
    <t>HartlepoolVictoria Homes</t>
  </si>
  <si>
    <t>HastingsBHT Sussex</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</si>
  <si>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</si>
  <si>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</si>
  <si>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</si>
  <si>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</si>
  <si>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</si>
  <si>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</si>
  <si>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</si>
  <si>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PeakOnward Homes Limited</t>
  </si>
  <si>
    <t>HillingdonGolden Lane Housing Limited</t>
  </si>
  <si>
    <t>HillingdonOak Housing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</si>
  <si>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</si>
  <si>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</si>
  <si>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</si>
  <si>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</si>
  <si>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</si>
  <si>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</si>
  <si>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</si>
  <si>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</si>
  <si>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</si>
  <si>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HuntingdonshireGolden Lane Housing Limited</t>
  </si>
  <si>
    <t>HuntingdonshireInclusion Housing Community Interest Company</t>
  </si>
  <si>
    <t>HuntingdonshirePlatform Housing Limited</t>
  </si>
  <si>
    <t>HyndburnSage Rented Limited</t>
  </si>
  <si>
    <t>IslingtonFinsbury Park Housing Co-operative Limited</t>
  </si>
  <si>
    <t>Kingston upon ThamesGolden Lane Housing Limited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</si>
  <si>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</si>
  <si>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</si>
  <si>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</si>
  <si>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</si>
  <si>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</si>
  <si>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</si>
  <si>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</si>
  <si>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</si>
  <si>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</si>
  <si>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</si>
  <si>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</si>
  <si>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</si>
  <si>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</si>
  <si>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</si>
  <si>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</si>
  <si>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</si>
  <si>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</si>
  <si>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</si>
  <si>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</si>
  <si>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</si>
  <si>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</si>
  <si>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LewishamPinnacle Spaces Limited</t>
  </si>
  <si>
    <t>LichfieldGreenSquareAccord Limited</t>
  </si>
  <si>
    <t>LincolnGolden Lane Housing Limited</t>
  </si>
  <si>
    <t>LincolnOngo Homes Limited</t>
  </si>
  <si>
    <t>LiverpoolGolden Lane Housing Limited</t>
  </si>
  <si>
    <t>LiverpoolPrima Housing Group Limited</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</si>
  <si>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</si>
  <si>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</si>
  <si>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</si>
  <si>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</si>
  <si>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</si>
  <si>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</si>
  <si>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MaldonLegal &amp; General Affordable Homes (AR) LLP</t>
  </si>
  <si>
    <t>MaldonReside Housing Association Limited</t>
  </si>
  <si>
    <t>Malvern HillsGolden Lane Housing Limited</t>
  </si>
  <si>
    <t>ManchesterGolden Lane Housing Limited</t>
  </si>
  <si>
    <t>ManchesterOnward Homes Limited</t>
  </si>
  <si>
    <t>MansfieldGolden Lane Housing Limited</t>
  </si>
  <si>
    <t>MansfieldThe Exaireo Trust Ltd</t>
  </si>
  <si>
    <t>MansfieldYMCA Robin Hood Group</t>
  </si>
  <si>
    <t>MedwayHeart of Medway Housing Association Limited</t>
  </si>
  <si>
    <t>MeltonGolden Lane Housing Limited</t>
  </si>
  <si>
    <t>Mid DevonAbri Group Limited</t>
  </si>
  <si>
    <t>Mid SuffolkEastlight Community Homes Limited</t>
  </si>
  <si>
    <t>Mid SuffolkGolden Lane Housing Limited</t>
  </si>
  <si>
    <t>Mid SuffolkLegal &amp; General Affordable Homes Limited</t>
  </si>
  <si>
    <t>Mid SuffolkSage Rented Limited</t>
  </si>
  <si>
    <t>Mid SuffolkV &amp; F Homes Limited</t>
  </si>
  <si>
    <t>Mid SussexAbri Group Limited</t>
  </si>
  <si>
    <t>Mid SussexBHT Sussex</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</si>
  <si>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</si>
  <si>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</si>
  <si>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</si>
  <si>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</si>
  <si>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</si>
  <si>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</si>
  <si>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</si>
  <si>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Milton KeynesGolden Lane Housing Limited</t>
  </si>
  <si>
    <t>Milton KeynesLegal &amp; General Affordable Homes (AR) LLP</t>
  </si>
  <si>
    <t>Milton KeynesLegal &amp; General Affordable Homes Limited</t>
  </si>
  <si>
    <t>Milton KeynesSage Rented Limited</t>
  </si>
  <si>
    <t>New ForestAbri Group Limited</t>
  </si>
  <si>
    <t>New ForestGolden Lane Housing Limited</t>
  </si>
  <si>
    <t>Newark and SherwoodGolden Lane Housing Limited</t>
  </si>
  <si>
    <t>Newcastle upon TyneNorth East Housing Association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</si>
  <si>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</si>
  <si>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</si>
  <si>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</si>
  <si>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</si>
  <si>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</si>
  <si>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</si>
  <si>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</si>
  <si>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</si>
  <si>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</si>
  <si>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East DerbyshireFramework Housing Association</t>
  </si>
  <si>
    <t>North East DerbyshireGolden Lane Housing Limited</t>
  </si>
  <si>
    <t>North East LincolnshireBespoke Supportive Tenancies Ltd</t>
  </si>
  <si>
    <t>North East LincolnshireGolden Lane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</si>
  <si>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</si>
  <si>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</si>
  <si>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</si>
  <si>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</si>
  <si>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</si>
  <si>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</si>
  <si>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</si>
  <si>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</si>
  <si>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NorthamptonshireChrysalis Supported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</si>
  <si>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</si>
  <si>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</si>
  <si>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</si>
  <si>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</si>
  <si>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</si>
  <si>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</si>
  <si>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</si>
  <si>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</si>
  <si>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</si>
  <si>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</si>
  <si>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</si>
  <si>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</si>
  <si>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</si>
  <si>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</si>
  <si>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</si>
  <si>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</si>
  <si>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</si>
  <si>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</si>
  <si>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</si>
  <si>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</si>
  <si>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</si>
  <si>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</si>
  <si>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</si>
  <si>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</si>
  <si>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</si>
  <si>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</si>
  <si>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</si>
  <si>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</si>
  <si>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</si>
  <si>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</si>
  <si>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</si>
  <si>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NorthamptonshireSanctuary Housing Association</t>
  </si>
  <si>
    <t>North NorthamptonshireStonewater (5) Limited</t>
  </si>
  <si>
    <t>North NorthamptonshireStonewater Limited</t>
  </si>
  <si>
    <t>North NorthamptonshireThe Abbeyfield Society</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</si>
  <si>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</si>
  <si>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</si>
  <si>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</si>
  <si>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</si>
  <si>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</si>
  <si>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</si>
  <si>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</si>
  <si>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</si>
  <si>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</si>
  <si>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</si>
  <si>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</si>
  <si>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</si>
  <si>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</si>
  <si>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</si>
  <si>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</si>
  <si>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</si>
  <si>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</si>
  <si>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</si>
  <si>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</si>
  <si>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</si>
  <si>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</si>
  <si>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</si>
  <si>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</si>
  <si>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</si>
  <si>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</si>
  <si>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</si>
  <si>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</si>
  <si>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</si>
  <si>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</si>
  <si>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</si>
  <si>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</si>
  <si>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</si>
  <si>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</si>
  <si>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PeterboroughGolden Lane Housing Limited</t>
  </si>
  <si>
    <t>PeterboroughSage Rented Limited</t>
  </si>
  <si>
    <t>PeterboroughTBG Open Door Limited</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</si>
  <si>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</si>
  <si>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</si>
  <si>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</si>
  <si>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</si>
  <si>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</si>
  <si>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</si>
  <si>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</si>
  <si>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</si>
  <si>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</si>
  <si>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RedbridgeGolden Lane Housing Limited</t>
  </si>
  <si>
    <t>Redcar and ClevelandGolden Lane Housing Limited</t>
  </si>
  <si>
    <t>RedditchGreenSquareAccord Limited</t>
  </si>
  <si>
    <t>RedditchNew Outlook Housing Association Limited</t>
  </si>
  <si>
    <t>Reigate and BansteadGolden Lane Housing Limited</t>
  </si>
  <si>
    <t>Reigate and BansteadInclusion Housing Community Interest Company</t>
  </si>
  <si>
    <t>Ribble ValleyGolden Lane Housing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</si>
  <si>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</si>
  <si>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</si>
  <si>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</si>
  <si>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</si>
  <si>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</si>
  <si>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</si>
  <si>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</si>
  <si>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</si>
  <si>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</si>
  <si>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</si>
  <si>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</si>
  <si>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</si>
  <si>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</si>
  <si>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</si>
  <si>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</si>
  <si>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RushcliffeEmpower Housing Association Limited</t>
  </si>
  <si>
    <t>RushcliffeGolden Lane Housing Limited</t>
  </si>
  <si>
    <t>RushcliffeLegal &amp; General Affordable Homes Limited</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</si>
  <si>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</si>
  <si>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</si>
  <si>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</si>
  <si>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</si>
  <si>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</si>
  <si>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</si>
  <si>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</si>
  <si>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</si>
  <si>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SeftonGolden Lane Housing Limited</t>
  </si>
  <si>
    <t>SeftonPrima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</si>
  <si>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</si>
  <si>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</si>
  <si>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</si>
  <si>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</si>
  <si>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</si>
  <si>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</si>
  <si>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</si>
  <si>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</si>
  <si>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</si>
  <si>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</si>
  <si>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</si>
  <si>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</si>
  <si>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</si>
  <si>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</si>
  <si>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South CambridgeshireSettle Group</t>
  </si>
  <si>
    <t>South GloucestershireGolden Lane Housing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</si>
  <si>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</si>
  <si>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</si>
  <si>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</si>
  <si>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</si>
  <si>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</si>
  <si>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</si>
  <si>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</si>
  <si>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</si>
  <si>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OxfordshireFairhive Homes Limited</t>
  </si>
  <si>
    <t>South OxfordshireGolden Lane Housing Limited</t>
  </si>
  <si>
    <t>South OxfordshireGreenSquareAccord Limited</t>
  </si>
  <si>
    <t>South OxfordshireInclusion Housing Community Interest Company</t>
  </si>
  <si>
    <t>South RibbleOnward Homes Limited</t>
  </si>
  <si>
    <t>South StaffordshireGreenSquareAccord Limited</t>
  </si>
  <si>
    <t>South StaffordshireHeylo Housing Registered Provider Limited</t>
  </si>
  <si>
    <t>South StaffordshireHomes Plus Limited</t>
  </si>
  <si>
    <t>South StaffordshireSage Rented Limited</t>
  </si>
  <si>
    <t>South TynesideGolden Lane Housing Limited</t>
  </si>
  <si>
    <t>South TynesideHalo Housing Association Limited</t>
  </si>
  <si>
    <t>SouthamptonAbri Group Limited</t>
  </si>
  <si>
    <t>SouthamptonGolden Lane Housing Limited</t>
  </si>
  <si>
    <t>Southend-on-SeaGolden Lane Housing Limited</t>
  </si>
  <si>
    <t>Southend-on-SeaInclusion Housing Community Interest Company</t>
  </si>
  <si>
    <t>Southend-on-SeaLegal &amp; General Affordable Homes Limited</t>
  </si>
  <si>
    <t>Southend-on-SeaOrbit Group Limited</t>
  </si>
  <si>
    <t>Southend-on-SeaPeabody Trust</t>
  </si>
  <si>
    <t>SouthwarkGolden Lane Housing Limited</t>
  </si>
  <si>
    <t>SouthwarkOmega Housing Limited</t>
  </si>
  <si>
    <t>SpelthorneClarion Housing Association Limited</t>
  </si>
  <si>
    <t>SpelthorneGolden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</si>
  <si>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</si>
  <si>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</si>
  <si>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</si>
  <si>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</si>
  <si>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</si>
  <si>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</si>
  <si>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</si>
  <si>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</si>
  <si>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</si>
  <si>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</si>
  <si>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</si>
  <si>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</si>
  <si>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</si>
  <si>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</si>
  <si>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</si>
  <si>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</si>
  <si>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Stratford-on-AvonHousing 21</t>
  </si>
  <si>
    <t>Stratford-on-AvonInclusion Housing Community Interest Company</t>
  </si>
  <si>
    <t>StroudGeorge Jones Charity</t>
  </si>
  <si>
    <t>StroudGreenSquareAccord Limited</t>
  </si>
  <si>
    <t>StroudSage Rented Limited</t>
  </si>
  <si>
    <t>StroudSunny Vale Supported Accommodation Limited</t>
  </si>
  <si>
    <t>SunderlandGolden Lane Housing Limited</t>
  </si>
  <si>
    <t>Surrey HeathHeylo Housing Registered Provider Limited</t>
  </si>
  <si>
    <t>SuttonCromwood Housing Ltd</t>
  </si>
  <si>
    <t>SuttonGolden Lane Housing Limited</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</si>
  <si>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</si>
  <si>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</si>
  <si>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</si>
  <si>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</si>
  <si>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</si>
  <si>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</si>
  <si>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</si>
  <si>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</si>
  <si>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TandridgeStonewater Limited</t>
  </si>
  <si>
    <t>TeignbridgeGolden Lane Housing Limited</t>
  </si>
  <si>
    <t>TeignbridgeThe Feoffees of the Parish Lands of Highweek</t>
  </si>
  <si>
    <t>Telford and WrekinBoughey Roddam Housing Association</t>
  </si>
  <si>
    <t>Telford and WrekinConnexus Homes Limited</t>
  </si>
  <si>
    <t>Telford and WrekinGolden Lane Housing Limited</t>
  </si>
  <si>
    <t>Telford and WrekinGreenSquareAccord Limited</t>
  </si>
  <si>
    <t>Telford and WrekinHomes Plus Limited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</si>
  <si>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</si>
  <si>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</si>
  <si>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</si>
  <si>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</si>
  <si>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</si>
  <si>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</si>
  <si>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</si>
  <si>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</si>
  <si>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</si>
  <si>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</si>
  <si>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</si>
  <si>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</si>
  <si>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</si>
  <si>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</si>
  <si>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</si>
  <si>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</si>
  <si>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</si>
  <si>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</si>
  <si>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</si>
  <si>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</si>
  <si>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</si>
  <si>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</si>
  <si>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</si>
  <si>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TorridgeWoolfardisworthy Sports and Community Hall</t>
  </si>
  <si>
    <t>Tower HamletsHeylo Housing Registered Provider Limited</t>
  </si>
  <si>
    <t>Tower HamletsLegal &amp; General Affordable Homes Limited</t>
  </si>
  <si>
    <t>Tower HamletsSeymour Housing Co-operative Limited</t>
  </si>
  <si>
    <t>Tower HamletsTBG Open Door Limited</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</si>
  <si>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</si>
  <si>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</si>
  <si>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</si>
  <si>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</si>
  <si>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</si>
  <si>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</si>
  <si>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</si>
  <si>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</si>
  <si>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</si>
  <si>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</si>
  <si>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</si>
  <si>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</si>
  <si>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</si>
  <si>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</si>
  <si>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</si>
  <si>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</si>
  <si>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</si>
  <si>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</si>
  <si>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Waltham ForestBangla Housing Association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</si>
  <si>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</si>
  <si>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</si>
  <si>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</si>
  <si>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</si>
  <si>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</si>
  <si>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</si>
  <si>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</si>
  <si>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</si>
  <si>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</si>
  <si>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</si>
  <si>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</si>
  <si>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WatfordArpeggio Properties Limited</t>
  </si>
  <si>
    <t>WatfordLegal &amp; General Affordable Homes Limited</t>
  </si>
  <si>
    <t>WatfordSettle Group</t>
  </si>
  <si>
    <t>WaverleyAster Communities</t>
  </si>
  <si>
    <t>WaverleyGolden Lane Housing Limited</t>
  </si>
  <si>
    <t>WaverleySouthern Home Ownership Limited</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</si>
  <si>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</si>
  <si>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</si>
  <si>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</si>
  <si>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</si>
  <si>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</si>
  <si>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</si>
  <si>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</si>
  <si>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</si>
  <si>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</si>
  <si>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</si>
  <si>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</si>
  <si>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</si>
  <si>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</si>
  <si>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</si>
  <si>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</si>
  <si>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</si>
  <si>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</si>
  <si>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NorthamptonshireClarion Housing Association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</si>
  <si>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</si>
  <si>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</si>
  <si>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</si>
  <si>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</si>
  <si>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</si>
  <si>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</si>
  <si>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</si>
  <si>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</si>
  <si>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</si>
  <si>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</si>
  <si>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</si>
  <si>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</si>
  <si>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</si>
  <si>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</si>
  <si>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</si>
  <si>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</si>
  <si>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</si>
  <si>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</si>
  <si>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</si>
  <si>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</si>
  <si>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</si>
  <si>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</si>
  <si>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</si>
  <si>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</si>
  <si>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</si>
  <si>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</si>
  <si>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Rented Limited</t>
  </si>
  <si>
    <t>West NorthamptonshireSanctuary Housing Association</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</si>
  <si>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</si>
  <si>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</si>
  <si>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</si>
  <si>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</si>
  <si>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</si>
  <si>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</si>
  <si>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</si>
  <si>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</si>
  <si>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</si>
  <si>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West SuffolkBrandon Poor's Estate</t>
  </si>
  <si>
    <t>West SuffolkGolden Lane Housing Limited</t>
  </si>
  <si>
    <t>West SuffolkInclusion Housing Community Interest Company</t>
  </si>
  <si>
    <t>West SuffolkLegal &amp; General Affordable Homes (AR) LLP</t>
  </si>
  <si>
    <t>WestminsterSeymour Housing Co-operative Limited</t>
  </si>
  <si>
    <t>WiganLegal &amp; General Affordable Homes (AR) LLP</t>
  </si>
  <si>
    <t>WiganPlaces for People Living+ Limited</t>
  </si>
  <si>
    <t>WiltshireAbri Group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</si>
  <si>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</si>
  <si>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</si>
  <si>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</si>
  <si>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</si>
  <si>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</si>
  <si>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</si>
  <si>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</si>
  <si>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Windsor and MaidenheadAbri Group Limited</t>
  </si>
  <si>
    <t>Windsor and MaidenheadJoseph Chariott's Charity</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</si>
  <si>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</si>
  <si>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</si>
  <si>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</si>
  <si>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</si>
  <si>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</si>
  <si>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</si>
  <si>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</si>
  <si>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</si>
  <si>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</si>
  <si>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</si>
  <si>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</si>
  <si>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</si>
  <si>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</si>
  <si>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</si>
  <si>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</si>
  <si>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</si>
  <si>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</si>
  <si>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</si>
  <si>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</si>
  <si>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</si>
  <si>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YorkGolden Lane Housing Limited</t>
  </si>
  <si>
    <t>EnglandYorkshire and the Humber</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</si>
  <si>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</si>
  <si>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</si>
  <si>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</si>
  <si>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</si>
  <si>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</si>
  <si>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</si>
  <si>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</si>
  <si>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</si>
  <si>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</si>
  <si>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</si>
  <si>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</si>
  <si>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</si>
  <si>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</si>
  <si>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</si>
  <si>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</si>
  <si>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</si>
  <si>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</si>
  <si>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</si>
  <si>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</si>
  <si>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</si>
  <si>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</si>
  <si>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</si>
  <si>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</si>
  <si>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</si>
  <si>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</si>
  <si>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</si>
  <si>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</si>
  <si>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</si>
  <si>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</si>
  <si>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</si>
  <si>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</si>
  <si>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</si>
  <si>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</si>
  <si>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</si>
  <si>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</si>
  <si>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</si>
  <si>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</si>
  <si>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</si>
  <si>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</si>
  <si>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Limited</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</si>
  <si>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</si>
  <si>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</si>
  <si>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</si>
  <si>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</si>
  <si>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</si>
  <si>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</si>
  <si>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</si>
  <si>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</si>
  <si>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</si>
  <si>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</si>
  <si>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</si>
  <si>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</si>
  <si>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</si>
  <si>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</si>
  <si>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</si>
  <si>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</si>
  <si>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</si>
  <si>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</si>
  <si>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</si>
  <si>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</si>
  <si>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</si>
  <si>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</si>
  <si>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</si>
  <si>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</si>
  <si>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</si>
  <si>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</si>
  <si>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</si>
  <si>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</si>
  <si>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</si>
  <si>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</si>
  <si>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</si>
  <si>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</si>
  <si>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</si>
  <si>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</si>
  <si>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</si>
  <si>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</si>
  <si>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</si>
  <si>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</si>
  <si>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</si>
  <si>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</si>
  <si>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</si>
  <si>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</si>
  <si>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</si>
  <si>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</si>
  <si>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</si>
  <si>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</si>
  <si>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</si>
  <si>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</si>
  <si>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</si>
  <si>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</si>
  <si>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</si>
  <si>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</si>
  <si>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</si>
  <si>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</si>
  <si>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</si>
  <si>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</si>
  <si>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</si>
  <si>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</si>
  <si>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</si>
  <si>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</si>
  <si>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</si>
  <si>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Supported housing/housing for older people (social rent) - rents and unit counts by unit size</t>
  </si>
  <si>
    <t>% of units vacant and available for letting</t>
  </si>
  <si>
    <t>% of units vacant not available for letting</t>
  </si>
  <si>
    <t xml:space="preserve">Owned stock.  Large PRPs only - unweighted. Excludes Affordable Rent and intermediate rent, but includes other units with an exception under the Rent Policy Statement. Stock outside England is excluded.  </t>
  </si>
  <si>
    <t>Voluntary Right to Buy</t>
  </si>
  <si>
    <t>Right to Acquire</t>
  </si>
  <si>
    <t>Other sales to tenants</t>
  </si>
  <si>
    <t>Right to Buy*</t>
  </si>
  <si>
    <t>Sales by large PRPs - Right to Buy*</t>
  </si>
  <si>
    <t>Sales by large PRPs - Voluntary Right to Buy</t>
  </si>
  <si>
    <t>Sales by large PRPs - Right to Acquire</t>
  </si>
  <si>
    <t>Sales by large PRPs - Other sales to tenants</t>
  </si>
  <si>
    <t>*Includes Preserved Right to Buy but excludes Voluntary Right to Buy.</t>
  </si>
  <si>
    <t>Encircle Housing</t>
  </si>
  <si>
    <t>Purlin Housing Co-operative Limited</t>
  </si>
  <si>
    <t>Sloswicke's Almshouse Charity</t>
  </si>
  <si>
    <t>Southern Housing</t>
  </si>
  <si>
    <t>St Leonard's Hospital</t>
  </si>
  <si>
    <t>Sutton Bonington and Normanton Social Service  Association Limited</t>
  </si>
  <si>
    <t>The Charity of Hannah Clarke for Almshouses</t>
  </si>
  <si>
    <t>The ExtraCare Charitable Trust</t>
  </si>
  <si>
    <t>The Hospital of St John the Evangelist and of St Anne in Okeham</t>
  </si>
  <si>
    <t>YMCA Leicestershire</t>
  </si>
  <si>
    <t>Charity of William Brereton for the Poor</t>
  </si>
  <si>
    <t>Keystage C.I.C</t>
  </si>
  <si>
    <t>Newarch Homes Limited</t>
  </si>
  <si>
    <t>Toddington United Almshouse Charities</t>
  </si>
  <si>
    <t>Brockley Tenants Co-operative Limited</t>
  </si>
  <si>
    <t>Deptford Housing Co-operative Limited</t>
  </si>
  <si>
    <t>Greenhill Housing Association</t>
  </si>
  <si>
    <t>Isleworth &amp; Hounslow Charity Limited</t>
  </si>
  <si>
    <t>Lambeth and Southwark Housing Association Limited</t>
  </si>
  <si>
    <t>Lammerton Housing Co-operative Limited</t>
  </si>
  <si>
    <t>Metropolitan Benefit Societies' Almshouses</t>
  </si>
  <si>
    <t>Pinnacle Affordable Homes Ltd</t>
  </si>
  <si>
    <t>Tally-Ho Housing Co-operative Limited</t>
  </si>
  <si>
    <t>The Abbeyfield (Streatham) Society Limited</t>
  </si>
  <si>
    <t>Watmos Community Homes</t>
  </si>
  <si>
    <t>West London Mission Housing Association Limited</t>
  </si>
  <si>
    <t>Your Place (London) Limited</t>
  </si>
  <si>
    <t>Ben-Motor and Allied Trades Benevolent Fund</t>
  </si>
  <si>
    <t>Jane Cameron's Old People's Charity</t>
  </si>
  <si>
    <t>Sir E D Walker Trust</t>
  </si>
  <si>
    <t>The Tyne Mariners' Benevolent Institution</t>
  </si>
  <si>
    <t>Abbeyfield Ribble Valley Society Limited</t>
  </si>
  <si>
    <t>Co-operative Schemes for the Elderly Limited</t>
  </si>
  <si>
    <t>Corn and Yates Streets Housing Co-operative Limited</t>
  </si>
  <si>
    <t>Granville Community Homes Limited</t>
  </si>
  <si>
    <t>Holyland Housing Co-operative Limited</t>
  </si>
  <si>
    <t>Longdendale Housing Society Limited</t>
  </si>
  <si>
    <t>Prestwich and North Western Housing Association Limited</t>
  </si>
  <si>
    <t>Second Chance Housing Ltd</t>
  </si>
  <si>
    <t>Wythenshawe Community Housing Group Limited</t>
  </si>
  <si>
    <t>ZAH Housing Co-operative Limited</t>
  </si>
  <si>
    <t>Church of England Soldiers' Sailors' and Airmen's Housing Association Limited</t>
  </si>
  <si>
    <t>Elizabeth Huggins Cottages Charity</t>
  </si>
  <si>
    <t>Harman Atwood For Almshouses and Curates House</t>
  </si>
  <si>
    <t>Holy Trinity (Guildford) Housing Association Limited</t>
  </si>
  <si>
    <t>Littlehampton and Rustington Housing Society Limited</t>
  </si>
  <si>
    <t>Northborough Housing Co-operative Limited</t>
  </si>
  <si>
    <t>Peacehaven and Telscombe Housing Association Limited</t>
  </si>
  <si>
    <t>Puttenham and Wanborough Housing Society Limited</t>
  </si>
  <si>
    <t>Sussex Housing and Care</t>
  </si>
  <si>
    <t>The Abbeyfield Alresford and District Society Limited</t>
  </si>
  <si>
    <t>The Southlands Almshouse Charity</t>
  </si>
  <si>
    <t>Harc Housing Association Limited</t>
  </si>
  <si>
    <t>Marlborough and District Housing Association Limited</t>
  </si>
  <si>
    <t>The Almshouse of St John the Baptist and St John the Evangelist</t>
  </si>
  <si>
    <t>Willow Tree Housing Partnership Limited</t>
  </si>
  <si>
    <t>Woborn's Almshouse</t>
  </si>
  <si>
    <t>Churches Housing Assocation of Dudley and District Limited</t>
  </si>
  <si>
    <t>Clifton Parish Houses</t>
  </si>
  <si>
    <t>Nicholas Chamberlaine's Hospital &amp; Sermon</t>
  </si>
  <si>
    <t>Sage Homes RP Limited</t>
  </si>
  <si>
    <t>Storm Housing Group Limited</t>
  </si>
  <si>
    <t>The Abbeyfield Bishop's Castle and  District Society Limited</t>
  </si>
  <si>
    <t>54 North Homes Limited</t>
  </si>
  <si>
    <t>Forest Hill (Sheltered) Housing Limited</t>
  </si>
  <si>
    <t>Grimsby Cleethorpes and Humber Region Y.M.C.A.</t>
  </si>
  <si>
    <t>Hunslet Housing Co-operative Limited</t>
  </si>
  <si>
    <t>The Abbeyfield (Ripon and District) Society Limited</t>
  </si>
  <si>
    <t>Winner Trading Ltd</t>
  </si>
  <si>
    <t>Bournemouth Christchurch and Poole</t>
  </si>
  <si>
    <t>H3148</t>
  </si>
  <si>
    <t>Abbeyfield Deben Extra Care Society Limited</t>
  </si>
  <si>
    <t>H3403</t>
  </si>
  <si>
    <t>Abbeyfield North Northumberland Extra Care Society Limited</t>
  </si>
  <si>
    <t>4664</t>
  </si>
  <si>
    <t>Aves Housing</t>
  </si>
  <si>
    <t>LH1028</t>
  </si>
  <si>
    <t>Bath Centre for Voluntary Service Homes</t>
  </si>
  <si>
    <t>Bexley Community Housing Association Limited</t>
  </si>
  <si>
    <t>C2430</t>
  </si>
  <si>
    <t>5166</t>
  </si>
  <si>
    <t>A0831</t>
  </si>
  <si>
    <t>5168</t>
  </si>
  <si>
    <t>A3033</t>
  </si>
  <si>
    <t>C2300</t>
  </si>
  <si>
    <t>5176</t>
  </si>
  <si>
    <t>Derive RP Limited</t>
  </si>
  <si>
    <t>A3205</t>
  </si>
  <si>
    <t>5170</t>
  </si>
  <si>
    <t>5163</t>
  </si>
  <si>
    <t>Halesworth Limited</t>
  </si>
  <si>
    <t>A2323</t>
  </si>
  <si>
    <t>C2586</t>
  </si>
  <si>
    <t>C3690</t>
  </si>
  <si>
    <t>4734</t>
  </si>
  <si>
    <t>Life 2009</t>
  </si>
  <si>
    <t>L1710</t>
  </si>
  <si>
    <t>A3634</t>
  </si>
  <si>
    <t>5172</t>
  </si>
  <si>
    <t>Municipal Charities of Stratford Upon Avon</t>
  </si>
  <si>
    <t>National Council of Young Men’s Christian Associations (Incorporated)</t>
  </si>
  <si>
    <t>C2850</t>
  </si>
  <si>
    <t>5169</t>
  </si>
  <si>
    <t>Perran Housing LLP</t>
  </si>
  <si>
    <t>C3530</t>
  </si>
  <si>
    <t>4721</t>
  </si>
  <si>
    <t>Simply Affordable Homes RP Limited</t>
  </si>
  <si>
    <t>A2547</t>
  </si>
  <si>
    <t>5171</t>
  </si>
  <si>
    <t>5162</t>
  </si>
  <si>
    <t>Square Roots Registered Provider Limited</t>
  </si>
  <si>
    <t>5175</t>
  </si>
  <si>
    <t>St Mary Magdalen's Hospital Almshouse Charity</t>
  </si>
  <si>
    <t>5160</t>
  </si>
  <si>
    <t>5161</t>
  </si>
  <si>
    <t>T3 Residential Limited</t>
  </si>
  <si>
    <t>C2181</t>
  </si>
  <si>
    <t>5173</t>
  </si>
  <si>
    <t>Thames Reach Housing</t>
  </si>
  <si>
    <t>H3480</t>
  </si>
  <si>
    <t>A4012</t>
  </si>
  <si>
    <t>5165</t>
  </si>
  <si>
    <t>LH3373</t>
  </si>
  <si>
    <t>AdurSouthern Housing</t>
  </si>
  <si>
    <t>AdurVivid Housing Limited</t>
  </si>
  <si>
    <t>Amber ValleyPlaces for People Living+ Limited</t>
  </si>
  <si>
    <t>ArunAster Communities</t>
  </si>
  <si>
    <t>ArunFalcon Housing Association C.I.C</t>
  </si>
  <si>
    <t>ArunLittlehampton and Rustington Housing Society Limited</t>
  </si>
  <si>
    <t>ArunSouthern Housing</t>
  </si>
  <si>
    <t>ArunSovereign Housing Association Limited</t>
  </si>
  <si>
    <t>ArunTurning Point</t>
  </si>
  <si>
    <t>AshfordSouthern Housing</t>
  </si>
  <si>
    <t>AshfordYMCA Thames Gateway</t>
  </si>
  <si>
    <t>BaberghThe Field Lane Foundation</t>
  </si>
  <si>
    <t>Barking and DagenhamEncircle Housing</t>
  </si>
  <si>
    <t>Barking and DagenhamSouthern Housing</t>
  </si>
  <si>
    <t>BarnetEncircle Housing</t>
  </si>
  <si>
    <t>BarnetJoel Emanuel Trust</t>
  </si>
  <si>
    <t>BarnetSouthern Housing</t>
  </si>
  <si>
    <t>BarnetTally-Ho Housing Co-operative Limited</t>
  </si>
  <si>
    <t>Barnsley54 North Homes Limited</t>
  </si>
  <si>
    <t>BarnsleyAuxesia Homes Limited</t>
  </si>
  <si>
    <t>Basingstoke and DeaneJulian House</t>
  </si>
  <si>
    <t>Basingstoke and DeaneSouthern Housing</t>
  </si>
  <si>
    <t>Basingstoke and DeaneTwo Saints Limited</t>
  </si>
  <si>
    <t>BassetlawAuxesia Homes Limited</t>
  </si>
  <si>
    <t>BassetlawPlaces for People Living+ Limited</t>
  </si>
  <si>
    <t>BassetlawSloswicke's Almshouse Charity</t>
  </si>
  <si>
    <t>BassetlawStonewater Limited</t>
  </si>
  <si>
    <t>Bath and North East SomersetTown and Country Housing</t>
  </si>
  <si>
    <t>BedfordAuckland Home Solutions CIC</t>
  </si>
  <si>
    <t>BedfordFalcon Housing Association C.I.C</t>
  </si>
  <si>
    <t>BedfordHightown Housing Association Limited</t>
  </si>
  <si>
    <t>BedfordPark Properties Housing Association Ltd</t>
  </si>
  <si>
    <t>BedfordThe ExtraCare Charitable Trust</t>
  </si>
  <si>
    <t>BexleyPenge Churches Housing Association Limited</t>
  </si>
  <si>
    <t>BexleyShearwood Housing Co-operative Limited</t>
  </si>
  <si>
    <t>BexleySouthern Housing</t>
  </si>
  <si>
    <t>BirminghamAuckland Home Solutions CIC</t>
  </si>
  <si>
    <t>BirminghamEncircle Housing</t>
  </si>
  <si>
    <t>BirminghamFalcon Housing Association C.I.C</t>
  </si>
  <si>
    <t>BirminghamSouthern Housing</t>
  </si>
  <si>
    <t>BirminghamThe ExtraCare Charitable Trust</t>
  </si>
  <si>
    <t>BlabyHalo Housing Association Limited</t>
  </si>
  <si>
    <t>BlabyPlaces for People Living+ Limited</t>
  </si>
  <si>
    <t>Blackburn with DarwenHeylo Housing Registered Provider Limited</t>
  </si>
  <si>
    <t>Blackburn with DarwenLets for Life</t>
  </si>
  <si>
    <t>BlackpoolGranville Community Homes Limited</t>
  </si>
  <si>
    <t>BolsoverPlaces for People Homes Limited</t>
  </si>
  <si>
    <t>BolsoverPlatform Housing Limited</t>
  </si>
  <si>
    <t>BostonSt Leonard's Hospital</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</si>
  <si>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</si>
  <si>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</si>
  <si>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</si>
  <si>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</si>
  <si>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</si>
  <si>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</si>
  <si>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</si>
  <si>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</si>
  <si>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</si>
  <si>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</si>
  <si>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</si>
  <si>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</si>
  <si>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</si>
  <si>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</si>
  <si>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</si>
  <si>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</si>
  <si>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</si>
  <si>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</si>
  <si>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</si>
  <si>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</si>
  <si>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</si>
  <si>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</si>
  <si>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</si>
  <si>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</si>
  <si>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</si>
  <si>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</si>
  <si>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</si>
  <si>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</si>
  <si>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</si>
  <si>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</si>
  <si>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</si>
  <si>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</si>
  <si>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</si>
  <si>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</si>
  <si>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</si>
  <si>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</si>
  <si>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Bracknell ForestA2Dominion Housing Options Limited</t>
  </si>
  <si>
    <t>Bracknell ForestSouthern Housing</t>
  </si>
  <si>
    <t>BradfordAuckland Home Solutions CIC</t>
  </si>
  <si>
    <t>BradfordEncircle Housing</t>
  </si>
  <si>
    <t>BradfordThe Abbeyfield Society</t>
  </si>
  <si>
    <t>BraintreeAuckland Home Solutions CIC</t>
  </si>
  <si>
    <t>BraintreeLegal &amp; General Affordable Homes (AR) LLP</t>
  </si>
  <si>
    <t>BraintreePlaces for People Living+ Limited</t>
  </si>
  <si>
    <t>BrecklandPark Properties Housing Association Ltd</t>
  </si>
  <si>
    <t>BrecklandPlaces for People Homes Limited</t>
  </si>
  <si>
    <t>BrecklandPlaces for People Living+ Limited</t>
  </si>
  <si>
    <t>BrentAuckland Home Solutions CIC</t>
  </si>
  <si>
    <t>BrentPark Properties Housing Association Ltd</t>
  </si>
  <si>
    <t>BrentSouthern Housing</t>
  </si>
  <si>
    <t>BrentwoodYMCA Thames Gateway</t>
  </si>
  <si>
    <t>Brighton and HoveAuckland Home Solutions CIC</t>
  </si>
  <si>
    <t>Brighton and HoveFalcon Housing Association C.I.C</t>
  </si>
  <si>
    <t>Brighton and HoveLegal &amp; General Affordable Homes Limited</t>
  </si>
  <si>
    <t>Brighton and HoveSouthern Home Ownership Limited</t>
  </si>
  <si>
    <t>Brighton and HoveSouthern Housing</t>
  </si>
  <si>
    <t>Brighton and HoveSussex Housing and Care</t>
  </si>
  <si>
    <t>Bristol, City ofJulian House</t>
  </si>
  <si>
    <t>Bristol, City ofThe ExtraCare Charitable Trust</t>
  </si>
  <si>
    <t>BroadlandCharity of William Brereton for the Poor</t>
  </si>
  <si>
    <t>BroadlandEastlight Community Homes Limited</t>
  </si>
  <si>
    <t>BroadlandLegal &amp; General Affordable Homes (AR) LLP</t>
  </si>
  <si>
    <t>BroadlandPlaces for People Living+ Limited</t>
  </si>
  <si>
    <t>BromleyPinnacle Affordable Homes Ltd</t>
  </si>
  <si>
    <t>BromleySouthern Housing</t>
  </si>
  <si>
    <t>BromsgroveHalo Housing Association Limited</t>
  </si>
  <si>
    <t>BromsgroveSouthern Housing</t>
  </si>
  <si>
    <t>BroxbourneGrand Union Housing Group Limited</t>
  </si>
  <si>
    <t>BroxbourneSettle Group</t>
  </si>
  <si>
    <t>BroxbourneSouthern Housing</t>
  </si>
  <si>
    <t>BroxtowePlaces for People Living+ Limited</t>
  </si>
  <si>
    <t>BuckinghamshireA2Dominion Housing Options Limited</t>
  </si>
  <si>
    <t>BuckinghamshireGreenhill Housing Association</t>
  </si>
  <si>
    <t>BuckinghamshireSouthern Housing</t>
  </si>
  <si>
    <t>BuckinghamshireThe ExtraCare Charitable Trust</t>
  </si>
  <si>
    <t>BurnleyFalcon Housing Association C.I.C</t>
  </si>
  <si>
    <t>BurnleyHalo Housing Association Limited</t>
  </si>
  <si>
    <t>BuryBolton at Home Limited</t>
  </si>
  <si>
    <t>BuryCalico Homes Limited</t>
  </si>
  <si>
    <t>BuryEncircle Housing</t>
  </si>
  <si>
    <t>BuryPrestwich and North Western Housing Association Limited</t>
  </si>
  <si>
    <t>BuryReside Housing Association Limited</t>
  </si>
  <si>
    <t>CalderdaleAuxesia Homes Limited</t>
  </si>
  <si>
    <t>CalderdaleThe Abbeyfield Society</t>
  </si>
  <si>
    <t>CambridgeEmpower Housing Association Limited</t>
  </si>
  <si>
    <t>CambridgePlaces for People Living+ Limited</t>
  </si>
  <si>
    <t>CambridgeSanctuary Affordable Housing Limited</t>
  </si>
  <si>
    <t>CambridgeThe Mary Hatch Almshouses with Diamond Jubilee Cottages</t>
  </si>
  <si>
    <t>CamdenA2Dominion Housing Options Limited</t>
  </si>
  <si>
    <t>CamdenSouthern Housing</t>
  </si>
  <si>
    <t>Cannock ChaseOrbit Group Limited</t>
  </si>
  <si>
    <t>Cannock ChaseOrbit Housing Association Limited</t>
  </si>
  <si>
    <t>CanterburyFalcon Housing Association C.I.C</t>
  </si>
  <si>
    <t>CanterburySouthern Housing</t>
  </si>
  <si>
    <t>CanterburySwan Housing Association Limited</t>
  </si>
  <si>
    <t>Castle PointSouthern Housing</t>
  </si>
  <si>
    <t>Central BedfordshireTBG Open Door Limited</t>
  </si>
  <si>
    <t>Central BedfordshireToddington United Almshouse Charities</t>
  </si>
  <si>
    <t>CharnwoodEncircle Housing</t>
  </si>
  <si>
    <t>CharnwoodFalcon Housing Association C.I.C</t>
  </si>
  <si>
    <t>CharnwoodPlaces for People Living+ Limited</t>
  </si>
  <si>
    <t>CheltenhamAuckland Home Solutions CIC</t>
  </si>
  <si>
    <t>CheltenhamLangley House Trust</t>
  </si>
  <si>
    <t>Cheshire EastAuckland Home Solutions CIC</t>
  </si>
  <si>
    <t>Cheshire EastEncircle Housing</t>
  </si>
  <si>
    <t>Cheshire EastLondon &amp; Quadrant Housing Trust</t>
  </si>
  <si>
    <t>Cheshire EastPlatform Housing Limited</t>
  </si>
  <si>
    <t>Cheshire EastWythenshawe Community Housing Group Limited</t>
  </si>
  <si>
    <t>Cheshire West and ChesterEncircle Housing</t>
  </si>
  <si>
    <t>Cheshire West and ChesterLondon &amp; Quadrant Housing Trust</t>
  </si>
  <si>
    <t>ChesterfieldArches Housing Limited</t>
  </si>
  <si>
    <t>ChesterfieldFalcon Housing Association C.I.C</t>
  </si>
  <si>
    <t>ChesterfieldHalo Housing Association Limited</t>
  </si>
  <si>
    <t>ChichesterAster Communities</t>
  </si>
  <si>
    <t>ChichesterAuckland Home Solutions CIC</t>
  </si>
  <si>
    <t>ChichesterHeylo Housing Registered Provider Limited</t>
  </si>
  <si>
    <t>ChichesterInclusion Housing Community Interest Company</t>
  </si>
  <si>
    <t>ChichesterPHA Homes Ltd</t>
  </si>
  <si>
    <t>ChichesterSouthern Housing</t>
  </si>
  <si>
    <t>ChorleyEncircle Housing</t>
  </si>
  <si>
    <t>ColchesterFalcon Housing Association C.I.C</t>
  </si>
  <si>
    <t>ColchesterPeabody Developments Limited</t>
  </si>
  <si>
    <t>CornwallAuckland Home Solutions CIC</t>
  </si>
  <si>
    <t>CornwallEncircle Housing</t>
  </si>
  <si>
    <t>CornwallFalcon Housing Association C.I.C</t>
  </si>
  <si>
    <t>CornwallSouthern Housing</t>
  </si>
  <si>
    <t>CornwallWillow Tree Housing Partnership Limited</t>
  </si>
  <si>
    <t>County DurhamAuckland Home Solutions CIC</t>
  </si>
  <si>
    <t>County DurhamGentoo Group Limited</t>
  </si>
  <si>
    <t>County DurhamJane Cameron's Old People's Charity</t>
  </si>
  <si>
    <t>CoventryAuckland Home Solutions CIC</t>
  </si>
  <si>
    <t>CoventrySouthern Housing</t>
  </si>
  <si>
    <t>CoventryThe ExtraCare Charitable Trust</t>
  </si>
  <si>
    <t>CrawleySouthern Housing</t>
  </si>
  <si>
    <t>CroydonEncircle Housing</t>
  </si>
  <si>
    <t>CroydonFalcon Housing Association C.I.C</t>
  </si>
  <si>
    <t>CroydonHalo Housing Association Limited</t>
  </si>
  <si>
    <t>CroydonMP Living Limited</t>
  </si>
  <si>
    <t>CroydonSouthern Housing</t>
  </si>
  <si>
    <t>DacorumAuckland Home Solutions CIC</t>
  </si>
  <si>
    <t>DarlingtonInclusion Housing Community Interest Company</t>
  </si>
  <si>
    <t>DarlingtonJane Cameron's Old People's Charity</t>
  </si>
  <si>
    <t>DarlingtonSir E D Walker Trust</t>
  </si>
  <si>
    <t>DartfordSouthern Housing</t>
  </si>
  <si>
    <t>DerbyAuckland Home Solutions CIC</t>
  </si>
  <si>
    <t>DerbyLegal &amp; General Affordable Homes Limited</t>
  </si>
  <si>
    <t>DerbyPlaces for People Living+ Limited</t>
  </si>
  <si>
    <t>Derbyshire DalesPlaces for People Living+ Limited</t>
  </si>
  <si>
    <t>DoncasterFalcon Housing Association C.I.C</t>
  </si>
  <si>
    <t>DoncasterWakefield And District Housing Limited</t>
  </si>
  <si>
    <t>DorsetAuckland Home Solutions CIC</t>
  </si>
  <si>
    <t>DorsetDorchester Almshouses</t>
  </si>
  <si>
    <t>DorsetFalcon Housing Association C.I.C</t>
  </si>
  <si>
    <t>DorsetThe Almshouse of St John the Baptist and St John the Evangelist</t>
  </si>
  <si>
    <t>DorsetWillow Tree Housing Partnership Limited</t>
  </si>
  <si>
    <t>DoverFalcon Housing Association C.I.C</t>
  </si>
  <si>
    <t>DoverSouthern Housing</t>
  </si>
  <si>
    <t>DudleyChurches Housing Assocation of Dudley and District Limited</t>
  </si>
  <si>
    <t>EalingAuckland Home Solutions CIC</t>
  </si>
  <si>
    <t>EalingHeylo Housing Registered Provider Limited</t>
  </si>
  <si>
    <t>EalingHousing 21</t>
  </si>
  <si>
    <t>EalingPark Properties Housing Association Ltd</t>
  </si>
  <si>
    <t>EalingSouthern Housing</t>
  </si>
  <si>
    <t>EalingTBG Open Door Limited</t>
  </si>
  <si>
    <t>EalingThe Richmond Fellowship</t>
  </si>
  <si>
    <t>East CambridgeshirePark Properties Housing Association Ltd</t>
  </si>
  <si>
    <t>East CambridgeshireStonewater Limited</t>
  </si>
  <si>
    <t>East DevonAster 3 Limited</t>
  </si>
  <si>
    <t>East DevonFalcon Housing Association C.I.C</t>
  </si>
  <si>
    <t>East HampshireA2Dominion Housing Options Limited</t>
  </si>
  <si>
    <t>East HampshireSouthern Housing</t>
  </si>
  <si>
    <t>East HampshireStonewater Limited</t>
  </si>
  <si>
    <t>East HampshireWestmoreland Supported Housing Limited</t>
  </si>
  <si>
    <t>East LindseyHeylo Housing Registered Provider Limited</t>
  </si>
  <si>
    <t>East LindseyTown and Country Housing</t>
  </si>
  <si>
    <t>East Riding of Yorkshire54 North Homes Limited</t>
  </si>
  <si>
    <t>East Riding of YorkshireAuckland Home Solutions CIC</t>
  </si>
  <si>
    <t>East Riding of YorkshireAuxesia Homes Limited</t>
  </si>
  <si>
    <t>East Riding of YorkshireThe Guinness Partnership Limited</t>
  </si>
  <si>
    <t>East Riding of YorkshireTown and Country Housing</t>
  </si>
  <si>
    <t>East StaffordshireAuckland Home Solutions CIC</t>
  </si>
  <si>
    <t>East StaffordshireFalcon Housing Association C.I.C</t>
  </si>
  <si>
    <t>East StaffordshirePark Properties Housing Association Ltd</t>
  </si>
  <si>
    <t>East StaffordshirePlaces for People Living+ Limited</t>
  </si>
  <si>
    <t>East SuffolkFalcon Housing Association C.I.C</t>
  </si>
  <si>
    <t>East SuffolkNewarch Homes Limited</t>
  </si>
  <si>
    <t>East SuffolkPlaces for People Living+ Limited</t>
  </si>
  <si>
    <t>East SuffolkSolo Housing (East Anglia)</t>
  </si>
  <si>
    <t>East SuffolkV &amp; F Homes Limited</t>
  </si>
  <si>
    <t>EastbourneSouthern Housing</t>
  </si>
  <si>
    <t>EastbourneSussex Housing and Care</t>
  </si>
  <si>
    <t>EastleighEncircle Housing</t>
  </si>
  <si>
    <t>EastleighSouthern Housing</t>
  </si>
  <si>
    <t>ElmbridgeA2Dominion Housing Options Limited</t>
  </si>
  <si>
    <t>ElmbridgeSouthern Housing</t>
  </si>
  <si>
    <t>EnfieldAuckland Home Solutions CIC</t>
  </si>
  <si>
    <t>EnfieldHousing Pathways Trust</t>
  </si>
  <si>
    <t>EnfieldSouthern Housing</t>
  </si>
  <si>
    <t>Epping ForestAuckland Home Solutions CIC</t>
  </si>
  <si>
    <t>Epsom and EwellAuckland Home Solutions CIC</t>
  </si>
  <si>
    <t>ErewashInclusion Housing Community Interest Company</t>
  </si>
  <si>
    <t>ErewashPlaces for People Living+ Limited</t>
  </si>
  <si>
    <t>ExeterFalcon Housing Association C.I.C</t>
  </si>
  <si>
    <t>ExeterJulian House</t>
  </si>
  <si>
    <t>FarehamChurch of England Soldiers' Sailors' and Airmen's Housing Association Limited</t>
  </si>
  <si>
    <t>FenlandHeylo Housing Registered Provider Limited</t>
  </si>
  <si>
    <t>Folkestone and HytheFalcon Housing Association C.I.C</t>
  </si>
  <si>
    <t>Folkestone and HytheSouthern Housing</t>
  </si>
  <si>
    <t>Folkestone and HytheThe Southlands Almshouse Charity</t>
  </si>
  <si>
    <t>Forest of DeanAuckland Home Solutions CIC</t>
  </si>
  <si>
    <t>Forest of DeanFalcon Housing Association C.I.C</t>
  </si>
  <si>
    <t>GedlingPlaces for People Living+ Limited</t>
  </si>
  <si>
    <t>GloucesterAuckland Home Solutions CIC</t>
  </si>
  <si>
    <t>GloucesterFalcon Housing Association C.I.C</t>
  </si>
  <si>
    <t>GloucesterHarc Housing Association Limited</t>
  </si>
  <si>
    <t>GosportChurch of England Soldiers' Sailors' and Airmen's Housing Association Limited</t>
  </si>
  <si>
    <t>GosportSouthern Housing</t>
  </si>
  <si>
    <t>GraveshamElizabeth Huggins Cottages Charity</t>
  </si>
  <si>
    <t>GraveshamSouthern Housing</t>
  </si>
  <si>
    <t>Great YarmouthFalcon Housing Association C.I.C</t>
  </si>
  <si>
    <t>Great YarmouthPlaces for People Living+ Limited</t>
  </si>
  <si>
    <t>GreenwichFalcon Housing Association C.I.C</t>
  </si>
  <si>
    <t>GreenwichHousing Pathways Trust</t>
  </si>
  <si>
    <t>GreenwichPinnacle Spaces Limited</t>
  </si>
  <si>
    <t>GreenwichSouthern Housing</t>
  </si>
  <si>
    <t>GreenwichYMCA Thames Gateway</t>
  </si>
  <si>
    <t>GuildfordHoly Trinity (Guildford) Housing Association Limited</t>
  </si>
  <si>
    <t>GuildfordSouthern Housing</t>
  </si>
  <si>
    <t>HackneyHousing Pathways Trust</t>
  </si>
  <si>
    <t>HackneySouthern Housing</t>
  </si>
  <si>
    <t>HackneyTBG Open Door Limited</t>
  </si>
  <si>
    <t>HaltonLondon &amp; Quadrant Housing Trust</t>
  </si>
  <si>
    <t>HaltonMagenta Living</t>
  </si>
  <si>
    <t>HaltonTorus62 Limited</t>
  </si>
  <si>
    <t>Hammersmith and FulhamHousing 21</t>
  </si>
  <si>
    <t>Hammersmith and FulhamLegal &amp; General Affordable Homes Limited</t>
  </si>
  <si>
    <t>Hammersmith and FulhamSouthern Housing</t>
  </si>
  <si>
    <t>HarboroughPlaces for People Living+ Limited</t>
  </si>
  <si>
    <t>HaringeyHousing Pathways Trust</t>
  </si>
  <si>
    <t>HaringeySouthern Housing</t>
  </si>
  <si>
    <t>HarlowGolden Lane Housing Limited</t>
  </si>
  <si>
    <t>HarlowPlaces for People Living+ Limited</t>
  </si>
  <si>
    <t>HarrowAuckland Home Solutions CIC</t>
  </si>
  <si>
    <t>HarrowCromwood Housing Ltd</t>
  </si>
  <si>
    <t>HarrowGreenhill Housing Association</t>
  </si>
  <si>
    <t>HarrowSouthern Housing</t>
  </si>
  <si>
    <t>HartAuckland Home Solutions CIC</t>
  </si>
  <si>
    <t>HartSouthern Housing</t>
  </si>
  <si>
    <t>HartStonewater Limited</t>
  </si>
  <si>
    <t>HartlepoolBelieve Housing Limited</t>
  </si>
  <si>
    <t>HastingsSouthern Housing</t>
  </si>
  <si>
    <t>HavantFalcon Housing Association C.I.C</t>
  </si>
  <si>
    <t>HavantSouthern Housing</t>
  </si>
  <si>
    <t>HaveringSouthern Housing</t>
  </si>
  <si>
    <t>Herefordshire, County ofEncircle Housing</t>
  </si>
  <si>
    <t>Herefordshire, County ofGolden Lane Housing Limited</t>
  </si>
  <si>
    <t>HertsmereAuckland Home Solutions CIC</t>
  </si>
  <si>
    <t>HertsmereFalcon Housing Association C.I.C</t>
  </si>
  <si>
    <t>HertsmereSouthern Housing</t>
  </si>
  <si>
    <t>High PeakJigsaw Homes Tameside</t>
  </si>
  <si>
    <t>High PeakPlaces for People Living+ Limited</t>
  </si>
  <si>
    <t>HillingdonA2Dominion Housing Options Limited</t>
  </si>
  <si>
    <t>HillingdonAuckland Home Solutions CIC</t>
  </si>
  <si>
    <t>HillingdonGreenhill Housing Association</t>
  </si>
  <si>
    <t>HillingdonPinnacle Affordable Homes Ltd</t>
  </si>
  <si>
    <t>HillingdonSouthern Housing</t>
  </si>
  <si>
    <t>Hinckley and BosworthAuckland Home Solutions CIC</t>
  </si>
  <si>
    <t>Hinckley and BosworthFalcon Housing Association C.I.C</t>
  </si>
  <si>
    <t>Hinckley and BosworthFutures Homeway Limited</t>
  </si>
  <si>
    <t>Hinckley and BosworthPlaces for People Living+ Limited</t>
  </si>
  <si>
    <t>HorshamA2Dominion Housing Options Limited</t>
  </si>
  <si>
    <t>HorshamSouthern Housing</t>
  </si>
  <si>
    <t>HounslowA2Dominion Housing Options Limited</t>
  </si>
  <si>
    <t>HounslowGreenhill Housing Association</t>
  </si>
  <si>
    <t>HounslowIsleworth &amp; Hounslow Charity Limited</t>
  </si>
  <si>
    <t>HounslowLegal &amp; General Affordable Homes (AR) LLP</t>
  </si>
  <si>
    <t>HounslowLook Ahead Care and Support Limited</t>
  </si>
  <si>
    <t>HounslowSouthern Housing</t>
  </si>
  <si>
    <t>HuntingdonshireLondon &amp; Quadrant Housing Trust</t>
  </si>
  <si>
    <t>HyndburnEncircle Housing</t>
  </si>
  <si>
    <t>HyndburnFalcon Housing Association C.I.C</t>
  </si>
  <si>
    <t>IpswichFalcon Housing Association C.I.C</t>
  </si>
  <si>
    <t>Isle of WightPinnacle Affordable Homes Ltd</t>
  </si>
  <si>
    <t>Isle of WightSouthern Housing</t>
  </si>
  <si>
    <t>IslingtonDepaul Housing Services</t>
  </si>
  <si>
    <t>IslingtonHousing 21</t>
  </si>
  <si>
    <t>IslingtonKarin Housing Association Limited</t>
  </si>
  <si>
    <t>IslingtonMetropolitan Benefit Societies' Almshouses</t>
  </si>
  <si>
    <t>IslingtonSouthern Housing</t>
  </si>
  <si>
    <t>IslingtonTBG Open Door Limited</t>
  </si>
  <si>
    <t>Kensington and ChelseaSouthern Housing</t>
  </si>
  <si>
    <t>King's Lynn and West NorfolkAuckland Home Solutions CIC</t>
  </si>
  <si>
    <t>King's Lynn and West NorfolkOak Housing Limited</t>
  </si>
  <si>
    <t>King's Lynn and West NorfolkPlaces for People Living+ Limited</t>
  </si>
  <si>
    <t>King's Lynn and West NorfolkStonewater Limited</t>
  </si>
  <si>
    <t>King's Lynn and West NorfolkV &amp; F Homes Limited</t>
  </si>
  <si>
    <t>Kingston upon Hull, City ofEncircle Housing</t>
  </si>
  <si>
    <t>Kingston upon Hull, City ofHalo Housing Association Limited</t>
  </si>
  <si>
    <t>Kingston upon Hull, City ofHumankind Charity</t>
  </si>
  <si>
    <t>Kingston upon Hull, City ofWinner Trading Ltd</t>
  </si>
  <si>
    <t>Kingston upon ThamesSouthern Housing</t>
  </si>
  <si>
    <t>Kingston upon ThamesWomen's Pioneer Housing Limited</t>
  </si>
  <si>
    <t>Kirklees54 North Homes Limited</t>
  </si>
  <si>
    <t>KirkleesLeeds Federated Housing Association Limited</t>
  </si>
  <si>
    <t>KnowsleyEncircle Housing</t>
  </si>
  <si>
    <t>KnowsleyRedwing Living Limited</t>
  </si>
  <si>
    <t>LambethAuckland Home Solutions CIC</t>
  </si>
  <si>
    <t>LambethFalcon Housing Association C.I.C</t>
  </si>
  <si>
    <t>LambethHousing 21</t>
  </si>
  <si>
    <t>LambethIroko Housing Co-operative Limited</t>
  </si>
  <si>
    <t>LambethLambeth and Southwark Housing Association Limited</t>
  </si>
  <si>
    <t>LambethSouthern Housing</t>
  </si>
  <si>
    <t>LambethThe Abbeyfield (Streatham) Society Limited</t>
  </si>
  <si>
    <t>LambethThe New Cut Housing Co-operative Limited</t>
  </si>
  <si>
    <t>LambethWatmos Community Homes</t>
  </si>
  <si>
    <t>LambethWest London Mission Housing Association Limited</t>
  </si>
  <si>
    <t>LancasterFalcon Housing Association C.I.C</t>
  </si>
  <si>
    <t>LancasterThe Fairoak Housing Association</t>
  </si>
  <si>
    <t>Leeds54 North Homes Limited</t>
  </si>
  <si>
    <t>LeedsAuckland Home Solutions CIC</t>
  </si>
  <si>
    <t>LeedsForest Hill (Sheltered) Housing Limited</t>
  </si>
  <si>
    <t>LeedsHunslet Housing Co-operative Limited</t>
  </si>
  <si>
    <t>LeicesterFalcon Housing Association C.I.C</t>
  </si>
  <si>
    <t>LeicesterYMCA Leicestershire</t>
  </si>
  <si>
    <t>LewesAuckland Home Solutions CIC</t>
  </si>
  <si>
    <t>LewesLegal &amp; General Affordable Homes (AR) LLP</t>
  </si>
  <si>
    <t>LewesLets for Life</t>
  </si>
  <si>
    <t>LewesPeacehaven and Telscombe Housing Association Limited</t>
  </si>
  <si>
    <t>LewesSouthern Housing</t>
  </si>
  <si>
    <t>LewesSussex Housing and Care</t>
  </si>
  <si>
    <t>LewishamBrockley Tenants Co-operative Limited</t>
  </si>
  <si>
    <t>LewishamLambeth and Southwark Housing Association Limited</t>
  </si>
  <si>
    <t>LewishamLammerton Housing Co-operative Limited</t>
  </si>
  <si>
    <t>LewishamSouthern Housing</t>
  </si>
  <si>
    <t>LichfieldStonewater Limited</t>
  </si>
  <si>
    <t>LincolnPlaces for People Living+ Limited</t>
  </si>
  <si>
    <t>LiverpoolCo-operative Schemes for the Elderly Limited</t>
  </si>
  <si>
    <t>LiverpoolCorn and Yates Streets Housing Co-operative Limited</t>
  </si>
  <si>
    <t>LiverpoolEncircle Housing</t>
  </si>
  <si>
    <t>LiverpoolFalcon Housing Association C.I.C</t>
  </si>
  <si>
    <t>LiverpoolHolyland Housing Co-operative Limited</t>
  </si>
  <si>
    <t>LiverpoolLeta/Claudia Streets Housing Co-operative Limited</t>
  </si>
  <si>
    <t>LiverpoolLivv Housing Group</t>
  </si>
  <si>
    <t>LutonKeystage C.I.C</t>
  </si>
  <si>
    <t>LutonOne YMCA</t>
  </si>
  <si>
    <t>LutonSouthern Housing</t>
  </si>
  <si>
    <t>MaidstoneAuckland Home Solutions CIC</t>
  </si>
  <si>
    <t>MaidstoneFalcon Housing Association C.I.C</t>
  </si>
  <si>
    <t>MaidstoneSouthern Housing</t>
  </si>
  <si>
    <t>Malvern HillsFalcon Housing Association C.I.C</t>
  </si>
  <si>
    <t>Malvern HillsSanctuary Affordable Housing Limited</t>
  </si>
  <si>
    <t>ManchesterSecond Chance Housing Ltd</t>
  </si>
  <si>
    <t>ManchesterSwan Housing Association Limited</t>
  </si>
  <si>
    <t>ManchesterWythenshawe Community Housing Group Limited</t>
  </si>
  <si>
    <t>ManchesterZAH Housing Co-operative Limited</t>
  </si>
  <si>
    <t>MansfieldHeylo Housing Registered Provider Limited</t>
  </si>
  <si>
    <t>MansfieldPlaces for People Living+ Limited</t>
  </si>
  <si>
    <t>MedwaySouthern Housing</t>
  </si>
  <si>
    <t>MeltonFalcon Housing Association C.I.C</t>
  </si>
  <si>
    <t>MeltonPlaces for People Living+ Limited</t>
  </si>
  <si>
    <t>MertonCromwood Housing Ltd</t>
  </si>
  <si>
    <t>MertonFalcon Housing Association C.I.C</t>
  </si>
  <si>
    <t>MertonSouthern Housing</t>
  </si>
  <si>
    <t>Mid DevonBridgwater Young Men's Christian Association</t>
  </si>
  <si>
    <t>Mid DevonFalcon Housing Association C.I.C</t>
  </si>
  <si>
    <t>Mid DevonSouth Devon Rural Housing Association Limited</t>
  </si>
  <si>
    <t>Mid DevonWillow Tree Housing Partnership Limited</t>
  </si>
  <si>
    <t>Mid SuffolkLegal &amp; General Affordable Homes (AR) LLP</t>
  </si>
  <si>
    <t>Mid SussexLegal &amp; General Affordable Homes (AR) LLP</t>
  </si>
  <si>
    <t>Mid SussexPlaces for People Homes Limited</t>
  </si>
  <si>
    <t>Mid SussexSouthern Housing</t>
  </si>
  <si>
    <t>Mid SussexSussex Housing and Care</t>
  </si>
  <si>
    <t>MiddlesbroughDepaul Housing Services</t>
  </si>
  <si>
    <t>MiddlesbroughEncircle Housing</t>
  </si>
  <si>
    <t>MiddlesbroughInclusion Housing Community Interest Company</t>
  </si>
  <si>
    <t>Milton KeynesAuckland Home Solutions CIC</t>
  </si>
  <si>
    <t>Milton KeynesHabitare Homes Limited</t>
  </si>
  <si>
    <t>Milton KeynesSouthern Housing</t>
  </si>
  <si>
    <t>Milton KeynesThe ExtraCare Charitable Trust</t>
  </si>
  <si>
    <t>Mole ValleyA2Dominion Housing Options Limited</t>
  </si>
  <si>
    <t>Mole ValleySouthern Housing</t>
  </si>
  <si>
    <t>New ForestEnglish Rural Housing Association Limited</t>
  </si>
  <si>
    <t>New ForestSouthern Housing</t>
  </si>
  <si>
    <t>Newcastle-under-LymeHalo Housing Association Limited</t>
  </si>
  <si>
    <t>NewhamCromwood Housing Ltd</t>
  </si>
  <si>
    <t>NewhamHousing Pathways Trust</t>
  </si>
  <si>
    <t>NewhamNewlon Housing Trust</t>
  </si>
  <si>
    <t>NewhamPeter Bedford Housing Association Limited</t>
  </si>
  <si>
    <t>NewhamSouthern Housing</t>
  </si>
  <si>
    <t>NewhamYour Place (London) Limited</t>
  </si>
  <si>
    <t>North DevonAuckland Home Solutions CIC</t>
  </si>
  <si>
    <t>North DevonFalcon Housing Association C.I.C</t>
  </si>
  <si>
    <t>North East LincolnshireAuckland Home Solutions CIC</t>
  </si>
  <si>
    <t>North East LincolnshireGrimsby Cleethorpes and Humber Region Y.M.C.A.</t>
  </si>
  <si>
    <t>North East LincolnshireHeylo Housing Registered Provider Limited</t>
  </si>
  <si>
    <t>North HertfordshireSouthern Housing</t>
  </si>
  <si>
    <t>North KestevenPlaces for People Living+ Limited</t>
  </si>
  <si>
    <t>North LincolnshireHeylo Housing Registered Provider Limited</t>
  </si>
  <si>
    <t>North NorfolkPlaces for People Living+ Limited</t>
  </si>
  <si>
    <t>North NorthamptonshireAuckland Home Solutions CIC</t>
  </si>
  <si>
    <t>North NorthamptonshireFalcon Housing Association C.I.C</t>
  </si>
  <si>
    <t>North NorthamptonshireSouthern Housing</t>
  </si>
  <si>
    <t>North NorthamptonshireThe ExtraCare Charitable Trust</t>
  </si>
  <si>
    <t>North SomersetAuckland Home Solutions CIC</t>
  </si>
  <si>
    <t>North SomersetFalcon Housing Association C.I.C</t>
  </si>
  <si>
    <t>North SomersetWillow Tree Housing Partnership Limited</t>
  </si>
  <si>
    <t>North TynesideThe Tyne Mariners' Benevolent Institution</t>
  </si>
  <si>
    <t>North WarwickshireAuckland Home Solutions CIC</t>
  </si>
  <si>
    <t>North WarwickshireInclusion Housing Community Interest Company</t>
  </si>
  <si>
    <t>North WarwickshirePlaces for People Living+ Limited</t>
  </si>
  <si>
    <t>North WarwickshireSouthern Housing</t>
  </si>
  <si>
    <t>North WarwickshireYardley Great Trust</t>
  </si>
  <si>
    <t>North West LeicestershirePlaces for People Living+ Limited</t>
  </si>
  <si>
    <t>North West LeicestershireStonewater Limited</t>
  </si>
  <si>
    <t>NorthumberlandAuckland Home Solutions CIC</t>
  </si>
  <si>
    <t>NorthumberlandBen-Motor and Allied Trades Benevolent Fund</t>
  </si>
  <si>
    <t>NorthumberlandNew Walk Property Management CIC</t>
  </si>
  <si>
    <t>NorwichPlaces for People Living+ Limited</t>
  </si>
  <si>
    <t>NorwichSouthern Housing</t>
  </si>
  <si>
    <t>NottinghamAuckland Home Solutions CIC</t>
  </si>
  <si>
    <t>NottinghamFalcon Housing Association C.I.C</t>
  </si>
  <si>
    <t>NottinghamPark Properties Housing Association Ltd</t>
  </si>
  <si>
    <t>NottinghamPurlin Housing Co-operative Limited</t>
  </si>
  <si>
    <t>NottinghamThe ExtraCare Charitable Trust</t>
  </si>
  <si>
    <t>Nuneaton and BedworthFalcon Housing Association C.I.C</t>
  </si>
  <si>
    <t>Nuneaton and BedworthFlint Housing Limited</t>
  </si>
  <si>
    <t>Nuneaton and BedworthNicholas Chamberlaine's Hospital &amp; Sermon</t>
  </si>
  <si>
    <t>Oadby and WigstonInclusion Housing Community Interest Company</t>
  </si>
  <si>
    <t>OldhamBolton at Home Limited</t>
  </si>
  <si>
    <t>OldhamEncircle Housing</t>
  </si>
  <si>
    <t>OldhamHilldale Housing Association Limited</t>
  </si>
  <si>
    <t>OldhamSecond Chance Housing Ltd</t>
  </si>
  <si>
    <t>OxfordAuckland Home Solutions CIC</t>
  </si>
  <si>
    <t>OxfordLegal &amp; General Affordable Homes (AR) LLP</t>
  </si>
  <si>
    <t>OxfordLegal &amp; General Affordable Homes Limited</t>
  </si>
  <si>
    <t>PendleFalcon Housing Association C.I.C</t>
  </si>
  <si>
    <t>PendleLondon &amp; Quadrant Housing Trust</t>
  </si>
  <si>
    <t>PendlePlaces for People Living+ Limited</t>
  </si>
  <si>
    <t>PendleThe Abbeyfield Society</t>
  </si>
  <si>
    <t>PeterboroughAuckland Home Solutions CIC</t>
  </si>
  <si>
    <t>PeterboroughFalcon Housing Association C.I.C</t>
  </si>
  <si>
    <t>PlymouthEncircle Housing</t>
  </si>
  <si>
    <t>PlymouthSynergy Housing Limited</t>
  </si>
  <si>
    <t>PlymouthTown and Country Housing</t>
  </si>
  <si>
    <t>PlymouthWillow Tree Housing Partnership Limited</t>
  </si>
  <si>
    <t>PortsmouthChurch of England Soldiers' Sailors' and Airmen's Housing Association Limited</t>
  </si>
  <si>
    <t>PortsmouthSouthern Housing</t>
  </si>
  <si>
    <t>PrestonEncircle Housing</t>
  </si>
  <si>
    <t>PrestonLondon &amp; Quadrant Housing Trust</t>
  </si>
  <si>
    <t>PrestonOne Vision Housing Limited</t>
  </si>
  <si>
    <t>ReadingSouthern Housing</t>
  </si>
  <si>
    <t>RedbridgeSouthern Housing</t>
  </si>
  <si>
    <t>Redcar and ClevelandDimensions (UK) Limited</t>
  </si>
  <si>
    <t>Redcar and ClevelandEncircle Housing</t>
  </si>
  <si>
    <t>Redcar and ClevelandInclusion Housing Community Interest Company</t>
  </si>
  <si>
    <t>RedditchEncircle Housing</t>
  </si>
  <si>
    <t>RedditchStonewater Limited</t>
  </si>
  <si>
    <t>Reigate and BansteadA2Dominion Housing Options Limited</t>
  </si>
  <si>
    <t>Reigate and BansteadAuckland Home Solutions CIC</t>
  </si>
  <si>
    <t>Reigate and BansteadSouthern Housing</t>
  </si>
  <si>
    <t>Reigate and BansteadSynergy Housing Limited</t>
  </si>
  <si>
    <t>Ribble ValleyLondon &amp; Quadrant Housing Trust</t>
  </si>
  <si>
    <t>Richmond upon ThamesCromwood Housing Ltd</t>
  </si>
  <si>
    <t>RochdaleBolton at Home Limited</t>
  </si>
  <si>
    <t>RochdaleSecond Chance Housing Ltd</t>
  </si>
  <si>
    <t>RochfordSouthern Housing</t>
  </si>
  <si>
    <t>RotherFalcon Housing Association C.I.C</t>
  </si>
  <si>
    <t>RotherSouthern Housing</t>
  </si>
  <si>
    <t>RotherSussex Housing and Care</t>
  </si>
  <si>
    <t>RotherhamAuckland Home Solutions CIC</t>
  </si>
  <si>
    <t>RotherhamFalcon Housing Association C.I.C</t>
  </si>
  <si>
    <t>RotherhamSanctuary Affordable Housing Limited</t>
  </si>
  <si>
    <t>RugbyBen-Motor and Allied Trades Benevolent Fund</t>
  </si>
  <si>
    <t>RugbyClifton Parish Houses</t>
  </si>
  <si>
    <t>RugbyFalcon Housing Association C.I.C</t>
  </si>
  <si>
    <t>RugbyPlaces for People Living+ Limited</t>
  </si>
  <si>
    <t>RugbyStonewater Limited</t>
  </si>
  <si>
    <t>RugbyWalsall Housing Group Limited</t>
  </si>
  <si>
    <t>RunnymedeA2Dominion Housing Options Limited</t>
  </si>
  <si>
    <t>RunnymedeSouthern Housing</t>
  </si>
  <si>
    <t>RunnymedeStonewater Limited</t>
  </si>
  <si>
    <t>RushcliffeAuckland Home Solutions CIC</t>
  </si>
  <si>
    <t>RushcliffeLegal &amp; General Affordable Homes (AR) LLP</t>
  </si>
  <si>
    <t>RushcliffePlaces for People Living+ Limited</t>
  </si>
  <si>
    <t>RushcliffeSutton Bonington and Normanton Social Service  Association Limited</t>
  </si>
  <si>
    <t>RushmoorMount Green Housing Association Limited</t>
  </si>
  <si>
    <t>RushmoorSouthern Home Ownership Limited</t>
  </si>
  <si>
    <t>RushmoorSouthern Housing</t>
  </si>
  <si>
    <t>RutlandThe Hospital of St John the Evangelist and of St Anne in Okeham</t>
  </si>
  <si>
    <t>SalfordAuxesia Homes Limited</t>
  </si>
  <si>
    <t>SalfordCromwood Housing Ltd</t>
  </si>
  <si>
    <t>SalfordFalcon Housing Association C.I.C</t>
  </si>
  <si>
    <t>SalfordLondon &amp; Quadrant Housing Trust</t>
  </si>
  <si>
    <t>SandwellEncircle Housing</t>
  </si>
  <si>
    <t>SandwellSouthern Housing</t>
  </si>
  <si>
    <t>SeftonFalcon Housing Association C.I.C</t>
  </si>
  <si>
    <t>SeftonHeylo Housing Registered Provider Limited</t>
  </si>
  <si>
    <t>SeftonTogether Housing Association Limited</t>
  </si>
  <si>
    <t>SevenoaksSouthern Housing</t>
  </si>
  <si>
    <t>SheffieldFalcon Housing Association C.I.C</t>
  </si>
  <si>
    <t>SheffieldSouthern Housing</t>
  </si>
  <si>
    <t>ShropshirePlaces for People Living+ Limited</t>
  </si>
  <si>
    <t>ShropshireSage Homes RP Limited</t>
  </si>
  <si>
    <t>ShropshireThe Abbeyfield Bishop's Castle and  District Society Limited</t>
  </si>
  <si>
    <t>SloughA2Dominion Housing Options Limited</t>
  </si>
  <si>
    <t>SloughAuckland Home Solutions CIC</t>
  </si>
  <si>
    <t>SloughFairhive Homes Limited</t>
  </si>
  <si>
    <t>SloughNorthborough Housing Co-operative Limited</t>
  </si>
  <si>
    <t>SloughPinnacle Spaces Limited</t>
  </si>
  <si>
    <t>SolihullSouthern Housing</t>
  </si>
  <si>
    <t>SolihullThe ExtraCare Charitable Trust</t>
  </si>
  <si>
    <t>South CambridgeshirePlaces for People Living+ Limited</t>
  </si>
  <si>
    <t>South DerbyshireInclusion Housing Community Interest Company</t>
  </si>
  <si>
    <t>South DerbyshirePlaces for People Living+ Limited</t>
  </si>
  <si>
    <t>South GloucestershireGreenSquareAccord Limited</t>
  </si>
  <si>
    <t>South GloucestershireJulian House</t>
  </si>
  <si>
    <t>South GloucestershireThe ExtraCare Charitable Trust</t>
  </si>
  <si>
    <t>South GloucestershireWillow Tree Housing Partnership Limited</t>
  </si>
  <si>
    <t>South HamsAster 3 Limited</t>
  </si>
  <si>
    <t>South HamsLegal &amp; General Affordable Homes (AR) LLP</t>
  </si>
  <si>
    <t>South HamsTown and Country Housing</t>
  </si>
  <si>
    <t>South HamsWillow Tree Housing Partnership Limited</t>
  </si>
  <si>
    <t>South HollandEncircle Housing</t>
  </si>
  <si>
    <t>South HollandTown and Country Housing</t>
  </si>
  <si>
    <t>South KestevenPlaces for People Living+ Limited</t>
  </si>
  <si>
    <t>South NorfolkPlaces for People Living+ Limited</t>
  </si>
  <si>
    <t>South OxfordshireAuckland Home Solutions CIC</t>
  </si>
  <si>
    <t>South OxfordshireChrysalis Supported Association Limited</t>
  </si>
  <si>
    <t>South OxfordshireHousing 21</t>
  </si>
  <si>
    <t>South OxfordshireHousing Solutions</t>
  </si>
  <si>
    <t>South OxfordshireSynergy Housing Limited</t>
  </si>
  <si>
    <t>South RibbleFalcon Housing Association C.I.C</t>
  </si>
  <si>
    <t>South StaffordshireAuckland Home Solutions CIC</t>
  </si>
  <si>
    <t>South StaffordshireStonewater Limited</t>
  </si>
  <si>
    <t>South TynesideJane Cameron's Old People's Charity</t>
  </si>
  <si>
    <t>SouthamptonFalcon Housing Association C.I.C</t>
  </si>
  <si>
    <t>SouthamptonSouthern Housing</t>
  </si>
  <si>
    <t>SouthamptonThorner's Homes</t>
  </si>
  <si>
    <t>Southend-on-SeaEncircle Housing</t>
  </si>
  <si>
    <t>Southend-on-SeaSouthern Housing</t>
  </si>
  <si>
    <t>SouthwarkEkarro Housing Co-operative Limited</t>
  </si>
  <si>
    <t>SouthwarkLambeth and Southwark Housing Association Limited</t>
  </si>
  <si>
    <t>SouthwarkPinnacle Affordable Homes Ltd</t>
  </si>
  <si>
    <t>SouthwarkSouthern Housing</t>
  </si>
  <si>
    <t>SpelthorneHousing 21</t>
  </si>
  <si>
    <t>St AlbansAuckland Home Solutions CIC</t>
  </si>
  <si>
    <t>StaffordAdvance Housing and Support Limited</t>
  </si>
  <si>
    <t>Staffordshire MoorlandsAuxesia Homes Limited</t>
  </si>
  <si>
    <t>Staffordshire MoorlandsFramework Housing Association</t>
  </si>
  <si>
    <t>Staffordshire MoorlandsHilldale Housing Association Limited</t>
  </si>
  <si>
    <t>StevenageAuckland Home Solutions CIC</t>
  </si>
  <si>
    <t>StevenageEncircle Housing</t>
  </si>
  <si>
    <t>StevenageFalcon Housing Association C.I.C</t>
  </si>
  <si>
    <t>StockportEncircle Housing</t>
  </si>
  <si>
    <t>StockportFalcon Housing Association C.I.C</t>
  </si>
  <si>
    <t>StockportLondon &amp; Quadrant Housing Trust</t>
  </si>
  <si>
    <t>Stockton-on-TeesBroadacres Housing Association Limited</t>
  </si>
  <si>
    <t>Stoke-on-TrentJigsaw Homes Tameside</t>
  </si>
  <si>
    <t>Stoke-on-TrentPlaces for People Living+ Limited</t>
  </si>
  <si>
    <t>Stoke-on-TrentStorm Housing Group Limited</t>
  </si>
  <si>
    <t>Stratford-on-AvonGolden Lane Housing Limited</t>
  </si>
  <si>
    <t>Stratford-on-AvonLegal &amp; General Affordable Homes (AR) LLP</t>
  </si>
  <si>
    <t>Stratford-on-AvonMidland Heart Limited</t>
  </si>
  <si>
    <t>Stratford-on-AvonMunicipal Charities</t>
  </si>
  <si>
    <t>Stratford-on-AvonSt Peter's Saltley Housing Association Limited</t>
  </si>
  <si>
    <t>StroudAuckland Home Solutions CIC</t>
  </si>
  <si>
    <t>StroudEncircle Housing</t>
  </si>
  <si>
    <t>SunderlandFalcon Housing Association C.I.C</t>
  </si>
  <si>
    <t>Surrey HeathA2Dominion Housing Options Limited</t>
  </si>
  <si>
    <t>Surrey HeathFalcon Housing Association C.I.C</t>
  </si>
  <si>
    <t>Surrey HeathLegal &amp; General Affordable Homes Limited</t>
  </si>
  <si>
    <t>Surrey HeathSouthern Housing</t>
  </si>
  <si>
    <t>SuttonAuckland Home Solutions CIC</t>
  </si>
  <si>
    <t>SuttonFalcon Housing Association C.I.C</t>
  </si>
  <si>
    <t>SuttonSouthern Housing</t>
  </si>
  <si>
    <t>SwaleAdvance Housing and Support Limited</t>
  </si>
  <si>
    <t>SwaleSouthern Housing</t>
  </si>
  <si>
    <t>SwindonGolden Lane Housing Limited</t>
  </si>
  <si>
    <t>TamesideFirst Choice Homes Oldham Limited</t>
  </si>
  <si>
    <t>TamesideLongdendale Housing Society Limited</t>
  </si>
  <si>
    <t>TamworthLegal &amp; General Affordable Homes Limited</t>
  </si>
  <si>
    <t>TamworthPlaces for People Living+ Limited</t>
  </si>
  <si>
    <t>TandridgeHarman Atwood For Almshouses and Curates House</t>
  </si>
  <si>
    <t>TandridgeSouthern Housing</t>
  </si>
  <si>
    <t>TeignbridgeEncircle Housing</t>
  </si>
  <si>
    <t>TeignbridgeSynergy Housing Limited</t>
  </si>
  <si>
    <t>TeignbridgeWillow Tree Housing Partnership Limited</t>
  </si>
  <si>
    <t>Telford and WrekinAuckland Home Solutions CIC</t>
  </si>
  <si>
    <t>Telford and WrekinMidland Heart Limited</t>
  </si>
  <si>
    <t>TendringAuckland Home Solutions CIC</t>
  </si>
  <si>
    <t>TendringHalo Housing Association Limited</t>
  </si>
  <si>
    <t>TendringLegal &amp; General Affordable Homes (AR) LLP</t>
  </si>
  <si>
    <t>ThanetSouthern Housing</t>
  </si>
  <si>
    <t>ThurrockSouthern Housing</t>
  </si>
  <si>
    <t>Tonbridge and MallingSouthern Housing</t>
  </si>
  <si>
    <t>Tonbridge and MallingYMCA Thames Gateway</t>
  </si>
  <si>
    <t>TorbayHilldale Housing Association Limited</t>
  </si>
  <si>
    <t>TorbayLegal &amp; General Affordable Homes (AR) LLP</t>
  </si>
  <si>
    <t>TorridgeAuckland Home Solutions CIC</t>
  </si>
  <si>
    <t>TorridgeFalcon Housing Association C.I.C</t>
  </si>
  <si>
    <t>TorridgeWillow Tree Housing Partnership Limited</t>
  </si>
  <si>
    <t>Tower HamletsPhoenix Community Housing Co-operative Limited</t>
  </si>
  <si>
    <t>Tower HamletsSouthern Housing</t>
  </si>
  <si>
    <t>TraffordEncircle Housing</t>
  </si>
  <si>
    <t>TraffordHeylo Housing Registered Provider Limited</t>
  </si>
  <si>
    <t>TraffordLondon &amp; Quadrant Housing Trust</t>
  </si>
  <si>
    <t>TraffordSecond Chance Housing Ltd</t>
  </si>
  <si>
    <t>TraffordSouthway Housing Trust (Manchester) Limited</t>
  </si>
  <si>
    <t>TraffordWythenshawe Community Housing Group Limited</t>
  </si>
  <si>
    <t>Tunbridge WellsPark Properties Housing Association Ltd</t>
  </si>
  <si>
    <t>Tunbridge WellsWestmoreland Supported Housing Limited</t>
  </si>
  <si>
    <t>Tunbridge WellsYMCA Thames Gateway</t>
  </si>
  <si>
    <t>UttlesfordFlagship Housing Group Limited</t>
  </si>
  <si>
    <t>UttlesfordHalo Housing Association Limited</t>
  </si>
  <si>
    <t>Vale of White HorseAuckland Home Solutions CIC</t>
  </si>
  <si>
    <t>Wakefield54 North Homes Limited</t>
  </si>
  <si>
    <t>WakefieldAuckland Home Solutions CIC</t>
  </si>
  <si>
    <t>WakefieldEncircle Housing</t>
  </si>
  <si>
    <t>WalsallAuckland Home Solutions CIC</t>
  </si>
  <si>
    <t>WalsallSouthern Housing</t>
  </si>
  <si>
    <t>WalsallWatmos Community Homes</t>
  </si>
  <si>
    <t>Waltham ForestHousing Pathways Trust</t>
  </si>
  <si>
    <t>Waltham ForestSouthern Housing</t>
  </si>
  <si>
    <t>Waltham ForestSwan Housing Association Limited</t>
  </si>
  <si>
    <t>WandsworthA2Dominion Housing Options Limited</t>
  </si>
  <si>
    <t>WandsworthAuckland Home Solutions CIC</t>
  </si>
  <si>
    <t>WandsworthCentral and Cecil Housing Trust</t>
  </si>
  <si>
    <t>WandsworthHousing Pathways Trust</t>
  </si>
  <si>
    <t>WandsworthPeabody Developments Limited</t>
  </si>
  <si>
    <t>WandsworthSouthern Housing</t>
  </si>
  <si>
    <t>WarringtonEncircle Housing</t>
  </si>
  <si>
    <t>WarwickSouthern Housing</t>
  </si>
  <si>
    <t>WatfordA2Dominion Housing Options Limited</t>
  </si>
  <si>
    <t>WatfordFalcon Housing Association C.I.C</t>
  </si>
  <si>
    <t>WatfordLegal &amp; General Affordable Homes (AR) LLP</t>
  </si>
  <si>
    <t>WatfordSouthern Housing</t>
  </si>
  <si>
    <t>WaverleyA2Dominion Housing Options Limited</t>
  </si>
  <si>
    <t>WaverleySouthern Housing</t>
  </si>
  <si>
    <t>WaverleyThe Swaythling Housing Society Limited</t>
  </si>
  <si>
    <t>WealdenAbbeyfield South Downs Limited</t>
  </si>
  <si>
    <t>WealdenPark Properties Housing Association Ltd</t>
  </si>
  <si>
    <t>WealdenSouthern Housing</t>
  </si>
  <si>
    <t>WealdenSussex Housing and Care</t>
  </si>
  <si>
    <t>Welwyn HatfieldAuckland Home Solutions CIC</t>
  </si>
  <si>
    <t>Welwyn HatfieldSouthern Housing</t>
  </si>
  <si>
    <t>West BerkshireA2Dominion Housing Options Limited</t>
  </si>
  <si>
    <t>West BerkshireHeylo Housing Registered Provider Limited</t>
  </si>
  <si>
    <t>West BerkshireSouthern Housing</t>
  </si>
  <si>
    <t>West DevonAuckland Home Solutions CIC</t>
  </si>
  <si>
    <t>West DevonFalcon Housing Association C.I.C</t>
  </si>
  <si>
    <t>West DevonLegal &amp; General Affordable Homes Limited</t>
  </si>
  <si>
    <t>West DevonWestmoreland Supported Housing Limited</t>
  </si>
  <si>
    <t>West DevonWillow Tree Housing Partnership Limited</t>
  </si>
  <si>
    <t>West LancashireCalico Homes Limited</t>
  </si>
  <si>
    <t>West LancashireLondon &amp; Quadrant Housing Trust</t>
  </si>
  <si>
    <t>West LindseyTogether Housing Association Limited</t>
  </si>
  <si>
    <t>West NorthamptonshireAuckland Home Solutions CIC</t>
  </si>
  <si>
    <t>West NorthamptonshireLegal &amp; General Affordable Homes (AR) LLP</t>
  </si>
  <si>
    <t>West NorthamptonshireSouthern Housing</t>
  </si>
  <si>
    <t>West NorthamptonshireThrive Homes Limited</t>
  </si>
  <si>
    <t>West OxfordshireAuckland Home Solutions CIC</t>
  </si>
  <si>
    <t>West SuffolkPlaces for People Living+ Limited</t>
  </si>
  <si>
    <t>West SuffolkSouthern Housing</t>
  </si>
  <si>
    <t>West SuffolkThe Richmond Fellowship</t>
  </si>
  <si>
    <t>WestminsterHousing 21</t>
  </si>
  <si>
    <t>WestminsterSouthern Housing</t>
  </si>
  <si>
    <t>WiltshireFalcon Housing Association C.I.C</t>
  </si>
  <si>
    <t>WiltshireInclusion Housing Community Interest Company</t>
  </si>
  <si>
    <t>WiltshireMarlborough and District Housing Association Limited</t>
  </si>
  <si>
    <t>WiltshireTown and Country Housing</t>
  </si>
  <si>
    <t>WiltshireWillow Tree Housing Partnership Limited</t>
  </si>
  <si>
    <t>WinchesterAster 3 Limited</t>
  </si>
  <si>
    <t>WinchesterLangley House Trust</t>
  </si>
  <si>
    <t>WinchesterThe Abbeyfield Alresford and District Society Limited</t>
  </si>
  <si>
    <t>Windsor and MaidenheadA2Dominion Housing Options Limited</t>
  </si>
  <si>
    <t>WirralAuckland Home Solutions CIC</t>
  </si>
  <si>
    <t>WirralEncircle Housing</t>
  </si>
  <si>
    <t>WokingA2Dominion Housing Options Limited</t>
  </si>
  <si>
    <t>WokingEncircle Housing</t>
  </si>
  <si>
    <t>WokingSouthern Housing</t>
  </si>
  <si>
    <t>WokinghamEncircle Housing</t>
  </si>
  <si>
    <t>WokinghamSouthern Housing</t>
  </si>
  <si>
    <t>WolverhamptonAuckland Home Solutions CIC</t>
  </si>
  <si>
    <t>WolverhamptonEncircle Housing</t>
  </si>
  <si>
    <t>WorcesterAuckland Home Solutions CIC</t>
  </si>
  <si>
    <t>WorcesterFalcon Housing Association C.I.C</t>
  </si>
  <si>
    <t>WorcesterStonewater Limited</t>
  </si>
  <si>
    <t>WorthingSouthern Housing</t>
  </si>
  <si>
    <t>WychavonSt Basil's</t>
  </si>
  <si>
    <t>WychavonThe Community Housing Group Limited</t>
  </si>
  <si>
    <t>Wyre ForestAuckland Home Solutions CIC</t>
  </si>
  <si>
    <t>WyreAdvance Housing and Support Limited</t>
  </si>
  <si>
    <t>WyreLondon &amp; Quadrant Housing Trust</t>
  </si>
  <si>
    <t>York54 North Homes Limited</t>
  </si>
  <si>
    <t>YorkColton's Hospital</t>
  </si>
  <si>
    <t>West Midlands20-20 Housing Co-operative Limited</t>
  </si>
  <si>
    <t>South East3CHA Ltd</t>
  </si>
  <si>
    <t>Yorkshire and the Humber54 North Homes Limited</t>
  </si>
  <si>
    <t>North East700 Club</t>
  </si>
  <si>
    <t>LondonA2Dominion Homes Limited</t>
  </si>
  <si>
    <t>South EastA2Dominion Homes Limited</t>
  </si>
  <si>
    <t>South WestA2Dominion Homes Limited</t>
  </si>
  <si>
    <t>East of EnglandA2Dominion Housing Options Limited</t>
  </si>
  <si>
    <t>LondonA2Dominion Housing Options Limited</t>
  </si>
  <si>
    <t>South EastA2Dominion Housing Options Limited</t>
  </si>
  <si>
    <t>LondonA2Dominion South Limited</t>
  </si>
  <si>
    <t>South EastA2Dominion South Limited</t>
  </si>
  <si>
    <t>South WestA2Dominion South Limited</t>
  </si>
  <si>
    <t>East of EnglandAbbeyfield Braintree, Bocking and Felsted Society Limited</t>
  </si>
  <si>
    <t>South WestAbbeyfield Bristol and Keynsham Society</t>
  </si>
  <si>
    <t>South WestAbbeyfield Porlock Society Limited</t>
  </si>
  <si>
    <t>South EastAbbeyfield South Downs Limited</t>
  </si>
  <si>
    <t>LondonAbbeyfield Southern Oaks</t>
  </si>
  <si>
    <t>South EastAbbeyfield Southern Oaks</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</si>
  <si>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</si>
  <si>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</si>
  <si>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</si>
  <si>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</si>
  <si>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</si>
  <si>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</si>
  <si>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</si>
  <si>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</si>
  <si>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</si>
  <si>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EastAbri Group Limited</t>
  </si>
  <si>
    <t>South WestAbri Group Limited</t>
  </si>
  <si>
    <t>East MidlandsAccent Housing Limited</t>
  </si>
  <si>
    <t>East of EnglandAccent Housing Limited</t>
  </si>
  <si>
    <t>LondonAccent Housing Limited</t>
  </si>
  <si>
    <t>North EastAccent Housing Limited</t>
  </si>
  <si>
    <t>North WestAccent Housing Limited</t>
  </si>
  <si>
    <t>South EastAccent Housing Limited</t>
  </si>
  <si>
    <t>Yorkshire and the HumberAccent Housing Limited</t>
  </si>
  <si>
    <t>LondonAccess Homes Housing Association Limited</t>
  </si>
  <si>
    <t>South EastAccommodationYes Limited</t>
  </si>
  <si>
    <t>East MidlandsAcis Group Limited</t>
  </si>
  <si>
    <t>Yorkshire and the HumberAcis Group Limited</t>
  </si>
  <si>
    <t>East MidlandsAction Housing and Support Limited</t>
  </si>
  <si>
    <t>Yorkshire and the HumberAction Housing and Support Limited</t>
  </si>
  <si>
    <t>LondonAddiscombe Catholic Housing Association Limited</t>
  </si>
  <si>
    <t>North EastAdler Housing</t>
  </si>
  <si>
    <t>East MidlandsAdullam Homes Housing Association Limited</t>
  </si>
  <si>
    <t>North WestAdullam Homes Housing Association Limited</t>
  </si>
  <si>
    <t>West MidlandsAdullam Homes Housing Association Limited</t>
  </si>
  <si>
    <t>East MidlandsAdvance Housing and Support Limited</t>
  </si>
  <si>
    <t>East of EnglandAdvance Housing and Support Limited</t>
  </si>
  <si>
    <t>LondonAdvance Housing and Support Limited</t>
  </si>
  <si>
    <t>North EastAdvance Housing and Support Limited</t>
  </si>
  <si>
    <t>North WestAdvance Housing and Support Limited</t>
  </si>
  <si>
    <t>South EastAdvance Housing and Support Limited</t>
  </si>
  <si>
    <t>South WestAdvance Housing and Support Limited</t>
  </si>
  <si>
    <t>West MidlandsAdvance Housing and Support Limited</t>
  </si>
  <si>
    <t>Yorkshire and the HumberAdvance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</si>
  <si>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</si>
  <si>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</si>
  <si>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</si>
  <si>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</si>
  <si>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</si>
  <si>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</si>
  <si>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East MidlandsAlliance Housing Association (South Yorkshire) Limited</t>
  </si>
  <si>
    <t>Yorkshire and the HumberAlliance Housing Association (South Yorkshire) Limited</t>
  </si>
  <si>
    <t>South EastAllnutt Mill Housing Co-operative Limited</t>
  </si>
  <si>
    <t>South EastAlmshouse Charity of Elizabeth Smith</t>
  </si>
  <si>
    <t>LondonAlmshouse Charity of Sir William Powell</t>
  </si>
  <si>
    <t>South EastAlmshouses of Miss Anne Hopkins-Smith</t>
  </si>
  <si>
    <t>North WestAlpha (R.S.L.) Limited</t>
  </si>
  <si>
    <t>West MidlandsAlpha (R.S.L.) Limited</t>
  </si>
  <si>
    <t>Yorkshire and the HumberAlpha (R.S.L.) Limited</t>
  </si>
  <si>
    <t>West MidlandsAlpha Housing Co-operative Limited</t>
  </si>
  <si>
    <t>North WestAlt Housing Co-operative Limited</t>
  </si>
  <si>
    <t>LondonAmicus Group Limited</t>
  </si>
  <si>
    <t>East MidlandsAnchor Hanover Group</t>
  </si>
  <si>
    <t>East of EnglandAnchor Hanover Group</t>
  </si>
  <si>
    <t>LondonAnchor Hanover Group</t>
  </si>
  <si>
    <t>North EastAnchor Hanover Group</t>
  </si>
  <si>
    <t>North WestAnchor Hanover Group</t>
  </si>
  <si>
    <t>South EastAnchor Hanover Group</t>
  </si>
  <si>
    <t>South WestAnchor Hanover Group</t>
  </si>
  <si>
    <t>West MidlandsAnchor Hanover Group</t>
  </si>
  <si>
    <t>Yorkshire and the HumberAnchor Hanover Group</t>
  </si>
  <si>
    <t>South EastAnchor Property Holdings Limited</t>
  </si>
  <si>
    <t>LondonAnerley Housing Co-operative Limited</t>
  </si>
  <si>
    <t>South EastAngiers Almshouse Charity</t>
  </si>
  <si>
    <t>East MidlandsAnnie Sutton and Hoult Memorial Houses</t>
  </si>
  <si>
    <t>North WestArawak Walton Housing Association Limited</t>
  </si>
  <si>
    <t>East MidlandsArches Housing Limited</t>
  </si>
  <si>
    <t>Yorkshire and the HumberArches Housing Limited</t>
  </si>
  <si>
    <t>East of EnglandArgyle Street Housing Co-operative Limited</t>
  </si>
  <si>
    <t>East of EnglandArhag Housing Association Limited</t>
  </si>
  <si>
    <t>LondonArhag Housing Association Limited</t>
  </si>
  <si>
    <t>LondonArneway Housing Co-operative Limited</t>
  </si>
  <si>
    <t>East MidlandsArpeggio Properties Limited</t>
  </si>
  <si>
    <t>East of EnglandArpeggio Properties Limited</t>
  </si>
  <si>
    <t>LondonArpeggio Properties Limited</t>
  </si>
  <si>
    <t>North EastArpeggio Properties Limited</t>
  </si>
  <si>
    <t>North WestArpeggio Properties Limited</t>
  </si>
  <si>
    <t>South EastArpeggio Properties Limited</t>
  </si>
  <si>
    <t>South WestArpeggio Properties Limited</t>
  </si>
  <si>
    <t>West MidlandsArpeggio Properties Limited</t>
  </si>
  <si>
    <t>Yorkshire and the HumberArpeggio Properties Limited</t>
  </si>
  <si>
    <t>LondonArundel Buildings Housing Co-operative Limited</t>
  </si>
  <si>
    <t>East of EnglandAsett Homes Ltd</t>
  </si>
  <si>
    <t>East MidlandsAshbourne Almshouse Charity</t>
  </si>
  <si>
    <t>South EastAshford Pavilion Housing Co-operative Limited</t>
  </si>
  <si>
    <t>South WestAshley Community &amp; Housing Ltd</t>
  </si>
  <si>
    <t>West MidlandsAshley Community &amp; Housing Ltd</t>
  </si>
  <si>
    <t>LondonAsh-Shahada Housing Association Limited</t>
  </si>
  <si>
    <t>North WestAshton Pioneer Homes Limited</t>
  </si>
  <si>
    <t>North WestAspire Housing Limited</t>
  </si>
  <si>
    <t>West MidlandsAspire Housing Limited</t>
  </si>
  <si>
    <t>North WestAssured Living Housing Association Limited</t>
  </si>
  <si>
    <t>South EastAster 3 Limited</t>
  </si>
  <si>
    <t>South WestAster 3 Limited</t>
  </si>
  <si>
    <t>South EastAster Communities</t>
  </si>
  <si>
    <t>South WestAster Communities</t>
  </si>
  <si>
    <t>LondonAston-Mansfield Charitable Trust</t>
  </si>
  <si>
    <t>North EastAth-Gray Housing Co-operative Limited</t>
  </si>
  <si>
    <t>East MidlandsAuckland Home Solutions CIC</t>
  </si>
  <si>
    <t>East of EnglandAuckland Home Solutions CIC</t>
  </si>
  <si>
    <t>LondonAuckland Home Solutions CIC</t>
  </si>
  <si>
    <t>North EastAuckland Home Solutions CIC</t>
  </si>
  <si>
    <t>North WestAuckland Home Solutions CIC</t>
  </si>
  <si>
    <t>South EastAuckland Home Solutions CIC</t>
  </si>
  <si>
    <t>South WestAuckland Home Solutions CIC</t>
  </si>
  <si>
    <t>West MidlandsAuckland Home Solutions CIC</t>
  </si>
  <si>
    <t>Yorkshire and the HumberAuckland Home Solutions CIC</t>
  </si>
  <si>
    <t>East MidlandsAuxesia Homes Limited</t>
  </si>
  <si>
    <t>North WestAuxesia Homes Limited</t>
  </si>
  <si>
    <t>West MidlandsAuxesia Homes Limited</t>
  </si>
  <si>
    <t>Yorkshire and the HumberAuxesia Homes Limited</t>
  </si>
  <si>
    <t>LondonAWOL London Limited</t>
  </si>
  <si>
    <t>East of EnglandAylott Janes Almshouses</t>
  </si>
  <si>
    <t>East of EnglandB3 Living Limited</t>
  </si>
  <si>
    <t>LondonBahay Kubo Housing Association Limited</t>
  </si>
  <si>
    <t>East of EnglandBalkerne Gardens Trust Limited</t>
  </si>
  <si>
    <t>West MidlandsBalsall Heath Housing Co-operative Limited</t>
  </si>
  <si>
    <t>LondonBangla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</si>
  <si>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</si>
  <si>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</si>
  <si>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</si>
  <si>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</si>
  <si>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</si>
  <si>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</si>
  <si>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</si>
  <si>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</si>
  <si>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</si>
  <si>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South EastBenenden Almshouse Charities</t>
  </si>
  <si>
    <t>North EastBen-Motor and Allied Trades Benevolent Fund</t>
  </si>
  <si>
    <t>West MidlandsBen-Motor and Allied Trades Benevolent Fund</t>
  </si>
  <si>
    <t>North EastBernicia Group</t>
  </si>
  <si>
    <t>East MidlandsBespoke Supportive Tenancies Ltd</t>
  </si>
  <si>
    <t>East of EnglandBespoke Supportive Tenancies Ltd</t>
  </si>
  <si>
    <t>LondonBespoke Supportive Tenancies Ltd</t>
  </si>
  <si>
    <t>North EastBespoke Supportive Tenancies Ltd</t>
  </si>
  <si>
    <t>North WestBespoke Supportive Tenancies Ltd</t>
  </si>
  <si>
    <t>South EastBespoke Supportive Tenancies Ltd</t>
  </si>
  <si>
    <t>South WestBespoke Supportive Tenancies Ltd</t>
  </si>
  <si>
    <t>West MidlandsBespoke Supportive Tenancies Ltd</t>
  </si>
  <si>
    <t>Yorkshire and the HumberBespoke Supportive Tenancies Ltd</t>
  </si>
  <si>
    <t>East MidlandsBethel Housing Association Limited</t>
  </si>
  <si>
    <t>LondonBexley United Charities</t>
  </si>
  <si>
    <t>North EastBeyond Housing Limited</t>
  </si>
  <si>
    <t>Yorkshire and the HumberBeyond Housing Limited</t>
  </si>
  <si>
    <t>South EastBHT Sussex</t>
  </si>
  <si>
    <t>East of EnglandBillericay Community Housing Association Limited</t>
  </si>
  <si>
    <t>North WestBirkenhead Forum Housing Association Limited</t>
  </si>
  <si>
    <t>West MidlandsBirmingham Civic Housing Association Limited</t>
  </si>
  <si>
    <t>West MidlandsBirmingham Jewish Housing Association Limited</t>
  </si>
  <si>
    <t>East of EnglandBirnbeck Housing Association Limited</t>
  </si>
  <si>
    <t>LondonBirnbeck Housing Association Limited</t>
  </si>
  <si>
    <t>South EastBirnbeck Housing Association Limited</t>
  </si>
  <si>
    <t>South WestBirnbeck Housing Association Limited</t>
  </si>
  <si>
    <t>West MidlandsBirnbeck Housing Association Limited</t>
  </si>
  <si>
    <t>West MidlandsBlack Country Housing Group Limited</t>
  </si>
  <si>
    <t>East of EnglandBlackburn YMCA</t>
  </si>
  <si>
    <t>North EastBlackburn YMCA</t>
  </si>
  <si>
    <t>North WestBlackburn YMCA</t>
  </si>
  <si>
    <t>South EastBlackburn YMCA</t>
  </si>
  <si>
    <t>South WestBlackburn YMCA</t>
  </si>
  <si>
    <t>West MidlandsBlackburn YMCA</t>
  </si>
  <si>
    <t>Yorkshire and the HumberBlackburn YMCA</t>
  </si>
  <si>
    <t>South EastBlenheim Housing Co-operative Limited</t>
  </si>
  <si>
    <t>North WestBlue Pits Housing Action</t>
  </si>
  <si>
    <t>LondonBlue Square Residential Ltd</t>
  </si>
  <si>
    <t>North WestBlue Square Residential Ltd</t>
  </si>
  <si>
    <t>South WestBlue Square Residential Ltd</t>
  </si>
  <si>
    <t>West MidlandsBlue Square Residential Ltd</t>
  </si>
  <si>
    <t>Yorkshire and the HumberBlue Square Residential Ltd</t>
  </si>
  <si>
    <t>East of EnglandBocking United Charities</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</si>
  <si>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</si>
  <si>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</si>
  <si>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</si>
  <si>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</si>
  <si>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</si>
  <si>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</si>
  <si>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</si>
  <si>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</si>
  <si>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</si>
  <si>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</si>
  <si>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</si>
  <si>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</si>
  <si>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</si>
  <si>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East Midlandsbpha Limited</t>
  </si>
  <si>
    <t>East of Englandbpha Limited</t>
  </si>
  <si>
    <t>South Eastbpha Limited</t>
  </si>
  <si>
    <t>South Westbpha Limited</t>
  </si>
  <si>
    <t>West Midlandsbpha Limited</t>
  </si>
  <si>
    <t>Yorkshire and the Humberbpha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</si>
  <si>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</si>
  <si>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</si>
  <si>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</si>
  <si>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</si>
  <si>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</si>
  <si>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</si>
  <si>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East of EnglandBrentwood Housing Trust Limited</t>
  </si>
  <si>
    <t>LondonBrentwood Housing Trust Limited</t>
  </si>
  <si>
    <t>Yorkshire and the HumberBridge-It Housing UK Team Ltd</t>
  </si>
  <si>
    <t>South WestBridgwater Young Men's Christian Association</t>
  </si>
  <si>
    <t>West MidlandsBrighter Futures Housing Association Limited</t>
  </si>
  <si>
    <t>South WestBrighter Places</t>
  </si>
  <si>
    <t>South EastBrighton and Hove Jewish Housing Association Limited</t>
  </si>
  <si>
    <t>LondonBrighton Buildings Housing Co-operative Limited</t>
  </si>
  <si>
    <t>South EastBrighton Lions Housing Society Limited</t>
  </si>
  <si>
    <t>South EastBrighton YMCA</t>
  </si>
  <si>
    <t>South WestBristol and Anchor Almshouse Charity</t>
  </si>
  <si>
    <t>South WestBristol CLT Limited</t>
  </si>
  <si>
    <t>South WestBristowe (Fair Rent) Housing Association Limited</t>
  </si>
  <si>
    <t>LondonBrixton Housing Co-operative Limited</t>
  </si>
  <si>
    <t>North EastBroadacres Housing Association Limited</t>
  </si>
  <si>
    <t>Yorkshire and the HumberBroadacres Housing Association Limited</t>
  </si>
  <si>
    <t>West MidlandsBroadening Choices for Older People</t>
  </si>
  <si>
    <t>East of EnglandBroadland Housing Association Limited</t>
  </si>
  <si>
    <t>LondonBroadway Living RP Limited</t>
  </si>
  <si>
    <t>LondonBrockley Tenants Co-operative Limited</t>
  </si>
  <si>
    <t>South EastBromford Home Ownership Limited</t>
  </si>
  <si>
    <t>West MidlandsBromford Home Ownership Limited</t>
  </si>
  <si>
    <t>East MidlandsBromford Housing Association Limited</t>
  </si>
  <si>
    <t>South EastBromford Housing Association Limited</t>
  </si>
  <si>
    <t>South WestBromford Housing Association Limited</t>
  </si>
  <si>
    <t>West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</si>
  <si>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</si>
  <si>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</si>
  <si>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</si>
  <si>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</si>
  <si>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</si>
  <si>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</si>
  <si>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</si>
  <si>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WestBucklehaven</t>
  </si>
  <si>
    <t>West MidlandsButlin and Elborow Housing Trust</t>
  </si>
  <si>
    <t>Yorkshire and the HumberCalder Valley Community Land Trust Limited</t>
  </si>
  <si>
    <t>North WestCalico Homes Limited</t>
  </si>
  <si>
    <t>North WestCanning Housing Co-operative Limited</t>
  </si>
  <si>
    <t>East MidlandsCare Housing Association Limited</t>
  </si>
  <si>
    <t>North EastCare Housing Association Limited</t>
  </si>
  <si>
    <t>North WestCare Housing Association Limited</t>
  </si>
  <si>
    <t>Yorkshire and the HumberCare Housing Association Limited</t>
  </si>
  <si>
    <t>North WestCastle Housing Limited</t>
  </si>
  <si>
    <t>North EastCastles &amp; Coasts Housing Association Limited</t>
  </si>
  <si>
    <t>North WestCastles &amp; Coasts Housing Association Limited</t>
  </si>
  <si>
    <t>Yorkshire and the HumberCastles &amp; Coasts Housing Association Limited</t>
  </si>
  <si>
    <t>North WestCathedral Mansions Housing Co-operative Limited</t>
  </si>
  <si>
    <t>LondonCedarmore Housing Association Limited</t>
  </si>
  <si>
    <t>LondonCentral and Cecil Housing Trust</t>
  </si>
  <si>
    <t>South EastCentral and Cecil Housing Trust</t>
  </si>
  <si>
    <t>LondonCentrepoint Soho</t>
  </si>
  <si>
    <t>North WestCentrepoint Soho</t>
  </si>
  <si>
    <t>Yorkshire and the HumberCentrepoint Soho</t>
  </si>
  <si>
    <t>LondonChanging Lives Housing Trust</t>
  </si>
  <si>
    <t>South WestCharity of Alice Dale</t>
  </si>
  <si>
    <t>Yorkshire and the HumberCharity Of Elizabeth Wadsworth</t>
  </si>
  <si>
    <t>South WestCharity of Jonathan &amp; Rebecca Edwards</t>
  </si>
  <si>
    <t>South EastCharity of Julia Spicer for Almshouses</t>
  </si>
  <si>
    <t>North WestCharity of Marjorie Hurst</t>
  </si>
  <si>
    <t>West MidlandsCharity of Mrs Catherine Walker</t>
  </si>
  <si>
    <t>East of EnglandCharity of William Brereton for the Poor</t>
  </si>
  <si>
    <t>Yorkshire and the HumberCharles Edward Sugden's Almshouses</t>
  </si>
  <si>
    <t>LondonCharlton Triangle Homes Limited</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</si>
  <si>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</si>
  <si>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</si>
  <si>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</si>
  <si>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</si>
  <si>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</si>
  <si>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</si>
  <si>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East MidlandsCheshire Peaks &amp; Plains Housing Trust Limited</t>
  </si>
  <si>
    <t>North WestCheshire Peaks &amp; Plains Housing Trust Limited</t>
  </si>
  <si>
    <t>East MidlandsChesterfield Churches Housing Association Limited</t>
  </si>
  <si>
    <t>South EastChichester Greyfriars Housing Association Limited</t>
  </si>
  <si>
    <t>LondonChippenham Housing Co-operative Limited</t>
  </si>
  <si>
    <t>East of EnglandChisel Limited</t>
  </si>
  <si>
    <t>LondonChisel Limited</t>
  </si>
  <si>
    <t>South EastChisel Limited</t>
  </si>
  <si>
    <t>LondonChislehurst and Sidcup Housing Association</t>
  </si>
  <si>
    <t>West MidlandsChoices Housing Association Limited</t>
  </si>
  <si>
    <t>LondonChristian Action (Enfield) Housing Association Limited</t>
  </si>
  <si>
    <t>East MidlandsChrysalis Supported Association Limited</t>
  </si>
  <si>
    <t>East of EnglandChrysalis Supported Association Limited</t>
  </si>
  <si>
    <t>LondonChrysalis Supported Association Limited</t>
  </si>
  <si>
    <t>North WestChrysalis Supported Association Limited</t>
  </si>
  <si>
    <t>South EastChrysalis Supported Association Limited</t>
  </si>
  <si>
    <t>South WestChrysalis Supported Association Limited</t>
  </si>
  <si>
    <t>West MidlandsChrysalis Supported Association Limited</t>
  </si>
  <si>
    <t>Yorkshire and the HumberChrysalis Supported Association Limited</t>
  </si>
  <si>
    <t>South EastChurch Almshouses Charity</t>
  </si>
  <si>
    <t>South EastChurch of England Soldiers' Sailors' and Airmen's Housing Association Limited</t>
  </si>
  <si>
    <t>West MidlandsChurches Housing Assocation of Dudley and District Limited</t>
  </si>
  <si>
    <t>South WestCitizen Housing Group Limited</t>
  </si>
  <si>
    <t>West MidlandsCitizen Housing Group Limited</t>
  </si>
  <si>
    <t>South WestCity of Exeter YMCA</t>
  </si>
  <si>
    <t>North WestCity Of Liverpool YMCA (Incorporated)</t>
  </si>
  <si>
    <t>South WestCity of Wells Almshouses</t>
  </si>
  <si>
    <t>East MidlandsClarion Housing Association Limited</t>
  </si>
  <si>
    <t>East of EnglandClarion Housing Association Limited</t>
  </si>
  <si>
    <t>LondonClarion Housing Association Limited</t>
  </si>
  <si>
    <t>North WestClarion Housing Association Limited</t>
  </si>
  <si>
    <t>South EastClarion Housing Association Limited</t>
  </si>
  <si>
    <t>South WestClarion Housing Association Limited</t>
  </si>
  <si>
    <t>West MidlandsClarion Housing Association Limited</t>
  </si>
  <si>
    <t>Yorkshire and the HumberClarion Housing Association Limited</t>
  </si>
  <si>
    <t>West MidlandsClifton Parish Houses</t>
  </si>
  <si>
    <t>LondonClissold Housing Co-operative Limited</t>
  </si>
  <si>
    <t>South WestCoastline Housing Limited</t>
  </si>
  <si>
    <t>North WestCobalt Housing Limited</t>
  </si>
  <si>
    <t>South EastCollins Memorial Trust</t>
  </si>
  <si>
    <t>North WestColonel Slater Homes</t>
  </si>
  <si>
    <t>Yorkshire and the HumberColton's Hospital</t>
  </si>
  <si>
    <t>North WestCommonplace Housing Co-operative Limited</t>
  </si>
  <si>
    <t>North WestCommunity Gateway Association Limited</t>
  </si>
  <si>
    <t>LondonConcept Housing Association CIC</t>
  </si>
  <si>
    <t>North WestConcept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</si>
  <si>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</si>
  <si>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</si>
  <si>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</si>
  <si>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</si>
  <si>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</si>
  <si>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East of EnglandCo-op Homes (South) Limited</t>
  </si>
  <si>
    <t>LondonCo-op Homes (South) Limited</t>
  </si>
  <si>
    <t>South EastCo-op Homes (South) Limited</t>
  </si>
  <si>
    <t>East of EnglandCo-operative Development Society Limited</t>
  </si>
  <si>
    <t>LondonCo-operative Development Society Limited</t>
  </si>
  <si>
    <t>South EastCo-operative Development Society Limited</t>
  </si>
  <si>
    <t>North WestCo-operative Schemes for the Elderly Limited</t>
  </si>
  <si>
    <t>North WestCorn and Yates Streets Housing Co-operative Limited</t>
  </si>
  <si>
    <t>South WestCornerstone Housing Limited</t>
  </si>
  <si>
    <t>South WestCornwall CLT Limited</t>
  </si>
  <si>
    <t>South WestCornwall Housing Limited</t>
  </si>
  <si>
    <t>South WestCornwall Rural Housing Association Limited</t>
  </si>
  <si>
    <t>East of EnglandCorton House Limited</t>
  </si>
  <si>
    <t>East MidlandsCossington Housing Co-operative Limited</t>
  </si>
  <si>
    <t>South EastCottsway 2</t>
  </si>
  <si>
    <t>South EastCottsway Housing Association Limited</t>
  </si>
  <si>
    <t>South WestCottsway Housing Association Limited</t>
  </si>
  <si>
    <t>West MidlandsCottsway Housing Association Limited</t>
  </si>
  <si>
    <t>South EastCountess of Derby's Almshouse</t>
  </si>
  <si>
    <t>West MidlandsCoventry Church (Municipal) Charities</t>
  </si>
  <si>
    <t>South EastCrawley Open House</t>
  </si>
  <si>
    <t>LondonCraymill Housing Co-operative Limited</t>
  </si>
  <si>
    <t>East MidlandsCreative Support Limited</t>
  </si>
  <si>
    <t>North EastCreative Support Limited</t>
  </si>
  <si>
    <t>North WestCreative Support Limited</t>
  </si>
  <si>
    <t>South EastCreative Support Limited</t>
  </si>
  <si>
    <t>West MidlandsCreative Support Limited</t>
  </si>
  <si>
    <t>Yorkshire and the HumberCreative Support Limited</t>
  </si>
  <si>
    <t>North WestCrewe YMCA Limited</t>
  </si>
  <si>
    <t>North WestCroft Housing Association Limited</t>
  </si>
  <si>
    <t>LondonCromwood Housing Ltd</t>
  </si>
  <si>
    <t>North WestCromwood Housing Ltd</t>
  </si>
  <si>
    <t>North WestCrosby Housing Association Limited</t>
  </si>
  <si>
    <t>East MidlandsCross Keys Homes Limited</t>
  </si>
  <si>
    <t>East of EnglandCross Keys Homes Limited</t>
  </si>
  <si>
    <t>South EastCross Keys Homes Limited</t>
  </si>
  <si>
    <t>LondonCross Lances Housing Co-operative Limited</t>
  </si>
  <si>
    <t>LondonCroydon Churches Housing Association Limited</t>
  </si>
  <si>
    <t>South WestCuro Group (Albion) Limited</t>
  </si>
  <si>
    <t>South WestCuro Places Limited</t>
  </si>
  <si>
    <t>East of EnglandCWL Housing</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</si>
  <si>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</si>
  <si>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</si>
  <si>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</si>
  <si>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</si>
  <si>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</si>
  <si>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</si>
  <si>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</si>
  <si>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</si>
  <si>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</si>
  <si>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</si>
  <si>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LondonDepaul Housing Services</t>
  </si>
  <si>
    <t>North EastDepaul Housing Services</t>
  </si>
  <si>
    <t>North WestDepaul Housing Services</t>
  </si>
  <si>
    <t>LondonDeptford Housing Co-operative Limited</t>
  </si>
  <si>
    <t>East MidlandsDerby Homes Limited</t>
  </si>
  <si>
    <t>East MidlandsDerventio Housing Trust CIC</t>
  </si>
  <si>
    <t>LondonDholak Partnership Homes Limited</t>
  </si>
  <si>
    <t>East MidlandsDimensions (UK) Limited</t>
  </si>
  <si>
    <t>East of EnglandDimensions (UK) Limited</t>
  </si>
  <si>
    <t>LondonDimensions (UK) Limited</t>
  </si>
  <si>
    <t>North EastDimensions (UK) Limited</t>
  </si>
  <si>
    <t>North WestDimensions (UK) Limited</t>
  </si>
  <si>
    <t>South EastDimensions (UK) Limited</t>
  </si>
  <si>
    <t>South WestDimensions (UK) Limited</t>
  </si>
  <si>
    <t>West MidlandsDimensions (UK) Limited</t>
  </si>
  <si>
    <t>Yorkshire and the HumberDimensions (UK) Limited</t>
  </si>
  <si>
    <t>North WestDingle Residents Co-operative Limited</t>
  </si>
  <si>
    <t>LondonDistrict Homes C.I.C</t>
  </si>
  <si>
    <t>North WestDistrict Homes C.I.C</t>
  </si>
  <si>
    <t>Yorkshire and the HumberDoncaster Young Men's Christian Association</t>
  </si>
  <si>
    <t>South WestDorchester Almshouses</t>
  </si>
  <si>
    <t>South EastDorking Charity</t>
  </si>
  <si>
    <t>South EastDormer's Hospital Charity</t>
  </si>
  <si>
    <t>LondonDovepark Properties Limited</t>
  </si>
  <si>
    <t>South EastDovepark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</si>
  <si>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</si>
  <si>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</si>
  <si>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</si>
  <si>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</si>
  <si>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</si>
  <si>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South WestEarle's Retreat</t>
  </si>
  <si>
    <t>North EastEarsdon, Newburn and Shilbottle Almshouse Charity</t>
  </si>
  <si>
    <t>South WestEast Boro Housing Trust Limited</t>
  </si>
  <si>
    <t>LondonEast End Homes Limited</t>
  </si>
  <si>
    <t>East of EnglandEastlight Community Homes Limited</t>
  </si>
  <si>
    <t>West MidlandsEasy Housing Association</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</si>
  <si>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</si>
  <si>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</si>
  <si>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</si>
  <si>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</si>
  <si>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</si>
  <si>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</si>
  <si>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</si>
  <si>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</si>
  <si>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</si>
  <si>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</si>
  <si>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</si>
  <si>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</si>
  <si>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EastElizabeth Huggins Cottages Charity</t>
  </si>
  <si>
    <t>South EastElles Housing Co-operative Limited</t>
  </si>
  <si>
    <t>South EastElm Trees Retirement Living Limited</t>
  </si>
  <si>
    <t>East MidlandsEMH Housing and Regeneration Limited</t>
  </si>
  <si>
    <t>East of EnglandEMH Housing and Regeneration Limited</t>
  </si>
  <si>
    <t>West MidlandsEMH Housing and Regeneration Limited</t>
  </si>
  <si>
    <t>Yorkshire and the HumberEMH Housing and Regeneration Limited</t>
  </si>
  <si>
    <t>Yorkshire and the HumberEmily Bentley Homes</t>
  </si>
  <si>
    <t>South WestEmily Brydges Willyams Memorial Houses</t>
  </si>
  <si>
    <t>East MidlandsEmpower Housing Association Limited</t>
  </si>
  <si>
    <t>East of EnglandEmpower Housing Association Limited</t>
  </si>
  <si>
    <t>LondonEmpower Housing Association Limited</t>
  </si>
  <si>
    <t>North EastEmpower Housing Association Limited</t>
  </si>
  <si>
    <t>North WestEmpower Housing Association Limited</t>
  </si>
  <si>
    <t>South EastEmpower Housing Association Limited</t>
  </si>
  <si>
    <t>South WestEmpower Housing Association Limited</t>
  </si>
  <si>
    <t>West MidlandsEmpower Housing Association Limited</t>
  </si>
  <si>
    <t>West MidlandsEmpowering People Inspiring Communities Limited</t>
  </si>
  <si>
    <t>East MidlandsEncircle Housing</t>
  </si>
  <si>
    <t>East of EnglandEncircle Housing</t>
  </si>
  <si>
    <t>LondonEncircle Housing</t>
  </si>
  <si>
    <t>North EastEncircle Housing</t>
  </si>
  <si>
    <t>North WestEncircle Housing</t>
  </si>
  <si>
    <t>South EastEncircle Housing</t>
  </si>
  <si>
    <t>South WestEncircle Housing</t>
  </si>
  <si>
    <t>West MidlandsEncircle Housing</t>
  </si>
  <si>
    <t>Yorkshire and the HumberEncircle Housing</t>
  </si>
  <si>
    <t>East MidlandsEnglish Rural Housing Association Limited</t>
  </si>
  <si>
    <t>East of EnglandEnglish Rural Housing Association Limited</t>
  </si>
  <si>
    <t>North WestEnglish Rural Housing Association Limited</t>
  </si>
  <si>
    <t>South EastEnglish Rural Housing Association Limited</t>
  </si>
  <si>
    <t>South WestEnglish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</si>
  <si>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</si>
  <si>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</si>
  <si>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</si>
  <si>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</si>
  <si>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</si>
  <si>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</si>
  <si>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</si>
  <si>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</si>
  <si>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</si>
  <si>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</si>
  <si>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</si>
  <si>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MidlandsFairhive Homes Limited</t>
  </si>
  <si>
    <t>East of EnglandFairhive Homes Limited</t>
  </si>
  <si>
    <t>South EastFairhive Homes Limited</t>
  </si>
  <si>
    <t>South EastFairplace Homes Ltd</t>
  </si>
  <si>
    <t>West MidlandsFairplace Homes Ltd</t>
  </si>
  <si>
    <t>East MidlandsFalcon Housing Association C.I.C</t>
  </si>
  <si>
    <t>East of EnglandFalcon Housing Association C.I.C</t>
  </si>
  <si>
    <t>LondonFalcon Housing Association C.I.C</t>
  </si>
  <si>
    <t>North EastFalcon Housing Association C.I.C</t>
  </si>
  <si>
    <t>North WestFalcon Housing Association C.I.C</t>
  </si>
  <si>
    <t>South EastFalcon Housing Association C.I.C</t>
  </si>
  <si>
    <t>South WestFalcon Housing Association C.I.C</t>
  </si>
  <si>
    <t>West MidlandsFalcon Housing Association C.I.C</t>
  </si>
  <si>
    <t>Yorkshire and the HumberFalcon Housing Association C.I.C</t>
  </si>
  <si>
    <t>South WestFalcon Rural Housing Limited</t>
  </si>
  <si>
    <t>North EastFalconar Street Housing Co-operative Limited</t>
  </si>
  <si>
    <t>North WestFamily Housing Association (Birkenhead and Wirral) Limited</t>
  </si>
  <si>
    <t>East MidlandsFarmer and Lemmoin-Cannon Charity</t>
  </si>
  <si>
    <t>North WestFence Trust</t>
  </si>
  <si>
    <t>LondonFinsbury Park Housing Co-operative Limited</t>
  </si>
  <si>
    <t>North WestFirst Choice Homes Oldham Limited</t>
  </si>
  <si>
    <t>East of EnglandFirst Garden Cities Homes Limited</t>
  </si>
  <si>
    <t>East MidlandsFirst Priority Housing Association Limited</t>
  </si>
  <si>
    <t>East of EnglandFirst Priority Housing Association Limited</t>
  </si>
  <si>
    <t>North WestFirst Priority Housing Association Limited</t>
  </si>
  <si>
    <t>South EastFirst Priority Housing Association Limited</t>
  </si>
  <si>
    <t>South WestFirst Priority Housing Association Limited</t>
  </si>
  <si>
    <t>West MidlandsFirst Priority Housing Association Limited</t>
  </si>
  <si>
    <t>LondonFirst Wave Housing Limited</t>
  </si>
  <si>
    <t>South EastFitzgerald Charity</t>
  </si>
  <si>
    <t>South EastFive Villages Home Association Limited</t>
  </si>
  <si>
    <t>East of EnglandFlagship Housing Group Limited</t>
  </si>
  <si>
    <t>West MidlandsFlint Housing Limited</t>
  </si>
  <si>
    <t>South WestFord Street and Maynard Almshouse Charity</t>
  </si>
  <si>
    <t>Yorkshire and the HumberForest Hill (Sheltered) Housing Limited</t>
  </si>
  <si>
    <t>LondonForest Housing Association Limited</t>
  </si>
  <si>
    <t>North WestForHousing Limited</t>
  </si>
  <si>
    <t>Yorkshire and the HumberFoundation</t>
  </si>
  <si>
    <t>South WestFountain Housing Association Limited</t>
  </si>
  <si>
    <t>East MidlandsFramework Housing Association</t>
  </si>
  <si>
    <t>West MidlandsFramework Housing Association</t>
  </si>
  <si>
    <t>Yorkshire and the HumberFramework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</si>
  <si>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</si>
  <si>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</si>
  <si>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</si>
  <si>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</si>
  <si>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</si>
  <si>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South WestFrench Weir Affordable Homes LLP</t>
  </si>
  <si>
    <t>North WestFrontis Homes Limited</t>
  </si>
  <si>
    <t>South EastFrontis Homes Limited</t>
  </si>
  <si>
    <t>South WestFrontis Homes Limited</t>
  </si>
  <si>
    <t>West MidlandsFrontis Homes Limited</t>
  </si>
  <si>
    <t>Yorkshire and the HumberFrontis Homes Limited</t>
  </si>
  <si>
    <t>East of EnglandFunding Affordable Homes Housing Association Limited</t>
  </si>
  <si>
    <t>East MidlandsFutures Homescape Limited</t>
  </si>
  <si>
    <t>East of EnglandFutures Homescape Limited</t>
  </si>
  <si>
    <t>East MidlandsFutures Homeway Limited</t>
  </si>
  <si>
    <t>East of EnglandGateway Housing Association Limited</t>
  </si>
  <si>
    <t>LondonGateway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</si>
  <si>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</si>
  <si>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</si>
  <si>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</si>
  <si>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</si>
  <si>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</si>
  <si>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</si>
  <si>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LondonGlebe Housing Association Limited</t>
  </si>
  <si>
    <t>South WestGloucester City Homes Limited</t>
  </si>
  <si>
    <t>West MidlandsGlover's Trust Endowed Fund</t>
  </si>
  <si>
    <t>South EastGolden Hill Housing Co-operative Limited</t>
  </si>
  <si>
    <t>East MidlandsGolden Lane Housing Limited</t>
  </si>
  <si>
    <t>East of EnglandGolden Lane Housing Limited</t>
  </si>
  <si>
    <t>LondonGolden Lane Housing Limited</t>
  </si>
  <si>
    <t>North EastGolden Lane Housing Limited</t>
  </si>
  <si>
    <t>North WestGolden Lane Housing Limited</t>
  </si>
  <si>
    <t>South EastGolden Lane Housing Limited</t>
  </si>
  <si>
    <t>South WestGolden Lane Housing Limited</t>
  </si>
  <si>
    <t>West MidlandsGolden Lane Housing Limited</t>
  </si>
  <si>
    <t>Yorkshire and the HumberGolden Lane Housing Limited</t>
  </si>
  <si>
    <t>LondonGolding Homes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</si>
  <si>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</si>
  <si>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</si>
  <si>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</si>
  <si>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</si>
  <si>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</si>
  <si>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</si>
  <si>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</si>
  <si>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</si>
  <si>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East MidlandsGrand Union Housing Group Limited</t>
  </si>
  <si>
    <t>East of EnglandGrand Union Housing Group Limited</t>
  </si>
  <si>
    <t>South EastGrand Union Housing Group Limited</t>
  </si>
  <si>
    <t>Yorkshire and the HumberGrantham's Almshouses</t>
  </si>
  <si>
    <t>North WestGranville Community Homes Limited</t>
  </si>
  <si>
    <t>South EastGravesend Churches Housing Association Limited</t>
  </si>
  <si>
    <t>East of EnglandGreat Hospital</t>
  </si>
  <si>
    <t>East MidlandsGreat Places Housing Association</t>
  </si>
  <si>
    <t>North WestGreat Places Housing Association</t>
  </si>
  <si>
    <t>South EastGreat Places Housing Association</t>
  </si>
  <si>
    <t>West MidlandsGreat Places Housing Association</t>
  </si>
  <si>
    <t>Yorkshire and the HumberGreat Places Housing Association</t>
  </si>
  <si>
    <t>LondonGreat Wall Society Limited</t>
  </si>
  <si>
    <t>East MidlandsGreatwell Homes Limited</t>
  </si>
  <si>
    <t>LondonGreen Dragon Lane Housing Co-operative Limited</t>
  </si>
  <si>
    <t>LondonGreenhill Housing Association</t>
  </si>
  <si>
    <t>South EastGreenhill Housing Association</t>
  </si>
  <si>
    <t>South EastGreenoak Housing Association Limited</t>
  </si>
  <si>
    <t>East MidlandsGreenSquareAccord Limited</t>
  </si>
  <si>
    <t>South EastGreenSquareAccord Limited</t>
  </si>
  <si>
    <t>South WestGreenSquareAccord Limited</t>
  </si>
  <si>
    <t>West MidlandsGreenSquareAccord Limited</t>
  </si>
  <si>
    <t>LondonGreenwich Housing Society Limited</t>
  </si>
  <si>
    <t>West MidlandsGrevayne Social Housing Limited</t>
  </si>
  <si>
    <t>Yorkshire and the HumberGrimsby Cleethorpes and Humber Region Y.M.C.A.</t>
  </si>
  <si>
    <t>South EastGuild Care</t>
  </si>
  <si>
    <t>South EastGuildford Sunset Homes</t>
  </si>
  <si>
    <t>South WestGuinness Housing Association Limited</t>
  </si>
  <si>
    <t>East MidlandsHabinteg Housing Association Limited</t>
  </si>
  <si>
    <t>East of EnglandHabinteg Housing Association Limited</t>
  </si>
  <si>
    <t>LondonHabinteg Housing Association Limited</t>
  </si>
  <si>
    <t>North EastHabinteg Housing Association Limited</t>
  </si>
  <si>
    <t>North WestHabinteg Housing Association Limited</t>
  </si>
  <si>
    <t>South EastHabinteg Housing Association Limited</t>
  </si>
  <si>
    <t>South WestHabinteg Housing Association Limited</t>
  </si>
  <si>
    <t>West MidlandsHabinteg Housing Association Limited</t>
  </si>
  <si>
    <t>Yorkshire and the HumberHabinteg Housing Association Limited</t>
  </si>
  <si>
    <t>South EastHabitare Homes Limited</t>
  </si>
  <si>
    <t>LondonHackney Housing Co-operative Limited</t>
  </si>
  <si>
    <t>LondonHackney Parish Almshouses Charity</t>
  </si>
  <si>
    <t>East MidlandsHalo Housing Association Limited</t>
  </si>
  <si>
    <t>East of EnglandHalo Housing Association Limited</t>
  </si>
  <si>
    <t>LondonHalo Housing Association Limited</t>
  </si>
  <si>
    <t>North EastHalo Housing Association Limited</t>
  </si>
  <si>
    <t>North WestHalo Housing Association Limited</t>
  </si>
  <si>
    <t>South EastHalo Housing Association Limited</t>
  </si>
  <si>
    <t>West MidlandsHalo Housing Association Limited</t>
  </si>
  <si>
    <t>Yorkshire and the HumberHalo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</si>
  <si>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</si>
  <si>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</si>
  <si>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</si>
  <si>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</si>
  <si>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</si>
  <si>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South WestHarc Housing Association Limited</t>
  </si>
  <si>
    <t>LondonHarefield Parochial Charities</t>
  </si>
  <si>
    <t>East of EnglandHarlow Poors Charities</t>
  </si>
  <si>
    <t>South EastHarman Atwood For Almshouses and Curates House</t>
  </si>
  <si>
    <t>West MidlandsHarpers Marsh and Crumps Almshouse Charity</t>
  </si>
  <si>
    <t>Yorkshire and the HumberHarrison and Potter Trust</t>
  </si>
  <si>
    <t>LondonHarrison Housing</t>
  </si>
  <si>
    <t>Yorkshire and the HumberHarrogate Flower Fund Homes Limited</t>
  </si>
  <si>
    <t>Yorkshire and the HumberHarrogate Housing Association Limited</t>
  </si>
  <si>
    <t>Yorkshire and the HumberHarrogate Neighbours Housing Association Limited</t>
  </si>
  <si>
    <t>East MidlandsHastoe Housing Association Limited</t>
  </si>
  <si>
    <t>East of EnglandHastoe Housing Association Limited</t>
  </si>
  <si>
    <t>LondonHastoe Housing Association Limited</t>
  </si>
  <si>
    <t>South EastHastoe Housing Association Limited</t>
  </si>
  <si>
    <t>South WestHastoe Housing Association Limited</t>
  </si>
  <si>
    <t>LondonHatch Row Housing Co-operative Limited</t>
  </si>
  <si>
    <t>South EastHatton Housing Trust Limited</t>
  </si>
  <si>
    <t>South EastHavant Housing Association Limited</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</si>
  <si>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</si>
  <si>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</si>
  <si>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</si>
  <si>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</si>
  <si>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</si>
  <si>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</si>
  <si>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</si>
  <si>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</si>
  <si>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</si>
  <si>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LondonHendon Christian Housing Association Limited</t>
  </si>
  <si>
    <t>South EastHenley and District Housing Trust Limited</t>
  </si>
  <si>
    <t>South EastHenley YMCA</t>
  </si>
  <si>
    <t>East of EnglandHerring House Trust (Great Yarmouth)</t>
  </si>
  <si>
    <t>North WestHesketh Street Housing Co-operative Limited</t>
  </si>
  <si>
    <t>South EastHewitt Homes</t>
  </si>
  <si>
    <t>LondonHexagon Housing Association Limited</t>
  </si>
  <si>
    <t>South EastHexagon Housing Association Limited</t>
  </si>
  <si>
    <t>East MidlandsHeylo Housing Registered Provider Limited</t>
  </si>
  <si>
    <t>East of EnglandHeylo Housing Registered Provider Limited</t>
  </si>
  <si>
    <t>LondonHeylo Housing Registered Provider Limited</t>
  </si>
  <si>
    <t>North EastHeylo Housing Registered Provider Limited</t>
  </si>
  <si>
    <t>North WestHeylo Housing Registered Provider Limited</t>
  </si>
  <si>
    <t>South EastHeylo Housing Registered Provider Limited</t>
  </si>
  <si>
    <t>South WestHeylo Housing Registered Provider Limited</t>
  </si>
  <si>
    <t>West MidlandsHeylo Housing Registered Provider Limited</t>
  </si>
  <si>
    <t>Yorkshire and the HumberHeylo Housing Registered Provider Limited</t>
  </si>
  <si>
    <t>LondonHFL Homes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</si>
  <si>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</si>
  <si>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</si>
  <si>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</si>
  <si>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</si>
  <si>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</si>
  <si>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</si>
  <si>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East MidlandsHilldale Housing Association Limited</t>
  </si>
  <si>
    <t>East of EnglandHilldale Housing Association Limited</t>
  </si>
  <si>
    <t>LondonHilldale Housing Association Limited</t>
  </si>
  <si>
    <t>North WestHilldale Housing Association Limited</t>
  </si>
  <si>
    <t>South EastHilldale Housing Association Limited</t>
  </si>
  <si>
    <t>South WestHilldale Housing Association Limited</t>
  </si>
  <si>
    <t>West MidlandsHilldale Housing Association Limited</t>
  </si>
  <si>
    <t>Yorkshire and the HumberHilldale Housing Association Limited</t>
  </si>
  <si>
    <t>LondonHillside Housing Trust Limited</t>
  </si>
  <si>
    <t>North EastHirst Housing Co-operative Limited</t>
  </si>
  <si>
    <t>West MidlandsHolmwood Tenants Co-operative Limited</t>
  </si>
  <si>
    <t>North WestHolt Road Area Housing Co-operative Limited</t>
  </si>
  <si>
    <t>South EastHoly Trinity (Guildford) Housing Association Limited</t>
  </si>
  <si>
    <t>North WestHolyland Housing Co-operative Limited</t>
  </si>
  <si>
    <t>LondonHome from Home Housing Association Limited</t>
  </si>
  <si>
    <t>East MidlandsHome Group Limited</t>
  </si>
  <si>
    <t>East of EnglandHome Group Limited</t>
  </si>
  <si>
    <t>LondonHome Group Limited</t>
  </si>
  <si>
    <t>North EastHome Group Limited</t>
  </si>
  <si>
    <t>North WestHome Group Limited</t>
  </si>
  <si>
    <t>South EastHome Group Limited</t>
  </si>
  <si>
    <t>South WestHome Group Limited</t>
  </si>
  <si>
    <t>West MidlandsHome Group Limited</t>
  </si>
  <si>
    <t>Yorkshire and the HumberHome Group Limited</t>
  </si>
  <si>
    <t>East of EnglandHomeless Action Resource Project</t>
  </si>
  <si>
    <t>North WestHomes for Change Limited</t>
  </si>
  <si>
    <t>East of EnglandHomes for Wells Limited</t>
  </si>
  <si>
    <t>West MidlandsHomes Plus Limited</t>
  </si>
  <si>
    <t>LondonHomesdale (Woodford Baptist Homes) Limited</t>
  </si>
  <si>
    <t>North WestHoneycomb Group Limited</t>
  </si>
  <si>
    <t>West MidlandsHoneycomb Group Limited</t>
  </si>
  <si>
    <t>LondonHopton's Charity</t>
  </si>
  <si>
    <t>LondonHornsey Housing Trust Limited</t>
  </si>
  <si>
    <t>North EastHospital of St Mary The Virgin (Rye Hill &amp; Benwell)</t>
  </si>
  <si>
    <t>East MidlandsHousing 21</t>
  </si>
  <si>
    <t>East of EnglandHousing 21</t>
  </si>
  <si>
    <t>LondonHousing 21</t>
  </si>
  <si>
    <t>North EastHousing 21</t>
  </si>
  <si>
    <t>North WestHousing 21</t>
  </si>
  <si>
    <t>South EastHousing 21</t>
  </si>
  <si>
    <t>South WestHousing 21</t>
  </si>
  <si>
    <t>West MidlandsHousing 21</t>
  </si>
  <si>
    <t>Yorkshire and the HumberHousing 21</t>
  </si>
  <si>
    <t>LondonHousing For Women</t>
  </si>
  <si>
    <t>LondonHousing Pathways Trust</t>
  </si>
  <si>
    <t>East of EnglandHousing Solutions</t>
  </si>
  <si>
    <t>South EastHousing Solutions</t>
  </si>
  <si>
    <t>Yorkshire and the HumberHull and East Yorkshire Mind</t>
  </si>
  <si>
    <t>Yorkshire and the HumberHull Churches Housing Association Limited</t>
  </si>
  <si>
    <t>Yorkshire and the HumberHull House Improvement Society Limited</t>
  </si>
  <si>
    <t>Yorkshire and the HumberHull Resettlement Project Limited</t>
  </si>
  <si>
    <t>Yorkshire and the HumberHull United Charities</t>
  </si>
  <si>
    <t>North EastHumankind Charity</t>
  </si>
  <si>
    <t>North WestHumankind Charity</t>
  </si>
  <si>
    <t>West MidlandsHumankind Charity</t>
  </si>
  <si>
    <t>Yorkshire and the HumberHumankind Charity</t>
  </si>
  <si>
    <t>North WestHumphrey Booth Housing Charity</t>
  </si>
  <si>
    <t>East of EnglandHundred Houses Society Limited</t>
  </si>
  <si>
    <t>South EastHundred Houses Society Limited</t>
  </si>
  <si>
    <t>Yorkshire and the HumberHunslet Housing Co-operative Limited</t>
  </si>
  <si>
    <t>North WestHuyton Community Co-operative for the Elderly Limited</t>
  </si>
  <si>
    <t>East MidlandsHyde Housing Association Limited</t>
  </si>
  <si>
    <t>East of EnglandHyde Housing Association Limited</t>
  </si>
  <si>
    <t>LondonHyde Housing Association Limited</t>
  </si>
  <si>
    <t>South EastHyde Housing Association Limited</t>
  </si>
  <si>
    <t>LondonHyde Southbank Homes Limited</t>
  </si>
  <si>
    <t>LondonHyelm</t>
  </si>
  <si>
    <t>North EastIKE Supported Housing Limited</t>
  </si>
  <si>
    <t>West MidlandsIKE Supported Housing Limited</t>
  </si>
  <si>
    <t>Yorkshire and the HumberIKE Supported Housing Limited</t>
  </si>
  <si>
    <t>LondonImani Housing Co-operative Limited</t>
  </si>
  <si>
    <t>East of EnglandIMPAKT Housing &amp; Support Ltd</t>
  </si>
  <si>
    <t>East MidlandsInclusion Housing Community Interest Company</t>
  </si>
  <si>
    <t>East of EnglandInclusion Housing Community Interest Company</t>
  </si>
  <si>
    <t>LondonInclusion Housing Community Interest Company</t>
  </si>
  <si>
    <t>North EastInclusion Housing Community Interest Company</t>
  </si>
  <si>
    <t>North WestInclusion Housing Community Interest Company</t>
  </si>
  <si>
    <t>South EastInclusion Housing Community Interest Company</t>
  </si>
  <si>
    <t>South WestInclusion Housing Community Interest Company</t>
  </si>
  <si>
    <t>West MidlandsInclusion Housing Community Interest Company</t>
  </si>
  <si>
    <t>Yorkshire and the HumberInclusion Housing Community Interest Company</t>
  </si>
  <si>
    <t>North WestIncommunities Limited</t>
  </si>
  <si>
    <t>Yorkshire and the HumberIncommunities Limited</t>
  </si>
  <si>
    <t>East of EnglandInnisfree Housing Association Limited</t>
  </si>
  <si>
    <t>LondonInnisfree Housing Association Limited</t>
  </si>
  <si>
    <t>LondonIroko Housing Co-operative Limited</t>
  </si>
  <si>
    <t>North WestIrwell Valley Housing Association Limited</t>
  </si>
  <si>
    <t>South EastIsland Cottages Limited</t>
  </si>
  <si>
    <t>LondonIsleworth &amp; Hounslow Charity Limited</t>
  </si>
  <si>
    <t>LondonIslington and Shoreditch Housing Association Limited</t>
  </si>
  <si>
    <t>LondonIslington Community Housing Co-operative Limited</t>
  </si>
  <si>
    <t>North WestJ &amp; M Residential Lettings Limited</t>
  </si>
  <si>
    <t>Yorkshire and the HumberJ &amp; M Residential Lettings Limited</t>
  </si>
  <si>
    <t>North EastJacob Wright's Cottages</t>
  </si>
  <si>
    <t>South EastJames Bradford Almshouses Trust</t>
  </si>
  <si>
    <t>North EastJane Cameron's Old People's Charity</t>
  </si>
  <si>
    <t>North EastJane Gibson Almshouses</t>
  </si>
  <si>
    <t>East of EnglandJewish Community Housing Association Limited</t>
  </si>
  <si>
    <t>LondonJewish Community Housing Association Limited</t>
  </si>
  <si>
    <t>South EastJewish Community Housing Association Limited</t>
  </si>
  <si>
    <t>North WestJigsaw Homes Group Limited</t>
  </si>
  <si>
    <t>East MidlandsJigsaw Homes Midlands</t>
  </si>
  <si>
    <t>North WestJigsaw Homes North</t>
  </si>
  <si>
    <t>Yorkshire and the HumberJigsaw Homes North</t>
  </si>
  <si>
    <t>East MidlandsJigsaw Homes Tameside</t>
  </si>
  <si>
    <t>North WestJigsaw Homes Tameside</t>
  </si>
  <si>
    <t>West MidlandsJigsaw Homes Tameside</t>
  </si>
  <si>
    <t>LondonJoel Emanuel Trust</t>
  </si>
  <si>
    <t>South EastJohn Bowley and Sherwood Almshouses</t>
  </si>
  <si>
    <t>East MidlandsJohn Higgs Almshouses</t>
  </si>
  <si>
    <t>Yorkshire and the HumberJohn Pease Cottages</t>
  </si>
  <si>
    <t>East Midlands'Johnnie' Johnson Housing Trust Limited</t>
  </si>
  <si>
    <t>East of England'Johnnie' Johnson Housing Trust Limited</t>
  </si>
  <si>
    <t>North East'Johnnie' Johnson Housing Trust Limited</t>
  </si>
  <si>
    <t>North West'Johnnie' Johnson Housing Trust Limited</t>
  </si>
  <si>
    <t>Yorkshire and the Humber'Johnnie' Johnson Housing Trust Limited</t>
  </si>
  <si>
    <t>North WestJoseph and Eleanor Gunson Almshouse Trust</t>
  </si>
  <si>
    <t>South EastJoseph Chariott's Charity</t>
  </si>
  <si>
    <t>Yorkshire and the HumberJoseph Crossley's Almshouses</t>
  </si>
  <si>
    <t>North EastJoseph Rowntree Housing Trust</t>
  </si>
  <si>
    <t>Yorkshire and the HumberJoseph Rowntree Housing Trust</t>
  </si>
  <si>
    <t>South EastJulian House</t>
  </si>
  <si>
    <t>South WestJulian House</t>
  </si>
  <si>
    <t>LondonKaleidoscope (Kingston) Housing Association Limited</t>
  </si>
  <si>
    <t>North EastKarbon Homes Limited</t>
  </si>
  <si>
    <t>Yorkshire and the HumberKarbon Homes Limited</t>
  </si>
  <si>
    <t>LondonKarin Housing Association Limited</t>
  </si>
  <si>
    <t>North EastKeelman Homes Limited</t>
  </si>
  <si>
    <t>North WestKendal Almshouse Charity</t>
  </si>
  <si>
    <t>LondonKeniston Housing Association Limited</t>
  </si>
  <si>
    <t>South EastKeniston Housing Association Limited</t>
  </si>
  <si>
    <t>North WestKentish Homes Limited</t>
  </si>
  <si>
    <t>North WestKeswick Community Housing Trust Limited</t>
  </si>
  <si>
    <t>East of EnglandKeystage C.I.C</t>
  </si>
  <si>
    <t>South EastKing George V Memorial Houses</t>
  </si>
  <si>
    <t>South WestKing's Barton Housing Association Limited</t>
  </si>
  <si>
    <t>South EastKingsclere Almshouses Charity</t>
  </si>
  <si>
    <t>LondonKingston upon Thames Churches Housing Association Limited</t>
  </si>
  <si>
    <t>LondonKirkdale Housing Co-operative Limited</t>
  </si>
  <si>
    <t>Yorkshire and the HumberKirklees Housing Association Limited</t>
  </si>
  <si>
    <t>North WestKnowsley Residents Housing Co-operative Limited</t>
  </si>
  <si>
    <t>East MidlandsLace Housing Limited</t>
  </si>
  <si>
    <t>Yorkshire and the HumberLady Lumley's Almshouses</t>
  </si>
  <si>
    <t>LondonLadybur Housing Co-operative Limited</t>
  </si>
  <si>
    <t>LondonLambeth and Southwark Housing Association Limited</t>
  </si>
  <si>
    <t>LondonLambeth Self Help Housing Association Limited</t>
  </si>
  <si>
    <t>LondonLammerton Housing Co-operative Limited</t>
  </si>
  <si>
    <t>East MidlandsLangley House Trust</t>
  </si>
  <si>
    <t>East of EnglandLangley House Trust</t>
  </si>
  <si>
    <t>LondonLangley House Trust</t>
  </si>
  <si>
    <t>North WestLangley House Trust</t>
  </si>
  <si>
    <t>South EastLangley House Trust</t>
  </si>
  <si>
    <t>South WestLangley House Trust</t>
  </si>
  <si>
    <t>West MidlandsLangley House Trust</t>
  </si>
  <si>
    <t>Yorkshire and the HumberLangley House Trust</t>
  </si>
  <si>
    <t>North WestLangrove Community Housing Co-operative Limited</t>
  </si>
  <si>
    <t>LondonLarcombe Housing Association Limited</t>
  </si>
  <si>
    <t>North WestLark Lane Housing Co-operative Limited</t>
  </si>
  <si>
    <t>LondonLawrence Campe's Almshouse Trust</t>
  </si>
  <si>
    <t>North EastLeazes Homes Limited</t>
  </si>
  <si>
    <t>East MidlandsLeeds Federated Housing Association Limited</t>
  </si>
  <si>
    <t>Yorkshire and the HumberLeeds Federated Housing Association Limited</t>
  </si>
  <si>
    <t>Yorkshire and the HumberLeeds Jewish Housing Association Limited</t>
  </si>
  <si>
    <t>East MidlandsLegal &amp; General Affordable Homes (AR) LLP</t>
  </si>
  <si>
    <t>East of EnglandLegal &amp; General Affordable Homes (AR) LLP</t>
  </si>
  <si>
    <t>LondonLegal &amp; General Affordable Homes (AR) LLP</t>
  </si>
  <si>
    <t>North WestLegal &amp; General Affordable Homes (AR) LLP</t>
  </si>
  <si>
    <t>South EastLegal &amp; General Affordable Homes (AR) LLP</t>
  </si>
  <si>
    <t>South WestLegal &amp; General Affordable Homes (AR) LLP</t>
  </si>
  <si>
    <t>West MidlandsLegal &amp; General Affordable Homes (AR) LLP</t>
  </si>
  <si>
    <t>Yorkshire and the HumberLegal &amp; General Affordable Homes (AR) LLP</t>
  </si>
  <si>
    <t>East MidlandsLegal &amp; General Affordable Homes Limited</t>
  </si>
  <si>
    <t>East of EnglandLegal &amp; General Affordable Homes Limited</t>
  </si>
  <si>
    <t>LondonLegal &amp; General Affordable Homes Limited</t>
  </si>
  <si>
    <t>North WestLegal &amp; General Affordable Homes Limited</t>
  </si>
  <si>
    <t>South EastLegal &amp; General Affordable Homes Limited</t>
  </si>
  <si>
    <t>South WestLegal &amp; General Affordable Homes Limited</t>
  </si>
  <si>
    <t>West MidlandsLegal &amp; General Affordable Homes Limited</t>
  </si>
  <si>
    <t>Yorkshire and the HumberLegal &amp; General Affordable Homes Limited</t>
  </si>
  <si>
    <t>West MidlandsLench's Trust</t>
  </si>
  <si>
    <t>North WestLeta/Claudia Streets Housing Co-operative Limited</t>
  </si>
  <si>
    <t>East MidlandsLets for Life</t>
  </si>
  <si>
    <t>East of EnglandLets for Life</t>
  </si>
  <si>
    <t>North WestLets for Life</t>
  </si>
  <si>
    <t>South EastLets for Life</t>
  </si>
  <si>
    <t>South WestLets for Life</t>
  </si>
  <si>
    <t>Yorkshire and the HumberLets for Life</t>
  </si>
  <si>
    <t>LondonLewisham Family Co-operative Association Limited</t>
  </si>
  <si>
    <t>LondonLeytonstone Housing Co-operative Limited</t>
  </si>
  <si>
    <t>North WestLightbown Cottage Home Trust</t>
  </si>
  <si>
    <t>East MidlandsLincolnshire Employment Accommodation Project Limited</t>
  </si>
  <si>
    <t>East MidlandsLincolnshire Housing Partnership Limited</t>
  </si>
  <si>
    <t>Yorkshire and the HumberLincolnshire Housing Partnership Limited</t>
  </si>
  <si>
    <t>East MidlandsLincolnshire Rural Housing Association Limited</t>
  </si>
  <si>
    <t>East of EnglandLincolnshire Rural Housing Association Limited</t>
  </si>
  <si>
    <t>Yorkshire and the HumberLincolnshire Rural Housing Association Limited</t>
  </si>
  <si>
    <t>East MidlandsLincolnshire Y.M.C.A. Ltd</t>
  </si>
  <si>
    <t>South EastLittlehampton and Rustington Housing Society Limited</t>
  </si>
  <si>
    <t>North WestLiverpool Gingerbread Housing Co-operative Limited</t>
  </si>
  <si>
    <t>North WestLiverpool Jewish Housing Association Limited</t>
  </si>
  <si>
    <t>East MidlandsLiveWest Homes Limited</t>
  </si>
  <si>
    <t>South EastLiveWest Homes Limited</t>
  </si>
  <si>
    <t>South WestLiveWest Homes Limited</t>
  </si>
  <si>
    <t>North EastLivin Housing Limited</t>
  </si>
  <si>
    <t>North WestLivv Housing Group</t>
  </si>
  <si>
    <t>East of EnglandLocal Space</t>
  </si>
  <si>
    <t>LondonLocal Space</t>
  </si>
  <si>
    <t>South EastLocal Space</t>
  </si>
  <si>
    <t>South WestLocking Deanery Housing Society Limited</t>
  </si>
  <si>
    <t>South EastLoddon Homes Limited</t>
  </si>
  <si>
    <t>North WestLodge Lane East Co-operative Housing Limited</t>
  </si>
  <si>
    <t>East MidlandsLondon &amp; Quadrant Housing Trust</t>
  </si>
  <si>
    <t>East of EnglandLondon &amp; Quadrant Housing Trust</t>
  </si>
  <si>
    <t>LondonLondon &amp; Quadrant Housing Trust</t>
  </si>
  <si>
    <t>North EastLondon &amp; Quadrant Housing Trust</t>
  </si>
  <si>
    <t>North WestLondon &amp; Quadrant Housing Trust</t>
  </si>
  <si>
    <t>South EastLondon &amp; Quadrant Housing Trust</t>
  </si>
  <si>
    <t>South WestLondon &amp; Quadrant Housing Trust</t>
  </si>
  <si>
    <t>West MidlandsLondon &amp; Quadrant Housing Trust</t>
  </si>
  <si>
    <t>North WestLongdendale Housing Society Limited</t>
  </si>
  <si>
    <t>East MidlandsLonghurst Group Limited</t>
  </si>
  <si>
    <t>East of EnglandLonghurst Group Limited</t>
  </si>
  <si>
    <t>LondonLonghurst Group Limited</t>
  </si>
  <si>
    <t>West MidlandsLonghurst Group Limited</t>
  </si>
  <si>
    <t>Yorkshire and the HumberLonghurst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</si>
  <si>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</si>
  <si>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</si>
  <si>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</si>
  <si>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</si>
  <si>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</si>
  <si>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</si>
  <si>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</si>
  <si>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</si>
  <si>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</si>
  <si>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</si>
  <si>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</si>
  <si>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</si>
  <si>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</si>
  <si>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</si>
  <si>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</si>
  <si>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</si>
  <si>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</si>
  <si>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</si>
  <si>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</si>
  <si>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</si>
  <si>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</si>
  <si>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</si>
  <si>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South WestMarlborough and District Housing Association Limited</t>
  </si>
  <si>
    <t>Yorkshire and the HumberMarsden Memorial Homes</t>
  </si>
  <si>
    <t>South WestMarshfield Consolidated Charities</t>
  </si>
  <si>
    <t>South EastMartlet Homes Limited</t>
  </si>
  <si>
    <t>East MidlandsMasonic Housing Association</t>
  </si>
  <si>
    <t>East of EnglandMasonic Housing Association</t>
  </si>
  <si>
    <t>South EastMasonic Housing Association</t>
  </si>
  <si>
    <t>West MidlandsMasonic Housing Association</t>
  </si>
  <si>
    <t>LondonMay Day Permanent Housing Co-operative Limited</t>
  </si>
  <si>
    <t>East MidlandsMaynard Co-operative Housing Association Limited</t>
  </si>
  <si>
    <t>South WestMerlin Housing Society Limited</t>
  </si>
  <si>
    <t>West MidlandsMerlin Housing Society Limited</t>
  </si>
  <si>
    <t>East of EnglandMersea Island Trust</t>
  </si>
  <si>
    <t>LondonMethodist Homes Housing Association Limited</t>
  </si>
  <si>
    <t>North EastMethodist Homes Housing Association Limited</t>
  </si>
  <si>
    <t>North WestMethodist Homes Housing Association Limited</t>
  </si>
  <si>
    <t>South EastMethodist Homes Housing Association Limited</t>
  </si>
  <si>
    <t>South WestMethodist Homes Housing Association Limited</t>
  </si>
  <si>
    <t>West MidlandsMethodist Homes Housing Association Limited</t>
  </si>
  <si>
    <t>Yorkshire and the HumberMethodist Homes Housing Association Limited</t>
  </si>
  <si>
    <t>LondonMetropolitan Benefit Societies' Almshouses</t>
  </si>
  <si>
    <t>East MidlandsMetropolitan Housing Trust Limited</t>
  </si>
  <si>
    <t>East of EnglandMetropolitan Housing Trust Limited</t>
  </si>
  <si>
    <t>LondonMetropolitan Housing Trust Limited</t>
  </si>
  <si>
    <t>North EastMetropolitan Housing Trust Limited</t>
  </si>
  <si>
    <t>South EastMetropolitan Housing Trust Limited</t>
  </si>
  <si>
    <t>South WestMetropolitan Housing Trust Limited</t>
  </si>
  <si>
    <t>West MidlandsMetropolitan Housing Trust Limited</t>
  </si>
  <si>
    <t>Yorkshire and the HumberMetropolitan Housing Trust Limited</t>
  </si>
  <si>
    <t>East MidlandsMidland Heart Limited</t>
  </si>
  <si>
    <t>South EastMidland Heart Limited</t>
  </si>
  <si>
    <t>South WestMidland Heart Limited</t>
  </si>
  <si>
    <t>West MidlandsMidland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</si>
  <si>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</si>
  <si>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</si>
  <si>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</si>
  <si>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</si>
  <si>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</si>
  <si>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</si>
  <si>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</si>
  <si>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</si>
  <si>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East of EnglandMoat Homes Limited</t>
  </si>
  <si>
    <t>LondonMoat Homes Limited</t>
  </si>
  <si>
    <t>South EastMoat Homes Limited</t>
  </si>
  <si>
    <t>South WestMoat Homes Limited</t>
  </si>
  <si>
    <t>East of EnglandMoat Housing Group Limited</t>
  </si>
  <si>
    <t>LondonMonmouth Road Housing Co-operative Limited</t>
  </si>
  <si>
    <t>North WestMosscare St. Vincent's Housing Group Limited</t>
  </si>
  <si>
    <t>West MidlandsMosscare St. Vincent's Housing Group Limited</t>
  </si>
  <si>
    <t>Yorkshire and the HumberMosscare St. Vincent's Housing Group Limited</t>
  </si>
  <si>
    <t>LondonMount Green Housing Association Limited</t>
  </si>
  <si>
    <t>South EastMount Green Housing Association Limited</t>
  </si>
  <si>
    <t>LondonMP Living Limited</t>
  </si>
  <si>
    <t>East MidlandsMuir Group Housing Association Limited</t>
  </si>
  <si>
    <t>East of EnglandMuir Group Housing Association Limited</t>
  </si>
  <si>
    <t>North WestMuir Group Housing Association Limited</t>
  </si>
  <si>
    <t>South EastMuir Group Housing Association Limited</t>
  </si>
  <si>
    <t>West MidlandsMuir Group Housing Association Limited</t>
  </si>
  <si>
    <t>Yorkshire and the HumberMuir Group Housing Association Limited</t>
  </si>
  <si>
    <t>South EastMuirCroft Housing Association Limited</t>
  </si>
  <si>
    <t>LondonMulberry Housing Co-operative Limited</t>
  </si>
  <si>
    <t>South WestMunicipal &amp; Owen Carter Almshouse Charities</t>
  </si>
  <si>
    <t>South WestMunicipal Charities</t>
  </si>
  <si>
    <t>West MidlandsMunicipal Charities</t>
  </si>
  <si>
    <t>East MidlandsMy Space Housing Solutions</t>
  </si>
  <si>
    <t>North WestMy Space Housing Solutions</t>
  </si>
  <si>
    <t>East MidlandsNACRO</t>
  </si>
  <si>
    <t>East of EnglandNACRO</t>
  </si>
  <si>
    <t>LondonNACRO</t>
  </si>
  <si>
    <t>North EastNACRO</t>
  </si>
  <si>
    <t>North WestNACRO</t>
  </si>
  <si>
    <t>West MidlandsNACRO</t>
  </si>
  <si>
    <t>West MidlandsNehemiah United Churches Housing Association Limited</t>
  </si>
  <si>
    <t>LondonNew Foundations Housing Association Limited</t>
  </si>
  <si>
    <t>North WestNew Foundations Housing Association Limited</t>
  </si>
  <si>
    <t>South EastNew Foundations Housing Association Limited</t>
  </si>
  <si>
    <t>South WestNew Foundations Housing Association Limited</t>
  </si>
  <si>
    <t>West MidlandsNew Foundations Housing Association Limited</t>
  </si>
  <si>
    <t>Yorkshire and the HumberNew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</si>
  <si>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</si>
  <si>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</si>
  <si>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</si>
  <si>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</si>
  <si>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</si>
  <si>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</si>
  <si>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</si>
  <si>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of EnglandNewarch Homes Limited</t>
  </si>
  <si>
    <t>East MidlandsNewark Housing Association Limited</t>
  </si>
  <si>
    <t>North WestNewleaf Housing Co-operative Limited</t>
  </si>
  <si>
    <t>LondonNewlon Housing Trust</t>
  </si>
  <si>
    <t>West MidlandsNicholas Chamberlaine's Hospital &amp; Sermon</t>
  </si>
  <si>
    <t>LondonNorth Camden Housing Co-operative Limited</t>
  </si>
  <si>
    <t>South WestNorth Devon Homes</t>
  </si>
  <si>
    <t>North EastNorth East Housing Association Limited</t>
  </si>
  <si>
    <t>LondonNorth London Muslim Housing Association Limited</t>
  </si>
  <si>
    <t>North EastNorth Star Housing Group</t>
  </si>
  <si>
    <t>Yorkshire and the HumberNorth Star Housing Group</t>
  </si>
  <si>
    <t>East MidlandsNorthamptonshire Rural Housing Association Limited</t>
  </si>
  <si>
    <t>South EastNorthborough Housing Co-operative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</si>
  <si>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</si>
  <si>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</si>
  <si>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</si>
  <si>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</si>
  <si>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</si>
  <si>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East of EnglandNotting Hill Genesis</t>
  </si>
  <si>
    <t>LondonNotting Hill Genesis</t>
  </si>
  <si>
    <t>South EastNotting Hill Genesis</t>
  </si>
  <si>
    <t>East of EnglandNotting Hill Home Ownership Limited</t>
  </si>
  <si>
    <t>LondonNotting Hill Home Ownership Limited</t>
  </si>
  <si>
    <t>North WestNotting Hill Home Ownership Limited</t>
  </si>
  <si>
    <t>South EastNotting Hill Home Ownership Limited</t>
  </si>
  <si>
    <t>South WestNotting Hill Home Ownership Limited</t>
  </si>
  <si>
    <t>Yorkshire and the HumberNotting Hill Home Ownership Limited</t>
  </si>
  <si>
    <t>East MidlandsNottingham City Homes Registered Provider Limited</t>
  </si>
  <si>
    <t>East MidlandsNottingham Community Housing Association Limited</t>
  </si>
  <si>
    <t>South WestNSAH (Alliance Homes) Limited</t>
  </si>
  <si>
    <t>East of EnglandOak Housing Limited</t>
  </si>
  <si>
    <t>LondonOak Housing Limited</t>
  </si>
  <si>
    <t>South EastOak Housing Limited</t>
  </si>
  <si>
    <t>South WestOak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</si>
  <si>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</si>
  <si>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</si>
  <si>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</si>
  <si>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</si>
  <si>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</si>
  <si>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</si>
  <si>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South EastOld Ben Homes Limited</t>
  </si>
  <si>
    <t>West MidlandsOld Ben Homes Limited</t>
  </si>
  <si>
    <t>South WestOld Cleeve Memorial Cottages</t>
  </si>
  <si>
    <t>LondonOld Etonian Housing Association Limited</t>
  </si>
  <si>
    <t>South EastOld Etonian Housing Association Limited</t>
  </si>
  <si>
    <t>South EastOld Farm Park Housing Co-operative Limited</t>
  </si>
  <si>
    <t>LondonOld Isleworth Housing Co-operative Limited</t>
  </si>
  <si>
    <t>East of EnglandOmega Housing Limited</t>
  </si>
  <si>
    <t>LondonOmega Housing Limited</t>
  </si>
  <si>
    <t>South EastOmega Housing Limited</t>
  </si>
  <si>
    <t>West MidlandsOmega Housing Limited</t>
  </si>
  <si>
    <t>North WestOne Manchester Limited</t>
  </si>
  <si>
    <t>North WestOne Vision Housing Limited</t>
  </si>
  <si>
    <t>East of EnglandOne YMCA</t>
  </si>
  <si>
    <t>South EastOne YMCA</t>
  </si>
  <si>
    <t>East MidlandsOngo Homes Limited</t>
  </si>
  <si>
    <t>Yorkshire and the HumberOngo Homes Limited</t>
  </si>
  <si>
    <t>East MidlandsOnward Homes Limited</t>
  </si>
  <si>
    <t>North WestOnward Homes Limited</t>
  </si>
  <si>
    <t>East MidlandsOrbit Group Limited</t>
  </si>
  <si>
    <t>East of EnglandOrbit Group Limited</t>
  </si>
  <si>
    <t>LondonOrbit Group Limited</t>
  </si>
  <si>
    <t>South EastOrbit Group Limited</t>
  </si>
  <si>
    <t>West MidlandsOrbit Group Limited</t>
  </si>
  <si>
    <t>East MidlandsOrbit Housing Association Limited</t>
  </si>
  <si>
    <t>East of EnglandOrbit Housing Association Limited</t>
  </si>
  <si>
    <t>LondonOrbit Housing Association Limited</t>
  </si>
  <si>
    <t>South EastOrbit Housing Association Limited</t>
  </si>
  <si>
    <t>West MidlandsOrbit Housing Association Limited</t>
  </si>
  <si>
    <t>South WestOrchard Homes</t>
  </si>
  <si>
    <t>LondonOrchard Housing Society Limited</t>
  </si>
  <si>
    <t>East of EnglandOrigin Housing 2 Limited</t>
  </si>
  <si>
    <t>LondonOrigin Housing 2 Limited</t>
  </si>
  <si>
    <t>East of EnglandOrigin Housing Limited</t>
  </si>
  <si>
    <t>LondonOrigin Housing Limited</t>
  </si>
  <si>
    <t>South EastOrigin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</si>
  <si>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</si>
  <si>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</si>
  <si>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</si>
  <si>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</si>
  <si>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</si>
  <si>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East MidlandsP3 Housing Limited</t>
  </si>
  <si>
    <t>South WestP3 Housing Limited</t>
  </si>
  <si>
    <t>West MidlandsP3 Housing Limited</t>
  </si>
  <si>
    <t>West MidlandsPaddock Housing Co-operative Limited</t>
  </si>
  <si>
    <t>LondonPalm Housing Co-operative Limited</t>
  </si>
  <si>
    <t>LondonPan African Refugee Housing Co-operative Limited</t>
  </si>
  <si>
    <t>East of EnglandParadigm Homes Charitable Housing Association Limited</t>
  </si>
  <si>
    <t>LondonParadigm Homes Charitable Housing Association Limited</t>
  </si>
  <si>
    <t>South EastParadigm Homes Charitable Housing Association Limited</t>
  </si>
  <si>
    <t>East of EnglandParadise Housing Co-operative Limited</t>
  </si>
  <si>
    <t>East MidlandsParagon Asra Housing Limited</t>
  </si>
  <si>
    <t>East of EnglandParagon Asra Housing Limited</t>
  </si>
  <si>
    <t>LondonParagon Asra Housing Limited</t>
  </si>
  <si>
    <t>North EastParagon Asra Housing Limited</t>
  </si>
  <si>
    <t>South EastParagon Asra Housing Limited</t>
  </si>
  <si>
    <t>West MidlandsParagon Asra Housing Limited</t>
  </si>
  <si>
    <t>East MidlandsParasol Homes Limited</t>
  </si>
  <si>
    <t>East of EnglandParasol Homes Limited</t>
  </si>
  <si>
    <t>LondonParasol Homes Limited</t>
  </si>
  <si>
    <t>North WestParasol Homes Limited</t>
  </si>
  <si>
    <t>South EastParasol Homes Limited</t>
  </si>
  <si>
    <t>South WestParasol Homes Limited</t>
  </si>
  <si>
    <t>West MidlandsParasol Homes Limited</t>
  </si>
  <si>
    <t>LondonPark Hill Housing Co-operative Limited</t>
  </si>
  <si>
    <t>East MidlandsPark Properties Housing Association Ltd</t>
  </si>
  <si>
    <t>East of EnglandPark Properties Housing Association Ltd</t>
  </si>
  <si>
    <t>LondonPark Properties Housing Association Ltd</t>
  </si>
  <si>
    <t>South EastPark Properties Housing Association Ltd</t>
  </si>
  <si>
    <t>West MidlandsPark Properties Housing Association Ltd</t>
  </si>
  <si>
    <t>Yorkshire and the HumberPark Properties Housing Association Ltd</t>
  </si>
  <si>
    <t>East MidlandsParson Latham's Hospital In Barnwell</t>
  </si>
  <si>
    <t>East MidlandsPartners Foundation Limited</t>
  </si>
  <si>
    <t>North EastPartners Foundation Limited</t>
  </si>
  <si>
    <t>North WestPartners Foundation Limited</t>
  </si>
  <si>
    <t>Yorkshire and the HumberPartners Foundation Limited</t>
  </si>
  <si>
    <t>LondonPassage Housing Services</t>
  </si>
  <si>
    <t>East of EnglandPeabody Developments Limited</t>
  </si>
  <si>
    <t>LondonPeabody Developments Limited</t>
  </si>
  <si>
    <t>East of EnglandPeabody Trust</t>
  </si>
  <si>
    <t>LondonPeabody Trust</t>
  </si>
  <si>
    <t>South EastPeabody Trust</t>
  </si>
  <si>
    <t>South EastPeace Cottages Charity</t>
  </si>
  <si>
    <t>South EastPeacehaven and Telscombe Housing Association Limited</t>
  </si>
  <si>
    <t>East MidlandsPeak District Rural Housing Association Limited</t>
  </si>
  <si>
    <t>West MidlandsPeak District Rural Housing Association Limited</t>
  </si>
  <si>
    <t>Yorkshire and the HumberPeak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</si>
  <si>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</si>
  <si>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</si>
  <si>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</si>
  <si>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</si>
  <si>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</si>
  <si>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</si>
  <si>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</si>
  <si>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LondonPeter Bedford Housing Association Limited</t>
  </si>
  <si>
    <t>North WestPeter Birtwistle Trust</t>
  </si>
  <si>
    <t>South EastPHA Homes Ltd</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</si>
  <si>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</si>
  <si>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</si>
  <si>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</si>
  <si>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</si>
  <si>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</si>
  <si>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</si>
  <si>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</si>
  <si>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</si>
  <si>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</si>
  <si>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Affordable Homes Ltd</t>
  </si>
  <si>
    <t>South EastPinnacle Affordable Homes Ltd</t>
  </si>
  <si>
    <t>LondonPinnacle Spaces Limited</t>
  </si>
  <si>
    <t>South EastPinnacle Spaces Limited</t>
  </si>
  <si>
    <t>Yorkshire and the HumberPinnacle Spaces Limited</t>
  </si>
  <si>
    <t>LondonPinner House Society Limited</t>
  </si>
  <si>
    <t>East MidlandsPlaces for People Homes Limited</t>
  </si>
  <si>
    <t>East of EnglandPlaces for People Homes Limited</t>
  </si>
  <si>
    <t>LondonPlaces for People Homes Limited</t>
  </si>
  <si>
    <t>North EastPlaces for People Homes Limited</t>
  </si>
  <si>
    <t>North WestPlaces for People Homes Limited</t>
  </si>
  <si>
    <t>South EastPlaces for People Homes Limited</t>
  </si>
  <si>
    <t>South WestPlaces for People Homes Limited</t>
  </si>
  <si>
    <t>West MidlandsPlaces for People Homes Limited</t>
  </si>
  <si>
    <t>Yorkshire and the HumberPlaces for People Homes Limited</t>
  </si>
  <si>
    <t>East MidlandsPlaces for People Living+ Limited</t>
  </si>
  <si>
    <t>East of EnglandPlaces for People Living+ Limited</t>
  </si>
  <si>
    <t>LondonPlaces for People Living+ Limited</t>
  </si>
  <si>
    <t>North EastPlaces for People Living+ Limited</t>
  </si>
  <si>
    <t>North WestPlaces for People Living+ Limited</t>
  </si>
  <si>
    <t>South EastPlaces for People Living+ Limited</t>
  </si>
  <si>
    <t>South WestPlaces for People Living+ Limited</t>
  </si>
  <si>
    <t>West MidlandsPlaces for People Living+ Limited</t>
  </si>
  <si>
    <t>Yorkshire and the HumberPlaces for People Living+ Limited</t>
  </si>
  <si>
    <t>West MidlandsPlatform Housing Group Limited</t>
  </si>
  <si>
    <t>East MidlandsPlatform Housing Limited</t>
  </si>
  <si>
    <t>East of EnglandPlatform Housing Limited</t>
  </si>
  <si>
    <t>North WestPlatform Housing Limited</t>
  </si>
  <si>
    <t>South EastPlatform Housing Limited</t>
  </si>
  <si>
    <t>South WestPlatform Housing Limited</t>
  </si>
  <si>
    <t>West MidlandsPlatform Housing Limited</t>
  </si>
  <si>
    <t>East MidlandsPlexus UK (First Project) Limited</t>
  </si>
  <si>
    <t>North WestPlexus UK (First Project) Limited</t>
  </si>
  <si>
    <t>South EastPlexus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</si>
  <si>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</si>
  <si>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</si>
  <si>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</si>
  <si>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</si>
  <si>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</si>
  <si>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South WestPoole Old Peoples Welfare and Housing Society Limited</t>
  </si>
  <si>
    <t>LondonPoplar Housing And Regeneration Community Association Limited</t>
  </si>
  <si>
    <t>LondonPopulo Homes</t>
  </si>
  <si>
    <t>South EastPorthove Housing Association Limited</t>
  </si>
  <si>
    <t>LondonPortman House</t>
  </si>
  <si>
    <t>South EastPortsmouth Churches Housing Association Limited</t>
  </si>
  <si>
    <t>South EastPortsmouth Rotary Housing Association Limited</t>
  </si>
  <si>
    <t>North WestPrestwich and North Western Housing Association Limited</t>
  </si>
  <si>
    <t>North WestPrima Housing Group Limited</t>
  </si>
  <si>
    <t>North WestPrince Albert Gardens Housing Co-operative Limited</t>
  </si>
  <si>
    <t>North WestPrinces Park Housing Co-operative Limited</t>
  </si>
  <si>
    <t>East MidlandsProgress Housing Association Limited</t>
  </si>
  <si>
    <t>East of EnglandProgress Housing Association Limited</t>
  </si>
  <si>
    <t>LondonProgress Housing Association Limited</t>
  </si>
  <si>
    <t>North EastProgress Housing Association Limited</t>
  </si>
  <si>
    <t>North WestProgress Housing Association Limited</t>
  </si>
  <si>
    <t>South EastProgress Housing Association Limited</t>
  </si>
  <si>
    <t>South WestProgress Housing Association Limited</t>
  </si>
  <si>
    <t>West MidlandsProgress Housing Association Limited</t>
  </si>
  <si>
    <t>Yorkshire and the HumberProgress Housing Association Limited</t>
  </si>
  <si>
    <t>North WestProject 34</t>
  </si>
  <si>
    <t>LondonProvidence Row Housing Association</t>
  </si>
  <si>
    <t>East MidlandsPurlin Housing Co-operative Limited</t>
  </si>
  <si>
    <t>LondonQuadrant-Brownswood Tenant Co-operative Limited</t>
  </si>
  <si>
    <t>LondonQuo Vadis Trust</t>
  </si>
  <si>
    <t>LondonRadcliffe Housing Society Limited</t>
  </si>
  <si>
    <t>South EastRadcliffe Housing Society Limited</t>
  </si>
  <si>
    <t>North EastRailway Housing Association and Benefit Fund</t>
  </si>
  <si>
    <t>North WestRailway Housing Association and Benefit Fund</t>
  </si>
  <si>
    <t>West MidlandsRailway Housing Association and Benefit Fund</t>
  </si>
  <si>
    <t>Yorkshire and the HumberRailway Housing Association and Benefit Fund</t>
  </si>
  <si>
    <t>East of EnglandRamsey Welfare Charities</t>
  </si>
  <si>
    <t>LondonRaven Housing Trust Limited</t>
  </si>
  <si>
    <t>South EastRaven Housing Trust Limited</t>
  </si>
  <si>
    <t>West MidlandsRayner House and Yew Trees Limited</t>
  </si>
  <si>
    <t>South EastReading YMCA</t>
  </si>
  <si>
    <t>North WestRealHousingCo Limited</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</si>
  <si>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</si>
  <si>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</si>
  <si>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</si>
  <si>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</si>
  <si>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</si>
  <si>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</si>
  <si>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</si>
  <si>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</si>
  <si>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East MidlandsReside Housing Association Limited</t>
  </si>
  <si>
    <t>East of EnglandReside Housing Association Limited</t>
  </si>
  <si>
    <t>LondonReside Housing Association Limited</t>
  </si>
  <si>
    <t>North EastReside Housing Association Limited</t>
  </si>
  <si>
    <t>North WestReside Housing Association Limited</t>
  </si>
  <si>
    <t>South EastReside Housing Association Limited</t>
  </si>
  <si>
    <t>South WestReside Housing Association Limited</t>
  </si>
  <si>
    <t>West MidlandsReside Housing Association Limited</t>
  </si>
  <si>
    <t>Yorkshire and the HumberReside Housing Association Limited</t>
  </si>
  <si>
    <t>South EastResthaven Almshouses</t>
  </si>
  <si>
    <t>East MidlandsRetail Trust</t>
  </si>
  <si>
    <t>LondonRetail Trust</t>
  </si>
  <si>
    <t>North WestRetail Trust</t>
  </si>
  <si>
    <t>LondonRichmond Avenue Housing Co-operative Limited</t>
  </si>
  <si>
    <t>LondonRichmond Co-operative Housing Association Limited</t>
  </si>
  <si>
    <t>LondonRichmond Housing Partnership Limited</t>
  </si>
  <si>
    <t>East of EnglandRickmansworth Churches Housing Association Limited</t>
  </si>
  <si>
    <t>Yorkshire and the HumberRipon YMCA</t>
  </si>
  <si>
    <t>East of EnglandRobert Hibbert's Almshouse Charity</t>
  </si>
  <si>
    <t>South WestRoborough Community Property Association Limited</t>
  </si>
  <si>
    <t>North WestRochdale Boroughwide Housing Limited</t>
  </si>
  <si>
    <t>South EastRockdale Housing Association Limited</t>
  </si>
  <si>
    <t>Yorkshire and the HumberRoger's Almshouses</t>
  </si>
  <si>
    <t>South WestRooftop Housing Association Limited</t>
  </si>
  <si>
    <t>West MidlandsRooftop Housing Association Limited</t>
  </si>
  <si>
    <t>East of EnglandRosewood Housing Limited</t>
  </si>
  <si>
    <t>South EastRosewood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</si>
  <si>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</si>
  <si>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</si>
  <si>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</si>
  <si>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</si>
  <si>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</si>
  <si>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</si>
  <si>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East of EnglandSaffron Housing Trust Limited</t>
  </si>
  <si>
    <t>West MidlandsSage Homes RP Limited</t>
  </si>
  <si>
    <t>East MidlandsSage Rented Limited</t>
  </si>
  <si>
    <t>East of EnglandSage Rented Limited</t>
  </si>
  <si>
    <t>LondonSage Rented Limited</t>
  </si>
  <si>
    <t>North WestSage Rented Limited</t>
  </si>
  <si>
    <t>South EastSage Rented Limited</t>
  </si>
  <si>
    <t>South WestSage Rented Limited</t>
  </si>
  <si>
    <t>West MidlandsSage Rented Limited</t>
  </si>
  <si>
    <t>Yorkshire and the HumberSage Rented Limited</t>
  </si>
  <si>
    <t>South WestSalisbury City Almshouse and Welfare Charities</t>
  </si>
  <si>
    <t>North WestSalix Homes Limited</t>
  </si>
  <si>
    <t>East MidlandsSalvation Army Housing Association</t>
  </si>
  <si>
    <t>East of EnglandSalvation Army Housing Association</t>
  </si>
  <si>
    <t>LondonSalvation Army Housing Association</t>
  </si>
  <si>
    <t>North EastSalvation Army Housing Association</t>
  </si>
  <si>
    <t>North WestSalvation Army Housing Association</t>
  </si>
  <si>
    <t>South EastSalvation Army Housing Association</t>
  </si>
  <si>
    <t>South WestSalvation Army Housing Association</t>
  </si>
  <si>
    <t>West MidlandsSalvation Army Housing Association</t>
  </si>
  <si>
    <t>Yorkshire and the HumberSalvation Army Housing Association</t>
  </si>
  <si>
    <t>West MidlandsSambourne Trust</t>
  </si>
  <si>
    <t>East MidlandsSanctuary Affordable Housing Limited</t>
  </si>
  <si>
    <t>East of EnglandSanctuary Affordable Housing Limited</t>
  </si>
  <si>
    <t>LondonSanctuary Affordable Housing Limited</t>
  </si>
  <si>
    <t>North EastSanctuary Affordable Housing Limited</t>
  </si>
  <si>
    <t>North WestSanctuary Affordable Housing Limited</t>
  </si>
  <si>
    <t>South EastSanctuary Affordable Housing Limited</t>
  </si>
  <si>
    <t>South WestSanctuary Affordable Housing Limited</t>
  </si>
  <si>
    <t>West MidlandsSanctuary Affordable Housing Limited</t>
  </si>
  <si>
    <t>Yorkshire and the HumberSanctuary Affordable Housing Limited</t>
  </si>
  <si>
    <t>East MidlandsSanctuary Housing Association</t>
  </si>
  <si>
    <t>East of EnglandSanctuary Housing Association</t>
  </si>
  <si>
    <t>LondonSanctuary Housing Association</t>
  </si>
  <si>
    <t>North EastSanctuary Housing Association</t>
  </si>
  <si>
    <t>North WestSanctuary Housing Association</t>
  </si>
  <si>
    <t>South EastSanctuary Housing Association</t>
  </si>
  <si>
    <t>South WestSanctuary Housing Association</t>
  </si>
  <si>
    <t>West MidlandsSanctuary Housing Association</t>
  </si>
  <si>
    <t>Yorkshire and the HumberSanctuary Housing Association</t>
  </si>
  <si>
    <t>South EastSandbourne Housing Association</t>
  </si>
  <si>
    <t>South WestSandbourne Housing Association</t>
  </si>
  <si>
    <t>West MidlandsSandwell Homeless and Resettlement Project Limited</t>
  </si>
  <si>
    <t>East of EnglandSapphire Independent Housing Limited</t>
  </si>
  <si>
    <t>LondonSapphire Independent Housing Limited</t>
  </si>
  <si>
    <t>South EastSaxon Weald</t>
  </si>
  <si>
    <t>North WestSecond Chance Housing Ltd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</si>
  <si>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</si>
  <si>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</si>
  <si>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</si>
  <si>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</si>
  <si>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</si>
  <si>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</si>
  <si>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</si>
  <si>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</si>
  <si>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</si>
  <si>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</si>
  <si>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WestSHAL Housing Limited</t>
  </si>
  <si>
    <t>LondonShearwood Housing Co-operative Limited</t>
  </si>
  <si>
    <t>East of EnglandShepherds Bush Housing Association Limited</t>
  </si>
  <si>
    <t>LondonShepherds Bush Housing Association Limited</t>
  </si>
  <si>
    <t>South EastShepherds Bush Housing Association Limited</t>
  </si>
  <si>
    <t>South WestShepherds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</si>
  <si>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</si>
  <si>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</si>
  <si>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</si>
  <si>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</si>
  <si>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</si>
  <si>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</si>
  <si>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</si>
  <si>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</si>
  <si>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</si>
  <si>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</si>
  <si>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</si>
  <si>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North EastSir E D Walker Trust</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</si>
  <si>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</si>
  <si>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</si>
  <si>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</si>
  <si>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</si>
  <si>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</si>
  <si>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</si>
  <si>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</si>
  <si>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East MidlandsSloswicke's Almshouse Charity</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</si>
  <si>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</si>
  <si>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</si>
  <si>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</si>
  <si>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</si>
  <si>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</si>
  <si>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</si>
  <si>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</si>
  <si>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</si>
  <si>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</si>
  <si>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</si>
  <si>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</si>
  <si>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</si>
  <si>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West MidlandsSouth Road Housing Co-operative Limited</t>
  </si>
  <si>
    <t>East MidlandsSouth Yorkshire Housing Association Limited</t>
  </si>
  <si>
    <t>Yorkshire and the HumberSouth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</si>
  <si>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</si>
  <si>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</si>
  <si>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</si>
  <si>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</si>
  <si>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</si>
  <si>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</si>
  <si>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East MidlandsSouthern Housing</t>
  </si>
  <si>
    <t>East of EnglandSouthern Housing</t>
  </si>
  <si>
    <t>LondonSouthern Housing</t>
  </si>
  <si>
    <t>South EastSouthern Housing</t>
  </si>
  <si>
    <t>South WestSouthern Housing</t>
  </si>
  <si>
    <t>West MidlandsSouthern Housing</t>
  </si>
  <si>
    <t>Yorkshire and the HumberSouthern Housing</t>
  </si>
  <si>
    <t>South EastSouthsea Self Help Housing Limited</t>
  </si>
  <si>
    <t>LondonSouthward Housing Co-operative Limited</t>
  </si>
  <si>
    <t>North WestSouthway Housing Trust (Manchester) Limited</t>
  </si>
  <si>
    <t>East MidlandsSovereign Housing Association Limited</t>
  </si>
  <si>
    <t>East of EnglandSovereign Housing Association Limited</t>
  </si>
  <si>
    <t>South EastSovereign Housing Association Limited</t>
  </si>
  <si>
    <t>South WestSovereign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</si>
  <si>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</si>
  <si>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</si>
  <si>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</si>
  <si>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</si>
  <si>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</si>
  <si>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Yorkshire and the HumberSt Andrew Housing Co-operative Limited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</si>
  <si>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</si>
  <si>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</si>
  <si>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</si>
  <si>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</si>
  <si>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</si>
  <si>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</si>
  <si>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</si>
  <si>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</si>
  <si>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</si>
  <si>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</si>
  <si>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East of EnglandSt Mungo Community Housing Association</t>
  </si>
  <si>
    <t>LondonSt Mungo Community Housing Association</t>
  </si>
  <si>
    <t>South EastSt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</si>
  <si>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</si>
  <si>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</si>
  <si>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</si>
  <si>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</si>
  <si>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</si>
  <si>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North WestSteve Biko Housing Association Limited</t>
  </si>
  <si>
    <t>South EastStewart's and Budgen's Almshouses</t>
  </si>
  <si>
    <t>North WestStockport Homes Limited</t>
  </si>
  <si>
    <t>West MidlandsStoke-on-Trent Housing Society Limited</t>
  </si>
  <si>
    <t>East MidlandsStonewater (5) Limited</t>
  </si>
  <si>
    <t>East of EnglandStonewater (5) Limited</t>
  </si>
  <si>
    <t>South EastStonewater (5) Limited</t>
  </si>
  <si>
    <t>South WestStonewater (5) Limited</t>
  </si>
  <si>
    <t>West MidlandsStonewater (5) Limited</t>
  </si>
  <si>
    <t>East MidlandsStonewater Limited</t>
  </si>
  <si>
    <t>East of EnglandStonewater Limited</t>
  </si>
  <si>
    <t>LondonStonewater Limited</t>
  </si>
  <si>
    <t>South EastStonewater Limited</t>
  </si>
  <si>
    <t>South WestStonewater Limited</t>
  </si>
  <si>
    <t>West MidlandsStonewater Limited</t>
  </si>
  <si>
    <t>Yorkshire and the HumberStonewater Limited</t>
  </si>
  <si>
    <t>West MidlandsStorm Housing Group Limited</t>
  </si>
  <si>
    <t>LondonStroud Green Housing Co-operative Limited</t>
  </si>
  <si>
    <t>South WestSturts Community Trust</t>
  </si>
  <si>
    <t>North EastSummerhill Housing Co-operative (Newcastle) Limited</t>
  </si>
  <si>
    <t>North EastSunderland Riverside Housing Co-operative Limited</t>
  </si>
  <si>
    <t>North WestSunny Vale Supported Accommodation Limited</t>
  </si>
  <si>
    <t>South EastSunny Vale Supported Accommodation Limited</t>
  </si>
  <si>
    <t>South WestSunny Vale Supported Accommodation Limited</t>
  </si>
  <si>
    <t>South EastSussex Housing and Care</t>
  </si>
  <si>
    <t>South EastSussex Overseas Housing Society Limited</t>
  </si>
  <si>
    <t>West MidlandsSustain (UK) Ltd</t>
  </si>
  <si>
    <t>East MidlandsSutton Bonington and Normanton Social Service  Association Limited</t>
  </si>
  <si>
    <t>LondonSutton Housing Society Limited</t>
  </si>
  <si>
    <t>East of EnglandSwan Housing Association Limited</t>
  </si>
  <si>
    <t>LondonSwan Housing Association Limited</t>
  </si>
  <si>
    <t>North WestSwan Housing Association Limited</t>
  </si>
  <si>
    <t>South EastSwan Housing Association Limited</t>
  </si>
  <si>
    <t>LondonSwan Lane Housing Co-operative Limited</t>
  </si>
  <si>
    <t>East MidlandsSwift Homes Limited</t>
  </si>
  <si>
    <t>LondonSydenham Housing Co-operative Limited</t>
  </si>
  <si>
    <t>South EastSynergy Housing Limited</t>
  </si>
  <si>
    <t>South WestSynergy Housing Limited</t>
  </si>
  <si>
    <t>LondonTally-Ho Housing Co-operative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</si>
  <si>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</si>
  <si>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</si>
  <si>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</si>
  <si>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</si>
  <si>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</si>
  <si>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</si>
  <si>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East of EnglandTBG Open Door Limited</t>
  </si>
  <si>
    <t>LondonTBG Open Door Limited</t>
  </si>
  <si>
    <t>North EastTCUK Homes Limited</t>
  </si>
  <si>
    <t>Yorkshire and the HumberTCUK Homes Limited</t>
  </si>
  <si>
    <t>LondonTeachers' Housing Association Limited</t>
  </si>
  <si>
    <t>South EastTeachers' Housing Association Limited</t>
  </si>
  <si>
    <t>South WestTeachers' Housing Association Limited</t>
  </si>
  <si>
    <t>West MidlandsTeachers' Housing Association Limited</t>
  </si>
  <si>
    <t>Yorkshire and the HumberTeachers' Housing Association Limited</t>
  </si>
  <si>
    <t>South WestTeign Housing</t>
  </si>
  <si>
    <t>South EastThame and District Housing Association Limited</t>
  </si>
  <si>
    <t>South EastThames Ditton Homes Limited</t>
  </si>
  <si>
    <t>LondonThames Valley Housing Association Limited</t>
  </si>
  <si>
    <t>South EastThames Valley Housing Association Limited</t>
  </si>
  <si>
    <t>East of EnglandThe Abbeyfield (Berkhamsted &amp; Hemel Hempstead) Society Limited</t>
  </si>
  <si>
    <t>North EastThe Abbeyfield (Darlington) Society Limited</t>
  </si>
  <si>
    <t>Yorkshire and the HumberThe Abbeyfield (Ripon and District) Society Limited</t>
  </si>
  <si>
    <t>LondonThe Abbeyfield (Streatham) Society Limited</t>
  </si>
  <si>
    <t>South WestThe Abbeyfield (Wells) Society Limited</t>
  </si>
  <si>
    <t>South WestThe Abbeyfield (Weymouth) Society Limited</t>
  </si>
  <si>
    <t>South EastThe Abbeyfield Alresford and District Society Limited</t>
  </si>
  <si>
    <t>North WestThe Abbeyfield Barrow-in- Furness Society Limited</t>
  </si>
  <si>
    <t>East of EnglandThe Abbeyfield Basildon Society Limited</t>
  </si>
  <si>
    <t>North EastThe Abbeyfield Berwick Society Limited</t>
  </si>
  <si>
    <t>West MidlandsThe Abbeyfield Bishop's Castle and  District Society Limited</t>
  </si>
  <si>
    <t>South WestThe Abbeyfield Bradford-on-Avon Society Limited</t>
  </si>
  <si>
    <t>South WestThe Abbeyfield Buckland Monachorum Society Limited</t>
  </si>
  <si>
    <t>South WestThe Abbeyfield Burnham and Highbridge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</si>
  <si>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</si>
  <si>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</si>
  <si>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</si>
  <si>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</si>
  <si>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</si>
  <si>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</si>
  <si>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</si>
  <si>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</si>
  <si>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</si>
  <si>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</si>
  <si>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</si>
  <si>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WestThe Abbeyfield Holsworthy Society Limited</t>
  </si>
  <si>
    <t>East of EnglandThe Abbeyfield Kings Langley Society Limited</t>
  </si>
  <si>
    <t>LondonThe Abbeyfield London Polish Society Limited</t>
  </si>
  <si>
    <t>East of EnglandThe Abbeyfield Orwell Extra Care Society Limited</t>
  </si>
  <si>
    <t>South EastThe Abbeyfield Oxford Society Limited</t>
  </si>
  <si>
    <t>South EastThe Abbeyfield Pirbright and District Society Ltd</t>
  </si>
  <si>
    <t>South WestThe Abbeyfield Saltash Society Limited</t>
  </si>
  <si>
    <t>LondonThe Abbeyfield Sanderstead Society Limited</t>
  </si>
  <si>
    <t>East MidlandsThe Abbeyfield Society</t>
  </si>
  <si>
    <t>East of EnglandThe Abbeyfield Society</t>
  </si>
  <si>
    <t>LondonThe Abbeyfield Society</t>
  </si>
  <si>
    <t>North EastThe Abbeyfield Society</t>
  </si>
  <si>
    <t>North WestThe Abbeyfield Society</t>
  </si>
  <si>
    <t>South EastThe Abbeyfield Society</t>
  </si>
  <si>
    <t>South WestThe Abbeyfield Society</t>
  </si>
  <si>
    <t>West MidlandsThe Abbeyfield Society</t>
  </si>
  <si>
    <t>Yorkshire and the HumberThe Abbeyfield Society</t>
  </si>
  <si>
    <t>South WestThe Abbeyfield South Molton Society Limited</t>
  </si>
  <si>
    <t>South WestThe Abbeyfield South West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</si>
  <si>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</si>
  <si>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</si>
  <si>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</si>
  <si>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</si>
  <si>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</si>
  <si>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</si>
  <si>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</si>
  <si>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</si>
  <si>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WestThe Almshouse of St John the Baptist and St John the Evangelist</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</si>
  <si>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</si>
  <si>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</si>
  <si>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</si>
  <si>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</si>
  <si>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</si>
  <si>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</si>
  <si>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</si>
  <si>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</si>
  <si>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</si>
  <si>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</si>
  <si>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MidlandsThe Charity of Hannah Clarke for Almshouses</t>
  </si>
  <si>
    <t>South EastThe Charity of Mrs Mabel Luke</t>
  </si>
  <si>
    <t>East MidlandsThe Charity of St Leonard's Hospital</t>
  </si>
  <si>
    <t>LondonThe Cinque Cottages</t>
  </si>
  <si>
    <t>West MidlandsThe Community Housing Group Limited</t>
  </si>
  <si>
    <t>South EastThe Cooper and Adkinson Almshouse Charity</t>
  </si>
  <si>
    <t>LondonThe Drapers' Almshouse Charity</t>
  </si>
  <si>
    <t>South WestThe Duchess of Somerset's Hospital</t>
  </si>
  <si>
    <t>North WestThe Edward Mayes Trust</t>
  </si>
  <si>
    <t>East MidlandsThe Exaireo Trust Ltd</t>
  </si>
  <si>
    <t>West MidlandsThe Exaireo Trust Ltd</t>
  </si>
  <si>
    <t>East MidlandsThe ExtraCare Charitable Trust</t>
  </si>
  <si>
    <t>East of EnglandThe ExtraCare Charitable Trust</t>
  </si>
  <si>
    <t>South EastThe ExtraCare Charitable Trust</t>
  </si>
  <si>
    <t>South WestThe ExtraCare Charitable Trust</t>
  </si>
  <si>
    <t>West MidlandsThe ExtraCare Charitable Trust</t>
  </si>
  <si>
    <t>North EastThe Fairoak Housing Association</t>
  </si>
  <si>
    <t>North WestThe Fairoak Housing Association</t>
  </si>
  <si>
    <t>South EastThe Faversham Municipal Charities 2010</t>
  </si>
  <si>
    <t>South EastThe Fellowship Houses Trust</t>
  </si>
  <si>
    <t>South WestThe Feoffees of the Parish Lands of Highweek</t>
  </si>
  <si>
    <t>East of EnglandThe Field Lane Foundation</t>
  </si>
  <si>
    <t>LondonThe Field Lane Foundation</t>
  </si>
  <si>
    <t>South EastThe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</si>
  <si>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</si>
  <si>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</si>
  <si>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</si>
  <si>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</si>
  <si>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</si>
  <si>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</si>
  <si>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East MidlandsThe Guinness Partnership Limited</t>
  </si>
  <si>
    <t>East of EnglandThe Guinness Partnership Limited</t>
  </si>
  <si>
    <t>LondonThe Guinness Partnership Limited</t>
  </si>
  <si>
    <t>North EastThe Guinness Partnership Limited</t>
  </si>
  <si>
    <t>North WestThe Guinness Partnership Limited</t>
  </si>
  <si>
    <t>South EastThe Guinness Partnership Limited</t>
  </si>
  <si>
    <t>South WestThe Guinness Partnership Limited</t>
  </si>
  <si>
    <t>West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</si>
  <si>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</si>
  <si>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</si>
  <si>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</si>
  <si>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</si>
  <si>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</si>
  <si>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</si>
  <si>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</si>
  <si>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</si>
  <si>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</si>
  <si>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</si>
  <si>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</si>
  <si>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</si>
  <si>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East MidlandsThe Hospital of St John the Evangelist and of St Anne in Okeham</t>
  </si>
  <si>
    <t>Yorkshire and the HumberThe Hospital of St Thomas the Apostle in Doncaster</t>
  </si>
  <si>
    <t>South EastThe Hospital of the Holy Trinity Aylesford</t>
  </si>
  <si>
    <t>South EastThe Hospital of William Parson</t>
  </si>
  <si>
    <t>West MidlandsThe Hosyer-Foxe Charity</t>
  </si>
  <si>
    <t>North EastThe Hunter Memorial Homes Trust</t>
  </si>
  <si>
    <t>East of EnglandThe Industrial Dwellings Society (1885) Limited</t>
  </si>
  <si>
    <t>LondonThe Industrial Dwellings Society (1885) Limited</t>
  </si>
  <si>
    <t>West MidlandsThe James Charities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</si>
  <si>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</si>
  <si>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</si>
  <si>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</si>
  <si>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</si>
  <si>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</si>
  <si>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</si>
  <si>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</si>
  <si>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</si>
  <si>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</si>
  <si>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</si>
  <si>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</si>
  <si>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</si>
  <si>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LondonThe New Cut Housing Co-operative Limited</t>
  </si>
  <si>
    <t>East MidlandsThe North Memorial Homes City of Leicester</t>
  </si>
  <si>
    <t>East of EnglandThe Ogilvie Charities (Deed No.1)</t>
  </si>
  <si>
    <t>East of EnglandThe Papworth Trust</t>
  </si>
  <si>
    <t>South WestThe Peninsula Trust Limited</t>
  </si>
  <si>
    <t>South WestThe Perry Almshouse Charity</t>
  </si>
  <si>
    <t>West MidlandsThe Pioneer Housing and Community Group Limited</t>
  </si>
  <si>
    <t>North WestThe Poynton-with-Worth Almshouse Charity</t>
  </si>
  <si>
    <t>South WestThe Reverend Rowland Hill Almshouse Charity</t>
  </si>
  <si>
    <t>East MidlandsThe Richmond Fellowship</t>
  </si>
  <si>
    <t>East of EnglandThe Richmond Fellowship</t>
  </si>
  <si>
    <t>LondonThe Richmond Fellowship</t>
  </si>
  <si>
    <t>North EastThe Richmond Fellowship</t>
  </si>
  <si>
    <t>North WestThe Richmond Fellowship</t>
  </si>
  <si>
    <t>South EastThe Richmond Fellowship</t>
  </si>
  <si>
    <t>South WestThe Richmond Fellowship</t>
  </si>
  <si>
    <t>East MidlandsThe Riverside Group Limited</t>
  </si>
  <si>
    <t>East of EnglandThe Riverside Group Limited</t>
  </si>
  <si>
    <t>LondonThe Riverside Group Limited</t>
  </si>
  <si>
    <t>North EastThe Riverside Group Limited</t>
  </si>
  <si>
    <t>North WestThe Riverside Group Limited</t>
  </si>
  <si>
    <t>South EastThe Riverside Group Limited</t>
  </si>
  <si>
    <t>South WestThe Riverside Group Limited</t>
  </si>
  <si>
    <t>West MidlandsThe Riverside Group Limited</t>
  </si>
  <si>
    <t>Yorkshire and the HumberThe Riverside Group Limited</t>
  </si>
  <si>
    <t>Yorkshire and the HumberThe Robert Salter Charity</t>
  </si>
  <si>
    <t>East of EnglandThe Shen Place Almshouses</t>
  </si>
  <si>
    <t>LondonThe Sir Oswald Stoll Foundation</t>
  </si>
  <si>
    <t>South EastThe Sir Oswald Stoll Foundation</t>
  </si>
  <si>
    <t>LondonThe Skinners'  Almshouse Charity</t>
  </si>
  <si>
    <t>South WestThe Society of Merchant Venturers' Almshouse Charity</t>
  </si>
  <si>
    <t>South EastThe Society of St James</t>
  </si>
  <si>
    <t>LondonThe Sons of Divine Providence</t>
  </si>
  <si>
    <t>North WestThe Sons of Divine Providence</t>
  </si>
  <si>
    <t>South EastThe Sons of Divine Providence</t>
  </si>
  <si>
    <t>South EastThe Southlands Almshouse Charity</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</si>
  <si>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</si>
  <si>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</si>
  <si>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</si>
  <si>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</si>
  <si>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</si>
  <si>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</si>
  <si>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EastThe Tyne Mariners' Benevolent Institution</t>
  </si>
  <si>
    <t>North WestThe Vanbrugh and Tempest Almshouse Charity</t>
  </si>
  <si>
    <t>Yorkshire and the HumberThe Walker Barstow Homes</t>
  </si>
  <si>
    <t>LondonThe West Hackney Almshouse Charity</t>
  </si>
  <si>
    <t>East MidlandsThe William Holmes Almshouses</t>
  </si>
  <si>
    <t>West MidlandsThe Wrekin Housing Group Limited</t>
  </si>
  <si>
    <t>North WestThirlmere Housing Co-operative Limited</t>
  </si>
  <si>
    <t>East of EnglandThirteen Housing Group Limited</t>
  </si>
  <si>
    <t>North EastThirteen Housing Group Limited</t>
  </si>
  <si>
    <t>Yorkshire and the HumberThirteen Housing Group Limited</t>
  </si>
  <si>
    <t>South EastThorner's Homes</t>
  </si>
  <si>
    <t>South EastThorngate Churcher Trust</t>
  </si>
  <si>
    <t>North EastThornholme Housing Co-operative Limited</t>
  </si>
  <si>
    <t>LondonThrale Almshouse and Relief in Need Charity</t>
  </si>
  <si>
    <t>East MidlandsThrive Homes Limited</t>
  </si>
  <si>
    <t>East of EnglandThrive Homes Limited</t>
  </si>
  <si>
    <t>South EastThrive Homes Limited</t>
  </si>
  <si>
    <t>South WestTiverton Almshouse Trust</t>
  </si>
  <si>
    <t>East of EnglandToddington United Almshouse Charities</t>
  </si>
  <si>
    <t>East MidlandsTogether Housing Association Limited</t>
  </si>
  <si>
    <t>North WestTogether Housing Association Limited</t>
  </si>
  <si>
    <t>Yorkshire and the HumberTogether Housing Association Limited</t>
  </si>
  <si>
    <t>LondonTooting Bec Housing Co-operative Limited</t>
  </si>
  <si>
    <t>North WestTorus62 Limited</t>
  </si>
  <si>
    <t>South WestTorvista Homes Limited</t>
  </si>
  <si>
    <t>LondonTower Hamlets Community Housing</t>
  </si>
  <si>
    <t>East MidlandsTown and Country Housing</t>
  </si>
  <si>
    <t>South EastTown and Country Housing</t>
  </si>
  <si>
    <t>South WestTown and Country Housing</t>
  </si>
  <si>
    <t>Yorkshire and the HumberTown and Country Housing</t>
  </si>
  <si>
    <t>LondonTownshend Close Housing Co-operative Limited</t>
  </si>
  <si>
    <t>LondonTransform Housing &amp; Support</t>
  </si>
  <si>
    <t>South EastTransform Housing &amp; Support</t>
  </si>
  <si>
    <t>South WestTregonwell Almshouse Trust</t>
  </si>
  <si>
    <t>East MidlandsTrent &amp; Dove Housing Limited</t>
  </si>
  <si>
    <t>West MidlandsTrent &amp; Dove Housing Limited</t>
  </si>
  <si>
    <t>West MidlandsTriangle Housing Co-operative Limited</t>
  </si>
  <si>
    <t>East MidlandsTrident Housing Association Limited</t>
  </si>
  <si>
    <t>West MidlandsTrident Housing Association Limited</t>
  </si>
  <si>
    <t>LondonTrinity Homes</t>
  </si>
  <si>
    <t>West MidlandsTrinity Hospital at Clun</t>
  </si>
  <si>
    <t>East MidlandsTrinity Housing Association Limited</t>
  </si>
  <si>
    <t>LondonTrinity Housing Association Limited</t>
  </si>
  <si>
    <t>North WestTrinity Housing Association Limited</t>
  </si>
  <si>
    <t>South EastTrinity Housing Association Limited</t>
  </si>
  <si>
    <t>South WestTrinity Housing Association Limited</t>
  </si>
  <si>
    <t>West MidlandsTrinity Housing Association Limited</t>
  </si>
  <si>
    <t>Yorkshire and the HumberTrinity Housing Association Limited</t>
  </si>
  <si>
    <t>East MidlandsTuntum Housing Association Limited</t>
  </si>
  <si>
    <t>West MidlandsTuntum Housing Association Limited</t>
  </si>
  <si>
    <t>LondonTurning Point</t>
  </si>
  <si>
    <t>North EastTurning Point</t>
  </si>
  <si>
    <t>North WestTurning Point</t>
  </si>
  <si>
    <t>South EastTurning Point</t>
  </si>
  <si>
    <t>South EastTwo Piers Housing Co-operative Limited</t>
  </si>
  <si>
    <t>South WestTwo Rivers Housing</t>
  </si>
  <si>
    <t>West MidlandsTwo Rivers Housing</t>
  </si>
  <si>
    <t>South EastTwo Saints Limited</t>
  </si>
  <si>
    <t>North EastTyne Housing Association Limited</t>
  </si>
  <si>
    <t>South WestUCCLT Housing Ltd</t>
  </si>
  <si>
    <t>South EastUckfield and District Housing Association Limited</t>
  </si>
  <si>
    <t>Yorkshire and the HumberUnity Housing Association Limited</t>
  </si>
  <si>
    <t>East of EnglandV &amp; F Homes Limited</t>
  </si>
  <si>
    <t>South EastVectis Housing Association Limited</t>
  </si>
  <si>
    <t>LondonVeterans Aid</t>
  </si>
  <si>
    <t>North EastVictoria Homes</t>
  </si>
  <si>
    <t>West MidlandsVictoria Tenants Co-operative Limited</t>
  </si>
  <si>
    <t>LondonVine Housing Co-operative Limited</t>
  </si>
  <si>
    <t>South EastVivid Housing Limited</t>
  </si>
  <si>
    <t>South WestVivid Housing Limited</t>
  </si>
  <si>
    <t>South WestW H Saunders &amp; Frank Wareham Charity</t>
  </si>
  <si>
    <t>North WestWaddington Hospital</t>
  </si>
  <si>
    <t>Yorkshire and the HumberWakefield And District Housing Limited</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</si>
  <si>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</si>
  <si>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</si>
  <si>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</si>
  <si>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</si>
  <si>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</si>
  <si>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</si>
  <si>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</si>
  <si>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</si>
  <si>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</si>
  <si>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</si>
  <si>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</si>
  <si>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</si>
  <si>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EnglandWaters Almshouses</t>
  </si>
  <si>
    <t>East of EnglandWatford Community Housing Trust</t>
  </si>
  <si>
    <t>LondonWatmos Community Homes</t>
  </si>
  <si>
    <t>West MidlandsWatmos Community Homes</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</si>
  <si>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</si>
  <si>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</si>
  <si>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</si>
  <si>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</si>
  <si>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</si>
  <si>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</si>
  <si>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</si>
  <si>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</si>
  <si>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</si>
  <si>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</si>
  <si>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South EastWest Kent Housing Association</t>
  </si>
  <si>
    <t>LondonWest London Mission Housing Association Limited</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</si>
  <si>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</si>
  <si>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</si>
  <si>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</si>
  <si>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</si>
  <si>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</si>
  <si>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East MidlandsWestmoreland Supported Housing Limited</t>
  </si>
  <si>
    <t>East of EnglandWestmoreland Supported Housing Limited</t>
  </si>
  <si>
    <t>LondonWestmoreland Supported Housing Limited</t>
  </si>
  <si>
    <t>North EastWestmoreland Supported Housing Limited</t>
  </si>
  <si>
    <t>North WestWestmoreland Supported Housing Limited</t>
  </si>
  <si>
    <t>South EastWestmoreland Supported Housing Limited</t>
  </si>
  <si>
    <t>South WestWestmoreland Supported Housing Limited</t>
  </si>
  <si>
    <t>West MidlandsWestmoreland Supported Housing Limited</t>
  </si>
  <si>
    <t>Yorkshire and the HumberWestmoreland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</si>
  <si>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</si>
  <si>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</si>
  <si>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</si>
  <si>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</si>
  <si>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</si>
  <si>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</si>
  <si>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</si>
  <si>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</si>
  <si>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</si>
  <si>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</si>
  <si>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</si>
  <si>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</si>
  <si>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</si>
  <si>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</si>
  <si>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</si>
  <si>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WestWillow Tree Housing Partnership Limited</t>
  </si>
  <si>
    <t>South EastWinchester Working Men's Housing Society Limited</t>
  </si>
  <si>
    <t>LondonWindsor Walk Housing Association Limited</t>
  </si>
  <si>
    <t>Yorkshire and the HumberWinner Trading Ltd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</si>
  <si>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</si>
  <si>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</si>
  <si>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</si>
  <si>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</si>
  <si>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</si>
  <si>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</si>
  <si>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</si>
  <si>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South WestWoborn's Almshouse</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</si>
  <si>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</si>
  <si>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</si>
  <si>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</si>
  <si>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</si>
  <si>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</si>
  <si>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</si>
  <si>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</si>
  <si>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</si>
  <si>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</si>
  <si>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</si>
  <si>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</si>
  <si>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North WestWythenshawe Community Housing Group Limited</t>
  </si>
  <si>
    <t>West MidlandsYardley Great Trust</t>
  </si>
  <si>
    <t>West MidlandsYMCA Black Country Group</t>
  </si>
  <si>
    <t>South WestYMCA Brunel Group</t>
  </si>
  <si>
    <t>East MidlandsYMCA Derbyshire</t>
  </si>
  <si>
    <t>South EastYMCA Downslink Group</t>
  </si>
  <si>
    <t>South EastYMCA East Surrey</t>
  </si>
  <si>
    <t>South EastYMCA Fairthorne Housing</t>
  </si>
  <si>
    <t>East MidlandsYMCA Leicestershire</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</si>
  <si>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</si>
  <si>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</si>
  <si>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</si>
  <si>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</si>
  <si>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</si>
  <si>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</si>
  <si>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</si>
  <si>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</si>
  <si>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</si>
  <si>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East of EnglandYMCA Thames Gateway</t>
  </si>
  <si>
    <t>LondonYMCA Thames Gateway</t>
  </si>
  <si>
    <t>South EastYMCA Thames Gateway</t>
  </si>
  <si>
    <t>East of EnglandYMCA Trinity Group</t>
  </si>
  <si>
    <t>North WestYMCA Trinity Group</t>
  </si>
  <si>
    <t>North WestYorkshire Housing Limited</t>
  </si>
  <si>
    <t>Yorkshire and the HumberYorkshire Housing Limited</t>
  </si>
  <si>
    <t>East MidlandsYour Housing Limited</t>
  </si>
  <si>
    <t>LondonYour Housing Limited</t>
  </si>
  <si>
    <t>North WestYour Housing Limited</t>
  </si>
  <si>
    <t>West MidlandsYour Housing Limited</t>
  </si>
  <si>
    <t>Yorkshire and the HumberYour Housing Limited</t>
  </si>
  <si>
    <t>LondonYour Place (London) Limited</t>
  </si>
  <si>
    <t>North WestZAH Housing Co-operative Limited</t>
  </si>
  <si>
    <t>(in pie chart)</t>
  </si>
  <si>
    <t>Total number of units owned which failed the DHS</t>
  </si>
  <si>
    <t>Geographic look-up tool (SDR data) 2024</t>
  </si>
  <si>
    <t>Publication date: October 2024</t>
  </si>
  <si>
    <t>Statistical Data Return (SDR) 1 April 2023 to 31 March 2024</t>
  </si>
  <si>
    <t>The definitions presented below are provided for clarity of terms and categories within this release. They are consistent with the manner in which data was collected in the 2024 SDR collection (based on a view ‘as at’ or ‘in the year to’ 31 March 2024). See the 2023-24 SDR guidance published as part of this release for more information.</t>
  </si>
  <si>
    <t>October 2024</t>
  </si>
  <si>
    <t>Tables 1-3 comprise all PRPs - unweighted.  * Unit counts for LCHO are for Large PRPs only.  ** Total units comprises: GN, SH, HOP for all PRPs and LCHO for Large PRPs.  ^ Figures for GN, SH and HOP include intermediate and Affordable Rent units. 
Source: SDR 2024</t>
  </si>
  <si>
    <t>Source: SDR 2024</t>
  </si>
  <si>
    <t>Cumberland</t>
  </si>
  <si>
    <t>E06000063</t>
  </si>
  <si>
    <t>North Yorkshire</t>
  </si>
  <si>
    <t>E06000065</t>
  </si>
  <si>
    <t>Somerset</t>
  </si>
  <si>
    <t>E06000066</t>
  </si>
  <si>
    <t>Westmorland and Furness</t>
  </si>
  <si>
    <t>E06000064</t>
  </si>
  <si>
    <t>Aston Almshouse Charity</t>
  </si>
  <si>
    <t>Sparrow Shared Ownership Limited</t>
  </si>
  <si>
    <t>The Newark Emmaus Trust</t>
  </si>
  <si>
    <t>William Lovett's Almshouse Charity</t>
  </si>
  <si>
    <t>Windrush Alliance UK Community Interest Company</t>
  </si>
  <si>
    <t>Avocet Care &amp; Support Ltd</t>
  </si>
  <si>
    <t>Rotary House For The Deaf Limited</t>
  </si>
  <si>
    <t>Sovereign Network Homes</t>
  </si>
  <si>
    <t>The Abbeyfield Billericay Society Limited</t>
  </si>
  <si>
    <t>Barnsbury Housing Association</t>
  </si>
  <si>
    <t>Dolphin Housing Limited</t>
  </si>
  <si>
    <t>Hourglass Housing Co-operative Limited</t>
  </si>
  <si>
    <t>Just Circle Limited</t>
  </si>
  <si>
    <t>Karibu Community Homes Limited</t>
  </si>
  <si>
    <t>Kilburn Housing Co-operative Limited</t>
  </si>
  <si>
    <t>Perryview Housing Co-operative Limited</t>
  </si>
  <si>
    <t>Twenty-Fifth Avenue Ltd</t>
  </si>
  <si>
    <t>Watermans Housing Co-operative Limited</t>
  </si>
  <si>
    <t>Abbeyfield Northumbria</t>
  </si>
  <si>
    <t>Charity of Sarah Jane Wood &amp; Mary A Garnett</t>
  </si>
  <si>
    <t>Mary Hannah Almshouses</t>
  </si>
  <si>
    <t>Sandbach Almshouse Charity</t>
  </si>
  <si>
    <t>Eustace Hook and Drummond Memorial Almshouses</t>
  </si>
  <si>
    <t>Tonbridge United Charity</t>
  </si>
  <si>
    <t>Vivere Living Limited</t>
  </si>
  <si>
    <t>Abbeyfield (East Devon) Society Ltd</t>
  </si>
  <si>
    <t>Abbeyfield Tavistock Society Limited</t>
  </si>
  <si>
    <t>Bethany Home</t>
  </si>
  <si>
    <t>Sidlife Limited</t>
  </si>
  <si>
    <t>Berkswell Charities</t>
  </si>
  <si>
    <t>Butterfield Homes (Cottingley)</t>
  </si>
  <si>
    <t>Butterfield Homes (Wilsden)</t>
  </si>
  <si>
    <t>Butterfield Homes - Crosshills</t>
  </si>
  <si>
    <t>The Charlesworth Charity</t>
  </si>
  <si>
    <t>Outside UK</t>
  </si>
  <si>
    <t>9300000XX</t>
  </si>
  <si>
    <t>AdurAbbeyfield South Downs Limited</t>
  </si>
  <si>
    <t>Amber ValleyAction Housing and Support Limited</t>
  </si>
  <si>
    <t>Amber ValleyM&amp;G UK Shared Ownership Limited</t>
  </si>
  <si>
    <t>Amber ValleyP3 Housing Limited</t>
  </si>
  <si>
    <t>Amber ValleySage Homes RP Limited</t>
  </si>
  <si>
    <t>Amber ValleySage Rented Limited</t>
  </si>
  <si>
    <t>Amber ValleySparrow Shared Ownership Limited</t>
  </si>
  <si>
    <t>ArunLife 2009</t>
  </si>
  <si>
    <t>ArunPeabody Trust</t>
  </si>
  <si>
    <t>ArunSage Homes RP Limited</t>
  </si>
  <si>
    <t>ArunSage Rented Limited</t>
  </si>
  <si>
    <t>ArunSouthern Home Ownership Limited</t>
  </si>
  <si>
    <t>ArunSparrow Shared Ownership Limited</t>
  </si>
  <si>
    <t>ArunVivid Housing Limited</t>
  </si>
  <si>
    <t>AshfieldJigsaw Homes Midlands</t>
  </si>
  <si>
    <t>AshfieldM&amp;G UK Shared Ownership Limited</t>
  </si>
  <si>
    <t>AshfieldOngo Homes Limited</t>
  </si>
  <si>
    <t>AshfordLegal &amp; General Affordable Homes Limited</t>
  </si>
  <si>
    <t>AshfordM&amp;G UK Shared Ownership Limited</t>
  </si>
  <si>
    <t>AshfordSage Homes RP Limited</t>
  </si>
  <si>
    <t>AshfordSparrow Shared Ownership Limited</t>
  </si>
  <si>
    <t>BaberghAuckland Home Solutions CIC</t>
  </si>
  <si>
    <t>BaberghSage Homes RP Limited</t>
  </si>
  <si>
    <t>BaberghSage Rented Limited</t>
  </si>
  <si>
    <t>BaberghV &amp; F Homes Limited</t>
  </si>
  <si>
    <t>Barking and DagenhamSage Homes RP Limited</t>
  </si>
  <si>
    <t>Barking and DagenhamSovereign Network Homes</t>
  </si>
  <si>
    <t>BarnetCromwood Housing Ltd</t>
  </si>
  <si>
    <t>BarnetInnisfree Housing Association Limited</t>
  </si>
  <si>
    <t>BarnetSage Rented Limited</t>
  </si>
  <si>
    <t>BarnetSalvation Army Housing Association</t>
  </si>
  <si>
    <t>BarnetSovereign Network Homes</t>
  </si>
  <si>
    <t>BarnetSparrow Shared Ownership Limited</t>
  </si>
  <si>
    <t>BarnetThe Riverside Group Limited</t>
  </si>
  <si>
    <t>BarnetWatford Community Housing Trust</t>
  </si>
  <si>
    <t>4671</t>
  </si>
  <si>
    <t>BarnetWindrush Alliance UK Community Interest Company</t>
  </si>
  <si>
    <t>BarnsleyHalo Housing Association Limited</t>
  </si>
  <si>
    <t>BarnsleySage Homes RP Limited</t>
  </si>
  <si>
    <t>BarnsleyTarget Housing Limited</t>
  </si>
  <si>
    <t>BasildonM&amp;G UK Shared Ownership Limited</t>
  </si>
  <si>
    <t>H1607</t>
  </si>
  <si>
    <t>BasildonThe Abbeyfield Billericay Society Limited</t>
  </si>
  <si>
    <t>Basingstoke and DeaneSage Homes RP Limited</t>
  </si>
  <si>
    <t>Basingstoke and DeaneSparrow Shared Ownership Limited</t>
  </si>
  <si>
    <t>Basingstoke and DeaneThe Society of St James</t>
  </si>
  <si>
    <t>BassetlawM&amp;G UK Shared Ownership Limited</t>
  </si>
  <si>
    <t>BassetlawSage Homes RP Limited</t>
  </si>
  <si>
    <t>BassetlawSage Rented Limited</t>
  </si>
  <si>
    <t>BassetlawWakefield And District Housing Limited</t>
  </si>
  <si>
    <t>Bath and North East SomersetSage Homes RP Limited</t>
  </si>
  <si>
    <t>Bath and North East SomersetStonewater Limited</t>
  </si>
  <si>
    <t>BedfordOne YMCA</t>
  </si>
  <si>
    <t>BedfordPeabody Trust</t>
  </si>
  <si>
    <t>BedfordSparrow Shared Ownership Limited</t>
  </si>
  <si>
    <t>BedfordThe Riverside Group Limited</t>
  </si>
  <si>
    <t>BexleyLegal &amp; General Affordable Homes Limited</t>
  </si>
  <si>
    <t>BexleyM&amp;G UK Shared Ownership Limited</t>
  </si>
  <si>
    <t>BexleyPerryview Housing Co-operative Limited</t>
  </si>
  <si>
    <t>BirminghamLegal &amp; General Affordable Homes Limited</t>
  </si>
  <si>
    <t>BirminghamSage Homes RP Limited</t>
  </si>
  <si>
    <t>BirminghamSage Rented Limited</t>
  </si>
  <si>
    <t>BirminghamStonewater Limited</t>
  </si>
  <si>
    <t>4652</t>
  </si>
  <si>
    <t>BirminghamTwenty-Fifth Avenue Ltd</t>
  </si>
  <si>
    <t>BirminghamWindrush Alliance UK Community Interest Company</t>
  </si>
  <si>
    <t>BlabyFutures Homeway Limited</t>
  </si>
  <si>
    <t>BlabyM&amp;G UK Shared Ownership Limited</t>
  </si>
  <si>
    <t>Blackburn with DarwenAuckland Home Solutions CIC</t>
  </si>
  <si>
    <t>Blackburn with DarwenM&amp;G UK Shared Ownership Limited</t>
  </si>
  <si>
    <t>BlackpoolEncircle Housing</t>
  </si>
  <si>
    <t>BolsoverEncircle Housing</t>
  </si>
  <si>
    <t>BolsoverM&amp;G UK Shared Ownership Limited</t>
  </si>
  <si>
    <t>BolsoverPark Properties Housing Association Ltd</t>
  </si>
  <si>
    <t>BostonLondon &amp; Quadrant Housing Trust</t>
  </si>
  <si>
    <t>Bournemouth Christchurch and PooleGolden Lane Housing Limited</t>
  </si>
  <si>
    <t>Bournemouth Christchurch and PooleSage Homes RP Limited</t>
  </si>
  <si>
    <t>Bournemouth Christchurch and PooleSparrow Shared Ownership Limited</t>
  </si>
  <si>
    <t>Bournemouth Christchurch and PooleWindrush Alliance UK Community Interest Company</t>
  </si>
  <si>
    <t>Bracknell ForestLife 2009</t>
  </si>
  <si>
    <t>Bracknell ForestM&amp;G UK Shared Ownership Limited</t>
  </si>
  <si>
    <t>Bracknell ForestPark Properties Housing Association Ltd</t>
  </si>
  <si>
    <t>Bracknell ForestPeabody Trust</t>
  </si>
  <si>
    <t>Bracknell ForestSparrow Shared Ownership Limited</t>
  </si>
  <si>
    <t>Bracknell ForestSynergy Housing Limited</t>
  </si>
  <si>
    <t>A3825</t>
  </si>
  <si>
    <t>BradfordButterfield Homes (Cottingley)</t>
  </si>
  <si>
    <t>A3623</t>
  </si>
  <si>
    <t>BradfordButterfield Homes (Wilsden)</t>
  </si>
  <si>
    <t>A3163</t>
  </si>
  <si>
    <t>BradfordButterfield Homes - Crosshills</t>
  </si>
  <si>
    <t>BradfordM&amp;G UK Shared Ownership Limited</t>
  </si>
  <si>
    <t>BradfordSage Homes RP Limited</t>
  </si>
  <si>
    <t>BraintreeM&amp;G UK Shared Ownership Limited</t>
  </si>
  <si>
    <t>BraintreeMoat Homes Limited</t>
  </si>
  <si>
    <t>BraintreeSage Homes RP Limited</t>
  </si>
  <si>
    <t>BraintreeSparrow Shared Ownership Limited</t>
  </si>
  <si>
    <t>BrecklandM&amp;G UK Shared Ownership Limited</t>
  </si>
  <si>
    <t>BrecklandSage Homes RP Limited</t>
  </si>
  <si>
    <t>BrecklandSparrow Shared Ownership Limited</t>
  </si>
  <si>
    <t>BrentInclusion Housing Community Interest Company</t>
  </si>
  <si>
    <t>BrentKaribu Community Homes Limited</t>
  </si>
  <si>
    <t>C2694</t>
  </si>
  <si>
    <t>BrentKilburn Housing Co-operative Limited</t>
  </si>
  <si>
    <t>BrentM&amp;G UK Shared Ownership Limited</t>
  </si>
  <si>
    <t>BrentMP Living Limited</t>
  </si>
  <si>
    <t>BrentSovereign Network Homes</t>
  </si>
  <si>
    <t>BrentwoodLegal &amp; General Affordable Homes Limited</t>
  </si>
  <si>
    <t>BrentwoodSparrow Shared Ownership Limited</t>
  </si>
  <si>
    <t>Brighton and HoveLegal &amp; General Affordable Homes (AR) LLP</t>
  </si>
  <si>
    <t>Brighton and HoveM&amp;G UK Shared Ownership Limited</t>
  </si>
  <si>
    <t>Brighton and HoveSparrow Shared Ownership Limited</t>
  </si>
  <si>
    <t>A3334</t>
  </si>
  <si>
    <t>Bristol, City ofBethany Home</t>
  </si>
  <si>
    <t>Bristol, City ofM&amp;G UK Shared Ownership Limited</t>
  </si>
  <si>
    <t>Bristol, City ofSage Homes RP Limited</t>
  </si>
  <si>
    <t>Bristol, City ofThe Swaythling Housing Society Limited</t>
  </si>
  <si>
    <t>BroadlandGolden Lane Housing Limited</t>
  </si>
  <si>
    <t>BroadlandHousing 21</t>
  </si>
  <si>
    <t>BroadlandM&amp;G UK Shared Ownership Limited</t>
  </si>
  <si>
    <t>BroadlandSage Homes RP Limited</t>
  </si>
  <si>
    <t>BroadlandSparrow Shared Ownership Limited</t>
  </si>
  <si>
    <t>BromleyHousing 21</t>
  </si>
  <si>
    <t>BromleyM&amp;G UK Shared Ownership Limited</t>
  </si>
  <si>
    <t>BromleySage Rented Limited</t>
  </si>
  <si>
    <t>BromleySparrow Shared Ownership Limited</t>
  </si>
  <si>
    <t>BromleySt Martin of Tours Housing Association Limited</t>
  </si>
  <si>
    <t>BromsgroveAdvance Housing and Support Limited</t>
  </si>
  <si>
    <t>BromsgroveEncircle Housing</t>
  </si>
  <si>
    <t>BromsgroveProgress Housing Association Limited</t>
  </si>
  <si>
    <t>BroxbournePeabody Trust</t>
  </si>
  <si>
    <t>BuckinghamshireDimensions (UK) Limited</t>
  </si>
  <si>
    <t>BuckinghamshireLife 2009</t>
  </si>
  <si>
    <t>BuckinghamshirePeabody Trust</t>
  </si>
  <si>
    <t>BuckinghamshireSage Homes RP Limited</t>
  </si>
  <si>
    <t>BuckinghamshireSovereign Network Homes</t>
  </si>
  <si>
    <t>BuckinghamshireSparrow Shared Ownership Limited</t>
  </si>
  <si>
    <t>BuckinghamshireWindrush Alliance UK Community Interest Company</t>
  </si>
  <si>
    <t>BurnleyPlaces for People Living+ Limited</t>
  </si>
  <si>
    <t>CalderdaleAbbeyfield The Dales Limited</t>
  </si>
  <si>
    <t>CambridgeLegal &amp; General Affordable Homes Limited</t>
  </si>
  <si>
    <t>CambridgePeabody Trust</t>
  </si>
  <si>
    <t>CambridgeSparrow Shared Ownership Limited</t>
  </si>
  <si>
    <t>CamdenSovereign Network Homes</t>
  </si>
  <si>
    <t>CamdenSpringboard Two Housing Association Limited</t>
  </si>
  <si>
    <t>Cannock ChaseEncircle Housing</t>
  </si>
  <si>
    <t>Cannock ChaseSage Homes RP Limited</t>
  </si>
  <si>
    <t>CanterburyLegal &amp; General Affordable Homes Limited</t>
  </si>
  <si>
    <t>Castle PointThe Riverside Group Limited</t>
  </si>
  <si>
    <t>Central BedfordshireFairhive Homes Limited</t>
  </si>
  <si>
    <t>Central BedfordshireLuton Community Housing Limited</t>
  </si>
  <si>
    <t>Central BedfordshirePeabody Trust</t>
  </si>
  <si>
    <t>Central BedfordshireSage Homes RP Limited</t>
  </si>
  <si>
    <t>Central BedfordshireSovereign Network Homes</t>
  </si>
  <si>
    <t>Central BedfordshireSparrow Shared Ownership Limited</t>
  </si>
  <si>
    <t>CharnwoodBlue Square Residential Ltd</t>
  </si>
  <si>
    <t>CharnwoodM&amp;G UK Shared Ownership Limited</t>
  </si>
  <si>
    <t>CharnwoodSparrow Shared Ownership Limited</t>
  </si>
  <si>
    <t>CharnwoodThe Charity of Hannah Clarke for Almshouses</t>
  </si>
  <si>
    <t>ChelmsfordAdvance Housing and Support Limited</t>
  </si>
  <si>
    <t>ChelmsfordM&amp;G UK Shared Ownership Limited</t>
  </si>
  <si>
    <t>ChelmsfordSage Homes RP Limited</t>
  </si>
  <si>
    <t>ChelmsfordSparrow Shared Ownership Limited</t>
  </si>
  <si>
    <t>CheltenhamAbbeyfield Wessex Society Limited</t>
  </si>
  <si>
    <t>CherwellFairhive Homes Limited</t>
  </si>
  <si>
    <t>CherwellM&amp;G UK Shared Ownership Limited</t>
  </si>
  <si>
    <t>CherwellOrbit Group Limited</t>
  </si>
  <si>
    <t>CherwellPeabody Trust</t>
  </si>
  <si>
    <t>CherwellSage Homes RP Limited</t>
  </si>
  <si>
    <t>CherwellSparrow Shared Ownership Limited</t>
  </si>
  <si>
    <t>CherwellVivere Living Limited</t>
  </si>
  <si>
    <t>Cheshire EastBolton at Home Limited</t>
  </si>
  <si>
    <t>A3540</t>
  </si>
  <si>
    <t>Cheshire EastCharity of Sarah Jane Wood &amp; Mary A Garnett</t>
  </si>
  <si>
    <t>Cheshire EastM&amp;G UK Shared Ownership Limited</t>
  </si>
  <si>
    <t>Cheshire EastSage Homes RP Limited</t>
  </si>
  <si>
    <t>A2806</t>
  </si>
  <si>
    <t>Cheshire EastSandbach Almshouse Charity</t>
  </si>
  <si>
    <t>Cheshire EastSparrow Shared Ownership Limited</t>
  </si>
  <si>
    <t>Cheshire West and ChesterAuckland Home Solutions CIC</t>
  </si>
  <si>
    <t>Cheshire West and ChesterSage Homes RP Limited</t>
  </si>
  <si>
    <t>Cheshire West and ChesterSparrow Shared Ownership Limited</t>
  </si>
  <si>
    <t>ChesterfieldEncircle Housing</t>
  </si>
  <si>
    <t>ChesterfieldM&amp;G UK Shared Ownership Limited</t>
  </si>
  <si>
    <t>ChesterfieldSage Homes RP Limited</t>
  </si>
  <si>
    <t>ChesterfieldSparrow Shared Ownership Limited</t>
  </si>
  <si>
    <t>ChesterfieldWindrush Alliance UK Community Interest Company</t>
  </si>
  <si>
    <t>ChichesterAdvance Housing and Support Limited</t>
  </si>
  <si>
    <t>ChichesterLegal &amp; General Affordable Homes Limited</t>
  </si>
  <si>
    <t>ChichesterM&amp;G UK Shared Ownership Limited</t>
  </si>
  <si>
    <t>ChichesterSage Homes RP Limited</t>
  </si>
  <si>
    <t>ChichesterSovereign Housing Association Limited</t>
  </si>
  <si>
    <t>ChichesterSparrow Shared Ownership Limited</t>
  </si>
  <si>
    <t>ChorleyFrontis Homes Limited</t>
  </si>
  <si>
    <t>ChorleyLondon &amp; Quadrant Housing Trust</t>
  </si>
  <si>
    <t>ColchesterEncircle Housing</t>
  </si>
  <si>
    <t>ColchesterM&amp;G UK Shared Ownership Limited</t>
  </si>
  <si>
    <t>ColchesterSage Homes RP Limited</t>
  </si>
  <si>
    <t>ColchesterSage Rented Limited</t>
  </si>
  <si>
    <t>ColchesterSparrow Shared Ownership Limited</t>
  </si>
  <si>
    <t>ColchesterSt Mary Magdalen's Hospital Almshouse Charity</t>
  </si>
  <si>
    <t>ColchesterWindrush Alliance UK Community Interest Company</t>
  </si>
  <si>
    <t>CornwallM&amp;G UK Shared Ownership Limited</t>
  </si>
  <si>
    <t>CornwallSage Homes RP Limited</t>
  </si>
  <si>
    <t>CotswoldEnglish Rural Housing Association Limited</t>
  </si>
  <si>
    <t>County DurhamCare Housing Association Limited</t>
  </si>
  <si>
    <t>County DurhamSage Homes RP Limited</t>
  </si>
  <si>
    <t>CoventryP3 Housing Limited</t>
  </si>
  <si>
    <t>CrawleyLife 2009</t>
  </si>
  <si>
    <t>CroydonBromley and Croydon Women's Aid Limited</t>
  </si>
  <si>
    <t>CroydonChrysalis Supported Association Limited</t>
  </si>
  <si>
    <t>CroydonDepaul Housing Services</t>
  </si>
  <si>
    <t>CroydonDovepark Properties Limited</t>
  </si>
  <si>
    <t>CroydonM&amp;G UK Shared Ownership Limited</t>
  </si>
  <si>
    <t>CroydonSparrow Shared Ownership Limited</t>
  </si>
  <si>
    <t>CroydonWindrush Alliance UK Community Interest Company</t>
  </si>
  <si>
    <t>CumberlandAnchor Hanover Group</t>
  </si>
  <si>
    <t>CumberlandAuxesia Homes Limited</t>
  </si>
  <si>
    <t>CumberlandCastles &amp; Coasts Housing Association Limited</t>
  </si>
  <si>
    <t>CumberlandCreative Support Limited</t>
  </si>
  <si>
    <t>CumberlandDimensions (UK) Limited</t>
  </si>
  <si>
    <t>CumberlandEden Housing Association Limited</t>
  </si>
  <si>
    <t>CumberlandEmpower Housing Association Limited</t>
  </si>
  <si>
    <t>CumberlandFirst Priority Housing Association Limited</t>
  </si>
  <si>
    <t>CumberlandGolden Lane Housing Limited</t>
  </si>
  <si>
    <t>CumberlandHeylo Housing Registered Provider Limited</t>
  </si>
  <si>
    <t>CumberlandHome Group Limited</t>
  </si>
  <si>
    <t>CumberlandHousing 21</t>
  </si>
  <si>
    <t>CumberlandInclusion Housing Community Interest Company</t>
  </si>
  <si>
    <t>CumberlandJoseph and Eleanor Gunson Almshouse Trust</t>
  </si>
  <si>
    <t>CumberlandKeswick Community Housing Trust Limited</t>
  </si>
  <si>
    <t>A4039</t>
  </si>
  <si>
    <t>CumberlandMary Hannah Almshouses</t>
  </si>
  <si>
    <t>CumberlandMitre Housing Association Limited</t>
  </si>
  <si>
    <t>CumberlandNew Foundations Housing Association Limited</t>
  </si>
  <si>
    <t>CumberlandPartners Foundation Limited</t>
  </si>
  <si>
    <t>CumberlandProgress Housing Association Limited</t>
  </si>
  <si>
    <t>CumberlandRailway Housing Association and Benefit Fund</t>
  </si>
  <si>
    <t>CumberlandSanctuary Housing Association</t>
  </si>
  <si>
    <t>CumberlandThe Abbeyfield Society</t>
  </si>
  <si>
    <t>CumberlandThe Abbeyfield Whitehaven Society Limited</t>
  </si>
  <si>
    <t>CumberlandThe Fairoak Housing Association</t>
  </si>
  <si>
    <t>CumberlandThe Richmond Fellowship</t>
  </si>
  <si>
    <t>CumberlandThe Riverside Group Limited</t>
  </si>
  <si>
    <t>CumberlandTurning Point</t>
  </si>
  <si>
    <t>CumberlandWestfield Housing Association Limited</t>
  </si>
  <si>
    <t>DacorumPeabody Trust</t>
  </si>
  <si>
    <t>DacorumSparrow Shared Ownership Limited</t>
  </si>
  <si>
    <t>DarlingtonBelieve Housing Limited</t>
  </si>
  <si>
    <t>DartfordHeart of Medway Housing Association Limited</t>
  </si>
  <si>
    <t>DartfordM&amp;G UK Shared Ownership Limited</t>
  </si>
  <si>
    <t>DartfordSage Homes RP Limited</t>
  </si>
  <si>
    <t>DartfordSage Rented Limited</t>
  </si>
  <si>
    <t>DartfordSparrow Shared Ownership Limited</t>
  </si>
  <si>
    <t>DerbyM&amp;G UK Shared Ownership Limited</t>
  </si>
  <si>
    <t>DerbySage Homes RP Limited</t>
  </si>
  <si>
    <t>DerbySparrow Shared Ownership Limited</t>
  </si>
  <si>
    <t>Derbyshire DalesM&amp;G UK Shared Ownership Limited</t>
  </si>
  <si>
    <t>Derbyshire DalesSage Homes RP Limited</t>
  </si>
  <si>
    <t>DoncasterM&amp;G UK Shared Ownership Limited</t>
  </si>
  <si>
    <t>DoncasterSage Homes RP Limited</t>
  </si>
  <si>
    <t>DoncasterSage Rented Limited</t>
  </si>
  <si>
    <t>DorsetM&amp;G UK Shared Ownership Limited</t>
  </si>
  <si>
    <t>DorsetSage Homes RP Limited</t>
  </si>
  <si>
    <t>DorsetSparrow Shared Ownership Limited</t>
  </si>
  <si>
    <t>DorsetWindrush Alliance UK Community Interest Company</t>
  </si>
  <si>
    <t>DoverResthaven Almshouses</t>
  </si>
  <si>
    <t>DoverSage Homes RP Limited</t>
  </si>
  <si>
    <t>DoverSage Rented Limited</t>
  </si>
  <si>
    <t>DoverSparrow Shared Ownership Limited</t>
  </si>
  <si>
    <t>DoverTurning Point</t>
  </si>
  <si>
    <t>DudleyEncircle Housing</t>
  </si>
  <si>
    <t>DudleySage Rented Limited</t>
  </si>
  <si>
    <t>DudleySparrow Shared Ownership Limited</t>
  </si>
  <si>
    <t>EalingA2Dominion Housing Options Limited</t>
  </si>
  <si>
    <t>EalingJust Circle Limited</t>
  </si>
  <si>
    <t>EalingKaribu Community Homes Limited</t>
  </si>
  <si>
    <t>EalingSovereign Network Homes</t>
  </si>
  <si>
    <t>EalingTamil Community Housing Association Limited</t>
  </si>
  <si>
    <t>EalingThe Riverside Group Limited</t>
  </si>
  <si>
    <t>EalingWindrush Alliance UK Community Interest Company</t>
  </si>
  <si>
    <t>EalingYMCA St Paul's Group</t>
  </si>
  <si>
    <t>East CambridgeshireCross Keys Homes Limited</t>
  </si>
  <si>
    <t>East CambridgeshireEnglish Rural Housing Association Limited</t>
  </si>
  <si>
    <t>East CambridgeshireM&amp;G UK Shared Ownership Limited</t>
  </si>
  <si>
    <t>East CambridgeshireSage Homes RP Limited</t>
  </si>
  <si>
    <t>East CambridgeshireSparrow Shared Ownership Limited</t>
  </si>
  <si>
    <t>East DevonAbbeyfield (East Devon) Society Ltd</t>
  </si>
  <si>
    <t>East DevonNew Foundations Housing Association Limited</t>
  </si>
  <si>
    <t>East DevonSage Homes RP Limited</t>
  </si>
  <si>
    <t>East DevonSidlife Limited</t>
  </si>
  <si>
    <t>East DevonWillow Tree Housing Partnership Limited</t>
  </si>
  <si>
    <t>East HampshireM&amp;G UK Shared Ownership Limited</t>
  </si>
  <si>
    <t>East HampshireSparrow Shared Ownership Limited</t>
  </si>
  <si>
    <t>East HertfordshireChelmer Housing Partnership Limited</t>
  </si>
  <si>
    <t>East HertfordshirePeabody Trust</t>
  </si>
  <si>
    <t>East HertfordshireSage Homes RP Limited</t>
  </si>
  <si>
    <t>East HertfordshireSovereign Network Homes</t>
  </si>
  <si>
    <t>East HertfordshireSparrow Shared Ownership Limited</t>
  </si>
  <si>
    <t>East LindseyGolden Lane Housing Limited</t>
  </si>
  <si>
    <t>East LindseyOngo Homes Limited</t>
  </si>
  <si>
    <t>East LindseySage Homes RP Limited</t>
  </si>
  <si>
    <t>East Riding of YorkshireSage Homes RP Limited</t>
  </si>
  <si>
    <t>East Riding of YorkshireSparrow Shared Ownership Limited</t>
  </si>
  <si>
    <t>East StaffordshireM&amp;G UK Shared Ownership Limited</t>
  </si>
  <si>
    <t>East StaffordshireSage Homes RP Limited</t>
  </si>
  <si>
    <t>East StaffordshireSparrow Shared Ownership Limited</t>
  </si>
  <si>
    <t>East SuffolkMTD Housing Limited</t>
  </si>
  <si>
    <t>East SuffolkPark Properties Housing Association Ltd</t>
  </si>
  <si>
    <t>East SuffolkPeabody Trust</t>
  </si>
  <si>
    <t>East SuffolkSage Homes RP Limited</t>
  </si>
  <si>
    <t>EastbourneLegal &amp; General Affordable Homes Limited</t>
  </si>
  <si>
    <t>EastbourneM&amp;G UK Shared Ownership Limited</t>
  </si>
  <si>
    <t>ElmbridgeKaribu Community Homes Limited</t>
  </si>
  <si>
    <t>ElmbridgeKingston upon Thames Churches Housing Association Limited</t>
  </si>
  <si>
    <t>ElmbridgePeabody Trust</t>
  </si>
  <si>
    <t>ElmbridgeYMCA St Paul's Group</t>
  </si>
  <si>
    <t>EnfieldHeylo Housing Registered Provider Limited</t>
  </si>
  <si>
    <t>EnfieldSage Homes RP Limited</t>
  </si>
  <si>
    <t>EnfieldSovereign Network Homes</t>
  </si>
  <si>
    <t>EnfieldWindrush Alliance UK Community Interest Company</t>
  </si>
  <si>
    <t>Epping ForestChelmer Housing Partnership Limited</t>
  </si>
  <si>
    <t>Epping ForestSovereign Network Homes</t>
  </si>
  <si>
    <t>Epsom and EwellMTD Housing Limited</t>
  </si>
  <si>
    <t>Epsom and EwellTown and Country Housing</t>
  </si>
  <si>
    <t>ErewashM&amp;G UK Shared Ownership Limited</t>
  </si>
  <si>
    <t>FarehamLegal &amp; General Affordable Homes Limited</t>
  </si>
  <si>
    <t>FarehamSparrow Shared Ownership Limited</t>
  </si>
  <si>
    <t>FenlandPeabody Trust</t>
  </si>
  <si>
    <t>FenlandPlatform Housing Limited</t>
  </si>
  <si>
    <t>Folkestone and HytheSage Homes RP Limited</t>
  </si>
  <si>
    <t>Folkestone and HytheSparrow Shared Ownership Limited</t>
  </si>
  <si>
    <t>Forest of DeanEnglish Rural Housing Association Limited</t>
  </si>
  <si>
    <t>FyldeHumankind Charity</t>
  </si>
  <si>
    <t>FyldeSage Homes RP Limited</t>
  </si>
  <si>
    <t>FyldeSparrow Shared Ownership Limited</t>
  </si>
  <si>
    <t>GatesheadReside Housing Association Limited</t>
  </si>
  <si>
    <t>GedlingM&amp;G UK Shared Ownership Limited</t>
  </si>
  <si>
    <t>GedlingSage Homes RP Limited</t>
  </si>
  <si>
    <t>GedlingSage Rented Limited</t>
  </si>
  <si>
    <t>GloucesterM&amp;G UK Shared Ownership Limited</t>
  </si>
  <si>
    <t>GosportPlaces for People Living+ Limited</t>
  </si>
  <si>
    <t>GraveshamHeart of Medway Housing Association Limited</t>
  </si>
  <si>
    <t>GraveshamSparrow Shared Ownership Limited</t>
  </si>
  <si>
    <t>Great YarmouthReside Housing Association Limited</t>
  </si>
  <si>
    <t>Great YarmouthRetirement Lease Housing Association</t>
  </si>
  <si>
    <t>Great YarmouthSparrow Shared Ownership Limited</t>
  </si>
  <si>
    <t>GreenwichDovepark Properties Limited</t>
  </si>
  <si>
    <t>GreenwichM&amp;G UK Shared Ownership Limited</t>
  </si>
  <si>
    <t>GreenwichRetirement Lease Housing Association</t>
  </si>
  <si>
    <t>GreenwichTwenty-Fifth Avenue Ltd</t>
  </si>
  <si>
    <t>GuildfordSage Rented Limited</t>
  </si>
  <si>
    <t>GuildfordSparrow Shared Ownership Limited</t>
  </si>
  <si>
    <t>GuildfordStonewater (5) Limited</t>
  </si>
  <si>
    <t>GuildfordTown and Country Housing</t>
  </si>
  <si>
    <t>GuildfordWindrush Alliance UK Community Interest Company</t>
  </si>
  <si>
    <t>HackneyCromwood Housing Ltd</t>
  </si>
  <si>
    <t>HackneyDistrict Homes C.I.C</t>
  </si>
  <si>
    <t>HackneyDolphin Housing Limited</t>
  </si>
  <si>
    <t>HackneySovereign Network Homes</t>
  </si>
  <si>
    <t>HackneyThe Riverside Group Limited</t>
  </si>
  <si>
    <t>Hammersmith and FulhamAbbeyfield Southern Oaks</t>
  </si>
  <si>
    <t>Hammersmith and FulhamLegal &amp; General Affordable Homes (AR) LLP</t>
  </si>
  <si>
    <t>Hammersmith and FulhamSovereign Network Homes</t>
  </si>
  <si>
    <t>Hammersmith and FulhamSpringboard Two Housing Association Limited</t>
  </si>
  <si>
    <t>Hammersmith and FulhamThe Riverside Group Limited</t>
  </si>
  <si>
    <t>HarboroughFutures Homeway Limited</t>
  </si>
  <si>
    <t>HarboroughSage Homes RP Limited</t>
  </si>
  <si>
    <t>HarboroughSparrow Shared Ownership Limited</t>
  </si>
  <si>
    <t>HaringeyCromwood Housing Ltd</t>
  </si>
  <si>
    <t>HaringeyDepaul Housing Services</t>
  </si>
  <si>
    <t>HaringeySage Homes RP Limited</t>
  </si>
  <si>
    <t>HaringeySovereign Network Homes</t>
  </si>
  <si>
    <t>HarlowSage Homes RP Limited</t>
  </si>
  <si>
    <t>HarlowSparrow Shared Ownership Limited</t>
  </si>
  <si>
    <t>HarrowKaribu Community Homes Limited</t>
  </si>
  <si>
    <t>HarrowM&amp;G UK Shared Ownership Limited</t>
  </si>
  <si>
    <t>HarrowSovereign Network Homes</t>
  </si>
  <si>
    <t>HarrowSparrow Shared Ownership Limited</t>
  </si>
  <si>
    <t>HarrowTamil Community Housing Association Limited</t>
  </si>
  <si>
    <t>HarrowThe Riverside Group Limited</t>
  </si>
  <si>
    <t>HarrowWindrush Alliance UK Community Interest Company</t>
  </si>
  <si>
    <t>HarrowYMCA St Paul's Group</t>
  </si>
  <si>
    <t>HartHastoe Housing Association Limited</t>
  </si>
  <si>
    <t>HartLife 2009</t>
  </si>
  <si>
    <t>HartPeabody Trust</t>
  </si>
  <si>
    <t>HartlepoolCare Housing Association Limited</t>
  </si>
  <si>
    <t>HartlepoolLivin Housing Limited</t>
  </si>
  <si>
    <t>HastingsLegal &amp; General Affordable Homes Limited</t>
  </si>
  <si>
    <t>HavantLondon &amp; Quadrant Housing Trust</t>
  </si>
  <si>
    <t>HavantSage Homes RP Limited</t>
  </si>
  <si>
    <t>HavantSparrow Shared Ownership Limited</t>
  </si>
  <si>
    <t>HavantWestmoreland Supported Housing Limited</t>
  </si>
  <si>
    <t>HaveringGateway Housing Association Limited</t>
  </si>
  <si>
    <t>Herefordshire, County ofLook Ahead Care and Support Limited</t>
  </si>
  <si>
    <t>Herefordshire, County ofThe Abbeyfield Worcester and Hereford Society Limited</t>
  </si>
  <si>
    <t>HertsmerePeabody Trust</t>
  </si>
  <si>
    <t>HertsmereSovereign Network Homes</t>
  </si>
  <si>
    <t>High PeakBolton at Home Limited</t>
  </si>
  <si>
    <t>High PeakFramework Housing Association</t>
  </si>
  <si>
    <t>High PeakGolden Lane Housing Limited</t>
  </si>
  <si>
    <t>High PeakSage Homes RP Limited</t>
  </si>
  <si>
    <t>High PeakSparrow Shared Ownership Limited</t>
  </si>
  <si>
    <t>HillingdonKaribu Community Homes Limited</t>
  </si>
  <si>
    <t>HillingdonP3 Housing Limited</t>
  </si>
  <si>
    <t>HillingdonSovereign Network Homes</t>
  </si>
  <si>
    <t>HillingdonSparrow Shared Ownership Limited</t>
  </si>
  <si>
    <t>HillingdonYMCA St Paul's Group</t>
  </si>
  <si>
    <t>Hinckley and BosworthLegal &amp; General Affordable Homes Limited</t>
  </si>
  <si>
    <t>Hinckley and BosworthM&amp;G UK Shared Ownership Limited</t>
  </si>
  <si>
    <t>HorshamLegal &amp; General Affordable Homes (AR) LLP</t>
  </si>
  <si>
    <t>HorshamSparrow Shared Ownership Limited</t>
  </si>
  <si>
    <t>HorshamWorthing Homes Limited</t>
  </si>
  <si>
    <t>HounslowJust Circle Limited</t>
  </si>
  <si>
    <t>HounslowKaribu Community Homes Limited</t>
  </si>
  <si>
    <t>HounslowPeabody Trust</t>
  </si>
  <si>
    <t>HounslowSovereign Network Homes</t>
  </si>
  <si>
    <t>HounslowSparrow Shared Ownership Limited</t>
  </si>
  <si>
    <t>HounslowSpringboard Two Housing Association Limited</t>
  </si>
  <si>
    <t>HounslowThe Riverside Group Limited</t>
  </si>
  <si>
    <t>C3725</t>
  </si>
  <si>
    <t>HounslowWatermans Housing Co-operative Limited</t>
  </si>
  <si>
    <t>HuntingdonshireM&amp;G UK Shared Ownership Limited</t>
  </si>
  <si>
    <t>HuntingdonshireOrbit Housing Association Limited</t>
  </si>
  <si>
    <t>HuntingdonshirePeabody Trust</t>
  </si>
  <si>
    <t>HuntingdonshireSage Homes RP Limited</t>
  </si>
  <si>
    <t>HuntingdonshireSparrow Shared Ownership Limited</t>
  </si>
  <si>
    <t>HyndburnSanctuary Affordable Housing Limited</t>
  </si>
  <si>
    <t>IpswichLegal &amp; General Affordable Homes Limited</t>
  </si>
  <si>
    <t>IpswichSolo Housing (East Anglia)</t>
  </si>
  <si>
    <t>IpswichSparrow Shared Ownership Limited</t>
  </si>
  <si>
    <t>IpswichThe Havebury Housing Partnership</t>
  </si>
  <si>
    <t>IslingtonBarnsbury Housing Association</t>
  </si>
  <si>
    <t>IslingtonEncircle Housing</t>
  </si>
  <si>
    <t>IslingtonSovereign Network Homes</t>
  </si>
  <si>
    <t>IslingtonTamil Community Housing Association Limited</t>
  </si>
  <si>
    <t>Kensington and ChelseaKaribu Community Homes Limited</t>
  </si>
  <si>
    <t>Kensington and ChelseaOak Housing Limited</t>
  </si>
  <si>
    <t>Kensington and ChelseaSovereign Network Homes</t>
  </si>
  <si>
    <t>King's Lynn and West NorfolkHome Group Limited</t>
  </si>
  <si>
    <t>Kingston upon Hull, City ofCare Housing Association Limited</t>
  </si>
  <si>
    <t>Kingston upon Hull, City ofYorkshire Housing Limited</t>
  </si>
  <si>
    <t>Kingston upon ThamesCo-op Homes (South) Limited</t>
  </si>
  <si>
    <t>Kingston upon ThamesKaribu Community Homes Limited</t>
  </si>
  <si>
    <t>Kingston upon ThamesMTD Housing Limited</t>
  </si>
  <si>
    <t>Kingston upon ThamesPark Properties Housing Association Ltd</t>
  </si>
  <si>
    <t>Kingston upon ThamesSovereign Network Homes</t>
  </si>
  <si>
    <t>Kingston upon ThamesSparrow Shared Ownership Limited</t>
  </si>
  <si>
    <t>Kingston upon ThamesSquare Roots Registered Provider Limited</t>
  </si>
  <si>
    <t>Kingston upon ThamesThe Guinness Partnership Limited</t>
  </si>
  <si>
    <t>Kingston upon ThamesThe Riverside Group Limited</t>
  </si>
  <si>
    <t>KirkleesFirst Choice Homes Oldham Limited</t>
  </si>
  <si>
    <t>KirkleesIKE Supported Housing Limited</t>
  </si>
  <si>
    <t>KirkleesSage Homes RP Limited</t>
  </si>
  <si>
    <t>KirkleesSparrow Shared Ownership Limited</t>
  </si>
  <si>
    <t>KirkleesThe Richmond Fellowship</t>
  </si>
  <si>
    <t>LambethDolphin Housing Limited</t>
  </si>
  <si>
    <t>LambethHourglass Housing Co-operative Limited</t>
  </si>
  <si>
    <t>LambethJust Circle Limited</t>
  </si>
  <si>
    <t>LambethLegal &amp; General Affordable Homes (AR) LLP</t>
  </si>
  <si>
    <t>LambethM&amp;G UK Shared Ownership Limited</t>
  </si>
  <si>
    <t>LambethPeabody Developments Limited</t>
  </si>
  <si>
    <t>LambethSovereign Network Homes</t>
  </si>
  <si>
    <t>LambethWindrush Alliance UK Community Interest Company</t>
  </si>
  <si>
    <t>LeedsBridge-It Housing UK Team Ltd</t>
  </si>
  <si>
    <t>LeicesterEncircle Housing</t>
  </si>
  <si>
    <t>LeicesterM&amp;G UK Shared Ownership Limited</t>
  </si>
  <si>
    <t>LeicesterSage Homes RP Limited</t>
  </si>
  <si>
    <t>LewesSage Homes RP Limited</t>
  </si>
  <si>
    <t>LewesSparrow Shared Ownership Limited</t>
  </si>
  <si>
    <t>LewishamDeptford Housing Co-operative Limited</t>
  </si>
  <si>
    <t>LewishamM&amp;G UK Shared Ownership Limited</t>
  </si>
  <si>
    <t>LewishamPeabody Developments Limited</t>
  </si>
  <si>
    <t>LewishamSparrow Shared Ownership Limited</t>
  </si>
  <si>
    <t>LichfieldEncircle Housing</t>
  </si>
  <si>
    <t>LichfieldLegal &amp; General Affordable Homes Limited</t>
  </si>
  <si>
    <t>LincolnM&amp;G UK Shared Ownership Limited</t>
  </si>
  <si>
    <t>LincolnPinnacle Spaces Limited</t>
  </si>
  <si>
    <t>LincolnSwift Homes Limited</t>
  </si>
  <si>
    <t>LiverpoolMetropolitan Housing Trust Limited</t>
  </si>
  <si>
    <t>LiverpoolPlaces for People Living+ Limited</t>
  </si>
  <si>
    <t>LutonPeabody Trust</t>
  </si>
  <si>
    <t>LutonSage Homes RP Limited</t>
  </si>
  <si>
    <t>MaidstoneKing George V Memorial Houses</t>
  </si>
  <si>
    <t>MaidstoneLegal &amp; General Affordable Homes Limited</t>
  </si>
  <si>
    <t>MaidstoneM&amp;G UK Shared Ownership Limited</t>
  </si>
  <si>
    <t>MaidstoneSage Homes RP Limited</t>
  </si>
  <si>
    <t>MaidstoneSparrow Shared Ownership Limited</t>
  </si>
  <si>
    <t>MaidstoneWindrush Alliance UK Community Interest Company</t>
  </si>
  <si>
    <t>MaldonM&amp;G UK Shared Ownership Limited</t>
  </si>
  <si>
    <t>MaldonSage Homes RP Limited</t>
  </si>
  <si>
    <t>MaldonSage Rented Limited</t>
  </si>
  <si>
    <t>MaldonSparrow Shared Ownership Limited</t>
  </si>
  <si>
    <t>ManchesterBolton at Home Limited</t>
  </si>
  <si>
    <t>ManchesterFrontis Homes Limited</t>
  </si>
  <si>
    <t>MansfieldEncircle Housing</t>
  </si>
  <si>
    <t>MansfieldJigsaw Homes Midlands</t>
  </si>
  <si>
    <t>MansfieldLegal &amp; General Affordable Homes Limited</t>
  </si>
  <si>
    <t>MansfieldM&amp;G UK Shared Ownership Limited</t>
  </si>
  <si>
    <t>MansfieldOngo Homes Limited</t>
  </si>
  <si>
    <t>MedwayLegal &amp; General Affordable Homes Limited</t>
  </si>
  <si>
    <t>MedwayM&amp;G UK Shared Ownership Limited</t>
  </si>
  <si>
    <t>MedwaySage Homes RP Limited</t>
  </si>
  <si>
    <t>MedwaySage Rented Limited</t>
  </si>
  <si>
    <t>MeltonLegal &amp; General Affordable Homes Limited</t>
  </si>
  <si>
    <t>MeltonM&amp;G UK Shared Ownership Limited</t>
  </si>
  <si>
    <t>MertonKingston upon Thames Churches Housing Association Limited</t>
  </si>
  <si>
    <t>MertonMTD Housing Limited</t>
  </si>
  <si>
    <t>Mid DevonElim Housing Association Limited</t>
  </si>
  <si>
    <t>Mid DevonSage Homes RP Limited</t>
  </si>
  <si>
    <t>Mid DevonTeign Housing</t>
  </si>
  <si>
    <t>Mid SuffolkRetirement Lease Housing Association</t>
  </si>
  <si>
    <t>Mid SuffolkSage Homes RP Limited</t>
  </si>
  <si>
    <t>Mid SuffolkSparrow Shared Ownership Limited</t>
  </si>
  <si>
    <t>Mid SussexSage Homes RP Limited</t>
  </si>
  <si>
    <t>Mid SussexSovereign Housing Association Limited</t>
  </si>
  <si>
    <t>Mid SussexSparrow Shared Ownership Limited</t>
  </si>
  <si>
    <t>Mid SussexTown and Country Housing</t>
  </si>
  <si>
    <t>MiddlesbroughPlaces for People Living+ Limited</t>
  </si>
  <si>
    <t>MiddlesbroughSage Homes RP Limited</t>
  </si>
  <si>
    <t>MiddlesbroughTogether Housing Association Limited</t>
  </si>
  <si>
    <t>Milton KeynesFairhive Homes Limited</t>
  </si>
  <si>
    <t>Milton KeynesM&amp;G UK Shared Ownership Limited</t>
  </si>
  <si>
    <t>Milton KeynesPeabody Trust</t>
  </si>
  <si>
    <t>Milton KeynesSage Homes RP Limited</t>
  </si>
  <si>
    <t>Milton KeynesSovereign Network Homes</t>
  </si>
  <si>
    <t>Milton KeynesSparrow Shared Ownership Limited</t>
  </si>
  <si>
    <t>New ForestPlaces for People Living+ Limited</t>
  </si>
  <si>
    <t>Newark and SherwoodInclusion Housing Community Interest Company</t>
  </si>
  <si>
    <t>Newark and SherwoodM&amp;G UK Shared Ownership Limited</t>
  </si>
  <si>
    <t>Newark and SherwoodOngo Homes Limited</t>
  </si>
  <si>
    <t>Newark and SherwoodSage Homes RP Limited</t>
  </si>
  <si>
    <t>Newark and SherwoodThe Newark Emmaus Trust</t>
  </si>
  <si>
    <t>Newcastle upon TyneM&amp;G UK Shared Ownership Limited</t>
  </si>
  <si>
    <t>Newcastle upon TyneNew Foundations Housing Association Limited</t>
  </si>
  <si>
    <t>Newcastle-under-LymeAuxesia Homes Limited</t>
  </si>
  <si>
    <t>Newcastle-under-LymeMuir Group Housing Association Limited</t>
  </si>
  <si>
    <t>Newcastle-under-LymeSage Homes RP Limited</t>
  </si>
  <si>
    <t>Newcastle-under-LymeSage Rented Limited</t>
  </si>
  <si>
    <t>Newcastle-under-LymeSparrow Shared Ownership Limited</t>
  </si>
  <si>
    <t>NewhamLegal &amp; General Affordable Homes Limited</t>
  </si>
  <si>
    <t>NewhamSovereign Network Homes</t>
  </si>
  <si>
    <t>NewhamSparrow Shared Ownership Limited</t>
  </si>
  <si>
    <t>North DevonSage Homes RP Limited</t>
  </si>
  <si>
    <t>North East DerbyshireAlliance Housing Association (South Yorkshire) Limited</t>
  </si>
  <si>
    <t>North East DerbyshireM&amp;G UK Shared Ownership Limited</t>
  </si>
  <si>
    <t>North East DerbyshireNottingham Community Housing Association Limited</t>
  </si>
  <si>
    <t>North East DerbyshirePark Properties Housing Association Ltd</t>
  </si>
  <si>
    <t>North East DerbyshireSage Homes RP Limited</t>
  </si>
  <si>
    <t>North East DerbyshireSparrow Shared Ownership Limited</t>
  </si>
  <si>
    <t>North East LincolnshireOngo Homes Limited</t>
  </si>
  <si>
    <t>North East LincolnshirePlatform Housing Limited</t>
  </si>
  <si>
    <t>North East LincolnshireSage Homes RP Limited</t>
  </si>
  <si>
    <t>North East LincolnshireSage Rented Limited</t>
  </si>
  <si>
    <t>North HertfordshireGemini Housing Co-operative Limited</t>
  </si>
  <si>
    <t>North HertfordshireLondon &amp; Quadrant Housing Trust</t>
  </si>
  <si>
    <t>North HertfordshireOne YMCA</t>
  </si>
  <si>
    <t>North HertfordshirePeabody Trust</t>
  </si>
  <si>
    <t>North HertfordshireSage Homes RP Limited</t>
  </si>
  <si>
    <t>North HertfordshireSage Rented Limited</t>
  </si>
  <si>
    <t>North HertfordshireSparrow Shared Ownership Limited</t>
  </si>
  <si>
    <t>North KestevenSage Homes RP Limited</t>
  </si>
  <si>
    <t>North KestevenSparrow Shared Ownership Limited</t>
  </si>
  <si>
    <t>North LincolnshireLace Housing Limited</t>
  </si>
  <si>
    <t>North LincolnshirePlatform Housing Limited</t>
  </si>
  <si>
    <t>North LincolnshireSage Homes RP Limited</t>
  </si>
  <si>
    <t>North NorthamptonshireFutures Homeway Limited</t>
  </si>
  <si>
    <t>North NorthamptonshireLife 2009</t>
  </si>
  <si>
    <t>North NorthamptonshireM&amp;G UK Shared Ownership Limited</t>
  </si>
  <si>
    <t>North NorthamptonshirePeabody Trust</t>
  </si>
  <si>
    <t>North NorthamptonshireSage Homes RP Limited</t>
  </si>
  <si>
    <t>North NorthamptonshireSage Rented Limited</t>
  </si>
  <si>
    <t>North NorthamptonshireSparrow Shared Ownership Limited</t>
  </si>
  <si>
    <t>North NorthamptonshireWindrush Alliance UK Community Interest Company</t>
  </si>
  <si>
    <t>North SomersetJulian House</t>
  </si>
  <si>
    <t>North SomersetM&amp;G UK Shared Ownership Limited</t>
  </si>
  <si>
    <t>North SomersetSage Homes RP Limited</t>
  </si>
  <si>
    <t>North TynesideThe Richmond Fellowship</t>
  </si>
  <si>
    <t>North WarwickshireM&amp;G UK Shared Ownership Limited</t>
  </si>
  <si>
    <t>North WarwickshireSparrow Shared Ownership Limited</t>
  </si>
  <si>
    <t>North West LeicestershireM&amp;G UK Shared Ownership Limited</t>
  </si>
  <si>
    <t>North West LeicestershireProgress Housing Association Limited</t>
  </si>
  <si>
    <t>North Yorkshire54 North Homes Limited</t>
  </si>
  <si>
    <t>North YorkshireAccent Housing Limited</t>
  </si>
  <si>
    <t>North YorkshireAnchor Hanover Group</t>
  </si>
  <si>
    <t>North YorkshireBespoke Supportive Tenancies Ltd</t>
  </si>
  <si>
    <t>North YorkshireBeyond Housing Limited</t>
  </si>
  <si>
    <t>North YorkshireBroadacres Housing Association Limited</t>
  </si>
  <si>
    <t>North YorkshireCastles &amp; Coasts Housing Association Limited</t>
  </si>
  <si>
    <t>North YorkshireChartford Housing Limited</t>
  </si>
  <si>
    <t>North YorkshireChrysalis Supported Association Limited</t>
  </si>
  <si>
    <t>North YorkshireDimensions (UK) Limited</t>
  </si>
  <si>
    <t>North YorkshireEMH Housing and Regeneration Limited</t>
  </si>
  <si>
    <t>North YorkshireEncircle Housing</t>
  </si>
  <si>
    <t>North YorkshireFoundation</t>
  </si>
  <si>
    <t>North YorkshireFrontis Homes Limited</t>
  </si>
  <si>
    <t>North YorkshireGolden Lane Housing Limited</t>
  </si>
  <si>
    <t>North YorkshireHarrogate Flower Fund Homes Limited</t>
  </si>
  <si>
    <t>North YorkshireHarrogate Housing Association Limited</t>
  </si>
  <si>
    <t>North YorkshireHarrogate Neighbours Housing Association Limited</t>
  </si>
  <si>
    <t>North YorkshireHeylo Housing Registered Provider Limited</t>
  </si>
  <si>
    <t>North YorkshireHilldale Housing Association Limited</t>
  </si>
  <si>
    <t>North YorkshireHome Group Limited</t>
  </si>
  <si>
    <t>North YorkshireHousing 21</t>
  </si>
  <si>
    <t>North YorkshireHumankind Charity</t>
  </si>
  <si>
    <t>North YorkshireInclusion Housing Community Interest Company</t>
  </si>
  <si>
    <t>North YorkshireIncommunities Limited</t>
  </si>
  <si>
    <t>North YorkshireJigsaw Homes North</t>
  </si>
  <si>
    <t>North YorkshireJohn Pease Cottages</t>
  </si>
  <si>
    <t>North YorkshireJoseph Rowntree Housing Trust</t>
  </si>
  <si>
    <t>North YorkshireKarbon Homes Limited</t>
  </si>
  <si>
    <t>North YorkshireLady Lumley's Almshouses</t>
  </si>
  <si>
    <t>North YorkshireLeeds Federated Housing Association Limited</t>
  </si>
  <si>
    <t>North YorkshireLune Valley Rural Housing Association Limited</t>
  </si>
  <si>
    <t>North YorkshireManningham Housing Association Limited</t>
  </si>
  <si>
    <t>North YorkshireMuir Group Housing Association Limited</t>
  </si>
  <si>
    <t>North YorkshireNew Foundations Housing Association Limited</t>
  </si>
  <si>
    <t>North YorkshireNorth Star Housing Group</t>
  </si>
  <si>
    <t>North YorkshirePlaces for People Homes Limited</t>
  </si>
  <si>
    <t>North YorkshireProgress Housing Association Limited</t>
  </si>
  <si>
    <t>North YorkshireRailway Housing Association and Benefit Fund</t>
  </si>
  <si>
    <t>North YorkshireRipon YMCA</t>
  </si>
  <si>
    <t>North YorkshireRoger's Almshouses</t>
  </si>
  <si>
    <t>North YorkshireSage Rented Limited</t>
  </si>
  <si>
    <t>North YorkshireSanctuary Affordable Housing Limited</t>
  </si>
  <si>
    <t>North YorkshireSanctuary Housing Association</t>
  </si>
  <si>
    <t>North YorkshireSouth Yorkshire Housing Association Limited</t>
  </si>
  <si>
    <t>North YorkshireSparrow Shared Ownership Limited</t>
  </si>
  <si>
    <t>North YorkshireSt Anne's Community Services</t>
  </si>
  <si>
    <t>North YorkshireStonewater Limited</t>
  </si>
  <si>
    <t>North YorkshireThe Abbeyfield (Ripon and District) Society Limited</t>
  </si>
  <si>
    <t>North YorkshireThe Abbeyfield Society</t>
  </si>
  <si>
    <t>North YorkshireThe Abbeyfield Thirsk &amp; Sowerby Society Limited</t>
  </si>
  <si>
    <t>North YorkshireThe Guinness Partnership Limited</t>
  </si>
  <si>
    <t>North YorkshireThe Harcourt Almshouse Charities</t>
  </si>
  <si>
    <t>North YorkshireThe Hospital of Reverend William James</t>
  </si>
  <si>
    <t>North YorkshireThe Riverside Group Limited</t>
  </si>
  <si>
    <t>North YorkshireThirteen Housing Group Limited</t>
  </si>
  <si>
    <t>North YorkshireTogether Housing Association Limited</t>
  </si>
  <si>
    <t>North YorkshireWakefield And District Housing Limited</t>
  </si>
  <si>
    <t>North YorkshireWestmoreland Supported Housing Limited</t>
  </si>
  <si>
    <t>North YorkshireWhitby Merchant Seamen's Hospital Houses</t>
  </si>
  <si>
    <t>North YorkshireYorkshire Housing Limited</t>
  </si>
  <si>
    <t>North YorkshireYour Housing Limited</t>
  </si>
  <si>
    <t>NorthumberlandAbbeyfield Northumbria</t>
  </si>
  <si>
    <t>NorthumberlandEarsdon, Newburn and Shilbottle Almshouse Charity</t>
  </si>
  <si>
    <t>NorthumberlandNew Foundations Housing Association Limited</t>
  </si>
  <si>
    <t>NorthumberlandSage Homes RP Limited</t>
  </si>
  <si>
    <t>NorthumberlandSage Rented Limited</t>
  </si>
  <si>
    <t>NorwichLegal &amp; General Affordable Homes Limited</t>
  </si>
  <si>
    <t>LH1658</t>
  </si>
  <si>
    <t>NorwichRotary House For The Deaf Limited</t>
  </si>
  <si>
    <t>NottinghamEncircle Housing</t>
  </si>
  <si>
    <t>NottinghamM&amp;G UK Shared Ownership Limited</t>
  </si>
  <si>
    <t>NottinghamSage Homes RP Limited</t>
  </si>
  <si>
    <t>NottinghamWestmoreland Supported Housing Limited</t>
  </si>
  <si>
    <t>NottinghamWindrush Alliance UK Community Interest Company</t>
  </si>
  <si>
    <t>Nuneaton and BedworthM&amp;G UK Shared Ownership Limited</t>
  </si>
  <si>
    <t>Nuneaton and BedworthSage Homes RP Limited</t>
  </si>
  <si>
    <t>Nuneaton and BedworthSparrow Shared Ownership Limited</t>
  </si>
  <si>
    <t>Nuneaton and BedworthWalsall Housing Group Limited</t>
  </si>
  <si>
    <t>Oadby and WigstonBethel Housing Association Limited</t>
  </si>
  <si>
    <t>Oadby and WigstonSage Homes RP Limited</t>
  </si>
  <si>
    <t>Oadby and WigstonSage Rented Limited</t>
  </si>
  <si>
    <t>OldhamCromwood Housing Ltd</t>
  </si>
  <si>
    <t>OldhamDepaul Housing Services</t>
  </si>
  <si>
    <t>OldhamSage Homes RP Limited</t>
  </si>
  <si>
    <t>OxfordLife 2009</t>
  </si>
  <si>
    <t>OxfordOrbit Group Limited</t>
  </si>
  <si>
    <t>OxfordPeabody Trust</t>
  </si>
  <si>
    <t>OxfordSparrow Shared Ownership Limited</t>
  </si>
  <si>
    <t>PendleGolden Lane Housing Limited</t>
  </si>
  <si>
    <t>PeterboroughIMPAKT Housing &amp; Support Ltd</t>
  </si>
  <si>
    <t>PeterboroughSage Homes RP Limited</t>
  </si>
  <si>
    <t>PeterboroughSparrow Shared Ownership Limited</t>
  </si>
  <si>
    <t>PeterboroughWindrush Alliance UK Community Interest Company</t>
  </si>
  <si>
    <t>PlymouthSage Homes RP Limited</t>
  </si>
  <si>
    <t>PrestonAccent Housing Limited</t>
  </si>
  <si>
    <t>PrestonCare Housing Association Limited</t>
  </si>
  <si>
    <t>PrestonRegenda Limited</t>
  </si>
  <si>
    <t>PrestonSage Homes RP Limited</t>
  </si>
  <si>
    <t>PrestonSparrow Shared Ownership Limited</t>
  </si>
  <si>
    <t>ReadingPeabody Trust</t>
  </si>
  <si>
    <t>ReadingSovereign Network Homes</t>
  </si>
  <si>
    <t>ReadingSparrow Shared Ownership Limited</t>
  </si>
  <si>
    <t>RedbridgeMajor Housing Association Limited</t>
  </si>
  <si>
    <t>RedbridgeSovereign Network Homes</t>
  </si>
  <si>
    <t>Redcar and ClevelandHilldale Housing Association Limited</t>
  </si>
  <si>
    <t>Redcar and ClevelandLondon &amp; Quadrant Housing Trust</t>
  </si>
  <si>
    <t>Redcar and ClevelandSage Homes RP Limited</t>
  </si>
  <si>
    <t>Reigate and BansteadLegal &amp; General Affordable Homes Limited</t>
  </si>
  <si>
    <t>Reigate and BansteadM&amp;G UK Shared Ownership Limited</t>
  </si>
  <si>
    <t>Reigate and BansteadSage Homes RP Limited</t>
  </si>
  <si>
    <t>Reigate and BansteadSage Rented Limited</t>
  </si>
  <si>
    <t>Reigate and BansteadSparrow Shared Ownership Limited</t>
  </si>
  <si>
    <t>Reigate and BansteadTown and Country Housing</t>
  </si>
  <si>
    <t>Ribble ValleySparrow Shared Ownership Limited</t>
  </si>
  <si>
    <t>Ribble ValleyThe Abbeyfield Lancashire Extra Care Society Limited</t>
  </si>
  <si>
    <t>Richmond upon ThamesJust Circle Limited</t>
  </si>
  <si>
    <t>Richmond upon ThamesKaribu Community Homes Limited</t>
  </si>
  <si>
    <t>Richmond upon ThamesPeabody Trust</t>
  </si>
  <si>
    <t>Richmond upon ThamesSouthern Housing</t>
  </si>
  <si>
    <t>Richmond upon ThamesSovereign Network Homes</t>
  </si>
  <si>
    <t>RochfordEastlight Community Homes Limited</t>
  </si>
  <si>
    <t>RochfordM&amp;G UK Shared Ownership Limited</t>
  </si>
  <si>
    <t>RochfordRochdale Boroughwide Housing Limited</t>
  </si>
  <si>
    <t>RochfordSage Homes RP Limited</t>
  </si>
  <si>
    <t>RossendaleHeylo Housing Registered Provider Limited</t>
  </si>
  <si>
    <t>RossendaleJigsaw Homes North</t>
  </si>
  <si>
    <t>RotherSage Homes RP Limited</t>
  </si>
  <si>
    <t>RotherSage Rented Limited</t>
  </si>
  <si>
    <t>RotherSparrow Shared Ownership Limited</t>
  </si>
  <si>
    <t>RotherhamAuxesia Homes Limited</t>
  </si>
  <si>
    <t>RotherhamIKE Supported Housing Limited</t>
  </si>
  <si>
    <t>RugbyLegal &amp; General Affordable Homes Limited</t>
  </si>
  <si>
    <t>RugbySage Homes RP Limited</t>
  </si>
  <si>
    <t>RugbySparrow Shared Ownership Limited</t>
  </si>
  <si>
    <t>RunnymedeLife 2009</t>
  </si>
  <si>
    <t>RunnymedePeabody Trust</t>
  </si>
  <si>
    <t>RunnymedeSage Rented Limited</t>
  </si>
  <si>
    <t>RunnymedeSparrow Shared Ownership Limited</t>
  </si>
  <si>
    <t>RunnymedeTown and Country Housing</t>
  </si>
  <si>
    <t>RushcliffeHilldale Housing Association Limited</t>
  </si>
  <si>
    <t>RushcliffeM&amp;G UK Shared Ownership Limited</t>
  </si>
  <si>
    <t>RushcliffeSage Homes RP Limited</t>
  </si>
  <si>
    <t>RushcliffeSparrow Shared Ownership Limited</t>
  </si>
  <si>
    <t>RushmoorLife 2009</t>
  </si>
  <si>
    <t>RushmoorPeabody Trust</t>
  </si>
  <si>
    <t>SalfordBolton at Home Limited</t>
  </si>
  <si>
    <t>SalfordDerive RP Limited</t>
  </si>
  <si>
    <t>SalfordSouthway Housing Trust (Manchester) Limited</t>
  </si>
  <si>
    <t>SandwellLegal &amp; General Affordable Homes Limited</t>
  </si>
  <si>
    <t>SandwellWindrush Alliance UK Community Interest Company</t>
  </si>
  <si>
    <t>SeftonAssured Living Housing Association Limited</t>
  </si>
  <si>
    <t>SeftonInclusion Housing Community Interest Company</t>
  </si>
  <si>
    <t>SeftonLivv Housing Group</t>
  </si>
  <si>
    <t>SevenoaksLegal &amp; General Affordable Homes Limited</t>
  </si>
  <si>
    <t>SevenoaksThe Riverside Group Limited</t>
  </si>
  <si>
    <t>SheffieldEncircle Housing</t>
  </si>
  <si>
    <t>SheffieldM&amp;G UK Shared Ownership Limited</t>
  </si>
  <si>
    <t>SloughKaribu Community Homes Limited</t>
  </si>
  <si>
    <t>SloughLife 2009</t>
  </si>
  <si>
    <t>SloughPeabody Trust</t>
  </si>
  <si>
    <t>SloughSovereign Network Homes</t>
  </si>
  <si>
    <t>SloughWindrush Alliance UK Community Interest Company</t>
  </si>
  <si>
    <t>SolihullAshley Community &amp; Housing Ltd</t>
  </si>
  <si>
    <t>5189</t>
  </si>
  <si>
    <t>SolihullBerkswell Charities</t>
  </si>
  <si>
    <t>SolihullWindrush Alliance UK Community Interest Company</t>
  </si>
  <si>
    <t>SomersetAbbeyfield (East Devon) Society Ltd</t>
  </si>
  <si>
    <t>SomersetAbbeyfield Porlock Society Limited</t>
  </si>
  <si>
    <t>SomersetAbri Group Limited</t>
  </si>
  <si>
    <t>SomersetAdvance Housing and Support Limited</t>
  </si>
  <si>
    <t>SomersetAnchor Hanover Group</t>
  </si>
  <si>
    <t>SomersetAster 3 Limited</t>
  </si>
  <si>
    <t>SomersetAster Communities</t>
  </si>
  <si>
    <t>SomersetAuckland Home Solutions CIC</t>
  </si>
  <si>
    <t>SomersetBournemouth Churches Housing Association Limited</t>
  </si>
  <si>
    <t>SomersetBridgwater Young Men's Christian Association</t>
  </si>
  <si>
    <t>SomersetBrighter Places</t>
  </si>
  <si>
    <t>SomersetChrysalis Supported Association Limited</t>
  </si>
  <si>
    <t>SomersetCity of Wells Almshouses</t>
  </si>
  <si>
    <t>SomersetClarion Housing Association Limited</t>
  </si>
  <si>
    <t>SomersetCooke's Almshouse Charity</t>
  </si>
  <si>
    <t>SomersetCuro Places Limited</t>
  </si>
  <si>
    <t>SomersetDimensions (UK) Limited</t>
  </si>
  <si>
    <t>SomersetEmpower Housing Association Limited</t>
  </si>
  <si>
    <t>SomersetFalcon Housing Association C.I.C</t>
  </si>
  <si>
    <t>SomersetFalcon Rural Housing Limited</t>
  </si>
  <si>
    <t>SomersetFirst Priority Housing Association Limited</t>
  </si>
  <si>
    <t>SomersetFrench Weir Affordable Homes LLP</t>
  </si>
  <si>
    <t>SomersetGolden Lane Housing Limited</t>
  </si>
  <si>
    <t>SomersetGuinness Housing Association Limited</t>
  </si>
  <si>
    <t>SomersetHabinteg Housing Association Limited</t>
  </si>
  <si>
    <t>SomersetHastoe Housing Association Limited</t>
  </si>
  <si>
    <t>SomersetHeylo Housing Registered Provider Limited</t>
  </si>
  <si>
    <t>SomersetHome Group Limited</t>
  </si>
  <si>
    <t>SomersetHousing 21</t>
  </si>
  <si>
    <t>SomersetInclusion Housing Community Interest Company</t>
  </si>
  <si>
    <t>SomersetJulian House</t>
  </si>
  <si>
    <t>SomersetLegal &amp; General Affordable Homes (AR) LLP</t>
  </si>
  <si>
    <t>SomersetLegal &amp; General Affordable Homes Limited</t>
  </si>
  <si>
    <t>SomersetLiveWest Homes Limited</t>
  </si>
  <si>
    <t>SomersetLocking Deanery Housing Society Limited</t>
  </si>
  <si>
    <t>SomersetM&amp;G UK Shared Ownership Limited</t>
  </si>
  <si>
    <t>SomersetMagna Housing Limited</t>
  </si>
  <si>
    <t>SomersetMoat Homes Limited</t>
  </si>
  <si>
    <t>SomersetNSAH (Alliance Homes) Limited</t>
  </si>
  <si>
    <t>SomersetOld Cleeve Memorial Cottages</t>
  </si>
  <si>
    <t>SomersetParasol Homes Limited</t>
  </si>
  <si>
    <t>SomersetPlaces for People Homes Limited</t>
  </si>
  <si>
    <t>SomersetPlaces for People Living+ Limited</t>
  </si>
  <si>
    <t>SomersetPlatform Housing Limited</t>
  </si>
  <si>
    <t>SomersetReside Housing Association Limited</t>
  </si>
  <si>
    <t>SomersetSHAL Housing Limited</t>
  </si>
  <si>
    <t>SomersetSage Homes RP Limited</t>
  </si>
  <si>
    <t>SomersetSage Rented Limited</t>
  </si>
  <si>
    <t>SomersetSalvation Army Housing Association</t>
  </si>
  <si>
    <t>SomersetSanctuary Affordable Housing Limited</t>
  </si>
  <si>
    <t>SomersetSanctuary Housing Association</t>
  </si>
  <si>
    <t>SomersetSelwood Housing Society Limited</t>
  </si>
  <si>
    <t>SomersetShepton Mallet United Charities</t>
  </si>
  <si>
    <t>SomersetSovereign Housing Association Limited</t>
  </si>
  <si>
    <t>SomersetSparrow Shared Ownership Limited</t>
  </si>
  <si>
    <t>SomersetStonewater (5) Limited</t>
  </si>
  <si>
    <t>SomersetStonewater Limited</t>
  </si>
  <si>
    <t>SomersetSynergy Housing Limited</t>
  </si>
  <si>
    <t>SomersetTaunton Heritage Trust</t>
  </si>
  <si>
    <t>SomersetThe Abbeyfield (Wells) Society Limited</t>
  </si>
  <si>
    <t>SomersetThe Abbeyfield Burnham and Highbridge Society Limited</t>
  </si>
  <si>
    <t>SomersetThe Abbeyfield Society</t>
  </si>
  <si>
    <t>SomersetThe Blue House</t>
  </si>
  <si>
    <t>SomersetThe Guinness Partnership Limited</t>
  </si>
  <si>
    <t>SomersetThe Swaythling Housing Society Limited</t>
  </si>
  <si>
    <t>SomersetWestmoreland Supported Housing Limited</t>
  </si>
  <si>
    <t>SomersetWhite Horse Housing Association Limited</t>
  </si>
  <si>
    <t>SomersetWillow Tree Housing Partnership Limited</t>
  </si>
  <si>
    <t>SomersetWoborn's Almshouse</t>
  </si>
  <si>
    <t>SomersetYMCA Brunel Group</t>
  </si>
  <si>
    <t>Somersetbpha Limited</t>
  </si>
  <si>
    <t>South CambridgeshireEnglish Rural Housing Association Limited</t>
  </si>
  <si>
    <t>South CambridgeshireM&amp;G UK Shared Ownership Limited</t>
  </si>
  <si>
    <t>South CambridgeshirePeabody Trust</t>
  </si>
  <si>
    <t>South CambridgeshireSage Homes RP Limited</t>
  </si>
  <si>
    <t>South CambridgeshireSparrow Shared Ownership Limited</t>
  </si>
  <si>
    <t>A3910</t>
  </si>
  <si>
    <t>South DerbyshireAston Almshouse Charity</t>
  </si>
  <si>
    <t>South DerbyshireM&amp;G UK Shared Ownership Limited</t>
  </si>
  <si>
    <t>South DerbyshireOngo Homes Limited</t>
  </si>
  <si>
    <t>South DerbyshireSage Homes RP Limited</t>
  </si>
  <si>
    <t>South DerbyshireSparrow Shared Ownership Limited</t>
  </si>
  <si>
    <t>South GloucestershireAbbeyfield Wessex Society Limited</t>
  </si>
  <si>
    <t>South GloucestershireM&amp;G UK Shared Ownership Limited</t>
  </si>
  <si>
    <t>South GloucestershireSage Homes RP Limited</t>
  </si>
  <si>
    <t>South HollandSage Homes RP Limited</t>
  </si>
  <si>
    <t>South KestevenHabitare Homes Limited</t>
  </si>
  <si>
    <t>South KestevenM&amp;G UK Shared Ownership Limited</t>
  </si>
  <si>
    <t>South KestevenSage Homes RP Limited</t>
  </si>
  <si>
    <t>South KestevenSparrow Shared Ownership Limited</t>
  </si>
  <si>
    <t>South NorfolkLegal &amp; General Affordable Homes Limited</t>
  </si>
  <si>
    <t>South NorfolkM&amp;G UK Shared Ownership Limited</t>
  </si>
  <si>
    <t>South NorfolkSage Homes RP Limited</t>
  </si>
  <si>
    <t>South NorfolkSparrow Shared Ownership Limited</t>
  </si>
  <si>
    <t>South OxfordshireLife 2009</t>
  </si>
  <si>
    <t>South OxfordshirePeabody Trust</t>
  </si>
  <si>
    <t>South OxfordshirePlaces for People Homes Limited</t>
  </si>
  <si>
    <t>South OxfordshireSparrow Shared Ownership Limited</t>
  </si>
  <si>
    <t>South OxfordshireThe Riverside Group Limited</t>
  </si>
  <si>
    <t>South RibbleExcel Housing Solutions</t>
  </si>
  <si>
    <t>South RibbleSage Homes RP Limited</t>
  </si>
  <si>
    <t>South StaffordshireAspire Housing Limited</t>
  </si>
  <si>
    <t>South StaffordshireSage Homes RP Limited</t>
  </si>
  <si>
    <t>South StaffordshireSparrow Shared Ownership Limited</t>
  </si>
  <si>
    <t>Southend-on-SeaAvocet Care &amp; Support Ltd</t>
  </si>
  <si>
    <t>Southend-on-SeaM&amp;G UK Shared Ownership Limited</t>
  </si>
  <si>
    <t>Southend-on-SeaSage Homes RP Limited</t>
  </si>
  <si>
    <t>Southend-on-SeaSparrow Shared Ownership Limited</t>
  </si>
  <si>
    <t>SouthwarkJust Circle Limited</t>
  </si>
  <si>
    <t>SouthwarkM&amp;G UK Shared Ownership Limited</t>
  </si>
  <si>
    <t>SouthwarkSydenham Housing Co-operative Limited</t>
  </si>
  <si>
    <t>SpelthornePeabody Trust</t>
  </si>
  <si>
    <t>5181</t>
  </si>
  <si>
    <t>St AlbansHeylo Housing Registered Provider Limited</t>
  </si>
  <si>
    <t>St AlbansLife 2009</t>
  </si>
  <si>
    <t>St AlbansPeabody Trust</t>
  </si>
  <si>
    <t>St AlbansSovereign Network Homes</t>
  </si>
  <si>
    <t>St AlbansSparrow Shared Ownership Limited</t>
  </si>
  <si>
    <t>StaffordChoices Housing Association Limited</t>
  </si>
  <si>
    <t>StaffordSage Homes RP Limited</t>
  </si>
  <si>
    <t>StaffordSparrow Shared Ownership Limited</t>
  </si>
  <si>
    <t>StaffordTurning Point</t>
  </si>
  <si>
    <t>Staffordshire MoorlandsJigsaw Homes North</t>
  </si>
  <si>
    <t>Staffordshire MoorlandsSage Homes RP Limited</t>
  </si>
  <si>
    <t>Staffordshire MoorlandsSparrow Shared Ownership Limited</t>
  </si>
  <si>
    <t>StevenagePeabody Trust</t>
  </si>
  <si>
    <t>StevenageSovereign Network Homes</t>
  </si>
  <si>
    <t>StockportBolton at Home Limited</t>
  </si>
  <si>
    <t>StockportSparrow Shared Ownership Limited</t>
  </si>
  <si>
    <t>Stockton-on-TeesTogether Housing Association Limited</t>
  </si>
  <si>
    <t>Stratford-on-AvonCitizen Housing Group Limited</t>
  </si>
  <si>
    <t>Stratford-on-AvonSage Homes RP Limited</t>
  </si>
  <si>
    <t>Stratford-on-AvonSparrow Shared Ownership Limited</t>
  </si>
  <si>
    <t>Stratford-on-AvonSt Basil's</t>
  </si>
  <si>
    <t>Stratford-on-AvonWalsall Housing Group Limited</t>
  </si>
  <si>
    <t>StroudDimensions (UK) Limited</t>
  </si>
  <si>
    <t>StroudEnglish Rural Housing Association Limited</t>
  </si>
  <si>
    <t>StroudM&amp;G UK Shared Ownership Limited</t>
  </si>
  <si>
    <t>StroudSage Homes RP Limited</t>
  </si>
  <si>
    <t>StroudSparrow Shared Ownership Limited</t>
  </si>
  <si>
    <t>Surrey HeathStonewater Limited</t>
  </si>
  <si>
    <t>Surrey HeathWindrush Alliance UK Community Interest Company</t>
  </si>
  <si>
    <t>SuttonA2Dominion South Limited</t>
  </si>
  <si>
    <t>SuttonLegal &amp; General Affordable Homes Limited</t>
  </si>
  <si>
    <t>SuttonMTD Housing Limited</t>
  </si>
  <si>
    <t>SuttonSage Homes RP Limited</t>
  </si>
  <si>
    <t>SuttonSparrow Shared Ownership Limited</t>
  </si>
  <si>
    <t>SwaleHeart of Medway Housing Association Limited</t>
  </si>
  <si>
    <t>SwaleM&amp;G UK Shared Ownership Limited</t>
  </si>
  <si>
    <t>SwaleSage Homes RP Limited</t>
  </si>
  <si>
    <t>SwaleSparrow Shared Ownership Limited</t>
  </si>
  <si>
    <t>SwindonAster Group Limited</t>
  </si>
  <si>
    <t>SwindonM&amp;G UK Shared Ownership Limited</t>
  </si>
  <si>
    <t>SwindonSage Homes RP Limited</t>
  </si>
  <si>
    <t>TamesideBolton at Home Limited</t>
  </si>
  <si>
    <t>TamworthInclusion Housing Community Interest Company</t>
  </si>
  <si>
    <t>TamworthM&amp;G UK Shared Ownership Limited</t>
  </si>
  <si>
    <t>TamworthSparrow Shared Ownership Limited</t>
  </si>
  <si>
    <t>TandridgeAbbeyfield Wey Valley Society Limited</t>
  </si>
  <si>
    <t>TandridgeThe Riverside Group Limited</t>
  </si>
  <si>
    <t>TandridgeTown and Country Housing</t>
  </si>
  <si>
    <t>TeignbridgeSage Homes RP Limited</t>
  </si>
  <si>
    <t>Telford and WrekinCreative Support Limited</t>
  </si>
  <si>
    <t>Telford and WrekinProgress Housing Association Limited</t>
  </si>
  <si>
    <t>Telford and WrekinSage Homes RP Limited</t>
  </si>
  <si>
    <t>TendringFlint Housing Limited</t>
  </si>
  <si>
    <t>TendringM&amp;G UK Shared Ownership Limited</t>
  </si>
  <si>
    <t>TendringSage Homes RP Limited</t>
  </si>
  <si>
    <t>TendringSparrow Shared Ownership Limited</t>
  </si>
  <si>
    <t>Test ValleyM&amp;G UK Shared Ownership Limited</t>
  </si>
  <si>
    <t>Test ValleySage Homes RP Limited</t>
  </si>
  <si>
    <t>Test ValleySparrow Shared Ownership Limited</t>
  </si>
  <si>
    <t>TewkesburyM&amp;G UK Shared Ownership Limited</t>
  </si>
  <si>
    <t>TewkesburySage Homes RP Limited</t>
  </si>
  <si>
    <t>TewkesburySparrow Shared Ownership Limited</t>
  </si>
  <si>
    <t>ThanetHalo Housing Association Limited</t>
  </si>
  <si>
    <t>ThanetInclusion Housing Community Interest Company</t>
  </si>
  <si>
    <t>ThanetLegal &amp; General Affordable Homes Limited</t>
  </si>
  <si>
    <t>ThanetRetirement Lease Housing Association</t>
  </si>
  <si>
    <t>ThanetSage Homes RP Limited</t>
  </si>
  <si>
    <t>Three RiversPeabody Trust</t>
  </si>
  <si>
    <t>Three RiversSovereign Network Homes</t>
  </si>
  <si>
    <t>ThurrockSage Rented Limited</t>
  </si>
  <si>
    <t>ThurrockSparrow Shared Ownership Limited</t>
  </si>
  <si>
    <t>A3245</t>
  </si>
  <si>
    <t>Tonbridge and MallingEustace Hook and Drummond Memorial Almshouses</t>
  </si>
  <si>
    <t>Tonbridge and MallingHatton Housing Trust Limited</t>
  </si>
  <si>
    <t>Tonbridge and MallingM&amp;G UK Shared Ownership Limited</t>
  </si>
  <si>
    <t>Tonbridge and MallingSage Homes RP Limited</t>
  </si>
  <si>
    <t>Tonbridge and MallingSage Rented Limited</t>
  </si>
  <si>
    <t>A2079</t>
  </si>
  <si>
    <t>Tonbridge and MallingTonbridge United Charity</t>
  </si>
  <si>
    <t>TorridgeAster 3 Limited</t>
  </si>
  <si>
    <t>TorridgePlaces for People Homes Limited</t>
  </si>
  <si>
    <t>TorridgePlaces for People Living+ Limited</t>
  </si>
  <si>
    <t>TorridgeSage Homes RP Limited</t>
  </si>
  <si>
    <t>Tower HamletsCromwood Housing Ltd</t>
  </si>
  <si>
    <t>Tower HamletsHousing 21</t>
  </si>
  <si>
    <t>Tower HamletsM&amp;G UK Shared Ownership Limited</t>
  </si>
  <si>
    <t>Tower HamletsSovereign Network Homes</t>
  </si>
  <si>
    <t>Tower HamletsThe Riverside Group Limited</t>
  </si>
  <si>
    <t>TraffordBolton at Home Limited</t>
  </si>
  <si>
    <t>TraffordOne Manchester Limited</t>
  </si>
  <si>
    <t>TraffordSage Homes RP Limited</t>
  </si>
  <si>
    <t>TraffordSalix Homes Limited</t>
  </si>
  <si>
    <t>Tunbridge WellsRaven Housing Trust Limited</t>
  </si>
  <si>
    <t>Tunbridge WellsSage Homes RP Limited</t>
  </si>
  <si>
    <t>Tunbridge WellsSparrow Shared Ownership Limited</t>
  </si>
  <si>
    <t>UttlesfordAccent Housing Limited</t>
  </si>
  <si>
    <t>UttlesfordM&amp;G UK Shared Ownership Limited</t>
  </si>
  <si>
    <t>UttlesfordSage Homes RP Limited</t>
  </si>
  <si>
    <t>UttlesfordSparrow Shared Ownership Limited</t>
  </si>
  <si>
    <t>Vale of White HorseOxfordshire CLT Limited</t>
  </si>
  <si>
    <t>Vale of White HorsePeabody Trust</t>
  </si>
  <si>
    <t>Vale of White HorseSage Homes RP Limited</t>
  </si>
  <si>
    <t>WakefieldM&amp;G UK Shared Ownership Limited</t>
  </si>
  <si>
    <t>WakefieldSage Homes RP Limited</t>
  </si>
  <si>
    <t>WakefieldSparrow Shared Ownership Limited</t>
  </si>
  <si>
    <t>A2986</t>
  </si>
  <si>
    <t>WakefieldThe Charlesworth Charity</t>
  </si>
  <si>
    <t>WakefieldWestmoreland Supported Housing Limited</t>
  </si>
  <si>
    <t>WalsallWindrush Alliance UK Community Interest Company</t>
  </si>
  <si>
    <t>Waltham ForestCromwood Housing Ltd</t>
  </si>
  <si>
    <t>Waltham ForestHousing 21</t>
  </si>
  <si>
    <t>Waltham ForestRetirement Lease Housing Association</t>
  </si>
  <si>
    <t>Waltham ForestSage Homes RP Limited</t>
  </si>
  <si>
    <t>Waltham ForestSovereign Network Homes</t>
  </si>
  <si>
    <t>WandsworthSovereign Network Homes</t>
  </si>
  <si>
    <t>WandsworthThe Riverside Group Limited</t>
  </si>
  <si>
    <t>WarringtonSparrow Shared Ownership Limited</t>
  </si>
  <si>
    <t>WarwickEncircle Housing</t>
  </si>
  <si>
    <t>WarwickLegal &amp; General Affordable Homes Limited</t>
  </si>
  <si>
    <t>WarwickSage Homes RP Limited</t>
  </si>
  <si>
    <t>WarwickSage Rented Limited</t>
  </si>
  <si>
    <t>WarwickSparrow Shared Ownership Limited</t>
  </si>
  <si>
    <t>WatfordPeabody Trust</t>
  </si>
  <si>
    <t>WatfordSage Homes RP Limited</t>
  </si>
  <si>
    <t>WatfordSage Rented Limited</t>
  </si>
  <si>
    <t>WatfordSovereign Network Homes</t>
  </si>
  <si>
    <t>WaverleyLegal &amp; General Affordable Homes Limited</t>
  </si>
  <si>
    <t>WaverleySparrow Shared Ownership Limited</t>
  </si>
  <si>
    <t>WaverleyWindrush Alliance UK Community Interest Company</t>
  </si>
  <si>
    <t>WealdenM&amp;G UK Shared Ownership Limited</t>
  </si>
  <si>
    <t>WealdenSage Homes RP Limited</t>
  </si>
  <si>
    <t>WealdenSparrow Shared Ownership Limited</t>
  </si>
  <si>
    <t>Welwyn HatfieldLondon &amp; Quadrant Housing Trust</t>
  </si>
  <si>
    <t>Welwyn HatfieldPeabody Trust</t>
  </si>
  <si>
    <t>Welwyn HatfieldSovereign Network Homes</t>
  </si>
  <si>
    <t>West BerkshireFunding Affordable Homes Housing Association Limited</t>
  </si>
  <si>
    <t>West BerkshireHousing Solutions</t>
  </si>
  <si>
    <t>West BerkshirePeabody Trust</t>
  </si>
  <si>
    <t>West BerkshireSparrow Shared Ownership Limited</t>
  </si>
  <si>
    <t>West DevonAbbeyfield Tavistock Society Limited</t>
  </si>
  <si>
    <t>West DevonLegal &amp; General Affordable Homes (AR) LLP</t>
  </si>
  <si>
    <t>West DevonPlaces for People Homes Limited</t>
  </si>
  <si>
    <t>West DevonPlaces for People Living+ Limited</t>
  </si>
  <si>
    <t>West DevonTeign Housing</t>
  </si>
  <si>
    <t>West LancashireLivv Housing Group</t>
  </si>
  <si>
    <t>West LancashireSage Homes RP Limited</t>
  </si>
  <si>
    <t>West LindseyM&amp;G UK Shared Ownership Limited</t>
  </si>
  <si>
    <t>West LindseyPlaces for People Living+ Limited</t>
  </si>
  <si>
    <t>West NorthamptonshireHome Group Limited</t>
  </si>
  <si>
    <t>West NorthamptonshireM&amp;G UK Shared Ownership Limited</t>
  </si>
  <si>
    <t>West NorthamptonshirePeabody Trust</t>
  </si>
  <si>
    <t>West NorthamptonshireSage Homes RP Limited</t>
  </si>
  <si>
    <t>West NorthamptonshireSparrow Shared Ownership Limited</t>
  </si>
  <si>
    <t>5195</t>
  </si>
  <si>
    <t>West NorthamptonshireWilliam Lovett's Almshouse Charity</t>
  </si>
  <si>
    <t>West OxfordshireGolden Lane Housing Limited</t>
  </si>
  <si>
    <t>West OxfordshireM&amp;G UK Shared Ownership Limited</t>
  </si>
  <si>
    <t>West OxfordshireOrbit Group Limited</t>
  </si>
  <si>
    <t>West OxfordshirePeabody Trust</t>
  </si>
  <si>
    <t>West OxfordshireSage Homes RP Limited</t>
  </si>
  <si>
    <t>West OxfordshireSparrow Shared Ownership Limited</t>
  </si>
  <si>
    <t>West SuffolkHome Group Limited</t>
  </si>
  <si>
    <t>West SuffolkM&amp;G UK Shared Ownership Limited</t>
  </si>
  <si>
    <t>West SuffolkPark Properties Housing Association Ltd</t>
  </si>
  <si>
    <t>West SuffolkPeabody Trust</t>
  </si>
  <si>
    <t>West SuffolkPinnacle Spaces Limited</t>
  </si>
  <si>
    <t>West SuffolkSage Homes RP Limited</t>
  </si>
  <si>
    <t>West SuffolkSparrow Shared Ownership Limited</t>
  </si>
  <si>
    <t>WestminsterDolphin Housing Limited</t>
  </si>
  <si>
    <t>WestminsterSovereign Network Homes</t>
  </si>
  <si>
    <t>Westmorland and Furness'Johnnie' Johnson Housing Trust Limited</t>
  </si>
  <si>
    <t>Westmorland and FurnessAccent Housing Limited</t>
  </si>
  <si>
    <t>Westmorland and FurnessAnchor Hanover Group</t>
  </si>
  <si>
    <t>Westmorland and FurnessCare Housing Association Limited</t>
  </si>
  <si>
    <t>Westmorland and FurnessCastles &amp; Coasts Housing Association Limited</t>
  </si>
  <si>
    <t>Westmorland and FurnessCreative Support Limited</t>
  </si>
  <si>
    <t>Westmorland and FurnessDawson Housing Limited</t>
  </si>
  <si>
    <t>Westmorland and FurnessDimensions (UK) Limited</t>
  </si>
  <si>
    <t>Westmorland and FurnessEden Housing Association Limited</t>
  </si>
  <si>
    <t>Westmorland and FurnessEmpower Housing Association Limited</t>
  </si>
  <si>
    <t>Westmorland and FurnessEncircle Housing</t>
  </si>
  <si>
    <t>Westmorland and FurnessGolden Lane Housing Limited</t>
  </si>
  <si>
    <t>Westmorland and FurnessHeylo Housing Registered Provider Limited</t>
  </si>
  <si>
    <t>Westmorland and FurnessHilldale Housing Association Limited</t>
  </si>
  <si>
    <t>Westmorland and FurnessHome Group Limited</t>
  </si>
  <si>
    <t>Westmorland and FurnessHousing 21</t>
  </si>
  <si>
    <t>Westmorland and FurnessInclusion Housing Community Interest Company</t>
  </si>
  <si>
    <t>Westmorland and FurnessKendal Almshouse Charity</t>
  </si>
  <si>
    <t>Westmorland and FurnessLyvennet Community Trust</t>
  </si>
  <si>
    <t>Westmorland and FurnessMitre Housing Association Limited</t>
  </si>
  <si>
    <t>Westmorland and FurnessNew Foundations Housing Association Limited</t>
  </si>
  <si>
    <t>Westmorland and FurnessPlaces for People Homes Limited</t>
  </si>
  <si>
    <t>Westmorland and FurnessProgress Housing Association Limited</t>
  </si>
  <si>
    <t>Westmorland and FurnessSanctuary Affordable Housing Limited</t>
  </si>
  <si>
    <t>Westmorland and FurnessSanctuary Housing Association</t>
  </si>
  <si>
    <t>Westmorland and FurnessSouth Lakes Housing</t>
  </si>
  <si>
    <t>Westmorland and FurnessThe Abbeyfield Barrow-in- Furness Society Limited</t>
  </si>
  <si>
    <t>Westmorland and FurnessThe Abbeyfield Society</t>
  </si>
  <si>
    <t>Westmorland and FurnessThe Fairoak Housing Association</t>
  </si>
  <si>
    <t>Westmorland and FurnessThe Riverside Group Limited</t>
  </si>
  <si>
    <t>WiganAuxesia Homes Limited</t>
  </si>
  <si>
    <t>WiganOne Vision Housing Limited</t>
  </si>
  <si>
    <t>WiganThe Exaireo Trust Ltd</t>
  </si>
  <si>
    <t>WiltshireSage Homes RP Limited</t>
  </si>
  <si>
    <t>WiltshireSparrow Shared Ownership Limited</t>
  </si>
  <si>
    <t>WinchesterFalcon Housing Association C.I.C</t>
  </si>
  <si>
    <t>WinchesterLegal &amp; General Affordable Homes Limited</t>
  </si>
  <si>
    <t>WinchesterSage Homes RP Limited</t>
  </si>
  <si>
    <t>Windsor and MaidenheadPeabody Trust</t>
  </si>
  <si>
    <t>Windsor and MaidenheadSparrow Shared Ownership Limited</t>
  </si>
  <si>
    <t>Windsor and MaidenheadThe Riverside Group Limited</t>
  </si>
  <si>
    <t>WirralFrontis Homes Limited</t>
  </si>
  <si>
    <t>WirralMethodist Homes Housing Association Limited</t>
  </si>
  <si>
    <t>WirralPlaces for People Living+ Limited</t>
  </si>
  <si>
    <t>WokingLife 2009</t>
  </si>
  <si>
    <t>WokinghamLondon &amp; Quadrant Housing Trust</t>
  </si>
  <si>
    <t>WokinghamM&amp;G UK Shared Ownership Limited</t>
  </si>
  <si>
    <t>WokinghamPeabody Trust</t>
  </si>
  <si>
    <t>WokinghamSparrow Shared Ownership Limited</t>
  </si>
  <si>
    <t>WolverhamptonSage Homes RP Limited</t>
  </si>
  <si>
    <t>WorthingInclusion Housing Community Interest Company</t>
  </si>
  <si>
    <t>WychavonTrident Housing Association Limited</t>
  </si>
  <si>
    <t>WyreEncircle Housing</t>
  </si>
  <si>
    <t>WyreFalcon Housing Association C.I.C</t>
  </si>
  <si>
    <t>WyreM&amp;G UK Shared Ownership Limited</t>
  </si>
  <si>
    <t>WyreOne Vision Housing Limited</t>
  </si>
  <si>
    <t>WyrePartners Foundation Limited</t>
  </si>
  <si>
    <t>WyreSparrow Shared Ownership Limited</t>
  </si>
  <si>
    <t>YorkBlackburn YMCA</t>
  </si>
  <si>
    <t>YorkClarion Housing Association Limited</t>
  </si>
  <si>
    <t>East MidlandsAston Almshouse Charity</t>
  </si>
  <si>
    <t>East MidlandsBlue Square Residential Ltd</t>
  </si>
  <si>
    <t>East MidlandsBolton at Home Limited</t>
  </si>
  <si>
    <t>East MidlandsHabitare Homes Limited</t>
  </si>
  <si>
    <t>East MidlandsLife 2009</t>
  </si>
  <si>
    <t>East MidlandsM&amp;G UK Shared Ownership Limited</t>
  </si>
  <si>
    <t>East MidlandsPeabody Trust</t>
  </si>
  <si>
    <t>East MidlandsPinnacle Spaces Limited</t>
  </si>
  <si>
    <t>East MidlandsSage Homes RP Limited</t>
  </si>
  <si>
    <t>East MidlandsSparrow Shared Ownership Limited</t>
  </si>
  <si>
    <t>East MidlandsThe Newark Emmaus Trust</t>
  </si>
  <si>
    <t>East MidlandsWakefield And District Housing Limited</t>
  </si>
  <si>
    <t>East MidlandsWilliam Lovett's Almshouse Charity</t>
  </si>
  <si>
    <t>East MidlandsWindrush Alliance UK Community Interest Company</t>
  </si>
  <si>
    <t>East of EnglandAvocet Care &amp; Support Ltd</t>
  </si>
  <si>
    <t>East of EnglandFlint Housing Limited</t>
  </si>
  <si>
    <t>East of EnglandLife 2009</t>
  </si>
  <si>
    <t>East of EnglandM&amp;G UK Shared Ownership Limited</t>
  </si>
  <si>
    <t>East of EnglandMTD Housing Limited</t>
  </si>
  <si>
    <t>East of EnglandPinnacle Spaces Limited</t>
  </si>
  <si>
    <t>East of EnglandRetirement Lease Housing Association</t>
  </si>
  <si>
    <t>East of EnglandRochdale Boroughwide Housing Limited</t>
  </si>
  <si>
    <t>East of EnglandRotary House For The Deaf Limited</t>
  </si>
  <si>
    <t>East of EnglandSage Homes RP Limited</t>
  </si>
  <si>
    <t>East of EnglandSovereign Network Homes</t>
  </si>
  <si>
    <t>East of EnglandSparrow Shared Ownership Limited</t>
  </si>
  <si>
    <t>East of EnglandSt Mary Magdalen's Hospital Almshouse Charity</t>
  </si>
  <si>
    <t>East of EnglandThe Abbeyfield Billericay Society Limited</t>
  </si>
  <si>
    <t>East of EnglandWindrush Alliance UK Community Interest Company</t>
  </si>
  <si>
    <t>LondonBarnsbury Housing Association</t>
  </si>
  <si>
    <t>LondonDolphin Housing Limited</t>
  </si>
  <si>
    <t>LondonHourglass Housing Co-operative Limited</t>
  </si>
  <si>
    <t>LondonJust Circle Limited</t>
  </si>
  <si>
    <t>LondonKaribu Community Homes Limited</t>
  </si>
  <si>
    <t>LondonKilburn Housing Co-operative Limited</t>
  </si>
  <si>
    <t>LondonM&amp;G UK Shared Ownership Limited</t>
  </si>
  <si>
    <t>LondonMTD Housing Limited</t>
  </si>
  <si>
    <t>LondonP3 Housing Limited</t>
  </si>
  <si>
    <t>LondonPerryview Housing Co-operative Limited</t>
  </si>
  <si>
    <t>LondonRetirement Lease Housing Association</t>
  </si>
  <si>
    <t>LondonSage Homes RP Limited</t>
  </si>
  <si>
    <t>LondonSovereign Network Homes</t>
  </si>
  <si>
    <t>LondonSparrow Shared Ownership Limited</t>
  </si>
  <si>
    <t>LondonSpringboard Two Housing Association Limited</t>
  </si>
  <si>
    <t>LondonSquare Roots Registered Provider Limited</t>
  </si>
  <si>
    <t>LondonTwenty-Fifth Avenue Ltd</t>
  </si>
  <si>
    <t>LondonWatermans Housing Co-operative Limited</t>
  </si>
  <si>
    <t>LondonWatford Community Housing Trust</t>
  </si>
  <si>
    <t>LondonWindrush Alliance UK Community Interest Company</t>
  </si>
  <si>
    <t>North EastAbbeyfield Northumbria</t>
  </si>
  <si>
    <t>North EastHilldale Housing Association Limited</t>
  </si>
  <si>
    <t>North EastM&amp;G UK Shared Ownership Limited</t>
  </si>
  <si>
    <t>North EastNew Foundations Housing Association Limited</t>
  </si>
  <si>
    <t>North EastSage Homes RP Limited</t>
  </si>
  <si>
    <t>North EastSage Rented Limited</t>
  </si>
  <si>
    <t>North EastTogether Housing Association Limited</t>
  </si>
  <si>
    <t>North WestCharity of Sarah Jane Wood &amp; Mary A Garnett</t>
  </si>
  <si>
    <t>North WestDerive RP Limited</t>
  </si>
  <si>
    <t>North WestM&amp;G UK Shared Ownership Limited</t>
  </si>
  <si>
    <t>North WestMary Hannah Almshouses</t>
  </si>
  <si>
    <t>North WestMetropolitan Housing Trust Limited</t>
  </si>
  <si>
    <t>North WestSage Homes RP Limited</t>
  </si>
  <si>
    <t>North WestSandbach Almshouse Charity</t>
  </si>
  <si>
    <t>North WestSparrow Shared Ownership Limited</t>
  </si>
  <si>
    <t>North WestThe Abbeyfield Lancashire Extra Care Society Limited</t>
  </si>
  <si>
    <t>North WestThe Exaireo Trust Ltd</t>
  </si>
  <si>
    <t>South EastEustace Hook and Drummond Memorial Almshouses</t>
  </si>
  <si>
    <t>South EastFunding Affordable Homes Housing Association Limited</t>
  </si>
  <si>
    <t>South EastKaribu Community Homes Limited</t>
  </si>
  <si>
    <t>South EastKingston upon Thames Churches Housing Association Limited</t>
  </si>
  <si>
    <t>South EastLife 2009</t>
  </si>
  <si>
    <t>South EastM&amp;G UK Shared Ownership Limited</t>
  </si>
  <si>
    <t>South EastMTD Housing Limited</t>
  </si>
  <si>
    <t>South EastOxfordshire CLT Limited</t>
  </si>
  <si>
    <t>South EastRetirement Lease Housing Association</t>
  </si>
  <si>
    <t>South EastSage Homes RP Limited</t>
  </si>
  <si>
    <t>South EastSovereign Network Homes</t>
  </si>
  <si>
    <t>South EastSparrow Shared Ownership Limited</t>
  </si>
  <si>
    <t>South EastTonbridge United Charity</t>
  </si>
  <si>
    <t>South EastVivere Living Limited</t>
  </si>
  <si>
    <t>South EastWindrush Alliance UK Community Interest Company</t>
  </si>
  <si>
    <t>South WestAbbeyfield (East Devon) Society Ltd</t>
  </si>
  <si>
    <t>South WestAbbeyfield Tavistock Society Limited</t>
  </si>
  <si>
    <t>South WestAster Group Limited</t>
  </si>
  <si>
    <t>South WestBethany Home</t>
  </si>
  <si>
    <t>South WestM&amp;G UK Shared Ownership Limited</t>
  </si>
  <si>
    <t>South WestSage Homes RP Limited</t>
  </si>
  <si>
    <t>South WestSidlife Limited</t>
  </si>
  <si>
    <t>South WestSparrow Shared Ownership Limited</t>
  </si>
  <si>
    <t>South WestWindrush Alliance UK Community Interest Company</t>
  </si>
  <si>
    <t>West MidlandsBerkswell Charities</t>
  </si>
  <si>
    <t>West MidlandsJigsaw Homes North</t>
  </si>
  <si>
    <t>West MidlandsLook Ahead Care and Support Limited</t>
  </si>
  <si>
    <t>West MidlandsM&amp;G UK Shared Ownership Limited</t>
  </si>
  <si>
    <t>West MidlandsSparrow Shared Ownership Limited</t>
  </si>
  <si>
    <t>West MidlandsTurning Point</t>
  </si>
  <si>
    <t>West MidlandsTwenty-Fifth Avenue Ltd</t>
  </si>
  <si>
    <t>West MidlandsWindrush Alliance UK Community Interest Company</t>
  </si>
  <si>
    <t>Yorkshire and the HumberButterfield Homes - Crosshills</t>
  </si>
  <si>
    <t>Yorkshire and the HumberButterfield Homes (Cottingley)</t>
  </si>
  <si>
    <t>Yorkshire and the HumberButterfield Homes (Wilsden)</t>
  </si>
  <si>
    <t>Yorkshire and the HumberFirst Choice Homes Oldham Limited</t>
  </si>
  <si>
    <t>Yorkshire and the HumberLace Housing Limited</t>
  </si>
  <si>
    <t>Yorkshire and the HumberM&amp;G UK Shared Ownership Limited</t>
  </si>
  <si>
    <t>Yorkshire and the HumberPlatform Housing Limited</t>
  </si>
  <si>
    <t>Yorkshire and the HumberSage Homes RP Limited</t>
  </si>
  <si>
    <t>Yorkshire and the HumberSparrow Shared Ownership Limited</t>
  </si>
  <si>
    <t>Yorkshire and the HumberThe Charlesworth Charity</t>
  </si>
  <si>
    <t>Yorkshire and the HumberThe Richmond Fellowship</t>
  </si>
  <si>
    <t>RP_Number</t>
  </si>
  <si>
    <t>RP_Nm</t>
  </si>
  <si>
    <t>LA_GN_SC_Own</t>
  </si>
  <si>
    <t>LA_GN_BSp_Own</t>
  </si>
  <si>
    <t>LA_Sup_Own</t>
  </si>
  <si>
    <t>LA_HOP_Own</t>
  </si>
  <si>
    <t>LA_LCHO_Less_100_Eqty_Own</t>
  </si>
  <si>
    <t>Soc_Stock_Own</t>
  </si>
  <si>
    <t>5194</t>
  </si>
  <si>
    <t>Quartz Housing Limited</t>
  </si>
  <si>
    <t>H3610</t>
  </si>
  <si>
    <t>The Abbeyfield Hertfordshire Residential Care Society Limited</t>
  </si>
  <si>
    <t>L2618</t>
  </si>
  <si>
    <t>The Armstrong Home</t>
  </si>
  <si>
    <t>L2022</t>
  </si>
  <si>
    <t>The Hunton Bridge Cottage Trust</t>
  </si>
  <si>
    <t>L0119</t>
  </si>
  <si>
    <t>Polish Retired Persons Housing Association Limited</t>
  </si>
  <si>
    <t>Abbeyfield Furness Extra Care Society Limited</t>
  </si>
  <si>
    <r>
      <rPr>
        <sz val="12"/>
        <rFont val="Arial"/>
        <family val="2"/>
      </rPr>
      <t>London Affordable Rent (LAR), was introduced in 2016 by the Mayor of London. LAR units are Affordable Rent units in London let at or below the weekly rent benchmarks set by the GLA. They are included in Affordable Rent figures in the LADR collection. For more information see</t>
    </r>
    <r>
      <rPr>
        <u/>
        <sz val="11"/>
        <color theme="10"/>
        <rFont val="Calibri"/>
        <family val="2"/>
        <scheme val="minor"/>
      </rPr>
      <t xml:space="preserve"> </t>
    </r>
    <r>
      <rPr>
        <u/>
        <sz val="12"/>
        <color theme="10"/>
        <rFont val="Arial"/>
        <family val="2"/>
      </rPr>
      <t>https://www.london.gov.uk/programmes-strategies/housing-and-land/homes-londoners-affordable-homes-programmes</t>
    </r>
  </si>
  <si>
    <t>February 2025</t>
  </si>
  <si>
    <t>Corrected an error with section 10 of the Area Summary where the incorrect value for All Self-Contained stock for England was being displayed</t>
  </si>
  <si>
    <t>Version: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</si>
</sst>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44" formatCode="_-&quot;£&quot;* #,##0.00_-;\-&quot;£&quot;* #,##0.00_-;_-&quot;£&quot;* &quot;-&quot;??_-;_-@_-"/>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
    <numFmt numFmtId="170" formatCode="#,##0;\-#,##0.00_-;&quot;-&quot;"/>
    <numFmt numFmtId="171" formatCode="&quot;£&quot;#,##0.00;\-#,##0.00_-;&quot;-&quot;"/>
  </numFmts>
  <fonts count="71"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0"/>
      <color theme="0"/>
      <name val="Arial"/>
      <family val="2"/>
    </font>
    <font>
      <b/>
      <sz val="24"/>
      <color rgb="FF59468D"/>
      <name val="Arial"/>
      <family val="2"/>
    </font>
    <font>
      <b/>
      <sz val="18"/>
      <color rgb="FF59468D"/>
      <name val="Arial"/>
      <family val="2"/>
    </font>
    <font>
      <b/>
      <sz val="18"/>
      <name val="Arial"/>
      <family val="2"/>
    </font>
    <font>
      <sz val="10"/>
      <color rgb="FFFF0000"/>
      <name val="Arial"/>
      <family val="2"/>
    </font>
    <font>
      <b/>
      <sz val="10"/>
      <color theme="1"/>
      <name val="Arial"/>
      <family val="2"/>
    </font>
    <font>
      <sz val="10"/>
      <name val="Arial"/>
      <family val="2"/>
    </font>
    <font>
      <b/>
      <sz val="10"/>
      <color rgb="FFFF0000"/>
      <name val="Arial"/>
      <family val="2"/>
    </font>
    <font>
      <sz val="11"/>
      <name val="Arial"/>
      <family val="2"/>
    </font>
    <font>
      <b/>
      <sz val="10"/>
      <name val="Arial"/>
      <family val="2"/>
    </font>
    <font>
      <sz val="10"/>
      <color theme="1"/>
      <name val="Arial"/>
      <family val="2"/>
    </font>
    <font>
      <b/>
      <sz val="12"/>
      <color rgb="FF59468D"/>
      <name val="Arial"/>
      <family val="2"/>
    </font>
    <font>
      <sz val="12"/>
      <color rgb="FF59468D"/>
      <name val="Arial"/>
      <family val="2"/>
    </font>
    <font>
      <i/>
      <sz val="8"/>
      <color theme="0" tint="-0.499984740745262"/>
      <name val="Arial"/>
      <family val="2"/>
    </font>
    <font>
      <sz val="8"/>
      <color theme="1"/>
      <name val="Arial"/>
      <family val="2"/>
    </font>
    <font>
      <sz val="10"/>
      <color theme="0" tint="-0.499984740745262"/>
      <name val="Arial"/>
      <family val="2"/>
    </font>
    <font>
      <sz val="8"/>
      <name val="Arial"/>
      <family val="2"/>
    </font>
    <font>
      <b/>
      <sz val="10"/>
      <color theme="0"/>
      <name val="Arial"/>
      <family val="2"/>
    </font>
    <font>
      <sz val="10"/>
      <color theme="0" tint="-0.34998626667073579"/>
      <name val="Arial"/>
      <family val="2"/>
    </font>
    <font>
      <sz val="10"/>
      <color rgb="FFAECFE6"/>
      <name val="Arial"/>
      <family val="2"/>
    </font>
    <font>
      <i/>
      <sz val="8"/>
      <name val="Arial"/>
      <family val="2"/>
    </font>
    <font>
      <sz val="10"/>
      <name val="MS Sans Serif"/>
      <family val="2"/>
    </font>
    <font>
      <sz val="12"/>
      <color rgb="FFFF0000"/>
      <name val="Arial"/>
      <family val="2"/>
    </font>
    <font>
      <b/>
      <sz val="9"/>
      <color indexed="81"/>
      <name val="Tahoma"/>
      <family val="2"/>
    </font>
    <font>
      <sz val="9"/>
      <color indexed="81"/>
      <name val="Tahoma"/>
      <family val="2"/>
    </font>
    <font>
      <sz val="10"/>
      <color indexed="8"/>
      <name val="Arial"/>
      <family val="2"/>
    </font>
    <font>
      <sz val="11"/>
      <color indexed="8"/>
      <name val="Calibri"/>
      <family val="2"/>
    </font>
    <font>
      <u/>
      <sz val="10"/>
      <color theme="10"/>
      <name val="Arial"/>
      <family val="2"/>
    </font>
    <font>
      <b/>
      <sz val="10"/>
      <color rgb="FF59468D"/>
      <name val="Arial"/>
      <family val="2"/>
    </font>
    <font>
      <i/>
      <sz val="10"/>
      <color theme="0" tint="-0.499984740745262"/>
      <name val="Arial"/>
      <family val="2"/>
    </font>
    <font>
      <b/>
      <sz val="14"/>
      <color theme="1"/>
      <name val="Arial"/>
      <family val="2"/>
    </font>
    <font>
      <u/>
      <sz val="30"/>
      <color rgb="FF419331"/>
      <name val="Wingdings"/>
      <charset val="2"/>
    </font>
    <font>
      <b/>
      <sz val="30"/>
      <color rgb="FF419331"/>
      <name val="Wingdings"/>
      <charset val="2"/>
    </font>
    <font>
      <b/>
      <u/>
      <sz val="30"/>
      <color theme="0" tint="-0.499984740745262"/>
      <name val="Wingdings"/>
      <charset val="2"/>
    </font>
    <font>
      <b/>
      <sz val="30"/>
      <color rgb="FF00B050"/>
      <name val="Wingdings"/>
      <charset val="2"/>
    </font>
    <font>
      <b/>
      <u/>
      <sz val="30"/>
      <color rgb="FFC33A32"/>
      <name val="Wingdings"/>
      <charset val="2"/>
    </font>
    <font>
      <sz val="10"/>
      <color rgb="FFC33A32"/>
      <name val="Arial"/>
      <family val="2"/>
    </font>
    <font>
      <b/>
      <sz val="10"/>
      <color rgb="FF419331"/>
      <name val="Arial"/>
      <family val="2"/>
    </font>
    <font>
      <b/>
      <sz val="10"/>
      <color theme="0" tint="-0.499984740745262"/>
      <name val="Arial"/>
      <family val="2"/>
    </font>
    <font>
      <b/>
      <sz val="10"/>
      <color rgb="FFC33A32"/>
      <name val="Arial"/>
      <family val="2"/>
    </font>
    <font>
      <b/>
      <sz val="10"/>
      <color rgb="FF00B050"/>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tint="-0.249977111117893"/>
      <name val="Arial"/>
      <family val="2"/>
    </font>
    <font>
      <sz val="10"/>
      <color theme="0" tint="-0.249977111117893"/>
      <name val="Arial"/>
      <family val="2"/>
    </font>
    <font>
      <sz val="12"/>
      <color theme="0"/>
      <name val="Arial"/>
      <family val="2"/>
    </font>
    <font>
      <sz val="12"/>
      <color theme="1"/>
      <name val="Arial"/>
      <family val="2"/>
    </font>
    <font>
      <sz val="24"/>
      <color theme="1"/>
      <name val="Arial"/>
      <family val="2"/>
    </font>
    <font>
      <b/>
      <sz val="18"/>
      <color theme="1"/>
      <name val="Arial"/>
      <family val="2"/>
    </font>
    <font>
      <b/>
      <sz val="12"/>
      <color theme="1"/>
      <name val="Arial"/>
      <family val="2"/>
    </font>
    <font>
      <u/>
      <sz val="12"/>
      <color rgb="FF59468D"/>
      <name val="Arial"/>
      <family val="2"/>
    </font>
    <font>
      <b/>
      <sz val="14"/>
      <color rgb="FF59468D"/>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sz val="10"/>
      <color rgb="FF002060"/>
      <name val="Arial"/>
      <family val="2"/>
    </font>
    <font>
      <b/>
      <sz val="11"/>
      <color theme="1"/>
      <name val="Arial"/>
      <family val="2"/>
    </font>
    <font>
      <b/>
      <u/>
      <sz val="10"/>
      <color theme="10"/>
      <name val="Arial"/>
      <family val="2"/>
    </font>
    <font>
      <sz val="8"/>
      <name val="Calibri"/>
      <family val="2"/>
      <scheme val="minor"/>
    </font>
    <font>
      <sz val="1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rgb="FFE2EEF6"/>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9A8CC6"/>
        <bgColor indexed="64"/>
      </patternFill>
    </fill>
    <fill>
      <patternFill patternType="solid">
        <fgColor rgb="FFD5CFE7"/>
        <bgColor indexed="64"/>
      </patternFill>
    </fill>
    <fill>
      <patternFill patternType="solid">
        <fgColor theme="7" tint="0.39997558519241921"/>
        <bgColor indexed="64"/>
      </patternFill>
    </fill>
    <fill>
      <patternFill patternType="solid">
        <fgColor indexed="22"/>
        <bgColor indexed="0"/>
      </patternFill>
    </fill>
    <fill>
      <patternFill patternType="solid">
        <fgColor rgb="FFFABF8F"/>
        <bgColor indexed="64"/>
      </patternFill>
    </fill>
    <fill>
      <patternFill patternType="solid">
        <fgColor rgb="FFE4DFEC"/>
        <bgColor indexed="64"/>
      </patternFill>
    </fill>
    <fill>
      <patternFill patternType="solid">
        <fgColor indexed="9"/>
        <bgColor indexed="64"/>
      </patternFill>
    </fill>
    <fill>
      <patternFill patternType="solid">
        <fgColor rgb="FF59468D"/>
        <bgColor indexed="64"/>
      </patternFill>
    </fill>
  </fills>
  <borders count="5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auto="1"/>
      </left>
      <right style="hair">
        <color auto="1"/>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diagonal/>
    </border>
    <border>
      <left style="hair">
        <color auto="1"/>
      </left>
      <right style="hair">
        <color auto="1"/>
      </right>
      <top style="hair">
        <color auto="1"/>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8"/>
      </left>
      <right style="thin">
        <color indexed="8"/>
      </right>
      <top style="thin">
        <color indexed="8"/>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14" fillId="0" borderId="0"/>
    <xf numFmtId="0" fontId="27" fillId="0" borderId="0"/>
    <xf numFmtId="0" fontId="31" fillId="0" borderId="0"/>
    <xf numFmtId="0" fontId="16" fillId="0" borderId="0"/>
    <xf numFmtId="0" fontId="1" fillId="0" borderId="0"/>
  </cellStyleXfs>
  <cellXfs count="675">
    <xf numFmtId="0" fontId="0" fillId="0" borderId="0" xfId="0"/>
    <xf numFmtId="0" fontId="6" fillId="2" borderId="0" xfId="0" applyFont="1" applyFill="1" applyAlignment="1" applyProtection="1">
      <alignment horizontal="left" vertical="top"/>
      <protection hidden="1"/>
    </xf>
    <xf numFmtId="0" fontId="0" fillId="2" borderId="0" xfId="0" applyFill="1" applyAlignment="1" applyProtection="1">
      <alignment vertical="top"/>
      <protection hidden="1"/>
    </xf>
    <xf numFmtId="0" fontId="8" fillId="2" borderId="0" xfId="0" applyFont="1" applyFill="1" applyAlignment="1" applyProtection="1">
      <alignment horizontal="left" vertical="top"/>
      <protection hidden="1"/>
    </xf>
    <xf numFmtId="0" fontId="9" fillId="2" borderId="0" xfId="0" applyFont="1" applyFill="1" applyAlignment="1" applyProtection="1">
      <alignment horizontal="left" vertical="top"/>
      <protection hidden="1"/>
    </xf>
    <xf numFmtId="0" fontId="10" fillId="2" borderId="0" xfId="0" applyFont="1" applyFill="1" applyAlignment="1" applyProtection="1">
      <alignment horizontal="left" vertical="top"/>
      <protection hidden="1"/>
    </xf>
    <xf numFmtId="0" fontId="9" fillId="2" borderId="0" xfId="0" applyFont="1" applyFill="1" applyAlignment="1" applyProtection="1">
      <alignment horizontal="center" vertical="top"/>
      <protection hidden="1"/>
    </xf>
    <xf numFmtId="0" fontId="11" fillId="2" borderId="0" xfId="0" applyFont="1" applyFill="1" applyAlignment="1" applyProtection="1">
      <alignment vertical="top"/>
      <protection hidden="1"/>
    </xf>
    <xf numFmtId="0" fontId="6" fillId="2" borderId="0" xfId="0" applyFont="1" applyFill="1" applyAlignment="1" applyProtection="1">
      <alignment vertical="top"/>
      <protection hidden="1"/>
    </xf>
    <xf numFmtId="0" fontId="6" fillId="0" borderId="0" xfId="0" applyFont="1" applyAlignment="1" applyProtection="1">
      <alignment vertical="top"/>
      <protection hidden="1"/>
    </xf>
    <xf numFmtId="0" fontId="13" fillId="2" borderId="0" xfId="0" applyFont="1" applyFill="1" applyAlignment="1" applyProtection="1">
      <alignment vertical="top"/>
      <protection hidden="1"/>
    </xf>
    <xf numFmtId="0" fontId="6" fillId="2" borderId="0" xfId="0" applyFont="1" applyFill="1" applyAlignment="1" applyProtection="1">
      <alignment horizontal="left"/>
      <protection hidden="1"/>
    </xf>
    <xf numFmtId="0" fontId="6" fillId="2" borderId="0" xfId="0" applyFont="1" applyFill="1" applyProtection="1">
      <protection hidden="1"/>
    </xf>
    <xf numFmtId="0" fontId="12" fillId="2" borderId="0" xfId="5" applyFont="1" applyFill="1" applyAlignment="1" applyProtection="1">
      <alignment horizontal="center" wrapText="1"/>
      <protection hidden="1"/>
    </xf>
    <xf numFmtId="0" fontId="10" fillId="2" borderId="0" xfId="0" applyFont="1" applyFill="1" applyAlignment="1" applyProtection="1">
      <alignment wrapText="1"/>
      <protection hidden="1"/>
    </xf>
    <xf numFmtId="0" fontId="15" fillId="2" borderId="0" xfId="5" applyFont="1" applyFill="1" applyAlignment="1" applyProtection="1">
      <alignment horizontal="center" wrapText="1"/>
      <protection hidden="1"/>
    </xf>
    <xf numFmtId="164" fontId="15" fillId="2" borderId="0" xfId="1" applyNumberFormat="1" applyFont="1" applyFill="1" applyBorder="1" applyAlignment="1" applyProtection="1">
      <alignment horizontal="center" wrapText="1"/>
      <protection hidden="1"/>
    </xf>
    <xf numFmtId="0" fontId="0" fillId="2" borderId="0" xfId="0" applyFill="1" applyProtection="1">
      <protection hidden="1"/>
    </xf>
    <xf numFmtId="0" fontId="12" fillId="2" borderId="0" xfId="0" applyFont="1" applyFill="1" applyProtection="1">
      <protection hidden="1"/>
    </xf>
    <xf numFmtId="0" fontId="6" fillId="5" borderId="0" xfId="0" applyFont="1" applyFill="1" applyProtection="1">
      <protection hidden="1"/>
    </xf>
    <xf numFmtId="0" fontId="15" fillId="2" borderId="0" xfId="0" applyFont="1" applyFill="1" applyAlignment="1" applyProtection="1">
      <alignment horizontal="left"/>
      <protection hidden="1"/>
    </xf>
    <xf numFmtId="0" fontId="12" fillId="2" borderId="0" xfId="5" applyFont="1" applyFill="1" applyAlignment="1" applyProtection="1">
      <alignment horizontal="left"/>
      <protection hidden="1"/>
    </xf>
    <xf numFmtId="0" fontId="11" fillId="4" borderId="8" xfId="0" applyFont="1" applyFill="1" applyBorder="1" applyAlignment="1" applyProtection="1">
      <alignment horizontal="left"/>
      <protection hidden="1"/>
    </xf>
    <xf numFmtId="0" fontId="0" fillId="4" borderId="9" xfId="0" applyFill="1" applyBorder="1" applyProtection="1">
      <protection hidden="1"/>
    </xf>
    <xf numFmtId="0" fontId="11" fillId="4" borderId="9" xfId="0" applyFont="1" applyFill="1" applyBorder="1" applyAlignment="1" applyProtection="1">
      <alignment horizontal="right"/>
      <protection hidden="1"/>
    </xf>
    <xf numFmtId="0" fontId="11" fillId="4" borderId="10" xfId="0" applyFont="1" applyFill="1" applyBorder="1" applyAlignment="1" applyProtection="1">
      <alignment horizontal="right"/>
      <protection hidden="1"/>
    </xf>
    <xf numFmtId="0" fontId="0" fillId="2" borderId="9" xfId="0" applyFill="1" applyBorder="1" applyProtection="1">
      <protection hidden="1"/>
    </xf>
    <xf numFmtId="0" fontId="21" fillId="2" borderId="0" xfId="0" applyFont="1" applyFill="1" applyAlignment="1" applyProtection="1">
      <alignment horizontal="left"/>
      <protection hidden="1"/>
    </xf>
    <xf numFmtId="0" fontId="21" fillId="2" borderId="0" xfId="0" applyFont="1" applyFill="1" applyProtection="1">
      <protection hidden="1"/>
    </xf>
    <xf numFmtId="0" fontId="21" fillId="2" borderId="9" xfId="0" applyFont="1" applyFill="1" applyBorder="1" applyAlignment="1" applyProtection="1">
      <alignment horizontal="left"/>
      <protection hidden="1"/>
    </xf>
    <xf numFmtId="0" fontId="21" fillId="2" borderId="9" xfId="0" applyFont="1" applyFill="1" applyBorder="1" applyProtection="1">
      <protection hidden="1"/>
    </xf>
    <xf numFmtId="0" fontId="0" fillId="2" borderId="0" xfId="0" applyFill="1" applyAlignment="1" applyProtection="1">
      <alignment horizontal="left"/>
      <protection hidden="1"/>
    </xf>
    <xf numFmtId="0" fontId="6" fillId="2" borderId="21" xfId="0" applyFont="1" applyFill="1" applyBorder="1" applyProtection="1">
      <protection hidden="1"/>
    </xf>
    <xf numFmtId="0" fontId="11" fillId="2" borderId="23" xfId="0" applyFont="1" applyFill="1" applyBorder="1" applyAlignment="1" applyProtection="1">
      <alignment horizontal="left"/>
      <protection hidden="1"/>
    </xf>
    <xf numFmtId="0" fontId="11" fillId="2" borderId="20" xfId="0" applyFont="1" applyFill="1" applyBorder="1" applyAlignment="1" applyProtection="1">
      <alignment horizontal="left"/>
      <protection hidden="1"/>
    </xf>
    <xf numFmtId="0" fontId="11" fillId="2" borderId="21" xfId="0" applyFont="1" applyFill="1" applyBorder="1" applyProtection="1">
      <protection hidden="1"/>
    </xf>
    <xf numFmtId="0" fontId="12" fillId="2" borderId="29" xfId="1" applyNumberFormat="1" applyFont="1" applyFill="1" applyBorder="1" applyAlignment="1" applyProtection="1">
      <alignment horizontal="left"/>
      <protection hidden="1"/>
    </xf>
    <xf numFmtId="3" fontId="12" fillId="2" borderId="0" xfId="1" applyNumberFormat="1" applyFont="1" applyFill="1" applyBorder="1" applyAlignment="1" applyProtection="1">
      <alignment horizontal="right" wrapText="1"/>
      <protection hidden="1"/>
    </xf>
    <xf numFmtId="3" fontId="12" fillId="2" borderId="30" xfId="1" applyNumberFormat="1" applyFont="1" applyFill="1" applyBorder="1" applyAlignment="1" applyProtection="1">
      <alignment horizontal="right" wrapText="1"/>
      <protection hidden="1"/>
    </xf>
    <xf numFmtId="0" fontId="0" fillId="2" borderId="0" xfId="0" applyFill="1" applyAlignment="1" applyProtection="1">
      <alignment horizontal="right"/>
      <protection hidden="1"/>
    </xf>
    <xf numFmtId="0" fontId="12" fillId="2" borderId="31" xfId="1" applyNumberFormat="1" applyFont="1" applyFill="1" applyBorder="1" applyAlignment="1" applyProtection="1">
      <alignment horizontal="left"/>
      <protection hidden="1"/>
    </xf>
    <xf numFmtId="165" fontId="12" fillId="2" borderId="9" xfId="3" applyNumberFormat="1" applyFont="1" applyFill="1" applyBorder="1" applyAlignment="1" applyProtection="1">
      <alignment horizontal="right" wrapText="1"/>
      <protection hidden="1"/>
    </xf>
    <xf numFmtId="165" fontId="12" fillId="2" borderId="32" xfId="3" applyNumberFormat="1" applyFont="1" applyFill="1" applyBorder="1" applyAlignment="1" applyProtection="1">
      <alignment horizontal="right" wrapText="1"/>
      <protection hidden="1"/>
    </xf>
    <xf numFmtId="3" fontId="0" fillId="2" borderId="0" xfId="0" applyNumberFormat="1" applyFill="1" applyProtection="1">
      <protection hidden="1"/>
    </xf>
    <xf numFmtId="164" fontId="12" fillId="2" borderId="0" xfId="1" applyNumberFormat="1" applyFont="1" applyFill="1" applyBorder="1" applyAlignment="1" applyProtection="1">
      <alignment horizontal="left"/>
      <protection hidden="1"/>
    </xf>
    <xf numFmtId="0" fontId="18" fillId="4" borderId="6" xfId="0" applyFont="1" applyFill="1" applyBorder="1" applyAlignment="1" applyProtection="1">
      <alignment vertical="top"/>
      <protection hidden="1"/>
    </xf>
    <xf numFmtId="0" fontId="18" fillId="4" borderId="7" xfId="0" applyFont="1" applyFill="1" applyBorder="1" applyAlignment="1" applyProtection="1">
      <alignment vertical="top"/>
      <protection hidden="1"/>
    </xf>
    <xf numFmtId="0" fontId="17" fillId="4" borderId="5" xfId="0" applyFont="1" applyFill="1" applyBorder="1" applyAlignment="1" applyProtection="1">
      <alignment vertical="top"/>
      <protection hidden="1"/>
    </xf>
    <xf numFmtId="0" fontId="18" fillId="4" borderId="8" xfId="0" applyFont="1" applyFill="1" applyBorder="1" applyAlignment="1" applyProtection="1">
      <alignment vertical="top"/>
      <protection hidden="1"/>
    </xf>
    <xf numFmtId="0" fontId="18" fillId="4" borderId="0" xfId="0" applyFont="1" applyFill="1" applyAlignment="1" applyProtection="1">
      <alignment vertical="top"/>
      <protection hidden="1"/>
    </xf>
    <xf numFmtId="0" fontId="18" fillId="4" borderId="4" xfId="0" applyFont="1" applyFill="1" applyBorder="1" applyAlignment="1" applyProtection="1">
      <alignment vertical="top"/>
      <protection hidden="1"/>
    </xf>
    <xf numFmtId="0" fontId="0" fillId="2" borderId="0" xfId="0" applyFill="1" applyAlignment="1" applyProtection="1">
      <alignment horizontal="right" vertical="top"/>
      <protection hidden="1"/>
    </xf>
    <xf numFmtId="0" fontId="11" fillId="2" borderId="5" xfId="0" applyFont="1" applyFill="1" applyBorder="1" applyProtection="1">
      <protection hidden="1"/>
    </xf>
    <xf numFmtId="0" fontId="0" fillId="2" borderId="6" xfId="0" applyFill="1" applyBorder="1" applyProtection="1">
      <protection hidden="1"/>
    </xf>
    <xf numFmtId="0" fontId="11" fillId="2" borderId="5" xfId="0" applyFont="1" applyFill="1" applyBorder="1" applyAlignment="1" applyProtection="1">
      <alignment horizontal="left" vertical="top"/>
      <protection hidden="1"/>
    </xf>
    <xf numFmtId="0" fontId="11" fillId="2" borderId="0" xfId="0" applyFont="1" applyFill="1" applyProtection="1">
      <protection hidden="1"/>
    </xf>
    <xf numFmtId="0" fontId="11" fillId="2" borderId="8" xfId="0" applyFont="1" applyFill="1" applyBorder="1" applyProtection="1">
      <protection hidden="1"/>
    </xf>
    <xf numFmtId="0" fontId="0" fillId="2" borderId="8" xfId="0" applyFill="1" applyBorder="1" applyAlignment="1" applyProtection="1">
      <alignment horizontal="left" indent="1"/>
      <protection hidden="1"/>
    </xf>
    <xf numFmtId="0" fontId="11" fillId="2" borderId="23" xfId="0" applyFont="1" applyFill="1" applyBorder="1" applyProtection="1">
      <protection hidden="1"/>
    </xf>
    <xf numFmtId="0" fontId="0" fillId="2" borderId="9" xfId="0" applyFill="1" applyBorder="1" applyAlignment="1" applyProtection="1">
      <alignment vertical="top"/>
      <protection hidden="1"/>
    </xf>
    <xf numFmtId="0" fontId="0" fillId="2" borderId="8" xfId="0" applyFill="1" applyBorder="1" applyProtection="1">
      <protection hidden="1"/>
    </xf>
    <xf numFmtId="164" fontId="15" fillId="2" borderId="6" xfId="1" applyNumberFormat="1" applyFont="1" applyFill="1" applyBorder="1" applyAlignment="1" applyProtection="1">
      <alignment horizontal="center" wrapText="1"/>
      <protection hidden="1"/>
    </xf>
    <xf numFmtId="0" fontId="11" fillId="2" borderId="20" xfId="0" applyFont="1" applyFill="1" applyBorder="1" applyProtection="1">
      <protection hidden="1"/>
    </xf>
    <xf numFmtId="164" fontId="15" fillId="2" borderId="21" xfId="1" applyNumberFormat="1" applyFont="1" applyFill="1" applyBorder="1" applyAlignment="1" applyProtection="1">
      <alignment horizontal="right" wrapText="1"/>
      <protection hidden="1"/>
    </xf>
    <xf numFmtId="164" fontId="15" fillId="2" borderId="33" xfId="1" applyNumberFormat="1" applyFont="1" applyFill="1" applyBorder="1" applyAlignment="1" applyProtection="1">
      <alignment horizontal="right" wrapText="1"/>
      <protection hidden="1"/>
    </xf>
    <xf numFmtId="164" fontId="15" fillId="2" borderId="9" xfId="1" applyNumberFormat="1" applyFont="1" applyFill="1" applyBorder="1" applyAlignment="1" applyProtection="1">
      <alignment horizontal="center" wrapText="1"/>
      <protection hidden="1"/>
    </xf>
    <xf numFmtId="0" fontId="0" fillId="2" borderId="4" xfId="0" applyFill="1" applyBorder="1" applyProtection="1">
      <protection hidden="1"/>
    </xf>
    <xf numFmtId="165" fontId="12" fillId="2" borderId="0" xfId="3" applyNumberFormat="1" applyFont="1" applyFill="1" applyBorder="1" applyAlignment="1" applyProtection="1">
      <alignment horizontal="right" wrapText="1"/>
      <protection hidden="1"/>
    </xf>
    <xf numFmtId="165" fontId="12" fillId="2" borderId="30" xfId="3" applyNumberFormat="1" applyFont="1" applyFill="1" applyBorder="1" applyAlignment="1" applyProtection="1">
      <alignment horizontal="right" wrapText="1"/>
      <protection hidden="1"/>
    </xf>
    <xf numFmtId="0" fontId="20" fillId="2" borderId="8" xfId="0" applyFont="1" applyFill="1" applyBorder="1" applyProtection="1">
      <protection hidden="1"/>
    </xf>
    <xf numFmtId="165" fontId="0" fillId="2" borderId="0" xfId="0" applyNumberFormat="1" applyFill="1" applyProtection="1">
      <protection hidden="1"/>
    </xf>
    <xf numFmtId="0" fontId="22" fillId="2" borderId="23" xfId="0" applyFont="1" applyFill="1" applyBorder="1" applyProtection="1">
      <protection hidden="1"/>
    </xf>
    <xf numFmtId="0" fontId="0" fillId="2" borderId="10" xfId="0" applyFill="1" applyBorder="1" applyProtection="1">
      <protection hidden="1"/>
    </xf>
    <xf numFmtId="0" fontId="17" fillId="4" borderId="34" xfId="0" applyFont="1" applyFill="1" applyBorder="1" applyAlignment="1" applyProtection="1">
      <alignment vertical="top"/>
      <protection hidden="1"/>
    </xf>
    <xf numFmtId="0" fontId="18" fillId="4" borderId="27" xfId="0" applyFont="1" applyFill="1" applyBorder="1" applyAlignment="1" applyProtection="1">
      <alignment vertical="top"/>
      <protection hidden="1"/>
    </xf>
    <xf numFmtId="0" fontId="18" fillId="4" borderId="35" xfId="0" applyFont="1" applyFill="1" applyBorder="1" applyAlignment="1" applyProtection="1">
      <alignment vertical="top"/>
      <protection hidden="1"/>
    </xf>
    <xf numFmtId="0" fontId="6" fillId="2" borderId="29" xfId="0" applyFont="1" applyFill="1" applyBorder="1" applyAlignment="1" applyProtection="1">
      <alignment horizontal="left" indent="1"/>
      <protection hidden="1"/>
    </xf>
    <xf numFmtId="164" fontId="15" fillId="2" borderId="0" xfId="5" applyNumberFormat="1" applyFont="1" applyFill="1" applyAlignment="1" applyProtection="1">
      <alignment horizontal="center" wrapText="1"/>
      <protection hidden="1"/>
    </xf>
    <xf numFmtId="0" fontId="12" fillId="2" borderId="36" xfId="0" applyFont="1" applyFill="1" applyBorder="1" applyAlignment="1" applyProtection="1">
      <alignment horizontal="left" vertical="top"/>
      <protection hidden="1"/>
    </xf>
    <xf numFmtId="0" fontId="12" fillId="2" borderId="29" xfId="0" applyFont="1" applyFill="1" applyBorder="1" applyAlignment="1" applyProtection="1">
      <alignment horizontal="left"/>
      <protection hidden="1"/>
    </xf>
    <xf numFmtId="0" fontId="12" fillId="2" borderId="31" xfId="0" applyFont="1" applyFill="1" applyBorder="1" applyAlignment="1" applyProtection="1">
      <alignment horizontal="left"/>
      <protection hidden="1"/>
    </xf>
    <xf numFmtId="164" fontId="15" fillId="2" borderId="9" xfId="5" applyNumberFormat="1" applyFont="1" applyFill="1" applyBorder="1" applyAlignment="1" applyProtection="1">
      <alignment horizontal="center" wrapText="1"/>
      <protection hidden="1"/>
    </xf>
    <xf numFmtId="0" fontId="15" fillId="2" borderId="31" xfId="0" applyFont="1" applyFill="1" applyBorder="1" applyAlignment="1" applyProtection="1">
      <alignment horizontal="left"/>
      <protection hidden="1"/>
    </xf>
    <xf numFmtId="164" fontId="11" fillId="2" borderId="9" xfId="0" applyNumberFormat="1" applyFont="1" applyFill="1" applyBorder="1" applyProtection="1">
      <protection hidden="1"/>
    </xf>
    <xf numFmtId="0" fontId="0" fillId="2" borderId="5" xfId="0" applyFill="1" applyBorder="1" applyAlignment="1" applyProtection="1">
      <alignment horizontal="left" indent="1"/>
      <protection hidden="1"/>
    </xf>
    <xf numFmtId="164" fontId="12" fillId="2" borderId="6" xfId="5" applyNumberFormat="1" applyFont="1" applyFill="1" applyBorder="1" applyAlignment="1" applyProtection="1">
      <alignment horizontal="center" wrapText="1"/>
      <protection hidden="1"/>
    </xf>
    <xf numFmtId="164" fontId="10" fillId="2" borderId="6" xfId="0" applyNumberFormat="1" applyFont="1" applyFill="1" applyBorder="1" applyAlignment="1" applyProtection="1">
      <alignment wrapText="1"/>
      <protection hidden="1"/>
    </xf>
    <xf numFmtId="0" fontId="10" fillId="2" borderId="6" xfId="0" applyFont="1" applyFill="1" applyBorder="1" applyAlignment="1" applyProtection="1">
      <alignment wrapText="1"/>
      <protection hidden="1"/>
    </xf>
    <xf numFmtId="0" fontId="10" fillId="2" borderId="7" xfId="0" applyFont="1" applyFill="1" applyBorder="1" applyAlignment="1" applyProtection="1">
      <alignment wrapText="1"/>
      <protection hidden="1"/>
    </xf>
    <xf numFmtId="164" fontId="12" fillId="2" borderId="0" xfId="5" applyNumberFormat="1" applyFont="1" applyFill="1" applyAlignment="1" applyProtection="1">
      <alignment horizontal="center" wrapText="1"/>
      <protection hidden="1"/>
    </xf>
    <xf numFmtId="164" fontId="10" fillId="2" borderId="0" xfId="0" applyNumberFormat="1" applyFont="1" applyFill="1" applyAlignment="1" applyProtection="1">
      <alignment wrapText="1"/>
      <protection hidden="1"/>
    </xf>
    <xf numFmtId="0" fontId="10" fillId="2" borderId="4" xfId="0" applyFont="1" applyFill="1" applyBorder="1" applyAlignment="1" applyProtection="1">
      <alignment wrapText="1"/>
      <protection hidden="1"/>
    </xf>
    <xf numFmtId="0" fontId="12" fillId="2" borderId="9" xfId="5" applyFont="1" applyFill="1" applyBorder="1" applyAlignment="1" applyProtection="1">
      <alignment horizontal="center" wrapText="1"/>
      <protection hidden="1"/>
    </xf>
    <xf numFmtId="0" fontId="10" fillId="2" borderId="9" xfId="0" applyFont="1" applyFill="1" applyBorder="1" applyAlignment="1" applyProtection="1">
      <alignment wrapText="1"/>
      <protection hidden="1"/>
    </xf>
    <xf numFmtId="0" fontId="10" fillId="2" borderId="10" xfId="0" applyFont="1" applyFill="1" applyBorder="1" applyAlignment="1" applyProtection="1">
      <alignment wrapText="1"/>
      <protection hidden="1"/>
    </xf>
    <xf numFmtId="0" fontId="24" fillId="2" borderId="0" xfId="0" applyFont="1" applyFill="1" applyProtection="1">
      <protection hidden="1"/>
    </xf>
    <xf numFmtId="0" fontId="25" fillId="2" borderId="0" xfId="0" applyFont="1" applyFill="1" applyProtection="1">
      <protection hidden="1"/>
    </xf>
    <xf numFmtId="0" fontId="17" fillId="4" borderId="5" xfId="0" applyFont="1" applyFill="1" applyBorder="1" applyAlignment="1" applyProtection="1">
      <alignment horizontal="left" vertical="top"/>
      <protection hidden="1"/>
    </xf>
    <xf numFmtId="7" fontId="0" fillId="2" borderId="0" xfId="2" applyNumberFormat="1" applyFont="1" applyFill="1" applyBorder="1" applyProtection="1">
      <protection hidden="1"/>
    </xf>
    <xf numFmtId="0" fontId="13" fillId="2" borderId="0" xfId="0" applyFont="1" applyFill="1" applyAlignment="1" applyProtection="1">
      <alignment horizontal="right"/>
      <protection hidden="1"/>
    </xf>
    <xf numFmtId="0" fontId="13" fillId="2" borderId="4" xfId="0" applyFont="1" applyFill="1" applyBorder="1" applyAlignment="1" applyProtection="1">
      <alignment horizontal="right"/>
      <protection hidden="1"/>
    </xf>
    <xf numFmtId="0" fontId="6" fillId="2" borderId="8" xfId="0" applyFont="1" applyFill="1" applyBorder="1" applyProtection="1">
      <protection hidden="1"/>
    </xf>
    <xf numFmtId="0" fontId="15" fillId="2" borderId="0" xfId="0" applyFont="1" applyFill="1" applyAlignment="1" applyProtection="1">
      <alignment horizontal="right"/>
      <protection hidden="1"/>
    </xf>
    <xf numFmtId="0" fontId="11" fillId="2" borderId="0" xfId="0" applyFont="1" applyFill="1" applyAlignment="1" applyProtection="1">
      <alignment horizontal="right"/>
      <protection hidden="1"/>
    </xf>
    <xf numFmtId="7" fontId="11" fillId="2" borderId="0" xfId="2" applyNumberFormat="1" applyFont="1" applyFill="1" applyBorder="1" applyAlignment="1" applyProtection="1">
      <alignment horizontal="right"/>
      <protection hidden="1"/>
    </xf>
    <xf numFmtId="0" fontId="15" fillId="2" borderId="4" xfId="0" applyFont="1" applyFill="1" applyBorder="1" applyAlignment="1" applyProtection="1">
      <alignment horizontal="right"/>
      <protection hidden="1"/>
    </xf>
    <xf numFmtId="0" fontId="6" fillId="2" borderId="23" xfId="0" applyFont="1" applyFill="1" applyBorder="1" applyAlignment="1" applyProtection="1">
      <alignment vertical="top"/>
      <protection hidden="1"/>
    </xf>
    <xf numFmtId="2" fontId="15" fillId="2" borderId="9" xfId="0" applyNumberFormat="1" applyFont="1" applyFill="1" applyBorder="1" applyAlignment="1" applyProtection="1">
      <alignment horizontal="right"/>
      <protection hidden="1"/>
    </xf>
    <xf numFmtId="2" fontId="11" fillId="2" borderId="9" xfId="2" applyNumberFormat="1" applyFont="1" applyFill="1" applyBorder="1" applyAlignment="1" applyProtection="1">
      <alignment horizontal="right"/>
      <protection hidden="1"/>
    </xf>
    <xf numFmtId="2" fontId="15" fillId="2" borderId="9" xfId="0" applyNumberFormat="1" applyFont="1" applyFill="1" applyBorder="1" applyAlignment="1" applyProtection="1">
      <alignment horizontal="right" wrapText="1"/>
      <protection hidden="1"/>
    </xf>
    <xf numFmtId="2" fontId="15" fillId="2" borderId="10" xfId="0" applyNumberFormat="1" applyFont="1" applyFill="1" applyBorder="1" applyAlignment="1" applyProtection="1">
      <alignment horizontal="right" wrapText="1"/>
      <protection hidden="1"/>
    </xf>
    <xf numFmtId="0" fontId="12" fillId="2" borderId="5" xfId="0" applyFont="1" applyFill="1" applyBorder="1" applyAlignment="1" applyProtection="1">
      <alignment horizontal="left"/>
      <protection hidden="1"/>
    </xf>
    <xf numFmtId="166" fontId="0" fillId="2" borderId="6" xfId="0" applyNumberFormat="1" applyFill="1" applyBorder="1" applyAlignment="1" applyProtection="1">
      <alignment horizontal="right"/>
      <protection hidden="1"/>
    </xf>
    <xf numFmtId="0" fontId="12" fillId="2" borderId="8" xfId="0" applyFont="1" applyFill="1" applyBorder="1" applyAlignment="1" applyProtection="1">
      <alignment horizontal="left"/>
      <protection hidden="1"/>
    </xf>
    <xf numFmtId="166" fontId="0" fillId="2" borderId="0" xfId="0" applyNumberFormat="1" applyFill="1" applyAlignment="1" applyProtection="1">
      <alignment horizontal="right"/>
      <protection hidden="1"/>
    </xf>
    <xf numFmtId="0" fontId="15" fillId="2" borderId="20" xfId="0" applyFont="1" applyFill="1" applyBorder="1" applyAlignment="1" applyProtection="1">
      <alignment horizontal="left"/>
      <protection hidden="1"/>
    </xf>
    <xf numFmtId="0" fontId="15" fillId="2" borderId="8" xfId="0" applyFont="1" applyFill="1" applyBorder="1" applyAlignment="1" applyProtection="1">
      <alignment horizontal="left"/>
      <protection hidden="1"/>
    </xf>
    <xf numFmtId="166" fontId="11" fillId="2" borderId="0" xfId="0" applyNumberFormat="1" applyFont="1" applyFill="1" applyAlignment="1" applyProtection="1">
      <alignment horizontal="right"/>
      <protection hidden="1"/>
    </xf>
    <xf numFmtId="3" fontId="11" fillId="2" borderId="4" xfId="0" applyNumberFormat="1" applyFont="1" applyFill="1" applyBorder="1" applyAlignment="1" applyProtection="1">
      <alignment horizontal="right"/>
      <protection hidden="1"/>
    </xf>
    <xf numFmtId="0" fontId="22" fillId="2" borderId="8" xfId="1" applyNumberFormat="1" applyFont="1" applyFill="1" applyBorder="1" applyAlignment="1" applyProtection="1">
      <alignment horizontal="left"/>
      <protection hidden="1"/>
    </xf>
    <xf numFmtId="0" fontId="22" fillId="2" borderId="0" xfId="1" applyNumberFormat="1" applyFont="1" applyFill="1" applyBorder="1" applyAlignment="1" applyProtection="1">
      <alignment horizontal="left"/>
      <protection hidden="1"/>
    </xf>
    <xf numFmtId="0" fontId="20" fillId="2" borderId="23" xfId="0" applyFont="1" applyFill="1" applyBorder="1" applyProtection="1">
      <protection hidden="1"/>
    </xf>
    <xf numFmtId="2" fontId="0" fillId="2" borderId="0" xfId="2" applyNumberFormat="1" applyFont="1" applyFill="1" applyBorder="1" applyProtection="1">
      <protection hidden="1"/>
    </xf>
    <xf numFmtId="2" fontId="13" fillId="2" borderId="0" xfId="0" applyNumberFormat="1" applyFont="1" applyFill="1" applyAlignment="1" applyProtection="1">
      <alignment horizontal="right"/>
      <protection hidden="1"/>
    </xf>
    <xf numFmtId="0" fontId="11" fillId="2" borderId="4" xfId="0" applyFont="1" applyFill="1" applyBorder="1" applyAlignment="1" applyProtection="1">
      <alignment horizontal="right"/>
      <protection hidden="1"/>
    </xf>
    <xf numFmtId="0" fontId="6" fillId="2" borderId="23" xfId="0" applyFont="1" applyFill="1" applyBorder="1" applyProtection="1">
      <protection hidden="1"/>
    </xf>
    <xf numFmtId="0" fontId="0" fillId="2" borderId="5" xfId="0" applyFill="1" applyBorder="1" applyProtection="1">
      <protection hidden="1"/>
    </xf>
    <xf numFmtId="0" fontId="0" fillId="2" borderId="7" xfId="0" applyFill="1" applyBorder="1" applyProtection="1">
      <protection hidden="1"/>
    </xf>
    <xf numFmtId="2" fontId="13" fillId="2" borderId="4" xfId="0" applyNumberFormat="1" applyFont="1" applyFill="1" applyBorder="1" applyAlignment="1" applyProtection="1">
      <alignment horizontal="right"/>
      <protection hidden="1"/>
    </xf>
    <xf numFmtId="2" fontId="15" fillId="2" borderId="0" xfId="0" applyNumberFormat="1" applyFont="1" applyFill="1" applyAlignment="1" applyProtection="1">
      <alignment horizontal="right"/>
      <protection hidden="1"/>
    </xf>
    <xf numFmtId="2" fontId="15" fillId="2" borderId="0" xfId="2" applyNumberFormat="1" applyFont="1" applyFill="1" applyBorder="1" applyAlignment="1" applyProtection="1">
      <alignment horizontal="right"/>
      <protection hidden="1"/>
    </xf>
    <xf numFmtId="2" fontId="15" fillId="2" borderId="9" xfId="2" applyNumberFormat="1" applyFont="1" applyFill="1" applyBorder="1" applyAlignment="1" applyProtection="1">
      <alignment horizontal="right"/>
      <protection hidden="1"/>
    </xf>
    <xf numFmtId="166" fontId="0" fillId="2" borderId="0" xfId="0" applyNumberFormat="1" applyFill="1" applyProtection="1">
      <protection hidden="1"/>
    </xf>
    <xf numFmtId="166" fontId="0" fillId="2" borderId="9" xfId="0" applyNumberFormat="1" applyFill="1" applyBorder="1" applyAlignment="1" applyProtection="1">
      <alignment horizontal="right"/>
      <protection hidden="1"/>
    </xf>
    <xf numFmtId="166" fontId="0" fillId="2" borderId="9" xfId="0" applyNumberFormat="1" applyFill="1" applyBorder="1" applyProtection="1">
      <protection hidden="1"/>
    </xf>
    <xf numFmtId="166" fontId="11" fillId="2" borderId="9" xfId="0" applyNumberFormat="1" applyFont="1" applyFill="1" applyBorder="1" applyAlignment="1" applyProtection="1">
      <alignment horizontal="right"/>
      <protection hidden="1"/>
    </xf>
    <xf numFmtId="0" fontId="15" fillId="2" borderId="5" xfId="0" applyFont="1" applyFill="1" applyBorder="1" applyAlignment="1" applyProtection="1">
      <alignment horizontal="left"/>
      <protection hidden="1"/>
    </xf>
    <xf numFmtId="166" fontId="11" fillId="2" borderId="6" xfId="0" applyNumberFormat="1" applyFont="1" applyFill="1" applyBorder="1" applyAlignment="1" applyProtection="1">
      <alignment horizontal="right"/>
      <protection hidden="1"/>
    </xf>
    <xf numFmtId="166" fontId="0" fillId="2" borderId="6" xfId="0" applyNumberFormat="1" applyFill="1" applyBorder="1" applyProtection="1">
      <protection hidden="1"/>
    </xf>
    <xf numFmtId="3" fontId="11" fillId="2" borderId="7" xfId="0" applyNumberFormat="1" applyFont="1" applyFill="1" applyBorder="1" applyProtection="1">
      <protection hidden="1"/>
    </xf>
    <xf numFmtId="0" fontId="26" fillId="2" borderId="8" xfId="1" applyNumberFormat="1" applyFont="1" applyFill="1" applyBorder="1" applyAlignment="1" applyProtection="1">
      <alignment horizontal="left"/>
      <protection hidden="1"/>
    </xf>
    <xf numFmtId="0" fontId="12" fillId="2" borderId="23" xfId="0" applyFont="1" applyFill="1" applyBorder="1" applyAlignment="1" applyProtection="1">
      <alignment horizontal="left"/>
      <protection hidden="1"/>
    </xf>
    <xf numFmtId="0" fontId="15" fillId="2" borderId="23" xfId="0" applyFont="1" applyFill="1" applyBorder="1" applyAlignment="1" applyProtection="1">
      <alignment horizontal="left"/>
      <protection hidden="1"/>
    </xf>
    <xf numFmtId="3" fontId="11" fillId="2" borderId="7" xfId="0" applyNumberFormat="1" applyFont="1" applyFill="1" applyBorder="1" applyAlignment="1" applyProtection="1">
      <alignment horizontal="right"/>
      <protection hidden="1"/>
    </xf>
    <xf numFmtId="0" fontId="13" fillId="2" borderId="0" xfId="0" applyFont="1" applyFill="1" applyProtection="1">
      <protection hidden="1"/>
    </xf>
    <xf numFmtId="0" fontId="11" fillId="2" borderId="9" xfId="0" applyFont="1" applyFill="1" applyBorder="1" applyAlignment="1" applyProtection="1">
      <alignment horizontal="right"/>
      <protection hidden="1"/>
    </xf>
    <xf numFmtId="0" fontId="11" fillId="2" borderId="8" xfId="0" applyFont="1" applyFill="1" applyBorder="1" applyAlignment="1" applyProtection="1">
      <alignment horizontal="left" vertical="top"/>
      <protection hidden="1"/>
    </xf>
    <xf numFmtId="2" fontId="11" fillId="2" borderId="0" xfId="0" applyNumberFormat="1" applyFont="1" applyFill="1" applyAlignment="1" applyProtection="1">
      <alignment horizontal="right" vertical="top" wrapText="1"/>
      <protection hidden="1"/>
    </xf>
    <xf numFmtId="2" fontId="11" fillId="2" borderId="4" xfId="0" applyNumberFormat="1" applyFont="1" applyFill="1" applyBorder="1" applyAlignment="1" applyProtection="1">
      <alignment horizontal="right" vertical="top" wrapText="1"/>
      <protection hidden="1"/>
    </xf>
    <xf numFmtId="0" fontId="11" fillId="2" borderId="23" xfId="0" applyFont="1" applyFill="1" applyBorder="1" applyAlignment="1" applyProtection="1">
      <alignment horizontal="left" vertical="top"/>
      <protection hidden="1"/>
    </xf>
    <xf numFmtId="0" fontId="11" fillId="2" borderId="9" xfId="0" applyFont="1" applyFill="1" applyBorder="1" applyAlignment="1" applyProtection="1">
      <alignment horizontal="right" vertical="top" wrapText="1"/>
      <protection hidden="1"/>
    </xf>
    <xf numFmtId="0" fontId="11" fillId="2" borderId="10" xfId="0" applyFont="1" applyFill="1" applyBorder="1" applyAlignment="1" applyProtection="1">
      <alignment horizontal="right" vertical="top" wrapText="1"/>
      <protection hidden="1"/>
    </xf>
    <xf numFmtId="0" fontId="20" fillId="2" borderId="9" xfId="0" applyFont="1" applyFill="1" applyBorder="1" applyProtection="1">
      <protection hidden="1"/>
    </xf>
    <xf numFmtId="0" fontId="6" fillId="2" borderId="8" xfId="6" applyFont="1" applyFill="1" applyBorder="1" applyAlignment="1" applyProtection="1">
      <alignment horizontal="left"/>
      <protection hidden="1"/>
    </xf>
    <xf numFmtId="0" fontId="12" fillId="2" borderId="9" xfId="6" applyFont="1" applyFill="1" applyBorder="1" applyProtection="1">
      <protection hidden="1"/>
    </xf>
    <xf numFmtId="0" fontId="15" fillId="2" borderId="9" xfId="6" applyFont="1" applyFill="1" applyBorder="1" applyAlignment="1" applyProtection="1">
      <alignment horizontal="right"/>
      <protection hidden="1"/>
    </xf>
    <xf numFmtId="0" fontId="16" fillId="2" borderId="4" xfId="0" applyFont="1" applyFill="1" applyBorder="1" applyProtection="1">
      <protection hidden="1"/>
    </xf>
    <xf numFmtId="0" fontId="11" fillId="2" borderId="8" xfId="6" applyFont="1" applyFill="1" applyBorder="1"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12" fillId="2" borderId="8" xfId="6" applyFont="1" applyFill="1" applyBorder="1" applyAlignment="1" applyProtection="1">
      <alignment horizontal="left"/>
      <protection hidden="1"/>
    </xf>
    <xf numFmtId="166" fontId="12" fillId="2" borderId="0" xfId="6" applyNumberFormat="1" applyFont="1" applyFill="1" applyAlignment="1" applyProtection="1">
      <alignment horizontal="right"/>
      <protection hidden="1"/>
    </xf>
    <xf numFmtId="166" fontId="12" fillId="2" borderId="9" xfId="6" applyNumberFormat="1" applyFont="1" applyFill="1" applyBorder="1" applyAlignment="1" applyProtection="1">
      <alignment horizontal="right"/>
      <protection hidden="1"/>
    </xf>
    <xf numFmtId="166" fontId="15" fillId="2" borderId="9" xfId="6" applyNumberFormat="1" applyFont="1" applyFill="1" applyBorder="1" applyAlignment="1" applyProtection="1">
      <alignment horizontal="right"/>
      <protection hidden="1"/>
    </xf>
    <xf numFmtId="0" fontId="11" fillId="2" borderId="8" xfId="6" applyFont="1" applyFill="1" applyBorder="1" applyAlignment="1" applyProtection="1">
      <alignment horizontal="left"/>
      <protection hidden="1"/>
    </xf>
    <xf numFmtId="166" fontId="15" fillId="2" borderId="0" xfId="6" applyNumberFormat="1" applyFont="1" applyFill="1" applyAlignment="1" applyProtection="1">
      <alignment horizontal="right"/>
      <protection hidden="1"/>
    </xf>
    <xf numFmtId="3" fontId="15" fillId="2" borderId="4" xfId="6" applyNumberFormat="1" applyFont="1" applyFill="1" applyBorder="1" applyAlignment="1" applyProtection="1">
      <alignment horizontal="right"/>
      <protection hidden="1"/>
    </xf>
    <xf numFmtId="0" fontId="20" fillId="2" borderId="0" xfId="0" applyFont="1" applyFill="1" applyProtection="1">
      <protection hidden="1"/>
    </xf>
    <xf numFmtId="0" fontId="28" fillId="4" borderId="6" xfId="0" applyFont="1" applyFill="1" applyBorder="1" applyAlignment="1" applyProtection="1">
      <alignment vertical="top"/>
      <protection hidden="1"/>
    </xf>
    <xf numFmtId="0" fontId="11" fillId="2" borderId="8" xfId="0" applyFont="1" applyFill="1" applyBorder="1" applyAlignment="1" applyProtection="1">
      <alignment horizontal="left"/>
      <protection hidden="1"/>
    </xf>
    <xf numFmtId="0" fontId="6" fillId="2" borderId="8" xfId="6" applyFont="1" applyFill="1" applyBorder="1" applyAlignment="1" applyProtection="1">
      <alignment vertical="top"/>
      <protection hidden="1"/>
    </xf>
    <xf numFmtId="0" fontId="11" fillId="2" borderId="23" xfId="6" applyFont="1" applyFill="1" applyBorder="1" applyAlignment="1" applyProtection="1">
      <alignment horizontal="left"/>
      <protection hidden="1"/>
    </xf>
    <xf numFmtId="166" fontId="12" fillId="2" borderId="6" xfId="6" applyNumberFormat="1" applyFont="1" applyFill="1" applyBorder="1" applyAlignment="1" applyProtection="1">
      <alignment horizontal="right"/>
      <protection hidden="1"/>
    </xf>
    <xf numFmtId="0" fontId="0" fillId="2" borderId="8" xfId="0" applyFill="1" applyBorder="1" applyAlignment="1" applyProtection="1">
      <alignment vertical="top"/>
      <protection hidden="1"/>
    </xf>
    <xf numFmtId="0" fontId="0" fillId="2" borderId="4" xfId="0" applyFill="1" applyBorder="1" applyAlignment="1" applyProtection="1">
      <alignment vertical="top"/>
      <protection hidden="1"/>
    </xf>
    <xf numFmtId="0" fontId="20" fillId="2" borderId="23" xfId="0" applyFont="1" applyFill="1" applyBorder="1" applyAlignment="1" applyProtection="1">
      <alignment vertical="top"/>
      <protection hidden="1"/>
    </xf>
    <xf numFmtId="0" fontId="0" fillId="2" borderId="10" xfId="0" applyFill="1" applyBorder="1" applyAlignment="1" applyProtection="1">
      <alignment vertical="top"/>
      <protection hidden="1"/>
    </xf>
    <xf numFmtId="0" fontId="12" fillId="2" borderId="0" xfId="0" applyFont="1" applyFill="1" applyAlignment="1" applyProtection="1">
      <alignment horizontal="left"/>
      <protection hidden="1"/>
    </xf>
    <xf numFmtId="0" fontId="12" fillId="2" borderId="0" xfId="0" applyFont="1" applyFill="1" applyAlignment="1" applyProtection="1">
      <alignment wrapText="1"/>
      <protection hidden="1"/>
    </xf>
    <xf numFmtId="165" fontId="0" fillId="0" borderId="0" xfId="0" applyNumberFormat="1"/>
    <xf numFmtId="0" fontId="4" fillId="8" borderId="0" xfId="0" applyFont="1" applyFill="1"/>
    <xf numFmtId="1" fontId="0" fillId="0" borderId="0" xfId="0" applyNumberFormat="1"/>
    <xf numFmtId="0" fontId="0" fillId="9" borderId="0" xfId="0" applyFill="1" applyAlignment="1">
      <alignment horizontal="right"/>
    </xf>
    <xf numFmtId="0" fontId="0" fillId="0" borderId="0" xfId="0" applyAlignment="1">
      <alignment vertical="top" wrapText="1"/>
    </xf>
    <xf numFmtId="0" fontId="0" fillId="10" borderId="0" xfId="0" applyFill="1" applyAlignment="1">
      <alignment vertical="top" wrapText="1"/>
    </xf>
    <xf numFmtId="0" fontId="0" fillId="11" borderId="0" xfId="0" applyFill="1" applyAlignment="1">
      <alignment vertical="top" wrapText="1"/>
    </xf>
    <xf numFmtId="165" fontId="0" fillId="12" borderId="0" xfId="0" applyNumberFormat="1" applyFill="1" applyAlignment="1">
      <alignment vertical="top" wrapText="1"/>
    </xf>
    <xf numFmtId="0" fontId="0" fillId="13" borderId="0" xfId="0" applyFill="1" applyAlignment="1">
      <alignment vertical="top" wrapText="1"/>
    </xf>
    <xf numFmtId="0" fontId="0" fillId="14" borderId="0" xfId="0" applyFill="1" applyAlignment="1">
      <alignment vertical="top" wrapText="1"/>
    </xf>
    <xf numFmtId="1" fontId="0" fillId="14" borderId="0" xfId="0" applyNumberFormat="1" applyFill="1" applyAlignment="1">
      <alignment vertical="top" wrapText="1"/>
    </xf>
    <xf numFmtId="0" fontId="0" fillId="15" borderId="0" xfId="0" applyFill="1" applyAlignment="1">
      <alignment vertical="top" wrapText="1"/>
    </xf>
    <xf numFmtId="0" fontId="0" fillId="16" borderId="0" xfId="0" applyFill="1" applyAlignment="1">
      <alignment vertical="top" wrapText="1"/>
    </xf>
    <xf numFmtId="1" fontId="0" fillId="16" borderId="0" xfId="0" applyNumberFormat="1" applyFill="1" applyAlignment="1">
      <alignment vertical="top" wrapText="1"/>
    </xf>
    <xf numFmtId="0" fontId="0" fillId="17" borderId="0" xfId="0" applyFill="1" applyAlignment="1">
      <alignment vertical="top" wrapText="1"/>
    </xf>
    <xf numFmtId="1" fontId="0" fillId="17" borderId="0" xfId="0" applyNumberFormat="1" applyFill="1" applyAlignment="1">
      <alignment vertical="top" wrapText="1"/>
    </xf>
    <xf numFmtId="0" fontId="0" fillId="18" borderId="0" xfId="0" applyFill="1" applyAlignment="1">
      <alignment vertical="top" wrapText="1"/>
    </xf>
    <xf numFmtId="1" fontId="0" fillId="18" borderId="0" xfId="0" applyNumberFormat="1" applyFill="1" applyAlignment="1">
      <alignment vertical="top" wrapText="1"/>
    </xf>
    <xf numFmtId="0" fontId="0" fillId="19" borderId="0" xfId="0" applyFill="1" applyAlignment="1">
      <alignment vertical="top" wrapText="1"/>
    </xf>
    <xf numFmtId="1" fontId="0" fillId="19" borderId="0" xfId="0" applyNumberFormat="1" applyFill="1" applyAlignment="1">
      <alignment vertical="top" wrapText="1"/>
    </xf>
    <xf numFmtId="0" fontId="0" fillId="20" borderId="0" xfId="0" applyFill="1" applyAlignment="1">
      <alignment vertical="top" wrapText="1"/>
    </xf>
    <xf numFmtId="1" fontId="0" fillId="20" borderId="0" xfId="0" applyNumberFormat="1" applyFill="1" applyAlignment="1">
      <alignment vertical="top" wrapText="1"/>
    </xf>
    <xf numFmtId="0" fontId="0" fillId="21" borderId="0" xfId="0" applyFill="1" applyAlignment="1">
      <alignment vertical="top" wrapText="1"/>
    </xf>
    <xf numFmtId="1" fontId="0" fillId="21" borderId="0" xfId="0" applyNumberFormat="1" applyFill="1" applyAlignment="1">
      <alignment vertical="top" wrapText="1"/>
    </xf>
    <xf numFmtId="165" fontId="0" fillId="22" borderId="0" xfId="0" applyNumberFormat="1" applyFill="1" applyAlignment="1">
      <alignment vertical="top" wrapText="1"/>
    </xf>
    <xf numFmtId="0" fontId="0" fillId="22" borderId="0" xfId="0" applyFill="1" applyAlignment="1">
      <alignment vertical="top" wrapText="1"/>
    </xf>
    <xf numFmtId="0" fontId="21" fillId="0" borderId="0" xfId="0" applyFont="1"/>
    <xf numFmtId="0" fontId="0" fillId="9" borderId="0" xfId="0" applyFill="1" applyAlignment="1">
      <alignment vertical="top"/>
    </xf>
    <xf numFmtId="0" fontId="0" fillId="18" borderId="0" xfId="0" applyFill="1" applyAlignment="1">
      <alignment vertical="top"/>
    </xf>
    <xf numFmtId="44" fontId="0" fillId="23" borderId="0" xfId="2" applyFont="1" applyFill="1" applyAlignment="1">
      <alignment horizontal="right"/>
    </xf>
    <xf numFmtId="0" fontId="0" fillId="19" borderId="0" xfId="0" applyFill="1" applyAlignment="1">
      <alignment vertical="top"/>
    </xf>
    <xf numFmtId="0" fontId="0" fillId="20" borderId="0" xfId="0" applyFill="1" applyAlignment="1">
      <alignment vertical="top"/>
    </xf>
    <xf numFmtId="0" fontId="0" fillId="21" borderId="0" xfId="0" applyFill="1" applyAlignment="1">
      <alignment vertical="top"/>
    </xf>
    <xf numFmtId="0" fontId="11" fillId="2" borderId="0" xfId="0" applyFont="1" applyFill="1"/>
    <xf numFmtId="0" fontId="0" fillId="2" borderId="0" xfId="0" applyFill="1"/>
    <xf numFmtId="0" fontId="10" fillId="2" borderId="0" xfId="0" applyFont="1" applyFill="1" applyProtection="1">
      <protection hidden="1"/>
    </xf>
    <xf numFmtId="0" fontId="11" fillId="8" borderId="42" xfId="0" applyFont="1" applyFill="1" applyBorder="1"/>
    <xf numFmtId="0" fontId="0" fillId="0" borderId="0" xfId="0" applyAlignment="1">
      <alignment horizontal="left"/>
    </xf>
    <xf numFmtId="0" fontId="0" fillId="0" borderId="0" xfId="0" applyAlignment="1">
      <alignment wrapText="1"/>
    </xf>
    <xf numFmtId="0" fontId="16" fillId="2" borderId="0" xfId="0" applyFont="1" applyFill="1" applyProtection="1">
      <protection hidden="1"/>
    </xf>
    <xf numFmtId="0" fontId="16" fillId="2" borderId="0" xfId="0" applyFont="1" applyFill="1"/>
    <xf numFmtId="0" fontId="16" fillId="2" borderId="0" xfId="0" applyFont="1" applyFill="1" applyProtection="1">
      <protection locked="0" hidden="1"/>
    </xf>
    <xf numFmtId="0" fontId="16" fillId="7" borderId="11" xfId="0" applyFont="1" applyFill="1" applyBorder="1" applyAlignment="1" applyProtection="1">
      <alignment vertical="center" wrapText="1"/>
      <protection hidden="1"/>
    </xf>
    <xf numFmtId="0" fontId="16" fillId="2" borderId="23" xfId="0" applyFont="1" applyFill="1" applyBorder="1" applyAlignment="1" applyProtection="1">
      <alignment wrapText="1"/>
      <protection hidden="1"/>
    </xf>
    <xf numFmtId="3" fontId="16" fillId="2" borderId="21" xfId="0" applyNumberFormat="1" applyFont="1" applyFill="1" applyBorder="1" applyAlignment="1" applyProtection="1">
      <alignment horizontal="right"/>
      <protection hidden="1"/>
    </xf>
    <xf numFmtId="0" fontId="16" fillId="6" borderId="5" xfId="0" applyFont="1" applyFill="1" applyBorder="1" applyAlignment="1" applyProtection="1">
      <alignment horizontal="center"/>
      <protection hidden="1"/>
    </xf>
    <xf numFmtId="0" fontId="16" fillId="24" borderId="8" xfId="0" applyFont="1" applyFill="1" applyBorder="1" applyAlignment="1" applyProtection="1">
      <alignment horizontal="center"/>
      <protection hidden="1"/>
    </xf>
    <xf numFmtId="0" fontId="16" fillId="24" borderId="4" xfId="0" applyFont="1" applyFill="1" applyBorder="1" applyAlignment="1" applyProtection="1">
      <alignment horizontal="center"/>
      <protection hidden="1"/>
    </xf>
    <xf numFmtId="0" fontId="16" fillId="25" borderId="0" xfId="0" applyFont="1" applyFill="1" applyAlignment="1" applyProtection="1">
      <alignment horizontal="center"/>
      <protection hidden="1"/>
    </xf>
    <xf numFmtId="0" fontId="16" fillId="12" borderId="0" xfId="0" applyFont="1" applyFill="1" applyProtection="1">
      <protection hidden="1"/>
    </xf>
    <xf numFmtId="0" fontId="16" fillId="12" borderId="5" xfId="0" applyFont="1" applyFill="1" applyBorder="1" applyAlignment="1" applyProtection="1">
      <alignment wrapText="1"/>
      <protection hidden="1"/>
    </xf>
    <xf numFmtId="0" fontId="16" fillId="12" borderId="6" xfId="0" applyFont="1" applyFill="1" applyBorder="1" applyAlignment="1" applyProtection="1">
      <alignment wrapText="1"/>
      <protection hidden="1"/>
    </xf>
    <xf numFmtId="0" fontId="16" fillId="12" borderId="7" xfId="0" applyFont="1" applyFill="1" applyBorder="1" applyAlignment="1" applyProtection="1">
      <alignment wrapText="1"/>
      <protection hidden="1"/>
    </xf>
    <xf numFmtId="0" fontId="16" fillId="19" borderId="8" xfId="0" applyFont="1" applyFill="1" applyBorder="1" applyProtection="1">
      <protection hidden="1"/>
    </xf>
    <xf numFmtId="0" fontId="16" fillId="19" borderId="0" xfId="0" applyFont="1" applyFill="1" applyProtection="1">
      <protection hidden="1"/>
    </xf>
    <xf numFmtId="0" fontId="16" fillId="19" borderId="4" xfId="0" applyFont="1" applyFill="1" applyBorder="1" applyProtection="1">
      <protection hidden="1"/>
    </xf>
    <xf numFmtId="0" fontId="16" fillId="29" borderId="5" xfId="0" applyFont="1" applyFill="1" applyBorder="1" applyProtection="1">
      <protection hidden="1"/>
    </xf>
    <xf numFmtId="0" fontId="16" fillId="29" borderId="6" xfId="0" applyFont="1" applyFill="1" applyBorder="1" applyProtection="1">
      <protection hidden="1"/>
    </xf>
    <xf numFmtId="0" fontId="16" fillId="29" borderId="7" xfId="0" applyFont="1" applyFill="1" applyBorder="1" applyProtection="1">
      <protection hidden="1"/>
    </xf>
    <xf numFmtId="0" fontId="16" fillId="14" borderId="5" xfId="0" applyFont="1" applyFill="1" applyBorder="1" applyProtection="1">
      <protection hidden="1"/>
    </xf>
    <xf numFmtId="0" fontId="16" fillId="14" borderId="6" xfId="0" applyFont="1" applyFill="1" applyBorder="1" applyProtection="1">
      <protection hidden="1"/>
    </xf>
    <xf numFmtId="0" fontId="16" fillId="14" borderId="7" xfId="0" applyFont="1" applyFill="1" applyBorder="1" applyProtection="1">
      <protection hidden="1"/>
    </xf>
    <xf numFmtId="0" fontId="16" fillId="3" borderId="13" xfId="0" applyFont="1" applyFill="1" applyBorder="1" applyAlignment="1" applyProtection="1">
      <alignment vertical="center" wrapText="1"/>
      <protection hidden="1"/>
    </xf>
    <xf numFmtId="0" fontId="16" fillId="6" borderId="8" xfId="0" applyFont="1" applyFill="1" applyBorder="1" applyProtection="1">
      <protection hidden="1"/>
    </xf>
    <xf numFmtId="0" fontId="16" fillId="24" borderId="8" xfId="0" applyFont="1" applyFill="1" applyBorder="1" applyProtection="1">
      <protection hidden="1"/>
    </xf>
    <xf numFmtId="168" fontId="16" fillId="25" borderId="0" xfId="0" applyNumberFormat="1" applyFont="1" applyFill="1" applyAlignment="1" applyProtection="1">
      <alignment horizontal="center"/>
      <protection hidden="1"/>
    </xf>
    <xf numFmtId="0" fontId="16" fillId="12" borderId="8" xfId="0" applyFont="1" applyFill="1" applyBorder="1" applyProtection="1">
      <protection hidden="1"/>
    </xf>
    <xf numFmtId="167" fontId="16" fillId="12" borderId="4" xfId="0" applyNumberFormat="1" applyFont="1" applyFill="1" applyBorder="1" applyProtection="1">
      <protection hidden="1"/>
    </xf>
    <xf numFmtId="167" fontId="16" fillId="19" borderId="4" xfId="0" applyNumberFormat="1" applyFont="1" applyFill="1" applyBorder="1" applyProtection="1">
      <protection hidden="1"/>
    </xf>
    <xf numFmtId="0" fontId="16" fillId="29" borderId="8" xfId="0" applyFont="1" applyFill="1" applyBorder="1" applyProtection="1">
      <protection hidden="1"/>
    </xf>
    <xf numFmtId="0" fontId="16" fillId="29" borderId="0" xfId="0" applyFont="1" applyFill="1" applyProtection="1">
      <protection hidden="1"/>
    </xf>
    <xf numFmtId="167" fontId="16" fillId="29" borderId="4" xfId="0" applyNumberFormat="1" applyFont="1" applyFill="1" applyBorder="1" applyProtection="1">
      <protection hidden="1"/>
    </xf>
    <xf numFmtId="0" fontId="16" fillId="29" borderId="4" xfId="0" applyFont="1" applyFill="1" applyBorder="1" applyProtection="1">
      <protection hidden="1"/>
    </xf>
    <xf numFmtId="0" fontId="16" fillId="14" borderId="8" xfId="0" applyFont="1" applyFill="1" applyBorder="1" applyProtection="1">
      <protection hidden="1"/>
    </xf>
    <xf numFmtId="0" fontId="16" fillId="14" borderId="0" xfId="0" applyFont="1" applyFill="1" applyProtection="1">
      <protection hidden="1"/>
    </xf>
    <xf numFmtId="167" fontId="16" fillId="14" borderId="4" xfId="0" applyNumberFormat="1" applyFont="1" applyFill="1" applyBorder="1" applyProtection="1">
      <protection hidden="1"/>
    </xf>
    <xf numFmtId="0" fontId="16" fillId="14" borderId="4" xfId="0" applyFont="1" applyFill="1" applyBorder="1" applyProtection="1">
      <protection hidden="1"/>
    </xf>
    <xf numFmtId="0" fontId="16" fillId="3" borderId="40" xfId="0" applyFont="1" applyFill="1" applyBorder="1" applyAlignment="1" applyProtection="1">
      <alignment vertical="center" wrapText="1"/>
      <protection hidden="1"/>
    </xf>
    <xf numFmtId="167" fontId="16" fillId="2" borderId="0" xfId="0" applyNumberFormat="1" applyFont="1" applyFill="1" applyAlignment="1" applyProtection="1">
      <alignment horizontal="right"/>
      <protection hidden="1"/>
    </xf>
    <xf numFmtId="167" fontId="16" fillId="2" borderId="0" xfId="0" applyNumberFormat="1" applyFont="1" applyFill="1" applyAlignment="1" applyProtection="1">
      <alignment horizontal="left"/>
      <protection hidden="1"/>
    </xf>
    <xf numFmtId="168" fontId="16" fillId="2" borderId="0" xfId="0" applyNumberFormat="1" applyFont="1" applyFill="1" applyAlignment="1" applyProtection="1">
      <alignment horizontal="right"/>
      <protection hidden="1"/>
    </xf>
    <xf numFmtId="165" fontId="16" fillId="2" borderId="0" xfId="3" applyNumberFormat="1" applyFont="1" applyFill="1" applyBorder="1" applyAlignment="1" applyProtection="1">
      <alignment horizontal="right"/>
      <protection hidden="1"/>
    </xf>
    <xf numFmtId="0" fontId="16" fillId="24" borderId="5" xfId="0" applyFont="1" applyFill="1" applyBorder="1" applyProtection="1">
      <protection hidden="1"/>
    </xf>
    <xf numFmtId="167" fontId="16" fillId="24" borderId="6" xfId="0" applyNumberFormat="1" applyFont="1" applyFill="1" applyBorder="1" applyAlignment="1" applyProtection="1">
      <alignment horizontal="center"/>
      <protection hidden="1"/>
    </xf>
    <xf numFmtId="165" fontId="16" fillId="25" borderId="6" xfId="3" applyNumberFormat="1" applyFont="1" applyFill="1" applyBorder="1" applyAlignment="1" applyProtection="1">
      <alignment horizontal="center"/>
      <protection hidden="1"/>
    </xf>
    <xf numFmtId="0" fontId="16" fillId="25" borderId="7" xfId="0" applyFont="1" applyFill="1" applyBorder="1" applyAlignment="1" applyProtection="1">
      <alignment horizontal="center"/>
      <protection hidden="1"/>
    </xf>
    <xf numFmtId="165" fontId="16" fillId="25" borderId="0" xfId="3" applyNumberFormat="1" applyFont="1" applyFill="1" applyBorder="1" applyAlignment="1" applyProtection="1">
      <alignment horizontal="center"/>
      <protection hidden="1"/>
    </xf>
    <xf numFmtId="165" fontId="16" fillId="12" borderId="8" xfId="0" applyNumberFormat="1" applyFont="1" applyFill="1" applyBorder="1" applyProtection="1">
      <protection hidden="1"/>
    </xf>
    <xf numFmtId="165" fontId="16" fillId="12" borderId="0" xfId="3" applyNumberFormat="1" applyFont="1" applyFill="1" applyBorder="1" applyProtection="1">
      <protection hidden="1"/>
    </xf>
    <xf numFmtId="0" fontId="16" fillId="12" borderId="5" xfId="3" applyNumberFormat="1" applyFont="1" applyFill="1" applyBorder="1" applyProtection="1">
      <protection hidden="1"/>
    </xf>
    <xf numFmtId="165" fontId="16" fillId="12" borderId="6" xfId="0" applyNumberFormat="1" applyFont="1" applyFill="1" applyBorder="1" applyProtection="1">
      <protection hidden="1"/>
    </xf>
    <xf numFmtId="165" fontId="16" fillId="12" borderId="6" xfId="3" applyNumberFormat="1" applyFont="1" applyFill="1" applyBorder="1" applyProtection="1">
      <protection hidden="1"/>
    </xf>
    <xf numFmtId="0" fontId="16" fillId="12" borderId="7" xfId="3" applyNumberFormat="1" applyFont="1" applyFill="1" applyBorder="1" applyProtection="1">
      <protection hidden="1"/>
    </xf>
    <xf numFmtId="0" fontId="16" fillId="19" borderId="0" xfId="3" applyNumberFormat="1" applyFont="1" applyFill="1" applyBorder="1" applyProtection="1">
      <protection hidden="1"/>
    </xf>
    <xf numFmtId="165" fontId="16" fillId="19" borderId="0" xfId="0" applyNumberFormat="1" applyFont="1" applyFill="1" applyProtection="1">
      <protection hidden="1"/>
    </xf>
    <xf numFmtId="165" fontId="16" fillId="19" borderId="0" xfId="3" applyNumberFormat="1" applyFont="1" applyFill="1" applyBorder="1" applyProtection="1">
      <protection hidden="1"/>
    </xf>
    <xf numFmtId="0" fontId="16" fillId="19" borderId="4" xfId="3" applyNumberFormat="1" applyFont="1" applyFill="1" applyBorder="1" applyProtection="1">
      <protection hidden="1"/>
    </xf>
    <xf numFmtId="0" fontId="16" fillId="29" borderId="8" xfId="3" applyNumberFormat="1" applyFont="1" applyFill="1" applyBorder="1" applyProtection="1">
      <protection hidden="1"/>
    </xf>
    <xf numFmtId="165" fontId="16" fillId="29" borderId="0" xfId="0" applyNumberFormat="1" applyFont="1" applyFill="1" applyProtection="1">
      <protection hidden="1"/>
    </xf>
    <xf numFmtId="165" fontId="16" fillId="29" borderId="0" xfId="3" applyNumberFormat="1" applyFont="1" applyFill="1" applyBorder="1" applyProtection="1">
      <protection hidden="1"/>
    </xf>
    <xf numFmtId="165" fontId="16" fillId="14" borderId="0" xfId="0" applyNumberFormat="1" applyFont="1" applyFill="1" applyProtection="1">
      <protection hidden="1"/>
    </xf>
    <xf numFmtId="1" fontId="16" fillId="14" borderId="4" xfId="3" applyNumberFormat="1" applyFont="1" applyFill="1" applyBorder="1" applyProtection="1">
      <protection hidden="1"/>
    </xf>
    <xf numFmtId="1" fontId="16" fillId="14" borderId="8" xfId="3" applyNumberFormat="1" applyFont="1" applyFill="1" applyBorder="1" applyProtection="1">
      <protection hidden="1"/>
    </xf>
    <xf numFmtId="165" fontId="16" fillId="14" borderId="0" xfId="3" applyNumberFormat="1" applyFont="1" applyFill="1" applyBorder="1" applyProtection="1">
      <protection hidden="1"/>
    </xf>
    <xf numFmtId="1" fontId="16" fillId="7" borderId="0" xfId="3" applyNumberFormat="1" applyFont="1" applyFill="1" applyBorder="1" applyProtection="1">
      <protection hidden="1"/>
    </xf>
    <xf numFmtId="0" fontId="16" fillId="2" borderId="0" xfId="0" applyFont="1" applyFill="1" applyAlignment="1" applyProtection="1">
      <alignment horizontal="left"/>
      <protection hidden="1"/>
    </xf>
    <xf numFmtId="0" fontId="16" fillId="12" borderId="8" xfId="3" applyNumberFormat="1" applyFont="1" applyFill="1" applyBorder="1" applyProtection="1">
      <protection hidden="1"/>
    </xf>
    <xf numFmtId="165" fontId="16" fillId="12" borderId="0" xfId="0" applyNumberFormat="1" applyFont="1" applyFill="1" applyProtection="1">
      <protection hidden="1"/>
    </xf>
    <xf numFmtId="0" fontId="16" fillId="24" borderId="23" xfId="0" applyFont="1" applyFill="1" applyBorder="1" applyProtection="1">
      <protection hidden="1"/>
    </xf>
    <xf numFmtId="165" fontId="16" fillId="25" borderId="9" xfId="3" applyNumberFormat="1" applyFont="1" applyFill="1" applyBorder="1" applyAlignment="1" applyProtection="1">
      <alignment horizontal="center"/>
      <protection hidden="1"/>
    </xf>
    <xf numFmtId="0" fontId="16" fillId="12" borderId="23" xfId="3" applyNumberFormat="1" applyFont="1" applyFill="1" applyBorder="1" applyProtection="1">
      <protection hidden="1"/>
    </xf>
    <xf numFmtId="165" fontId="16" fillId="12" borderId="9" xfId="0" applyNumberFormat="1" applyFont="1" applyFill="1" applyBorder="1" applyProtection="1">
      <protection hidden="1"/>
    </xf>
    <xf numFmtId="165" fontId="16" fillId="12" borderId="9" xfId="3" applyNumberFormat="1" applyFont="1" applyFill="1" applyBorder="1" applyProtection="1">
      <protection hidden="1"/>
    </xf>
    <xf numFmtId="167" fontId="16" fillId="2" borderId="0" xfId="0" applyNumberFormat="1" applyFont="1" applyFill="1" applyAlignment="1">
      <alignment horizontal="left"/>
    </xf>
    <xf numFmtId="0" fontId="16" fillId="2" borderId="0" xfId="0" applyFont="1" applyFill="1" applyAlignment="1">
      <alignment horizontal="left"/>
    </xf>
    <xf numFmtId="167" fontId="16" fillId="2" borderId="0" xfId="0" applyNumberFormat="1" applyFont="1" applyFill="1" applyAlignment="1">
      <alignment horizontal="right"/>
    </xf>
    <xf numFmtId="168" fontId="16" fillId="2" borderId="0" xfId="0" applyNumberFormat="1" applyFont="1" applyFill="1" applyAlignment="1">
      <alignment horizontal="right"/>
    </xf>
    <xf numFmtId="165" fontId="16" fillId="2" borderId="0" xfId="3" applyNumberFormat="1" applyFont="1" applyFill="1" applyBorder="1" applyAlignment="1">
      <alignment horizontal="right"/>
    </xf>
    <xf numFmtId="0" fontId="16" fillId="6" borderId="23" xfId="0" applyFont="1" applyFill="1" applyBorder="1" applyProtection="1">
      <protection hidden="1"/>
    </xf>
    <xf numFmtId="0" fontId="16" fillId="19" borderId="8" xfId="3" applyNumberFormat="1" applyFont="1" applyFill="1" applyBorder="1" applyProtection="1">
      <protection hidden="1"/>
    </xf>
    <xf numFmtId="0" fontId="16" fillId="32" borderId="20" xfId="0" applyFont="1" applyFill="1" applyBorder="1" applyProtection="1">
      <protection hidden="1"/>
    </xf>
    <xf numFmtId="0" fontId="11" fillId="32" borderId="21" xfId="0" applyFont="1" applyFill="1" applyBorder="1" applyProtection="1">
      <protection hidden="1"/>
    </xf>
    <xf numFmtId="0" fontId="16" fillId="32" borderId="21" xfId="0" applyFont="1" applyFill="1" applyBorder="1" applyProtection="1">
      <protection hidden="1"/>
    </xf>
    <xf numFmtId="167" fontId="11" fillId="32" borderId="41" xfId="0" applyNumberFormat="1" applyFont="1" applyFill="1" applyBorder="1" applyProtection="1">
      <protection hidden="1"/>
    </xf>
    <xf numFmtId="9" fontId="11" fillId="32" borderId="41" xfId="0" applyNumberFormat="1" applyFont="1" applyFill="1" applyBorder="1" applyProtection="1">
      <protection hidden="1"/>
    </xf>
    <xf numFmtId="9" fontId="15" fillId="32" borderId="41" xfId="0" applyNumberFormat="1" applyFont="1" applyFill="1" applyBorder="1" applyProtection="1">
      <protection hidden="1"/>
    </xf>
    <xf numFmtId="0" fontId="34" fillId="2" borderId="0" xfId="0" applyFont="1" applyFill="1" applyAlignment="1" applyProtection="1">
      <alignment horizontal="left" vertical="top"/>
      <protection hidden="1"/>
    </xf>
    <xf numFmtId="0" fontId="16" fillId="2" borderId="0" xfId="0" applyFont="1" applyFill="1" applyAlignment="1" applyProtection="1">
      <alignment vertical="top"/>
      <protection hidden="1"/>
    </xf>
    <xf numFmtId="0" fontId="16" fillId="2" borderId="0" xfId="0" applyFont="1" applyFill="1" applyAlignment="1" applyProtection="1">
      <alignment horizontal="left" vertical="top"/>
      <protection hidden="1"/>
    </xf>
    <xf numFmtId="0" fontId="16" fillId="2" borderId="11" xfId="0" applyFont="1" applyFill="1" applyBorder="1" applyAlignment="1" applyProtection="1">
      <alignment horizontal="left"/>
      <protection hidden="1"/>
    </xf>
    <xf numFmtId="0" fontId="16" fillId="2" borderId="9" xfId="0" applyFont="1" applyFill="1" applyBorder="1" applyAlignment="1" applyProtection="1">
      <alignment horizontal="left"/>
      <protection hidden="1"/>
    </xf>
    <xf numFmtId="0" fontId="16" fillId="2" borderId="9" xfId="0" applyFont="1" applyFill="1" applyBorder="1" applyProtection="1">
      <protection hidden="1"/>
    </xf>
    <xf numFmtId="3" fontId="16" fillId="2" borderId="10" xfId="0" applyNumberFormat="1" applyFont="1" applyFill="1" applyBorder="1" applyProtection="1">
      <protection hidden="1"/>
    </xf>
    <xf numFmtId="0" fontId="16" fillId="2" borderId="13" xfId="0" applyFont="1" applyFill="1" applyBorder="1" applyAlignment="1" applyProtection="1">
      <alignment horizontal="left"/>
      <protection hidden="1"/>
    </xf>
    <xf numFmtId="3" fontId="16" fillId="2" borderId="4" xfId="0" applyNumberFormat="1" applyFont="1" applyFill="1" applyBorder="1" applyProtection="1">
      <protection hidden="1"/>
    </xf>
    <xf numFmtId="0" fontId="16" fillId="2" borderId="15" xfId="0" applyFont="1" applyFill="1" applyBorder="1" applyProtection="1">
      <protection hidden="1"/>
    </xf>
    <xf numFmtId="0" fontId="16" fillId="2" borderId="16" xfId="0" applyFont="1" applyFill="1" applyBorder="1" applyProtection="1">
      <protection hidden="1"/>
    </xf>
    <xf numFmtId="0" fontId="16" fillId="2" borderId="18" xfId="0" applyFont="1" applyFill="1" applyBorder="1" applyProtection="1">
      <protection hidden="1"/>
    </xf>
    <xf numFmtId="0" fontId="16" fillId="2" borderId="19" xfId="0" applyFont="1" applyFill="1" applyBorder="1" applyProtection="1">
      <protection hidden="1"/>
    </xf>
    <xf numFmtId="0" fontId="16" fillId="2" borderId="20" xfId="0" applyFont="1" applyFill="1" applyBorder="1" applyAlignment="1" applyProtection="1">
      <alignment horizontal="left"/>
      <protection hidden="1"/>
    </xf>
    <xf numFmtId="0" fontId="16" fillId="2" borderId="21" xfId="0" applyFont="1" applyFill="1" applyBorder="1" applyProtection="1">
      <protection hidden="1"/>
    </xf>
    <xf numFmtId="0" fontId="16" fillId="2" borderId="24" xfId="0" applyFont="1" applyFill="1" applyBorder="1" applyProtection="1">
      <protection hidden="1"/>
    </xf>
    <xf numFmtId="0" fontId="16" fillId="2" borderId="25" xfId="0" applyFont="1" applyFill="1" applyBorder="1" applyProtection="1">
      <protection hidden="1"/>
    </xf>
    <xf numFmtId="3" fontId="16" fillId="2" borderId="0" xfId="0" applyNumberFormat="1" applyFont="1" applyFill="1" applyAlignment="1" applyProtection="1">
      <alignment horizontal="right"/>
      <protection hidden="1"/>
    </xf>
    <xf numFmtId="0" fontId="16" fillId="2" borderId="0" xfId="0" applyFont="1" applyFill="1" applyAlignment="1" applyProtection="1">
      <alignment horizontal="right"/>
      <protection hidden="1"/>
    </xf>
    <xf numFmtId="3" fontId="16" fillId="2" borderId="0" xfId="0" applyNumberFormat="1" applyFont="1" applyFill="1" applyProtection="1">
      <protection hidden="1"/>
    </xf>
    <xf numFmtId="0" fontId="16" fillId="2" borderId="6" xfId="0" applyFont="1" applyFill="1" applyBorder="1" applyProtection="1">
      <protection hidden="1"/>
    </xf>
    <xf numFmtId="0" fontId="16" fillId="2" borderId="0" xfId="0" applyFont="1" applyFill="1" applyAlignment="1" applyProtection="1">
      <alignment horizontal="right" vertical="top"/>
      <protection hidden="1"/>
    </xf>
    <xf numFmtId="0" fontId="16" fillId="2" borderId="8" xfId="0" applyFont="1" applyFill="1" applyBorder="1" applyAlignment="1" applyProtection="1">
      <alignment horizontal="left" indent="1"/>
      <protection hidden="1"/>
    </xf>
    <xf numFmtId="0" fontId="16" fillId="2" borderId="23" xfId="0" applyFont="1" applyFill="1" applyBorder="1" applyProtection="1">
      <protection hidden="1"/>
    </xf>
    <xf numFmtId="0" fontId="16" fillId="2" borderId="9" xfId="0" applyFont="1" applyFill="1" applyBorder="1" applyAlignment="1" applyProtection="1">
      <alignment vertical="top"/>
      <protection hidden="1"/>
    </xf>
    <xf numFmtId="0" fontId="16" fillId="2" borderId="8" xfId="0" applyFont="1" applyFill="1" applyBorder="1" applyProtection="1">
      <protection hidden="1"/>
    </xf>
    <xf numFmtId="0" fontId="16" fillId="2" borderId="5" xfId="0" applyFont="1" applyFill="1" applyBorder="1" applyAlignment="1" applyProtection="1">
      <alignment horizontal="left"/>
      <protection hidden="1"/>
    </xf>
    <xf numFmtId="0" fontId="16" fillId="2" borderId="8" xfId="0" applyFont="1" applyFill="1" applyBorder="1" applyAlignment="1" applyProtection="1">
      <alignment horizontal="left"/>
      <protection hidden="1"/>
    </xf>
    <xf numFmtId="3" fontId="16" fillId="2" borderId="9" xfId="0" applyNumberFormat="1" applyFont="1" applyFill="1" applyBorder="1" applyProtection="1">
      <protection hidden="1"/>
    </xf>
    <xf numFmtId="0" fontId="16" fillId="2" borderId="23" xfId="0" applyFont="1" applyFill="1" applyBorder="1" applyAlignment="1" applyProtection="1">
      <alignment horizontal="left"/>
      <protection hidden="1"/>
    </xf>
    <xf numFmtId="3" fontId="16" fillId="2" borderId="9" xfId="0" applyNumberFormat="1" applyFont="1" applyFill="1" applyBorder="1" applyAlignment="1" applyProtection="1">
      <alignment horizontal="right"/>
      <protection hidden="1"/>
    </xf>
    <xf numFmtId="3" fontId="16" fillId="2" borderId="4" xfId="0" applyNumberFormat="1" applyFont="1" applyFill="1" applyBorder="1" applyAlignment="1" applyProtection="1">
      <alignment horizontal="right"/>
      <protection hidden="1"/>
    </xf>
    <xf numFmtId="3" fontId="16" fillId="2" borderId="10" xfId="0" applyNumberFormat="1" applyFont="1" applyFill="1" applyBorder="1" applyAlignment="1" applyProtection="1">
      <alignment horizontal="right"/>
      <protection hidden="1"/>
    </xf>
    <xf numFmtId="0" fontId="16" fillId="2" borderId="29" xfId="0" applyFont="1" applyFill="1" applyBorder="1" applyAlignment="1" applyProtection="1">
      <alignment horizontal="left" indent="1"/>
      <protection hidden="1"/>
    </xf>
    <xf numFmtId="164" fontId="16" fillId="2" borderId="0" xfId="0" applyNumberFormat="1" applyFont="1" applyFill="1" applyProtection="1">
      <protection hidden="1"/>
    </xf>
    <xf numFmtId="164" fontId="16" fillId="2" borderId="6" xfId="0" applyNumberFormat="1" applyFont="1" applyFill="1" applyBorder="1" applyProtection="1">
      <protection hidden="1"/>
    </xf>
    <xf numFmtId="0" fontId="16" fillId="2" borderId="29" xfId="0" applyFont="1" applyFill="1" applyBorder="1" applyAlignment="1" applyProtection="1">
      <alignment horizontal="left"/>
      <protection hidden="1"/>
    </xf>
    <xf numFmtId="0" fontId="16" fillId="2" borderId="16" xfId="0" applyFont="1" applyFill="1" applyBorder="1" applyAlignment="1" applyProtection="1">
      <alignment horizontal="right"/>
      <protection hidden="1"/>
    </xf>
    <xf numFmtId="0" fontId="16" fillId="2" borderId="25" xfId="0" applyFont="1" applyFill="1" applyBorder="1" applyAlignment="1" applyProtection="1">
      <alignment horizontal="right"/>
      <protection hidden="1"/>
    </xf>
    <xf numFmtId="165" fontId="16" fillId="2" borderId="0" xfId="0" applyNumberFormat="1" applyFont="1" applyFill="1" applyProtection="1">
      <protection hidden="1"/>
    </xf>
    <xf numFmtId="165" fontId="16" fillId="2" borderId="30" xfId="0" applyNumberFormat="1" applyFont="1" applyFill="1" applyBorder="1" applyProtection="1">
      <protection hidden="1"/>
    </xf>
    <xf numFmtId="164" fontId="16" fillId="2" borderId="9" xfId="0" applyNumberFormat="1" applyFont="1" applyFill="1" applyBorder="1" applyProtection="1">
      <protection hidden="1"/>
    </xf>
    <xf numFmtId="165" fontId="16" fillId="2" borderId="9" xfId="0" applyNumberFormat="1" applyFont="1" applyFill="1" applyBorder="1" applyProtection="1">
      <protection hidden="1"/>
    </xf>
    <xf numFmtId="165" fontId="16" fillId="2" borderId="32" xfId="0" applyNumberFormat="1" applyFont="1" applyFill="1" applyBorder="1" applyProtection="1">
      <protection hidden="1"/>
    </xf>
    <xf numFmtId="166" fontId="16" fillId="2" borderId="6" xfId="0" applyNumberFormat="1" applyFont="1" applyFill="1" applyBorder="1" applyAlignment="1" applyProtection="1">
      <alignment horizontal="right"/>
      <protection hidden="1"/>
    </xf>
    <xf numFmtId="2" fontId="16" fillId="2" borderId="0" xfId="0" applyNumberFormat="1" applyFont="1" applyFill="1" applyProtection="1">
      <protection hidden="1"/>
    </xf>
    <xf numFmtId="166" fontId="16" fillId="2" borderId="0" xfId="0" applyNumberFormat="1" applyFont="1" applyFill="1" applyAlignment="1" applyProtection="1">
      <alignment horizontal="right"/>
      <protection hidden="1"/>
    </xf>
    <xf numFmtId="166" fontId="16" fillId="2" borderId="0" xfId="0" applyNumberFormat="1" applyFont="1" applyFill="1" applyProtection="1">
      <protection hidden="1"/>
    </xf>
    <xf numFmtId="166" fontId="16" fillId="2" borderId="9" xfId="0" applyNumberFormat="1" applyFont="1" applyFill="1" applyBorder="1" applyAlignment="1" applyProtection="1">
      <alignment horizontal="right"/>
      <protection hidden="1"/>
    </xf>
    <xf numFmtId="166" fontId="16" fillId="2" borderId="9" xfId="0" applyNumberFormat="1" applyFont="1" applyFill="1" applyBorder="1" applyProtection="1">
      <protection hidden="1"/>
    </xf>
    <xf numFmtId="0" fontId="16" fillId="0" borderId="0" xfId="0" applyFont="1"/>
    <xf numFmtId="0" fontId="15" fillId="3" borderId="44" xfId="4" applyFont="1" applyFill="1" applyBorder="1" applyProtection="1">
      <protection hidden="1"/>
    </xf>
    <xf numFmtId="0" fontId="36" fillId="2" borderId="0" xfId="0" applyFont="1" applyFill="1"/>
    <xf numFmtId="0" fontId="11" fillId="2" borderId="0" xfId="0" applyFont="1" applyFill="1" applyAlignment="1">
      <alignment horizontal="center"/>
    </xf>
    <xf numFmtId="0" fontId="13" fillId="2" borderId="0" xfId="0" applyFont="1" applyFill="1"/>
    <xf numFmtId="0" fontId="37" fillId="2" borderId="0" xfId="4" applyFont="1" applyFill="1" applyBorder="1" applyAlignment="1">
      <alignment horizontal="center" vertical="center" readingOrder="1"/>
    </xf>
    <xf numFmtId="0" fontId="38" fillId="2" borderId="0" xfId="0" applyFont="1" applyFill="1" applyAlignment="1">
      <alignment horizontal="center" vertical="center" readingOrder="1"/>
    </xf>
    <xf numFmtId="0" fontId="39" fillId="2" borderId="0" xfId="4" applyFont="1" applyFill="1" applyBorder="1" applyAlignment="1">
      <alignment horizontal="center" vertical="center" readingOrder="1"/>
    </xf>
    <xf numFmtId="0" fontId="40" fillId="2" borderId="0" xfId="0" applyFont="1" applyFill="1" applyAlignment="1">
      <alignment horizontal="center" vertical="center" readingOrder="1"/>
    </xf>
    <xf numFmtId="0" fontId="41" fillId="2" borderId="0" xfId="4" applyFont="1" applyFill="1" applyBorder="1" applyAlignment="1">
      <alignment horizontal="center" vertical="center" readingOrder="1"/>
    </xf>
    <xf numFmtId="0" fontId="42" fillId="2" borderId="0" xfId="0" applyFont="1" applyFill="1"/>
    <xf numFmtId="0" fontId="43" fillId="2" borderId="0" xfId="0" applyFont="1" applyFill="1" applyAlignment="1">
      <alignment horizontal="center"/>
    </xf>
    <xf numFmtId="0" fontId="44" fillId="2" borderId="0" xfId="0" applyFont="1" applyFill="1" applyAlignment="1">
      <alignment horizontal="center"/>
    </xf>
    <xf numFmtId="0" fontId="45" fillId="2" borderId="0" xfId="0" applyFont="1" applyFill="1" applyAlignment="1">
      <alignment horizontal="center"/>
    </xf>
    <xf numFmtId="0" fontId="0" fillId="2" borderId="0" xfId="0" applyFill="1" applyAlignment="1">
      <alignment horizontal="center"/>
    </xf>
    <xf numFmtId="0" fontId="46" fillId="2" borderId="0" xfId="0" applyFont="1" applyFill="1" applyAlignment="1">
      <alignment horizontal="left" vertical="center" readingOrder="1"/>
    </xf>
    <xf numFmtId="0" fontId="46" fillId="2" borderId="0" xfId="0" applyFont="1" applyFill="1" applyAlignment="1">
      <alignment horizontal="center"/>
    </xf>
    <xf numFmtId="0" fontId="13" fillId="2" borderId="0" xfId="0" applyFont="1" applyFill="1" applyAlignment="1">
      <alignment horizontal="center"/>
    </xf>
    <xf numFmtId="0" fontId="48" fillId="2" borderId="0" xfId="0" applyFont="1" applyFill="1"/>
    <xf numFmtId="0" fontId="0" fillId="2" borderId="0" xfId="0" applyFill="1" applyAlignment="1">
      <alignment wrapText="1"/>
    </xf>
    <xf numFmtId="0" fontId="48" fillId="2" borderId="0" xfId="0" applyFont="1" applyFill="1" applyAlignment="1">
      <alignment vertical="center"/>
    </xf>
    <xf numFmtId="0" fontId="49"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49" fillId="2" borderId="0" xfId="0" applyFont="1" applyFill="1"/>
    <xf numFmtId="0" fontId="52" fillId="2" borderId="0" xfId="4" applyFont="1" applyFill="1" applyAlignment="1">
      <alignment horizontal="left" vertical="center"/>
    </xf>
    <xf numFmtId="0" fontId="53" fillId="2" borderId="0" xfId="0" applyFont="1" applyFill="1" applyAlignment="1">
      <alignment horizontal="left" vertical="center"/>
    </xf>
    <xf numFmtId="0" fontId="48" fillId="2" borderId="0" xfId="0" applyFont="1" applyFill="1" applyAlignment="1">
      <alignment horizontal="center" vertical="center"/>
    </xf>
    <xf numFmtId="0" fontId="52" fillId="2" borderId="0" xfId="4" quotePrefix="1" applyFont="1" applyFill="1" applyAlignment="1">
      <alignment horizontal="left" vertical="center"/>
    </xf>
    <xf numFmtId="0" fontId="53" fillId="2" borderId="0" xfId="0" applyFont="1" applyFill="1"/>
    <xf numFmtId="0" fontId="48" fillId="2" borderId="0" xfId="0" applyFont="1" applyFill="1" applyAlignment="1">
      <alignment wrapText="1"/>
    </xf>
    <xf numFmtId="0" fontId="54" fillId="2" borderId="0" xfId="0" applyFont="1" applyFill="1"/>
    <xf numFmtId="0" fontId="48" fillId="2" borderId="0" xfId="0" applyFont="1" applyFill="1" applyAlignment="1">
      <alignment horizontal="right" vertical="center"/>
    </xf>
    <xf numFmtId="0" fontId="55" fillId="2" borderId="0" xfId="0" applyFont="1" applyFill="1" applyAlignment="1">
      <alignment horizontal="left" vertical="center"/>
    </xf>
    <xf numFmtId="0" fontId="56" fillId="2" borderId="0" xfId="0" applyFont="1" applyFill="1"/>
    <xf numFmtId="0" fontId="48" fillId="2" borderId="0" xfId="4" applyFont="1" applyFill="1"/>
    <xf numFmtId="0" fontId="56" fillId="2" borderId="0" xfId="0" applyFont="1" applyFill="1" applyAlignment="1">
      <alignment horizontal="left"/>
    </xf>
    <xf numFmtId="0" fontId="52" fillId="2" borderId="0" xfId="4" applyFont="1" applyFill="1"/>
    <xf numFmtId="0" fontId="7" fillId="2" borderId="0" xfId="0" applyFont="1" applyFill="1" applyAlignment="1">
      <alignment horizontal="right"/>
    </xf>
    <xf numFmtId="0" fontId="58" fillId="2" borderId="0" xfId="0" applyFont="1" applyFill="1"/>
    <xf numFmtId="0" fontId="8" fillId="2" borderId="0" xfId="0" applyFont="1" applyFill="1"/>
    <xf numFmtId="0" fontId="16" fillId="2" borderId="0" xfId="8" applyFill="1"/>
    <xf numFmtId="0" fontId="57" fillId="2" borderId="0" xfId="0" applyFont="1" applyFill="1"/>
    <xf numFmtId="0" fontId="56" fillId="2" borderId="0" xfId="0" applyFont="1" applyFill="1" applyAlignment="1">
      <alignment vertical="center" wrapText="1"/>
    </xf>
    <xf numFmtId="0" fontId="17" fillId="2" borderId="0" xfId="0" applyFont="1" applyFill="1" applyAlignment="1">
      <alignment vertical="center" wrapText="1"/>
    </xf>
    <xf numFmtId="0" fontId="61" fillId="2" borderId="0" xfId="0" applyFont="1" applyFill="1" applyAlignment="1">
      <alignment horizontal="left" vertical="center"/>
    </xf>
    <xf numFmtId="0" fontId="56" fillId="2" borderId="0" xfId="0" applyFont="1" applyFill="1" applyAlignment="1">
      <alignment vertical="top" wrapText="1"/>
    </xf>
    <xf numFmtId="0" fontId="62" fillId="2" borderId="0" xfId="0" applyFont="1" applyFill="1" applyAlignment="1">
      <alignment horizontal="left"/>
    </xf>
    <xf numFmtId="0" fontId="0" fillId="2" borderId="45" xfId="0" applyFill="1" applyBorder="1"/>
    <xf numFmtId="0" fontId="8" fillId="2" borderId="0" xfId="0" applyFont="1" applyFill="1" applyAlignment="1">
      <alignment horizontal="center"/>
    </xf>
    <xf numFmtId="0" fontId="63" fillId="2" borderId="0" xfId="0" applyFont="1" applyFill="1" applyAlignment="1">
      <alignment horizontal="left"/>
    </xf>
    <xf numFmtId="0" fontId="49" fillId="0" borderId="0" xfId="0" applyFont="1" applyAlignment="1">
      <alignment horizontal="left" wrapText="1"/>
    </xf>
    <xf numFmtId="0" fontId="49" fillId="0" borderId="46" xfId="0" applyFont="1" applyBorder="1" applyAlignment="1">
      <alignment horizontal="left" wrapText="1"/>
    </xf>
    <xf numFmtId="0" fontId="49" fillId="0" borderId="47" xfId="0" applyFont="1" applyBorder="1" applyAlignment="1">
      <alignment horizontal="left" wrapText="1"/>
    </xf>
    <xf numFmtId="0" fontId="49" fillId="0" borderId="48" xfId="0" applyFont="1" applyBorder="1" applyAlignment="1">
      <alignment horizontal="left" wrapText="1"/>
    </xf>
    <xf numFmtId="0" fontId="49" fillId="0" borderId="49" xfId="0" applyFont="1" applyBorder="1" applyAlignment="1">
      <alignment horizontal="left" wrapText="1"/>
    </xf>
    <xf numFmtId="0" fontId="63" fillId="33" borderId="0" xfId="0" applyFont="1" applyFill="1" applyAlignment="1">
      <alignment horizontal="left"/>
    </xf>
    <xf numFmtId="0" fontId="63" fillId="2" borderId="50" xfId="0" applyFont="1" applyFill="1" applyBorder="1" applyAlignment="1">
      <alignment horizontal="left"/>
    </xf>
    <xf numFmtId="0" fontId="64" fillId="34" borderId="21" xfId="0" applyFont="1" applyFill="1" applyBorder="1" applyAlignment="1">
      <alignment wrapText="1"/>
    </xf>
    <xf numFmtId="0" fontId="64" fillId="34" borderId="22" xfId="0" applyFont="1" applyFill="1" applyBorder="1" applyAlignment="1">
      <alignment wrapText="1"/>
    </xf>
    <xf numFmtId="0" fontId="0" fillId="0" borderId="51" xfId="0" applyBorder="1"/>
    <xf numFmtId="0" fontId="0" fillId="0" borderId="48" xfId="0" applyBorder="1"/>
    <xf numFmtId="0" fontId="56" fillId="0" borderId="48" xfId="0" applyFont="1" applyBorder="1"/>
    <xf numFmtId="0" fontId="56" fillId="0" borderId="51" xfId="0" applyFont="1" applyBorder="1"/>
    <xf numFmtId="0" fontId="59" fillId="2" borderId="51" xfId="0" applyFont="1" applyFill="1" applyBorder="1"/>
    <xf numFmtId="0" fontId="56" fillId="2" borderId="51" xfId="0" applyFont="1" applyFill="1" applyBorder="1"/>
    <xf numFmtId="0" fontId="56" fillId="2" borderId="48" xfId="0" applyFont="1" applyFill="1" applyBorder="1"/>
    <xf numFmtId="0" fontId="0" fillId="2" borderId="48" xfId="0" applyFill="1" applyBorder="1"/>
    <xf numFmtId="0" fontId="48" fillId="2" borderId="51" xfId="0" applyFont="1" applyFill="1" applyBorder="1" applyAlignment="1">
      <alignment vertical="center"/>
    </xf>
    <xf numFmtId="0" fontId="65" fillId="2" borderId="0" xfId="0" applyFont="1" applyFill="1"/>
    <xf numFmtId="0" fontId="50" fillId="2" borderId="0" xfId="0" applyFont="1" applyFill="1"/>
    <xf numFmtId="0" fontId="56" fillId="32" borderId="0" xfId="0" applyFont="1" applyFill="1" applyAlignment="1">
      <alignment vertical="center" wrapText="1"/>
    </xf>
    <xf numFmtId="0" fontId="33" fillId="0" borderId="0" xfId="4" applyFont="1" applyAlignment="1">
      <alignment horizontal="left" wrapText="1"/>
    </xf>
    <xf numFmtId="0" fontId="4" fillId="8" borderId="0" xfId="0" applyFont="1" applyFill="1" applyAlignment="1">
      <alignment wrapText="1"/>
    </xf>
    <xf numFmtId="0" fontId="11" fillId="0" borderId="0" xfId="0" applyFont="1"/>
    <xf numFmtId="0" fontId="11" fillId="0" borderId="0" xfId="0" applyFont="1" applyAlignment="1">
      <alignment horizontal="right" wrapText="1"/>
    </xf>
    <xf numFmtId="0" fontId="4" fillId="0" borderId="0" xfId="0" applyFont="1"/>
    <xf numFmtId="3" fontId="16" fillId="2" borderId="0" xfId="0" applyNumberFormat="1" applyFont="1" applyFill="1" applyAlignment="1" applyProtection="1">
      <alignment horizontal="left" vertical="top"/>
      <protection hidden="1"/>
    </xf>
    <xf numFmtId="0" fontId="11" fillId="2" borderId="0" xfId="0" applyFont="1" applyFill="1" applyAlignment="1" applyProtection="1">
      <alignment horizontal="right" vertical="top"/>
      <protection hidden="1"/>
    </xf>
    <xf numFmtId="0" fontId="17" fillId="4" borderId="6" xfId="0" applyFont="1" applyFill="1" applyBorder="1" applyAlignment="1" applyProtection="1">
      <alignment vertical="top"/>
      <protection hidden="1"/>
    </xf>
    <xf numFmtId="0" fontId="11" fillId="2" borderId="6" xfId="0" applyFont="1" applyFill="1" applyBorder="1" applyAlignment="1" applyProtection="1">
      <alignment horizontal="left" vertical="top"/>
      <protection hidden="1"/>
    </xf>
    <xf numFmtId="0" fontId="16" fillId="2" borderId="0" xfId="0" applyFont="1" applyFill="1" applyAlignment="1" applyProtection="1">
      <alignment horizontal="left" indent="1"/>
      <protection hidden="1"/>
    </xf>
    <xf numFmtId="0" fontId="16" fillId="2" borderId="6" xfId="0" applyFont="1" applyFill="1" applyBorder="1" applyAlignment="1" applyProtection="1">
      <alignment horizontal="left"/>
      <protection hidden="1"/>
    </xf>
    <xf numFmtId="0" fontId="22" fillId="2" borderId="0" xfId="0" applyFont="1" applyFill="1" applyProtection="1">
      <protection hidden="1"/>
    </xf>
    <xf numFmtId="0" fontId="22" fillId="2" borderId="9" xfId="0" applyFont="1" applyFill="1" applyBorder="1" applyProtection="1">
      <protection hidden="1"/>
    </xf>
    <xf numFmtId="0" fontId="33" fillId="2" borderId="0" xfId="4" applyFont="1" applyFill="1" applyBorder="1" applyAlignment="1" applyProtection="1">
      <alignment horizontal="right" vertical="top"/>
      <protection hidden="1"/>
    </xf>
    <xf numFmtId="0" fontId="15" fillId="2" borderId="0" xfId="0" applyFont="1" applyFill="1" applyAlignment="1" applyProtection="1">
      <alignment horizontal="right" vertical="top"/>
      <protection hidden="1"/>
    </xf>
    <xf numFmtId="0" fontId="2" fillId="2" borderId="0" xfId="0" applyFont="1" applyFill="1"/>
    <xf numFmtId="0" fontId="67" fillId="2" borderId="0" xfId="0" applyFont="1" applyFill="1"/>
    <xf numFmtId="0" fontId="59" fillId="2" borderId="0" xfId="0" applyFont="1" applyFill="1"/>
    <xf numFmtId="0" fontId="1" fillId="2" borderId="0" xfId="0" applyFont="1" applyFill="1" applyProtection="1">
      <protection hidden="1"/>
    </xf>
    <xf numFmtId="0" fontId="1" fillId="2" borderId="0" xfId="0" applyFont="1" applyFill="1"/>
    <xf numFmtId="0" fontId="1" fillId="2" borderId="0" xfId="0" applyFont="1" applyFill="1" applyProtection="1">
      <protection locked="0" hidden="1"/>
    </xf>
    <xf numFmtId="0" fontId="0" fillId="0" borderId="0" xfId="0" applyAlignment="1" applyProtection="1">
      <alignment vertical="top"/>
      <protection hidden="1"/>
    </xf>
    <xf numFmtId="0" fontId="16" fillId="0" borderId="0" xfId="0" applyFont="1" applyAlignment="1" applyProtection="1">
      <alignment vertical="top"/>
      <protection hidden="1"/>
    </xf>
    <xf numFmtId="0" fontId="0" fillId="0" borderId="0" xfId="0" applyProtection="1">
      <protection hidden="1"/>
    </xf>
    <xf numFmtId="0" fontId="16" fillId="0" borderId="0" xfId="0" applyFont="1" applyProtection="1">
      <protection hidden="1"/>
    </xf>
    <xf numFmtId="0" fontId="0" fillId="0" borderId="0" xfId="0" applyAlignment="1" applyProtection="1">
      <alignment horizontal="left"/>
      <protection hidden="1"/>
    </xf>
    <xf numFmtId="0" fontId="6" fillId="0" borderId="0" xfId="0" applyFont="1" applyProtection="1">
      <protection hidden="1"/>
    </xf>
    <xf numFmtId="0" fontId="16" fillId="0" borderId="0" xfId="0" applyFont="1" applyAlignment="1" applyProtection="1">
      <alignment horizontal="left"/>
      <protection hidden="1"/>
    </xf>
    <xf numFmtId="0" fontId="23" fillId="0" borderId="0" xfId="0" applyFont="1" applyProtection="1">
      <protection hidden="1"/>
    </xf>
    <xf numFmtId="0" fontId="12" fillId="0" borderId="0" xfId="0" applyFont="1" applyProtection="1">
      <protection hidden="1"/>
    </xf>
    <xf numFmtId="0" fontId="22" fillId="0" borderId="8" xfId="1" applyNumberFormat="1" applyFont="1" applyFill="1" applyBorder="1" applyAlignment="1" applyProtection="1">
      <alignment horizontal="left"/>
      <protection hidden="1"/>
    </xf>
    <xf numFmtId="169" fontId="56" fillId="0" borderId="52" xfId="0" applyNumberFormat="1" applyFont="1" applyBorder="1" applyAlignment="1">
      <alignment horizontal="left" vertical="top"/>
    </xf>
    <xf numFmtId="49" fontId="56" fillId="0" borderId="53" xfId="0" applyNumberFormat="1" applyFont="1" applyBorder="1" applyAlignment="1">
      <alignment horizontal="left" vertical="top"/>
    </xf>
    <xf numFmtId="0" fontId="56" fillId="0" borderId="22" xfId="0" applyFont="1" applyBorder="1" applyAlignment="1">
      <alignment horizontal="left" vertical="top"/>
    </xf>
    <xf numFmtId="170" fontId="16" fillId="7" borderId="12" xfId="0" applyNumberFormat="1" applyFont="1" applyFill="1" applyBorder="1" applyProtection="1">
      <protection hidden="1"/>
    </xf>
    <xf numFmtId="170" fontId="16" fillId="2" borderId="10" xfId="0" applyNumberFormat="1" applyFont="1" applyFill="1" applyBorder="1" applyProtection="1">
      <protection hidden="1"/>
    </xf>
    <xf numFmtId="170" fontId="21" fillId="2" borderId="0" xfId="0" applyNumberFormat="1" applyFont="1" applyFill="1" applyProtection="1">
      <protection hidden="1"/>
    </xf>
    <xf numFmtId="170" fontId="21" fillId="2" borderId="7" xfId="0" applyNumberFormat="1" applyFont="1" applyFill="1" applyBorder="1" applyProtection="1">
      <protection hidden="1"/>
    </xf>
    <xf numFmtId="170" fontId="21" fillId="2" borderId="10" xfId="0" applyNumberFormat="1" applyFont="1" applyFill="1" applyBorder="1" applyProtection="1">
      <protection hidden="1"/>
    </xf>
    <xf numFmtId="170" fontId="16" fillId="7" borderId="14" xfId="0" applyNumberFormat="1" applyFont="1" applyFill="1" applyBorder="1" applyProtection="1">
      <protection hidden="1"/>
    </xf>
    <xf numFmtId="170" fontId="16" fillId="2" borderId="4" xfId="0" applyNumberFormat="1" applyFont="1" applyFill="1" applyBorder="1" applyProtection="1">
      <protection hidden="1"/>
    </xf>
    <xf numFmtId="170" fontId="16" fillId="7" borderId="17" xfId="0" applyNumberFormat="1" applyFont="1" applyFill="1" applyBorder="1" applyProtection="1">
      <protection hidden="1"/>
    </xf>
    <xf numFmtId="170" fontId="16" fillId="2" borderId="22" xfId="0" applyNumberFormat="1" applyFont="1" applyFill="1" applyBorder="1" applyProtection="1">
      <protection hidden="1"/>
    </xf>
    <xf numFmtId="170" fontId="11" fillId="2" borderId="9" xfId="0" applyNumberFormat="1" applyFont="1" applyFill="1" applyBorder="1" applyProtection="1">
      <protection hidden="1"/>
    </xf>
    <xf numFmtId="170" fontId="11" fillId="2" borderId="10" xfId="0" applyNumberFormat="1" applyFont="1" applyFill="1" applyBorder="1" applyProtection="1">
      <protection hidden="1"/>
    </xf>
    <xf numFmtId="170" fontId="11" fillId="2" borderId="21" xfId="0" applyNumberFormat="1" applyFont="1" applyFill="1" applyBorder="1" applyProtection="1">
      <protection hidden="1"/>
    </xf>
    <xf numFmtId="170" fontId="11" fillId="2" borderId="22" xfId="0" applyNumberFormat="1" applyFont="1" applyFill="1" applyBorder="1" applyProtection="1">
      <protection hidden="1"/>
    </xf>
    <xf numFmtId="170" fontId="16" fillId="2" borderId="0" xfId="0" applyNumberFormat="1" applyFont="1" applyFill="1" applyAlignment="1" applyProtection="1">
      <alignment horizontal="right"/>
      <protection hidden="1"/>
    </xf>
    <xf numFmtId="170" fontId="12" fillId="2" borderId="0" xfId="1" applyNumberFormat="1" applyFont="1" applyFill="1" applyBorder="1" applyAlignment="1" applyProtection="1">
      <alignment horizontal="right" wrapText="1"/>
      <protection hidden="1"/>
    </xf>
    <xf numFmtId="170" fontId="12" fillId="2" borderId="30" xfId="1" applyNumberFormat="1" applyFont="1" applyFill="1" applyBorder="1" applyAlignment="1" applyProtection="1">
      <alignment horizontal="right" wrapText="1"/>
      <protection hidden="1"/>
    </xf>
    <xf numFmtId="170" fontId="15" fillId="2" borderId="21" xfId="1" applyNumberFormat="1" applyFont="1" applyFill="1" applyBorder="1" applyAlignment="1" applyProtection="1">
      <alignment horizontal="right" wrapText="1"/>
      <protection hidden="1"/>
    </xf>
    <xf numFmtId="170" fontId="15" fillId="2" borderId="33" xfId="1" applyNumberFormat="1" applyFont="1" applyFill="1" applyBorder="1" applyAlignment="1" applyProtection="1">
      <alignment horizontal="right" wrapText="1"/>
      <protection hidden="1"/>
    </xf>
    <xf numFmtId="170" fontId="16" fillId="2" borderId="0" xfId="0" applyNumberFormat="1" applyFont="1" applyFill="1" applyProtection="1">
      <protection hidden="1"/>
    </xf>
    <xf numFmtId="170" fontId="16" fillId="2" borderId="30" xfId="0" applyNumberFormat="1" applyFont="1" applyFill="1" applyBorder="1" applyProtection="1">
      <protection hidden="1"/>
    </xf>
    <xf numFmtId="170" fontId="16" fillId="7" borderId="37" xfId="0" applyNumberFormat="1" applyFont="1" applyFill="1" applyBorder="1" applyProtection="1">
      <protection hidden="1"/>
    </xf>
    <xf numFmtId="170" fontId="16" fillId="7" borderId="39" xfId="0" applyNumberFormat="1" applyFont="1" applyFill="1" applyBorder="1" applyProtection="1">
      <protection hidden="1"/>
    </xf>
    <xf numFmtId="170" fontId="16" fillId="2" borderId="9" xfId="0" applyNumberFormat="1" applyFont="1" applyFill="1" applyBorder="1" applyProtection="1">
      <protection hidden="1"/>
    </xf>
    <xf numFmtId="170" fontId="16" fillId="2" borderId="32" xfId="0" applyNumberFormat="1" applyFont="1" applyFill="1" applyBorder="1" applyProtection="1">
      <protection hidden="1"/>
    </xf>
    <xf numFmtId="170" fontId="11" fillId="2" borderId="32" xfId="0" applyNumberFormat="1" applyFont="1" applyFill="1" applyBorder="1" applyProtection="1">
      <protection hidden="1"/>
    </xf>
    <xf numFmtId="170" fontId="16" fillId="2" borderId="7" xfId="1" applyNumberFormat="1" applyFont="1" applyFill="1" applyBorder="1" applyAlignment="1" applyProtection="1">
      <alignment horizontal="right"/>
      <protection hidden="1"/>
    </xf>
    <xf numFmtId="170" fontId="16" fillId="2" borderId="4" xfId="1" applyNumberFormat="1" applyFont="1" applyFill="1" applyBorder="1" applyAlignment="1" applyProtection="1">
      <alignment horizontal="right"/>
      <protection hidden="1"/>
    </xf>
    <xf numFmtId="170" fontId="11" fillId="2" borderId="22" xfId="1" applyNumberFormat="1" applyFont="1" applyFill="1" applyBorder="1" applyAlignment="1" applyProtection="1">
      <alignment horizontal="right"/>
      <protection hidden="1"/>
    </xf>
    <xf numFmtId="170" fontId="11" fillId="2" borderId="22" xfId="0" applyNumberFormat="1" applyFont="1" applyFill="1" applyBorder="1" applyAlignment="1" applyProtection="1">
      <alignment horizontal="right"/>
      <protection hidden="1"/>
    </xf>
    <xf numFmtId="170" fontId="16" fillId="2" borderId="4" xfId="0" applyNumberFormat="1" applyFont="1" applyFill="1" applyBorder="1" applyAlignment="1" applyProtection="1">
      <alignment horizontal="right"/>
      <protection hidden="1"/>
    </xf>
    <xf numFmtId="170" fontId="16" fillId="2" borderId="10" xfId="0" applyNumberFormat="1" applyFont="1" applyFill="1" applyBorder="1" applyAlignment="1" applyProtection="1">
      <alignment horizontal="right"/>
      <protection hidden="1"/>
    </xf>
    <xf numFmtId="170" fontId="11" fillId="2" borderId="10" xfId="0" applyNumberFormat="1" applyFont="1" applyFill="1" applyBorder="1" applyAlignment="1" applyProtection="1">
      <alignment horizontal="right"/>
      <protection hidden="1"/>
    </xf>
    <xf numFmtId="170" fontId="12" fillId="2" borderId="4" xfId="6" applyNumberFormat="1" applyFont="1" applyFill="1" applyBorder="1" applyAlignment="1" applyProtection="1">
      <alignment horizontal="right"/>
      <protection hidden="1"/>
    </xf>
    <xf numFmtId="170" fontId="12" fillId="2" borderId="10" xfId="6" applyNumberFormat="1" applyFont="1" applyFill="1" applyBorder="1" applyAlignment="1" applyProtection="1">
      <alignment horizontal="right"/>
      <protection hidden="1"/>
    </xf>
    <xf numFmtId="170" fontId="15" fillId="2" borderId="10" xfId="6" applyNumberFormat="1" applyFont="1" applyFill="1" applyBorder="1" applyAlignment="1" applyProtection="1">
      <alignment horizontal="right"/>
      <protection hidden="1"/>
    </xf>
    <xf numFmtId="171" fontId="12" fillId="7" borderId="14" xfId="6" applyNumberFormat="1" applyFont="1" applyFill="1" applyBorder="1" applyAlignment="1" applyProtection="1">
      <alignment horizontal="right"/>
      <protection hidden="1"/>
    </xf>
    <xf numFmtId="171" fontId="12" fillId="7" borderId="17" xfId="6" applyNumberFormat="1" applyFont="1" applyFill="1" applyBorder="1" applyAlignment="1" applyProtection="1">
      <alignment horizontal="right"/>
      <protection hidden="1"/>
    </xf>
    <xf numFmtId="171" fontId="12" fillId="7" borderId="39" xfId="6" applyNumberFormat="1" applyFont="1" applyFill="1" applyBorder="1" applyAlignment="1" applyProtection="1">
      <alignment horizontal="right"/>
      <protection hidden="1"/>
    </xf>
    <xf numFmtId="171" fontId="15" fillId="7" borderId="39" xfId="6" applyNumberFormat="1" applyFont="1" applyFill="1" applyBorder="1" applyAlignment="1" applyProtection="1">
      <alignment horizontal="right"/>
      <protection hidden="1"/>
    </xf>
    <xf numFmtId="171" fontId="16" fillId="7" borderId="14" xfId="0" applyNumberFormat="1" applyFont="1" applyFill="1" applyBorder="1" applyAlignment="1" applyProtection="1">
      <alignment horizontal="right"/>
      <protection hidden="1"/>
    </xf>
    <xf numFmtId="171" fontId="16" fillId="7" borderId="17" xfId="0" applyNumberFormat="1" applyFont="1" applyFill="1" applyBorder="1" applyAlignment="1" applyProtection="1">
      <alignment horizontal="right"/>
      <protection hidden="1"/>
    </xf>
    <xf numFmtId="171" fontId="16" fillId="7" borderId="39" xfId="0" applyNumberFormat="1" applyFont="1" applyFill="1" applyBorder="1" applyAlignment="1" applyProtection="1">
      <alignment horizontal="right"/>
      <protection hidden="1"/>
    </xf>
    <xf numFmtId="171" fontId="11" fillId="7" borderId="39" xfId="0" applyNumberFormat="1" applyFont="1" applyFill="1" applyBorder="1" applyAlignment="1" applyProtection="1">
      <alignment horizontal="right"/>
      <protection hidden="1"/>
    </xf>
    <xf numFmtId="171" fontId="12" fillId="2" borderId="0" xfId="6" applyNumberFormat="1" applyFont="1" applyFill="1" applyAlignment="1" applyProtection="1">
      <alignment horizontal="right"/>
      <protection hidden="1"/>
    </xf>
    <xf numFmtId="171" fontId="12" fillId="2" borderId="9" xfId="6" applyNumberFormat="1" applyFont="1" applyFill="1" applyBorder="1" applyAlignment="1" applyProtection="1">
      <alignment horizontal="right"/>
      <protection hidden="1"/>
    </xf>
    <xf numFmtId="171" fontId="15" fillId="2" borderId="9" xfId="6" applyNumberFormat="1" applyFont="1" applyFill="1" applyBorder="1" applyAlignment="1" applyProtection="1">
      <alignment horizontal="right"/>
      <protection hidden="1"/>
    </xf>
    <xf numFmtId="171" fontId="16" fillId="2" borderId="0" xfId="0" applyNumberFormat="1" applyFont="1" applyFill="1" applyAlignment="1" applyProtection="1">
      <alignment horizontal="right"/>
      <protection hidden="1"/>
    </xf>
    <xf numFmtId="171" fontId="16" fillId="2" borderId="9" xfId="0" applyNumberFormat="1" applyFont="1" applyFill="1" applyBorder="1" applyAlignment="1" applyProtection="1">
      <alignment horizontal="right"/>
      <protection hidden="1"/>
    </xf>
    <xf numFmtId="171" fontId="11" fillId="2" borderId="9" xfId="0" applyNumberFormat="1" applyFont="1" applyFill="1" applyBorder="1" applyAlignment="1" applyProtection="1">
      <alignment horizontal="right"/>
      <protection hidden="1"/>
    </xf>
    <xf numFmtId="171" fontId="16" fillId="3" borderId="14" xfId="0" applyNumberFormat="1" applyFont="1" applyFill="1" applyBorder="1" applyAlignment="1" applyProtection="1">
      <alignment horizontal="right"/>
      <protection hidden="1"/>
    </xf>
    <xf numFmtId="171" fontId="16" fillId="3" borderId="39" xfId="0" applyNumberFormat="1" applyFont="1" applyFill="1" applyBorder="1" applyAlignment="1" applyProtection="1">
      <alignment horizontal="right"/>
      <protection hidden="1"/>
    </xf>
    <xf numFmtId="171" fontId="11" fillId="3" borderId="39" xfId="0" applyNumberFormat="1" applyFont="1" applyFill="1" applyBorder="1" applyAlignment="1" applyProtection="1">
      <alignment horizontal="right"/>
      <protection hidden="1"/>
    </xf>
    <xf numFmtId="171" fontId="16" fillId="2" borderId="6" xfId="0" applyNumberFormat="1" applyFont="1" applyFill="1" applyBorder="1" applyAlignment="1" applyProtection="1">
      <alignment horizontal="right"/>
      <protection hidden="1"/>
    </xf>
    <xf numFmtId="171" fontId="11" fillId="7" borderId="12" xfId="0" applyNumberFormat="1" applyFont="1" applyFill="1" applyBorder="1" applyAlignment="1" applyProtection="1">
      <alignment horizontal="right"/>
      <protection hidden="1"/>
    </xf>
    <xf numFmtId="171" fontId="11" fillId="2" borderId="21" xfId="0" applyNumberFormat="1" applyFont="1" applyFill="1" applyBorder="1" applyAlignment="1" applyProtection="1">
      <alignment horizontal="right"/>
      <protection hidden="1"/>
    </xf>
    <xf numFmtId="165" fontId="16" fillId="2" borderId="0" xfId="3" applyNumberFormat="1" applyFont="1" applyFill="1" applyProtection="1">
      <protection hidden="1"/>
    </xf>
    <xf numFmtId="165" fontId="16" fillId="2" borderId="7" xfId="3" applyNumberFormat="1" applyFont="1" applyFill="1" applyBorder="1" applyProtection="1">
      <protection hidden="1"/>
    </xf>
    <xf numFmtId="0" fontId="11" fillId="8" borderId="0" xfId="0" applyFont="1" applyFill="1" applyAlignment="1">
      <alignment wrapText="1"/>
    </xf>
    <xf numFmtId="0" fontId="32" fillId="30" borderId="54" xfId="7" applyFont="1" applyFill="1" applyBorder="1" applyAlignment="1">
      <alignment horizontal="center" wrapText="1"/>
    </xf>
    <xf numFmtId="0" fontId="22" fillId="2" borderId="8" xfId="0" applyFont="1" applyFill="1" applyBorder="1" applyProtection="1">
      <protection hidden="1"/>
    </xf>
    <xf numFmtId="0" fontId="24" fillId="2" borderId="8" xfId="0" applyFont="1" applyFill="1" applyBorder="1" applyAlignment="1" applyProtection="1">
      <alignment horizontal="left" indent="1"/>
      <protection hidden="1"/>
    </xf>
    <xf numFmtId="0" fontId="14" fillId="0" borderId="0" xfId="9" applyFont="1" applyAlignment="1">
      <alignment vertical="top" wrapText="1"/>
    </xf>
    <xf numFmtId="0" fontId="14" fillId="0" borderId="0" xfId="9" applyFont="1" applyAlignment="1">
      <alignment horizontal="right" vertical="top" wrapText="1"/>
    </xf>
    <xf numFmtId="0" fontId="70" fillId="0" borderId="0" xfId="0" applyFont="1"/>
    <xf numFmtId="2" fontId="1" fillId="0" borderId="0" xfId="9" applyNumberFormat="1"/>
    <xf numFmtId="2" fontId="1" fillId="0" borderId="0" xfId="9" applyNumberFormat="1" applyAlignment="1">
      <alignment horizontal="right" vertical="top" wrapText="1"/>
    </xf>
    <xf numFmtId="2" fontId="14" fillId="0" borderId="0" xfId="9" applyNumberFormat="1" applyFont="1" applyAlignment="1">
      <alignment horizontal="right" vertical="top" wrapText="1"/>
    </xf>
    <xf numFmtId="170" fontId="24" fillId="2" borderId="0" xfId="0" applyNumberFormat="1" applyFont="1" applyFill="1" applyProtection="1">
      <protection hidden="1"/>
    </xf>
    <xf numFmtId="170" fontId="24" fillId="2" borderId="4" xfId="0" applyNumberFormat="1" applyFont="1" applyFill="1" applyBorder="1" applyProtection="1">
      <protection hidden="1"/>
    </xf>
    <xf numFmtId="170" fontId="24" fillId="2" borderId="0" xfId="1" applyNumberFormat="1" applyFont="1" applyFill="1" applyBorder="1" applyAlignment="1" applyProtection="1">
      <alignment horizontal="right" wrapText="1"/>
      <protection hidden="1"/>
    </xf>
    <xf numFmtId="170" fontId="24" fillId="2" borderId="4" xfId="1" applyNumberFormat="1" applyFont="1" applyFill="1" applyBorder="1" applyAlignment="1" applyProtection="1">
      <alignment horizontal="right" wrapText="1"/>
      <protection hidden="1"/>
    </xf>
    <xf numFmtId="0" fontId="35" fillId="0" borderId="0" xfId="0" applyFont="1" applyAlignment="1" applyProtection="1">
      <alignment horizontal="right"/>
      <protection hidden="1"/>
    </xf>
    <xf numFmtId="0" fontId="35" fillId="0" borderId="38" xfId="0" applyFont="1" applyBorder="1" applyAlignment="1" applyProtection="1">
      <alignment horizontal="right"/>
      <protection hidden="1"/>
    </xf>
    <xf numFmtId="0" fontId="19" fillId="0" borderId="0" xfId="0" applyFont="1" applyAlignment="1" applyProtection="1">
      <alignment horizontal="right"/>
      <protection hidden="1"/>
    </xf>
    <xf numFmtId="0" fontId="19" fillId="0" borderId="9" xfId="0" applyFont="1" applyBorder="1" applyAlignment="1" applyProtection="1">
      <alignment horizontal="right"/>
      <protection hidden="1"/>
    </xf>
    <xf numFmtId="0" fontId="35" fillId="0" borderId="9" xfId="0" applyFont="1" applyBorder="1" applyAlignment="1" applyProtection="1">
      <alignment horizontal="right"/>
      <protection hidden="1"/>
    </xf>
    <xf numFmtId="0" fontId="35" fillId="0" borderId="21" xfId="0" applyFont="1" applyBorder="1" applyAlignment="1" applyProtection="1">
      <alignment horizontal="right"/>
      <protection hidden="1"/>
    </xf>
    <xf numFmtId="170" fontId="16" fillId="2" borderId="6" xfId="0" applyNumberFormat="1" applyFont="1" applyFill="1" applyBorder="1" applyAlignment="1" applyProtection="1">
      <alignment horizontal="right"/>
      <protection hidden="1"/>
    </xf>
    <xf numFmtId="170" fontId="12" fillId="2" borderId="6" xfId="1" applyNumberFormat="1" applyFont="1" applyFill="1" applyBorder="1" applyAlignment="1" applyProtection="1">
      <alignment horizontal="right" wrapText="1"/>
      <protection hidden="1"/>
    </xf>
    <xf numFmtId="170" fontId="12" fillId="2" borderId="7" xfId="1" applyNumberFormat="1" applyFont="1" applyFill="1" applyBorder="1" applyAlignment="1" applyProtection="1">
      <alignment horizontal="right" wrapText="1"/>
      <protection hidden="1"/>
    </xf>
    <xf numFmtId="170" fontId="12" fillId="2" borderId="4" xfId="1" applyNumberFormat="1" applyFont="1" applyFill="1" applyBorder="1" applyAlignment="1" applyProtection="1">
      <alignment horizontal="right" wrapText="1"/>
      <protection hidden="1"/>
    </xf>
    <xf numFmtId="170" fontId="16" fillId="2" borderId="9" xfId="0" applyNumberFormat="1" applyFont="1" applyFill="1" applyBorder="1" applyAlignment="1" applyProtection="1">
      <alignment horizontal="right"/>
      <protection hidden="1"/>
    </xf>
    <xf numFmtId="170" fontId="12" fillId="2" borderId="9" xfId="1" applyNumberFormat="1" applyFont="1" applyFill="1" applyBorder="1" applyAlignment="1" applyProtection="1">
      <alignment horizontal="right" wrapText="1"/>
      <protection hidden="1"/>
    </xf>
    <xf numFmtId="170" fontId="12" fillId="2" borderId="10" xfId="1" applyNumberFormat="1" applyFont="1" applyFill="1" applyBorder="1" applyAlignment="1" applyProtection="1">
      <alignment horizontal="right" wrapText="1"/>
      <protection hidden="1"/>
    </xf>
    <xf numFmtId="0" fontId="5" fillId="2" borderId="0" xfId="4" applyFill="1" applyAlignment="1">
      <alignment vertical="center" wrapText="1"/>
    </xf>
    <xf numFmtId="0" fontId="52" fillId="2" borderId="0" xfId="4" applyFont="1" applyFill="1" applyAlignment="1">
      <alignment horizontal="left" vertical="center"/>
    </xf>
    <xf numFmtId="0" fontId="28" fillId="2" borderId="0" xfId="0" applyFont="1" applyFill="1" applyAlignment="1">
      <alignment horizontal="left" wrapText="1"/>
    </xf>
    <xf numFmtId="0" fontId="48" fillId="2" borderId="0" xfId="0" applyFont="1" applyFill="1" applyAlignment="1">
      <alignment horizontal="left" vertical="top" wrapText="1"/>
    </xf>
    <xf numFmtId="0" fontId="0" fillId="0" borderId="0" xfId="0" applyAlignment="1">
      <alignment wrapText="1"/>
    </xf>
    <xf numFmtId="0" fontId="8" fillId="2" borderId="0" xfId="0" applyFont="1" applyFill="1" applyAlignment="1">
      <alignment horizontal="left"/>
    </xf>
    <xf numFmtId="0" fontId="47" fillId="2" borderId="0" xfId="0" applyFont="1" applyFill="1" applyAlignment="1">
      <alignment horizontal="left"/>
    </xf>
    <xf numFmtId="0" fontId="8" fillId="2" borderId="0" xfId="0" applyFont="1" applyFill="1" applyAlignment="1">
      <alignment horizontal="center"/>
    </xf>
    <xf numFmtId="0" fontId="20" fillId="2" borderId="8" xfId="0" applyFont="1" applyFill="1" applyBorder="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0" borderId="8" xfId="0" applyFont="1" applyBorder="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20" fillId="0" borderId="4" xfId="0" applyFont="1" applyBorder="1" applyAlignment="1" applyProtection="1">
      <alignment horizontal="left" vertical="center" wrapText="1"/>
      <protection hidden="1"/>
    </xf>
    <xf numFmtId="0" fontId="17" fillId="2" borderId="4" xfId="0" applyFont="1" applyFill="1" applyBorder="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18" fillId="4" borderId="8" xfId="0" applyFont="1" applyFill="1" applyBorder="1" applyAlignment="1" applyProtection="1">
      <alignment vertical="top" wrapText="1"/>
      <protection hidden="1"/>
    </xf>
    <xf numFmtId="0" fontId="0" fillId="4" borderId="0" xfId="0" applyFill="1" applyAlignment="1" applyProtection="1">
      <alignment wrapText="1"/>
      <protection hidden="1"/>
    </xf>
    <xf numFmtId="0" fontId="0" fillId="4" borderId="4" xfId="0" applyFill="1" applyBorder="1" applyAlignment="1" applyProtection="1">
      <alignment wrapText="1"/>
      <protection hidden="1"/>
    </xf>
    <xf numFmtId="0" fontId="0" fillId="4" borderId="8"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9" xfId="0" applyFill="1" applyBorder="1" applyAlignment="1" applyProtection="1">
      <alignment wrapText="1"/>
      <protection hidden="1"/>
    </xf>
    <xf numFmtId="0" fontId="0" fillId="4" borderId="10" xfId="0" applyFill="1" applyBorder="1" applyAlignment="1" applyProtection="1">
      <alignment wrapText="1"/>
      <protection hidden="1"/>
    </xf>
    <xf numFmtId="0" fontId="18" fillId="0" borderId="4" xfId="0" applyFont="1" applyBorder="1" applyAlignment="1" applyProtection="1">
      <alignment horizontal="left" vertical="top" wrapText="1"/>
      <protection hidden="1"/>
    </xf>
    <xf numFmtId="0" fontId="18" fillId="4" borderId="8" xfId="6" applyFont="1" applyFill="1" applyBorder="1" applyAlignment="1" applyProtection="1">
      <alignment vertical="top" wrapText="1"/>
      <protection hidden="1"/>
    </xf>
    <xf numFmtId="0" fontId="22" fillId="2" borderId="8" xfId="0" applyFont="1" applyFill="1" applyBorder="1" applyAlignment="1" applyProtection="1">
      <alignment vertical="top" wrapText="1"/>
      <protection hidden="1"/>
    </xf>
    <xf numFmtId="0" fontId="22" fillId="2" borderId="0" xfId="0" applyFont="1" applyFill="1" applyAlignment="1" applyProtection="1">
      <alignment vertical="top" wrapText="1"/>
      <protection hidden="1"/>
    </xf>
    <xf numFmtId="0" fontId="22" fillId="2" borderId="4" xfId="0" applyFont="1" applyFill="1" applyBorder="1" applyAlignment="1" applyProtection="1">
      <alignment vertical="top" wrapText="1"/>
      <protection hidden="1"/>
    </xf>
    <xf numFmtId="0" fontId="0" fillId="4" borderId="0" xfId="0" applyFill="1" applyAlignment="1" applyProtection="1">
      <alignment vertical="top" wrapText="1"/>
      <protection hidden="1"/>
    </xf>
    <xf numFmtId="0" fontId="0" fillId="4" borderId="4" xfId="0" applyFill="1" applyBorder="1" applyAlignment="1" applyProtection="1">
      <alignment vertical="top" wrapText="1"/>
      <protection hidden="1"/>
    </xf>
    <xf numFmtId="0" fontId="0" fillId="4" borderId="8" xfId="0" applyFill="1" applyBorder="1" applyAlignment="1" applyProtection="1">
      <alignment vertical="top" wrapText="1"/>
      <protection hidden="1"/>
    </xf>
    <xf numFmtId="0" fontId="17" fillId="2" borderId="0" xfId="0" applyFont="1" applyFill="1" applyAlignment="1" applyProtection="1">
      <alignment horizontal="left" vertical="top"/>
      <protection hidden="1"/>
    </xf>
    <xf numFmtId="0" fontId="18" fillId="0" borderId="0" xfId="0" applyFont="1" applyAlignment="1" applyProtection="1">
      <alignment horizontal="left" vertical="top"/>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0" fontId="0" fillId="0" borderId="8" xfId="0" applyBorder="1" applyAlignment="1" applyProtection="1">
      <alignment vertical="top" wrapText="1"/>
      <protection hidden="1"/>
    </xf>
    <xf numFmtId="0" fontId="17" fillId="2" borderId="0" xfId="0" applyFont="1" applyFill="1" applyAlignment="1" applyProtection="1">
      <alignment horizontal="left" vertical="top" wrapText="1"/>
      <protection hidden="1"/>
    </xf>
    <xf numFmtId="0" fontId="22" fillId="2" borderId="8" xfId="0" applyFont="1" applyFill="1" applyBorder="1" applyProtection="1">
      <protection hidden="1"/>
    </xf>
    <xf numFmtId="0" fontId="0" fillId="0" borderId="23" xfId="0" applyBorder="1"/>
    <xf numFmtId="0" fontId="23" fillId="2" borderId="0" xfId="0" applyFont="1" applyFill="1" applyAlignment="1" applyProtection="1">
      <alignment horizontal="right" vertical="top" wrapText="1"/>
      <protection hidden="1"/>
    </xf>
    <xf numFmtId="0" fontId="6" fillId="0" borderId="0" xfId="0" applyFont="1" applyAlignment="1" applyProtection="1">
      <alignment horizontal="right" vertical="top" wrapText="1"/>
      <protection hidden="1"/>
    </xf>
    <xf numFmtId="0" fontId="11" fillId="2" borderId="0" xfId="0" applyFont="1" applyFill="1" applyAlignment="1" applyProtection="1">
      <alignment horizontal="right" vertical="top" wrapText="1"/>
      <protection hidden="1"/>
    </xf>
    <xf numFmtId="0" fontId="16" fillId="0" borderId="0" xfId="0" applyFont="1" applyAlignment="1" applyProtection="1">
      <alignment horizontal="right" vertical="top" wrapText="1"/>
      <protection hidden="1"/>
    </xf>
    <xf numFmtId="0" fontId="16" fillId="0" borderId="9" xfId="0" applyFont="1" applyBorder="1" applyAlignment="1" applyProtection="1">
      <alignment horizontal="right" vertical="top" wrapText="1"/>
      <protection hidden="1"/>
    </xf>
    <xf numFmtId="0" fontId="11" fillId="2" borderId="6" xfId="0" applyFont="1" applyFill="1" applyBorder="1" applyAlignment="1" applyProtection="1">
      <alignment horizontal="right" vertical="top" wrapText="1"/>
      <protection hidden="1"/>
    </xf>
    <xf numFmtId="0" fontId="11" fillId="2" borderId="9" xfId="0" applyFont="1" applyFill="1" applyBorder="1" applyAlignment="1" applyProtection="1">
      <alignment horizontal="right" vertical="top" wrapText="1"/>
      <protection hidden="1"/>
    </xf>
    <xf numFmtId="0" fontId="11" fillId="2" borderId="30" xfId="0" applyFont="1" applyFill="1" applyBorder="1" applyAlignment="1" applyProtection="1">
      <alignment horizontal="right" vertical="top" wrapText="1"/>
      <protection hidden="1"/>
    </xf>
    <xf numFmtId="0" fontId="11" fillId="2" borderId="32" xfId="0" applyFont="1" applyFill="1" applyBorder="1" applyAlignment="1" applyProtection="1">
      <alignment horizontal="right" vertical="top" wrapText="1"/>
      <protection hidden="1"/>
    </xf>
    <xf numFmtId="164" fontId="15" fillId="2" borderId="6" xfId="1" applyNumberFormat="1" applyFont="1" applyFill="1" applyBorder="1" applyAlignment="1" applyProtection="1">
      <alignment horizontal="right" vertical="top" wrapText="1"/>
      <protection hidden="1"/>
    </xf>
    <xf numFmtId="0" fontId="16" fillId="0" borderId="6" xfId="0" applyFont="1" applyBorder="1" applyAlignment="1" applyProtection="1">
      <alignment vertical="top" wrapText="1"/>
      <protection hidden="1"/>
    </xf>
    <xf numFmtId="0" fontId="16" fillId="0" borderId="0" xfId="0" applyFont="1" applyAlignment="1" applyProtection="1">
      <alignment vertical="top" wrapText="1"/>
      <protection hidden="1"/>
    </xf>
    <xf numFmtId="0" fontId="16" fillId="0" borderId="9" xfId="0" applyFont="1" applyBorder="1" applyAlignment="1" applyProtection="1">
      <alignment vertical="top" wrapText="1"/>
      <protection hidden="1"/>
    </xf>
    <xf numFmtId="164" fontId="15" fillId="2" borderId="7" xfId="1" applyNumberFormat="1" applyFont="1" applyFill="1" applyBorder="1" applyAlignment="1" applyProtection="1">
      <alignment horizontal="right" vertical="top" wrapText="1"/>
      <protection hidden="1"/>
    </xf>
    <xf numFmtId="0" fontId="16" fillId="0" borderId="4" xfId="0" applyFont="1" applyBorder="1" applyAlignment="1" applyProtection="1">
      <alignment vertical="top" wrapText="1"/>
      <protection hidden="1"/>
    </xf>
    <xf numFmtId="0" fontId="16" fillId="0" borderId="10" xfId="0" applyFont="1" applyBorder="1" applyAlignment="1" applyProtection="1">
      <alignment vertical="top" wrapText="1"/>
      <protection hidden="1"/>
    </xf>
    <xf numFmtId="0" fontId="22" fillId="2" borderId="5" xfId="0" applyFont="1" applyFill="1" applyBorder="1" applyAlignment="1" applyProtection="1">
      <alignment wrapText="1"/>
      <protection hidden="1"/>
    </xf>
    <xf numFmtId="0" fontId="0" fillId="2" borderId="6" xfId="0" applyFill="1" applyBorder="1" applyAlignment="1" applyProtection="1">
      <alignment wrapText="1"/>
      <protection hidden="1"/>
    </xf>
    <xf numFmtId="0" fontId="0" fillId="2" borderId="7" xfId="0" applyFill="1" applyBorder="1" applyAlignment="1" applyProtection="1">
      <alignment wrapText="1"/>
      <protection hidden="1"/>
    </xf>
    <xf numFmtId="0" fontId="22" fillId="2" borderId="8" xfId="0" applyFont="1" applyFill="1" applyBorder="1" applyAlignment="1" applyProtection="1">
      <alignment wrapText="1"/>
      <protection hidden="1"/>
    </xf>
    <xf numFmtId="0" fontId="0" fillId="2" borderId="0" xfId="0" applyFill="1" applyAlignment="1" applyProtection="1">
      <alignment wrapText="1"/>
      <protection hidden="1"/>
    </xf>
    <xf numFmtId="0" fontId="0" fillId="2" borderId="4" xfId="0" applyFill="1" applyBorder="1" applyAlignment="1" applyProtection="1">
      <alignment wrapText="1"/>
      <protection hidden="1"/>
    </xf>
    <xf numFmtId="0" fontId="0" fillId="2" borderId="23" xfId="0" applyFill="1" applyBorder="1" applyAlignment="1" applyProtection="1">
      <alignment wrapText="1"/>
      <protection hidden="1"/>
    </xf>
    <xf numFmtId="0" fontId="0" fillId="2" borderId="9" xfId="0" applyFill="1" applyBorder="1" applyAlignment="1" applyProtection="1">
      <alignment wrapText="1"/>
      <protection hidden="1"/>
    </xf>
    <xf numFmtId="0" fontId="0" fillId="2" borderId="10" xfId="0" applyFill="1" applyBorder="1" applyAlignment="1" applyProtection="1">
      <alignment wrapText="1"/>
      <protection hidden="1"/>
    </xf>
    <xf numFmtId="0" fontId="17" fillId="2" borderId="30" xfId="0" applyFont="1" applyFill="1" applyBorder="1" applyAlignment="1" applyProtection="1">
      <alignment horizontal="left" vertical="top" wrapText="1"/>
      <protection hidden="1"/>
    </xf>
    <xf numFmtId="0" fontId="18" fillId="0" borderId="30" xfId="0" applyFont="1" applyBorder="1" applyAlignment="1" applyProtection="1">
      <alignment horizontal="left" vertical="top" wrapText="1"/>
      <protection hidden="1"/>
    </xf>
    <xf numFmtId="0" fontId="18" fillId="4" borderId="29" xfId="0" applyFont="1" applyFill="1" applyBorder="1" applyAlignment="1" applyProtection="1">
      <alignment vertical="top" wrapText="1"/>
      <protection hidden="1"/>
    </xf>
    <xf numFmtId="0" fontId="18" fillId="4" borderId="0" xfId="0" applyFont="1" applyFill="1" applyAlignment="1" applyProtection="1">
      <alignment vertical="top" wrapText="1"/>
      <protection hidden="1"/>
    </xf>
    <xf numFmtId="0" fontId="18" fillId="4" borderId="30" xfId="0" applyFont="1" applyFill="1" applyBorder="1" applyAlignment="1" applyProtection="1">
      <alignment vertical="top" wrapText="1"/>
      <protection hidden="1"/>
    </xf>
    <xf numFmtId="0" fontId="18" fillId="4" borderId="31" xfId="0" applyFont="1" applyFill="1" applyBorder="1" applyAlignment="1" applyProtection="1">
      <alignment vertical="top" wrapText="1"/>
      <protection hidden="1"/>
    </xf>
    <xf numFmtId="0" fontId="18" fillId="4" borderId="9" xfId="0" applyFont="1" applyFill="1" applyBorder="1" applyAlignment="1" applyProtection="1">
      <alignment vertical="top" wrapText="1"/>
      <protection hidden="1"/>
    </xf>
    <xf numFmtId="0" fontId="18" fillId="4" borderId="32" xfId="0" applyFont="1" applyFill="1" applyBorder="1" applyAlignment="1" applyProtection="1">
      <alignment vertical="top" wrapText="1"/>
      <protection hidden="1"/>
    </xf>
    <xf numFmtId="0" fontId="17" fillId="4" borderId="5" xfId="0" applyFont="1" applyFill="1" applyBorder="1" applyAlignment="1" applyProtection="1">
      <alignment horizontal="left" vertical="top" wrapText="1"/>
      <protection hidden="1"/>
    </xf>
    <xf numFmtId="0" fontId="17" fillId="4" borderId="6" xfId="0" applyFont="1" applyFill="1" applyBorder="1" applyAlignment="1" applyProtection="1">
      <alignment horizontal="left" vertical="top" wrapText="1"/>
      <protection hidden="1"/>
    </xf>
    <xf numFmtId="0" fontId="0" fillId="4" borderId="23" xfId="0" applyFill="1" applyBorder="1" applyAlignment="1" applyProtection="1">
      <alignment vertical="top" wrapText="1"/>
      <protection hidden="1"/>
    </xf>
    <xf numFmtId="0" fontId="0" fillId="4" borderId="9" xfId="0" applyFill="1" applyBorder="1" applyAlignment="1" applyProtection="1">
      <alignment vertical="top" wrapText="1"/>
      <protection hidden="1"/>
    </xf>
    <xf numFmtId="0" fontId="0" fillId="4" borderId="10" xfId="0" applyFill="1" applyBorder="1" applyAlignment="1" applyProtection="1">
      <alignment vertical="top" wrapText="1"/>
      <protection hidden="1"/>
    </xf>
    <xf numFmtId="164" fontId="15" fillId="2" borderId="27" xfId="1" applyNumberFormat="1" applyFont="1" applyFill="1" applyBorder="1" applyAlignment="1" applyProtection="1">
      <alignment horizontal="right" vertical="top" wrapText="1"/>
      <protection hidden="1"/>
    </xf>
    <xf numFmtId="0" fontId="16" fillId="0" borderId="27" xfId="0" applyFont="1" applyBorder="1" applyAlignment="1" applyProtection="1">
      <alignment vertical="top" wrapText="1"/>
      <protection hidden="1"/>
    </xf>
    <xf numFmtId="164" fontId="15" fillId="2" borderId="28" xfId="1" applyNumberFormat="1" applyFont="1" applyFill="1" applyBorder="1" applyAlignment="1" applyProtection="1">
      <alignment horizontal="right" vertical="top" wrapText="1"/>
      <protection hidden="1"/>
    </xf>
    <xf numFmtId="0" fontId="7" fillId="2" borderId="0" xfId="0" applyFont="1" applyFill="1" applyAlignment="1" applyProtection="1">
      <alignment horizontal="center" vertical="top"/>
      <protection hidden="1"/>
    </xf>
    <xf numFmtId="0" fontId="66" fillId="3" borderId="1" xfId="0" applyFont="1" applyFill="1" applyBorder="1" applyAlignment="1" applyProtection="1">
      <alignment horizontal="left" vertical="center"/>
      <protection locked="0"/>
    </xf>
    <xf numFmtId="0" fontId="66" fillId="3" borderId="2" xfId="0" applyFont="1" applyFill="1" applyBorder="1" applyAlignment="1" applyProtection="1">
      <alignment horizontal="left" vertical="center"/>
      <protection locked="0"/>
    </xf>
    <xf numFmtId="0" fontId="66" fillId="3" borderId="3" xfId="0" applyFont="1" applyFill="1" applyBorder="1" applyAlignment="1" applyProtection="1">
      <alignment horizontal="left" vertical="center"/>
      <protection locked="0"/>
    </xf>
    <xf numFmtId="0" fontId="17" fillId="4" borderId="5" xfId="0" applyFont="1" applyFill="1" applyBorder="1" applyAlignment="1" applyProtection="1">
      <alignment vertical="top" wrapText="1"/>
      <protection hidden="1"/>
    </xf>
    <xf numFmtId="0" fontId="18" fillId="4" borderId="6" xfId="0" applyFont="1" applyFill="1" applyBorder="1" applyAlignment="1" applyProtection="1">
      <alignment vertical="top" wrapText="1"/>
      <protection hidden="1"/>
    </xf>
    <xf numFmtId="0" fontId="18" fillId="4" borderId="7" xfId="0" applyFont="1" applyFill="1" applyBorder="1" applyAlignment="1" applyProtection="1">
      <alignment vertical="top" wrapText="1"/>
      <protection hidden="1"/>
    </xf>
    <xf numFmtId="0" fontId="17" fillId="4" borderId="8" xfId="0" applyFont="1" applyFill="1" applyBorder="1" applyAlignment="1" applyProtection="1">
      <alignment vertical="top" wrapText="1"/>
      <protection hidden="1"/>
    </xf>
    <xf numFmtId="0" fontId="18" fillId="4" borderId="4" xfId="0" applyFont="1" applyFill="1" applyBorder="1" applyAlignment="1" applyProtection="1">
      <alignment vertical="top" wrapText="1"/>
      <protection hidden="1"/>
    </xf>
    <xf numFmtId="0" fontId="17" fillId="4" borderId="26" xfId="0" applyFont="1" applyFill="1" applyBorder="1" applyAlignment="1" applyProtection="1">
      <alignment vertical="top" wrapText="1"/>
      <protection hidden="1"/>
    </xf>
    <xf numFmtId="0" fontId="18" fillId="4" borderId="27" xfId="0" applyFont="1" applyFill="1" applyBorder="1" applyAlignment="1" applyProtection="1">
      <alignment vertical="top" wrapText="1"/>
      <protection hidden="1"/>
    </xf>
    <xf numFmtId="0" fontId="18" fillId="4" borderId="23" xfId="0" applyFont="1" applyFill="1" applyBorder="1" applyAlignment="1" applyProtection="1">
      <alignment vertical="top" wrapText="1"/>
      <protection hidden="1"/>
    </xf>
    <xf numFmtId="164" fontId="15" fillId="4" borderId="27" xfId="1" applyNumberFormat="1" applyFont="1" applyFill="1" applyBorder="1" applyAlignment="1" applyProtection="1">
      <alignment horizontal="right" vertical="top" wrapText="1"/>
      <protection hidden="1"/>
    </xf>
    <xf numFmtId="0" fontId="0" fillId="4" borderId="27" xfId="0" applyFill="1" applyBorder="1" applyAlignment="1" applyProtection="1">
      <alignment vertical="top" wrapText="1"/>
      <protection hidden="1"/>
    </xf>
    <xf numFmtId="164" fontId="15" fillId="4" borderId="28" xfId="1" applyNumberFormat="1" applyFont="1" applyFill="1" applyBorder="1" applyAlignment="1" applyProtection="1">
      <alignment horizontal="right" vertical="top" wrapText="1"/>
      <protection hidden="1"/>
    </xf>
    <xf numFmtId="0" fontId="33" fillId="2" borderId="0" xfId="4" applyFont="1" applyFill="1" applyAlignment="1" applyProtection="1">
      <alignment horizontal="left" vertical="top"/>
      <protection hidden="1"/>
    </xf>
    <xf numFmtId="0" fontId="16" fillId="29" borderId="20" xfId="0" applyFont="1" applyFill="1" applyBorder="1" applyAlignment="1" applyProtection="1">
      <alignment horizontal="center"/>
      <protection hidden="1"/>
    </xf>
    <xf numFmtId="0" fontId="16" fillId="29" borderId="21" xfId="0" applyFont="1" applyFill="1" applyBorder="1" applyAlignment="1" applyProtection="1">
      <alignment horizontal="center"/>
      <protection hidden="1"/>
    </xf>
    <xf numFmtId="0" fontId="16" fillId="29" borderId="22" xfId="0" applyFont="1" applyFill="1" applyBorder="1" applyAlignment="1" applyProtection="1">
      <alignment horizontal="center"/>
      <protection hidden="1"/>
    </xf>
    <xf numFmtId="0" fontId="16" fillId="14" borderId="20" xfId="0" applyFont="1" applyFill="1" applyBorder="1" applyAlignment="1" applyProtection="1">
      <alignment horizontal="center"/>
      <protection hidden="1"/>
    </xf>
    <xf numFmtId="0" fontId="16" fillId="14" borderId="21" xfId="0" applyFont="1" applyFill="1" applyBorder="1" applyAlignment="1" applyProtection="1">
      <alignment horizontal="center"/>
      <protection hidden="1"/>
    </xf>
    <xf numFmtId="0" fontId="16" fillId="14" borderId="22" xfId="0" applyFont="1" applyFill="1" applyBorder="1" applyAlignment="1" applyProtection="1">
      <alignment horizontal="center"/>
      <protection hidden="1"/>
    </xf>
    <xf numFmtId="0" fontId="16" fillId="28" borderId="11" xfId="0" applyFont="1" applyFill="1" applyBorder="1" applyAlignment="1" applyProtection="1">
      <alignment horizontal="center" vertical="center" wrapText="1"/>
      <protection hidden="1"/>
    </xf>
    <xf numFmtId="0" fontId="16" fillId="28" borderId="13" xfId="0" applyFont="1" applyFill="1" applyBorder="1" applyAlignment="1" applyProtection="1">
      <alignment horizontal="center" vertical="center" wrapText="1"/>
      <protection hidden="1"/>
    </xf>
    <xf numFmtId="0" fontId="16" fillId="3" borderId="11" xfId="0" applyFont="1" applyFill="1" applyBorder="1" applyAlignment="1" applyProtection="1">
      <alignment horizontal="center" vertical="center" wrapText="1"/>
      <protection hidden="1"/>
    </xf>
    <xf numFmtId="0" fontId="16" fillId="3" borderId="13" xfId="0" applyFont="1" applyFill="1" applyBorder="1" applyAlignment="1" applyProtection="1">
      <alignment horizontal="center" vertical="center" wrapText="1"/>
      <protection hidden="1"/>
    </xf>
    <xf numFmtId="0" fontId="16" fillId="3" borderId="40" xfId="0" applyFont="1" applyFill="1" applyBorder="1" applyAlignment="1" applyProtection="1">
      <alignment horizontal="center" vertical="center" wrapText="1"/>
      <protection hidden="1"/>
    </xf>
    <xf numFmtId="0" fontId="16" fillId="24" borderId="5" xfId="0" applyFont="1" applyFill="1" applyBorder="1" applyAlignment="1" applyProtection="1">
      <alignment horizontal="center"/>
      <protection hidden="1"/>
    </xf>
    <xf numFmtId="0" fontId="16" fillId="24" borderId="7" xfId="0" applyFont="1" applyFill="1" applyBorder="1" applyAlignment="1" applyProtection="1">
      <alignment horizontal="center"/>
      <protection hidden="1"/>
    </xf>
    <xf numFmtId="0" fontId="16" fillId="25" borderId="21" xfId="0" applyFont="1" applyFill="1" applyBorder="1" applyAlignment="1" applyProtection="1">
      <alignment horizontal="center"/>
      <protection hidden="1"/>
    </xf>
    <xf numFmtId="0" fontId="16" fillId="25" borderId="22" xfId="0" applyFont="1" applyFill="1" applyBorder="1" applyAlignment="1" applyProtection="1">
      <alignment horizontal="center"/>
      <protection hidden="1"/>
    </xf>
    <xf numFmtId="0" fontId="16" fillId="12" borderId="21" xfId="0" applyFont="1" applyFill="1" applyBorder="1" applyAlignment="1" applyProtection="1">
      <alignment horizontal="center"/>
      <protection hidden="1"/>
    </xf>
    <xf numFmtId="0" fontId="16" fillId="12" borderId="22" xfId="0" applyFont="1" applyFill="1" applyBorder="1" applyAlignment="1" applyProtection="1">
      <alignment horizontal="center"/>
      <protection hidden="1"/>
    </xf>
    <xf numFmtId="0" fontId="16" fillId="19" borderId="20" xfId="0" applyFont="1" applyFill="1" applyBorder="1" applyAlignment="1" applyProtection="1">
      <alignment horizontal="center"/>
      <protection hidden="1"/>
    </xf>
    <xf numFmtId="0" fontId="16" fillId="19" borderId="21" xfId="0" applyFont="1" applyFill="1" applyBorder="1" applyAlignment="1" applyProtection="1">
      <alignment horizontal="center"/>
      <protection hidden="1"/>
    </xf>
    <xf numFmtId="0" fontId="16" fillId="19" borderId="22" xfId="0" applyFont="1" applyFill="1" applyBorder="1" applyAlignment="1" applyProtection="1">
      <alignment horizontal="center"/>
      <protection hidden="1"/>
    </xf>
    <xf numFmtId="0" fontId="47" fillId="0" borderId="0" xfId="0" applyFont="1" applyAlignment="1" applyProtection="1">
      <alignment horizontal="center"/>
      <protection hidden="1"/>
    </xf>
    <xf numFmtId="0" fontId="16" fillId="24" borderId="11" xfId="0" applyFont="1" applyFill="1" applyBorder="1" applyAlignment="1" applyProtection="1">
      <alignment horizontal="center" vertical="center" wrapText="1"/>
      <protection hidden="1"/>
    </xf>
    <xf numFmtId="0" fontId="16" fillId="24" borderId="43" xfId="0" applyFont="1" applyFill="1" applyBorder="1" applyAlignment="1" applyProtection="1">
      <alignment horizontal="center" vertical="center" wrapText="1"/>
      <protection hidden="1"/>
    </xf>
    <xf numFmtId="0" fontId="16" fillId="24" borderId="40" xfId="0" applyFont="1" applyFill="1" applyBorder="1" applyAlignment="1" applyProtection="1">
      <alignment horizontal="center" vertical="center" wrapText="1"/>
      <protection hidden="1"/>
    </xf>
    <xf numFmtId="0" fontId="16" fillId="31" borderId="11" xfId="0" applyFont="1" applyFill="1" applyBorder="1" applyAlignment="1" applyProtection="1">
      <alignment horizontal="center" vertical="center" wrapText="1"/>
      <protection hidden="1"/>
    </xf>
    <xf numFmtId="0" fontId="16" fillId="31" borderId="43" xfId="0" applyFont="1" applyFill="1" applyBorder="1" applyAlignment="1" applyProtection="1">
      <alignment horizontal="center" vertical="center" wrapText="1"/>
      <protection hidden="1"/>
    </xf>
    <xf numFmtId="0" fontId="16" fillId="26" borderId="11"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wrapText="1"/>
      <protection hidden="1"/>
    </xf>
    <xf numFmtId="0" fontId="16" fillId="4" borderId="11"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wrapText="1"/>
      <protection hidden="1"/>
    </xf>
    <xf numFmtId="0" fontId="16" fillId="4" borderId="40" xfId="0" applyFont="1" applyFill="1" applyBorder="1" applyAlignment="1" applyProtection="1">
      <alignment horizontal="center" vertical="center" wrapText="1"/>
      <protection hidden="1"/>
    </xf>
    <xf numFmtId="0" fontId="16" fillId="27" borderId="11" xfId="0" applyFont="1" applyFill="1" applyBorder="1" applyAlignment="1" applyProtection="1">
      <alignment horizontal="center" vertical="center" wrapText="1"/>
      <protection hidden="1"/>
    </xf>
    <xf numFmtId="0" fontId="16" fillId="27" borderId="13" xfId="0" applyFont="1" applyFill="1" applyBorder="1" applyAlignment="1" applyProtection="1">
      <alignment horizontal="center" vertical="center" wrapText="1"/>
      <protection hidden="1"/>
    </xf>
    <xf numFmtId="0" fontId="52" fillId="2" borderId="0" xfId="4" applyFont="1" applyFill="1" applyAlignment="1">
      <alignment horizontal="left"/>
    </xf>
    <xf numFmtId="0" fontId="56" fillId="0" borderId="22" xfId="0" applyFont="1" applyBorder="1" applyAlignment="1">
      <alignment horizontal="left" vertical="top" wrapText="1"/>
    </xf>
  </cellXfs>
  <cellStyles count="10">
    <cellStyle name="Comma" xfId="1" builtinId="3"/>
    <cellStyle name="Currency" xfId="2" builtinId="4"/>
    <cellStyle name="Hyperlink" xfId="4" builtinId="8"/>
    <cellStyle name="Normal" xfId="0" builtinId="0"/>
    <cellStyle name="Normal 2" xfId="9" xr:uid="{3BE30EB6-EB76-4251-89CC-A530DAFBDEF6}"/>
    <cellStyle name="Normal 2 2" xfId="6" xr:uid="{C88832C4-2B14-4A3D-AA44-D6A2AD48997E}"/>
    <cellStyle name="Normal 2 4" xfId="8" xr:uid="{837576B7-D139-411F-A65B-AFB0CBD7376D}"/>
    <cellStyle name="Normal_Sheet16" xfId="7" xr:uid="{AACDC048-E6E1-4C9E-B53E-B78ED095C0CE}"/>
    <cellStyle name="Normal_Table 1 Jan 2012" xfId="5" xr:uid="{14EDE3C3-9C05-429C-BA39-388736C1AE86}"/>
    <cellStyle name="Percent" xfId="3" builtinId="5"/>
  </cellStyles>
  <dxfs count="122">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rgb="FFAECFE6"/>
      </font>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theme="0"/>
      </font>
    </dxf>
    <dxf>
      <font>
        <color theme="0"/>
      </font>
    </dxf>
    <dxf>
      <font>
        <color theme="0"/>
      </font>
    </dxf>
    <dxf>
      <font>
        <color theme="0"/>
      </font>
    </dxf>
    <dxf>
      <font>
        <color theme="0"/>
      </font>
    </dxf>
    <dxf>
      <font>
        <color theme="0"/>
      </font>
    </dxf>
    <dxf>
      <font>
        <b/>
        <i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E2EEF6"/>
      </font>
    </dxf>
    <dxf>
      <font>
        <color rgb="FFFFFF99"/>
      </font>
    </dxf>
    <dxf>
      <font>
        <color rgb="FFFFFF99"/>
      </font>
    </dxf>
    <dxf>
      <font>
        <color rgb="FFFFFF99"/>
      </font>
    </dxf>
    <dxf>
      <font>
        <color theme="0"/>
      </font>
    </dxf>
    <dxf>
      <font>
        <color theme="0"/>
      </font>
    </dxf>
    <dxf>
      <font>
        <color theme="0"/>
      </font>
    </dxf>
    <dxf>
      <font>
        <color theme="0"/>
      </font>
    </dxf>
    <dxf>
      <font>
        <color theme="0"/>
      </font>
    </dxf>
    <dxf>
      <font>
        <color theme="0"/>
      </font>
    </dxf>
    <dxf>
      <font>
        <color theme="0"/>
      </font>
    </dxf>
    <dxf>
      <font>
        <color theme="0"/>
      </font>
    </dxf>
    <dxf>
      <font>
        <color rgb="FFE2EEF6"/>
      </font>
    </dxf>
    <dxf>
      <font>
        <color rgb="FFE2EEF6"/>
      </font>
    </dxf>
    <dxf>
      <fill>
        <patternFill>
          <bgColor rgb="FFFFFF99"/>
        </patternFill>
      </fill>
    </dxf>
    <dxf>
      <font>
        <color theme="0"/>
      </font>
      <border>
        <left/>
        <right/>
        <bottom/>
      </border>
    </dxf>
    <dxf>
      <font>
        <color theme="0"/>
      </font>
    </dxf>
    <dxf>
      <font>
        <color theme="0"/>
      </font>
    </dxf>
  </dxfs>
  <tableStyles count="0" defaultTableStyle="TableStyleMedium2" defaultPivotStyle="PivotStyleLight16"/>
  <colors>
    <mruColors>
      <color rgb="FF59468D"/>
      <color rgb="FFE4DFEC"/>
      <color rgb="FF9933FF"/>
      <color rgb="FFFAB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summary'!$B$7</c:f>
          <c:strCache>
            <c:ptCount val="1"/>
            <c:pt idx="0">
              <c:v>Total social units by provision type</c:v>
            </c:pt>
          </c:strCache>
        </c:strRef>
      </c:tx>
      <c:layout>
        <c:manualLayout>
          <c:xMode val="edge"/>
          <c:yMode val="edge"/>
          <c:x val="5.1498439478828116E-3"/>
          <c:y val="3.2968859518011481E-3"/>
        </c:manualLayout>
      </c:layout>
      <c:overlay val="0"/>
      <c:txPr>
        <a:bodyPr/>
        <a:lstStyle/>
        <a:p>
          <a:pPr algn="l">
            <a:defRPr sz="1200">
              <a:solidFill>
                <a:srgbClr val="59468D"/>
              </a:solidFill>
            </a:defRPr>
          </a:pPr>
          <a:endParaRPr lang="en-US"/>
        </a:p>
      </c:txPr>
    </c:title>
    <c:autoTitleDeleted val="0"/>
    <c:plotArea>
      <c:layout>
        <c:manualLayout>
          <c:layoutTarget val="inner"/>
          <c:xMode val="edge"/>
          <c:yMode val="edge"/>
          <c:x val="0.15321332254669706"/>
          <c:y val="0.19350071852297687"/>
          <c:w val="0.48788611280639815"/>
          <c:h val="0.68527712084934811"/>
        </c:manualLayout>
      </c:layout>
      <c:pieChart>
        <c:varyColors val="1"/>
        <c:ser>
          <c:idx val="0"/>
          <c:order val="0"/>
          <c:tx>
            <c:strRef>
              <c:f>'Area summary'!$R$14:$R$17</c:f>
              <c:strCache>
                <c:ptCount val="4"/>
                <c:pt idx="0">
                  <c:v>General needs</c:v>
                </c:pt>
                <c:pt idx="1">
                  <c:v>Supported housing</c:v>
                </c:pt>
                <c:pt idx="2">
                  <c:v>Housing for older people</c:v>
                </c:pt>
                <c:pt idx="3">
                  <c:v>Low cost home ownership (LCHO)</c:v>
                </c:pt>
              </c:strCache>
            </c:strRef>
          </c:tx>
          <c:spPr>
            <a:ln>
              <a:noFill/>
            </a:ln>
          </c:spPr>
          <c:dPt>
            <c:idx val="0"/>
            <c:bubble3D val="0"/>
            <c:spPr>
              <a:solidFill>
                <a:srgbClr val="59468D">
                  <a:alpha val="89804"/>
                </a:srgbClr>
              </a:solidFill>
              <a:ln>
                <a:noFill/>
              </a:ln>
            </c:spPr>
            <c:extLst>
              <c:ext xmlns:c16="http://schemas.microsoft.com/office/drawing/2014/chart" uri="{C3380CC4-5D6E-409C-BE32-E72D297353CC}">
                <c16:uniqueId val="{00000001-9439-4672-BE1D-4839161D3103}"/>
              </c:ext>
            </c:extLst>
          </c:dPt>
          <c:dPt>
            <c:idx val="1"/>
            <c:bubble3D val="0"/>
            <c:spPr>
              <a:solidFill>
                <a:srgbClr val="AECFE6"/>
              </a:solidFill>
              <a:ln>
                <a:noFill/>
              </a:ln>
            </c:spPr>
            <c:extLst>
              <c:ext xmlns:c16="http://schemas.microsoft.com/office/drawing/2014/chart" uri="{C3380CC4-5D6E-409C-BE32-E72D297353CC}">
                <c16:uniqueId val="{00000003-9439-4672-BE1D-4839161D3103}"/>
              </c:ext>
            </c:extLst>
          </c:dPt>
          <c:dPt>
            <c:idx val="2"/>
            <c:bubble3D val="0"/>
            <c:spPr>
              <a:solidFill>
                <a:srgbClr val="FCBE37"/>
              </a:solidFill>
              <a:ln>
                <a:noFill/>
              </a:ln>
            </c:spPr>
            <c:extLst>
              <c:ext xmlns:c16="http://schemas.microsoft.com/office/drawing/2014/chart" uri="{C3380CC4-5D6E-409C-BE32-E72D297353CC}">
                <c16:uniqueId val="{00000005-9439-4672-BE1D-4839161D3103}"/>
              </c:ext>
            </c:extLst>
          </c:dPt>
          <c:dPt>
            <c:idx val="3"/>
            <c:bubble3D val="0"/>
            <c:spPr>
              <a:solidFill>
                <a:srgbClr val="E1CE9D"/>
              </a:solidFill>
              <a:ln>
                <a:noFill/>
              </a:ln>
            </c:spPr>
            <c:extLst>
              <c:ext xmlns:c16="http://schemas.microsoft.com/office/drawing/2014/chart" uri="{C3380CC4-5D6E-409C-BE32-E72D297353CC}">
                <c16:uniqueId val="{00000007-9439-4672-BE1D-4839161D3103}"/>
              </c:ext>
            </c:extLst>
          </c:dPt>
          <c:dPt>
            <c:idx val="4"/>
            <c:bubble3D val="0"/>
            <c:spPr>
              <a:solidFill>
                <a:srgbClr val="FCBE37"/>
              </a:solidFill>
              <a:ln>
                <a:noFill/>
              </a:ln>
            </c:spPr>
            <c:extLst>
              <c:ext xmlns:c16="http://schemas.microsoft.com/office/drawing/2014/chart" uri="{C3380CC4-5D6E-409C-BE32-E72D297353CC}">
                <c16:uniqueId val="{00000009-9439-4672-BE1D-4839161D3103}"/>
              </c:ext>
            </c:extLst>
          </c:dPt>
          <c:dPt>
            <c:idx val="5"/>
            <c:bubble3D val="0"/>
            <c:spPr>
              <a:solidFill>
                <a:srgbClr val="E1CE9D"/>
              </a:solidFill>
              <a:ln>
                <a:noFill/>
              </a:ln>
            </c:spPr>
            <c:extLst>
              <c:ext xmlns:c16="http://schemas.microsoft.com/office/drawing/2014/chart" uri="{C3380CC4-5D6E-409C-BE32-E72D297353CC}">
                <c16:uniqueId val="{0000000B-9439-4672-BE1D-4839161D3103}"/>
              </c:ext>
            </c:extLst>
          </c:dPt>
          <c:dLbls>
            <c:numFmt formatCode="#,##0" sourceLinked="0"/>
            <c:spPr>
              <a:noFill/>
              <a:ln>
                <a:noFill/>
              </a:ln>
              <a:effectLst/>
            </c:spPr>
            <c:txPr>
              <a:bodyPr/>
              <a:lstStyle/>
              <a:p>
                <a:pPr>
                  <a:defRPr sz="1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summary'!$R$14:$R$17</c:f>
              <c:strCache>
                <c:ptCount val="4"/>
                <c:pt idx="0">
                  <c:v>General needs</c:v>
                </c:pt>
                <c:pt idx="1">
                  <c:v>Supported housing</c:v>
                </c:pt>
                <c:pt idx="2">
                  <c:v>Housing for older people</c:v>
                </c:pt>
                <c:pt idx="3">
                  <c:v>Low cost home ownership (LCHO)</c:v>
                </c:pt>
              </c:strCache>
            </c:strRef>
          </c:cat>
          <c:val>
            <c:numRef>
              <c:f>'Area summary'!$S$14:$S$17</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C-9439-4672-BE1D-4839161D31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26497457370558"/>
          <c:y val="0.32835125820299083"/>
          <c:w val="0.25957445332751544"/>
          <c:h val="0.44033578121152556"/>
        </c:manualLayout>
      </c:layout>
      <c:overlay val="0"/>
      <c:spPr>
        <a:ln>
          <a:noFill/>
        </a:ln>
      </c:spPr>
      <c:txPr>
        <a:bodyPr/>
        <a:lstStyle/>
        <a:p>
          <a:pPr rtl="0">
            <a:defRPr sz="1000"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summary'!$R$53</c:f>
          <c:strCache>
            <c:ptCount val="1"/>
            <c:pt idx="0">
              <c:v>Vacant units for  - large PRPs</c:v>
            </c:pt>
          </c:strCache>
        </c:strRef>
      </c:tx>
      <c:layout>
        <c:manualLayout>
          <c:xMode val="edge"/>
          <c:yMode val="edge"/>
          <c:x val="7.6194541947316799E-4"/>
          <c:y val="5.4405539733065285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0498250588926289"/>
          <c:y val="0.23666422511139595"/>
          <c:w val="0.34161229949176475"/>
          <c:h val="0.63820407200070184"/>
        </c:manualLayout>
      </c:layout>
      <c:pieChart>
        <c:varyColors val="1"/>
        <c:ser>
          <c:idx val="0"/>
          <c:order val="0"/>
          <c:tx>
            <c:strRef>
              <c:f>'Area summary'!$R$58:$R$59</c:f>
              <c:strCache>
                <c:ptCount val="2"/>
                <c:pt idx="0">
                  <c:v>Vacant and available for letting</c:v>
                </c:pt>
                <c:pt idx="1">
                  <c:v>Vacant and not available for letting</c:v>
                </c:pt>
              </c:strCache>
            </c:strRef>
          </c:tx>
          <c:spPr>
            <a:ln>
              <a:noFill/>
            </a:ln>
          </c:spPr>
          <c:dPt>
            <c:idx val="0"/>
            <c:bubble3D val="0"/>
            <c:spPr>
              <a:solidFill>
                <a:srgbClr val="59468D"/>
              </a:solidFill>
              <a:ln>
                <a:noFill/>
              </a:ln>
            </c:spPr>
            <c:extLst>
              <c:ext xmlns:c16="http://schemas.microsoft.com/office/drawing/2014/chart" uri="{C3380CC4-5D6E-409C-BE32-E72D297353CC}">
                <c16:uniqueId val="{00000001-3BB7-43D3-9C2B-46ED41E4DC45}"/>
              </c:ext>
            </c:extLst>
          </c:dPt>
          <c:dPt>
            <c:idx val="1"/>
            <c:bubble3D val="0"/>
            <c:spPr>
              <a:solidFill>
                <a:srgbClr val="AECFE6"/>
              </a:solidFill>
              <a:ln>
                <a:noFill/>
              </a:ln>
            </c:spPr>
            <c:extLst>
              <c:ext xmlns:c16="http://schemas.microsoft.com/office/drawing/2014/chart" uri="{C3380CC4-5D6E-409C-BE32-E72D297353CC}">
                <c16:uniqueId val="{00000003-3BB7-43D3-9C2B-46ED41E4DC45}"/>
              </c:ext>
            </c:extLst>
          </c:dPt>
          <c:dPt>
            <c:idx val="2"/>
            <c:bubble3D val="0"/>
            <c:spPr>
              <a:solidFill>
                <a:schemeClr val="accent6">
                  <a:lumMod val="75000"/>
                </a:schemeClr>
              </a:solidFill>
              <a:ln>
                <a:noFill/>
              </a:ln>
            </c:spPr>
            <c:extLst>
              <c:ext xmlns:c16="http://schemas.microsoft.com/office/drawing/2014/chart" uri="{C3380CC4-5D6E-409C-BE32-E72D297353CC}">
                <c16:uniqueId val="{00000005-3BB7-43D3-9C2B-46ED41E4DC45}"/>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summary'!$R$58:$R$59</c:f>
              <c:strCache>
                <c:ptCount val="2"/>
                <c:pt idx="0">
                  <c:v>Vacant and available for letting</c:v>
                </c:pt>
                <c:pt idx="1">
                  <c:v>Vacant and not available for letting</c:v>
                </c:pt>
              </c:strCache>
            </c:strRef>
          </c:cat>
          <c:val>
            <c:numRef>
              <c:f>'Area summary'!$S$58:$S$59</c:f>
              <c:numCache>
                <c:formatCode>General</c:formatCode>
                <c:ptCount val="2"/>
                <c:pt idx="0">
                  <c:v>#N/A</c:v>
                </c:pt>
                <c:pt idx="1">
                  <c:v>#N/A</c:v>
                </c:pt>
              </c:numCache>
            </c:numRef>
          </c:val>
          <c:extLst>
            <c:ext xmlns:c16="http://schemas.microsoft.com/office/drawing/2014/chart" uri="{C3380CC4-5D6E-409C-BE32-E72D297353CC}">
              <c16:uniqueId val="{00000006-3BB7-43D3-9C2B-46ED41E4DC45}"/>
            </c:ext>
          </c:extLst>
        </c:ser>
        <c:dLbls>
          <c:showLegendKey val="0"/>
          <c:showVal val="0"/>
          <c:showCatName val="0"/>
          <c:showSerName val="0"/>
          <c:showPercent val="0"/>
          <c:showBubbleSize val="0"/>
          <c:showLeaderLines val="0"/>
        </c:dLbls>
        <c:firstSliceAng val="72"/>
      </c:pieChart>
    </c:plotArea>
    <c:legend>
      <c:legendPos val="r"/>
      <c:layout>
        <c:manualLayout>
          <c:xMode val="edge"/>
          <c:yMode val="edge"/>
          <c:x val="0.52812164213739021"/>
          <c:y val="0.42487943123029837"/>
          <c:w val="0.33934880225339303"/>
          <c:h val="0.15354498423868321"/>
        </c:manualLayout>
      </c:layout>
      <c:overlay val="0"/>
      <c:txPr>
        <a:bodyPr/>
        <a:lstStyle/>
        <a:p>
          <a:pPr rtl="0">
            <a:defRPr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summary'!$B$164</c:f>
          <c:strCache>
            <c:ptCount val="1"/>
            <c:pt idx="0">
              <c:v>Average weekly net rent (£ per week) by unit size for  - large PRPs</c:v>
            </c:pt>
          </c:strCache>
        </c:strRef>
      </c:tx>
      <c:layout>
        <c:manualLayout>
          <c:xMode val="edge"/>
          <c:yMode val="edge"/>
          <c:x val="5.692762724901078E-3"/>
          <c:y val="5.6022341213287141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21209855006316861"/>
          <c:w val="0.86046354166666672"/>
          <c:h val="0.44632610521511434"/>
        </c:manualLayout>
      </c:layout>
      <c:barChart>
        <c:barDir val="col"/>
        <c:grouping val="clustered"/>
        <c:varyColors val="0"/>
        <c:ser>
          <c:idx val="0"/>
          <c:order val="0"/>
          <c:tx>
            <c:v>Area net rent</c:v>
          </c:tx>
          <c:spPr>
            <a:solidFill>
              <a:srgbClr val="59468D"/>
            </a:solidFill>
            <a:ln w="6350">
              <a:noFill/>
            </a:ln>
          </c:spPr>
          <c:invertIfNegative val="0"/>
          <c:cat>
            <c:strRef>
              <c:f>'Area summary'!$B$167:$B$176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summary'!$C$167:$C$176</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B7E-45A9-AEDD-A0B1B0D34732}"/>
            </c:ext>
          </c:extLst>
        </c:ser>
        <c:dLbls>
          <c:showLegendKey val="0"/>
          <c:showVal val="0"/>
          <c:showCatName val="0"/>
          <c:showSerName val="0"/>
          <c:showPercent val="0"/>
          <c:showBubbleSize val="0"/>
        </c:dLbls>
        <c:gapWidth val="150"/>
        <c:axId val="486943744"/>
        <c:axId val="493175168"/>
      </c:barChart>
      <c:scatterChart>
        <c:scatterStyle val="lineMarker"/>
        <c:varyColors val="0"/>
        <c:ser>
          <c:idx val="1"/>
          <c:order val="1"/>
          <c:tx>
            <c:v>England net rent</c:v>
          </c:tx>
          <c:spPr>
            <a:ln>
              <a:noFill/>
            </a:ln>
          </c:spPr>
          <c:marker>
            <c:symbol val="dash"/>
            <c:size val="17"/>
            <c:spPr>
              <a:solidFill>
                <a:srgbClr val="FFC000"/>
              </a:solidFill>
              <a:ln cmpd="sng">
                <a:noFill/>
              </a:ln>
            </c:spPr>
          </c:marker>
          <c:xVal>
            <c:strRef>
              <c:f>'Area summary'!$S$167:$S$176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xVal>
          <c:yVal>
            <c:numRef>
              <c:f>'Area summary'!$T$167:$T$176</c:f>
              <c:numCache>
                <c:formatCode>_("£"* #,##0.00_);_("£"* \(#,##0.00\);_("£"* "-"??_);_(@_)</c:formatCode>
                <c:ptCount val="10"/>
                <c:pt idx="0">
                  <c:v>94.01</c:v>
                </c:pt>
                <c:pt idx="1">
                  <c:v>84.91</c:v>
                </c:pt>
                <c:pt idx="2">
                  <c:v>94.09</c:v>
                </c:pt>
                <c:pt idx="3">
                  <c:v>107.62</c:v>
                </c:pt>
                <c:pt idx="4">
                  <c:v>118.87</c:v>
                </c:pt>
                <c:pt idx="5">
                  <c:v>139.04</c:v>
                </c:pt>
                <c:pt idx="6">
                  <c:v>154.26</c:v>
                </c:pt>
                <c:pt idx="7">
                  <c:v>164.58</c:v>
                </c:pt>
                <c:pt idx="8">
                  <c:v>109.44</c:v>
                </c:pt>
                <c:pt idx="9">
                  <c:v>109.44</c:v>
                </c:pt>
              </c:numCache>
            </c:numRef>
          </c:yVal>
          <c:smooth val="1"/>
          <c:extLst>
            <c:ext xmlns:c16="http://schemas.microsoft.com/office/drawing/2014/chart" uri="{C3380CC4-5D6E-409C-BE32-E72D297353CC}">
              <c16:uniqueId val="{00000001-9B7E-45A9-AEDD-A0B1B0D34732}"/>
            </c:ext>
          </c:extLst>
        </c:ser>
        <c:dLbls>
          <c:showLegendKey val="0"/>
          <c:showVal val="0"/>
          <c:showCatName val="0"/>
          <c:showSerName val="0"/>
          <c:showPercent val="0"/>
          <c:showBubbleSize val="0"/>
        </c:dLbls>
        <c:axId val="486943744"/>
        <c:axId val="493175168"/>
      </c:scatterChart>
      <c:catAx>
        <c:axId val="48694374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493175168"/>
        <c:crosses val="autoZero"/>
        <c:auto val="1"/>
        <c:lblAlgn val="ctr"/>
        <c:lblOffset val="100"/>
        <c:noMultiLvlLbl val="0"/>
      </c:catAx>
      <c:valAx>
        <c:axId val="49317516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425155824949011E-2"/>
              <c:y val="0.26751659630606101"/>
            </c:manualLayout>
          </c:layout>
          <c:overlay val="0"/>
        </c:title>
        <c:numFmt formatCode="&quot;£&quot;#,##0" sourceLinked="0"/>
        <c:majorTickMark val="out"/>
        <c:minorTickMark val="none"/>
        <c:tickLblPos val="nextTo"/>
        <c:spPr>
          <a:ln>
            <a:solidFill>
              <a:schemeClr val="tx1"/>
            </a:solidFill>
          </a:ln>
        </c:spPr>
        <c:crossAx val="486943744"/>
        <c:crosses val="autoZero"/>
        <c:crossBetween val="between"/>
      </c:valAx>
    </c:plotArea>
    <c:legend>
      <c:legendPos val="b"/>
      <c:layout>
        <c:manualLayout>
          <c:xMode val="edge"/>
          <c:yMode val="edge"/>
          <c:x val="0.25783428462945179"/>
          <c:y val="0.91625550130533151"/>
          <c:w val="0.48228627961391229"/>
          <c:h val="6.195800009092003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summary'!$B$186</c:f>
          <c:strCache>
            <c:ptCount val="1"/>
            <c:pt idx="0">
              <c:v>Average weekly net rent (£ per week) by unit size for  - large PRPs</c:v>
            </c:pt>
          </c:strCache>
        </c:strRef>
      </c:tx>
      <c:layout>
        <c:manualLayout>
          <c:xMode val="edge"/>
          <c:yMode val="edge"/>
          <c:x val="1.6646055301877223E-3"/>
          <c:y val="5.2445016708888334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8896828988253"/>
          <c:w val="0.86046354166666672"/>
          <c:h val="0.46502074727412113"/>
        </c:manualLayout>
      </c:layout>
      <c:barChart>
        <c:barDir val="col"/>
        <c:grouping val="clustered"/>
        <c:varyColors val="0"/>
        <c:ser>
          <c:idx val="0"/>
          <c:order val="0"/>
          <c:tx>
            <c:v>Area net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summary'!$C$189:$C$196</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9DF8-46CB-AA2B-3F05B6E95989}"/>
            </c:ext>
          </c:extLst>
        </c:ser>
        <c:dLbls>
          <c:showLegendKey val="0"/>
          <c:showVal val="0"/>
          <c:showCatName val="0"/>
          <c:showSerName val="0"/>
          <c:showPercent val="0"/>
          <c:showBubbleSize val="0"/>
        </c:dLbls>
        <c:gapWidth val="150"/>
        <c:axId val="650522624"/>
        <c:axId val="694391936"/>
      </c:barChart>
      <c:scatterChart>
        <c:scatterStyle val="lineMarker"/>
        <c:varyColors val="0"/>
        <c:ser>
          <c:idx val="1"/>
          <c:order val="1"/>
          <c:tx>
            <c:v>England net rent</c:v>
          </c:tx>
          <c:spPr>
            <a:ln>
              <a:noFill/>
            </a:ln>
          </c:spPr>
          <c:marker>
            <c:symbol val="dash"/>
            <c:size val="21"/>
            <c:spPr>
              <a:solidFill>
                <a:srgbClr val="FFC000"/>
              </a:solidFill>
              <a:ln>
                <a:noFill/>
              </a:ln>
            </c:spPr>
          </c:marker>
          <c:xVal>
            <c:strRef>
              <c:f>'Area summary'!$S$188:$S$195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xVal>
          <c:yVal>
            <c:numRef>
              <c:f>'Area summary'!$T$188:$T$195</c:f>
              <c:numCache>
                <c:formatCode>_("£"* #,##0.00_);_("£"* \(#,##0.00\);_("£"* "-"??_);_(@_)</c:formatCode>
                <c:ptCount val="8"/>
                <c:pt idx="0">
                  <c:v>126.83</c:v>
                </c:pt>
                <c:pt idx="1">
                  <c:v>91.87</c:v>
                </c:pt>
                <c:pt idx="2">
                  <c:v>106.89</c:v>
                </c:pt>
                <c:pt idx="3">
                  <c:v>116.52</c:v>
                </c:pt>
                <c:pt idx="4">
                  <c:v>133.04</c:v>
                </c:pt>
                <c:pt idx="5">
                  <c:v>172.39</c:v>
                </c:pt>
                <c:pt idx="6">
                  <c:v>107.4</c:v>
                </c:pt>
                <c:pt idx="7">
                  <c:v>109.83</c:v>
                </c:pt>
              </c:numCache>
            </c:numRef>
          </c:yVal>
          <c:smooth val="0"/>
          <c:extLst>
            <c:ext xmlns:c16="http://schemas.microsoft.com/office/drawing/2014/chart" uri="{C3380CC4-5D6E-409C-BE32-E72D297353CC}">
              <c16:uniqueId val="{00000001-9DF8-46CB-AA2B-3F05B6E95989}"/>
            </c:ext>
          </c:extLst>
        </c:ser>
        <c:dLbls>
          <c:showLegendKey val="0"/>
          <c:showVal val="0"/>
          <c:showCatName val="0"/>
          <c:showSerName val="0"/>
          <c:showPercent val="0"/>
          <c:showBubbleSize val="0"/>
        </c:dLbls>
        <c:axId val="650522624"/>
        <c:axId val="694391936"/>
      </c:scatterChart>
      <c:catAx>
        <c:axId val="65052262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694391936"/>
        <c:crosses val="autoZero"/>
        <c:auto val="1"/>
        <c:lblAlgn val="ctr"/>
        <c:lblOffset val="100"/>
        <c:noMultiLvlLbl val="0"/>
      </c:catAx>
      <c:valAx>
        <c:axId val="694391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2641522988505747"/>
            </c:manualLayout>
          </c:layout>
          <c:overlay val="0"/>
        </c:title>
        <c:numFmt formatCode="&quot;£&quot;#,##0" sourceLinked="0"/>
        <c:majorTickMark val="out"/>
        <c:minorTickMark val="none"/>
        <c:tickLblPos val="nextTo"/>
        <c:spPr>
          <a:ln>
            <a:solidFill>
              <a:schemeClr val="tx1"/>
            </a:solidFill>
          </a:ln>
        </c:spPr>
        <c:crossAx val="650522624"/>
        <c:crosses val="autoZero"/>
        <c:crossBetween val="between"/>
      </c:valAx>
    </c:plotArea>
    <c:legend>
      <c:legendPos val="b"/>
      <c:layout>
        <c:manualLayout>
          <c:xMode val="edge"/>
          <c:yMode val="edge"/>
          <c:x val="0.28468348675273075"/>
          <c:y val="0.91733609911664271"/>
          <c:w val="0.430632865669131"/>
          <c:h val="6.1158524539271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summary'!$B$205</c:f>
          <c:strCache>
            <c:ptCount val="1"/>
            <c:pt idx="0">
              <c:v>Average weekly gross rent (£ per week) and unit counts by unit size for </c:v>
            </c:pt>
          </c:strCache>
        </c:strRef>
      </c:tx>
      <c:layout>
        <c:manualLayout>
          <c:xMode val="edge"/>
          <c:yMode val="edge"/>
          <c:x val="1.6645785035260693E-3"/>
          <c:y val="5.5401678161909003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7079448038716"/>
          <c:w val="0.86046354166666672"/>
          <c:h val="0.46496681455149513"/>
        </c:manualLayout>
      </c:layout>
      <c:barChart>
        <c:barDir val="col"/>
        <c:grouping val="clustered"/>
        <c:varyColors val="0"/>
        <c:ser>
          <c:idx val="0"/>
          <c:order val="0"/>
          <c:tx>
            <c:v>Area Affordable Rent</c:v>
          </c:tx>
          <c:spPr>
            <a:solidFill>
              <a:srgbClr val="59468D"/>
            </a:solidFill>
            <a:ln w="6350">
              <a:noFill/>
            </a:ln>
          </c:spPr>
          <c:invertIfNegative val="0"/>
          <c:cat>
            <c:strLit>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Lit>
          </c:cat>
          <c:val>
            <c:numRef>
              <c:f>'Area summary'!$F$211:$F$220</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697-4D42-8141-4564FA37369E}"/>
            </c:ext>
          </c:extLst>
        </c:ser>
        <c:dLbls>
          <c:showLegendKey val="0"/>
          <c:showVal val="0"/>
          <c:showCatName val="0"/>
          <c:showSerName val="0"/>
          <c:showPercent val="0"/>
          <c:showBubbleSize val="0"/>
        </c:dLbls>
        <c:gapWidth val="150"/>
        <c:axId val="731063040"/>
        <c:axId val="731112576"/>
      </c:barChart>
      <c:lineChart>
        <c:grouping val="standard"/>
        <c:varyColors val="0"/>
        <c:ser>
          <c:idx val="1"/>
          <c:order val="1"/>
          <c:tx>
            <c:v>England Affordable Rent</c:v>
          </c:tx>
          <c:spPr>
            <a:ln>
              <a:noFill/>
            </a:ln>
          </c:spPr>
          <c:marker>
            <c:symbol val="dash"/>
            <c:size val="17"/>
            <c:spPr>
              <a:solidFill>
                <a:srgbClr val="FFC000"/>
              </a:solidFill>
              <a:ln>
                <a:noFill/>
              </a:ln>
            </c:spPr>
          </c:marker>
          <c:cat>
            <c:strRef>
              <c:f>'Area summary'!$B$211:$B$220</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summary'!$T$212:$T$221</c:f>
              <c:numCache>
                <c:formatCode>_("£"* #,##0.00_);_("£"* \(#,##0.00\);_("£"* "-"??_);_(@_)</c:formatCode>
                <c:ptCount val="10"/>
                <c:pt idx="0">
                  <c:v>116.94</c:v>
                </c:pt>
                <c:pt idx="1">
                  <c:v>154.9</c:v>
                </c:pt>
                <c:pt idx="2">
                  <c:v>139.82</c:v>
                </c:pt>
                <c:pt idx="3">
                  <c:v>151.5</c:v>
                </c:pt>
                <c:pt idx="4">
                  <c:v>163.54</c:v>
                </c:pt>
                <c:pt idx="5">
                  <c:v>207.12</c:v>
                </c:pt>
                <c:pt idx="6">
                  <c:v>197.58</c:v>
                </c:pt>
                <c:pt idx="7">
                  <c:v>222.65</c:v>
                </c:pt>
                <c:pt idx="8">
                  <c:v>154.41999999999999</c:v>
                </c:pt>
                <c:pt idx="9">
                  <c:v>154.41</c:v>
                </c:pt>
              </c:numCache>
            </c:numRef>
          </c:val>
          <c:smooth val="0"/>
          <c:extLst>
            <c:ext xmlns:c16="http://schemas.microsoft.com/office/drawing/2014/chart" uri="{C3380CC4-5D6E-409C-BE32-E72D297353CC}">
              <c16:uniqueId val="{00000001-9697-4D42-8141-4564FA37369E}"/>
            </c:ext>
          </c:extLst>
        </c:ser>
        <c:dLbls>
          <c:showLegendKey val="0"/>
          <c:showVal val="0"/>
          <c:showCatName val="0"/>
          <c:showSerName val="0"/>
          <c:showPercent val="0"/>
          <c:showBubbleSize val="0"/>
        </c:dLbls>
        <c:marker val="1"/>
        <c:smooth val="0"/>
        <c:axId val="731063040"/>
        <c:axId val="731112576"/>
      </c:lineChart>
      <c:catAx>
        <c:axId val="73106304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731112576"/>
        <c:crosses val="autoZero"/>
        <c:auto val="1"/>
        <c:lblAlgn val="ctr"/>
        <c:lblOffset val="100"/>
        <c:noMultiLvlLbl val="0"/>
      </c:catAx>
      <c:valAx>
        <c:axId val="73111257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731063040"/>
        <c:crosses val="autoZero"/>
        <c:crossBetween val="between"/>
      </c:valAx>
    </c:plotArea>
    <c:legend>
      <c:legendPos val="b"/>
      <c:layout>
        <c:manualLayout>
          <c:xMode val="edge"/>
          <c:yMode val="edge"/>
          <c:x val="0.22353136735193962"/>
          <c:y val="0.91733607578699961"/>
          <c:w val="0.5569659888292231"/>
          <c:h val="6.115854179960539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summary'!$B$227</c:f>
          <c:strCache>
            <c:ptCount val="1"/>
            <c:pt idx="0">
              <c:v>Average weekly gross rent (£ per week) and unit counts by unit size for </c:v>
            </c:pt>
          </c:strCache>
        </c:strRef>
      </c:tx>
      <c:layout>
        <c:manualLayout>
          <c:xMode val="edge"/>
          <c:yMode val="edge"/>
          <c:x val="1.8640918461690365E-3"/>
          <c:y val="6.176182955428957E-2"/>
        </c:manualLayout>
      </c:layout>
      <c:overlay val="0"/>
      <c:txPr>
        <a:bodyPr anchor="ctr" anchorCtr="1"/>
        <a:lstStyle/>
        <a:p>
          <a:pPr algn="l">
            <a:defRPr sz="1200" b="0">
              <a:solidFill>
                <a:srgbClr val="59468D"/>
              </a:solidFill>
            </a:defRPr>
          </a:pPr>
          <a:endParaRPr lang="en-US"/>
        </a:p>
      </c:txPr>
    </c:title>
    <c:autoTitleDeleted val="0"/>
    <c:plotArea>
      <c:layout>
        <c:manualLayout>
          <c:layoutTarget val="inner"/>
          <c:xMode val="edge"/>
          <c:yMode val="edge"/>
          <c:x val="0.11528298611111111"/>
          <c:y val="0.20088264590194924"/>
          <c:w val="0.86046354166666672"/>
          <c:h val="0.46132716789902645"/>
        </c:manualLayout>
      </c:layout>
      <c:barChart>
        <c:barDir val="col"/>
        <c:grouping val="clustered"/>
        <c:varyColors val="0"/>
        <c:ser>
          <c:idx val="0"/>
          <c:order val="0"/>
          <c:tx>
            <c:v>Area Affordable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summary'!$F$233:$F$240</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0B0-42E0-80DE-ED7390B1D42E}"/>
            </c:ext>
          </c:extLst>
        </c:ser>
        <c:dLbls>
          <c:showLegendKey val="0"/>
          <c:showVal val="0"/>
          <c:showCatName val="0"/>
          <c:showSerName val="0"/>
          <c:showPercent val="0"/>
          <c:showBubbleSize val="0"/>
        </c:dLbls>
        <c:gapWidth val="150"/>
        <c:axId val="166952960"/>
        <c:axId val="166954880"/>
      </c:barChart>
      <c:lineChart>
        <c:grouping val="standard"/>
        <c:varyColors val="0"/>
        <c:ser>
          <c:idx val="1"/>
          <c:order val="1"/>
          <c:tx>
            <c:v>England Affordable Rent</c:v>
          </c:tx>
          <c:spPr>
            <a:ln>
              <a:noFill/>
            </a:ln>
          </c:spPr>
          <c:marker>
            <c:symbol val="dash"/>
            <c:size val="21"/>
            <c:spPr>
              <a:solidFill>
                <a:srgbClr val="FFC000"/>
              </a:solidFill>
              <a:ln>
                <a:noFill/>
              </a:ln>
            </c:spPr>
          </c:marker>
          <c:cat>
            <c:strRef>
              <c:f>'Area summary'!$B$233:$B$240</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summary'!$T$233:$T$240</c:f>
              <c:numCache>
                <c:formatCode>_("£"* #,##0.00_);_("£"* \(#,##0.00\);_("£"* "-"??_);_(@_)</c:formatCode>
                <c:ptCount val="8"/>
                <c:pt idx="0">
                  <c:v>268.17</c:v>
                </c:pt>
                <c:pt idx="1">
                  <c:v>219.36</c:v>
                </c:pt>
                <c:pt idx="2">
                  <c:v>211.84</c:v>
                </c:pt>
                <c:pt idx="3">
                  <c:v>214.75</c:v>
                </c:pt>
                <c:pt idx="4">
                  <c:v>215.91</c:v>
                </c:pt>
                <c:pt idx="5">
                  <c:v>230.76</c:v>
                </c:pt>
                <c:pt idx="6">
                  <c:v>213.38</c:v>
                </c:pt>
                <c:pt idx="7">
                  <c:v>215.76</c:v>
                </c:pt>
              </c:numCache>
            </c:numRef>
          </c:val>
          <c:smooth val="0"/>
          <c:extLst>
            <c:ext xmlns:c16="http://schemas.microsoft.com/office/drawing/2014/chart" uri="{C3380CC4-5D6E-409C-BE32-E72D297353CC}">
              <c16:uniqueId val="{00000008-D0B0-42E0-80DE-ED7390B1D42E}"/>
            </c:ext>
          </c:extLst>
        </c:ser>
        <c:dLbls>
          <c:showLegendKey val="0"/>
          <c:showVal val="0"/>
          <c:showCatName val="0"/>
          <c:showSerName val="0"/>
          <c:showPercent val="0"/>
          <c:showBubbleSize val="0"/>
        </c:dLbls>
        <c:marker val="1"/>
        <c:smooth val="0"/>
        <c:axId val="166952960"/>
        <c:axId val="166954880"/>
      </c:lineChart>
      <c:catAx>
        <c:axId val="16695296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166954880"/>
        <c:crosses val="autoZero"/>
        <c:auto val="0"/>
        <c:lblAlgn val="ctr"/>
        <c:lblOffset val="100"/>
        <c:noMultiLvlLbl val="0"/>
      </c:catAx>
      <c:valAx>
        <c:axId val="1669548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a:t>
                </a:r>
                <a:r>
                  <a:rPr lang="en-GB" baseline="0"/>
                  <a:t> per week</a:t>
                </a:r>
                <a:endParaRPr lang="en-GB"/>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166952960"/>
        <c:crosses val="autoZero"/>
        <c:crossBetween val="between"/>
      </c:valAx>
    </c:plotArea>
    <c:legend>
      <c:legendPos val="b"/>
      <c:layout>
        <c:manualLayout>
          <c:xMode val="edge"/>
          <c:yMode val="edge"/>
          <c:x val="0.20623949304738987"/>
          <c:y val="0.91715794415784235"/>
          <c:w val="0.55193972729208629"/>
          <c:h val="6.129033170422662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summary'!$S$9</c:f>
          <c:strCache>
            <c:ptCount val="1"/>
            <c:pt idx="0">
              <c:v>Average weekly net rent (£ per week) for England - large PRPs</c:v>
            </c:pt>
          </c:strCache>
        </c:strRef>
      </c:tx>
      <c:layout>
        <c:manualLayout>
          <c:xMode val="edge"/>
          <c:yMode val="edge"/>
          <c:x val="3.3132922643244934E-4"/>
          <c:y val="4.7512253739366919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0"/>
          <c:order val="0"/>
          <c:tx>
            <c:strRef>
              <c:f>'Area summary'!$B$79</c:f>
              <c:strCache>
                <c:ptCount val="1"/>
              </c:strCache>
            </c:strRef>
          </c:tx>
          <c:spPr>
            <a:solidFill>
              <a:srgbClr val="59468D"/>
            </a:solidFill>
            <a:ln w="6350">
              <a:noFill/>
            </a:ln>
          </c:spPr>
          <c:invertIfNegative val="0"/>
          <c:dPt>
            <c:idx val="0"/>
            <c:invertIfNegative val="0"/>
            <c:bubble3D val="0"/>
            <c:extLst>
              <c:ext xmlns:c16="http://schemas.microsoft.com/office/drawing/2014/chart" uri="{C3380CC4-5D6E-409C-BE32-E72D297353CC}">
                <c16:uniqueId val="{00000000-B074-416D-9782-E5D528C5815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summary'!$C$79</c:f>
              <c:numCache>
                <c:formatCode>"£"#,##0.00;\-#,##0.00_-;"-"</c:formatCode>
                <c:ptCount val="1"/>
                <c:pt idx="0">
                  <c:v>0</c:v>
                </c:pt>
              </c:numCache>
            </c:numRef>
          </c:val>
          <c:extLst>
            <c:ext xmlns:c16="http://schemas.microsoft.com/office/drawing/2014/chart" uri="{C3380CC4-5D6E-409C-BE32-E72D297353CC}">
              <c16:uniqueId val="{00000001-B074-416D-9782-E5D528C58158}"/>
            </c:ext>
          </c:extLst>
        </c:ser>
        <c:ser>
          <c:idx val="1"/>
          <c:order val="1"/>
          <c:tx>
            <c:strRef>
              <c:f>'Area summary'!$B$80</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summary'!$C$80</c:f>
              <c:numCache>
                <c:formatCode>"£"#,##0.00;\-#,##0.00_-;"-"</c:formatCode>
                <c:ptCount val="1"/>
                <c:pt idx="0">
                  <c:v>0</c:v>
                </c:pt>
              </c:numCache>
            </c:numRef>
          </c:val>
          <c:extLst>
            <c:ext xmlns:c16="http://schemas.microsoft.com/office/drawing/2014/chart" uri="{C3380CC4-5D6E-409C-BE32-E72D297353CC}">
              <c16:uniqueId val="{00000002-B074-416D-9782-E5D528C58158}"/>
            </c:ext>
          </c:extLst>
        </c:ser>
        <c:ser>
          <c:idx val="2"/>
          <c:order val="2"/>
          <c:tx>
            <c:strRef>
              <c:f>'Area summary'!$B$81</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summary'!$C$81</c:f>
              <c:numCache>
                <c:formatCode>"£"#,##0.00;\-#,##0.00_-;"-"</c:formatCode>
                <c:ptCount val="1"/>
                <c:pt idx="0">
                  <c:v>109.44</c:v>
                </c:pt>
              </c:numCache>
            </c:numRef>
          </c:val>
          <c:extLst>
            <c:ext xmlns:c16="http://schemas.microsoft.com/office/drawing/2014/chart" uri="{C3380CC4-5D6E-409C-BE32-E72D297353CC}">
              <c16:uniqueId val="{00000003-B074-416D-9782-E5D528C58158}"/>
            </c:ext>
          </c:extLst>
        </c:ser>
        <c:dLbls>
          <c:showLegendKey val="0"/>
          <c:showVal val="0"/>
          <c:showCatName val="0"/>
          <c:showSerName val="0"/>
          <c:showPercent val="0"/>
          <c:showBubbleSize val="0"/>
        </c:dLbls>
        <c:gapWidth val="300"/>
        <c:overlap val="-100"/>
        <c:axId val="166967936"/>
        <c:axId val="166973824"/>
      </c:barChart>
      <c:catAx>
        <c:axId val="16696793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73824"/>
        <c:crosses val="autoZero"/>
        <c:auto val="1"/>
        <c:lblAlgn val="ctr"/>
        <c:lblOffset val="100"/>
        <c:noMultiLvlLbl val="0"/>
      </c:catAx>
      <c:valAx>
        <c:axId val="16697382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6793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summary'!$S$10</c:f>
          <c:strCache>
            <c:ptCount val="1"/>
            <c:pt idx="0">
              <c:v>Average weekly net rent (£ per week) for England - large PRPs</c:v>
            </c:pt>
          </c:strCache>
        </c:strRef>
      </c:tx>
      <c:layout>
        <c:manualLayout>
          <c:xMode val="edge"/>
          <c:yMode val="edge"/>
          <c:x val="3.3115482810189127E-4"/>
          <c:y val="5.7631363662405441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summary'!$B$102</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summary'!$C$102</c:f>
              <c:numCache>
                <c:formatCode>"£"#,##0.00;\-#,##0.00_-;"-"</c:formatCode>
                <c:ptCount val="1"/>
                <c:pt idx="0">
                  <c:v>0</c:v>
                </c:pt>
              </c:numCache>
            </c:numRef>
          </c:val>
          <c:extLst>
            <c:ext xmlns:c16="http://schemas.microsoft.com/office/drawing/2014/chart" uri="{C3380CC4-5D6E-409C-BE32-E72D297353CC}">
              <c16:uniqueId val="{00000000-36F7-4165-AB32-01E1353968A9}"/>
            </c:ext>
          </c:extLst>
        </c:ser>
        <c:ser>
          <c:idx val="1"/>
          <c:order val="1"/>
          <c:tx>
            <c:strRef>
              <c:f>'Area summary'!$B$103</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summary'!$C$103</c:f>
              <c:numCache>
                <c:formatCode>"£"#,##0.00;\-#,##0.00_-;"-"</c:formatCode>
                <c:ptCount val="1"/>
                <c:pt idx="0">
                  <c:v>0</c:v>
                </c:pt>
              </c:numCache>
            </c:numRef>
          </c:val>
          <c:extLst>
            <c:ext xmlns:c16="http://schemas.microsoft.com/office/drawing/2014/chart" uri="{C3380CC4-5D6E-409C-BE32-E72D297353CC}">
              <c16:uniqueId val="{00000001-36F7-4165-AB32-01E1353968A9}"/>
            </c:ext>
          </c:extLst>
        </c:ser>
        <c:ser>
          <c:idx val="2"/>
          <c:order val="2"/>
          <c:tx>
            <c:strRef>
              <c:f>'Area summary'!$B$104</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summary'!$C$104</c:f>
              <c:numCache>
                <c:formatCode>"£"#,##0.00;\-#,##0.00_-;"-"</c:formatCode>
                <c:ptCount val="1"/>
                <c:pt idx="0">
                  <c:v>109.83</c:v>
                </c:pt>
              </c:numCache>
            </c:numRef>
          </c:val>
          <c:extLst>
            <c:ext xmlns:c16="http://schemas.microsoft.com/office/drawing/2014/chart" uri="{C3380CC4-5D6E-409C-BE32-E72D297353CC}">
              <c16:uniqueId val="{00000002-36F7-4165-AB32-01E1353968A9}"/>
            </c:ext>
          </c:extLst>
        </c:ser>
        <c:dLbls>
          <c:showLegendKey val="0"/>
          <c:showVal val="0"/>
          <c:showCatName val="0"/>
          <c:showSerName val="0"/>
          <c:showPercent val="0"/>
          <c:showBubbleSize val="0"/>
        </c:dLbls>
        <c:gapWidth val="300"/>
        <c:overlap val="-100"/>
        <c:axId val="166986496"/>
        <c:axId val="166988032"/>
      </c:barChart>
      <c:catAx>
        <c:axId val="16698649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88032"/>
        <c:crosses val="autoZero"/>
        <c:auto val="1"/>
        <c:lblAlgn val="ctr"/>
        <c:lblOffset val="100"/>
        <c:noMultiLvlLbl val="0"/>
      </c:catAx>
      <c:valAx>
        <c:axId val="166988032"/>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86496"/>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summary'!$S$11</c:f>
          <c:strCache>
            <c:ptCount val="1"/>
            <c:pt idx="0">
              <c:v>Average weekly gross rent (£ per week) for England</c:v>
            </c:pt>
          </c:strCache>
        </c:strRef>
      </c:tx>
      <c:layout>
        <c:manualLayout>
          <c:xMode val="edge"/>
          <c:yMode val="edge"/>
          <c:x val="3.3116338374578031E-4"/>
          <c:y val="5.3937953046727882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summary'!$B$124</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summary'!$F$124</c:f>
              <c:numCache>
                <c:formatCode>"£"#,##0.00;\-#,##0.00_-;"-"</c:formatCode>
                <c:ptCount val="1"/>
                <c:pt idx="0">
                  <c:v>0</c:v>
                </c:pt>
              </c:numCache>
            </c:numRef>
          </c:val>
          <c:extLst>
            <c:ext xmlns:c16="http://schemas.microsoft.com/office/drawing/2014/chart" uri="{C3380CC4-5D6E-409C-BE32-E72D297353CC}">
              <c16:uniqueId val="{00000000-23A8-46FC-B09A-46CE2D90FD0C}"/>
            </c:ext>
          </c:extLst>
        </c:ser>
        <c:ser>
          <c:idx val="1"/>
          <c:order val="1"/>
          <c:tx>
            <c:strRef>
              <c:f>'Area summary'!$B$125</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summary'!$F$125</c:f>
              <c:numCache>
                <c:formatCode>"£"#,##0.00;\-#,##0.00_-;"-"</c:formatCode>
                <c:ptCount val="1"/>
                <c:pt idx="0">
                  <c:v>0</c:v>
                </c:pt>
              </c:numCache>
            </c:numRef>
          </c:val>
          <c:extLst>
            <c:ext xmlns:c16="http://schemas.microsoft.com/office/drawing/2014/chart" uri="{C3380CC4-5D6E-409C-BE32-E72D297353CC}">
              <c16:uniqueId val="{00000001-23A8-46FC-B09A-46CE2D90FD0C}"/>
            </c:ext>
          </c:extLst>
        </c:ser>
        <c:ser>
          <c:idx val="2"/>
          <c:order val="2"/>
          <c:tx>
            <c:strRef>
              <c:f>'Area summary'!$B$126</c:f>
              <c:strCache>
                <c:ptCount val="1"/>
                <c:pt idx="0">
                  <c:v>England</c:v>
                </c:pt>
              </c:strCache>
            </c:strRef>
          </c:tx>
          <c:spPr>
            <a:solidFill>
              <a:srgbClr val="FCBE37"/>
            </a:solidFill>
            <a:ln w="6350">
              <a:noFill/>
            </a:ln>
          </c:spPr>
          <c:invertIfNegative val="0"/>
          <c:dPt>
            <c:idx val="0"/>
            <c:invertIfNegative val="0"/>
            <c:bubble3D val="0"/>
            <c:extLst>
              <c:ext xmlns:c16="http://schemas.microsoft.com/office/drawing/2014/chart" uri="{C3380CC4-5D6E-409C-BE32-E72D297353CC}">
                <c16:uniqueId val="{00000002-23A8-46FC-B09A-46CE2D90FD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summary'!$F$126</c:f>
              <c:numCache>
                <c:formatCode>"£"#,##0.00;\-#,##0.00_-;"-"</c:formatCode>
                <c:ptCount val="1"/>
                <c:pt idx="0">
                  <c:v>154.41</c:v>
                </c:pt>
              </c:numCache>
            </c:numRef>
          </c:val>
          <c:extLst>
            <c:ext xmlns:c16="http://schemas.microsoft.com/office/drawing/2014/chart" uri="{C3380CC4-5D6E-409C-BE32-E72D297353CC}">
              <c16:uniqueId val="{00000003-23A8-46FC-B09A-46CE2D90FD0C}"/>
            </c:ext>
          </c:extLst>
        </c:ser>
        <c:dLbls>
          <c:showLegendKey val="0"/>
          <c:showVal val="0"/>
          <c:showCatName val="0"/>
          <c:showSerName val="0"/>
          <c:showPercent val="0"/>
          <c:showBubbleSize val="0"/>
        </c:dLbls>
        <c:gapWidth val="300"/>
        <c:overlap val="-100"/>
        <c:axId val="167001088"/>
        <c:axId val="167002880"/>
      </c:barChart>
      <c:catAx>
        <c:axId val="16700108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02880"/>
        <c:crosses val="autoZero"/>
        <c:auto val="1"/>
        <c:lblAlgn val="ctr"/>
        <c:lblOffset val="100"/>
        <c:noMultiLvlLbl val="0"/>
      </c:catAx>
      <c:valAx>
        <c:axId val="16700288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010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summary'!$S$12</c:f>
          <c:strCache>
            <c:ptCount val="1"/>
            <c:pt idx="0">
              <c:v>Average weekly gross rent (£ per week) for England</c:v>
            </c:pt>
          </c:strCache>
        </c:strRef>
      </c:tx>
      <c:layout>
        <c:manualLayout>
          <c:xMode val="edge"/>
          <c:yMode val="edge"/>
          <c:x val="3.311632742408872E-4"/>
          <c:y val="5.393796873309594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summary'!$B$145</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summary'!$F$145</c:f>
              <c:numCache>
                <c:formatCode>"£"#,##0.00;\-#,##0.00_-;"-"</c:formatCode>
                <c:ptCount val="1"/>
                <c:pt idx="0">
                  <c:v>0</c:v>
                </c:pt>
              </c:numCache>
            </c:numRef>
          </c:val>
          <c:extLst>
            <c:ext xmlns:c16="http://schemas.microsoft.com/office/drawing/2014/chart" uri="{C3380CC4-5D6E-409C-BE32-E72D297353CC}">
              <c16:uniqueId val="{00000000-D16A-4E60-B9C2-17EF9A42DA7F}"/>
            </c:ext>
          </c:extLst>
        </c:ser>
        <c:ser>
          <c:idx val="1"/>
          <c:order val="1"/>
          <c:tx>
            <c:strRef>
              <c:f>'Area summary'!$B$146</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summary'!$F$146</c:f>
              <c:numCache>
                <c:formatCode>"£"#,##0.00;\-#,##0.00_-;"-"</c:formatCode>
                <c:ptCount val="1"/>
                <c:pt idx="0">
                  <c:v>0</c:v>
                </c:pt>
              </c:numCache>
            </c:numRef>
          </c:val>
          <c:extLst>
            <c:ext xmlns:c16="http://schemas.microsoft.com/office/drawing/2014/chart" uri="{C3380CC4-5D6E-409C-BE32-E72D297353CC}">
              <c16:uniqueId val="{00000001-D16A-4E60-B9C2-17EF9A42DA7F}"/>
            </c:ext>
          </c:extLst>
        </c:ser>
        <c:ser>
          <c:idx val="2"/>
          <c:order val="2"/>
          <c:tx>
            <c:strRef>
              <c:f>'Area summary'!$B$147</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summary'!$F$147</c:f>
              <c:numCache>
                <c:formatCode>"£"#,##0.00;\-#,##0.00_-;"-"</c:formatCode>
                <c:ptCount val="1"/>
                <c:pt idx="0">
                  <c:v>215.76</c:v>
                </c:pt>
              </c:numCache>
            </c:numRef>
          </c:val>
          <c:extLst>
            <c:ext xmlns:c16="http://schemas.microsoft.com/office/drawing/2014/chart" uri="{C3380CC4-5D6E-409C-BE32-E72D297353CC}">
              <c16:uniqueId val="{00000002-D16A-4E60-B9C2-17EF9A42DA7F}"/>
            </c:ext>
          </c:extLst>
        </c:ser>
        <c:dLbls>
          <c:showLegendKey val="0"/>
          <c:showVal val="0"/>
          <c:showCatName val="0"/>
          <c:showSerName val="0"/>
          <c:showPercent val="0"/>
          <c:showBubbleSize val="0"/>
        </c:dLbls>
        <c:gapWidth val="300"/>
        <c:overlap val="-100"/>
        <c:axId val="167019648"/>
        <c:axId val="167021184"/>
      </c:barChart>
      <c:catAx>
        <c:axId val="16701964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21184"/>
        <c:crosses val="autoZero"/>
        <c:auto val="1"/>
        <c:lblAlgn val="ctr"/>
        <c:lblOffset val="100"/>
        <c:noMultiLvlLbl val="0"/>
      </c:catAx>
      <c:valAx>
        <c:axId val="16702118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3.3607365448823763E-4"/>
              <c:y val="0.3670656337996698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1964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6327245</xdr:colOff>
      <xdr:row>0</xdr:row>
      <xdr:rowOff>200686</xdr:rowOff>
    </xdr:from>
    <xdr:to>
      <xdr:col>10</xdr:col>
      <xdr:colOff>525478</xdr:colOff>
      <xdr:row>6</xdr:row>
      <xdr:rowOff>144656</xdr:rowOff>
    </xdr:to>
    <xdr:sp macro="" textlink="">
      <xdr:nvSpPr>
        <xdr:cNvPr id="2" name="Text Box 2">
          <a:extLst>
            <a:ext uri="{FF2B5EF4-FFF2-40B4-BE49-F238E27FC236}">
              <a16:creationId xmlns:a16="http://schemas.microsoft.com/office/drawing/2014/main" id="{9AF8DD79-ADCE-446B-8CDD-6C57BB5FEAF8}"/>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2024/25?</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oneCellAnchor>
    <xdr:from>
      <xdr:col>1</xdr:col>
      <xdr:colOff>114301</xdr:colOff>
      <xdr:row>1</xdr:row>
      <xdr:rowOff>187325</xdr:rowOff>
    </xdr:from>
    <xdr:ext cx="1993900" cy="1058908"/>
    <xdr:pic>
      <xdr:nvPicPr>
        <xdr:cNvPr id="3" name="Picture 2">
          <a:extLst>
            <a:ext uri="{FF2B5EF4-FFF2-40B4-BE49-F238E27FC236}">
              <a16:creationId xmlns:a16="http://schemas.microsoft.com/office/drawing/2014/main" id="{CDA1621D-652D-4F76-B609-9D7A2A785066}"/>
            </a:ext>
          </a:extLst>
        </xdr:cNvPr>
        <xdr:cNvPicPr>
          <a:picLocks noChangeAspect="1"/>
        </xdr:cNvPicPr>
      </xdr:nvPicPr>
      <xdr:blipFill>
        <a:blip xmlns:r="http://schemas.openxmlformats.org/officeDocument/2006/relationships" r:embed="rId1"/>
        <a:stretch>
          <a:fillRect/>
        </a:stretch>
      </xdr:blipFill>
      <xdr:spPr>
        <a:xfrm>
          <a:off x="466726" y="415925"/>
          <a:ext cx="1993900" cy="10589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xdr:row>
      <xdr:rowOff>28575</xdr:rowOff>
    </xdr:from>
    <xdr:ext cx="1571751" cy="800100"/>
    <xdr:pic>
      <xdr:nvPicPr>
        <xdr:cNvPr id="2" name="Picture 1">
          <a:extLst>
            <a:ext uri="{FF2B5EF4-FFF2-40B4-BE49-F238E27FC236}">
              <a16:creationId xmlns:a16="http://schemas.microsoft.com/office/drawing/2014/main" id="{3FC541C5-2045-46D7-92AC-EFCFC5C16592}"/>
            </a:ext>
          </a:extLst>
        </xdr:cNvPr>
        <xdr:cNvPicPr>
          <a:picLocks noChangeAspect="1"/>
        </xdr:cNvPicPr>
      </xdr:nvPicPr>
      <xdr:blipFill>
        <a:blip xmlns:r="http://schemas.openxmlformats.org/officeDocument/2006/relationships" r:embed="rId1"/>
        <a:stretch>
          <a:fillRect/>
        </a:stretch>
      </xdr:blipFill>
      <xdr:spPr>
        <a:xfrm>
          <a:off x="390525" y="323850"/>
          <a:ext cx="1571751" cy="8001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xdr:row>
      <xdr:rowOff>66675</xdr:rowOff>
    </xdr:from>
    <xdr:ext cx="1540565" cy="784225"/>
    <xdr:pic>
      <xdr:nvPicPr>
        <xdr:cNvPr id="2" name="Picture 1">
          <a:extLst>
            <a:ext uri="{FF2B5EF4-FFF2-40B4-BE49-F238E27FC236}">
              <a16:creationId xmlns:a16="http://schemas.microsoft.com/office/drawing/2014/main" id="{EF65AFA1-9E20-4774-BFCC-800881C46400}"/>
            </a:ext>
          </a:extLst>
        </xdr:cNvPr>
        <xdr:cNvPicPr>
          <a:picLocks noChangeAspect="1"/>
        </xdr:cNvPicPr>
      </xdr:nvPicPr>
      <xdr:blipFill>
        <a:blip xmlns:r="http://schemas.openxmlformats.org/officeDocument/2006/relationships" r:embed="rId1"/>
        <a:stretch>
          <a:fillRect/>
        </a:stretch>
      </xdr:blipFill>
      <xdr:spPr>
        <a:xfrm>
          <a:off x="409575" y="361950"/>
          <a:ext cx="1540565" cy="7842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95249</xdr:colOff>
      <xdr:row>48</xdr:row>
      <xdr:rowOff>133351</xdr:rowOff>
    </xdr:from>
    <xdr:to>
      <xdr:col>12</xdr:col>
      <xdr:colOff>647700</xdr:colOff>
      <xdr:row>50</xdr:row>
      <xdr:rowOff>57151</xdr:rowOff>
    </xdr:to>
    <xdr:sp macro="" textlink="">
      <xdr:nvSpPr>
        <xdr:cNvPr id="12" name="TextBox 11">
          <a:extLst>
            <a:ext uri="{FF2B5EF4-FFF2-40B4-BE49-F238E27FC236}">
              <a16:creationId xmlns:a16="http://schemas.microsoft.com/office/drawing/2014/main" id="{C70FA23F-396B-4E45-AA7D-55A3898DD74A}"/>
            </a:ext>
          </a:extLst>
        </xdr:cNvPr>
        <xdr:cNvSpPr txBox="1"/>
      </xdr:nvSpPr>
      <xdr:spPr>
        <a:xfrm>
          <a:off x="6810374" y="8667751"/>
          <a:ext cx="4514851"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171444</xdr:colOff>
      <xdr:row>6</xdr:row>
      <xdr:rowOff>6351</xdr:rowOff>
    </xdr:from>
    <xdr:to>
      <xdr:col>15</xdr:col>
      <xdr:colOff>0</xdr:colOff>
      <xdr:row>26</xdr:row>
      <xdr:rowOff>789</xdr:rowOff>
    </xdr:to>
    <xdr:graphicFrame macro="">
      <xdr:nvGraphicFramePr>
        <xdr:cNvPr id="22" name="Chart 21">
          <a:extLst>
            <a:ext uri="{FF2B5EF4-FFF2-40B4-BE49-F238E27FC236}">
              <a16:creationId xmlns:a16="http://schemas.microsoft.com/office/drawing/2014/main" id="{AFE14792-713D-45E5-B589-9195E5F1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25386</xdr:colOff>
      <xdr:row>159</xdr:row>
      <xdr:rowOff>938</xdr:rowOff>
    </xdr:from>
    <xdr:to>
      <xdr:col>15</xdr:col>
      <xdr:colOff>3174</xdr:colOff>
      <xdr:row>180</xdr:row>
      <xdr:rowOff>1765</xdr:rowOff>
    </xdr:to>
    <xdr:graphicFrame macro="">
      <xdr:nvGraphicFramePr>
        <xdr:cNvPr id="23" name="Chart 22">
          <a:extLst>
            <a:ext uri="{FF2B5EF4-FFF2-40B4-BE49-F238E27FC236}">
              <a16:creationId xmlns:a16="http://schemas.microsoft.com/office/drawing/2014/main" id="{53DD75FF-18B2-4F70-83AE-6749033AA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12680</xdr:colOff>
      <xdr:row>181</xdr:row>
      <xdr:rowOff>6935</xdr:rowOff>
    </xdr:from>
    <xdr:to>
      <xdr:col>15</xdr:col>
      <xdr:colOff>3174</xdr:colOff>
      <xdr:row>202</xdr:row>
      <xdr:rowOff>0</xdr:rowOff>
    </xdr:to>
    <xdr:graphicFrame macro="">
      <xdr:nvGraphicFramePr>
        <xdr:cNvPr id="24" name="Chart 23">
          <a:extLst>
            <a:ext uri="{FF2B5EF4-FFF2-40B4-BE49-F238E27FC236}">
              <a16:creationId xmlns:a16="http://schemas.microsoft.com/office/drawing/2014/main" id="{A011D1F8-CD61-4BE1-94FA-5ED3E6A76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11088</xdr:colOff>
      <xdr:row>203</xdr:row>
      <xdr:rowOff>3048</xdr:rowOff>
    </xdr:from>
    <xdr:to>
      <xdr:col>15</xdr:col>
      <xdr:colOff>3174</xdr:colOff>
      <xdr:row>224</xdr:row>
      <xdr:rowOff>0</xdr:rowOff>
    </xdr:to>
    <xdr:graphicFrame macro="">
      <xdr:nvGraphicFramePr>
        <xdr:cNvPr id="25" name="Chart 24">
          <a:extLst>
            <a:ext uri="{FF2B5EF4-FFF2-40B4-BE49-F238E27FC236}">
              <a16:creationId xmlns:a16="http://schemas.microsoft.com/office/drawing/2014/main" id="{68FA4ABD-F4A3-4D83-9D29-C759E422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3165</xdr:colOff>
      <xdr:row>225</xdr:row>
      <xdr:rowOff>7102</xdr:rowOff>
    </xdr:from>
    <xdr:to>
      <xdr:col>15</xdr:col>
      <xdr:colOff>3174</xdr:colOff>
      <xdr:row>246</xdr:row>
      <xdr:rowOff>0</xdr:rowOff>
    </xdr:to>
    <xdr:graphicFrame macro="">
      <xdr:nvGraphicFramePr>
        <xdr:cNvPr id="26" name="Chart 25">
          <a:extLst>
            <a:ext uri="{FF2B5EF4-FFF2-40B4-BE49-F238E27FC236}">
              <a16:creationId xmlns:a16="http://schemas.microsoft.com/office/drawing/2014/main" id="{F303FD5D-982E-4C86-8120-538FD9F2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1580</xdr:colOff>
      <xdr:row>70</xdr:row>
      <xdr:rowOff>956</xdr:rowOff>
    </xdr:from>
    <xdr:to>
      <xdr:col>15</xdr:col>
      <xdr:colOff>3174</xdr:colOff>
      <xdr:row>92</xdr:row>
      <xdr:rowOff>11353</xdr:rowOff>
    </xdr:to>
    <xdr:graphicFrame macro="">
      <xdr:nvGraphicFramePr>
        <xdr:cNvPr id="27" name="Chart 26">
          <a:extLst>
            <a:ext uri="{FF2B5EF4-FFF2-40B4-BE49-F238E27FC236}">
              <a16:creationId xmlns:a16="http://schemas.microsoft.com/office/drawing/2014/main" id="{7FE43D7F-6C58-4BE7-A27B-B4B1B7BB2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14268</xdr:colOff>
      <xdr:row>92</xdr:row>
      <xdr:rowOff>170745</xdr:rowOff>
    </xdr:from>
    <xdr:to>
      <xdr:col>15</xdr:col>
      <xdr:colOff>3174</xdr:colOff>
      <xdr:row>114</xdr:row>
      <xdr:rowOff>0</xdr:rowOff>
    </xdr:to>
    <xdr:graphicFrame macro="">
      <xdr:nvGraphicFramePr>
        <xdr:cNvPr id="28" name="Chart 27">
          <a:extLst>
            <a:ext uri="{FF2B5EF4-FFF2-40B4-BE49-F238E27FC236}">
              <a16:creationId xmlns:a16="http://schemas.microsoft.com/office/drawing/2014/main" id="{AD5EB069-28E7-4A0A-8F62-156A89AC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115</xdr:row>
      <xdr:rowOff>1147</xdr:rowOff>
    </xdr:from>
    <xdr:to>
      <xdr:col>15</xdr:col>
      <xdr:colOff>3174</xdr:colOff>
      <xdr:row>136</xdr:row>
      <xdr:rowOff>1983</xdr:rowOff>
    </xdr:to>
    <xdr:graphicFrame macro="">
      <xdr:nvGraphicFramePr>
        <xdr:cNvPr id="29" name="Chart 28">
          <a:extLst>
            <a:ext uri="{FF2B5EF4-FFF2-40B4-BE49-F238E27FC236}">
              <a16:creationId xmlns:a16="http://schemas.microsoft.com/office/drawing/2014/main" id="{9B85CEE8-20B4-4287-853D-25AD99F12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12701</xdr:colOff>
      <xdr:row>137</xdr:row>
      <xdr:rowOff>3001</xdr:rowOff>
    </xdr:from>
    <xdr:to>
      <xdr:col>15</xdr:col>
      <xdr:colOff>3174</xdr:colOff>
      <xdr:row>158</xdr:row>
      <xdr:rowOff>0</xdr:rowOff>
    </xdr:to>
    <xdr:graphicFrame macro="">
      <xdr:nvGraphicFramePr>
        <xdr:cNvPr id="30" name="Chart 29">
          <a:extLst>
            <a:ext uri="{FF2B5EF4-FFF2-40B4-BE49-F238E27FC236}">
              <a16:creationId xmlns:a16="http://schemas.microsoft.com/office/drawing/2014/main" id="{133E5582-E0DE-4A8B-B4A0-1EA4397CB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171449</xdr:colOff>
      <xdr:row>49</xdr:row>
      <xdr:rowOff>1716</xdr:rowOff>
    </xdr:from>
    <xdr:to>
      <xdr:col>15</xdr:col>
      <xdr:colOff>3174</xdr:colOff>
      <xdr:row>69</xdr:row>
      <xdr:rowOff>2504</xdr:rowOff>
    </xdr:to>
    <xdr:graphicFrame macro="">
      <xdr:nvGraphicFramePr>
        <xdr:cNvPr id="31" name="Chart 30">
          <a:extLst>
            <a:ext uri="{FF2B5EF4-FFF2-40B4-BE49-F238E27FC236}">
              <a16:creationId xmlns:a16="http://schemas.microsoft.com/office/drawing/2014/main" id="{56ED61F9-FB8B-45EE-9BE3-734272025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107949</xdr:colOff>
      <xdr:row>48</xdr:row>
      <xdr:rowOff>168276</xdr:rowOff>
    </xdr:from>
    <xdr:to>
      <xdr:col>12</xdr:col>
      <xdr:colOff>654050</xdr:colOff>
      <xdr:row>50</xdr:row>
      <xdr:rowOff>38100</xdr:rowOff>
    </xdr:to>
    <xdr:sp macro="" textlink="">
      <xdr:nvSpPr>
        <xdr:cNvPr id="32" name="TextBox 31">
          <a:extLst>
            <a:ext uri="{FF2B5EF4-FFF2-40B4-BE49-F238E27FC236}">
              <a16:creationId xmlns:a16="http://schemas.microsoft.com/office/drawing/2014/main" id="{8D035E02-9079-4790-A955-194C81E98DB2}"/>
            </a:ext>
          </a:extLst>
        </xdr:cNvPr>
        <xdr:cNvSpPr txBox="1"/>
      </xdr:nvSpPr>
      <xdr:spPr>
        <a:xfrm>
          <a:off x="6823074" y="9083676"/>
          <a:ext cx="4527551" cy="25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111125</xdr:colOff>
      <xdr:row>69</xdr:row>
      <xdr:rowOff>152400</xdr:rowOff>
    </xdr:from>
    <xdr:to>
      <xdr:col>10</xdr:col>
      <xdr:colOff>257175</xdr:colOff>
      <xdr:row>71</xdr:row>
      <xdr:rowOff>76200</xdr:rowOff>
    </xdr:to>
    <xdr:sp macro="" textlink="">
      <xdr:nvSpPr>
        <xdr:cNvPr id="33" name="TextBox 32">
          <a:extLst>
            <a:ext uri="{FF2B5EF4-FFF2-40B4-BE49-F238E27FC236}">
              <a16:creationId xmlns:a16="http://schemas.microsoft.com/office/drawing/2014/main" id="{50442A5A-65C9-4ABC-92B5-082B437AB4C2}"/>
            </a:ext>
          </a:extLst>
        </xdr:cNvPr>
        <xdr:cNvSpPr txBox="1"/>
      </xdr:nvSpPr>
      <xdr:spPr>
        <a:xfrm>
          <a:off x="6826250" y="12830175"/>
          <a:ext cx="2432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7</xdr:col>
      <xdr:colOff>126999</xdr:colOff>
      <xdr:row>92</xdr:row>
      <xdr:rowOff>152400</xdr:rowOff>
    </xdr:from>
    <xdr:to>
      <xdr:col>13</xdr:col>
      <xdr:colOff>104774</xdr:colOff>
      <xdr:row>94</xdr:row>
      <xdr:rowOff>73025</xdr:rowOff>
    </xdr:to>
    <xdr:sp macro="" textlink="">
      <xdr:nvSpPr>
        <xdr:cNvPr id="34" name="TextBox 33">
          <a:extLst>
            <a:ext uri="{FF2B5EF4-FFF2-40B4-BE49-F238E27FC236}">
              <a16:creationId xmlns:a16="http://schemas.microsoft.com/office/drawing/2014/main" id="{088B8C85-0AB5-450C-BF4B-78159DCF1753}"/>
            </a:ext>
          </a:extLst>
        </xdr:cNvPr>
        <xdr:cNvSpPr txBox="1"/>
      </xdr:nvSpPr>
      <xdr:spPr>
        <a:xfrm>
          <a:off x="6842124" y="16954500"/>
          <a:ext cx="480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123825</xdr:colOff>
      <xdr:row>114</xdr:row>
      <xdr:rowOff>152400</xdr:rowOff>
    </xdr:from>
    <xdr:to>
      <xdr:col>12</xdr:col>
      <xdr:colOff>234951</xdr:colOff>
      <xdr:row>116</xdr:row>
      <xdr:rowOff>73025</xdr:rowOff>
    </xdr:to>
    <xdr:sp macro="" textlink="">
      <xdr:nvSpPr>
        <xdr:cNvPr id="35" name="TextBox 34">
          <a:extLst>
            <a:ext uri="{FF2B5EF4-FFF2-40B4-BE49-F238E27FC236}">
              <a16:creationId xmlns:a16="http://schemas.microsoft.com/office/drawing/2014/main" id="{EE3936E9-EE04-46BD-BF4F-84F1BA9D8A78}"/>
            </a:ext>
          </a:extLst>
        </xdr:cNvPr>
        <xdr:cNvSpPr txBox="1"/>
      </xdr:nvSpPr>
      <xdr:spPr>
        <a:xfrm>
          <a:off x="6838950" y="20935950"/>
          <a:ext cx="4092576"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114300</xdr:colOff>
      <xdr:row>137</xdr:row>
      <xdr:rowOff>6350</xdr:rowOff>
    </xdr:from>
    <xdr:to>
      <xdr:col>13</xdr:col>
      <xdr:colOff>390525</xdr:colOff>
      <xdr:row>138</xdr:row>
      <xdr:rowOff>114300</xdr:rowOff>
    </xdr:to>
    <xdr:sp macro="" textlink="">
      <xdr:nvSpPr>
        <xdr:cNvPr id="36" name="TextBox 35">
          <a:extLst>
            <a:ext uri="{FF2B5EF4-FFF2-40B4-BE49-F238E27FC236}">
              <a16:creationId xmlns:a16="http://schemas.microsoft.com/office/drawing/2014/main" id="{F7DCBCFC-B893-46D7-BCD3-9521EE46CB6B}"/>
            </a:ext>
          </a:extLst>
        </xdr:cNvPr>
        <xdr:cNvSpPr txBox="1"/>
      </xdr:nvSpPr>
      <xdr:spPr>
        <a:xfrm>
          <a:off x="6829425" y="24933275"/>
          <a:ext cx="51054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6350</xdr:colOff>
      <xdr:row>158</xdr:row>
      <xdr:rowOff>152400</xdr:rowOff>
    </xdr:from>
    <xdr:to>
      <xdr:col>10</xdr:col>
      <xdr:colOff>409575</xdr:colOff>
      <xdr:row>160</xdr:row>
      <xdr:rowOff>76200</xdr:rowOff>
    </xdr:to>
    <xdr:sp macro="" textlink="">
      <xdr:nvSpPr>
        <xdr:cNvPr id="37" name="TextBox 36">
          <a:extLst>
            <a:ext uri="{FF2B5EF4-FFF2-40B4-BE49-F238E27FC236}">
              <a16:creationId xmlns:a16="http://schemas.microsoft.com/office/drawing/2014/main" id="{75BF7220-1A7D-4A61-A23B-336004D6C77A}"/>
            </a:ext>
          </a:extLst>
        </xdr:cNvPr>
        <xdr:cNvSpPr txBox="1"/>
      </xdr:nvSpPr>
      <xdr:spPr>
        <a:xfrm>
          <a:off x="6892925" y="28841700"/>
          <a:ext cx="25177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a:t>
          </a:r>
          <a:r>
            <a:rPr lang="en-GB" sz="1200" b="1" baseline="0">
              <a:solidFill>
                <a:srgbClr val="59468D"/>
              </a:solidFill>
              <a:latin typeface="Arial" panose="020B0604020202020204" pitchFamily="34" charset="0"/>
              <a:cs typeface="Arial" panose="020B0604020202020204" pitchFamily="34" charset="0"/>
            </a:rPr>
            <a:t> rent)</a:t>
          </a:r>
          <a:endParaRPr lang="en-GB" sz="1200" b="1">
            <a:solidFill>
              <a:srgbClr val="59468D"/>
            </a:solidFill>
            <a:latin typeface="Arial" panose="020B0604020202020204" pitchFamily="34" charset="0"/>
            <a:cs typeface="Arial" panose="020B0604020202020204" pitchFamily="34" charset="0"/>
          </a:endParaRPr>
        </a:p>
      </xdr:txBody>
    </xdr:sp>
    <xdr:clientData/>
  </xdr:twoCellAnchor>
  <xdr:twoCellAnchor>
    <xdr:from>
      <xdr:col>7</xdr:col>
      <xdr:colOff>133349</xdr:colOff>
      <xdr:row>181</xdr:row>
      <xdr:rowOff>0</xdr:rowOff>
    </xdr:from>
    <xdr:to>
      <xdr:col>12</xdr:col>
      <xdr:colOff>812799</xdr:colOff>
      <xdr:row>182</xdr:row>
      <xdr:rowOff>104775</xdr:rowOff>
    </xdr:to>
    <xdr:sp macro="" textlink="">
      <xdr:nvSpPr>
        <xdr:cNvPr id="38" name="TextBox 37">
          <a:extLst>
            <a:ext uri="{FF2B5EF4-FFF2-40B4-BE49-F238E27FC236}">
              <a16:creationId xmlns:a16="http://schemas.microsoft.com/office/drawing/2014/main" id="{2EA2D9D8-A5A8-4AAF-9B0E-5FA7CB808F99}"/>
            </a:ext>
          </a:extLst>
        </xdr:cNvPr>
        <xdr:cNvSpPr txBox="1"/>
      </xdr:nvSpPr>
      <xdr:spPr>
        <a:xfrm>
          <a:off x="6848474" y="32813625"/>
          <a:ext cx="4660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139700</xdr:colOff>
      <xdr:row>203</xdr:row>
      <xdr:rowOff>15875</xdr:rowOff>
    </xdr:from>
    <xdr:to>
      <xdr:col>12</xdr:col>
      <xdr:colOff>257176</xdr:colOff>
      <xdr:row>204</xdr:row>
      <xdr:rowOff>120650</xdr:rowOff>
    </xdr:to>
    <xdr:sp macro="" textlink="">
      <xdr:nvSpPr>
        <xdr:cNvPr id="39" name="TextBox 38">
          <a:extLst>
            <a:ext uri="{FF2B5EF4-FFF2-40B4-BE49-F238E27FC236}">
              <a16:creationId xmlns:a16="http://schemas.microsoft.com/office/drawing/2014/main" id="{40E29F35-5DC5-495B-A0E7-D0F90DED4F08}"/>
            </a:ext>
          </a:extLst>
        </xdr:cNvPr>
        <xdr:cNvSpPr txBox="1"/>
      </xdr:nvSpPr>
      <xdr:spPr>
        <a:xfrm>
          <a:off x="6854825" y="36830000"/>
          <a:ext cx="409892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139700</xdr:colOff>
      <xdr:row>225</xdr:row>
      <xdr:rowOff>15875</xdr:rowOff>
    </xdr:from>
    <xdr:to>
      <xdr:col>13</xdr:col>
      <xdr:colOff>419100</xdr:colOff>
      <xdr:row>226</xdr:row>
      <xdr:rowOff>120650</xdr:rowOff>
    </xdr:to>
    <xdr:sp macro="" textlink="">
      <xdr:nvSpPr>
        <xdr:cNvPr id="40" name="TextBox 39">
          <a:extLst>
            <a:ext uri="{FF2B5EF4-FFF2-40B4-BE49-F238E27FC236}">
              <a16:creationId xmlns:a16="http://schemas.microsoft.com/office/drawing/2014/main" id="{D8E7B3E8-66A7-462C-83C3-97271AD0C7D4}"/>
            </a:ext>
          </a:extLst>
        </xdr:cNvPr>
        <xdr:cNvSpPr txBox="1"/>
      </xdr:nvSpPr>
      <xdr:spPr>
        <a:xfrm>
          <a:off x="6854825" y="40811450"/>
          <a:ext cx="51085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editAs="oneCell">
    <xdr:from>
      <xdr:col>0</xdr:col>
      <xdr:colOff>352424</xdr:colOff>
      <xdr:row>0</xdr:row>
      <xdr:rowOff>311150</xdr:rowOff>
    </xdr:from>
    <xdr:to>
      <xdr:col>1</xdr:col>
      <xdr:colOff>1256220</xdr:colOff>
      <xdr:row>4</xdr:row>
      <xdr:rowOff>66675</xdr:rowOff>
    </xdr:to>
    <xdr:pic>
      <xdr:nvPicPr>
        <xdr:cNvPr id="41" name="Picture 40">
          <a:extLst>
            <a:ext uri="{FF2B5EF4-FFF2-40B4-BE49-F238E27FC236}">
              <a16:creationId xmlns:a16="http://schemas.microsoft.com/office/drawing/2014/main" id="{53EE9E9F-E41B-4536-AD6E-101D728B969B}"/>
            </a:ext>
          </a:extLst>
        </xdr:cNvPr>
        <xdr:cNvPicPr>
          <a:picLocks noChangeAspect="1"/>
        </xdr:cNvPicPr>
      </xdr:nvPicPr>
      <xdr:blipFill>
        <a:blip xmlns:r="http://schemas.openxmlformats.org/officeDocument/2006/relationships" r:embed="rId11"/>
        <a:stretch>
          <a:fillRect/>
        </a:stretch>
      </xdr:blipFill>
      <xdr:spPr>
        <a:xfrm>
          <a:off x="352424" y="311150"/>
          <a:ext cx="1294321"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370416</xdr:colOff>
      <xdr:row>1</xdr:row>
      <xdr:rowOff>136524</xdr:rowOff>
    </xdr:from>
    <xdr:to>
      <xdr:col>1</xdr:col>
      <xdr:colOff>1154171</xdr:colOff>
      <xdr:row>4</xdr:row>
      <xdr:rowOff>9525</xdr:rowOff>
    </xdr:to>
    <xdr:pic>
      <xdr:nvPicPr>
        <xdr:cNvPr id="2" name="Picture 1">
          <a:extLst>
            <a:ext uri="{FF2B5EF4-FFF2-40B4-BE49-F238E27FC236}">
              <a16:creationId xmlns:a16="http://schemas.microsoft.com/office/drawing/2014/main" id="{334B0439-67F2-424A-9F11-9652AD356FDA}"/>
            </a:ext>
          </a:extLst>
        </xdr:cNvPr>
        <xdr:cNvPicPr>
          <a:picLocks noChangeAspect="1"/>
        </xdr:cNvPicPr>
      </xdr:nvPicPr>
      <xdr:blipFill>
        <a:blip xmlns:r="http://schemas.openxmlformats.org/officeDocument/2006/relationships" r:embed="rId1"/>
        <a:stretch>
          <a:fillRect/>
        </a:stretch>
      </xdr:blipFill>
      <xdr:spPr>
        <a:xfrm>
          <a:off x="370416" y="317499"/>
          <a:ext cx="1171105" cy="660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13</xdr:row>
      <xdr:rowOff>82550</xdr:rowOff>
    </xdr:from>
    <xdr:to>
      <xdr:col>7</xdr:col>
      <xdr:colOff>504824</xdr:colOff>
      <xdr:row>24</xdr:row>
      <xdr:rowOff>135281</xdr:rowOff>
    </xdr:to>
    <xdr:pic>
      <xdr:nvPicPr>
        <xdr:cNvPr id="5" name="Picture 4">
          <a:extLst>
            <a:ext uri="{FF2B5EF4-FFF2-40B4-BE49-F238E27FC236}">
              <a16:creationId xmlns:a16="http://schemas.microsoft.com/office/drawing/2014/main" id="{D1473FEF-9A23-4156-A229-E7BDF04E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1758950"/>
          <a:ext cx="4152900" cy="204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28</xdr:row>
      <xdr:rowOff>76200</xdr:rowOff>
    </xdr:from>
    <xdr:to>
      <xdr:col>7</xdr:col>
      <xdr:colOff>295275</xdr:colOff>
      <xdr:row>33</xdr:row>
      <xdr:rowOff>123040</xdr:rowOff>
    </xdr:to>
    <xdr:pic>
      <xdr:nvPicPr>
        <xdr:cNvPr id="6" name="Picture 5">
          <a:extLst>
            <a:ext uri="{FF2B5EF4-FFF2-40B4-BE49-F238E27FC236}">
              <a16:creationId xmlns:a16="http://schemas.microsoft.com/office/drawing/2014/main" id="{F5389AED-B877-40FA-83C7-CBC6C0AE8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0" y="4489450"/>
          <a:ext cx="3943350" cy="95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xdr:row>
      <xdr:rowOff>107949</xdr:rowOff>
    </xdr:from>
    <xdr:to>
      <xdr:col>7</xdr:col>
      <xdr:colOff>330200</xdr:colOff>
      <xdr:row>46</xdr:row>
      <xdr:rowOff>69374</xdr:rowOff>
    </xdr:to>
    <xdr:pic>
      <xdr:nvPicPr>
        <xdr:cNvPr id="7" name="Picture 6">
          <a:extLst>
            <a:ext uri="{FF2B5EF4-FFF2-40B4-BE49-F238E27FC236}">
              <a16:creationId xmlns:a16="http://schemas.microsoft.com/office/drawing/2014/main" id="{D906903D-ACFF-4D48-B252-E03DABFE0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949949"/>
          <a:ext cx="4064000" cy="194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xdr:row>
      <xdr:rowOff>114300</xdr:rowOff>
    </xdr:from>
    <xdr:to>
      <xdr:col>7</xdr:col>
      <xdr:colOff>353349</xdr:colOff>
      <xdr:row>9</xdr:row>
      <xdr:rowOff>101600</xdr:rowOff>
    </xdr:to>
    <xdr:pic>
      <xdr:nvPicPr>
        <xdr:cNvPr id="11" name="Picture 10">
          <a:extLst>
            <a:ext uri="{FF2B5EF4-FFF2-40B4-BE49-F238E27FC236}">
              <a16:creationId xmlns:a16="http://schemas.microsoft.com/office/drawing/2014/main" id="{3BD7F19C-3B90-4F4F-A799-17BB2F669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009650"/>
          <a:ext cx="4210974" cy="89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57150</xdr:rowOff>
    </xdr:from>
    <xdr:to>
      <xdr:col>7</xdr:col>
      <xdr:colOff>296199</xdr:colOff>
      <xdr:row>53</xdr:row>
      <xdr:rowOff>47625</xdr:rowOff>
    </xdr:to>
    <xdr:pic>
      <xdr:nvPicPr>
        <xdr:cNvPr id="13" name="Picture 12">
          <a:extLst>
            <a:ext uri="{FF2B5EF4-FFF2-40B4-BE49-F238E27FC236}">
              <a16:creationId xmlns:a16="http://schemas.microsoft.com/office/drawing/2014/main" id="{E7DE2FCF-FCD8-4D8A-A71B-5E99CA8057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8972550"/>
          <a:ext cx="421097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Geographic%20Lookup%20tool%20meets%20no%20needs" TargetMode="External"/><Relationship Id="rId2" Type="http://schemas.openxmlformats.org/officeDocument/2006/relationships/hyperlink" Target="mailto:enquiries@rsh.gov.uk?subject=Geographic%20Lookup%20tool%20meets%20some%20needs" TargetMode="External"/><Relationship Id="rId1" Type="http://schemas.openxmlformats.org/officeDocument/2006/relationships/hyperlink" Target="mailto:enquiries@rsh.gov.uk?subject=Geographic%20Lookup%20tool%20meets%20all%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ondon.gov.uk/programmes-strategies/housing-and-land/homes-londoners-affordable-homes-programmes/homes-londoners-affordable-homes-programme-2021-2026" TargetMode="External"/><Relationship Id="rId1" Type="http://schemas.openxmlformats.org/officeDocument/2006/relationships/hyperlink" Target="https://www.gov.uk/government/publications/a-decent-home-definition-and-guidanc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BA1E-1D55-484B-9BC8-EC7C1A08FCFD}">
  <sheetPr codeName="Sheet1">
    <tabColor rgb="FF59468D"/>
  </sheetPr>
  <dimension ref="B1:V66"/>
  <sheetViews>
    <sheetView tabSelected="1" workbookViewId="0"/>
  </sheetViews>
  <sheetFormatPr defaultColWidth="9.140625" defaultRowHeight="15" x14ac:dyDescent="0.25"/>
  <cols>
    <col min="1" max="1" width="5" style="212" customWidth="1"/>
    <col min="2" max="2" width="8.42578125" style="212" customWidth="1"/>
    <col min="3" max="3" width="8.85546875" style="212" customWidth="1"/>
    <col min="4" max="4" width="3.42578125" style="212" customWidth="1"/>
    <col min="5" max="5" width="103.5703125" style="212" customWidth="1"/>
    <col min="6" max="15" width="8.85546875" style="212" customWidth="1"/>
    <col min="16" max="16384" width="9.140625" style="212"/>
  </cols>
  <sheetData>
    <row r="1" spans="2:22" ht="18" x14ac:dyDescent="0.25">
      <c r="B1" s="356"/>
      <c r="F1" s="546"/>
    </row>
    <row r="2" spans="2:22" ht="18" x14ac:dyDescent="0.25">
      <c r="B2" s="356"/>
      <c r="F2" s="546"/>
    </row>
    <row r="3" spans="2:22" ht="18" x14ac:dyDescent="0.25">
      <c r="B3" s="356"/>
    </row>
    <row r="4" spans="2:22" ht="18" x14ac:dyDescent="0.25">
      <c r="B4" s="356"/>
      <c r="L4" s="357"/>
      <c r="N4" s="358"/>
    </row>
    <row r="5" spans="2:22" ht="36.75" x14ac:dyDescent="0.25">
      <c r="B5" s="356"/>
      <c r="F5" s="359" t="s">
        <v>9695</v>
      </c>
      <c r="G5" s="360"/>
      <c r="H5" s="361" t="s">
        <v>9696</v>
      </c>
      <c r="I5" s="362"/>
      <c r="J5" s="363" t="s">
        <v>9697</v>
      </c>
      <c r="K5" s="364"/>
      <c r="L5" s="357"/>
    </row>
    <row r="6" spans="2:22" ht="15" customHeight="1" x14ac:dyDescent="0.25">
      <c r="B6" s="356"/>
      <c r="F6" s="365" t="s">
        <v>9698</v>
      </c>
      <c r="G6" s="365"/>
      <c r="H6" s="366" t="s">
        <v>9699</v>
      </c>
      <c r="I6" s="357"/>
      <c r="J6" s="367" t="s">
        <v>9700</v>
      </c>
      <c r="K6" s="364"/>
      <c r="L6" s="368"/>
    </row>
    <row r="7" spans="2:22" ht="15.75" customHeight="1" x14ac:dyDescent="0.25">
      <c r="B7" s="356"/>
      <c r="E7" s="368"/>
      <c r="F7" s="369"/>
      <c r="G7" s="370"/>
      <c r="H7" s="357"/>
      <c r="I7" s="366"/>
      <c r="J7" s="357"/>
      <c r="K7" s="371"/>
      <c r="L7" s="368"/>
    </row>
    <row r="8" spans="2:22" ht="15.75" customHeight="1" x14ac:dyDescent="0.25">
      <c r="B8" s="356"/>
    </row>
    <row r="9" spans="2:22" ht="50.45" customHeight="1" x14ac:dyDescent="0.5">
      <c r="B9" s="550" t="s">
        <v>14358</v>
      </c>
      <c r="C9" s="550"/>
      <c r="D9" s="550"/>
      <c r="E9" s="550"/>
    </row>
    <row r="10" spans="2:22" ht="15" customHeight="1" x14ac:dyDescent="0.25">
      <c r="C10" s="372"/>
      <c r="D10" s="372"/>
      <c r="E10" s="372"/>
      <c r="F10" s="372"/>
      <c r="G10" s="372"/>
      <c r="H10" s="372"/>
      <c r="I10" s="372"/>
      <c r="J10" s="372"/>
      <c r="K10" s="372"/>
      <c r="L10" s="372"/>
      <c r="M10" s="372"/>
    </row>
    <row r="11" spans="2:22" ht="15" customHeight="1" x14ac:dyDescent="0.25">
      <c r="B11" s="547" t="s">
        <v>9701</v>
      </c>
      <c r="C11" s="548"/>
      <c r="D11" s="548"/>
      <c r="E11" s="548"/>
      <c r="F11" s="548"/>
      <c r="G11" s="548"/>
      <c r="H11" s="548"/>
      <c r="I11" s="548"/>
      <c r="J11" s="548"/>
      <c r="K11" s="548"/>
      <c r="V11" s="373"/>
    </row>
    <row r="12" spans="2:22" ht="15" customHeight="1" x14ac:dyDescent="0.25">
      <c r="B12" s="548"/>
      <c r="C12" s="548"/>
      <c r="D12" s="548"/>
      <c r="E12" s="548"/>
      <c r="F12" s="548"/>
      <c r="G12" s="548"/>
      <c r="H12" s="548"/>
      <c r="I12" s="548"/>
      <c r="J12" s="548"/>
      <c r="K12" s="548"/>
      <c r="V12" s="373"/>
    </row>
    <row r="13" spans="2:22" ht="15" customHeight="1" x14ac:dyDescent="0.25">
      <c r="B13" s="548"/>
      <c r="C13" s="548"/>
      <c r="D13" s="548"/>
      <c r="E13" s="548"/>
      <c r="F13" s="548"/>
      <c r="G13" s="548"/>
      <c r="H13" s="548"/>
      <c r="I13" s="548"/>
      <c r="J13" s="548"/>
      <c r="K13" s="548"/>
      <c r="V13" s="373"/>
    </row>
    <row r="14" spans="2:22" ht="15" customHeight="1" x14ac:dyDescent="0.25">
      <c r="B14" s="548"/>
      <c r="C14" s="548"/>
      <c r="D14" s="548"/>
      <c r="E14" s="548"/>
      <c r="F14" s="548"/>
      <c r="G14" s="548"/>
      <c r="H14" s="548"/>
      <c r="I14" s="548"/>
      <c r="J14" s="548"/>
      <c r="K14" s="548"/>
      <c r="V14" s="373"/>
    </row>
    <row r="15" spans="2:22" ht="15" customHeight="1" x14ac:dyDescent="0.25">
      <c r="B15" s="548"/>
      <c r="C15" s="548"/>
      <c r="D15" s="548"/>
      <c r="E15" s="548"/>
      <c r="F15" s="548"/>
      <c r="G15" s="548"/>
      <c r="H15" s="548"/>
      <c r="I15" s="548"/>
      <c r="J15" s="548"/>
      <c r="K15" s="548"/>
      <c r="V15" s="373"/>
    </row>
    <row r="16" spans="2:22" ht="15" customHeight="1" x14ac:dyDescent="0.25">
      <c r="B16" s="548"/>
      <c r="C16" s="548"/>
      <c r="D16" s="548"/>
      <c r="E16" s="548"/>
      <c r="F16" s="548"/>
      <c r="G16" s="548"/>
      <c r="H16" s="548"/>
      <c r="I16" s="548"/>
      <c r="J16" s="548"/>
      <c r="K16" s="548"/>
      <c r="V16" s="373"/>
    </row>
    <row r="17" spans="2:22" ht="15" customHeight="1" x14ac:dyDescent="0.25">
      <c r="B17" s="548"/>
      <c r="C17" s="548"/>
      <c r="D17" s="548"/>
      <c r="E17" s="548"/>
      <c r="F17" s="548"/>
      <c r="G17" s="548"/>
      <c r="H17" s="548"/>
      <c r="I17" s="548"/>
      <c r="J17" s="548"/>
      <c r="K17" s="548"/>
      <c r="V17" s="373"/>
    </row>
    <row r="18" spans="2:22" ht="15" customHeight="1" x14ac:dyDescent="0.25">
      <c r="B18" s="548"/>
      <c r="C18" s="548"/>
      <c r="D18" s="548"/>
      <c r="E18" s="548"/>
      <c r="F18" s="548"/>
      <c r="G18" s="548"/>
      <c r="H18" s="548"/>
      <c r="I18" s="548"/>
      <c r="J18" s="548"/>
      <c r="K18" s="548"/>
      <c r="V18" s="373"/>
    </row>
    <row r="19" spans="2:22" ht="15" customHeight="1" x14ac:dyDescent="0.25">
      <c r="B19" s="548"/>
      <c r="C19" s="548"/>
      <c r="D19" s="548"/>
      <c r="E19" s="548"/>
      <c r="F19" s="548"/>
      <c r="G19" s="548"/>
      <c r="H19" s="548"/>
      <c r="I19" s="548"/>
      <c r="J19" s="548"/>
      <c r="K19" s="548"/>
      <c r="V19" s="373"/>
    </row>
    <row r="20" spans="2:22" ht="15" customHeight="1" x14ac:dyDescent="0.25">
      <c r="B20" s="373"/>
      <c r="C20" s="373"/>
      <c r="D20" s="373"/>
      <c r="E20" s="373"/>
      <c r="F20" s="373"/>
      <c r="G20" s="373"/>
      <c r="H20" s="373"/>
      <c r="I20" s="373"/>
      <c r="J20" s="373"/>
      <c r="K20" s="373"/>
      <c r="V20" s="373"/>
    </row>
    <row r="21" spans="2:22" ht="23.25" x14ac:dyDescent="0.35">
      <c r="B21" s="549" t="s">
        <v>9702</v>
      </c>
      <c r="C21" s="549"/>
      <c r="D21" s="549"/>
      <c r="E21" s="549"/>
      <c r="F21" s="549"/>
      <c r="G21" s="549"/>
      <c r="H21" s="549"/>
      <c r="I21" s="549"/>
      <c r="J21" s="549"/>
      <c r="K21" s="549"/>
      <c r="L21" s="374"/>
      <c r="M21" s="374"/>
    </row>
    <row r="22" spans="2:22" ht="15" customHeight="1" x14ac:dyDescent="0.25">
      <c r="B22" s="375"/>
      <c r="C22" s="375"/>
      <c r="D22" s="375"/>
      <c r="E22" s="375"/>
      <c r="F22" s="376"/>
      <c r="G22" s="376"/>
      <c r="H22" s="376"/>
      <c r="I22" s="376"/>
      <c r="J22" s="376"/>
      <c r="K22" s="374"/>
      <c r="L22" s="374"/>
      <c r="M22" s="374"/>
    </row>
    <row r="23" spans="2:22" ht="15" customHeight="1" x14ac:dyDescent="0.25">
      <c r="B23" s="377" t="s">
        <v>9703</v>
      </c>
      <c r="C23" s="378"/>
      <c r="D23" s="378"/>
      <c r="E23" s="378" t="s">
        <v>9704</v>
      </c>
      <c r="F23" s="372"/>
      <c r="G23" s="372"/>
      <c r="H23" s="372"/>
      <c r="I23" s="372"/>
      <c r="J23" s="372"/>
      <c r="K23" s="372"/>
    </row>
    <row r="24" spans="2:22" ht="15" customHeight="1" x14ac:dyDescent="0.25">
      <c r="B24" s="376"/>
      <c r="C24" s="376"/>
      <c r="D24" s="376"/>
      <c r="E24" s="376"/>
      <c r="F24" s="376"/>
      <c r="G24" s="376"/>
      <c r="H24" s="376"/>
      <c r="I24" s="376"/>
      <c r="J24" s="376"/>
      <c r="K24" s="374"/>
    </row>
    <row r="25" spans="2:22" ht="15" customHeight="1" x14ac:dyDescent="0.25">
      <c r="B25" s="379" t="s">
        <v>9705</v>
      </c>
      <c r="C25" s="376"/>
      <c r="D25" s="376"/>
      <c r="E25" s="379"/>
      <c r="F25" s="376"/>
      <c r="G25" s="376"/>
      <c r="H25" s="376"/>
      <c r="I25" s="376"/>
      <c r="J25" s="376"/>
      <c r="K25" s="374"/>
    </row>
    <row r="26" spans="2:22" ht="15" customHeight="1" x14ac:dyDescent="0.25">
      <c r="B26" s="376"/>
      <c r="C26" s="376"/>
      <c r="D26" s="376"/>
      <c r="E26" s="376"/>
      <c r="F26" s="376"/>
      <c r="G26" s="376"/>
      <c r="H26" s="376"/>
      <c r="I26" s="376"/>
      <c r="J26" s="376"/>
      <c r="K26" s="374"/>
    </row>
    <row r="27" spans="2:22" ht="15" customHeight="1" x14ac:dyDescent="0.25">
      <c r="B27" s="545" t="s">
        <v>9706</v>
      </c>
      <c r="C27" s="545"/>
      <c r="D27" s="376"/>
      <c r="E27" s="376"/>
      <c r="F27" s="376"/>
      <c r="G27" s="376"/>
      <c r="H27" s="376"/>
      <c r="I27" s="376"/>
      <c r="J27" s="376"/>
      <c r="K27" s="374"/>
    </row>
    <row r="28" spans="2:22" ht="15" customHeight="1" x14ac:dyDescent="0.25">
      <c r="B28" s="376"/>
      <c r="C28" s="376"/>
      <c r="D28" s="376"/>
      <c r="E28" s="376"/>
      <c r="F28" s="376"/>
      <c r="G28" s="376"/>
      <c r="H28" s="376"/>
      <c r="I28" s="380"/>
      <c r="J28" s="376"/>
      <c r="K28" s="374"/>
    </row>
    <row r="29" spans="2:22" ht="15" customHeight="1" x14ac:dyDescent="0.25">
      <c r="B29" s="381">
        <v>1</v>
      </c>
      <c r="C29" s="376"/>
      <c r="D29" s="376"/>
      <c r="E29" s="382" t="s">
        <v>9707</v>
      </c>
      <c r="F29" s="376"/>
      <c r="G29" s="376"/>
      <c r="H29" s="376"/>
      <c r="I29" s="380"/>
      <c r="J29" s="376"/>
      <c r="K29" s="374"/>
      <c r="L29" s="373"/>
      <c r="M29" s="373"/>
    </row>
    <row r="30" spans="2:22" ht="15" customHeight="1" x14ac:dyDescent="0.25">
      <c r="B30" s="381"/>
      <c r="C30" s="372"/>
      <c r="D30" s="372"/>
      <c r="E30" s="372"/>
      <c r="F30" s="372"/>
      <c r="G30" s="372"/>
      <c r="H30" s="372"/>
      <c r="I30" s="383"/>
      <c r="J30" s="372"/>
      <c r="K30" s="384"/>
      <c r="L30" s="373"/>
      <c r="M30" s="373"/>
    </row>
    <row r="31" spans="2:22" ht="15" customHeight="1" x14ac:dyDescent="0.25">
      <c r="B31" s="381">
        <v>2</v>
      </c>
      <c r="C31" s="376"/>
      <c r="D31" s="376"/>
      <c r="E31" s="379" t="s">
        <v>9708</v>
      </c>
      <c r="F31" s="376"/>
      <c r="G31" s="376"/>
      <c r="H31" s="376"/>
      <c r="I31" s="380"/>
      <c r="J31" s="376"/>
      <c r="K31" s="374"/>
      <c r="L31" s="374"/>
      <c r="M31" s="374"/>
    </row>
    <row r="32" spans="2:22" ht="15" customHeight="1" x14ac:dyDescent="0.25">
      <c r="B32" s="381"/>
      <c r="C32" s="376"/>
      <c r="D32" s="376"/>
      <c r="E32" s="376"/>
      <c r="F32" s="376"/>
      <c r="G32" s="376"/>
      <c r="H32" s="376"/>
      <c r="I32" s="380"/>
      <c r="J32" s="376"/>
      <c r="K32" s="374"/>
      <c r="L32" s="374"/>
      <c r="M32" s="374"/>
    </row>
    <row r="33" spans="2:13" ht="15" customHeight="1" x14ac:dyDescent="0.25">
      <c r="B33" s="381">
        <v>3</v>
      </c>
      <c r="C33" s="376"/>
      <c r="D33" s="376"/>
      <c r="E33" s="379" t="s">
        <v>10541</v>
      </c>
      <c r="F33" s="376"/>
      <c r="G33" s="376"/>
      <c r="H33" s="376"/>
      <c r="I33" s="380"/>
      <c r="J33" s="376"/>
      <c r="K33" s="374"/>
      <c r="L33" s="374"/>
      <c r="M33" s="374"/>
    </row>
    <row r="34" spans="2:13" ht="15" customHeight="1" x14ac:dyDescent="0.25">
      <c r="B34" s="381"/>
      <c r="C34" s="376"/>
      <c r="D34" s="376"/>
      <c r="E34" s="376"/>
      <c r="F34" s="376"/>
      <c r="G34" s="376"/>
      <c r="H34" s="376"/>
      <c r="I34" s="380"/>
      <c r="J34" s="376"/>
      <c r="K34" s="374"/>
      <c r="L34" s="374"/>
      <c r="M34" s="374"/>
    </row>
    <row r="35" spans="2:13" ht="15" customHeight="1" x14ac:dyDescent="0.25">
      <c r="B35" s="381">
        <v>4</v>
      </c>
      <c r="C35" s="376"/>
      <c r="D35" s="376"/>
      <c r="E35" s="382" t="s">
        <v>9709</v>
      </c>
      <c r="F35" s="376"/>
      <c r="G35" s="376"/>
      <c r="H35" s="376"/>
      <c r="I35" s="380"/>
      <c r="J35" s="376"/>
      <c r="K35" s="374"/>
      <c r="L35" s="374"/>
      <c r="M35" s="374"/>
    </row>
    <row r="36" spans="2:13" ht="15" customHeight="1" x14ac:dyDescent="0.25">
      <c r="B36" s="381"/>
      <c r="C36" s="376"/>
      <c r="D36" s="376"/>
      <c r="E36" s="376"/>
      <c r="I36" s="385"/>
      <c r="M36" s="374"/>
    </row>
    <row r="37" spans="2:13" ht="15" customHeight="1" x14ac:dyDescent="0.25">
      <c r="B37" s="381">
        <v>5</v>
      </c>
      <c r="C37" s="376"/>
      <c r="D37" s="376"/>
      <c r="E37" s="379" t="s">
        <v>10553</v>
      </c>
      <c r="F37" s="376"/>
      <c r="G37" s="376"/>
      <c r="I37" s="385"/>
      <c r="M37" s="374"/>
    </row>
    <row r="38" spans="2:13" ht="15" customHeight="1" x14ac:dyDescent="0.25">
      <c r="B38" s="381"/>
      <c r="C38" s="376"/>
      <c r="D38" s="376"/>
      <c r="E38" s="379"/>
      <c r="F38" s="376"/>
      <c r="G38" s="376"/>
      <c r="H38" s="376"/>
      <c r="I38" s="380"/>
      <c r="J38" s="376"/>
      <c r="K38" s="374"/>
      <c r="L38" s="374"/>
      <c r="M38" s="374"/>
    </row>
    <row r="39" spans="2:13" ht="15" customHeight="1" x14ac:dyDescent="0.25">
      <c r="B39" s="381">
        <v>6</v>
      </c>
      <c r="C39" s="376"/>
      <c r="D39" s="376"/>
      <c r="E39" s="379" t="s">
        <v>10554</v>
      </c>
      <c r="F39" s="376"/>
      <c r="G39" s="376"/>
      <c r="H39" s="376"/>
      <c r="I39" s="380"/>
      <c r="J39" s="376"/>
      <c r="K39" s="374"/>
      <c r="L39" s="374"/>
      <c r="M39" s="374"/>
    </row>
    <row r="40" spans="2:13" ht="15" customHeight="1" x14ac:dyDescent="0.25">
      <c r="B40" s="381"/>
      <c r="C40" s="376"/>
      <c r="D40" s="376"/>
      <c r="E40" s="376"/>
      <c r="F40" s="376"/>
      <c r="G40" s="376"/>
      <c r="H40" s="376"/>
      <c r="I40" s="380"/>
      <c r="J40" s="376"/>
      <c r="K40" s="374"/>
      <c r="L40" s="374"/>
      <c r="M40" s="374"/>
    </row>
    <row r="41" spans="2:13" ht="15" customHeight="1" x14ac:dyDescent="0.25">
      <c r="B41" s="381">
        <v>7</v>
      </c>
      <c r="C41" s="376"/>
      <c r="D41" s="376"/>
      <c r="E41" s="379" t="s">
        <v>9710</v>
      </c>
      <c r="F41" s="376"/>
      <c r="G41" s="376"/>
      <c r="H41" s="376"/>
      <c r="I41" s="380"/>
      <c r="J41" s="376"/>
      <c r="K41" s="374"/>
      <c r="L41" s="374"/>
      <c r="M41" s="374"/>
    </row>
    <row r="42" spans="2:13" ht="15" customHeight="1" x14ac:dyDescent="0.25">
      <c r="B42" s="381"/>
      <c r="C42" s="376"/>
      <c r="D42" s="376"/>
      <c r="E42" s="376"/>
      <c r="F42" s="376"/>
      <c r="G42" s="376"/>
      <c r="H42" s="376"/>
      <c r="I42" s="380"/>
      <c r="J42" s="376"/>
      <c r="K42" s="374"/>
      <c r="L42" s="374"/>
      <c r="M42" s="374"/>
    </row>
    <row r="43" spans="2:13" ht="15" customHeight="1" x14ac:dyDescent="0.25">
      <c r="B43" s="381">
        <v>8</v>
      </c>
      <c r="C43" s="376"/>
      <c r="D43" s="376"/>
      <c r="E43" s="379" t="s">
        <v>10542</v>
      </c>
      <c r="F43" s="376"/>
      <c r="G43" s="376"/>
      <c r="H43" s="376"/>
      <c r="I43" s="380"/>
      <c r="J43" s="376"/>
      <c r="K43" s="374"/>
      <c r="L43" s="374"/>
      <c r="M43" s="374"/>
    </row>
    <row r="44" spans="2:13" ht="15" customHeight="1" x14ac:dyDescent="0.25">
      <c r="B44" s="381"/>
      <c r="C44" s="376"/>
      <c r="D44" s="376"/>
      <c r="E44" s="376"/>
      <c r="F44" s="376"/>
      <c r="G44" s="376"/>
      <c r="H44" s="376"/>
      <c r="I44" s="380"/>
      <c r="J44" s="376"/>
      <c r="K44" s="374"/>
      <c r="L44" s="374"/>
      <c r="M44" s="374"/>
    </row>
    <row r="45" spans="2:13" ht="15" customHeight="1" x14ac:dyDescent="0.25">
      <c r="B45" s="381">
        <v>9</v>
      </c>
      <c r="C45" s="376"/>
      <c r="D45" s="376"/>
      <c r="E45" s="379" t="s">
        <v>10555</v>
      </c>
      <c r="F45" s="376"/>
      <c r="G45" s="376"/>
      <c r="H45" s="376"/>
      <c r="I45" s="380"/>
      <c r="J45" s="376"/>
      <c r="K45" s="374"/>
      <c r="L45" s="374"/>
      <c r="M45" s="374"/>
    </row>
    <row r="46" spans="2:13" ht="15" customHeight="1" x14ac:dyDescent="0.25">
      <c r="B46" s="381"/>
      <c r="C46" s="376"/>
      <c r="D46" s="376"/>
      <c r="E46" s="376"/>
      <c r="F46" s="376"/>
      <c r="G46" s="376"/>
      <c r="H46" s="376"/>
      <c r="I46" s="380"/>
      <c r="J46" s="376"/>
      <c r="K46" s="374"/>
      <c r="L46" s="374"/>
      <c r="M46" s="374"/>
    </row>
    <row r="47" spans="2:13" ht="15" customHeight="1" x14ac:dyDescent="0.25">
      <c r="B47" s="381">
        <v>10</v>
      </c>
      <c r="C47" s="376"/>
      <c r="D47" s="376"/>
      <c r="E47" s="379" t="s">
        <v>11647</v>
      </c>
      <c r="F47" s="376"/>
      <c r="G47" s="376"/>
      <c r="H47" s="376"/>
      <c r="I47" s="380"/>
      <c r="J47" s="376"/>
      <c r="K47" s="374"/>
      <c r="L47" s="374"/>
      <c r="M47" s="374"/>
    </row>
    <row r="48" spans="2:13" ht="15" customHeight="1" x14ac:dyDescent="0.25">
      <c r="B48" s="381"/>
      <c r="C48" s="376"/>
      <c r="D48" s="376"/>
      <c r="E48" s="376"/>
      <c r="F48" s="376"/>
      <c r="G48" s="376"/>
      <c r="H48" s="376"/>
      <c r="I48" s="380"/>
      <c r="J48" s="376"/>
      <c r="K48" s="374"/>
      <c r="L48" s="374"/>
      <c r="M48" s="374"/>
    </row>
    <row r="49" spans="2:13" ht="15" customHeight="1" x14ac:dyDescent="0.25">
      <c r="B49" s="381">
        <v>11</v>
      </c>
      <c r="C49" s="376"/>
      <c r="D49" s="376"/>
      <c r="E49" s="379" t="s">
        <v>9711</v>
      </c>
      <c r="F49" s="376"/>
      <c r="G49" s="376"/>
      <c r="H49" s="376"/>
      <c r="I49" s="380"/>
      <c r="J49" s="376"/>
      <c r="K49" s="374"/>
      <c r="L49" s="374"/>
      <c r="M49" s="374"/>
    </row>
    <row r="50" spans="2:13" ht="15" customHeight="1" x14ac:dyDescent="0.25">
      <c r="B50" s="381"/>
      <c r="C50" s="376"/>
      <c r="D50" s="376"/>
      <c r="E50" s="376"/>
      <c r="F50" s="376"/>
      <c r="G50" s="376"/>
      <c r="H50" s="376"/>
      <c r="I50" s="380"/>
      <c r="J50" s="376"/>
      <c r="K50" s="374"/>
      <c r="L50" s="374"/>
      <c r="M50" s="374"/>
    </row>
    <row r="51" spans="2:13" ht="15" customHeight="1" x14ac:dyDescent="0.25">
      <c r="B51" s="381">
        <v>12</v>
      </c>
      <c r="C51" s="376"/>
      <c r="D51" s="376"/>
      <c r="E51" s="379" t="s">
        <v>9712</v>
      </c>
      <c r="F51" s="376"/>
      <c r="G51" s="376"/>
      <c r="H51" s="376"/>
      <c r="I51" s="380"/>
      <c r="J51" s="376"/>
      <c r="K51" s="374"/>
      <c r="L51" s="374"/>
      <c r="M51" s="374"/>
    </row>
    <row r="52" spans="2:13" ht="15" customHeight="1" x14ac:dyDescent="0.25">
      <c r="B52" s="381"/>
      <c r="C52" s="376"/>
      <c r="D52" s="376"/>
      <c r="E52" s="376"/>
      <c r="F52" s="376"/>
      <c r="G52" s="376"/>
      <c r="H52" s="376"/>
      <c r="I52" s="380"/>
      <c r="J52" s="376"/>
      <c r="K52" s="374"/>
      <c r="L52" s="374"/>
      <c r="M52" s="374"/>
    </row>
    <row r="53" spans="2:13" ht="15" customHeight="1" x14ac:dyDescent="0.25">
      <c r="B53" s="386"/>
      <c r="C53" s="376"/>
      <c r="D53" s="376"/>
      <c r="E53" s="379"/>
      <c r="F53" s="376"/>
      <c r="G53" s="376"/>
      <c r="H53" s="376"/>
      <c r="I53" s="387"/>
      <c r="J53" s="376"/>
      <c r="K53" s="374"/>
      <c r="L53" s="374"/>
      <c r="M53" s="374"/>
    </row>
    <row r="54" spans="2:13" ht="15" customHeight="1" x14ac:dyDescent="0.25">
      <c r="B54" s="545" t="s">
        <v>9713</v>
      </c>
      <c r="C54" s="545"/>
      <c r="D54" s="376"/>
      <c r="E54" s="379"/>
      <c r="F54" s="376"/>
      <c r="G54" s="376"/>
      <c r="H54" s="376"/>
      <c r="I54" s="387"/>
      <c r="J54" s="376"/>
      <c r="K54" s="374"/>
      <c r="L54" s="374"/>
      <c r="M54" s="374"/>
    </row>
    <row r="55" spans="2:13" ht="15" customHeight="1" x14ac:dyDescent="0.25">
      <c r="B55" s="386"/>
      <c r="C55" s="376"/>
      <c r="D55" s="376"/>
      <c r="E55" s="379"/>
      <c r="F55" s="376"/>
      <c r="G55" s="376"/>
      <c r="H55" s="376"/>
      <c r="I55" s="387"/>
      <c r="J55" s="376"/>
      <c r="K55" s="374"/>
      <c r="L55" s="374"/>
      <c r="M55" s="374"/>
    </row>
    <row r="56" spans="2:13" ht="15" customHeight="1" x14ac:dyDescent="0.25">
      <c r="B56" s="545" t="s">
        <v>9714</v>
      </c>
      <c r="C56" s="545"/>
      <c r="D56" s="545"/>
      <c r="E56" s="545"/>
      <c r="F56" s="376"/>
      <c r="G56" s="376"/>
      <c r="H56" s="376"/>
      <c r="I56" s="387"/>
      <c r="J56" s="376"/>
      <c r="K56" s="374"/>
      <c r="L56" s="374"/>
      <c r="M56" s="374"/>
    </row>
    <row r="57" spans="2:13" ht="15" customHeight="1" x14ac:dyDescent="0.25">
      <c r="B57" s="386"/>
      <c r="C57" s="376"/>
      <c r="D57" s="376"/>
      <c r="E57" s="379"/>
      <c r="F57" s="376"/>
      <c r="G57" s="376"/>
      <c r="H57" s="376"/>
      <c r="I57" s="387"/>
      <c r="J57" s="376"/>
      <c r="K57" s="374"/>
      <c r="L57" s="374"/>
      <c r="M57" s="374"/>
    </row>
    <row r="58" spans="2:13" ht="15" customHeight="1" x14ac:dyDescent="0.25">
      <c r="B58" s="386"/>
      <c r="C58" s="376"/>
      <c r="D58" s="376"/>
      <c r="E58" s="376"/>
      <c r="F58" s="376"/>
      <c r="G58" s="376"/>
      <c r="H58" s="376"/>
      <c r="I58" s="376"/>
      <c r="J58" s="376"/>
      <c r="K58" s="374"/>
      <c r="L58" s="374"/>
      <c r="M58" s="374"/>
    </row>
    <row r="59" spans="2:13" ht="15" customHeight="1" x14ac:dyDescent="0.25">
      <c r="B59" s="374" t="s">
        <v>9715</v>
      </c>
      <c r="C59" s="372" t="s">
        <v>14360</v>
      </c>
      <c r="D59" s="384"/>
      <c r="E59" s="384"/>
      <c r="F59" s="384"/>
      <c r="H59" s="384"/>
      <c r="I59" s="384"/>
      <c r="J59" s="384"/>
      <c r="K59" s="384"/>
      <c r="L59" s="373"/>
      <c r="M59" s="373"/>
    </row>
    <row r="60" spans="2:13" ht="15" customHeight="1" x14ac:dyDescent="0.25">
      <c r="B60" s="388"/>
      <c r="C60" s="388"/>
      <c r="D60" s="388"/>
      <c r="E60" s="388"/>
      <c r="F60" s="388"/>
      <c r="G60" s="388"/>
      <c r="H60" s="388"/>
      <c r="I60" s="388"/>
      <c r="J60" s="388"/>
      <c r="K60" s="388"/>
    </row>
    <row r="61" spans="2:13" ht="15" customHeight="1" x14ac:dyDescent="0.25">
      <c r="B61" s="389" t="s">
        <v>9716</v>
      </c>
      <c r="C61" s="388"/>
      <c r="D61" s="388"/>
      <c r="E61" s="388"/>
      <c r="F61" s="388"/>
      <c r="G61" s="388"/>
      <c r="H61" s="388"/>
      <c r="I61" s="388"/>
      <c r="J61" s="388"/>
      <c r="K61" s="388"/>
    </row>
    <row r="62" spans="2:13" ht="15" customHeight="1" x14ac:dyDescent="0.25">
      <c r="B62" s="390" t="s">
        <v>9717</v>
      </c>
      <c r="C62" s="388"/>
      <c r="D62" s="388"/>
      <c r="E62" s="388"/>
      <c r="F62" s="388"/>
      <c r="G62" s="388"/>
      <c r="H62" s="388"/>
      <c r="I62" s="388"/>
      <c r="J62" s="388"/>
      <c r="K62" s="388"/>
    </row>
    <row r="63" spans="2:13" ht="15" customHeight="1" x14ac:dyDescent="0.25">
      <c r="B63" s="390" t="s">
        <v>9718</v>
      </c>
      <c r="C63" s="391" t="s">
        <v>9719</v>
      </c>
      <c r="D63" s="388"/>
      <c r="E63" s="388"/>
      <c r="F63" s="388"/>
      <c r="G63" s="388"/>
      <c r="H63" s="388"/>
      <c r="I63" s="388"/>
      <c r="J63" s="388"/>
      <c r="K63" s="388"/>
    </row>
    <row r="64" spans="2:13" ht="15" customHeight="1" x14ac:dyDescent="0.25">
      <c r="B64" s="388"/>
      <c r="C64" s="388"/>
      <c r="D64" s="388"/>
      <c r="E64" s="388"/>
      <c r="F64" s="388"/>
      <c r="G64" s="388"/>
      <c r="H64" s="388"/>
      <c r="I64" s="388"/>
      <c r="J64" s="388"/>
      <c r="K64" s="388"/>
    </row>
    <row r="65" spans="2:11" ht="15" customHeight="1" x14ac:dyDescent="0.25">
      <c r="B65" s="388" t="s">
        <v>14359</v>
      </c>
      <c r="C65" s="388"/>
      <c r="D65" s="388"/>
      <c r="E65" s="388"/>
      <c r="F65" s="388"/>
      <c r="G65" s="388"/>
      <c r="H65" s="388"/>
      <c r="I65" s="388"/>
      <c r="J65" s="388"/>
      <c r="K65" s="388"/>
    </row>
    <row r="66" spans="2:11" ht="15" customHeight="1" x14ac:dyDescent="0.25">
      <c r="B66" s="388" t="s">
        <v>15632</v>
      </c>
      <c r="C66" s="388"/>
      <c r="D66" s="388"/>
      <c r="E66" s="388"/>
      <c r="F66" s="388"/>
      <c r="G66" s="388"/>
      <c r="H66" s="388"/>
      <c r="I66" s="388"/>
      <c r="J66" s="388"/>
      <c r="K66" s="388"/>
    </row>
  </sheetData>
  <sheetProtection algorithmName="SHA-512" hashValue="pH4EKpq2+GGTI1MabEhKHIFbEDmKLncIXiF9GQn0d8ncAgHHenNYaCsO2KhNn7nO207hCnKjl4390VnpOYrVMg==" saltValue="oknI/p8dFRuiquR4l/edlw==" spinCount="100000" sheet="1" formatColumns="0" formatRows="0"/>
  <mergeCells count="7">
    <mergeCell ref="B56:E56"/>
    <mergeCell ref="F1:F2"/>
    <mergeCell ref="B11:K19"/>
    <mergeCell ref="B21:K21"/>
    <mergeCell ref="B27:C27"/>
    <mergeCell ref="B54:C54"/>
    <mergeCell ref="B9:E9"/>
  </mergeCells>
  <hyperlinks>
    <hyperlink ref="E33" location="'Area summary'!A48" display="Total social units / PRP counts, by PRP size / Sales by Large PRPs" xr:uid="{5E816B5D-BD46-4AD5-BCF4-CCB7C23DEF24}"/>
    <hyperlink ref="E35" location="'Area summary'!A69" display="Total general needs self-contained vacant units" xr:uid="{AFF7E418-B7F8-4E60-91D6-86532DA96655}"/>
    <hyperlink ref="E37" location="'Area summary'!A92" display="General needs (social rent) - average weekly net rents and units" xr:uid="{31B74A43-336F-4889-93D8-4A863926A990}"/>
    <hyperlink ref="E47" location="'Area summary'!A202" display="Supported housing / housing fo older people (social rent) - rents and unit counts by unit size" xr:uid="{BDEC6235-05DA-41B4-97A1-96566258F80E}"/>
    <hyperlink ref="E49" location="'Area summary'!A224" display="Affordable Rent general needs - rents and unit counts by unit size" xr:uid="{ED052F05-0EC2-4BA6-BBE7-9D6EF2A86B35}"/>
    <hyperlink ref="E51" location="'Area summary'!A246" display="Affordable Rent supported housing (including housing for older people) - rents and unit counts" xr:uid="{DB9D794B-1791-40D6-B035-5588EF6A67C9}"/>
    <hyperlink ref="E39" location="'Area summary'!A114" display="Supported housing / housing for older people (social rent) - average weekly net rents and units" xr:uid="{DCB1A3B9-DAA3-48DA-A96B-8CD12D2D9CC6}"/>
    <hyperlink ref="E41" location="'Area summary'!A136" display="Affordable Rent general needs - average weekly gross rent (£ per week) and units" xr:uid="{A386EC61-DD85-4154-B405-DEB3BA31A36A}"/>
    <hyperlink ref="E43" location="'Area summary'!A158" display="Affordable Rent supported housing / housing for older people - average weekly gross rents (£ per week) and units" xr:uid="{6627B4D8-98D4-4689-905A-AA0ED8393EA8}"/>
    <hyperlink ref="E45" location="'Area summary'!A180" display="General needs (social rent) - rents and unit counts by unit size" xr:uid="{F7014472-D728-435D-9592-9B2444E122F0}"/>
    <hyperlink ref="E29" location="'Area summary'!A7" display="Total social units by provision type" xr:uid="{133F5B93-A377-47F8-ACCD-BECAB7EB1991}"/>
    <hyperlink ref="F5" r:id="rId1" xr:uid="{6789C619-BACB-4E8D-92C0-2074CAF114A9}"/>
    <hyperlink ref="H5" r:id="rId2" xr:uid="{749E2C8A-4899-4901-92AC-2F860303A91B}"/>
    <hyperlink ref="J5" r:id="rId3" xr:uid="{7670150E-62D4-4533-83AD-C27C3A628A6D}"/>
    <hyperlink ref="B25" location="Glossary!B8" display="Glossary" xr:uid="{AC6BF110-B4F2-4991-A844-C3B532EF1A3C}"/>
    <hyperlink ref="B27" location="'Area summary'!A1" display="Area summary" xr:uid="{10336029-3112-4DFA-B1C6-43661DB4913A}"/>
    <hyperlink ref="B54" location="'PRPs in area'!A1" display="PRPs in area" xr:uid="{F04FE96A-C8CB-49A8-8DBE-F262AC4F9D32}"/>
    <hyperlink ref="B56" location="'How to use the Search function'!A1" display="How to use the search function" xr:uid="{D904DFF1-0C98-455B-855E-6C299F9BE282}"/>
    <hyperlink ref="E31" location="'Area summary'!A21" display="Decent Homes Standard" xr:uid="{A1180263-FC48-44EA-82FE-4256ABA67AA1}"/>
    <hyperlink ref="C63" r:id="rId4" xr:uid="{F85B31D0-61DD-4CA4-A8C3-180425A8DF33}"/>
    <hyperlink ref="B27:C27" location="'Area summary'!E3" display="Area summary" xr:uid="{12D5915D-D9BA-4F99-B94B-6773E1403630}"/>
  </hyperlinks>
  <pageMargins left="0.7" right="0.7" top="0.75" bottom="0.75" header="0.3" footer="0.3"/>
  <pageSetup paperSize="9" orientation="portrait" r:id="rId5"/>
  <headerFooter>
    <oddFooter>&amp;C&amp;1#&amp;"Calibri"&amp;12&amp;K0078D7OFFICIAL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B200-DB55-4EDD-90FB-E901485ECDC3}">
  <sheetPr codeName="Sheet10">
    <tabColor rgb="FFFFFF00"/>
  </sheetPr>
  <dimension ref="A1:S1328"/>
  <sheetViews>
    <sheetView workbookViewId="0"/>
  </sheetViews>
  <sheetFormatPr defaultColWidth="8.85546875" defaultRowHeight="15" x14ac:dyDescent="0.25"/>
  <cols>
    <col min="2" max="2" width="64.5703125" bestFit="1" customWidth="1"/>
    <col min="18" max="18" width="23" bestFit="1" customWidth="1"/>
  </cols>
  <sheetData>
    <row r="1" spans="1:19" ht="60" x14ac:dyDescent="0.25">
      <c r="A1" s="179" t="s">
        <v>15610</v>
      </c>
      <c r="B1" s="179" t="s">
        <v>15611</v>
      </c>
      <c r="C1" s="427" t="s">
        <v>15612</v>
      </c>
      <c r="D1" s="427" t="s">
        <v>15613</v>
      </c>
      <c r="E1" s="427" t="s">
        <v>15614</v>
      </c>
      <c r="F1" s="427" t="s">
        <v>15615</v>
      </c>
      <c r="G1" s="427" t="s">
        <v>15616</v>
      </c>
      <c r="H1" s="427" t="s">
        <v>15617</v>
      </c>
      <c r="I1" s="517" t="s">
        <v>1925</v>
      </c>
      <c r="K1" s="428"/>
      <c r="L1" s="428"/>
      <c r="M1" s="429"/>
      <c r="R1" s="214" t="s">
        <v>1926</v>
      </c>
      <c r="S1" s="214"/>
    </row>
    <row r="2" spans="1:19" x14ac:dyDescent="0.25">
      <c r="A2" t="s">
        <v>78</v>
      </c>
      <c r="B2" t="s">
        <v>286</v>
      </c>
      <c r="C2">
        <v>438362</v>
      </c>
      <c r="D2">
        <v>656</v>
      </c>
      <c r="E2">
        <v>23809</v>
      </c>
      <c r="F2">
        <v>52156</v>
      </c>
      <c r="G2">
        <v>23034</v>
      </c>
      <c r="H2">
        <v>538017</v>
      </c>
      <c r="I2">
        <v>1</v>
      </c>
      <c r="K2" s="430"/>
      <c r="Q2" t="str">
        <f>'PRPs in area'!B6</f>
        <v/>
      </c>
      <c r="R2" t="s">
        <v>6</v>
      </c>
      <c r="S2" t="s">
        <v>970</v>
      </c>
    </row>
    <row r="3" spans="1:19" x14ac:dyDescent="0.25">
      <c r="A3" t="s">
        <v>78</v>
      </c>
      <c r="B3" t="s">
        <v>285</v>
      </c>
      <c r="C3">
        <v>160323</v>
      </c>
      <c r="D3">
        <v>131</v>
      </c>
      <c r="E3">
        <v>7310</v>
      </c>
      <c r="F3">
        <v>17134</v>
      </c>
      <c r="G3">
        <v>5083</v>
      </c>
      <c r="H3">
        <v>189981</v>
      </c>
      <c r="I3">
        <v>1</v>
      </c>
      <c r="K3" s="430"/>
      <c r="Q3">
        <f>IFERROR(VLOOKUP(Q2,R2:S11,2,0),0)</f>
        <v>0</v>
      </c>
      <c r="R3" t="s">
        <v>282</v>
      </c>
      <c r="S3" t="s">
        <v>970</v>
      </c>
    </row>
    <row r="4" spans="1:19" x14ac:dyDescent="0.25">
      <c r="A4" t="s">
        <v>78</v>
      </c>
      <c r="B4" t="s">
        <v>282</v>
      </c>
      <c r="C4">
        <v>123112</v>
      </c>
      <c r="D4">
        <v>483</v>
      </c>
      <c r="E4">
        <v>9425</v>
      </c>
      <c r="F4">
        <v>22298</v>
      </c>
      <c r="G4">
        <v>19105</v>
      </c>
      <c r="H4">
        <v>174423</v>
      </c>
      <c r="I4">
        <v>1</v>
      </c>
      <c r="K4" s="430"/>
      <c r="R4" s="215" t="s">
        <v>283</v>
      </c>
      <c r="S4" t="s">
        <v>970</v>
      </c>
    </row>
    <row r="5" spans="1:19" x14ac:dyDescent="0.25">
      <c r="A5" t="s">
        <v>78</v>
      </c>
      <c r="B5" t="s">
        <v>289</v>
      </c>
      <c r="C5">
        <v>173542</v>
      </c>
      <c r="D5">
        <v>32</v>
      </c>
      <c r="E5">
        <v>12148</v>
      </c>
      <c r="F5">
        <v>18442</v>
      </c>
      <c r="G5">
        <v>12381</v>
      </c>
      <c r="H5">
        <v>216545</v>
      </c>
      <c r="I5">
        <v>1</v>
      </c>
      <c r="K5" s="430"/>
      <c r="R5" t="s">
        <v>284</v>
      </c>
      <c r="S5" t="s">
        <v>970</v>
      </c>
    </row>
    <row r="6" spans="1:19" x14ac:dyDescent="0.25">
      <c r="A6" t="s">
        <v>78</v>
      </c>
      <c r="B6" t="s">
        <v>283</v>
      </c>
      <c r="C6">
        <v>236415</v>
      </c>
      <c r="D6">
        <v>1799</v>
      </c>
      <c r="E6">
        <v>11918</v>
      </c>
      <c r="F6">
        <v>26090</v>
      </c>
      <c r="G6">
        <v>30225</v>
      </c>
      <c r="H6">
        <v>306447</v>
      </c>
      <c r="I6">
        <v>1</v>
      </c>
      <c r="K6" s="430"/>
      <c r="R6" t="s">
        <v>285</v>
      </c>
      <c r="S6" t="s">
        <v>970</v>
      </c>
    </row>
    <row r="7" spans="1:19" x14ac:dyDescent="0.25">
      <c r="A7" t="s">
        <v>78</v>
      </c>
      <c r="B7" t="s">
        <v>288</v>
      </c>
      <c r="C7">
        <v>233113</v>
      </c>
      <c r="D7">
        <v>682</v>
      </c>
      <c r="E7">
        <v>17402</v>
      </c>
      <c r="F7">
        <v>27314</v>
      </c>
      <c r="G7">
        <v>21291</v>
      </c>
      <c r="H7">
        <v>299802</v>
      </c>
      <c r="I7">
        <v>1</v>
      </c>
      <c r="K7" s="430"/>
      <c r="R7" t="s">
        <v>286</v>
      </c>
      <c r="S7" t="s">
        <v>970</v>
      </c>
    </row>
    <row r="8" spans="1:19" x14ac:dyDescent="0.25">
      <c r="A8" t="s">
        <v>78</v>
      </c>
      <c r="B8" t="s">
        <v>2</v>
      </c>
      <c r="C8">
        <v>318525</v>
      </c>
      <c r="D8">
        <v>1011</v>
      </c>
      <c r="E8">
        <v>15661</v>
      </c>
      <c r="F8">
        <v>38992</v>
      </c>
      <c r="G8">
        <v>58251</v>
      </c>
      <c r="H8">
        <v>432440</v>
      </c>
      <c r="I8">
        <v>1</v>
      </c>
      <c r="K8" s="430"/>
      <c r="R8" t="s">
        <v>2</v>
      </c>
      <c r="S8" t="s">
        <v>970</v>
      </c>
    </row>
    <row r="9" spans="1:19" x14ac:dyDescent="0.25">
      <c r="A9" t="s">
        <v>78</v>
      </c>
      <c r="B9" t="s">
        <v>284</v>
      </c>
      <c r="C9">
        <v>368022</v>
      </c>
      <c r="D9">
        <v>4844</v>
      </c>
      <c r="E9">
        <v>26480</v>
      </c>
      <c r="F9">
        <v>29258</v>
      </c>
      <c r="G9">
        <v>55955</v>
      </c>
      <c r="H9">
        <v>484559</v>
      </c>
      <c r="I9">
        <v>1</v>
      </c>
      <c r="K9" s="430"/>
      <c r="R9" t="s">
        <v>287</v>
      </c>
      <c r="S9" t="s">
        <v>970</v>
      </c>
    </row>
    <row r="10" spans="1:19" x14ac:dyDescent="0.25">
      <c r="A10" t="s">
        <v>78</v>
      </c>
      <c r="B10" t="s">
        <v>287</v>
      </c>
      <c r="C10">
        <v>209733</v>
      </c>
      <c r="D10">
        <v>196</v>
      </c>
      <c r="E10">
        <v>15275</v>
      </c>
      <c r="F10">
        <v>29582</v>
      </c>
      <c r="G10">
        <v>28466</v>
      </c>
      <c r="H10">
        <v>283252</v>
      </c>
      <c r="I10">
        <v>1</v>
      </c>
      <c r="K10" s="430"/>
      <c r="R10" t="s">
        <v>288</v>
      </c>
      <c r="S10" t="s">
        <v>970</v>
      </c>
    </row>
    <row r="11" spans="1:19" x14ac:dyDescent="0.25">
      <c r="A11" t="s">
        <v>2019</v>
      </c>
      <c r="B11" t="s">
        <v>1400</v>
      </c>
      <c r="C11">
        <v>7</v>
      </c>
      <c r="D11">
        <v>0</v>
      </c>
      <c r="E11">
        <v>0</v>
      </c>
      <c r="F11">
        <v>0</v>
      </c>
      <c r="G11">
        <v>0</v>
      </c>
      <c r="H11">
        <v>7</v>
      </c>
      <c r="I11">
        <v>1</v>
      </c>
      <c r="K11" s="430"/>
      <c r="R11" t="s">
        <v>882</v>
      </c>
      <c r="S11" t="s">
        <v>970</v>
      </c>
    </row>
    <row r="12" spans="1:19" x14ac:dyDescent="0.25">
      <c r="A12" t="s">
        <v>10562</v>
      </c>
      <c r="B12" t="s">
        <v>10563</v>
      </c>
      <c r="C12">
        <v>0</v>
      </c>
      <c r="D12">
        <v>0</v>
      </c>
      <c r="E12">
        <v>0</v>
      </c>
      <c r="F12">
        <v>0</v>
      </c>
      <c r="G12">
        <v>0</v>
      </c>
      <c r="H12">
        <v>0</v>
      </c>
      <c r="I12">
        <v>0</v>
      </c>
      <c r="K12" s="430"/>
    </row>
    <row r="13" spans="1:19" x14ac:dyDescent="0.25">
      <c r="A13" t="s">
        <v>2963</v>
      </c>
      <c r="B13" t="s">
        <v>924</v>
      </c>
      <c r="C13">
        <v>103</v>
      </c>
      <c r="D13">
        <v>0</v>
      </c>
      <c r="E13">
        <v>547</v>
      </c>
      <c r="F13">
        <v>0</v>
      </c>
      <c r="G13">
        <v>0</v>
      </c>
      <c r="H13">
        <v>650</v>
      </c>
      <c r="I13">
        <v>31</v>
      </c>
      <c r="K13" s="430"/>
    </row>
    <row r="14" spans="1:19" x14ac:dyDescent="0.25">
      <c r="A14" t="s">
        <v>10569</v>
      </c>
      <c r="B14" t="s">
        <v>10570</v>
      </c>
      <c r="C14">
        <v>0</v>
      </c>
      <c r="D14">
        <v>0</v>
      </c>
      <c r="E14">
        <v>0</v>
      </c>
      <c r="F14">
        <v>0</v>
      </c>
      <c r="G14">
        <v>0</v>
      </c>
      <c r="H14">
        <v>0</v>
      </c>
      <c r="I14">
        <v>0</v>
      </c>
      <c r="K14" s="430"/>
    </row>
    <row r="15" spans="1:19" x14ac:dyDescent="0.25">
      <c r="A15" t="s">
        <v>3038</v>
      </c>
      <c r="B15" t="s">
        <v>1199</v>
      </c>
      <c r="C15">
        <v>39</v>
      </c>
      <c r="D15">
        <v>0</v>
      </c>
      <c r="E15">
        <v>0</v>
      </c>
      <c r="F15">
        <v>0</v>
      </c>
      <c r="G15">
        <v>0</v>
      </c>
      <c r="H15">
        <v>39</v>
      </c>
      <c r="I15">
        <v>2</v>
      </c>
      <c r="K15" s="430"/>
    </row>
    <row r="16" spans="1:19" x14ac:dyDescent="0.25">
      <c r="A16" t="s">
        <v>2949</v>
      </c>
      <c r="B16" t="s">
        <v>974</v>
      </c>
      <c r="C16">
        <v>0</v>
      </c>
      <c r="D16">
        <v>19</v>
      </c>
      <c r="E16">
        <v>531</v>
      </c>
      <c r="F16">
        <v>0</v>
      </c>
      <c r="G16">
        <v>0</v>
      </c>
      <c r="H16">
        <v>550</v>
      </c>
      <c r="I16">
        <v>20</v>
      </c>
      <c r="K16" s="430"/>
    </row>
    <row r="17" spans="1:11" x14ac:dyDescent="0.25">
      <c r="A17" t="s">
        <v>2704</v>
      </c>
      <c r="B17" t="s">
        <v>1568</v>
      </c>
      <c r="C17">
        <v>0</v>
      </c>
      <c r="D17">
        <v>0</v>
      </c>
      <c r="E17">
        <v>0</v>
      </c>
      <c r="F17">
        <v>241</v>
      </c>
      <c r="G17">
        <v>0</v>
      </c>
      <c r="H17">
        <v>241</v>
      </c>
      <c r="I17">
        <v>3</v>
      </c>
      <c r="K17" s="430"/>
    </row>
    <row r="18" spans="1:11" x14ac:dyDescent="0.25">
      <c r="A18" t="s">
        <v>2972</v>
      </c>
      <c r="B18" t="s">
        <v>1201</v>
      </c>
      <c r="C18">
        <v>547</v>
      </c>
      <c r="D18">
        <v>2</v>
      </c>
      <c r="E18">
        <v>34</v>
      </c>
      <c r="F18">
        <v>51</v>
      </c>
      <c r="G18">
        <v>0</v>
      </c>
      <c r="H18">
        <v>634</v>
      </c>
      <c r="I18">
        <v>5</v>
      </c>
      <c r="K18" s="430"/>
    </row>
    <row r="19" spans="1:11" x14ac:dyDescent="0.25">
      <c r="A19" t="s">
        <v>2721</v>
      </c>
      <c r="B19" t="s">
        <v>1452</v>
      </c>
      <c r="C19">
        <v>0</v>
      </c>
      <c r="D19">
        <v>0</v>
      </c>
      <c r="E19">
        <v>0</v>
      </c>
      <c r="F19">
        <v>955</v>
      </c>
      <c r="G19">
        <v>0</v>
      </c>
      <c r="H19">
        <v>955</v>
      </c>
      <c r="I19">
        <v>11</v>
      </c>
      <c r="K19" s="430"/>
    </row>
    <row r="20" spans="1:11" x14ac:dyDescent="0.25">
      <c r="A20" t="s">
        <v>9857</v>
      </c>
      <c r="B20" t="s">
        <v>9800</v>
      </c>
      <c r="C20">
        <v>1</v>
      </c>
      <c r="D20">
        <v>0</v>
      </c>
      <c r="E20">
        <v>0</v>
      </c>
      <c r="F20">
        <v>0</v>
      </c>
      <c r="G20">
        <v>0</v>
      </c>
      <c r="H20">
        <v>1</v>
      </c>
      <c r="I20">
        <v>1</v>
      </c>
      <c r="K20" s="430"/>
    </row>
    <row r="21" spans="1:11" x14ac:dyDescent="0.25">
      <c r="A21" t="s">
        <v>2661</v>
      </c>
      <c r="B21" t="s">
        <v>977</v>
      </c>
      <c r="C21">
        <v>0</v>
      </c>
      <c r="D21">
        <v>0</v>
      </c>
      <c r="E21">
        <v>0</v>
      </c>
      <c r="F21">
        <v>0</v>
      </c>
      <c r="G21">
        <v>0</v>
      </c>
      <c r="H21">
        <v>0</v>
      </c>
      <c r="I21">
        <v>0</v>
      </c>
      <c r="K21" s="430"/>
    </row>
    <row r="22" spans="1:11" x14ac:dyDescent="0.25">
      <c r="A22" t="s">
        <v>2979</v>
      </c>
      <c r="B22" t="s">
        <v>1087</v>
      </c>
      <c r="C22">
        <v>855</v>
      </c>
      <c r="D22">
        <v>0</v>
      </c>
      <c r="E22">
        <v>33</v>
      </c>
      <c r="F22">
        <v>0</v>
      </c>
      <c r="G22">
        <v>0</v>
      </c>
      <c r="H22">
        <v>888</v>
      </c>
      <c r="I22">
        <v>15</v>
      </c>
      <c r="K22" s="430"/>
    </row>
    <row r="23" spans="1:11" x14ac:dyDescent="0.25">
      <c r="A23" t="s">
        <v>9859</v>
      </c>
      <c r="B23" t="s">
        <v>9801</v>
      </c>
      <c r="C23">
        <v>65</v>
      </c>
      <c r="D23">
        <v>0</v>
      </c>
      <c r="E23">
        <v>0</v>
      </c>
      <c r="F23">
        <v>0</v>
      </c>
      <c r="G23">
        <v>0</v>
      </c>
      <c r="H23">
        <v>65</v>
      </c>
      <c r="I23">
        <v>1</v>
      </c>
      <c r="K23" s="430"/>
    </row>
    <row r="24" spans="1:11" x14ac:dyDescent="0.25">
      <c r="A24" t="s">
        <v>1992</v>
      </c>
      <c r="B24" t="s">
        <v>1703</v>
      </c>
      <c r="C24">
        <v>8</v>
      </c>
      <c r="D24">
        <v>39</v>
      </c>
      <c r="E24">
        <v>708</v>
      </c>
      <c r="F24">
        <v>0</v>
      </c>
      <c r="G24">
        <v>0</v>
      </c>
      <c r="H24">
        <v>755</v>
      </c>
      <c r="I24">
        <v>5</v>
      </c>
      <c r="K24" s="430"/>
    </row>
    <row r="25" spans="1:11" x14ac:dyDescent="0.25">
      <c r="A25" t="s">
        <v>2835</v>
      </c>
      <c r="B25" t="s">
        <v>1455</v>
      </c>
      <c r="C25">
        <v>951</v>
      </c>
      <c r="D25">
        <v>0</v>
      </c>
      <c r="E25">
        <v>0</v>
      </c>
      <c r="F25">
        <v>0</v>
      </c>
      <c r="G25">
        <v>0</v>
      </c>
      <c r="H25">
        <v>951</v>
      </c>
      <c r="I25">
        <v>1</v>
      </c>
      <c r="K25" s="430"/>
    </row>
    <row r="26" spans="1:11" x14ac:dyDescent="0.25">
      <c r="A26" t="s">
        <v>2003</v>
      </c>
      <c r="B26" t="s">
        <v>1457</v>
      </c>
      <c r="C26">
        <v>0</v>
      </c>
      <c r="D26">
        <v>0</v>
      </c>
      <c r="E26">
        <v>103</v>
      </c>
      <c r="F26">
        <v>0</v>
      </c>
      <c r="G26">
        <v>0</v>
      </c>
      <c r="H26">
        <v>103</v>
      </c>
      <c r="I26">
        <v>9</v>
      </c>
      <c r="K26" s="430"/>
    </row>
    <row r="27" spans="1:11" x14ac:dyDescent="0.25">
      <c r="A27" t="s">
        <v>1977</v>
      </c>
      <c r="B27" t="s">
        <v>9790</v>
      </c>
      <c r="C27">
        <v>0</v>
      </c>
      <c r="D27">
        <v>0</v>
      </c>
      <c r="E27">
        <v>975</v>
      </c>
      <c r="F27">
        <v>0</v>
      </c>
      <c r="G27">
        <v>0</v>
      </c>
      <c r="H27">
        <v>975</v>
      </c>
      <c r="I27">
        <v>76</v>
      </c>
      <c r="K27" s="430"/>
    </row>
    <row r="28" spans="1:11" x14ac:dyDescent="0.25">
      <c r="A28" t="s">
        <v>11734</v>
      </c>
      <c r="B28" t="s">
        <v>11735</v>
      </c>
      <c r="C28">
        <v>0</v>
      </c>
      <c r="D28">
        <v>0</v>
      </c>
      <c r="E28">
        <v>0</v>
      </c>
      <c r="F28">
        <v>0</v>
      </c>
      <c r="G28">
        <v>0</v>
      </c>
      <c r="H28">
        <v>0</v>
      </c>
      <c r="I28">
        <v>0</v>
      </c>
      <c r="K28" s="430"/>
    </row>
    <row r="29" spans="1:11" x14ac:dyDescent="0.25">
      <c r="A29" t="s">
        <v>2567</v>
      </c>
      <c r="B29" t="s">
        <v>10520</v>
      </c>
      <c r="C29">
        <v>305</v>
      </c>
      <c r="D29">
        <v>0</v>
      </c>
      <c r="E29">
        <v>124</v>
      </c>
      <c r="F29">
        <v>0</v>
      </c>
      <c r="G29">
        <v>0</v>
      </c>
      <c r="H29">
        <v>429</v>
      </c>
      <c r="I29">
        <v>3</v>
      </c>
      <c r="K29" s="430"/>
    </row>
    <row r="30" spans="1:11" x14ac:dyDescent="0.25">
      <c r="A30" t="s">
        <v>2787</v>
      </c>
      <c r="B30" t="s">
        <v>14382</v>
      </c>
      <c r="C30">
        <v>269</v>
      </c>
      <c r="D30">
        <v>0</v>
      </c>
      <c r="E30">
        <v>0</v>
      </c>
      <c r="F30">
        <v>30</v>
      </c>
      <c r="G30">
        <v>0</v>
      </c>
      <c r="H30">
        <v>299</v>
      </c>
      <c r="I30">
        <v>1</v>
      </c>
      <c r="K30" s="430"/>
    </row>
    <row r="31" spans="1:11" x14ac:dyDescent="0.25">
      <c r="A31" t="s">
        <v>2953</v>
      </c>
      <c r="B31" t="s">
        <v>1092</v>
      </c>
      <c r="C31">
        <v>63</v>
      </c>
      <c r="D31">
        <v>0</v>
      </c>
      <c r="E31">
        <v>0</v>
      </c>
      <c r="F31">
        <v>103</v>
      </c>
      <c r="G31">
        <v>0</v>
      </c>
      <c r="H31">
        <v>166</v>
      </c>
      <c r="I31">
        <v>1</v>
      </c>
      <c r="K31" s="430"/>
    </row>
    <row r="32" spans="1:11" x14ac:dyDescent="0.25">
      <c r="A32" t="s">
        <v>2732</v>
      </c>
      <c r="B32" t="s">
        <v>1459</v>
      </c>
      <c r="C32">
        <v>0</v>
      </c>
      <c r="D32">
        <v>0</v>
      </c>
      <c r="E32">
        <v>288</v>
      </c>
      <c r="F32">
        <v>0</v>
      </c>
      <c r="G32">
        <v>0</v>
      </c>
      <c r="H32">
        <v>288</v>
      </c>
      <c r="I32">
        <v>4</v>
      </c>
      <c r="K32" s="430"/>
    </row>
    <row r="33" spans="1:11" x14ac:dyDescent="0.25">
      <c r="A33" t="s">
        <v>2735</v>
      </c>
      <c r="B33" t="s">
        <v>1800</v>
      </c>
      <c r="C33">
        <v>217</v>
      </c>
      <c r="D33">
        <v>0</v>
      </c>
      <c r="E33">
        <v>0</v>
      </c>
      <c r="F33">
        <v>0</v>
      </c>
      <c r="G33">
        <v>0</v>
      </c>
      <c r="H33">
        <v>217</v>
      </c>
      <c r="I33">
        <v>1</v>
      </c>
      <c r="K33" s="430"/>
    </row>
    <row r="34" spans="1:11" x14ac:dyDescent="0.25">
      <c r="A34" t="s">
        <v>2790</v>
      </c>
      <c r="B34" t="s">
        <v>1801</v>
      </c>
      <c r="C34">
        <v>8</v>
      </c>
      <c r="D34">
        <v>0</v>
      </c>
      <c r="E34">
        <v>0</v>
      </c>
      <c r="F34">
        <v>34</v>
      </c>
      <c r="G34">
        <v>0</v>
      </c>
      <c r="H34">
        <v>42</v>
      </c>
      <c r="I34">
        <v>1</v>
      </c>
      <c r="K34" s="430"/>
    </row>
    <row r="35" spans="1:11" x14ac:dyDescent="0.25">
      <c r="A35" t="s">
        <v>2742</v>
      </c>
      <c r="B35" t="s">
        <v>1094</v>
      </c>
      <c r="C35">
        <v>81</v>
      </c>
      <c r="D35">
        <v>0</v>
      </c>
      <c r="E35">
        <v>81</v>
      </c>
      <c r="F35">
        <v>0</v>
      </c>
      <c r="G35">
        <v>0</v>
      </c>
      <c r="H35">
        <v>162</v>
      </c>
      <c r="I35">
        <v>11</v>
      </c>
      <c r="K35" s="430"/>
    </row>
    <row r="36" spans="1:11" x14ac:dyDescent="0.25">
      <c r="A36" t="s">
        <v>2357</v>
      </c>
      <c r="B36" t="s">
        <v>1805</v>
      </c>
      <c r="C36">
        <v>313</v>
      </c>
      <c r="D36">
        <v>0</v>
      </c>
      <c r="E36">
        <v>0</v>
      </c>
      <c r="F36">
        <v>0</v>
      </c>
      <c r="G36">
        <v>0</v>
      </c>
      <c r="H36">
        <v>313</v>
      </c>
      <c r="I36">
        <v>1</v>
      </c>
      <c r="K36" s="430"/>
    </row>
    <row r="37" spans="1:11" x14ac:dyDescent="0.25">
      <c r="A37" t="s">
        <v>2666</v>
      </c>
      <c r="B37" t="s">
        <v>1213</v>
      </c>
      <c r="C37">
        <v>18</v>
      </c>
      <c r="D37">
        <v>0</v>
      </c>
      <c r="E37">
        <v>0</v>
      </c>
      <c r="F37">
        <v>0</v>
      </c>
      <c r="G37">
        <v>0</v>
      </c>
      <c r="H37">
        <v>18</v>
      </c>
      <c r="I37">
        <v>1</v>
      </c>
      <c r="K37" s="430"/>
    </row>
    <row r="38" spans="1:11" x14ac:dyDescent="0.25">
      <c r="A38" t="s">
        <v>2312</v>
      </c>
      <c r="B38" t="s">
        <v>1410</v>
      </c>
      <c r="C38">
        <v>12</v>
      </c>
      <c r="D38">
        <v>0</v>
      </c>
      <c r="E38">
        <v>0</v>
      </c>
      <c r="F38">
        <v>0</v>
      </c>
      <c r="G38">
        <v>0</v>
      </c>
      <c r="H38">
        <v>12</v>
      </c>
      <c r="I38">
        <v>1</v>
      </c>
      <c r="K38" s="430"/>
    </row>
    <row r="39" spans="1:11" x14ac:dyDescent="0.25">
      <c r="A39" t="s">
        <v>2633</v>
      </c>
      <c r="B39" t="s">
        <v>1806</v>
      </c>
      <c r="C39">
        <v>0</v>
      </c>
      <c r="D39">
        <v>0</v>
      </c>
      <c r="E39">
        <v>197</v>
      </c>
      <c r="F39">
        <v>0</v>
      </c>
      <c r="G39">
        <v>0</v>
      </c>
      <c r="H39">
        <v>197</v>
      </c>
      <c r="I39">
        <v>3</v>
      </c>
      <c r="K39" s="430"/>
    </row>
    <row r="40" spans="1:11" x14ac:dyDescent="0.25">
      <c r="A40" t="s">
        <v>2685</v>
      </c>
      <c r="B40" t="s">
        <v>1583</v>
      </c>
      <c r="C40">
        <v>136</v>
      </c>
      <c r="D40">
        <v>0</v>
      </c>
      <c r="E40">
        <v>0</v>
      </c>
      <c r="F40">
        <v>0</v>
      </c>
      <c r="G40">
        <v>0</v>
      </c>
      <c r="H40">
        <v>136</v>
      </c>
      <c r="I40">
        <v>1</v>
      </c>
      <c r="K40" s="430"/>
    </row>
    <row r="41" spans="1:11" x14ac:dyDescent="0.25">
      <c r="A41" t="s">
        <v>2613</v>
      </c>
      <c r="B41" t="s">
        <v>1584</v>
      </c>
      <c r="C41">
        <v>0</v>
      </c>
      <c r="D41">
        <v>0</v>
      </c>
      <c r="E41">
        <v>301</v>
      </c>
      <c r="F41">
        <v>0</v>
      </c>
      <c r="G41">
        <v>0</v>
      </c>
      <c r="H41">
        <v>301</v>
      </c>
      <c r="I41">
        <v>1</v>
      </c>
      <c r="K41" s="430"/>
    </row>
    <row r="42" spans="1:11" x14ac:dyDescent="0.25">
      <c r="A42" t="s">
        <v>2673</v>
      </c>
      <c r="B42" t="s">
        <v>1582</v>
      </c>
      <c r="C42">
        <v>0</v>
      </c>
      <c r="D42">
        <v>0</v>
      </c>
      <c r="E42">
        <v>2</v>
      </c>
      <c r="F42">
        <v>17</v>
      </c>
      <c r="G42">
        <v>0</v>
      </c>
      <c r="H42">
        <v>19</v>
      </c>
      <c r="I42">
        <v>1</v>
      </c>
      <c r="K42" s="430"/>
    </row>
    <row r="43" spans="1:11" x14ac:dyDescent="0.25">
      <c r="A43" t="s">
        <v>2769</v>
      </c>
      <c r="B43" t="s">
        <v>1709</v>
      </c>
      <c r="C43">
        <v>75</v>
      </c>
      <c r="D43">
        <v>0</v>
      </c>
      <c r="E43">
        <v>0</v>
      </c>
      <c r="F43">
        <v>0</v>
      </c>
      <c r="G43">
        <v>0</v>
      </c>
      <c r="H43">
        <v>75</v>
      </c>
      <c r="I43">
        <v>3</v>
      </c>
      <c r="K43" s="430"/>
    </row>
    <row r="44" spans="1:11" x14ac:dyDescent="0.25">
      <c r="A44" t="s">
        <v>2839</v>
      </c>
      <c r="B44" t="s">
        <v>1807</v>
      </c>
      <c r="C44">
        <v>0</v>
      </c>
      <c r="D44">
        <v>0</v>
      </c>
      <c r="E44">
        <v>0</v>
      </c>
      <c r="F44">
        <v>143</v>
      </c>
      <c r="G44">
        <v>0</v>
      </c>
      <c r="H44">
        <v>143</v>
      </c>
      <c r="I44">
        <v>1</v>
      </c>
      <c r="K44" s="430"/>
    </row>
    <row r="45" spans="1:11" x14ac:dyDescent="0.25">
      <c r="A45" t="s">
        <v>1964</v>
      </c>
      <c r="B45" t="s">
        <v>985</v>
      </c>
      <c r="C45">
        <v>0</v>
      </c>
      <c r="D45">
        <v>0</v>
      </c>
      <c r="E45">
        <v>437</v>
      </c>
      <c r="F45">
        <v>0</v>
      </c>
      <c r="G45">
        <v>0</v>
      </c>
      <c r="H45">
        <v>437</v>
      </c>
      <c r="I45">
        <v>31</v>
      </c>
      <c r="K45" s="430"/>
    </row>
    <row r="46" spans="1:11" x14ac:dyDescent="0.25">
      <c r="A46" t="s">
        <v>2687</v>
      </c>
      <c r="B46" t="s">
        <v>986</v>
      </c>
      <c r="C46">
        <v>0</v>
      </c>
      <c r="D46">
        <v>0</v>
      </c>
      <c r="E46">
        <v>0</v>
      </c>
      <c r="F46">
        <v>0</v>
      </c>
      <c r="G46">
        <v>0</v>
      </c>
      <c r="H46">
        <v>0</v>
      </c>
      <c r="I46">
        <v>0</v>
      </c>
      <c r="K46" s="430"/>
    </row>
    <row r="47" spans="1:11" x14ac:dyDescent="0.25">
      <c r="A47" t="s">
        <v>2645</v>
      </c>
      <c r="B47" t="s">
        <v>1217</v>
      </c>
      <c r="C47">
        <v>0</v>
      </c>
      <c r="D47">
        <v>0</v>
      </c>
      <c r="E47">
        <v>0</v>
      </c>
      <c r="F47">
        <v>49</v>
      </c>
      <c r="G47">
        <v>0</v>
      </c>
      <c r="H47">
        <v>49</v>
      </c>
      <c r="I47">
        <v>1</v>
      </c>
      <c r="K47" s="430"/>
    </row>
    <row r="48" spans="1:11" x14ac:dyDescent="0.25">
      <c r="A48" t="s">
        <v>2232</v>
      </c>
      <c r="B48" t="s">
        <v>1585</v>
      </c>
      <c r="C48">
        <v>14</v>
      </c>
      <c r="D48">
        <v>0</v>
      </c>
      <c r="E48">
        <v>0</v>
      </c>
      <c r="F48">
        <v>0</v>
      </c>
      <c r="G48">
        <v>0</v>
      </c>
      <c r="H48">
        <v>14</v>
      </c>
      <c r="I48">
        <v>1</v>
      </c>
      <c r="K48" s="430"/>
    </row>
    <row r="49" spans="1:11" x14ac:dyDescent="0.25">
      <c r="A49" t="s">
        <v>2838</v>
      </c>
      <c r="B49" t="s">
        <v>1221</v>
      </c>
      <c r="C49">
        <v>990</v>
      </c>
      <c r="D49">
        <v>0</v>
      </c>
      <c r="E49">
        <v>0</v>
      </c>
      <c r="F49">
        <v>0</v>
      </c>
      <c r="G49">
        <v>0</v>
      </c>
      <c r="H49">
        <v>990</v>
      </c>
      <c r="I49">
        <v>1</v>
      </c>
      <c r="K49" s="430"/>
    </row>
    <row r="50" spans="1:11" x14ac:dyDescent="0.25">
      <c r="A50" t="s">
        <v>2070</v>
      </c>
      <c r="B50" t="s">
        <v>1877</v>
      </c>
      <c r="C50">
        <v>0</v>
      </c>
      <c r="D50">
        <v>0</v>
      </c>
      <c r="E50">
        <v>483</v>
      </c>
      <c r="F50">
        <v>0</v>
      </c>
      <c r="G50">
        <v>0</v>
      </c>
      <c r="H50">
        <v>483</v>
      </c>
      <c r="I50">
        <v>4</v>
      </c>
      <c r="K50" s="430"/>
    </row>
    <row r="51" spans="1:11" x14ac:dyDescent="0.25">
      <c r="A51" t="s">
        <v>1930</v>
      </c>
      <c r="B51" t="s">
        <v>1712</v>
      </c>
      <c r="C51">
        <v>95</v>
      </c>
      <c r="D51">
        <v>0</v>
      </c>
      <c r="E51">
        <v>0</v>
      </c>
      <c r="F51">
        <v>0</v>
      </c>
      <c r="G51">
        <v>0</v>
      </c>
      <c r="H51">
        <v>95</v>
      </c>
      <c r="I51">
        <v>1</v>
      </c>
      <c r="K51" s="430"/>
    </row>
    <row r="52" spans="1:11" x14ac:dyDescent="0.25">
      <c r="A52" t="s">
        <v>2630</v>
      </c>
      <c r="B52" t="s">
        <v>1713</v>
      </c>
      <c r="C52">
        <v>31</v>
      </c>
      <c r="D52">
        <v>0</v>
      </c>
      <c r="E52">
        <v>169</v>
      </c>
      <c r="F52">
        <v>0</v>
      </c>
      <c r="G52">
        <v>0</v>
      </c>
      <c r="H52">
        <v>200</v>
      </c>
      <c r="I52">
        <v>2</v>
      </c>
      <c r="K52" s="430"/>
    </row>
    <row r="53" spans="1:11" x14ac:dyDescent="0.25">
      <c r="A53" t="s">
        <v>2733</v>
      </c>
      <c r="B53" t="s">
        <v>1586</v>
      </c>
      <c r="C53">
        <v>0</v>
      </c>
      <c r="D53">
        <v>0</v>
      </c>
      <c r="E53">
        <v>0</v>
      </c>
      <c r="F53">
        <v>101</v>
      </c>
      <c r="G53">
        <v>0</v>
      </c>
      <c r="H53">
        <v>101</v>
      </c>
      <c r="I53">
        <v>1</v>
      </c>
      <c r="K53" s="430"/>
    </row>
    <row r="54" spans="1:11" x14ac:dyDescent="0.25">
      <c r="A54" t="s">
        <v>2801</v>
      </c>
      <c r="B54" t="s">
        <v>1102</v>
      </c>
      <c r="C54">
        <v>198</v>
      </c>
      <c r="D54">
        <v>38</v>
      </c>
      <c r="E54">
        <v>0</v>
      </c>
      <c r="F54">
        <v>0</v>
      </c>
      <c r="G54">
        <v>0</v>
      </c>
      <c r="H54">
        <v>236</v>
      </c>
      <c r="I54">
        <v>6</v>
      </c>
      <c r="K54" s="430"/>
    </row>
    <row r="55" spans="1:11" x14ac:dyDescent="0.25">
      <c r="A55" t="s">
        <v>2833</v>
      </c>
      <c r="B55" t="s">
        <v>1812</v>
      </c>
      <c r="C55">
        <v>0</v>
      </c>
      <c r="D55">
        <v>0</v>
      </c>
      <c r="E55">
        <v>19</v>
      </c>
      <c r="F55">
        <v>0</v>
      </c>
      <c r="G55">
        <v>0</v>
      </c>
      <c r="H55">
        <v>19</v>
      </c>
      <c r="I55">
        <v>3</v>
      </c>
      <c r="K55" s="430"/>
    </row>
    <row r="56" spans="1:11" x14ac:dyDescent="0.25">
      <c r="A56" t="s">
        <v>2653</v>
      </c>
      <c r="B56" t="s">
        <v>11701</v>
      </c>
      <c r="C56">
        <v>0</v>
      </c>
      <c r="D56">
        <v>0</v>
      </c>
      <c r="E56">
        <v>0</v>
      </c>
      <c r="F56">
        <v>191</v>
      </c>
      <c r="G56">
        <v>0</v>
      </c>
      <c r="H56">
        <v>191</v>
      </c>
      <c r="I56">
        <v>3</v>
      </c>
      <c r="K56" s="430"/>
    </row>
    <row r="57" spans="1:11" x14ac:dyDescent="0.25">
      <c r="A57" t="s">
        <v>2739</v>
      </c>
      <c r="B57" t="s">
        <v>1714</v>
      </c>
      <c r="C57">
        <v>0</v>
      </c>
      <c r="D57">
        <v>0</v>
      </c>
      <c r="E57">
        <v>0</v>
      </c>
      <c r="F57">
        <v>0</v>
      </c>
      <c r="G57">
        <v>0</v>
      </c>
      <c r="H57">
        <v>0</v>
      </c>
      <c r="I57">
        <v>0</v>
      </c>
      <c r="K57" s="430"/>
    </row>
    <row r="58" spans="1:11" x14ac:dyDescent="0.25">
      <c r="A58" t="s">
        <v>2568</v>
      </c>
      <c r="B58" t="s">
        <v>1469</v>
      </c>
      <c r="C58">
        <v>0</v>
      </c>
      <c r="D58">
        <v>0</v>
      </c>
      <c r="E58">
        <v>109</v>
      </c>
      <c r="F58">
        <v>0</v>
      </c>
      <c r="G58">
        <v>0</v>
      </c>
      <c r="H58">
        <v>109</v>
      </c>
      <c r="I58">
        <v>1</v>
      </c>
      <c r="K58" s="430"/>
    </row>
    <row r="59" spans="1:11" x14ac:dyDescent="0.25">
      <c r="A59" t="s">
        <v>2618</v>
      </c>
      <c r="B59" t="s">
        <v>1716</v>
      </c>
      <c r="C59">
        <v>0</v>
      </c>
      <c r="D59">
        <v>0</v>
      </c>
      <c r="E59">
        <v>85</v>
      </c>
      <c r="F59">
        <v>0</v>
      </c>
      <c r="G59">
        <v>0</v>
      </c>
      <c r="H59">
        <v>85</v>
      </c>
      <c r="I59">
        <v>1</v>
      </c>
      <c r="K59" s="430"/>
    </row>
    <row r="60" spans="1:11" x14ac:dyDescent="0.25">
      <c r="A60" t="s">
        <v>10602</v>
      </c>
      <c r="B60" t="s">
        <v>10603</v>
      </c>
      <c r="C60">
        <v>0</v>
      </c>
      <c r="D60">
        <v>0</v>
      </c>
      <c r="E60">
        <v>0</v>
      </c>
      <c r="F60">
        <v>0</v>
      </c>
      <c r="G60">
        <v>0</v>
      </c>
      <c r="H60">
        <v>0</v>
      </c>
      <c r="I60">
        <v>0</v>
      </c>
      <c r="K60" s="430"/>
    </row>
    <row r="61" spans="1:11" x14ac:dyDescent="0.25">
      <c r="A61" t="s">
        <v>2483</v>
      </c>
      <c r="B61" t="s">
        <v>1104</v>
      </c>
      <c r="C61">
        <v>314</v>
      </c>
      <c r="D61">
        <v>0</v>
      </c>
      <c r="E61">
        <v>0</v>
      </c>
      <c r="F61">
        <v>0</v>
      </c>
      <c r="G61">
        <v>0</v>
      </c>
      <c r="H61">
        <v>314</v>
      </c>
      <c r="I61">
        <v>10</v>
      </c>
      <c r="K61" s="430"/>
    </row>
    <row r="62" spans="1:11" x14ac:dyDescent="0.25">
      <c r="A62" t="s">
        <v>2918</v>
      </c>
      <c r="B62" t="s">
        <v>1105</v>
      </c>
      <c r="C62">
        <v>738</v>
      </c>
      <c r="D62">
        <v>0</v>
      </c>
      <c r="E62">
        <v>0</v>
      </c>
      <c r="F62">
        <v>0</v>
      </c>
      <c r="G62">
        <v>0</v>
      </c>
      <c r="H62">
        <v>738</v>
      </c>
      <c r="I62">
        <v>11</v>
      </c>
      <c r="K62" s="430"/>
    </row>
    <row r="63" spans="1:11" x14ac:dyDescent="0.25">
      <c r="A63" t="s">
        <v>10604</v>
      </c>
      <c r="B63" t="s">
        <v>10605</v>
      </c>
      <c r="C63">
        <v>0</v>
      </c>
      <c r="D63">
        <v>0</v>
      </c>
      <c r="E63">
        <v>0</v>
      </c>
      <c r="F63">
        <v>0</v>
      </c>
      <c r="G63">
        <v>0</v>
      </c>
      <c r="H63">
        <v>0</v>
      </c>
      <c r="I63">
        <v>0</v>
      </c>
      <c r="K63" s="430"/>
    </row>
    <row r="64" spans="1:11" x14ac:dyDescent="0.25">
      <c r="A64" t="s">
        <v>2038</v>
      </c>
      <c r="B64" t="s">
        <v>1474</v>
      </c>
      <c r="C64">
        <v>4</v>
      </c>
      <c r="D64">
        <v>66</v>
      </c>
      <c r="E64">
        <v>0</v>
      </c>
      <c r="F64">
        <v>0</v>
      </c>
      <c r="G64">
        <v>0</v>
      </c>
      <c r="H64">
        <v>70</v>
      </c>
      <c r="I64">
        <v>6</v>
      </c>
      <c r="K64" s="430"/>
    </row>
    <row r="65" spans="1:11" x14ac:dyDescent="0.25">
      <c r="A65" t="s">
        <v>2141</v>
      </c>
      <c r="B65" t="s">
        <v>1721</v>
      </c>
      <c r="C65">
        <v>8</v>
      </c>
      <c r="D65">
        <v>0</v>
      </c>
      <c r="E65">
        <v>0</v>
      </c>
      <c r="F65">
        <v>0</v>
      </c>
      <c r="G65">
        <v>0</v>
      </c>
      <c r="H65">
        <v>8</v>
      </c>
      <c r="I65">
        <v>1</v>
      </c>
      <c r="K65" s="430"/>
    </row>
    <row r="66" spans="1:11" x14ac:dyDescent="0.25">
      <c r="A66" t="s">
        <v>1929</v>
      </c>
      <c r="B66" t="s">
        <v>1722</v>
      </c>
      <c r="C66">
        <v>56</v>
      </c>
      <c r="D66">
        <v>0</v>
      </c>
      <c r="E66">
        <v>0</v>
      </c>
      <c r="F66">
        <v>0</v>
      </c>
      <c r="G66">
        <v>0</v>
      </c>
      <c r="H66">
        <v>56</v>
      </c>
      <c r="I66">
        <v>1</v>
      </c>
      <c r="K66" s="430"/>
    </row>
    <row r="67" spans="1:11" x14ac:dyDescent="0.25">
      <c r="A67" t="s">
        <v>2798</v>
      </c>
      <c r="B67" t="s">
        <v>1723</v>
      </c>
      <c r="C67">
        <v>341</v>
      </c>
      <c r="D67">
        <v>0</v>
      </c>
      <c r="E67">
        <v>0</v>
      </c>
      <c r="F67">
        <v>0</v>
      </c>
      <c r="G67">
        <v>0</v>
      </c>
      <c r="H67">
        <v>341</v>
      </c>
      <c r="I67">
        <v>2</v>
      </c>
      <c r="K67" s="430"/>
    </row>
    <row r="68" spans="1:11" x14ac:dyDescent="0.25">
      <c r="A68" t="s">
        <v>2135</v>
      </c>
      <c r="B68" t="s">
        <v>1589</v>
      </c>
      <c r="C68">
        <v>32</v>
      </c>
      <c r="D68">
        <v>0</v>
      </c>
      <c r="E68">
        <v>0</v>
      </c>
      <c r="F68">
        <v>0</v>
      </c>
      <c r="G68">
        <v>0</v>
      </c>
      <c r="H68">
        <v>32</v>
      </c>
      <c r="I68">
        <v>1</v>
      </c>
      <c r="K68" s="430"/>
    </row>
    <row r="69" spans="1:11" x14ac:dyDescent="0.25">
      <c r="A69" t="s">
        <v>1976</v>
      </c>
      <c r="B69" t="s">
        <v>991</v>
      </c>
      <c r="C69">
        <v>0</v>
      </c>
      <c r="D69">
        <v>0</v>
      </c>
      <c r="E69">
        <v>706</v>
      </c>
      <c r="F69">
        <v>0</v>
      </c>
      <c r="G69">
        <v>0</v>
      </c>
      <c r="H69">
        <v>706</v>
      </c>
      <c r="I69">
        <v>36</v>
      </c>
      <c r="K69" s="430"/>
    </row>
    <row r="70" spans="1:11" x14ac:dyDescent="0.25">
      <c r="A70" t="s">
        <v>10612</v>
      </c>
      <c r="B70" t="s">
        <v>10613</v>
      </c>
      <c r="C70">
        <v>0</v>
      </c>
      <c r="D70">
        <v>0</v>
      </c>
      <c r="E70">
        <v>0</v>
      </c>
      <c r="F70">
        <v>0</v>
      </c>
      <c r="G70">
        <v>0</v>
      </c>
      <c r="H70">
        <v>0</v>
      </c>
      <c r="I70">
        <v>0</v>
      </c>
      <c r="K70" s="430"/>
    </row>
    <row r="71" spans="1:11" x14ac:dyDescent="0.25">
      <c r="A71" t="s">
        <v>3020</v>
      </c>
      <c r="B71" t="s">
        <v>1724</v>
      </c>
      <c r="C71">
        <v>1</v>
      </c>
      <c r="D71">
        <v>0</v>
      </c>
      <c r="E71">
        <v>0</v>
      </c>
      <c r="F71">
        <v>0</v>
      </c>
      <c r="G71">
        <v>0</v>
      </c>
      <c r="H71">
        <v>1</v>
      </c>
      <c r="I71">
        <v>1</v>
      </c>
      <c r="K71" s="430"/>
    </row>
    <row r="72" spans="1:11" x14ac:dyDescent="0.25">
      <c r="A72" t="s">
        <v>2440</v>
      </c>
      <c r="B72" t="s">
        <v>1592</v>
      </c>
      <c r="C72">
        <v>47</v>
      </c>
      <c r="D72">
        <v>0</v>
      </c>
      <c r="E72">
        <v>0</v>
      </c>
      <c r="F72">
        <v>0</v>
      </c>
      <c r="G72">
        <v>0</v>
      </c>
      <c r="H72">
        <v>47</v>
      </c>
      <c r="I72">
        <v>1</v>
      </c>
      <c r="K72" s="430"/>
    </row>
    <row r="73" spans="1:11" x14ac:dyDescent="0.25">
      <c r="A73" t="s">
        <v>2126</v>
      </c>
      <c r="B73" t="s">
        <v>10614</v>
      </c>
      <c r="C73">
        <v>15</v>
      </c>
      <c r="D73">
        <v>0</v>
      </c>
      <c r="E73">
        <v>0</v>
      </c>
      <c r="F73">
        <v>0</v>
      </c>
      <c r="G73">
        <v>0</v>
      </c>
      <c r="H73">
        <v>15</v>
      </c>
      <c r="I73">
        <v>1</v>
      </c>
      <c r="K73" s="430"/>
    </row>
    <row r="74" spans="1:11" x14ac:dyDescent="0.25">
      <c r="A74" t="s">
        <v>2048</v>
      </c>
      <c r="B74" t="s">
        <v>1413</v>
      </c>
      <c r="C74">
        <v>0</v>
      </c>
      <c r="D74">
        <v>0</v>
      </c>
      <c r="E74">
        <v>228</v>
      </c>
      <c r="F74">
        <v>0</v>
      </c>
      <c r="G74">
        <v>0</v>
      </c>
      <c r="H74">
        <v>228</v>
      </c>
      <c r="I74">
        <v>7</v>
      </c>
      <c r="K74" s="430"/>
    </row>
    <row r="75" spans="1:11" x14ac:dyDescent="0.25">
      <c r="A75" t="s">
        <v>1931</v>
      </c>
      <c r="B75" t="s">
        <v>993</v>
      </c>
      <c r="C75">
        <v>153</v>
      </c>
      <c r="D75">
        <v>0</v>
      </c>
      <c r="E75">
        <v>0</v>
      </c>
      <c r="F75">
        <v>0</v>
      </c>
      <c r="G75">
        <v>0</v>
      </c>
      <c r="H75">
        <v>153</v>
      </c>
      <c r="I75">
        <v>1</v>
      </c>
      <c r="K75" s="430"/>
    </row>
    <row r="76" spans="1:11" x14ac:dyDescent="0.25">
      <c r="A76" t="s">
        <v>11745</v>
      </c>
      <c r="B76" t="s">
        <v>11746</v>
      </c>
      <c r="C76">
        <v>104</v>
      </c>
      <c r="D76">
        <v>0</v>
      </c>
      <c r="E76">
        <v>0</v>
      </c>
      <c r="F76">
        <v>0</v>
      </c>
      <c r="G76">
        <v>0</v>
      </c>
      <c r="H76">
        <v>104</v>
      </c>
      <c r="I76">
        <v>1</v>
      </c>
      <c r="K76" s="430"/>
    </row>
    <row r="77" spans="1:11" x14ac:dyDescent="0.25">
      <c r="A77" t="s">
        <v>1952</v>
      </c>
      <c r="B77" t="s">
        <v>996</v>
      </c>
      <c r="C77">
        <v>0</v>
      </c>
      <c r="D77">
        <v>0</v>
      </c>
      <c r="E77">
        <v>582</v>
      </c>
      <c r="F77">
        <v>0</v>
      </c>
      <c r="G77">
        <v>0</v>
      </c>
      <c r="H77">
        <v>582</v>
      </c>
      <c r="I77">
        <v>54</v>
      </c>
      <c r="K77" s="430"/>
    </row>
    <row r="78" spans="1:11" x14ac:dyDescent="0.25">
      <c r="A78" t="s">
        <v>10616</v>
      </c>
      <c r="B78" t="s">
        <v>10617</v>
      </c>
      <c r="C78">
        <v>0</v>
      </c>
      <c r="D78">
        <v>0</v>
      </c>
      <c r="E78">
        <v>20</v>
      </c>
      <c r="F78">
        <v>0</v>
      </c>
      <c r="G78">
        <v>0</v>
      </c>
      <c r="H78">
        <v>20</v>
      </c>
      <c r="I78">
        <v>1</v>
      </c>
      <c r="K78" s="430"/>
    </row>
    <row r="79" spans="1:11" x14ac:dyDescent="0.25">
      <c r="A79" t="s">
        <v>2140</v>
      </c>
      <c r="B79" t="s">
        <v>1414</v>
      </c>
      <c r="C79">
        <v>6</v>
      </c>
      <c r="D79">
        <v>0</v>
      </c>
      <c r="E79">
        <v>12</v>
      </c>
      <c r="F79">
        <v>0</v>
      </c>
      <c r="G79">
        <v>0</v>
      </c>
      <c r="H79">
        <v>18</v>
      </c>
      <c r="I79">
        <v>1</v>
      </c>
      <c r="K79" s="430"/>
    </row>
    <row r="80" spans="1:11" x14ac:dyDescent="0.25">
      <c r="A80" t="s">
        <v>10621</v>
      </c>
      <c r="B80" t="s">
        <v>10622</v>
      </c>
      <c r="C80">
        <v>0</v>
      </c>
      <c r="D80">
        <v>0</v>
      </c>
      <c r="E80">
        <v>0</v>
      </c>
      <c r="F80">
        <v>0</v>
      </c>
      <c r="G80">
        <v>0</v>
      </c>
      <c r="H80">
        <v>0</v>
      </c>
      <c r="I80">
        <v>0</v>
      </c>
      <c r="K80" s="430"/>
    </row>
    <row r="81" spans="1:11" x14ac:dyDescent="0.25">
      <c r="A81" t="s">
        <v>1963</v>
      </c>
      <c r="B81" t="s">
        <v>10623</v>
      </c>
      <c r="C81">
        <v>0</v>
      </c>
      <c r="D81">
        <v>280</v>
      </c>
      <c r="E81">
        <v>0</v>
      </c>
      <c r="F81">
        <v>0</v>
      </c>
      <c r="G81">
        <v>0</v>
      </c>
      <c r="H81">
        <v>280</v>
      </c>
      <c r="I81">
        <v>1</v>
      </c>
      <c r="K81" s="430"/>
    </row>
    <row r="82" spans="1:11" x14ac:dyDescent="0.25">
      <c r="A82" t="s">
        <v>2395</v>
      </c>
      <c r="B82" t="s">
        <v>1237</v>
      </c>
      <c r="C82">
        <v>69</v>
      </c>
      <c r="D82">
        <v>0</v>
      </c>
      <c r="E82">
        <v>0</v>
      </c>
      <c r="F82">
        <v>0</v>
      </c>
      <c r="G82">
        <v>0</v>
      </c>
      <c r="H82">
        <v>69</v>
      </c>
      <c r="I82">
        <v>1</v>
      </c>
      <c r="K82" s="430"/>
    </row>
    <row r="83" spans="1:11" x14ac:dyDescent="0.25">
      <c r="A83" t="s">
        <v>2990</v>
      </c>
      <c r="B83" t="s">
        <v>1239</v>
      </c>
      <c r="C83">
        <v>437</v>
      </c>
      <c r="D83">
        <v>0</v>
      </c>
      <c r="E83">
        <v>54</v>
      </c>
      <c r="F83">
        <v>0</v>
      </c>
      <c r="G83">
        <v>0</v>
      </c>
      <c r="H83">
        <v>491</v>
      </c>
      <c r="I83">
        <v>8</v>
      </c>
      <c r="K83" s="430"/>
    </row>
    <row r="84" spans="1:11" x14ac:dyDescent="0.25">
      <c r="A84" t="s">
        <v>2792</v>
      </c>
      <c r="B84" t="s">
        <v>1240</v>
      </c>
      <c r="C84">
        <v>17</v>
      </c>
      <c r="D84">
        <v>0</v>
      </c>
      <c r="E84">
        <v>14</v>
      </c>
      <c r="F84">
        <v>252</v>
      </c>
      <c r="G84">
        <v>0</v>
      </c>
      <c r="H84">
        <v>283</v>
      </c>
      <c r="I84">
        <v>2</v>
      </c>
      <c r="K84" s="430"/>
    </row>
    <row r="85" spans="1:11" x14ac:dyDescent="0.25">
      <c r="A85" t="s">
        <v>2473</v>
      </c>
      <c r="B85" t="s">
        <v>9862</v>
      </c>
      <c r="C85">
        <v>303</v>
      </c>
      <c r="D85">
        <v>0</v>
      </c>
      <c r="E85">
        <v>0</v>
      </c>
      <c r="F85">
        <v>79</v>
      </c>
      <c r="G85">
        <v>0</v>
      </c>
      <c r="H85">
        <v>382</v>
      </c>
      <c r="I85">
        <v>1</v>
      </c>
      <c r="K85" s="430"/>
    </row>
    <row r="86" spans="1:11" x14ac:dyDescent="0.25">
      <c r="A86" t="s">
        <v>2943</v>
      </c>
      <c r="B86" t="s">
        <v>1729</v>
      </c>
      <c r="C86">
        <v>445</v>
      </c>
      <c r="D86">
        <v>11</v>
      </c>
      <c r="E86">
        <v>245</v>
      </c>
      <c r="F86">
        <v>0</v>
      </c>
      <c r="G86">
        <v>0</v>
      </c>
      <c r="H86">
        <v>701</v>
      </c>
      <c r="I86">
        <v>9</v>
      </c>
      <c r="K86" s="430"/>
    </row>
    <row r="87" spans="1:11" x14ac:dyDescent="0.25">
      <c r="A87" t="s">
        <v>1960</v>
      </c>
      <c r="B87" t="s">
        <v>935</v>
      </c>
      <c r="C87">
        <v>0</v>
      </c>
      <c r="D87">
        <v>0</v>
      </c>
      <c r="E87">
        <v>419</v>
      </c>
      <c r="F87">
        <v>0</v>
      </c>
      <c r="G87">
        <v>0</v>
      </c>
      <c r="H87">
        <v>419</v>
      </c>
      <c r="I87">
        <v>58</v>
      </c>
      <c r="K87" s="430"/>
    </row>
    <row r="88" spans="1:11" x14ac:dyDescent="0.25">
      <c r="A88" t="s">
        <v>2041</v>
      </c>
      <c r="B88" t="s">
        <v>11660</v>
      </c>
      <c r="C88">
        <v>0</v>
      </c>
      <c r="D88">
        <v>0</v>
      </c>
      <c r="E88">
        <v>582</v>
      </c>
      <c r="F88">
        <v>0</v>
      </c>
      <c r="G88">
        <v>0</v>
      </c>
      <c r="H88">
        <v>582</v>
      </c>
      <c r="I88">
        <v>54</v>
      </c>
      <c r="K88" s="430"/>
    </row>
    <row r="89" spans="1:11" x14ac:dyDescent="0.25">
      <c r="A89" t="s">
        <v>2634</v>
      </c>
      <c r="B89" t="s">
        <v>1243</v>
      </c>
      <c r="C89">
        <v>0</v>
      </c>
      <c r="D89">
        <v>0</v>
      </c>
      <c r="E89">
        <v>434</v>
      </c>
      <c r="F89">
        <v>0</v>
      </c>
      <c r="G89">
        <v>0</v>
      </c>
      <c r="H89">
        <v>434</v>
      </c>
      <c r="I89">
        <v>3</v>
      </c>
      <c r="K89" s="430"/>
    </row>
    <row r="90" spans="1:11" x14ac:dyDescent="0.25">
      <c r="A90" t="s">
        <v>2032</v>
      </c>
      <c r="B90" t="s">
        <v>1818</v>
      </c>
      <c r="C90">
        <v>1</v>
      </c>
      <c r="D90">
        <v>0</v>
      </c>
      <c r="E90">
        <v>0</v>
      </c>
      <c r="F90">
        <v>0</v>
      </c>
      <c r="G90">
        <v>0</v>
      </c>
      <c r="H90">
        <v>1</v>
      </c>
      <c r="I90">
        <v>1</v>
      </c>
      <c r="K90" s="430"/>
    </row>
    <row r="91" spans="1:11" x14ac:dyDescent="0.25">
      <c r="A91" t="s">
        <v>2809</v>
      </c>
      <c r="B91" t="s">
        <v>1480</v>
      </c>
      <c r="C91">
        <v>16</v>
      </c>
      <c r="D91">
        <v>0</v>
      </c>
      <c r="E91">
        <v>0</v>
      </c>
      <c r="F91">
        <v>0</v>
      </c>
      <c r="G91">
        <v>0</v>
      </c>
      <c r="H91">
        <v>16</v>
      </c>
      <c r="I91">
        <v>1</v>
      </c>
      <c r="K91" s="430"/>
    </row>
    <row r="92" spans="1:11" x14ac:dyDescent="0.25">
      <c r="A92" t="s">
        <v>2726</v>
      </c>
      <c r="B92" t="s">
        <v>1481</v>
      </c>
      <c r="C92">
        <v>337</v>
      </c>
      <c r="D92">
        <v>0</v>
      </c>
      <c r="E92">
        <v>0</v>
      </c>
      <c r="F92">
        <v>57</v>
      </c>
      <c r="G92">
        <v>0</v>
      </c>
      <c r="H92">
        <v>394</v>
      </c>
      <c r="I92">
        <v>1</v>
      </c>
      <c r="K92" s="430"/>
    </row>
    <row r="93" spans="1:11" x14ac:dyDescent="0.25">
      <c r="A93" t="s">
        <v>1984</v>
      </c>
      <c r="B93" t="s">
        <v>1000</v>
      </c>
      <c r="C93">
        <v>0</v>
      </c>
      <c r="D93">
        <v>0</v>
      </c>
      <c r="E93">
        <v>225</v>
      </c>
      <c r="F93">
        <v>0</v>
      </c>
      <c r="G93">
        <v>0</v>
      </c>
      <c r="H93">
        <v>225</v>
      </c>
      <c r="I93">
        <v>31</v>
      </c>
      <c r="K93" s="430"/>
    </row>
    <row r="94" spans="1:11" x14ac:dyDescent="0.25">
      <c r="A94" t="s">
        <v>1928</v>
      </c>
      <c r="B94" t="s">
        <v>1245</v>
      </c>
      <c r="C94">
        <v>216</v>
      </c>
      <c r="D94">
        <v>0</v>
      </c>
      <c r="E94">
        <v>0</v>
      </c>
      <c r="F94">
        <v>0</v>
      </c>
      <c r="G94">
        <v>0</v>
      </c>
      <c r="H94">
        <v>216</v>
      </c>
      <c r="I94">
        <v>3</v>
      </c>
      <c r="K94" s="430"/>
    </row>
    <row r="95" spans="1:11" x14ac:dyDescent="0.25">
      <c r="A95" t="s">
        <v>2780</v>
      </c>
      <c r="B95" t="s">
        <v>1605</v>
      </c>
      <c r="C95">
        <v>0</v>
      </c>
      <c r="D95">
        <v>0</v>
      </c>
      <c r="E95">
        <v>0</v>
      </c>
      <c r="F95">
        <v>52</v>
      </c>
      <c r="G95">
        <v>0</v>
      </c>
      <c r="H95">
        <v>52</v>
      </c>
      <c r="I95">
        <v>1</v>
      </c>
      <c r="K95" s="430"/>
    </row>
    <row r="96" spans="1:11" x14ac:dyDescent="0.25">
      <c r="A96" t="s">
        <v>2755</v>
      </c>
      <c r="B96" t="s">
        <v>1606</v>
      </c>
      <c r="C96">
        <v>283</v>
      </c>
      <c r="D96">
        <v>0</v>
      </c>
      <c r="E96">
        <v>0</v>
      </c>
      <c r="F96">
        <v>0</v>
      </c>
      <c r="G96">
        <v>0</v>
      </c>
      <c r="H96">
        <v>283</v>
      </c>
      <c r="I96">
        <v>1</v>
      </c>
      <c r="K96" s="430"/>
    </row>
    <row r="97" spans="1:11" x14ac:dyDescent="0.25">
      <c r="A97" t="s">
        <v>10632</v>
      </c>
      <c r="B97" t="s">
        <v>10633</v>
      </c>
      <c r="C97">
        <v>0</v>
      </c>
      <c r="D97">
        <v>0</v>
      </c>
      <c r="E97">
        <v>0</v>
      </c>
      <c r="F97">
        <v>0</v>
      </c>
      <c r="G97">
        <v>0</v>
      </c>
      <c r="H97">
        <v>0</v>
      </c>
      <c r="I97">
        <v>0</v>
      </c>
      <c r="K97" s="430"/>
    </row>
    <row r="98" spans="1:11" x14ac:dyDescent="0.25">
      <c r="A98" t="s">
        <v>2681</v>
      </c>
      <c r="B98" t="s">
        <v>1248</v>
      </c>
      <c r="C98">
        <v>0</v>
      </c>
      <c r="D98">
        <v>0</v>
      </c>
      <c r="E98">
        <v>0</v>
      </c>
      <c r="F98">
        <v>144</v>
      </c>
      <c r="G98">
        <v>0</v>
      </c>
      <c r="H98">
        <v>144</v>
      </c>
      <c r="I98">
        <v>1</v>
      </c>
      <c r="K98" s="430"/>
    </row>
    <row r="99" spans="1:11" x14ac:dyDescent="0.25">
      <c r="A99" t="s">
        <v>2799</v>
      </c>
      <c r="B99" t="s">
        <v>1738</v>
      </c>
      <c r="C99">
        <v>0</v>
      </c>
      <c r="D99">
        <v>0</v>
      </c>
      <c r="E99">
        <v>0</v>
      </c>
      <c r="F99">
        <v>0</v>
      </c>
      <c r="G99">
        <v>0</v>
      </c>
      <c r="H99">
        <v>0</v>
      </c>
      <c r="I99">
        <v>0</v>
      </c>
      <c r="K99" s="430"/>
    </row>
    <row r="100" spans="1:11" x14ac:dyDescent="0.25">
      <c r="A100" t="s">
        <v>11748</v>
      </c>
      <c r="B100" t="s">
        <v>11694</v>
      </c>
      <c r="C100">
        <v>12</v>
      </c>
      <c r="D100">
        <v>0</v>
      </c>
      <c r="E100">
        <v>0</v>
      </c>
      <c r="F100">
        <v>0</v>
      </c>
      <c r="G100">
        <v>0</v>
      </c>
      <c r="H100">
        <v>12</v>
      </c>
      <c r="I100">
        <v>1</v>
      </c>
      <c r="K100" s="430"/>
    </row>
    <row r="101" spans="1:11" x14ac:dyDescent="0.25">
      <c r="A101" t="s">
        <v>2935</v>
      </c>
      <c r="B101" t="s">
        <v>1609</v>
      </c>
      <c r="C101">
        <v>546</v>
      </c>
      <c r="D101">
        <v>0</v>
      </c>
      <c r="E101">
        <v>32</v>
      </c>
      <c r="F101">
        <v>0</v>
      </c>
      <c r="G101">
        <v>0</v>
      </c>
      <c r="H101">
        <v>578</v>
      </c>
      <c r="I101">
        <v>3</v>
      </c>
      <c r="K101" s="430"/>
    </row>
    <row r="102" spans="1:11" x14ac:dyDescent="0.25">
      <c r="A102" t="s">
        <v>10641</v>
      </c>
      <c r="B102" t="s">
        <v>10642</v>
      </c>
      <c r="C102">
        <v>0</v>
      </c>
      <c r="D102">
        <v>0</v>
      </c>
      <c r="E102">
        <v>0</v>
      </c>
      <c r="F102">
        <v>0</v>
      </c>
      <c r="G102">
        <v>0</v>
      </c>
      <c r="H102">
        <v>0</v>
      </c>
      <c r="I102">
        <v>0</v>
      </c>
      <c r="K102" s="430"/>
    </row>
    <row r="103" spans="1:11" x14ac:dyDescent="0.25">
      <c r="A103" t="s">
        <v>2610</v>
      </c>
      <c r="B103" t="s">
        <v>1252</v>
      </c>
      <c r="C103">
        <v>0</v>
      </c>
      <c r="D103">
        <v>0</v>
      </c>
      <c r="E103">
        <v>0</v>
      </c>
      <c r="F103">
        <v>9</v>
      </c>
      <c r="G103">
        <v>0</v>
      </c>
      <c r="H103">
        <v>9</v>
      </c>
      <c r="I103">
        <v>1</v>
      </c>
      <c r="K103" s="430"/>
    </row>
    <row r="104" spans="1:11" x14ac:dyDescent="0.25">
      <c r="A104" t="s">
        <v>2705</v>
      </c>
      <c r="B104" t="s">
        <v>11676</v>
      </c>
      <c r="C104">
        <v>111</v>
      </c>
      <c r="D104">
        <v>0</v>
      </c>
      <c r="E104">
        <v>7</v>
      </c>
      <c r="F104">
        <v>325</v>
      </c>
      <c r="G104">
        <v>0</v>
      </c>
      <c r="H104">
        <v>443</v>
      </c>
      <c r="I104">
        <v>4</v>
      </c>
      <c r="K104" s="430"/>
    </row>
    <row r="105" spans="1:11" x14ac:dyDescent="0.25">
      <c r="A105" t="s">
        <v>2736</v>
      </c>
      <c r="B105" t="s">
        <v>1610</v>
      </c>
      <c r="C105">
        <v>160</v>
      </c>
      <c r="D105">
        <v>0</v>
      </c>
      <c r="E105">
        <v>0</v>
      </c>
      <c r="F105">
        <v>173</v>
      </c>
      <c r="G105">
        <v>0</v>
      </c>
      <c r="H105">
        <v>333</v>
      </c>
      <c r="I105">
        <v>6</v>
      </c>
      <c r="K105" s="430"/>
    </row>
    <row r="106" spans="1:11" x14ac:dyDescent="0.25">
      <c r="A106" t="s">
        <v>2942</v>
      </c>
      <c r="B106" t="s">
        <v>1612</v>
      </c>
      <c r="C106">
        <v>0</v>
      </c>
      <c r="D106">
        <v>0</v>
      </c>
      <c r="E106">
        <v>0</v>
      </c>
      <c r="F106">
        <v>87</v>
      </c>
      <c r="G106">
        <v>0</v>
      </c>
      <c r="H106">
        <v>87</v>
      </c>
      <c r="I106">
        <v>1</v>
      </c>
      <c r="K106" s="430"/>
    </row>
    <row r="107" spans="1:11" x14ac:dyDescent="0.25">
      <c r="A107" t="s">
        <v>2786</v>
      </c>
      <c r="B107" t="s">
        <v>1739</v>
      </c>
      <c r="C107">
        <v>211</v>
      </c>
      <c r="D107">
        <v>0</v>
      </c>
      <c r="E107">
        <v>6</v>
      </c>
      <c r="F107">
        <v>329</v>
      </c>
      <c r="G107">
        <v>0</v>
      </c>
      <c r="H107">
        <v>546</v>
      </c>
      <c r="I107">
        <v>6</v>
      </c>
      <c r="K107" s="430"/>
    </row>
    <row r="108" spans="1:11" x14ac:dyDescent="0.25">
      <c r="A108" t="s">
        <v>2131</v>
      </c>
      <c r="B108" t="s">
        <v>1265</v>
      </c>
      <c r="C108">
        <v>175</v>
      </c>
      <c r="D108">
        <v>0</v>
      </c>
      <c r="E108">
        <v>0</v>
      </c>
      <c r="F108">
        <v>0</v>
      </c>
      <c r="G108">
        <v>0</v>
      </c>
      <c r="H108">
        <v>175</v>
      </c>
      <c r="I108">
        <v>1</v>
      </c>
      <c r="K108" s="430"/>
    </row>
    <row r="109" spans="1:11" x14ac:dyDescent="0.25">
      <c r="A109" t="s">
        <v>2350</v>
      </c>
      <c r="B109" t="s">
        <v>1259</v>
      </c>
      <c r="C109">
        <v>37</v>
      </c>
      <c r="D109">
        <v>0</v>
      </c>
      <c r="E109">
        <v>0</v>
      </c>
      <c r="F109">
        <v>75</v>
      </c>
      <c r="G109">
        <v>0</v>
      </c>
      <c r="H109">
        <v>112</v>
      </c>
      <c r="I109">
        <v>5</v>
      </c>
      <c r="K109" s="430"/>
    </row>
    <row r="110" spans="1:11" x14ac:dyDescent="0.25">
      <c r="A110" t="s">
        <v>2778</v>
      </c>
      <c r="B110" t="s">
        <v>1889</v>
      </c>
      <c r="C110">
        <v>236</v>
      </c>
      <c r="D110">
        <v>0</v>
      </c>
      <c r="E110">
        <v>12</v>
      </c>
      <c r="F110">
        <v>0</v>
      </c>
      <c r="G110">
        <v>0</v>
      </c>
      <c r="H110">
        <v>248</v>
      </c>
      <c r="I110">
        <v>1</v>
      </c>
      <c r="K110" s="430"/>
    </row>
    <row r="111" spans="1:11" x14ac:dyDescent="0.25">
      <c r="A111" t="s">
        <v>2707</v>
      </c>
      <c r="B111" t="s">
        <v>1614</v>
      </c>
      <c r="C111">
        <v>116</v>
      </c>
      <c r="D111">
        <v>0</v>
      </c>
      <c r="E111">
        <v>0</v>
      </c>
      <c r="F111">
        <v>0</v>
      </c>
      <c r="G111">
        <v>0</v>
      </c>
      <c r="H111">
        <v>116</v>
      </c>
      <c r="I111">
        <v>2</v>
      </c>
      <c r="K111" s="430"/>
    </row>
    <row r="112" spans="1:11" x14ac:dyDescent="0.25">
      <c r="A112" t="s">
        <v>2986</v>
      </c>
      <c r="B112" t="s">
        <v>1615</v>
      </c>
      <c r="C112">
        <v>0</v>
      </c>
      <c r="D112">
        <v>0</v>
      </c>
      <c r="E112">
        <v>126</v>
      </c>
      <c r="F112">
        <v>0</v>
      </c>
      <c r="G112">
        <v>0</v>
      </c>
      <c r="H112">
        <v>126</v>
      </c>
      <c r="I112">
        <v>2</v>
      </c>
      <c r="K112" s="430"/>
    </row>
    <row r="113" spans="1:11" x14ac:dyDescent="0.25">
      <c r="A113" t="s">
        <v>2067</v>
      </c>
      <c r="B113" t="s">
        <v>9791</v>
      </c>
      <c r="C113">
        <v>0</v>
      </c>
      <c r="D113">
        <v>0</v>
      </c>
      <c r="E113">
        <v>0</v>
      </c>
      <c r="F113">
        <v>0</v>
      </c>
      <c r="G113">
        <v>0</v>
      </c>
      <c r="H113">
        <v>0</v>
      </c>
      <c r="I113">
        <v>0</v>
      </c>
      <c r="K113" s="430"/>
    </row>
    <row r="114" spans="1:11" x14ac:dyDescent="0.25">
      <c r="A114" t="s">
        <v>2765</v>
      </c>
      <c r="B114" t="s">
        <v>1618</v>
      </c>
      <c r="C114">
        <v>0</v>
      </c>
      <c r="D114">
        <v>0</v>
      </c>
      <c r="E114">
        <v>0</v>
      </c>
      <c r="F114">
        <v>49</v>
      </c>
      <c r="G114">
        <v>0</v>
      </c>
      <c r="H114">
        <v>49</v>
      </c>
      <c r="I114">
        <v>1</v>
      </c>
      <c r="K114" s="430"/>
    </row>
    <row r="115" spans="1:11" x14ac:dyDescent="0.25">
      <c r="A115" t="s">
        <v>2614</v>
      </c>
      <c r="B115" t="s">
        <v>1824</v>
      </c>
      <c r="C115">
        <v>12</v>
      </c>
      <c r="D115">
        <v>0</v>
      </c>
      <c r="E115">
        <v>0</v>
      </c>
      <c r="F115">
        <v>0</v>
      </c>
      <c r="G115">
        <v>0</v>
      </c>
      <c r="H115">
        <v>12</v>
      </c>
      <c r="I115">
        <v>1</v>
      </c>
      <c r="K115" s="430"/>
    </row>
    <row r="116" spans="1:11" x14ac:dyDescent="0.25">
      <c r="A116" t="s">
        <v>2034</v>
      </c>
      <c r="B116" t="s">
        <v>1891</v>
      </c>
      <c r="C116">
        <v>28</v>
      </c>
      <c r="D116">
        <v>0</v>
      </c>
      <c r="E116">
        <v>238</v>
      </c>
      <c r="F116">
        <v>0</v>
      </c>
      <c r="G116">
        <v>0</v>
      </c>
      <c r="H116">
        <v>266</v>
      </c>
      <c r="I116">
        <v>5</v>
      </c>
      <c r="K116" s="430"/>
    </row>
    <row r="117" spans="1:11" x14ac:dyDescent="0.25">
      <c r="A117" t="s">
        <v>2947</v>
      </c>
      <c r="B117" t="s">
        <v>1267</v>
      </c>
      <c r="C117">
        <v>1</v>
      </c>
      <c r="D117">
        <v>0</v>
      </c>
      <c r="E117">
        <v>0</v>
      </c>
      <c r="F117">
        <v>65</v>
      </c>
      <c r="G117">
        <v>0</v>
      </c>
      <c r="H117">
        <v>66</v>
      </c>
      <c r="I117">
        <v>2</v>
      </c>
      <c r="K117" s="430"/>
    </row>
    <row r="118" spans="1:11" x14ac:dyDescent="0.25">
      <c r="A118" t="s">
        <v>2873</v>
      </c>
      <c r="B118" t="s">
        <v>1268</v>
      </c>
      <c r="C118">
        <v>721</v>
      </c>
      <c r="D118">
        <v>0</v>
      </c>
      <c r="E118">
        <v>0</v>
      </c>
      <c r="F118">
        <v>3</v>
      </c>
      <c r="G118">
        <v>0</v>
      </c>
      <c r="H118">
        <v>724</v>
      </c>
      <c r="I118">
        <v>1</v>
      </c>
      <c r="K118" s="430"/>
    </row>
    <row r="119" spans="1:11" x14ac:dyDescent="0.25">
      <c r="A119" t="s">
        <v>2770</v>
      </c>
      <c r="B119" t="s">
        <v>11704</v>
      </c>
      <c r="C119">
        <v>0</v>
      </c>
      <c r="D119">
        <v>0</v>
      </c>
      <c r="E119">
        <v>0</v>
      </c>
      <c r="F119">
        <v>30</v>
      </c>
      <c r="G119">
        <v>0</v>
      </c>
      <c r="H119">
        <v>30</v>
      </c>
      <c r="I119">
        <v>1</v>
      </c>
      <c r="K119" s="430"/>
    </row>
    <row r="120" spans="1:11" x14ac:dyDescent="0.25">
      <c r="A120" t="s">
        <v>2499</v>
      </c>
      <c r="B120" t="s">
        <v>1269</v>
      </c>
      <c r="C120">
        <v>25</v>
      </c>
      <c r="D120">
        <v>0</v>
      </c>
      <c r="E120">
        <v>15</v>
      </c>
      <c r="F120">
        <v>0</v>
      </c>
      <c r="G120">
        <v>0</v>
      </c>
      <c r="H120">
        <v>40</v>
      </c>
      <c r="I120">
        <v>2</v>
      </c>
      <c r="K120" s="430"/>
    </row>
    <row r="121" spans="1:11" x14ac:dyDescent="0.25">
      <c r="A121" t="s">
        <v>10653</v>
      </c>
      <c r="B121" t="s">
        <v>10654</v>
      </c>
      <c r="C121">
        <v>0</v>
      </c>
      <c r="D121">
        <v>0</v>
      </c>
      <c r="E121">
        <v>0</v>
      </c>
      <c r="F121">
        <v>0</v>
      </c>
      <c r="G121">
        <v>0</v>
      </c>
      <c r="H121">
        <v>0</v>
      </c>
      <c r="I121">
        <v>0</v>
      </c>
      <c r="K121" s="430"/>
    </row>
    <row r="122" spans="1:11" x14ac:dyDescent="0.25">
      <c r="A122" t="s">
        <v>2692</v>
      </c>
      <c r="B122" t="s">
        <v>1272</v>
      </c>
      <c r="C122">
        <v>222</v>
      </c>
      <c r="D122">
        <v>0</v>
      </c>
      <c r="E122">
        <v>168</v>
      </c>
      <c r="F122">
        <v>0</v>
      </c>
      <c r="G122">
        <v>0</v>
      </c>
      <c r="H122">
        <v>390</v>
      </c>
      <c r="I122">
        <v>1</v>
      </c>
      <c r="K122" s="430"/>
    </row>
    <row r="123" spans="1:11" x14ac:dyDescent="0.25">
      <c r="A123" t="s">
        <v>2709</v>
      </c>
      <c r="B123" t="s">
        <v>1273</v>
      </c>
      <c r="C123">
        <v>820</v>
      </c>
      <c r="D123">
        <v>2</v>
      </c>
      <c r="E123">
        <v>15</v>
      </c>
      <c r="F123">
        <v>0</v>
      </c>
      <c r="G123">
        <v>0</v>
      </c>
      <c r="H123">
        <v>837</v>
      </c>
      <c r="I123">
        <v>9</v>
      </c>
      <c r="K123" s="430"/>
    </row>
    <row r="124" spans="1:11" x14ac:dyDescent="0.25">
      <c r="A124" t="s">
        <v>2159</v>
      </c>
      <c r="B124" t="s">
        <v>1274</v>
      </c>
      <c r="C124">
        <v>8</v>
      </c>
      <c r="D124">
        <v>0</v>
      </c>
      <c r="E124">
        <v>0</v>
      </c>
      <c r="F124">
        <v>234</v>
      </c>
      <c r="G124">
        <v>0</v>
      </c>
      <c r="H124">
        <v>242</v>
      </c>
      <c r="I124">
        <v>9</v>
      </c>
      <c r="K124" s="430"/>
    </row>
    <row r="125" spans="1:11" x14ac:dyDescent="0.25">
      <c r="A125" t="s">
        <v>10655</v>
      </c>
      <c r="B125" t="s">
        <v>10656</v>
      </c>
      <c r="C125">
        <v>0</v>
      </c>
      <c r="D125">
        <v>0</v>
      </c>
      <c r="E125">
        <v>0</v>
      </c>
      <c r="F125">
        <v>0</v>
      </c>
      <c r="G125">
        <v>0</v>
      </c>
      <c r="H125">
        <v>0</v>
      </c>
      <c r="I125">
        <v>0</v>
      </c>
      <c r="K125" s="430"/>
    </row>
    <row r="126" spans="1:11" x14ac:dyDescent="0.25">
      <c r="A126" t="s">
        <v>2793</v>
      </c>
      <c r="B126" t="s">
        <v>1893</v>
      </c>
      <c r="C126">
        <v>224</v>
      </c>
      <c r="D126">
        <v>0</v>
      </c>
      <c r="E126">
        <v>44</v>
      </c>
      <c r="F126">
        <v>204</v>
      </c>
      <c r="G126">
        <v>0</v>
      </c>
      <c r="H126">
        <v>472</v>
      </c>
      <c r="I126">
        <v>2</v>
      </c>
      <c r="K126" s="430"/>
    </row>
    <row r="127" spans="1:11" x14ac:dyDescent="0.25">
      <c r="A127" t="s">
        <v>2785</v>
      </c>
      <c r="B127" t="s">
        <v>1894</v>
      </c>
      <c r="C127">
        <v>45</v>
      </c>
      <c r="D127">
        <v>0</v>
      </c>
      <c r="E127">
        <v>0</v>
      </c>
      <c r="F127">
        <v>0</v>
      </c>
      <c r="G127">
        <v>0</v>
      </c>
      <c r="H127">
        <v>45</v>
      </c>
      <c r="I127">
        <v>1</v>
      </c>
      <c r="K127" s="430"/>
    </row>
    <row r="128" spans="1:11" x14ac:dyDescent="0.25">
      <c r="A128" t="s">
        <v>2181</v>
      </c>
      <c r="B128" t="s">
        <v>1494</v>
      </c>
      <c r="C128">
        <v>44</v>
      </c>
      <c r="D128">
        <v>0</v>
      </c>
      <c r="E128">
        <v>0</v>
      </c>
      <c r="F128">
        <v>0</v>
      </c>
      <c r="G128">
        <v>0</v>
      </c>
      <c r="H128">
        <v>44</v>
      </c>
      <c r="I128">
        <v>1</v>
      </c>
      <c r="K128" s="430"/>
    </row>
    <row r="129" spans="1:11" x14ac:dyDescent="0.25">
      <c r="A129" t="s">
        <v>2537</v>
      </c>
      <c r="B129" t="s">
        <v>1276</v>
      </c>
      <c r="C129">
        <v>4</v>
      </c>
      <c r="D129">
        <v>70</v>
      </c>
      <c r="E129">
        <v>0</v>
      </c>
      <c r="F129">
        <v>0</v>
      </c>
      <c r="G129">
        <v>0</v>
      </c>
      <c r="H129">
        <v>74</v>
      </c>
      <c r="I129">
        <v>1</v>
      </c>
      <c r="K129" s="430"/>
    </row>
    <row r="130" spans="1:11" x14ac:dyDescent="0.25">
      <c r="A130" t="s">
        <v>10658</v>
      </c>
      <c r="B130" t="s">
        <v>10659</v>
      </c>
      <c r="C130">
        <v>59</v>
      </c>
      <c r="D130">
        <v>0</v>
      </c>
      <c r="E130">
        <v>0</v>
      </c>
      <c r="F130">
        <v>0</v>
      </c>
      <c r="G130">
        <v>0</v>
      </c>
      <c r="H130">
        <v>59</v>
      </c>
      <c r="I130">
        <v>1</v>
      </c>
      <c r="K130" s="430"/>
    </row>
    <row r="131" spans="1:11" x14ac:dyDescent="0.25">
      <c r="A131" t="s">
        <v>2761</v>
      </c>
      <c r="B131" t="s">
        <v>1619</v>
      </c>
      <c r="C131">
        <v>36</v>
      </c>
      <c r="D131">
        <v>0</v>
      </c>
      <c r="E131">
        <v>0</v>
      </c>
      <c r="F131">
        <v>0</v>
      </c>
      <c r="G131">
        <v>0</v>
      </c>
      <c r="H131">
        <v>36</v>
      </c>
      <c r="I131">
        <v>1</v>
      </c>
      <c r="K131" s="430"/>
    </row>
    <row r="132" spans="1:11" x14ac:dyDescent="0.25">
      <c r="A132" t="s">
        <v>2384</v>
      </c>
      <c r="B132" t="s">
        <v>1279</v>
      </c>
      <c r="C132">
        <v>104</v>
      </c>
      <c r="D132">
        <v>0</v>
      </c>
      <c r="E132">
        <v>0</v>
      </c>
      <c r="F132">
        <v>0</v>
      </c>
      <c r="G132">
        <v>0</v>
      </c>
      <c r="H132">
        <v>104</v>
      </c>
      <c r="I132">
        <v>1</v>
      </c>
      <c r="K132" s="430"/>
    </row>
    <row r="133" spans="1:11" x14ac:dyDescent="0.25">
      <c r="A133" t="s">
        <v>10660</v>
      </c>
      <c r="B133" t="s">
        <v>10661</v>
      </c>
      <c r="C133">
        <v>0</v>
      </c>
      <c r="D133">
        <v>0</v>
      </c>
      <c r="E133">
        <v>0</v>
      </c>
      <c r="F133">
        <v>0</v>
      </c>
      <c r="G133">
        <v>0</v>
      </c>
      <c r="H133">
        <v>0</v>
      </c>
      <c r="I133">
        <v>0</v>
      </c>
      <c r="K133" s="430"/>
    </row>
    <row r="134" spans="1:11" x14ac:dyDescent="0.25">
      <c r="A134" t="s">
        <v>2170</v>
      </c>
      <c r="B134" t="s">
        <v>1425</v>
      </c>
      <c r="C134">
        <v>0</v>
      </c>
      <c r="D134">
        <v>0</v>
      </c>
      <c r="E134">
        <v>0</v>
      </c>
      <c r="F134">
        <v>8</v>
      </c>
      <c r="G134">
        <v>0</v>
      </c>
      <c r="H134">
        <v>8</v>
      </c>
      <c r="I134">
        <v>1</v>
      </c>
      <c r="K134" s="430"/>
    </row>
    <row r="135" spans="1:11" x14ac:dyDescent="0.25">
      <c r="A135" t="s">
        <v>2938</v>
      </c>
      <c r="B135" t="s">
        <v>1125</v>
      </c>
      <c r="C135">
        <v>5</v>
      </c>
      <c r="D135">
        <v>0</v>
      </c>
      <c r="E135">
        <v>1</v>
      </c>
      <c r="F135">
        <v>424</v>
      </c>
      <c r="G135">
        <v>0</v>
      </c>
      <c r="H135">
        <v>430</v>
      </c>
      <c r="I135">
        <v>8</v>
      </c>
      <c r="K135" s="430"/>
    </row>
    <row r="136" spans="1:11" x14ac:dyDescent="0.25">
      <c r="A136" t="s">
        <v>3025</v>
      </c>
      <c r="B136" t="s">
        <v>1497</v>
      </c>
      <c r="C136">
        <v>5</v>
      </c>
      <c r="D136">
        <v>0</v>
      </c>
      <c r="E136">
        <v>0</v>
      </c>
      <c r="F136">
        <v>0</v>
      </c>
      <c r="G136">
        <v>0</v>
      </c>
      <c r="H136">
        <v>5</v>
      </c>
      <c r="I136">
        <v>1</v>
      </c>
      <c r="K136" s="430"/>
    </row>
    <row r="137" spans="1:11" x14ac:dyDescent="0.25">
      <c r="A137" t="s">
        <v>2321</v>
      </c>
      <c r="B137" t="s">
        <v>1898</v>
      </c>
      <c r="C137">
        <v>4</v>
      </c>
      <c r="D137">
        <v>0</v>
      </c>
      <c r="E137">
        <v>0</v>
      </c>
      <c r="F137">
        <v>0</v>
      </c>
      <c r="G137">
        <v>0</v>
      </c>
      <c r="H137">
        <v>4</v>
      </c>
      <c r="I137">
        <v>1</v>
      </c>
      <c r="K137" s="430"/>
    </row>
    <row r="138" spans="1:11" x14ac:dyDescent="0.25">
      <c r="A138" t="s">
        <v>1951</v>
      </c>
      <c r="B138" t="s">
        <v>1428</v>
      </c>
      <c r="C138">
        <v>304</v>
      </c>
      <c r="D138">
        <v>0</v>
      </c>
      <c r="E138">
        <v>0</v>
      </c>
      <c r="F138">
        <v>4</v>
      </c>
      <c r="G138">
        <v>0</v>
      </c>
      <c r="H138">
        <v>308</v>
      </c>
      <c r="I138">
        <v>1</v>
      </c>
      <c r="K138" s="430"/>
    </row>
    <row r="139" spans="1:11" x14ac:dyDescent="0.25">
      <c r="A139" t="s">
        <v>2768</v>
      </c>
      <c r="B139" t="s">
        <v>1283</v>
      </c>
      <c r="C139">
        <v>628</v>
      </c>
      <c r="D139">
        <v>0</v>
      </c>
      <c r="E139">
        <v>35</v>
      </c>
      <c r="F139">
        <v>184</v>
      </c>
      <c r="G139">
        <v>0</v>
      </c>
      <c r="H139">
        <v>847</v>
      </c>
      <c r="I139">
        <v>7</v>
      </c>
      <c r="K139" s="430"/>
    </row>
    <row r="140" spans="1:11" x14ac:dyDescent="0.25">
      <c r="A140" t="s">
        <v>2225</v>
      </c>
      <c r="B140" t="s">
        <v>1622</v>
      </c>
      <c r="C140">
        <v>0</v>
      </c>
      <c r="D140">
        <v>0</v>
      </c>
      <c r="E140">
        <v>0</v>
      </c>
      <c r="F140">
        <v>12</v>
      </c>
      <c r="G140">
        <v>0</v>
      </c>
      <c r="H140">
        <v>12</v>
      </c>
      <c r="I140">
        <v>1</v>
      </c>
      <c r="K140" s="430"/>
    </row>
    <row r="141" spans="1:11" x14ac:dyDescent="0.25">
      <c r="A141" t="s">
        <v>2759</v>
      </c>
      <c r="B141" t="s">
        <v>1741</v>
      </c>
      <c r="C141">
        <v>147</v>
      </c>
      <c r="D141">
        <v>0</v>
      </c>
      <c r="E141">
        <v>0</v>
      </c>
      <c r="F141">
        <v>0</v>
      </c>
      <c r="G141">
        <v>0</v>
      </c>
      <c r="H141">
        <v>147</v>
      </c>
      <c r="I141">
        <v>2</v>
      </c>
      <c r="K141" s="430"/>
    </row>
    <row r="142" spans="1:11" x14ac:dyDescent="0.25">
      <c r="A142" t="s">
        <v>2700</v>
      </c>
      <c r="B142" t="s">
        <v>1284</v>
      </c>
      <c r="C142">
        <v>187</v>
      </c>
      <c r="D142">
        <v>0</v>
      </c>
      <c r="E142">
        <v>0</v>
      </c>
      <c r="F142">
        <v>88</v>
      </c>
      <c r="G142">
        <v>0</v>
      </c>
      <c r="H142">
        <v>275</v>
      </c>
      <c r="I142">
        <v>3</v>
      </c>
      <c r="K142" s="430"/>
    </row>
    <row r="143" spans="1:11" x14ac:dyDescent="0.25">
      <c r="A143" t="s">
        <v>2671</v>
      </c>
      <c r="B143" t="s">
        <v>1017</v>
      </c>
      <c r="C143">
        <v>180</v>
      </c>
      <c r="D143">
        <v>0</v>
      </c>
      <c r="E143">
        <v>0</v>
      </c>
      <c r="F143">
        <v>121</v>
      </c>
      <c r="G143">
        <v>0</v>
      </c>
      <c r="H143">
        <v>301</v>
      </c>
      <c r="I143">
        <v>6</v>
      </c>
      <c r="K143" s="430"/>
    </row>
    <row r="144" spans="1:11" x14ac:dyDescent="0.25">
      <c r="A144" t="s">
        <v>2858</v>
      </c>
      <c r="B144" t="s">
        <v>1287</v>
      </c>
      <c r="C144">
        <v>51</v>
      </c>
      <c r="D144">
        <v>0</v>
      </c>
      <c r="E144">
        <v>0</v>
      </c>
      <c r="F144">
        <v>0</v>
      </c>
      <c r="G144">
        <v>0</v>
      </c>
      <c r="H144">
        <v>51</v>
      </c>
      <c r="I144">
        <v>1</v>
      </c>
      <c r="K144" s="430"/>
    </row>
    <row r="145" spans="1:11" x14ac:dyDescent="0.25">
      <c r="A145" t="s">
        <v>2706</v>
      </c>
      <c r="B145" t="s">
        <v>11678</v>
      </c>
      <c r="C145">
        <v>323</v>
      </c>
      <c r="D145">
        <v>0</v>
      </c>
      <c r="E145">
        <v>0</v>
      </c>
      <c r="F145">
        <v>0</v>
      </c>
      <c r="G145">
        <v>0</v>
      </c>
      <c r="H145">
        <v>323</v>
      </c>
      <c r="I145">
        <v>3</v>
      </c>
      <c r="K145" s="430"/>
    </row>
    <row r="146" spans="1:11" x14ac:dyDescent="0.25">
      <c r="A146" t="s">
        <v>1980</v>
      </c>
      <c r="B146" t="s">
        <v>1018</v>
      </c>
      <c r="C146">
        <v>3</v>
      </c>
      <c r="D146">
        <v>0</v>
      </c>
      <c r="E146">
        <v>413</v>
      </c>
      <c r="F146">
        <v>0</v>
      </c>
      <c r="G146">
        <v>0</v>
      </c>
      <c r="H146">
        <v>416</v>
      </c>
      <c r="I146">
        <v>21</v>
      </c>
      <c r="K146" s="430"/>
    </row>
    <row r="147" spans="1:11" x14ac:dyDescent="0.25">
      <c r="A147" t="s">
        <v>1940</v>
      </c>
      <c r="B147" t="s">
        <v>1429</v>
      </c>
      <c r="C147">
        <v>413</v>
      </c>
      <c r="D147">
        <v>0</v>
      </c>
      <c r="E147">
        <v>296</v>
      </c>
      <c r="F147">
        <v>52</v>
      </c>
      <c r="G147">
        <v>0</v>
      </c>
      <c r="H147">
        <v>761</v>
      </c>
      <c r="I147">
        <v>1</v>
      </c>
      <c r="K147" s="430"/>
    </row>
    <row r="148" spans="1:11" x14ac:dyDescent="0.25">
      <c r="A148" t="s">
        <v>2672</v>
      </c>
      <c r="B148" t="s">
        <v>1902</v>
      </c>
      <c r="C148">
        <v>280</v>
      </c>
      <c r="D148">
        <v>0</v>
      </c>
      <c r="E148">
        <v>0</v>
      </c>
      <c r="F148">
        <v>269</v>
      </c>
      <c r="G148">
        <v>0</v>
      </c>
      <c r="H148">
        <v>549</v>
      </c>
      <c r="I148">
        <v>1</v>
      </c>
      <c r="K148" s="430"/>
    </row>
    <row r="149" spans="1:11" x14ac:dyDescent="0.25">
      <c r="A149" t="s">
        <v>2933</v>
      </c>
      <c r="B149" t="s">
        <v>1504</v>
      </c>
      <c r="C149">
        <v>0</v>
      </c>
      <c r="D149">
        <v>0</v>
      </c>
      <c r="E149">
        <v>0</v>
      </c>
      <c r="F149">
        <v>0</v>
      </c>
      <c r="G149">
        <v>0</v>
      </c>
      <c r="H149">
        <v>0</v>
      </c>
      <c r="I149">
        <v>0</v>
      </c>
      <c r="K149" s="430"/>
    </row>
    <row r="150" spans="1:11" x14ac:dyDescent="0.25">
      <c r="A150" t="s">
        <v>2217</v>
      </c>
      <c r="B150" t="s">
        <v>1826</v>
      </c>
      <c r="C150">
        <v>0</v>
      </c>
      <c r="D150">
        <v>0</v>
      </c>
      <c r="E150">
        <v>0</v>
      </c>
      <c r="F150">
        <v>183</v>
      </c>
      <c r="G150">
        <v>0</v>
      </c>
      <c r="H150">
        <v>183</v>
      </c>
      <c r="I150">
        <v>1</v>
      </c>
      <c r="K150" s="430"/>
    </row>
    <row r="151" spans="1:11" x14ac:dyDescent="0.25">
      <c r="A151" t="s">
        <v>2104</v>
      </c>
      <c r="B151" t="s">
        <v>1020</v>
      </c>
      <c r="C151">
        <v>0</v>
      </c>
      <c r="D151">
        <v>0</v>
      </c>
      <c r="E151">
        <v>84</v>
      </c>
      <c r="F151">
        <v>0</v>
      </c>
      <c r="G151">
        <v>0</v>
      </c>
      <c r="H151">
        <v>84</v>
      </c>
      <c r="I151">
        <v>13</v>
      </c>
      <c r="K151" s="430"/>
    </row>
    <row r="152" spans="1:11" x14ac:dyDescent="0.25">
      <c r="A152" t="s">
        <v>2365</v>
      </c>
      <c r="B152" t="s">
        <v>1290</v>
      </c>
      <c r="C152">
        <v>46</v>
      </c>
      <c r="D152">
        <v>1</v>
      </c>
      <c r="E152">
        <v>0</v>
      </c>
      <c r="F152">
        <v>0</v>
      </c>
      <c r="G152">
        <v>0</v>
      </c>
      <c r="H152">
        <v>47</v>
      </c>
      <c r="I152">
        <v>1</v>
      </c>
      <c r="K152" s="430"/>
    </row>
    <row r="153" spans="1:11" x14ac:dyDescent="0.25">
      <c r="A153" t="s">
        <v>2803</v>
      </c>
      <c r="B153" t="s">
        <v>1023</v>
      </c>
      <c r="C153">
        <v>405</v>
      </c>
      <c r="D153">
        <v>0</v>
      </c>
      <c r="E153">
        <v>0</v>
      </c>
      <c r="F153">
        <v>0</v>
      </c>
      <c r="G153">
        <v>0</v>
      </c>
      <c r="H153">
        <v>405</v>
      </c>
      <c r="I153">
        <v>9</v>
      </c>
      <c r="K153" s="430"/>
    </row>
    <row r="154" spans="1:11" x14ac:dyDescent="0.25">
      <c r="A154" t="s">
        <v>2729</v>
      </c>
      <c r="B154" t="s">
        <v>11705</v>
      </c>
      <c r="C154">
        <v>2</v>
      </c>
      <c r="D154">
        <v>0</v>
      </c>
      <c r="E154">
        <v>4</v>
      </c>
      <c r="F154">
        <v>87</v>
      </c>
      <c r="G154">
        <v>0</v>
      </c>
      <c r="H154">
        <v>93</v>
      </c>
      <c r="I154">
        <v>1</v>
      </c>
      <c r="K154" s="430"/>
    </row>
    <row r="155" spans="1:11" x14ac:dyDescent="0.25">
      <c r="A155" t="s">
        <v>2570</v>
      </c>
      <c r="B155" t="s">
        <v>1742</v>
      </c>
      <c r="C155">
        <v>0</v>
      </c>
      <c r="D155">
        <v>0</v>
      </c>
      <c r="E155">
        <v>0</v>
      </c>
      <c r="F155">
        <v>34</v>
      </c>
      <c r="G155">
        <v>0</v>
      </c>
      <c r="H155">
        <v>34</v>
      </c>
      <c r="I155">
        <v>1</v>
      </c>
      <c r="K155" s="430"/>
    </row>
    <row r="156" spans="1:11" x14ac:dyDescent="0.25">
      <c r="A156" t="s">
        <v>9865</v>
      </c>
      <c r="B156" t="s">
        <v>9822</v>
      </c>
      <c r="C156">
        <v>63</v>
      </c>
      <c r="D156">
        <v>0</v>
      </c>
      <c r="E156">
        <v>0</v>
      </c>
      <c r="F156">
        <v>0</v>
      </c>
      <c r="G156">
        <v>0</v>
      </c>
      <c r="H156">
        <v>63</v>
      </c>
      <c r="I156">
        <v>1</v>
      </c>
      <c r="K156" s="430"/>
    </row>
    <row r="157" spans="1:11" x14ac:dyDescent="0.25">
      <c r="A157" t="s">
        <v>2745</v>
      </c>
      <c r="B157" t="s">
        <v>9794</v>
      </c>
      <c r="C157">
        <v>357</v>
      </c>
      <c r="D157">
        <v>0</v>
      </c>
      <c r="E157">
        <v>79</v>
      </c>
      <c r="F157">
        <v>28</v>
      </c>
      <c r="G157">
        <v>0</v>
      </c>
      <c r="H157">
        <v>464</v>
      </c>
      <c r="I157">
        <v>2</v>
      </c>
      <c r="K157" s="430"/>
    </row>
    <row r="158" spans="1:11" x14ac:dyDescent="0.25">
      <c r="A158" t="s">
        <v>2751</v>
      </c>
      <c r="B158" t="s">
        <v>1128</v>
      </c>
      <c r="C158">
        <v>0</v>
      </c>
      <c r="D158">
        <v>0</v>
      </c>
      <c r="E158">
        <v>0</v>
      </c>
      <c r="F158">
        <v>57</v>
      </c>
      <c r="G158">
        <v>0</v>
      </c>
      <c r="H158">
        <v>57</v>
      </c>
      <c r="I158">
        <v>1</v>
      </c>
      <c r="K158" s="430"/>
    </row>
    <row r="159" spans="1:11" x14ac:dyDescent="0.25">
      <c r="A159" t="s">
        <v>2758</v>
      </c>
      <c r="B159" t="s">
        <v>1513</v>
      </c>
      <c r="C159">
        <v>9</v>
      </c>
      <c r="D159">
        <v>0</v>
      </c>
      <c r="E159">
        <v>5</v>
      </c>
      <c r="F159">
        <v>64</v>
      </c>
      <c r="G159">
        <v>0</v>
      </c>
      <c r="H159">
        <v>78</v>
      </c>
      <c r="I159">
        <v>3</v>
      </c>
      <c r="K159" s="430"/>
    </row>
    <row r="160" spans="1:11" x14ac:dyDescent="0.25">
      <c r="A160" t="s">
        <v>2720</v>
      </c>
      <c r="B160" t="s">
        <v>11713</v>
      </c>
      <c r="C160">
        <v>0</v>
      </c>
      <c r="D160">
        <v>0</v>
      </c>
      <c r="E160">
        <v>0</v>
      </c>
      <c r="F160">
        <v>16</v>
      </c>
      <c r="G160">
        <v>0</v>
      </c>
      <c r="H160">
        <v>16</v>
      </c>
      <c r="I160">
        <v>1</v>
      </c>
      <c r="K160" s="430"/>
    </row>
    <row r="161" spans="1:11" x14ac:dyDescent="0.25">
      <c r="A161" t="s">
        <v>2682</v>
      </c>
      <c r="B161" t="s">
        <v>1028</v>
      </c>
      <c r="C161">
        <v>0</v>
      </c>
      <c r="D161">
        <v>0</v>
      </c>
      <c r="E161">
        <v>0</v>
      </c>
      <c r="F161">
        <v>191</v>
      </c>
      <c r="G161">
        <v>0</v>
      </c>
      <c r="H161">
        <v>191</v>
      </c>
      <c r="I161">
        <v>5</v>
      </c>
      <c r="K161" s="430"/>
    </row>
    <row r="162" spans="1:11" x14ac:dyDescent="0.25">
      <c r="A162" t="s">
        <v>2818</v>
      </c>
      <c r="B162" t="s">
        <v>1297</v>
      </c>
      <c r="C162">
        <v>41</v>
      </c>
      <c r="D162">
        <v>0</v>
      </c>
      <c r="E162">
        <v>0</v>
      </c>
      <c r="F162">
        <v>16</v>
      </c>
      <c r="G162">
        <v>0</v>
      </c>
      <c r="H162">
        <v>57</v>
      </c>
      <c r="I162">
        <v>3</v>
      </c>
      <c r="K162" s="430"/>
    </row>
    <row r="163" spans="1:11" x14ac:dyDescent="0.25">
      <c r="A163" t="s">
        <v>2437</v>
      </c>
      <c r="B163" t="s">
        <v>1629</v>
      </c>
      <c r="C163">
        <v>52</v>
      </c>
      <c r="D163">
        <v>0</v>
      </c>
      <c r="E163">
        <v>0</v>
      </c>
      <c r="F163">
        <v>0</v>
      </c>
      <c r="G163">
        <v>0</v>
      </c>
      <c r="H163">
        <v>52</v>
      </c>
      <c r="I163">
        <v>1</v>
      </c>
      <c r="K163" s="430"/>
    </row>
    <row r="164" spans="1:11" x14ac:dyDescent="0.25">
      <c r="A164" t="s">
        <v>2955</v>
      </c>
      <c r="B164" t="s">
        <v>1515</v>
      </c>
      <c r="C164">
        <v>140</v>
      </c>
      <c r="D164">
        <v>0</v>
      </c>
      <c r="E164">
        <v>0</v>
      </c>
      <c r="F164">
        <v>0</v>
      </c>
      <c r="G164">
        <v>0</v>
      </c>
      <c r="H164">
        <v>140</v>
      </c>
      <c r="I164">
        <v>2</v>
      </c>
      <c r="K164" s="430"/>
    </row>
    <row r="165" spans="1:11" x14ac:dyDescent="0.25">
      <c r="A165" t="s">
        <v>2022</v>
      </c>
      <c r="B165" t="s">
        <v>1432</v>
      </c>
      <c r="C165">
        <v>58</v>
      </c>
      <c r="D165">
        <v>0</v>
      </c>
      <c r="E165">
        <v>20</v>
      </c>
      <c r="F165">
        <v>24</v>
      </c>
      <c r="G165">
        <v>0</v>
      </c>
      <c r="H165">
        <v>102</v>
      </c>
      <c r="I165">
        <v>5</v>
      </c>
      <c r="K165" s="430"/>
    </row>
    <row r="166" spans="1:11" x14ac:dyDescent="0.25">
      <c r="A166" t="s">
        <v>2412</v>
      </c>
      <c r="B166" t="s">
        <v>1306</v>
      </c>
      <c r="C166">
        <v>106</v>
      </c>
      <c r="D166">
        <v>0</v>
      </c>
      <c r="E166">
        <v>0</v>
      </c>
      <c r="F166">
        <v>0</v>
      </c>
      <c r="G166">
        <v>0</v>
      </c>
      <c r="H166">
        <v>106</v>
      </c>
      <c r="I166">
        <v>1</v>
      </c>
      <c r="K166" s="430"/>
    </row>
    <row r="167" spans="1:11" x14ac:dyDescent="0.25">
      <c r="A167" t="s">
        <v>2819</v>
      </c>
      <c r="B167" t="s">
        <v>1035</v>
      </c>
      <c r="C167">
        <v>354</v>
      </c>
      <c r="D167">
        <v>0</v>
      </c>
      <c r="E167">
        <v>0</v>
      </c>
      <c r="F167">
        <v>0</v>
      </c>
      <c r="G167">
        <v>0</v>
      </c>
      <c r="H167">
        <v>354</v>
      </c>
      <c r="I167">
        <v>2</v>
      </c>
      <c r="K167" s="430"/>
    </row>
    <row r="168" spans="1:11" x14ac:dyDescent="0.25">
      <c r="A168" t="s">
        <v>2738</v>
      </c>
      <c r="B168" t="s">
        <v>1133</v>
      </c>
      <c r="C168">
        <v>3</v>
      </c>
      <c r="D168">
        <v>0</v>
      </c>
      <c r="E168">
        <v>0</v>
      </c>
      <c r="F168">
        <v>283</v>
      </c>
      <c r="G168">
        <v>0</v>
      </c>
      <c r="H168">
        <v>286</v>
      </c>
      <c r="I168">
        <v>1</v>
      </c>
      <c r="K168" s="430"/>
    </row>
    <row r="169" spans="1:11" x14ac:dyDescent="0.25">
      <c r="A169" t="s">
        <v>2103</v>
      </c>
      <c r="B169" t="s">
        <v>1037</v>
      </c>
      <c r="C169">
        <v>31</v>
      </c>
      <c r="D169">
        <v>0</v>
      </c>
      <c r="E169">
        <v>19</v>
      </c>
      <c r="F169">
        <v>0</v>
      </c>
      <c r="G169">
        <v>0</v>
      </c>
      <c r="H169">
        <v>50</v>
      </c>
      <c r="I169">
        <v>1</v>
      </c>
      <c r="K169" s="430"/>
    </row>
    <row r="170" spans="1:11" x14ac:dyDescent="0.25">
      <c r="A170" t="s">
        <v>10800</v>
      </c>
      <c r="B170" t="s">
        <v>10801</v>
      </c>
      <c r="C170">
        <v>0</v>
      </c>
      <c r="D170">
        <v>0</v>
      </c>
      <c r="E170">
        <v>0</v>
      </c>
      <c r="F170">
        <v>0</v>
      </c>
      <c r="G170">
        <v>0</v>
      </c>
      <c r="H170">
        <v>0</v>
      </c>
      <c r="I170">
        <v>0</v>
      </c>
      <c r="K170" s="430"/>
    </row>
    <row r="171" spans="1:11" x14ac:dyDescent="0.25">
      <c r="A171" t="s">
        <v>1942</v>
      </c>
      <c r="B171" t="s">
        <v>1136</v>
      </c>
      <c r="C171">
        <v>209</v>
      </c>
      <c r="D171">
        <v>0</v>
      </c>
      <c r="E171">
        <v>0</v>
      </c>
      <c r="F171">
        <v>0</v>
      </c>
      <c r="G171">
        <v>0</v>
      </c>
      <c r="H171">
        <v>209</v>
      </c>
      <c r="I171">
        <v>10</v>
      </c>
      <c r="K171" s="430"/>
    </row>
    <row r="172" spans="1:11" x14ac:dyDescent="0.25">
      <c r="A172" t="s">
        <v>2919</v>
      </c>
      <c r="B172" t="s">
        <v>1137</v>
      </c>
      <c r="C172">
        <v>0</v>
      </c>
      <c r="D172">
        <v>0</v>
      </c>
      <c r="E172">
        <v>0</v>
      </c>
      <c r="F172">
        <v>0</v>
      </c>
      <c r="G172">
        <v>0</v>
      </c>
      <c r="H172">
        <v>0</v>
      </c>
      <c r="I172">
        <v>0</v>
      </c>
      <c r="K172" s="430"/>
    </row>
    <row r="173" spans="1:11" x14ac:dyDescent="0.25">
      <c r="A173" t="s">
        <v>2635</v>
      </c>
      <c r="B173" t="s">
        <v>1138</v>
      </c>
      <c r="C173">
        <v>0</v>
      </c>
      <c r="D173">
        <v>0</v>
      </c>
      <c r="E173">
        <v>638</v>
      </c>
      <c r="F173">
        <v>0</v>
      </c>
      <c r="G173">
        <v>0</v>
      </c>
      <c r="H173">
        <v>638</v>
      </c>
      <c r="I173">
        <v>12</v>
      </c>
      <c r="K173" s="430"/>
    </row>
    <row r="174" spans="1:11" x14ac:dyDescent="0.25">
      <c r="A174" t="s">
        <v>10688</v>
      </c>
      <c r="B174" t="s">
        <v>10689</v>
      </c>
      <c r="C174">
        <v>0</v>
      </c>
      <c r="D174">
        <v>0</v>
      </c>
      <c r="E174">
        <v>0</v>
      </c>
      <c r="F174">
        <v>0</v>
      </c>
      <c r="G174">
        <v>0</v>
      </c>
      <c r="H174">
        <v>0</v>
      </c>
      <c r="I174">
        <v>0</v>
      </c>
      <c r="K174" s="430"/>
    </row>
    <row r="175" spans="1:11" x14ac:dyDescent="0.25">
      <c r="A175" t="s">
        <v>2092</v>
      </c>
      <c r="B175" t="s">
        <v>1040</v>
      </c>
      <c r="C175">
        <v>0</v>
      </c>
      <c r="D175">
        <v>0</v>
      </c>
      <c r="E175">
        <v>0</v>
      </c>
      <c r="F175">
        <v>0</v>
      </c>
      <c r="G175">
        <v>0</v>
      </c>
      <c r="H175">
        <v>0</v>
      </c>
      <c r="I175">
        <v>0</v>
      </c>
      <c r="K175" s="430"/>
    </row>
    <row r="176" spans="1:11" x14ac:dyDescent="0.25">
      <c r="A176" t="s">
        <v>10691</v>
      </c>
      <c r="B176" t="s">
        <v>10692</v>
      </c>
      <c r="C176">
        <v>0</v>
      </c>
      <c r="D176">
        <v>0</v>
      </c>
      <c r="E176">
        <v>0</v>
      </c>
      <c r="F176">
        <v>0</v>
      </c>
      <c r="G176">
        <v>0</v>
      </c>
      <c r="H176">
        <v>0</v>
      </c>
      <c r="I176">
        <v>0</v>
      </c>
      <c r="K176" s="430"/>
    </row>
    <row r="177" spans="1:11" x14ac:dyDescent="0.25">
      <c r="A177" t="s">
        <v>2025</v>
      </c>
      <c r="B177" t="s">
        <v>1139</v>
      </c>
      <c r="C177">
        <v>531</v>
      </c>
      <c r="D177">
        <v>0</v>
      </c>
      <c r="E177">
        <v>15</v>
      </c>
      <c r="F177">
        <v>0</v>
      </c>
      <c r="G177">
        <v>0</v>
      </c>
      <c r="H177">
        <v>546</v>
      </c>
      <c r="I177">
        <v>5</v>
      </c>
      <c r="K177" s="430"/>
    </row>
    <row r="178" spans="1:11" x14ac:dyDescent="0.25">
      <c r="A178" t="s">
        <v>9867</v>
      </c>
      <c r="B178" t="s">
        <v>9807</v>
      </c>
      <c r="C178">
        <v>1</v>
      </c>
      <c r="D178">
        <v>0</v>
      </c>
      <c r="E178">
        <v>0</v>
      </c>
      <c r="F178">
        <v>0</v>
      </c>
      <c r="G178">
        <v>0</v>
      </c>
      <c r="H178">
        <v>1</v>
      </c>
      <c r="I178">
        <v>1</v>
      </c>
      <c r="K178" s="430"/>
    </row>
    <row r="179" spans="1:11" x14ac:dyDescent="0.25">
      <c r="A179" t="s">
        <v>2115</v>
      </c>
      <c r="B179" t="s">
        <v>1042</v>
      </c>
      <c r="C179">
        <v>0</v>
      </c>
      <c r="D179">
        <v>0</v>
      </c>
      <c r="E179">
        <v>177</v>
      </c>
      <c r="F179">
        <v>0</v>
      </c>
      <c r="G179">
        <v>0</v>
      </c>
      <c r="H179">
        <v>177</v>
      </c>
      <c r="I179">
        <v>9</v>
      </c>
      <c r="K179" s="430"/>
    </row>
    <row r="180" spans="1:11" x14ac:dyDescent="0.25">
      <c r="A180" t="s">
        <v>2659</v>
      </c>
      <c r="B180" t="s">
        <v>9828</v>
      </c>
      <c r="C180">
        <v>286</v>
      </c>
      <c r="D180">
        <v>0</v>
      </c>
      <c r="E180">
        <v>4</v>
      </c>
      <c r="F180">
        <v>16</v>
      </c>
      <c r="G180">
        <v>0</v>
      </c>
      <c r="H180">
        <v>306</v>
      </c>
      <c r="I180">
        <v>3</v>
      </c>
      <c r="K180" s="430"/>
    </row>
    <row r="181" spans="1:11" x14ac:dyDescent="0.25">
      <c r="A181" t="s">
        <v>2000</v>
      </c>
      <c r="B181" t="s">
        <v>1044</v>
      </c>
      <c r="C181">
        <v>0</v>
      </c>
      <c r="D181">
        <v>0</v>
      </c>
      <c r="E181">
        <v>377</v>
      </c>
      <c r="F181">
        <v>0</v>
      </c>
      <c r="G181">
        <v>0</v>
      </c>
      <c r="H181">
        <v>377</v>
      </c>
      <c r="I181">
        <v>20</v>
      </c>
      <c r="K181" s="430"/>
    </row>
    <row r="182" spans="1:11" x14ac:dyDescent="0.25">
      <c r="A182" t="s">
        <v>2027</v>
      </c>
      <c r="B182" t="s">
        <v>1046</v>
      </c>
      <c r="C182">
        <v>17</v>
      </c>
      <c r="D182">
        <v>0</v>
      </c>
      <c r="E182">
        <v>372</v>
      </c>
      <c r="F182">
        <v>0</v>
      </c>
      <c r="G182">
        <v>0</v>
      </c>
      <c r="H182">
        <v>389</v>
      </c>
      <c r="I182">
        <v>28</v>
      </c>
      <c r="K182" s="430"/>
    </row>
    <row r="183" spans="1:11" x14ac:dyDescent="0.25">
      <c r="A183" t="s">
        <v>2814</v>
      </c>
      <c r="B183" t="s">
        <v>1145</v>
      </c>
      <c r="C183">
        <v>156</v>
      </c>
      <c r="D183">
        <v>0</v>
      </c>
      <c r="E183">
        <v>0</v>
      </c>
      <c r="F183">
        <v>0</v>
      </c>
      <c r="G183">
        <v>0</v>
      </c>
      <c r="H183">
        <v>156</v>
      </c>
      <c r="I183">
        <v>4</v>
      </c>
      <c r="K183" s="430"/>
    </row>
    <row r="184" spans="1:11" x14ac:dyDescent="0.25">
      <c r="A184" t="s">
        <v>2743</v>
      </c>
      <c r="B184" t="s">
        <v>11707</v>
      </c>
      <c r="C184">
        <v>0</v>
      </c>
      <c r="D184">
        <v>0</v>
      </c>
      <c r="E184">
        <v>0</v>
      </c>
      <c r="F184">
        <v>17</v>
      </c>
      <c r="G184">
        <v>0</v>
      </c>
      <c r="H184">
        <v>17</v>
      </c>
      <c r="I184">
        <v>1</v>
      </c>
      <c r="K184" s="430"/>
    </row>
    <row r="185" spans="1:11" x14ac:dyDescent="0.25">
      <c r="A185" t="s">
        <v>2815</v>
      </c>
      <c r="B185" t="s">
        <v>1047</v>
      </c>
      <c r="C185">
        <v>194</v>
      </c>
      <c r="D185">
        <v>0</v>
      </c>
      <c r="E185">
        <v>0</v>
      </c>
      <c r="F185">
        <v>0</v>
      </c>
      <c r="G185">
        <v>0</v>
      </c>
      <c r="H185">
        <v>194</v>
      </c>
      <c r="I185">
        <v>6</v>
      </c>
      <c r="K185" s="430"/>
    </row>
    <row r="186" spans="1:11" x14ac:dyDescent="0.25">
      <c r="A186" t="s">
        <v>2367</v>
      </c>
      <c r="B186" t="s">
        <v>1317</v>
      </c>
      <c r="C186">
        <v>27</v>
      </c>
      <c r="D186">
        <v>0</v>
      </c>
      <c r="E186">
        <v>0</v>
      </c>
      <c r="F186">
        <v>0</v>
      </c>
      <c r="G186">
        <v>0</v>
      </c>
      <c r="H186">
        <v>27</v>
      </c>
      <c r="I186">
        <v>1</v>
      </c>
      <c r="K186" s="430"/>
    </row>
    <row r="187" spans="1:11" x14ac:dyDescent="0.25">
      <c r="A187" t="s">
        <v>2202</v>
      </c>
      <c r="B187" t="s">
        <v>1640</v>
      </c>
      <c r="C187">
        <v>10</v>
      </c>
      <c r="D187">
        <v>0</v>
      </c>
      <c r="E187">
        <v>0</v>
      </c>
      <c r="F187">
        <v>64</v>
      </c>
      <c r="G187">
        <v>0</v>
      </c>
      <c r="H187">
        <v>74</v>
      </c>
      <c r="I187">
        <v>1</v>
      </c>
      <c r="K187" s="430"/>
    </row>
    <row r="188" spans="1:11" x14ac:dyDescent="0.25">
      <c r="A188" t="s">
        <v>2727</v>
      </c>
      <c r="B188" t="s">
        <v>1318</v>
      </c>
      <c r="C188">
        <v>389</v>
      </c>
      <c r="D188">
        <v>0</v>
      </c>
      <c r="E188">
        <v>18</v>
      </c>
      <c r="F188">
        <v>0</v>
      </c>
      <c r="G188">
        <v>0</v>
      </c>
      <c r="H188">
        <v>407</v>
      </c>
      <c r="I188">
        <v>2</v>
      </c>
      <c r="K188" s="430"/>
    </row>
    <row r="189" spans="1:11" x14ac:dyDescent="0.25">
      <c r="A189" t="s">
        <v>2495</v>
      </c>
      <c r="B189" t="s">
        <v>14388</v>
      </c>
      <c r="C189">
        <v>24</v>
      </c>
      <c r="D189">
        <v>0</v>
      </c>
      <c r="E189">
        <v>0</v>
      </c>
      <c r="F189">
        <v>0</v>
      </c>
      <c r="G189">
        <v>0</v>
      </c>
      <c r="H189">
        <v>24</v>
      </c>
      <c r="I189">
        <v>1</v>
      </c>
      <c r="K189" s="430"/>
    </row>
    <row r="190" spans="1:11" x14ac:dyDescent="0.25">
      <c r="A190" t="s">
        <v>2937</v>
      </c>
      <c r="B190" t="s">
        <v>1320</v>
      </c>
      <c r="C190">
        <v>57</v>
      </c>
      <c r="D190">
        <v>38</v>
      </c>
      <c r="E190">
        <v>191</v>
      </c>
      <c r="F190">
        <v>6</v>
      </c>
      <c r="G190">
        <v>0</v>
      </c>
      <c r="H190">
        <v>292</v>
      </c>
      <c r="I190">
        <v>3</v>
      </c>
      <c r="K190" s="430"/>
    </row>
    <row r="191" spans="1:11" x14ac:dyDescent="0.25">
      <c r="A191" t="s">
        <v>2802</v>
      </c>
      <c r="B191" t="s">
        <v>1524</v>
      </c>
      <c r="C191">
        <v>505</v>
      </c>
      <c r="D191">
        <v>0</v>
      </c>
      <c r="E191">
        <v>38</v>
      </c>
      <c r="F191">
        <v>0</v>
      </c>
      <c r="G191">
        <v>0</v>
      </c>
      <c r="H191">
        <v>543</v>
      </c>
      <c r="I191">
        <v>2</v>
      </c>
      <c r="K191" s="430"/>
    </row>
    <row r="192" spans="1:11" x14ac:dyDescent="0.25">
      <c r="A192" t="s">
        <v>2045</v>
      </c>
      <c r="B192" t="s">
        <v>1832</v>
      </c>
      <c r="C192">
        <v>2</v>
      </c>
      <c r="D192">
        <v>0</v>
      </c>
      <c r="E192">
        <v>0</v>
      </c>
      <c r="F192">
        <v>0</v>
      </c>
      <c r="G192">
        <v>0</v>
      </c>
      <c r="H192">
        <v>2</v>
      </c>
      <c r="I192">
        <v>2</v>
      </c>
      <c r="K192" s="430"/>
    </row>
    <row r="193" spans="1:11" x14ac:dyDescent="0.25">
      <c r="A193" t="s">
        <v>2018</v>
      </c>
      <c r="B193" t="s">
        <v>1050</v>
      </c>
      <c r="C193">
        <v>217</v>
      </c>
      <c r="D193">
        <v>0</v>
      </c>
      <c r="E193">
        <v>24</v>
      </c>
      <c r="F193">
        <v>69</v>
      </c>
      <c r="G193">
        <v>0</v>
      </c>
      <c r="H193">
        <v>310</v>
      </c>
      <c r="I193">
        <v>11</v>
      </c>
      <c r="K193" s="430"/>
    </row>
    <row r="194" spans="1:11" x14ac:dyDescent="0.25">
      <c r="A194" t="s">
        <v>10701</v>
      </c>
      <c r="B194" t="s">
        <v>10702</v>
      </c>
      <c r="C194">
        <v>0</v>
      </c>
      <c r="D194">
        <v>0</v>
      </c>
      <c r="E194">
        <v>0</v>
      </c>
      <c r="F194">
        <v>0</v>
      </c>
      <c r="G194">
        <v>0</v>
      </c>
      <c r="H194">
        <v>0</v>
      </c>
      <c r="I194">
        <v>0</v>
      </c>
      <c r="K194" s="430"/>
    </row>
    <row r="195" spans="1:11" x14ac:dyDescent="0.25">
      <c r="A195" t="s">
        <v>9869</v>
      </c>
      <c r="B195" t="s">
        <v>9809</v>
      </c>
      <c r="C195">
        <v>235</v>
      </c>
      <c r="D195">
        <v>0</v>
      </c>
      <c r="E195">
        <v>0</v>
      </c>
      <c r="F195">
        <v>0</v>
      </c>
      <c r="G195">
        <v>0</v>
      </c>
      <c r="H195">
        <v>235</v>
      </c>
      <c r="I195">
        <v>1</v>
      </c>
      <c r="K195" s="430"/>
    </row>
    <row r="196" spans="1:11" x14ac:dyDescent="0.25">
      <c r="A196" t="s">
        <v>2683</v>
      </c>
      <c r="B196" t="s">
        <v>1644</v>
      </c>
      <c r="C196">
        <v>47</v>
      </c>
      <c r="D196">
        <v>0</v>
      </c>
      <c r="E196">
        <v>0</v>
      </c>
      <c r="F196">
        <v>111</v>
      </c>
      <c r="G196">
        <v>0</v>
      </c>
      <c r="H196">
        <v>158</v>
      </c>
      <c r="I196">
        <v>2</v>
      </c>
      <c r="K196" s="430"/>
    </row>
    <row r="197" spans="1:11" x14ac:dyDescent="0.25">
      <c r="A197" t="s">
        <v>10708</v>
      </c>
      <c r="B197" t="s">
        <v>10709</v>
      </c>
      <c r="C197">
        <v>0</v>
      </c>
      <c r="D197">
        <v>0</v>
      </c>
      <c r="E197">
        <v>0</v>
      </c>
      <c r="F197">
        <v>0</v>
      </c>
      <c r="G197">
        <v>0</v>
      </c>
      <c r="H197">
        <v>0</v>
      </c>
      <c r="I197">
        <v>0</v>
      </c>
      <c r="K197" s="430"/>
    </row>
    <row r="198" spans="1:11" x14ac:dyDescent="0.25">
      <c r="A198" t="s">
        <v>2055</v>
      </c>
      <c r="B198" t="s">
        <v>1527</v>
      </c>
      <c r="C198">
        <v>0</v>
      </c>
      <c r="D198">
        <v>0</v>
      </c>
      <c r="E198">
        <v>35</v>
      </c>
      <c r="F198">
        <v>0</v>
      </c>
      <c r="G198">
        <v>0</v>
      </c>
      <c r="H198">
        <v>35</v>
      </c>
      <c r="I198">
        <v>1</v>
      </c>
      <c r="K198" s="430"/>
    </row>
    <row r="199" spans="1:11" x14ac:dyDescent="0.25">
      <c r="A199" t="s">
        <v>2686</v>
      </c>
      <c r="B199" t="s">
        <v>1327</v>
      </c>
      <c r="C199">
        <v>88</v>
      </c>
      <c r="D199">
        <v>0</v>
      </c>
      <c r="E199">
        <v>337</v>
      </c>
      <c r="F199">
        <v>33</v>
      </c>
      <c r="G199">
        <v>0</v>
      </c>
      <c r="H199">
        <v>458</v>
      </c>
      <c r="I199">
        <v>3</v>
      </c>
      <c r="K199" s="430"/>
    </row>
    <row r="200" spans="1:11" x14ac:dyDescent="0.25">
      <c r="A200" t="s">
        <v>2702</v>
      </c>
      <c r="B200" t="s">
        <v>11708</v>
      </c>
      <c r="C200">
        <v>0</v>
      </c>
      <c r="D200">
        <v>0</v>
      </c>
      <c r="E200">
        <v>0</v>
      </c>
      <c r="F200">
        <v>0</v>
      </c>
      <c r="G200">
        <v>0</v>
      </c>
      <c r="H200">
        <v>0</v>
      </c>
      <c r="I200">
        <v>0</v>
      </c>
      <c r="K200" s="430"/>
    </row>
    <row r="201" spans="1:11" x14ac:dyDescent="0.25">
      <c r="A201" t="s">
        <v>1985</v>
      </c>
      <c r="B201" t="s">
        <v>1329</v>
      </c>
      <c r="C201">
        <v>0</v>
      </c>
      <c r="D201">
        <v>0</v>
      </c>
      <c r="E201">
        <v>705</v>
      </c>
      <c r="F201">
        <v>0</v>
      </c>
      <c r="G201">
        <v>0</v>
      </c>
      <c r="H201">
        <v>705</v>
      </c>
      <c r="I201">
        <v>2</v>
      </c>
      <c r="K201" s="430"/>
    </row>
    <row r="202" spans="1:11" x14ac:dyDescent="0.25">
      <c r="A202" t="s">
        <v>2776</v>
      </c>
      <c r="B202" t="s">
        <v>1330</v>
      </c>
      <c r="C202">
        <v>284</v>
      </c>
      <c r="D202">
        <v>0</v>
      </c>
      <c r="E202">
        <v>0</v>
      </c>
      <c r="F202">
        <v>73</v>
      </c>
      <c r="G202">
        <v>0</v>
      </c>
      <c r="H202">
        <v>357</v>
      </c>
      <c r="I202">
        <v>8</v>
      </c>
      <c r="K202" s="430"/>
    </row>
    <row r="203" spans="1:11" x14ac:dyDescent="0.25">
      <c r="A203" t="s">
        <v>2596</v>
      </c>
      <c r="B203" t="s">
        <v>1833</v>
      </c>
      <c r="C203">
        <v>0</v>
      </c>
      <c r="D203">
        <v>0</v>
      </c>
      <c r="E203">
        <v>0</v>
      </c>
      <c r="F203">
        <v>22</v>
      </c>
      <c r="G203">
        <v>0</v>
      </c>
      <c r="H203">
        <v>22</v>
      </c>
      <c r="I203">
        <v>1</v>
      </c>
      <c r="K203" s="430"/>
    </row>
    <row r="204" spans="1:11" x14ac:dyDescent="0.25">
      <c r="A204" t="s">
        <v>2698</v>
      </c>
      <c r="B204" t="s">
        <v>1528</v>
      </c>
      <c r="C204">
        <v>125</v>
      </c>
      <c r="D204">
        <v>0</v>
      </c>
      <c r="E204">
        <v>64</v>
      </c>
      <c r="F204">
        <v>0</v>
      </c>
      <c r="G204">
        <v>0</v>
      </c>
      <c r="H204">
        <v>189</v>
      </c>
      <c r="I204">
        <v>6</v>
      </c>
      <c r="K204" s="430"/>
    </row>
    <row r="205" spans="1:11" x14ac:dyDescent="0.25">
      <c r="A205" t="s">
        <v>2036</v>
      </c>
      <c r="B205" t="s">
        <v>1834</v>
      </c>
      <c r="C205">
        <v>0</v>
      </c>
      <c r="D205">
        <v>13</v>
      </c>
      <c r="E205">
        <v>0</v>
      </c>
      <c r="F205">
        <v>0</v>
      </c>
      <c r="G205">
        <v>0</v>
      </c>
      <c r="H205">
        <v>13</v>
      </c>
      <c r="I205">
        <v>1</v>
      </c>
      <c r="K205" s="430"/>
    </row>
    <row r="206" spans="1:11" x14ac:dyDescent="0.25">
      <c r="A206" t="s">
        <v>10808</v>
      </c>
      <c r="B206" t="s">
        <v>10809</v>
      </c>
      <c r="C206">
        <v>4</v>
      </c>
      <c r="D206">
        <v>0</v>
      </c>
      <c r="E206">
        <v>0</v>
      </c>
      <c r="F206">
        <v>4</v>
      </c>
      <c r="G206">
        <v>0</v>
      </c>
      <c r="H206">
        <v>8</v>
      </c>
      <c r="I206">
        <v>5</v>
      </c>
      <c r="K206" s="430"/>
    </row>
    <row r="207" spans="1:11" x14ac:dyDescent="0.25">
      <c r="A207" t="s">
        <v>2654</v>
      </c>
      <c r="B207" t="s">
        <v>1649</v>
      </c>
      <c r="C207">
        <v>0</v>
      </c>
      <c r="D207">
        <v>0</v>
      </c>
      <c r="E207">
        <v>0</v>
      </c>
      <c r="F207">
        <v>0</v>
      </c>
      <c r="G207">
        <v>0</v>
      </c>
      <c r="H207">
        <v>0</v>
      </c>
      <c r="I207">
        <v>0</v>
      </c>
      <c r="K207" s="430"/>
    </row>
    <row r="208" spans="1:11" x14ac:dyDescent="0.25">
      <c r="A208" t="s">
        <v>10714</v>
      </c>
      <c r="B208" t="s">
        <v>10715</v>
      </c>
      <c r="C208">
        <v>0</v>
      </c>
      <c r="D208">
        <v>0</v>
      </c>
      <c r="E208">
        <v>0</v>
      </c>
      <c r="F208">
        <v>0</v>
      </c>
      <c r="G208">
        <v>0</v>
      </c>
      <c r="H208">
        <v>0</v>
      </c>
      <c r="I208">
        <v>0</v>
      </c>
      <c r="K208" s="430"/>
    </row>
    <row r="209" spans="1:11" x14ac:dyDescent="0.25">
      <c r="A209" t="s">
        <v>2994</v>
      </c>
      <c r="B209" t="s">
        <v>1650</v>
      </c>
      <c r="C209">
        <v>0</v>
      </c>
      <c r="D209">
        <v>0</v>
      </c>
      <c r="E209">
        <v>0</v>
      </c>
      <c r="F209">
        <v>0</v>
      </c>
      <c r="G209">
        <v>0</v>
      </c>
      <c r="H209">
        <v>0</v>
      </c>
      <c r="I209">
        <v>0</v>
      </c>
      <c r="K209" s="430"/>
    </row>
    <row r="210" spans="1:11" x14ac:dyDescent="0.25">
      <c r="A210" t="s">
        <v>2946</v>
      </c>
      <c r="B210" t="s">
        <v>1335</v>
      </c>
      <c r="C210">
        <v>0</v>
      </c>
      <c r="D210">
        <v>0</v>
      </c>
      <c r="E210">
        <v>0</v>
      </c>
      <c r="F210">
        <v>0</v>
      </c>
      <c r="G210">
        <v>0</v>
      </c>
      <c r="H210">
        <v>0</v>
      </c>
      <c r="I210">
        <v>0</v>
      </c>
      <c r="K210" s="430"/>
    </row>
    <row r="211" spans="1:11" x14ac:dyDescent="0.25">
      <c r="A211" t="s">
        <v>1935</v>
      </c>
      <c r="B211" t="s">
        <v>1055</v>
      </c>
      <c r="C211">
        <v>132</v>
      </c>
      <c r="D211">
        <v>0</v>
      </c>
      <c r="E211">
        <v>0</v>
      </c>
      <c r="F211">
        <v>0</v>
      </c>
      <c r="G211">
        <v>0</v>
      </c>
      <c r="H211">
        <v>132</v>
      </c>
      <c r="I211">
        <v>1</v>
      </c>
      <c r="K211" s="430"/>
    </row>
    <row r="212" spans="1:11" x14ac:dyDescent="0.25">
      <c r="A212" t="s">
        <v>2996</v>
      </c>
      <c r="B212" t="s">
        <v>1761</v>
      </c>
      <c r="C212">
        <v>774</v>
      </c>
      <c r="D212">
        <v>0</v>
      </c>
      <c r="E212">
        <v>0</v>
      </c>
      <c r="F212">
        <v>0</v>
      </c>
      <c r="G212">
        <v>0</v>
      </c>
      <c r="H212">
        <v>774</v>
      </c>
      <c r="I212">
        <v>1</v>
      </c>
      <c r="K212" s="430"/>
    </row>
    <row r="213" spans="1:11" x14ac:dyDescent="0.25">
      <c r="A213" t="s">
        <v>10719</v>
      </c>
      <c r="B213" t="s">
        <v>10720</v>
      </c>
      <c r="C213">
        <v>0</v>
      </c>
      <c r="D213">
        <v>0</v>
      </c>
      <c r="E213">
        <v>0</v>
      </c>
      <c r="F213">
        <v>0</v>
      </c>
      <c r="G213">
        <v>0</v>
      </c>
      <c r="H213">
        <v>0</v>
      </c>
      <c r="I213">
        <v>0</v>
      </c>
      <c r="K213" s="430"/>
    </row>
    <row r="214" spans="1:11" x14ac:dyDescent="0.25">
      <c r="A214" t="s">
        <v>2925</v>
      </c>
      <c r="B214" t="s">
        <v>957</v>
      </c>
      <c r="C214">
        <v>394</v>
      </c>
      <c r="D214">
        <v>0</v>
      </c>
      <c r="E214">
        <v>0</v>
      </c>
      <c r="F214">
        <v>32</v>
      </c>
      <c r="G214">
        <v>0</v>
      </c>
      <c r="H214">
        <v>426</v>
      </c>
      <c r="I214">
        <v>3</v>
      </c>
      <c r="K214" s="430"/>
    </row>
    <row r="215" spans="1:11" x14ac:dyDescent="0.25">
      <c r="A215" t="s">
        <v>2560</v>
      </c>
      <c r="B215" t="s">
        <v>1153</v>
      </c>
      <c r="C215">
        <v>93</v>
      </c>
      <c r="D215">
        <v>41</v>
      </c>
      <c r="E215">
        <v>150</v>
      </c>
      <c r="F215">
        <v>0</v>
      </c>
      <c r="G215">
        <v>0</v>
      </c>
      <c r="H215">
        <v>284</v>
      </c>
      <c r="I215">
        <v>4</v>
      </c>
      <c r="K215" s="430"/>
    </row>
    <row r="216" spans="1:11" x14ac:dyDescent="0.25">
      <c r="A216" t="s">
        <v>3019</v>
      </c>
      <c r="B216" t="s">
        <v>1837</v>
      </c>
      <c r="C216">
        <v>0</v>
      </c>
      <c r="D216">
        <v>0</v>
      </c>
      <c r="E216">
        <v>0</v>
      </c>
      <c r="F216">
        <v>0</v>
      </c>
      <c r="G216">
        <v>0</v>
      </c>
      <c r="H216">
        <v>0</v>
      </c>
      <c r="I216">
        <v>0</v>
      </c>
      <c r="K216" s="430"/>
    </row>
    <row r="217" spans="1:11" x14ac:dyDescent="0.25">
      <c r="A217" t="s">
        <v>2696</v>
      </c>
      <c r="B217" t="s">
        <v>1656</v>
      </c>
      <c r="C217">
        <v>0</v>
      </c>
      <c r="D217">
        <v>0</v>
      </c>
      <c r="E217">
        <v>0</v>
      </c>
      <c r="F217">
        <v>93</v>
      </c>
      <c r="G217">
        <v>0</v>
      </c>
      <c r="H217">
        <v>93</v>
      </c>
      <c r="I217">
        <v>1</v>
      </c>
      <c r="K217" s="430"/>
    </row>
    <row r="218" spans="1:11" x14ac:dyDescent="0.25">
      <c r="A218" t="s">
        <v>2532</v>
      </c>
      <c r="B218" t="s">
        <v>1840</v>
      </c>
      <c r="C218">
        <v>0</v>
      </c>
      <c r="D218">
        <v>0</v>
      </c>
      <c r="E218">
        <v>22</v>
      </c>
      <c r="F218">
        <v>0</v>
      </c>
      <c r="G218">
        <v>0</v>
      </c>
      <c r="H218">
        <v>22</v>
      </c>
      <c r="I218">
        <v>1</v>
      </c>
      <c r="K218" s="430"/>
    </row>
    <row r="219" spans="1:11" x14ac:dyDescent="0.25">
      <c r="A219" t="s">
        <v>1937</v>
      </c>
      <c r="B219" t="s">
        <v>1535</v>
      </c>
      <c r="C219">
        <v>109</v>
      </c>
      <c r="D219">
        <v>0</v>
      </c>
      <c r="E219">
        <v>0</v>
      </c>
      <c r="F219">
        <v>40</v>
      </c>
      <c r="G219">
        <v>0</v>
      </c>
      <c r="H219">
        <v>149</v>
      </c>
      <c r="I219">
        <v>1</v>
      </c>
      <c r="K219" s="430"/>
    </row>
    <row r="220" spans="1:11" x14ac:dyDescent="0.25">
      <c r="A220" t="s">
        <v>2380</v>
      </c>
      <c r="B220" t="s">
        <v>1844</v>
      </c>
      <c r="C220">
        <v>47</v>
      </c>
      <c r="D220">
        <v>0</v>
      </c>
      <c r="E220">
        <v>0</v>
      </c>
      <c r="F220">
        <v>0</v>
      </c>
      <c r="G220">
        <v>0</v>
      </c>
      <c r="H220">
        <v>47</v>
      </c>
      <c r="I220">
        <v>1</v>
      </c>
      <c r="K220" s="430"/>
    </row>
    <row r="221" spans="1:11" x14ac:dyDescent="0.25">
      <c r="A221" t="s">
        <v>2948</v>
      </c>
      <c r="B221" t="s">
        <v>1339</v>
      </c>
      <c r="C221">
        <v>718</v>
      </c>
      <c r="D221">
        <v>0</v>
      </c>
      <c r="E221">
        <v>0</v>
      </c>
      <c r="F221">
        <v>19</v>
      </c>
      <c r="G221">
        <v>0</v>
      </c>
      <c r="H221">
        <v>737</v>
      </c>
      <c r="I221">
        <v>2</v>
      </c>
      <c r="K221" s="430"/>
    </row>
    <row r="222" spans="1:11" x14ac:dyDescent="0.25">
      <c r="A222" t="s">
        <v>1982</v>
      </c>
      <c r="B222" t="s">
        <v>9795</v>
      </c>
      <c r="C222">
        <v>4</v>
      </c>
      <c r="D222">
        <v>0</v>
      </c>
      <c r="E222">
        <v>164</v>
      </c>
      <c r="F222">
        <v>0</v>
      </c>
      <c r="G222">
        <v>0</v>
      </c>
      <c r="H222">
        <v>168</v>
      </c>
      <c r="I222">
        <v>7</v>
      </c>
      <c r="K222" s="430"/>
    </row>
    <row r="223" spans="1:11" x14ac:dyDescent="0.25">
      <c r="A223" t="s">
        <v>2940</v>
      </c>
      <c r="B223" t="s">
        <v>1765</v>
      </c>
      <c r="C223">
        <v>279</v>
      </c>
      <c r="D223">
        <v>0</v>
      </c>
      <c r="E223">
        <v>23</v>
      </c>
      <c r="F223">
        <v>0</v>
      </c>
      <c r="G223">
        <v>0</v>
      </c>
      <c r="H223">
        <v>302</v>
      </c>
      <c r="I223">
        <v>5</v>
      </c>
      <c r="K223" s="430"/>
    </row>
    <row r="224" spans="1:11" x14ac:dyDescent="0.25">
      <c r="A224" t="s">
        <v>2764</v>
      </c>
      <c r="B224" t="s">
        <v>1661</v>
      </c>
      <c r="C224">
        <v>0</v>
      </c>
      <c r="D224">
        <v>0</v>
      </c>
      <c r="E224">
        <v>448</v>
      </c>
      <c r="F224">
        <v>0</v>
      </c>
      <c r="G224">
        <v>0</v>
      </c>
      <c r="H224">
        <v>448</v>
      </c>
      <c r="I224">
        <v>12</v>
      </c>
      <c r="K224" s="430"/>
    </row>
    <row r="225" spans="1:11" x14ac:dyDescent="0.25">
      <c r="A225" t="s">
        <v>2954</v>
      </c>
      <c r="B225" t="s">
        <v>1341</v>
      </c>
      <c r="C225">
        <v>206</v>
      </c>
      <c r="D225">
        <v>0</v>
      </c>
      <c r="E225">
        <v>0</v>
      </c>
      <c r="F225">
        <v>0</v>
      </c>
      <c r="G225">
        <v>0</v>
      </c>
      <c r="H225">
        <v>206</v>
      </c>
      <c r="I225">
        <v>9</v>
      </c>
      <c r="K225" s="430"/>
    </row>
    <row r="226" spans="1:11" x14ac:dyDescent="0.25">
      <c r="A226" t="s">
        <v>2909</v>
      </c>
      <c r="B226" t="s">
        <v>959</v>
      </c>
      <c r="C226">
        <v>0</v>
      </c>
      <c r="D226">
        <v>0</v>
      </c>
      <c r="E226">
        <v>0</v>
      </c>
      <c r="F226">
        <v>0</v>
      </c>
      <c r="G226">
        <v>0</v>
      </c>
      <c r="H226">
        <v>0</v>
      </c>
      <c r="I226">
        <v>0</v>
      </c>
      <c r="K226" s="430"/>
    </row>
    <row r="227" spans="1:11" x14ac:dyDescent="0.25">
      <c r="A227" t="s">
        <v>2385</v>
      </c>
      <c r="B227" t="s">
        <v>1342</v>
      </c>
      <c r="C227">
        <v>36</v>
      </c>
      <c r="D227">
        <v>0</v>
      </c>
      <c r="E227">
        <v>0</v>
      </c>
      <c r="F227">
        <v>0</v>
      </c>
      <c r="G227">
        <v>0</v>
      </c>
      <c r="H227">
        <v>36</v>
      </c>
      <c r="I227">
        <v>1</v>
      </c>
      <c r="K227" s="430"/>
    </row>
    <row r="228" spans="1:11" x14ac:dyDescent="0.25">
      <c r="A228" t="s">
        <v>2816</v>
      </c>
      <c r="B228" t="s">
        <v>1766</v>
      </c>
      <c r="C228">
        <v>3</v>
      </c>
      <c r="D228">
        <v>0</v>
      </c>
      <c r="E228">
        <v>0</v>
      </c>
      <c r="F228">
        <v>0</v>
      </c>
      <c r="G228">
        <v>0</v>
      </c>
      <c r="H228">
        <v>3</v>
      </c>
      <c r="I228">
        <v>2</v>
      </c>
      <c r="K228" s="430"/>
    </row>
    <row r="229" spans="1:11" x14ac:dyDescent="0.25">
      <c r="A229" t="s">
        <v>3036</v>
      </c>
      <c r="B229" t="s">
        <v>1542</v>
      </c>
      <c r="C229">
        <v>30</v>
      </c>
      <c r="D229">
        <v>0</v>
      </c>
      <c r="E229">
        <v>0</v>
      </c>
      <c r="F229">
        <v>0</v>
      </c>
      <c r="G229">
        <v>0</v>
      </c>
      <c r="H229">
        <v>30</v>
      </c>
      <c r="I229">
        <v>1</v>
      </c>
      <c r="K229" s="430"/>
    </row>
    <row r="230" spans="1:11" x14ac:dyDescent="0.25">
      <c r="A230" t="s">
        <v>10730</v>
      </c>
      <c r="B230" t="s">
        <v>10731</v>
      </c>
      <c r="C230">
        <v>94</v>
      </c>
      <c r="D230">
        <v>0</v>
      </c>
      <c r="E230">
        <v>0</v>
      </c>
      <c r="F230">
        <v>0</v>
      </c>
      <c r="G230">
        <v>0</v>
      </c>
      <c r="H230">
        <v>94</v>
      </c>
      <c r="I230">
        <v>3</v>
      </c>
      <c r="K230" s="430"/>
    </row>
    <row r="231" spans="1:11" x14ac:dyDescent="0.25">
      <c r="A231" t="s">
        <v>2595</v>
      </c>
      <c r="B231" t="s">
        <v>9849</v>
      </c>
      <c r="C231">
        <v>0</v>
      </c>
      <c r="D231">
        <v>0</v>
      </c>
      <c r="E231">
        <v>272</v>
      </c>
      <c r="F231">
        <v>0</v>
      </c>
      <c r="G231">
        <v>0</v>
      </c>
      <c r="H231">
        <v>272</v>
      </c>
      <c r="I231">
        <v>4</v>
      </c>
      <c r="K231" s="430"/>
    </row>
    <row r="232" spans="1:11" x14ac:dyDescent="0.25">
      <c r="A232" t="s">
        <v>2620</v>
      </c>
      <c r="B232" t="s">
        <v>1848</v>
      </c>
      <c r="C232">
        <v>8</v>
      </c>
      <c r="D232">
        <v>44</v>
      </c>
      <c r="E232">
        <v>436</v>
      </c>
      <c r="F232">
        <v>0</v>
      </c>
      <c r="G232">
        <v>0</v>
      </c>
      <c r="H232">
        <v>488</v>
      </c>
      <c r="I232">
        <v>7</v>
      </c>
      <c r="K232" s="430"/>
    </row>
    <row r="233" spans="1:11" x14ac:dyDescent="0.25">
      <c r="A233" t="s">
        <v>2763</v>
      </c>
      <c r="B233" t="s">
        <v>1663</v>
      </c>
      <c r="C233">
        <v>0</v>
      </c>
      <c r="D233">
        <v>0</v>
      </c>
      <c r="E233">
        <v>0</v>
      </c>
      <c r="F233">
        <v>38</v>
      </c>
      <c r="G233">
        <v>0</v>
      </c>
      <c r="H233">
        <v>38</v>
      </c>
      <c r="I233">
        <v>1</v>
      </c>
      <c r="K233" s="430"/>
    </row>
    <row r="234" spans="1:11" x14ac:dyDescent="0.25">
      <c r="A234" t="s">
        <v>2594</v>
      </c>
      <c r="B234" t="s">
        <v>1347</v>
      </c>
      <c r="C234">
        <v>0</v>
      </c>
      <c r="D234">
        <v>0</v>
      </c>
      <c r="E234">
        <v>55</v>
      </c>
      <c r="F234">
        <v>0</v>
      </c>
      <c r="G234">
        <v>0</v>
      </c>
      <c r="H234">
        <v>55</v>
      </c>
      <c r="I234">
        <v>3</v>
      </c>
      <c r="K234" s="430"/>
    </row>
    <row r="235" spans="1:11" x14ac:dyDescent="0.25">
      <c r="A235" t="s">
        <v>1938</v>
      </c>
      <c r="B235" t="s">
        <v>1545</v>
      </c>
      <c r="C235">
        <v>511</v>
      </c>
      <c r="D235">
        <v>0</v>
      </c>
      <c r="E235">
        <v>18</v>
      </c>
      <c r="F235">
        <v>0</v>
      </c>
      <c r="G235">
        <v>0</v>
      </c>
      <c r="H235">
        <v>529</v>
      </c>
      <c r="I235">
        <v>1</v>
      </c>
      <c r="K235" s="430"/>
    </row>
    <row r="236" spans="1:11" x14ac:dyDescent="0.25">
      <c r="A236" t="s">
        <v>2658</v>
      </c>
      <c r="B236" t="s">
        <v>1061</v>
      </c>
      <c r="C236">
        <v>0</v>
      </c>
      <c r="D236">
        <v>0</v>
      </c>
      <c r="E236">
        <v>0</v>
      </c>
      <c r="F236">
        <v>0</v>
      </c>
      <c r="G236">
        <v>0</v>
      </c>
      <c r="H236">
        <v>0</v>
      </c>
      <c r="I236">
        <v>0</v>
      </c>
      <c r="K236" s="430"/>
    </row>
    <row r="237" spans="1:11" x14ac:dyDescent="0.25">
      <c r="A237" t="s">
        <v>2015</v>
      </c>
      <c r="B237" t="s">
        <v>10810</v>
      </c>
      <c r="C237">
        <v>0</v>
      </c>
      <c r="D237">
        <v>0</v>
      </c>
      <c r="E237">
        <v>60</v>
      </c>
      <c r="F237">
        <v>0</v>
      </c>
      <c r="G237">
        <v>0</v>
      </c>
      <c r="H237">
        <v>60</v>
      </c>
      <c r="I237">
        <v>4</v>
      </c>
      <c r="K237" s="430"/>
    </row>
    <row r="238" spans="1:11" x14ac:dyDescent="0.25">
      <c r="A238" t="s">
        <v>2913</v>
      </c>
      <c r="B238" t="s">
        <v>11709</v>
      </c>
      <c r="C238">
        <v>0</v>
      </c>
      <c r="D238">
        <v>0</v>
      </c>
      <c r="E238">
        <v>0</v>
      </c>
      <c r="F238">
        <v>430</v>
      </c>
      <c r="G238">
        <v>0</v>
      </c>
      <c r="H238">
        <v>430</v>
      </c>
      <c r="I238">
        <v>6</v>
      </c>
      <c r="K238" s="430"/>
    </row>
    <row r="239" spans="1:11" x14ac:dyDescent="0.25">
      <c r="A239" t="s">
        <v>2958</v>
      </c>
      <c r="B239" t="s">
        <v>1665</v>
      </c>
      <c r="C239">
        <v>14</v>
      </c>
      <c r="D239">
        <v>0</v>
      </c>
      <c r="E239">
        <v>0</v>
      </c>
      <c r="F239">
        <v>0</v>
      </c>
      <c r="G239">
        <v>0</v>
      </c>
      <c r="H239">
        <v>14</v>
      </c>
      <c r="I239">
        <v>1</v>
      </c>
      <c r="K239" s="430"/>
    </row>
    <row r="240" spans="1:11" x14ac:dyDescent="0.25">
      <c r="A240" t="s">
        <v>2693</v>
      </c>
      <c r="B240" t="s">
        <v>1349</v>
      </c>
      <c r="C240">
        <v>107</v>
      </c>
      <c r="D240">
        <v>0</v>
      </c>
      <c r="E240">
        <v>6</v>
      </c>
      <c r="F240">
        <v>387</v>
      </c>
      <c r="G240">
        <v>0</v>
      </c>
      <c r="H240">
        <v>500</v>
      </c>
      <c r="I240">
        <v>1</v>
      </c>
      <c r="K240" s="430"/>
    </row>
    <row r="241" spans="1:11" x14ac:dyDescent="0.25">
      <c r="A241" t="s">
        <v>2085</v>
      </c>
      <c r="B241" t="s">
        <v>1352</v>
      </c>
      <c r="C241">
        <v>672</v>
      </c>
      <c r="D241">
        <v>0</v>
      </c>
      <c r="E241">
        <v>0</v>
      </c>
      <c r="F241">
        <v>0</v>
      </c>
      <c r="G241">
        <v>0</v>
      </c>
      <c r="H241">
        <v>672</v>
      </c>
      <c r="I241">
        <v>16</v>
      </c>
      <c r="K241" s="430"/>
    </row>
    <row r="242" spans="1:11" x14ac:dyDescent="0.25">
      <c r="A242" t="s">
        <v>3037</v>
      </c>
      <c r="B242" t="s">
        <v>1685</v>
      </c>
      <c r="C242">
        <v>0</v>
      </c>
      <c r="D242">
        <v>0</v>
      </c>
      <c r="E242">
        <v>0</v>
      </c>
      <c r="F242">
        <v>0</v>
      </c>
      <c r="G242">
        <v>0</v>
      </c>
      <c r="H242">
        <v>0</v>
      </c>
      <c r="I242">
        <v>0</v>
      </c>
      <c r="K242" s="430"/>
    </row>
    <row r="243" spans="1:11" x14ac:dyDescent="0.25">
      <c r="A243" t="s">
        <v>11776</v>
      </c>
      <c r="B243" t="s">
        <v>11682</v>
      </c>
      <c r="C243">
        <v>38</v>
      </c>
      <c r="D243">
        <v>0</v>
      </c>
      <c r="E243">
        <v>0</v>
      </c>
      <c r="F243">
        <v>0</v>
      </c>
      <c r="G243">
        <v>0</v>
      </c>
      <c r="H243">
        <v>38</v>
      </c>
      <c r="I243">
        <v>1</v>
      </c>
      <c r="K243" s="430"/>
    </row>
    <row r="244" spans="1:11" x14ac:dyDescent="0.25">
      <c r="A244" t="s">
        <v>2782</v>
      </c>
      <c r="B244" t="s">
        <v>1768</v>
      </c>
      <c r="C244">
        <v>0</v>
      </c>
      <c r="D244">
        <v>0</v>
      </c>
      <c r="E244">
        <v>0</v>
      </c>
      <c r="F244">
        <v>0</v>
      </c>
      <c r="G244">
        <v>0</v>
      </c>
      <c r="H244">
        <v>0</v>
      </c>
      <c r="I244">
        <v>0</v>
      </c>
      <c r="K244" s="430"/>
    </row>
    <row r="245" spans="1:11" x14ac:dyDescent="0.25">
      <c r="A245" t="s">
        <v>1956</v>
      </c>
      <c r="B245" t="s">
        <v>1852</v>
      </c>
      <c r="C245">
        <v>0</v>
      </c>
      <c r="D245">
        <v>0</v>
      </c>
      <c r="E245">
        <v>49</v>
      </c>
      <c r="F245">
        <v>0</v>
      </c>
      <c r="G245">
        <v>0</v>
      </c>
      <c r="H245">
        <v>49</v>
      </c>
      <c r="I245">
        <v>1</v>
      </c>
      <c r="K245" s="430"/>
    </row>
    <row r="246" spans="1:11" x14ac:dyDescent="0.25">
      <c r="A246" t="s">
        <v>2699</v>
      </c>
      <c r="B246" t="s">
        <v>1169</v>
      </c>
      <c r="C246">
        <v>0</v>
      </c>
      <c r="D246">
        <v>0</v>
      </c>
      <c r="E246">
        <v>0</v>
      </c>
      <c r="F246">
        <v>0</v>
      </c>
      <c r="G246">
        <v>0</v>
      </c>
      <c r="H246">
        <v>0</v>
      </c>
      <c r="I246">
        <v>0</v>
      </c>
      <c r="K246" s="430"/>
    </row>
    <row r="247" spans="1:11" x14ac:dyDescent="0.25">
      <c r="A247" t="s">
        <v>10753</v>
      </c>
      <c r="B247" t="s">
        <v>10754</v>
      </c>
      <c r="C247">
        <v>0</v>
      </c>
      <c r="D247">
        <v>0</v>
      </c>
      <c r="E247">
        <v>0</v>
      </c>
      <c r="F247">
        <v>0</v>
      </c>
      <c r="G247">
        <v>0</v>
      </c>
      <c r="H247">
        <v>0</v>
      </c>
      <c r="I247">
        <v>0</v>
      </c>
      <c r="K247" s="430"/>
    </row>
    <row r="248" spans="1:11" x14ac:dyDescent="0.25">
      <c r="A248" t="s">
        <v>1986</v>
      </c>
      <c r="B248" t="s">
        <v>11667</v>
      </c>
      <c r="C248">
        <v>0</v>
      </c>
      <c r="D248">
        <v>0</v>
      </c>
      <c r="E248">
        <v>0</v>
      </c>
      <c r="F248">
        <v>871</v>
      </c>
      <c r="G248">
        <v>0</v>
      </c>
      <c r="H248">
        <v>871</v>
      </c>
      <c r="I248">
        <v>10</v>
      </c>
      <c r="K248" s="430"/>
    </row>
    <row r="249" spans="1:11" x14ac:dyDescent="0.25">
      <c r="A249" t="s">
        <v>2900</v>
      </c>
      <c r="B249" t="s">
        <v>9816</v>
      </c>
      <c r="C249">
        <v>0</v>
      </c>
      <c r="D249">
        <v>0</v>
      </c>
      <c r="E249">
        <v>101</v>
      </c>
      <c r="F249">
        <v>0</v>
      </c>
      <c r="G249">
        <v>0</v>
      </c>
      <c r="H249">
        <v>101</v>
      </c>
      <c r="I249">
        <v>5</v>
      </c>
      <c r="K249" s="430"/>
    </row>
    <row r="250" spans="1:11" x14ac:dyDescent="0.25">
      <c r="A250" t="s">
        <v>2762</v>
      </c>
      <c r="B250" t="s">
        <v>1676</v>
      </c>
      <c r="C250">
        <v>58</v>
      </c>
      <c r="D250">
        <v>0</v>
      </c>
      <c r="E250">
        <v>0</v>
      </c>
      <c r="F250">
        <v>0</v>
      </c>
      <c r="G250">
        <v>0</v>
      </c>
      <c r="H250">
        <v>58</v>
      </c>
      <c r="I250">
        <v>4</v>
      </c>
      <c r="K250" s="430"/>
    </row>
    <row r="251" spans="1:11" x14ac:dyDescent="0.25">
      <c r="A251" t="s">
        <v>10761</v>
      </c>
      <c r="B251" t="s">
        <v>10762</v>
      </c>
      <c r="C251">
        <v>0</v>
      </c>
      <c r="D251">
        <v>0</v>
      </c>
      <c r="E251">
        <v>0</v>
      </c>
      <c r="F251">
        <v>0</v>
      </c>
      <c r="G251">
        <v>0</v>
      </c>
      <c r="H251">
        <v>0</v>
      </c>
      <c r="I251">
        <v>0</v>
      </c>
      <c r="K251" s="430"/>
    </row>
    <row r="252" spans="1:11" x14ac:dyDescent="0.25">
      <c r="A252" t="s">
        <v>2571</v>
      </c>
      <c r="B252" t="s">
        <v>1071</v>
      </c>
      <c r="C252">
        <v>0</v>
      </c>
      <c r="D252">
        <v>0</v>
      </c>
      <c r="E252">
        <v>256</v>
      </c>
      <c r="F252">
        <v>0</v>
      </c>
      <c r="G252">
        <v>0</v>
      </c>
      <c r="H252">
        <v>256</v>
      </c>
      <c r="I252">
        <v>22</v>
      </c>
      <c r="K252" s="430"/>
    </row>
    <row r="253" spans="1:11" x14ac:dyDescent="0.25">
      <c r="A253" t="s">
        <v>2281</v>
      </c>
      <c r="B253" t="s">
        <v>10765</v>
      </c>
      <c r="C253">
        <v>4</v>
      </c>
      <c r="D253">
        <v>0</v>
      </c>
      <c r="E253">
        <v>283</v>
      </c>
      <c r="F253">
        <v>0</v>
      </c>
      <c r="G253">
        <v>0</v>
      </c>
      <c r="H253">
        <v>287</v>
      </c>
      <c r="I253">
        <v>3</v>
      </c>
      <c r="K253" s="430"/>
    </row>
    <row r="254" spans="1:11" x14ac:dyDescent="0.25">
      <c r="A254" t="s">
        <v>3021</v>
      </c>
      <c r="B254" t="s">
        <v>1681</v>
      </c>
      <c r="C254">
        <v>150</v>
      </c>
      <c r="D254">
        <v>40</v>
      </c>
      <c r="E254">
        <v>244</v>
      </c>
      <c r="F254">
        <v>0</v>
      </c>
      <c r="G254">
        <v>0</v>
      </c>
      <c r="H254">
        <v>434</v>
      </c>
      <c r="I254">
        <v>5</v>
      </c>
      <c r="K254" s="430"/>
    </row>
    <row r="255" spans="1:11" x14ac:dyDescent="0.25">
      <c r="A255" t="s">
        <v>2253</v>
      </c>
      <c r="B255" t="s">
        <v>1179</v>
      </c>
      <c r="C255">
        <v>3</v>
      </c>
      <c r="D255">
        <v>0</v>
      </c>
      <c r="E255">
        <v>0</v>
      </c>
      <c r="F255">
        <v>26</v>
      </c>
      <c r="G255">
        <v>0</v>
      </c>
      <c r="H255">
        <v>29</v>
      </c>
      <c r="I255">
        <v>1</v>
      </c>
      <c r="K255" s="430"/>
    </row>
    <row r="256" spans="1:11" x14ac:dyDescent="0.25">
      <c r="A256" t="s">
        <v>2302</v>
      </c>
      <c r="B256" t="s">
        <v>1073</v>
      </c>
      <c r="C256">
        <v>4</v>
      </c>
      <c r="D256">
        <v>0</v>
      </c>
      <c r="E256">
        <v>0</v>
      </c>
      <c r="F256">
        <v>0</v>
      </c>
      <c r="G256">
        <v>0</v>
      </c>
      <c r="H256">
        <v>4</v>
      </c>
      <c r="I256">
        <v>1</v>
      </c>
      <c r="K256" s="430"/>
    </row>
    <row r="257" spans="1:11" x14ac:dyDescent="0.25">
      <c r="A257" t="s">
        <v>10767</v>
      </c>
      <c r="B257" t="s">
        <v>1369</v>
      </c>
      <c r="C257">
        <v>9</v>
      </c>
      <c r="D257">
        <v>0</v>
      </c>
      <c r="E257">
        <v>0</v>
      </c>
      <c r="F257">
        <v>0</v>
      </c>
      <c r="G257">
        <v>0</v>
      </c>
      <c r="H257">
        <v>9</v>
      </c>
      <c r="I257">
        <v>1</v>
      </c>
      <c r="K257" s="430"/>
    </row>
    <row r="258" spans="1:11" x14ac:dyDescent="0.25">
      <c r="A258" t="s">
        <v>2218</v>
      </c>
      <c r="B258" t="s">
        <v>1369</v>
      </c>
      <c r="C258">
        <v>0</v>
      </c>
      <c r="D258">
        <v>0</v>
      </c>
      <c r="E258">
        <v>0</v>
      </c>
      <c r="F258">
        <v>0</v>
      </c>
      <c r="G258">
        <v>0</v>
      </c>
      <c r="H258">
        <v>0</v>
      </c>
      <c r="I258">
        <v>0</v>
      </c>
      <c r="K258" s="430"/>
    </row>
    <row r="259" spans="1:11" x14ac:dyDescent="0.25">
      <c r="A259" t="s">
        <v>10771</v>
      </c>
      <c r="B259" t="s">
        <v>10772</v>
      </c>
      <c r="C259">
        <v>0</v>
      </c>
      <c r="D259">
        <v>0</v>
      </c>
      <c r="E259">
        <v>0</v>
      </c>
      <c r="F259">
        <v>0</v>
      </c>
      <c r="G259">
        <v>0</v>
      </c>
      <c r="H259">
        <v>0</v>
      </c>
      <c r="I259">
        <v>0</v>
      </c>
      <c r="K259" s="430"/>
    </row>
    <row r="260" spans="1:11" x14ac:dyDescent="0.25">
      <c r="A260" t="s">
        <v>9884</v>
      </c>
      <c r="B260" t="s">
        <v>9840</v>
      </c>
      <c r="C260">
        <v>18</v>
      </c>
      <c r="D260">
        <v>0</v>
      </c>
      <c r="E260">
        <v>14</v>
      </c>
      <c r="F260">
        <v>0</v>
      </c>
      <c r="G260">
        <v>0</v>
      </c>
      <c r="H260">
        <v>32</v>
      </c>
      <c r="I260">
        <v>1</v>
      </c>
      <c r="K260" s="430"/>
    </row>
    <row r="261" spans="1:11" x14ac:dyDescent="0.25">
      <c r="A261" t="s">
        <v>2870</v>
      </c>
      <c r="B261" t="s">
        <v>1554</v>
      </c>
      <c r="C261">
        <v>0</v>
      </c>
      <c r="D261">
        <v>0</v>
      </c>
      <c r="E261">
        <v>0</v>
      </c>
      <c r="F261">
        <v>0</v>
      </c>
      <c r="G261">
        <v>0</v>
      </c>
      <c r="H261">
        <v>0</v>
      </c>
      <c r="I261">
        <v>0</v>
      </c>
      <c r="K261" s="430"/>
    </row>
    <row r="262" spans="1:11" x14ac:dyDescent="0.25">
      <c r="A262" t="s">
        <v>2580</v>
      </c>
      <c r="B262" t="s">
        <v>1374</v>
      </c>
      <c r="C262">
        <v>2</v>
      </c>
      <c r="D262">
        <v>0</v>
      </c>
      <c r="E262">
        <v>812</v>
      </c>
      <c r="F262">
        <v>113</v>
      </c>
      <c r="G262">
        <v>0</v>
      </c>
      <c r="H262">
        <v>927</v>
      </c>
      <c r="I262">
        <v>14</v>
      </c>
      <c r="K262" s="430"/>
    </row>
    <row r="263" spans="1:11" x14ac:dyDescent="0.25">
      <c r="A263" t="s">
        <v>1950</v>
      </c>
      <c r="B263" t="s">
        <v>1078</v>
      </c>
      <c r="C263">
        <v>0</v>
      </c>
      <c r="D263">
        <v>0</v>
      </c>
      <c r="E263">
        <v>414</v>
      </c>
      <c r="F263">
        <v>0</v>
      </c>
      <c r="G263">
        <v>0</v>
      </c>
      <c r="H263">
        <v>414</v>
      </c>
      <c r="I263">
        <v>36</v>
      </c>
      <c r="K263" s="430"/>
    </row>
    <row r="264" spans="1:11" x14ac:dyDescent="0.25">
      <c r="A264" t="s">
        <v>2988</v>
      </c>
      <c r="B264" t="s">
        <v>1686</v>
      </c>
      <c r="C264">
        <v>0</v>
      </c>
      <c r="D264">
        <v>0</v>
      </c>
      <c r="E264">
        <v>727</v>
      </c>
      <c r="F264">
        <v>0</v>
      </c>
      <c r="G264">
        <v>0</v>
      </c>
      <c r="H264">
        <v>727</v>
      </c>
      <c r="I264">
        <v>12</v>
      </c>
      <c r="K264" s="430"/>
    </row>
    <row r="265" spans="1:11" x14ac:dyDescent="0.25">
      <c r="A265" t="s">
        <v>3018</v>
      </c>
      <c r="B265" t="s">
        <v>1447</v>
      </c>
      <c r="C265">
        <v>17</v>
      </c>
      <c r="D265">
        <v>0</v>
      </c>
      <c r="E265">
        <v>340</v>
      </c>
      <c r="F265">
        <v>0</v>
      </c>
      <c r="G265">
        <v>0</v>
      </c>
      <c r="H265">
        <v>357</v>
      </c>
      <c r="I265">
        <v>5</v>
      </c>
      <c r="K265" s="430"/>
    </row>
    <row r="266" spans="1:11" x14ac:dyDescent="0.25">
      <c r="A266" t="s">
        <v>2669</v>
      </c>
      <c r="B266" t="s">
        <v>9833</v>
      </c>
      <c r="C266">
        <v>0</v>
      </c>
      <c r="D266">
        <v>0</v>
      </c>
      <c r="E266">
        <v>0</v>
      </c>
      <c r="F266">
        <v>17</v>
      </c>
      <c r="G266">
        <v>0</v>
      </c>
      <c r="H266">
        <v>17</v>
      </c>
      <c r="I266">
        <v>1</v>
      </c>
      <c r="K266" s="430"/>
    </row>
    <row r="267" spans="1:11" x14ac:dyDescent="0.25">
      <c r="A267" t="s">
        <v>2716</v>
      </c>
      <c r="B267" t="s">
        <v>1687</v>
      </c>
      <c r="C267">
        <v>428</v>
      </c>
      <c r="D267">
        <v>0</v>
      </c>
      <c r="E267">
        <v>9</v>
      </c>
      <c r="F267">
        <v>0</v>
      </c>
      <c r="G267">
        <v>0</v>
      </c>
      <c r="H267">
        <v>437</v>
      </c>
      <c r="I267">
        <v>1</v>
      </c>
      <c r="K267" s="430"/>
    </row>
    <row r="268" spans="1:11" x14ac:dyDescent="0.25">
      <c r="A268" t="s">
        <v>10777</v>
      </c>
      <c r="B268" t="s">
        <v>10778</v>
      </c>
      <c r="C268">
        <v>0</v>
      </c>
      <c r="D268">
        <v>0</v>
      </c>
      <c r="E268">
        <v>0</v>
      </c>
      <c r="F268">
        <v>0</v>
      </c>
      <c r="G268">
        <v>0</v>
      </c>
      <c r="H268">
        <v>0</v>
      </c>
      <c r="I268">
        <v>0</v>
      </c>
      <c r="K268" s="430"/>
    </row>
    <row r="269" spans="1:11" x14ac:dyDescent="0.25">
      <c r="A269" t="s">
        <v>2675</v>
      </c>
      <c r="B269" t="s">
        <v>1379</v>
      </c>
      <c r="C269">
        <v>156</v>
      </c>
      <c r="D269">
        <v>0</v>
      </c>
      <c r="E269">
        <v>21</v>
      </c>
      <c r="F269">
        <v>152</v>
      </c>
      <c r="G269">
        <v>0</v>
      </c>
      <c r="H269">
        <v>329</v>
      </c>
      <c r="I269">
        <v>1</v>
      </c>
      <c r="K269" s="430"/>
    </row>
    <row r="270" spans="1:11" x14ac:dyDescent="0.25">
      <c r="A270" t="s">
        <v>2813</v>
      </c>
      <c r="B270" t="s">
        <v>1866</v>
      </c>
      <c r="C270">
        <v>485</v>
      </c>
      <c r="D270">
        <v>0</v>
      </c>
      <c r="E270">
        <v>0</v>
      </c>
      <c r="F270">
        <v>0</v>
      </c>
      <c r="G270">
        <v>0</v>
      </c>
      <c r="H270">
        <v>485</v>
      </c>
      <c r="I270">
        <v>5</v>
      </c>
      <c r="K270" s="430"/>
    </row>
    <row r="271" spans="1:11" x14ac:dyDescent="0.25">
      <c r="A271" t="s">
        <v>10781</v>
      </c>
      <c r="B271" t="s">
        <v>10782</v>
      </c>
      <c r="C271">
        <v>0</v>
      </c>
      <c r="D271">
        <v>0</v>
      </c>
      <c r="E271">
        <v>0</v>
      </c>
      <c r="F271">
        <v>0</v>
      </c>
      <c r="G271">
        <v>0</v>
      </c>
      <c r="H271">
        <v>0</v>
      </c>
      <c r="I271">
        <v>0</v>
      </c>
      <c r="K271" s="430"/>
    </row>
    <row r="272" spans="1:11" x14ac:dyDescent="0.25">
      <c r="A272" t="s">
        <v>2370</v>
      </c>
      <c r="B272" t="s">
        <v>1386</v>
      </c>
      <c r="C272">
        <v>91</v>
      </c>
      <c r="D272">
        <v>0</v>
      </c>
      <c r="E272">
        <v>0</v>
      </c>
      <c r="F272">
        <v>0</v>
      </c>
      <c r="G272">
        <v>0</v>
      </c>
      <c r="H272">
        <v>91</v>
      </c>
      <c r="I272">
        <v>3</v>
      </c>
      <c r="K272" s="430"/>
    </row>
    <row r="273" spans="1:11" x14ac:dyDescent="0.25">
      <c r="A273" t="s">
        <v>2625</v>
      </c>
      <c r="B273" t="s">
        <v>1387</v>
      </c>
      <c r="C273">
        <v>0</v>
      </c>
      <c r="D273">
        <v>0</v>
      </c>
      <c r="E273">
        <v>0</v>
      </c>
      <c r="F273">
        <v>0</v>
      </c>
      <c r="G273">
        <v>0</v>
      </c>
      <c r="H273">
        <v>0</v>
      </c>
      <c r="I273">
        <v>0</v>
      </c>
      <c r="K273" s="430"/>
    </row>
    <row r="274" spans="1:11" x14ac:dyDescent="0.25">
      <c r="A274" t="s">
        <v>2125</v>
      </c>
      <c r="B274" t="s">
        <v>1187</v>
      </c>
      <c r="C274">
        <v>11</v>
      </c>
      <c r="D274">
        <v>0</v>
      </c>
      <c r="E274">
        <v>4</v>
      </c>
      <c r="F274">
        <v>0</v>
      </c>
      <c r="G274">
        <v>0</v>
      </c>
      <c r="H274">
        <v>15</v>
      </c>
      <c r="I274">
        <v>1</v>
      </c>
      <c r="K274" s="430"/>
    </row>
    <row r="275" spans="1:11" x14ac:dyDescent="0.25">
      <c r="A275" t="s">
        <v>2662</v>
      </c>
      <c r="B275" t="s">
        <v>1559</v>
      </c>
      <c r="C275">
        <v>628</v>
      </c>
      <c r="D275">
        <v>0</v>
      </c>
      <c r="E275">
        <v>0</v>
      </c>
      <c r="F275">
        <v>0</v>
      </c>
      <c r="G275">
        <v>0</v>
      </c>
      <c r="H275">
        <v>628</v>
      </c>
      <c r="I275">
        <v>1</v>
      </c>
      <c r="K275" s="430"/>
    </row>
    <row r="276" spans="1:11" x14ac:dyDescent="0.25">
      <c r="A276" t="s">
        <v>2926</v>
      </c>
      <c r="B276" t="s">
        <v>1388</v>
      </c>
      <c r="C276">
        <v>0</v>
      </c>
      <c r="D276">
        <v>0</v>
      </c>
      <c r="E276">
        <v>0</v>
      </c>
      <c r="F276">
        <v>91</v>
      </c>
      <c r="G276">
        <v>0</v>
      </c>
      <c r="H276">
        <v>91</v>
      </c>
      <c r="I276">
        <v>2</v>
      </c>
      <c r="K276" s="430"/>
    </row>
    <row r="277" spans="1:11" x14ac:dyDescent="0.25">
      <c r="A277" t="s">
        <v>1945</v>
      </c>
      <c r="B277" t="s">
        <v>1389</v>
      </c>
      <c r="C277">
        <v>439</v>
      </c>
      <c r="D277">
        <v>0</v>
      </c>
      <c r="E277">
        <v>0</v>
      </c>
      <c r="F277">
        <v>0</v>
      </c>
      <c r="G277">
        <v>0</v>
      </c>
      <c r="H277">
        <v>439</v>
      </c>
      <c r="I277">
        <v>2</v>
      </c>
      <c r="K277" s="430"/>
    </row>
    <row r="278" spans="1:11" x14ac:dyDescent="0.25">
      <c r="A278" t="s">
        <v>2030</v>
      </c>
      <c r="B278" t="s">
        <v>1080</v>
      </c>
      <c r="C278">
        <v>0</v>
      </c>
      <c r="D278">
        <v>0</v>
      </c>
      <c r="E278">
        <v>656</v>
      </c>
      <c r="F278">
        <v>0</v>
      </c>
      <c r="G278">
        <v>0</v>
      </c>
      <c r="H278">
        <v>656</v>
      </c>
      <c r="I278">
        <v>62</v>
      </c>
      <c r="K278" s="430"/>
    </row>
    <row r="279" spans="1:11" x14ac:dyDescent="0.25">
      <c r="A279" t="s">
        <v>2978</v>
      </c>
      <c r="B279" t="s">
        <v>1390</v>
      </c>
      <c r="C279">
        <v>479</v>
      </c>
      <c r="D279">
        <v>0</v>
      </c>
      <c r="E279">
        <v>40</v>
      </c>
      <c r="F279">
        <v>0</v>
      </c>
      <c r="G279">
        <v>0</v>
      </c>
      <c r="H279">
        <v>519</v>
      </c>
      <c r="I279">
        <v>9</v>
      </c>
      <c r="K279" s="430"/>
    </row>
    <row r="280" spans="1:11" x14ac:dyDescent="0.25">
      <c r="A280" t="s">
        <v>10816</v>
      </c>
      <c r="B280" t="s">
        <v>10817</v>
      </c>
      <c r="C280">
        <v>0</v>
      </c>
      <c r="D280">
        <v>0</v>
      </c>
      <c r="E280">
        <v>0</v>
      </c>
      <c r="F280">
        <v>0</v>
      </c>
      <c r="G280">
        <v>0</v>
      </c>
      <c r="H280">
        <v>0</v>
      </c>
      <c r="I280">
        <v>0</v>
      </c>
      <c r="K280" s="430"/>
    </row>
    <row r="281" spans="1:11" x14ac:dyDescent="0.25">
      <c r="A281" t="s">
        <v>2796</v>
      </c>
      <c r="B281" t="s">
        <v>1794</v>
      </c>
      <c r="C281">
        <v>387</v>
      </c>
      <c r="D281">
        <v>0</v>
      </c>
      <c r="E281">
        <v>0</v>
      </c>
      <c r="F281">
        <v>0</v>
      </c>
      <c r="G281">
        <v>0</v>
      </c>
      <c r="H281">
        <v>387</v>
      </c>
      <c r="I281">
        <v>4</v>
      </c>
      <c r="K281" s="430"/>
    </row>
    <row r="282" spans="1:11" x14ac:dyDescent="0.25">
      <c r="A282" t="s">
        <v>2421</v>
      </c>
      <c r="B282" t="s">
        <v>1391</v>
      </c>
      <c r="C282">
        <v>83</v>
      </c>
      <c r="D282">
        <v>0</v>
      </c>
      <c r="E282">
        <v>0</v>
      </c>
      <c r="F282">
        <v>0</v>
      </c>
      <c r="G282">
        <v>0</v>
      </c>
      <c r="H282">
        <v>83</v>
      </c>
      <c r="I282">
        <v>1</v>
      </c>
      <c r="K282" s="430"/>
    </row>
    <row r="283" spans="1:11" x14ac:dyDescent="0.25">
      <c r="A283" t="s">
        <v>9885</v>
      </c>
      <c r="B283" t="s">
        <v>9814</v>
      </c>
      <c r="C283">
        <v>66</v>
      </c>
      <c r="D283">
        <v>0</v>
      </c>
      <c r="E283">
        <v>0</v>
      </c>
      <c r="F283">
        <v>0</v>
      </c>
      <c r="G283">
        <v>0</v>
      </c>
      <c r="H283">
        <v>66</v>
      </c>
      <c r="I283">
        <v>1</v>
      </c>
      <c r="K283" s="430"/>
    </row>
    <row r="284" spans="1:11" x14ac:dyDescent="0.25">
      <c r="A284" t="s">
        <v>2172</v>
      </c>
      <c r="B284" t="s">
        <v>1450</v>
      </c>
      <c r="C284">
        <v>7</v>
      </c>
      <c r="D284">
        <v>0</v>
      </c>
      <c r="E284">
        <v>0</v>
      </c>
      <c r="F284">
        <v>0</v>
      </c>
      <c r="G284">
        <v>0</v>
      </c>
      <c r="H284">
        <v>7</v>
      </c>
      <c r="I284">
        <v>1</v>
      </c>
      <c r="K284" s="430"/>
    </row>
    <row r="285" spans="1:11" x14ac:dyDescent="0.25">
      <c r="A285" t="s">
        <v>2788</v>
      </c>
      <c r="B285" t="s">
        <v>1695</v>
      </c>
      <c r="C285">
        <v>92</v>
      </c>
      <c r="D285">
        <v>0</v>
      </c>
      <c r="E285">
        <v>0</v>
      </c>
      <c r="F285">
        <v>0</v>
      </c>
      <c r="G285">
        <v>0</v>
      </c>
      <c r="H285">
        <v>92</v>
      </c>
      <c r="I285">
        <v>1</v>
      </c>
      <c r="K285" s="430"/>
    </row>
    <row r="286" spans="1:11" x14ac:dyDescent="0.25">
      <c r="A286" t="s">
        <v>14444</v>
      </c>
      <c r="B286" t="s">
        <v>14377</v>
      </c>
      <c r="C286">
        <v>26</v>
      </c>
      <c r="D286">
        <v>0</v>
      </c>
      <c r="E286">
        <v>157</v>
      </c>
      <c r="F286">
        <v>0</v>
      </c>
      <c r="G286">
        <v>0</v>
      </c>
      <c r="H286">
        <v>183</v>
      </c>
      <c r="I286">
        <v>23</v>
      </c>
      <c r="K286" s="430"/>
    </row>
    <row r="287" spans="1:11" x14ac:dyDescent="0.25">
      <c r="A287" t="s">
        <v>2695</v>
      </c>
      <c r="B287" t="s">
        <v>1561</v>
      </c>
      <c r="C287">
        <v>604</v>
      </c>
      <c r="D287">
        <v>0</v>
      </c>
      <c r="E287">
        <v>120</v>
      </c>
      <c r="F287">
        <v>113</v>
      </c>
      <c r="G287">
        <v>0</v>
      </c>
      <c r="H287">
        <v>837</v>
      </c>
      <c r="I287">
        <v>2</v>
      </c>
      <c r="K287" s="430"/>
    </row>
    <row r="288" spans="1:11" x14ac:dyDescent="0.25">
      <c r="A288" t="s">
        <v>10783</v>
      </c>
      <c r="B288" t="s">
        <v>10784</v>
      </c>
      <c r="C288">
        <v>8</v>
      </c>
      <c r="D288">
        <v>0</v>
      </c>
      <c r="E288">
        <v>0</v>
      </c>
      <c r="F288">
        <v>0</v>
      </c>
      <c r="G288">
        <v>0</v>
      </c>
      <c r="H288">
        <v>8</v>
      </c>
      <c r="I288">
        <v>1</v>
      </c>
      <c r="K288" s="430"/>
    </row>
    <row r="289" spans="1:11" x14ac:dyDescent="0.25">
      <c r="A289" t="s">
        <v>2750</v>
      </c>
      <c r="B289" t="s">
        <v>1396</v>
      </c>
      <c r="C289">
        <v>739</v>
      </c>
      <c r="D289">
        <v>20</v>
      </c>
      <c r="E289">
        <v>0</v>
      </c>
      <c r="F289">
        <v>182</v>
      </c>
      <c r="G289">
        <v>0</v>
      </c>
      <c r="H289">
        <v>941</v>
      </c>
      <c r="I289">
        <v>9</v>
      </c>
      <c r="K289" s="430"/>
    </row>
    <row r="290" spans="1:11" x14ac:dyDescent="0.25">
      <c r="A290" t="s">
        <v>3008</v>
      </c>
      <c r="B290" t="s">
        <v>1698</v>
      </c>
      <c r="C290">
        <v>0</v>
      </c>
      <c r="D290">
        <v>0</v>
      </c>
      <c r="E290">
        <v>0</v>
      </c>
      <c r="F290">
        <v>0</v>
      </c>
      <c r="G290">
        <v>0</v>
      </c>
      <c r="H290">
        <v>0</v>
      </c>
      <c r="I290">
        <v>0</v>
      </c>
      <c r="K290" s="430"/>
    </row>
    <row r="291" spans="1:11" x14ac:dyDescent="0.25">
      <c r="A291" t="s">
        <v>10788</v>
      </c>
      <c r="B291" t="s">
        <v>10789</v>
      </c>
      <c r="C291">
        <v>0</v>
      </c>
      <c r="D291">
        <v>0</v>
      </c>
      <c r="E291">
        <v>0</v>
      </c>
      <c r="F291">
        <v>0</v>
      </c>
      <c r="G291">
        <v>0</v>
      </c>
      <c r="H291">
        <v>0</v>
      </c>
      <c r="I291">
        <v>0</v>
      </c>
      <c r="K291" s="430"/>
    </row>
    <row r="292" spans="1:11" x14ac:dyDescent="0.25">
      <c r="A292" t="s">
        <v>10790</v>
      </c>
      <c r="B292" t="s">
        <v>10791</v>
      </c>
      <c r="C292">
        <v>0</v>
      </c>
      <c r="D292">
        <v>0</v>
      </c>
      <c r="E292">
        <v>0</v>
      </c>
      <c r="F292">
        <v>0</v>
      </c>
      <c r="G292">
        <v>0</v>
      </c>
      <c r="H292">
        <v>0</v>
      </c>
      <c r="I292">
        <v>0</v>
      </c>
      <c r="K292" s="430"/>
    </row>
    <row r="293" spans="1:11" x14ac:dyDescent="0.25">
      <c r="A293" t="s">
        <v>2725</v>
      </c>
      <c r="B293" t="s">
        <v>1016</v>
      </c>
      <c r="C293">
        <v>1736</v>
      </c>
      <c r="D293">
        <v>0</v>
      </c>
      <c r="E293">
        <v>84</v>
      </c>
      <c r="F293">
        <v>2367</v>
      </c>
      <c r="G293">
        <v>670</v>
      </c>
      <c r="H293">
        <v>4857</v>
      </c>
      <c r="I293">
        <v>25</v>
      </c>
      <c r="K293" s="430"/>
    </row>
    <row r="294" spans="1:11" x14ac:dyDescent="0.25">
      <c r="A294" t="s">
        <v>2719</v>
      </c>
      <c r="B294" t="s">
        <v>11723</v>
      </c>
      <c r="C294">
        <v>2047</v>
      </c>
      <c r="D294">
        <v>2</v>
      </c>
      <c r="E294">
        <v>161</v>
      </c>
      <c r="F294">
        <v>212</v>
      </c>
      <c r="G294">
        <v>137</v>
      </c>
      <c r="H294">
        <v>2559</v>
      </c>
      <c r="I294">
        <v>7</v>
      </c>
      <c r="K294" s="430"/>
    </row>
    <row r="295" spans="1:11" x14ac:dyDescent="0.25">
      <c r="A295" t="s">
        <v>2924</v>
      </c>
      <c r="B295" t="s">
        <v>1195</v>
      </c>
      <c r="C295">
        <v>9087</v>
      </c>
      <c r="D295">
        <v>2</v>
      </c>
      <c r="E295">
        <v>749</v>
      </c>
      <c r="F295">
        <v>306</v>
      </c>
      <c r="G295">
        <v>1923</v>
      </c>
      <c r="H295">
        <v>12067</v>
      </c>
      <c r="I295">
        <v>45</v>
      </c>
      <c r="K295" s="430"/>
    </row>
    <row r="296" spans="1:11" x14ac:dyDescent="0.25">
      <c r="A296" t="s">
        <v>3039</v>
      </c>
      <c r="B296" t="s">
        <v>1564</v>
      </c>
      <c r="C296">
        <v>59</v>
      </c>
      <c r="D296">
        <v>0</v>
      </c>
      <c r="E296">
        <v>0</v>
      </c>
      <c r="F296">
        <v>0</v>
      </c>
      <c r="G296">
        <v>1060</v>
      </c>
      <c r="H296">
        <v>1119</v>
      </c>
      <c r="I296">
        <v>24</v>
      </c>
      <c r="K296" s="430"/>
    </row>
    <row r="297" spans="1:11" x14ac:dyDescent="0.25">
      <c r="A297" t="s">
        <v>3004</v>
      </c>
      <c r="B297" t="s">
        <v>1196</v>
      </c>
      <c r="C297">
        <v>10100</v>
      </c>
      <c r="D297">
        <v>0</v>
      </c>
      <c r="E297">
        <v>226</v>
      </c>
      <c r="F297">
        <v>619</v>
      </c>
      <c r="G297">
        <v>985</v>
      </c>
      <c r="H297">
        <v>11930</v>
      </c>
      <c r="I297">
        <v>39</v>
      </c>
      <c r="K297" s="430"/>
    </row>
    <row r="298" spans="1:11" x14ac:dyDescent="0.25">
      <c r="A298" t="s">
        <v>10567</v>
      </c>
      <c r="B298" t="s">
        <v>10568</v>
      </c>
      <c r="C298">
        <v>20075</v>
      </c>
      <c r="D298">
        <v>64</v>
      </c>
      <c r="E298">
        <v>145</v>
      </c>
      <c r="F298">
        <v>2772</v>
      </c>
      <c r="G298">
        <v>1841</v>
      </c>
      <c r="H298">
        <v>24897</v>
      </c>
      <c r="I298">
        <v>32</v>
      </c>
      <c r="K298" s="430"/>
    </row>
    <row r="299" spans="1:11" x14ac:dyDescent="0.25">
      <c r="A299" t="s">
        <v>2956</v>
      </c>
      <c r="B299" t="s">
        <v>971</v>
      </c>
      <c r="C299">
        <v>16249</v>
      </c>
      <c r="D299">
        <v>0</v>
      </c>
      <c r="E299">
        <v>14</v>
      </c>
      <c r="F299">
        <v>1845</v>
      </c>
      <c r="G299">
        <v>1329</v>
      </c>
      <c r="H299">
        <v>19437</v>
      </c>
      <c r="I299">
        <v>61</v>
      </c>
      <c r="K299" s="430"/>
    </row>
    <row r="300" spans="1:11" x14ac:dyDescent="0.25">
      <c r="A300" t="s">
        <v>2842</v>
      </c>
      <c r="B300" t="s">
        <v>972</v>
      </c>
      <c r="C300">
        <v>5848</v>
      </c>
      <c r="D300">
        <v>1</v>
      </c>
      <c r="E300">
        <v>6</v>
      </c>
      <c r="F300">
        <v>252</v>
      </c>
      <c r="G300">
        <v>612</v>
      </c>
      <c r="H300">
        <v>6719</v>
      </c>
      <c r="I300">
        <v>18</v>
      </c>
      <c r="K300" s="430"/>
    </row>
    <row r="301" spans="1:11" x14ac:dyDescent="0.25">
      <c r="A301" t="s">
        <v>2923</v>
      </c>
      <c r="B301" t="s">
        <v>926</v>
      </c>
      <c r="C301">
        <v>4</v>
      </c>
      <c r="D301">
        <v>0</v>
      </c>
      <c r="E301">
        <v>1458</v>
      </c>
      <c r="F301">
        <v>0</v>
      </c>
      <c r="G301">
        <v>727</v>
      </c>
      <c r="H301">
        <v>2189</v>
      </c>
      <c r="I301">
        <v>147</v>
      </c>
      <c r="K301" s="430"/>
    </row>
    <row r="302" spans="1:11" x14ac:dyDescent="0.25">
      <c r="A302" t="s">
        <v>2805</v>
      </c>
      <c r="B302" t="s">
        <v>1454</v>
      </c>
      <c r="C302">
        <v>959</v>
      </c>
      <c r="D302">
        <v>0</v>
      </c>
      <c r="E302">
        <v>0</v>
      </c>
      <c r="F302">
        <v>147</v>
      </c>
      <c r="G302">
        <v>6</v>
      </c>
      <c r="H302">
        <v>1112</v>
      </c>
      <c r="I302">
        <v>3</v>
      </c>
      <c r="K302" s="430"/>
    </row>
    <row r="303" spans="1:11" x14ac:dyDescent="0.25">
      <c r="A303" t="s">
        <v>2936</v>
      </c>
      <c r="B303" t="s">
        <v>976</v>
      </c>
      <c r="C303">
        <v>1173</v>
      </c>
      <c r="D303">
        <v>0</v>
      </c>
      <c r="E303">
        <v>44</v>
      </c>
      <c r="F303">
        <v>0</v>
      </c>
      <c r="G303">
        <v>107</v>
      </c>
      <c r="H303">
        <v>1324</v>
      </c>
      <c r="I303">
        <v>4</v>
      </c>
      <c r="K303" s="430"/>
    </row>
    <row r="304" spans="1:11" x14ac:dyDescent="0.25">
      <c r="A304" t="s">
        <v>2844</v>
      </c>
      <c r="B304" t="s">
        <v>1456</v>
      </c>
      <c r="C304">
        <v>8273</v>
      </c>
      <c r="D304">
        <v>0</v>
      </c>
      <c r="E304">
        <v>6</v>
      </c>
      <c r="F304">
        <v>582</v>
      </c>
      <c r="G304">
        <v>503</v>
      </c>
      <c r="H304">
        <v>9364</v>
      </c>
      <c r="I304">
        <v>9</v>
      </c>
      <c r="K304" s="430"/>
    </row>
    <row r="305" spans="1:12" x14ac:dyDescent="0.25">
      <c r="A305" t="s">
        <v>2875</v>
      </c>
      <c r="B305" t="s">
        <v>1090</v>
      </c>
      <c r="C305">
        <v>3827</v>
      </c>
      <c r="D305">
        <v>0</v>
      </c>
      <c r="E305">
        <v>0</v>
      </c>
      <c r="F305">
        <v>276</v>
      </c>
      <c r="G305">
        <v>438</v>
      </c>
      <c r="H305">
        <v>4541</v>
      </c>
      <c r="I305">
        <v>11</v>
      </c>
      <c r="K305" s="430"/>
    </row>
    <row r="306" spans="1:12" x14ac:dyDescent="0.25">
      <c r="A306" t="s">
        <v>2134</v>
      </c>
      <c r="B306" t="s">
        <v>1406</v>
      </c>
      <c r="C306">
        <v>18155</v>
      </c>
      <c r="D306">
        <v>0</v>
      </c>
      <c r="E306">
        <v>0</v>
      </c>
      <c r="F306">
        <v>0</v>
      </c>
      <c r="G306">
        <v>16</v>
      </c>
      <c r="H306">
        <v>18171</v>
      </c>
      <c r="I306">
        <v>5</v>
      </c>
      <c r="K306" s="430"/>
    </row>
    <row r="307" spans="1:12" x14ac:dyDescent="0.25">
      <c r="A307" t="s">
        <v>2109</v>
      </c>
      <c r="B307" t="s">
        <v>1407</v>
      </c>
      <c r="C307">
        <v>9562</v>
      </c>
      <c r="D307">
        <v>0</v>
      </c>
      <c r="E307">
        <v>623</v>
      </c>
      <c r="F307">
        <v>3142</v>
      </c>
      <c r="G307">
        <v>380</v>
      </c>
      <c r="H307">
        <v>13707</v>
      </c>
      <c r="I307">
        <v>12</v>
      </c>
      <c r="K307" s="430"/>
    </row>
    <row r="308" spans="1:12" x14ac:dyDescent="0.25">
      <c r="A308" t="s">
        <v>3028</v>
      </c>
      <c r="B308" t="s">
        <v>1408</v>
      </c>
      <c r="C308">
        <v>14608</v>
      </c>
      <c r="D308">
        <v>0</v>
      </c>
      <c r="E308">
        <v>130</v>
      </c>
      <c r="F308">
        <v>278</v>
      </c>
      <c r="G308">
        <v>312</v>
      </c>
      <c r="H308">
        <v>15328</v>
      </c>
      <c r="I308">
        <v>6</v>
      </c>
      <c r="K308" s="430"/>
    </row>
    <row r="309" spans="1:12" x14ac:dyDescent="0.25">
      <c r="A309" t="s">
        <v>2754</v>
      </c>
      <c r="B309" t="s">
        <v>1802</v>
      </c>
      <c r="C309">
        <v>1666</v>
      </c>
      <c r="D309">
        <v>0</v>
      </c>
      <c r="E309">
        <v>87</v>
      </c>
      <c r="F309">
        <v>229</v>
      </c>
      <c r="G309">
        <v>132</v>
      </c>
      <c r="H309">
        <v>2114</v>
      </c>
      <c r="I309">
        <v>5</v>
      </c>
      <c r="K309" s="430"/>
    </row>
    <row r="310" spans="1:12" x14ac:dyDescent="0.25">
      <c r="A310" t="s">
        <v>1927</v>
      </c>
      <c r="B310" t="s">
        <v>1461</v>
      </c>
      <c r="C310">
        <v>16393</v>
      </c>
      <c r="D310">
        <v>10</v>
      </c>
      <c r="E310">
        <v>108</v>
      </c>
      <c r="F310">
        <v>2271</v>
      </c>
      <c r="G310">
        <v>198</v>
      </c>
      <c r="H310">
        <v>18980</v>
      </c>
      <c r="I310">
        <v>16</v>
      </c>
      <c r="K310" s="430"/>
    </row>
    <row r="311" spans="1:12" x14ac:dyDescent="0.25">
      <c r="A311" t="s">
        <v>2917</v>
      </c>
      <c r="B311" t="s">
        <v>1581</v>
      </c>
      <c r="C311">
        <v>463</v>
      </c>
      <c r="D311">
        <v>16</v>
      </c>
      <c r="E311">
        <v>709</v>
      </c>
      <c r="F311">
        <v>0</v>
      </c>
      <c r="G311">
        <v>27</v>
      </c>
      <c r="H311">
        <v>1215</v>
      </c>
      <c r="I311">
        <v>10</v>
      </c>
      <c r="K311" s="430"/>
    </row>
    <row r="312" spans="1:12" x14ac:dyDescent="0.25">
      <c r="A312" t="s">
        <v>2688</v>
      </c>
      <c r="B312" t="s">
        <v>1804</v>
      </c>
      <c r="C312">
        <v>3050</v>
      </c>
      <c r="D312">
        <v>0</v>
      </c>
      <c r="E312">
        <v>9</v>
      </c>
      <c r="F312">
        <v>262</v>
      </c>
      <c r="G312">
        <v>137</v>
      </c>
      <c r="H312">
        <v>3458</v>
      </c>
      <c r="I312">
        <v>2</v>
      </c>
      <c r="K312" s="430"/>
    </row>
    <row r="313" spans="1:12" x14ac:dyDescent="0.25">
      <c r="A313" t="s">
        <v>2808</v>
      </c>
      <c r="B313" t="s">
        <v>9836</v>
      </c>
      <c r="C313">
        <v>2890</v>
      </c>
      <c r="D313">
        <v>0</v>
      </c>
      <c r="E313">
        <v>166</v>
      </c>
      <c r="F313">
        <v>38</v>
      </c>
      <c r="G313">
        <v>199</v>
      </c>
      <c r="H313">
        <v>3293</v>
      </c>
      <c r="I313">
        <v>7</v>
      </c>
      <c r="K313" s="430"/>
    </row>
    <row r="314" spans="1:12" x14ac:dyDescent="0.25">
      <c r="A314" t="s">
        <v>2993</v>
      </c>
      <c r="B314" t="s">
        <v>1411</v>
      </c>
      <c r="C314">
        <v>6075</v>
      </c>
      <c r="D314">
        <v>8</v>
      </c>
      <c r="E314">
        <v>336</v>
      </c>
      <c r="F314">
        <v>0</v>
      </c>
      <c r="G314">
        <v>364</v>
      </c>
      <c r="H314">
        <v>6783</v>
      </c>
      <c r="I314">
        <v>7</v>
      </c>
      <c r="K314" s="430"/>
    </row>
    <row r="315" spans="1:12" x14ac:dyDescent="0.25">
      <c r="A315" t="s">
        <v>2641</v>
      </c>
      <c r="B315" t="s">
        <v>1099</v>
      </c>
      <c r="C315">
        <v>4406</v>
      </c>
      <c r="D315">
        <v>4</v>
      </c>
      <c r="E315">
        <v>140</v>
      </c>
      <c r="F315">
        <v>599</v>
      </c>
      <c r="G315">
        <v>331</v>
      </c>
      <c r="H315">
        <v>5480</v>
      </c>
      <c r="I315">
        <v>10</v>
      </c>
      <c r="K315" s="430"/>
    </row>
    <row r="316" spans="1:12" x14ac:dyDescent="0.25">
      <c r="A316" t="s">
        <v>3032</v>
      </c>
      <c r="B316" t="s">
        <v>1808</v>
      </c>
      <c r="C316">
        <v>2882</v>
      </c>
      <c r="D316">
        <v>0</v>
      </c>
      <c r="E316">
        <v>3</v>
      </c>
      <c r="F316">
        <v>914</v>
      </c>
      <c r="G316">
        <v>264</v>
      </c>
      <c r="H316">
        <v>4063</v>
      </c>
      <c r="I316">
        <v>5</v>
      </c>
      <c r="K316" s="430"/>
    </row>
    <row r="317" spans="1:12" x14ac:dyDescent="0.25">
      <c r="A317" t="s">
        <v>2846</v>
      </c>
      <c r="B317" t="s">
        <v>1463</v>
      </c>
      <c r="C317">
        <v>3892</v>
      </c>
      <c r="D317">
        <v>0</v>
      </c>
      <c r="E317">
        <v>339</v>
      </c>
      <c r="F317">
        <v>1141</v>
      </c>
      <c r="G317">
        <v>2</v>
      </c>
      <c r="H317">
        <v>5374</v>
      </c>
      <c r="I317">
        <v>10</v>
      </c>
      <c r="K317" s="430"/>
    </row>
    <row r="318" spans="1:12" x14ac:dyDescent="0.25">
      <c r="A318" t="s">
        <v>2099</v>
      </c>
      <c r="B318" t="s">
        <v>1412</v>
      </c>
      <c r="C318">
        <v>5523</v>
      </c>
      <c r="D318">
        <v>0</v>
      </c>
      <c r="E318">
        <v>23</v>
      </c>
      <c r="F318">
        <v>681</v>
      </c>
      <c r="G318">
        <v>407</v>
      </c>
      <c r="H318">
        <v>6634</v>
      </c>
      <c r="I318">
        <v>11</v>
      </c>
      <c r="K318" s="430"/>
    </row>
    <row r="319" spans="1:12" x14ac:dyDescent="0.25">
      <c r="A319" t="s">
        <v>2565</v>
      </c>
      <c r="B319" t="s">
        <v>1218</v>
      </c>
      <c r="C319">
        <v>419</v>
      </c>
      <c r="D319">
        <v>0</v>
      </c>
      <c r="E319">
        <v>165</v>
      </c>
      <c r="F319">
        <v>1206</v>
      </c>
      <c r="G319">
        <v>38</v>
      </c>
      <c r="H319">
        <v>1828</v>
      </c>
      <c r="I319">
        <v>16</v>
      </c>
      <c r="L319" s="215"/>
    </row>
    <row r="320" spans="1:12" x14ac:dyDescent="0.25">
      <c r="A320" t="s">
        <v>2855</v>
      </c>
      <c r="B320" t="s">
        <v>1100</v>
      </c>
      <c r="C320">
        <v>9520</v>
      </c>
      <c r="D320">
        <v>0</v>
      </c>
      <c r="E320">
        <v>38</v>
      </c>
      <c r="F320">
        <v>0</v>
      </c>
      <c r="G320">
        <v>499</v>
      </c>
      <c r="H320">
        <v>10057</v>
      </c>
      <c r="I320">
        <v>16</v>
      </c>
    </row>
    <row r="321" spans="1:9" x14ac:dyDescent="0.25">
      <c r="A321" t="s">
        <v>2881</v>
      </c>
      <c r="B321" t="s">
        <v>987</v>
      </c>
      <c r="C321">
        <v>3958</v>
      </c>
      <c r="D321">
        <v>0</v>
      </c>
      <c r="E321">
        <v>5</v>
      </c>
      <c r="F321">
        <v>1182</v>
      </c>
      <c r="G321">
        <v>121</v>
      </c>
      <c r="H321">
        <v>5266</v>
      </c>
      <c r="I321">
        <v>3</v>
      </c>
    </row>
    <row r="322" spans="1:9" x14ac:dyDescent="0.25">
      <c r="A322" t="s">
        <v>2932</v>
      </c>
      <c r="B322" t="s">
        <v>1224</v>
      </c>
      <c r="C322">
        <v>964</v>
      </c>
      <c r="D322">
        <v>0</v>
      </c>
      <c r="E322">
        <v>186</v>
      </c>
      <c r="F322">
        <v>236</v>
      </c>
      <c r="G322">
        <v>17</v>
      </c>
      <c r="H322">
        <v>1403</v>
      </c>
      <c r="I322">
        <v>4</v>
      </c>
    </row>
    <row r="323" spans="1:9" x14ac:dyDescent="0.25">
      <c r="A323" t="s">
        <v>2136</v>
      </c>
      <c r="B323" t="s">
        <v>1715</v>
      </c>
      <c r="C323">
        <v>26849</v>
      </c>
      <c r="D323">
        <v>0</v>
      </c>
      <c r="E323">
        <v>445</v>
      </c>
      <c r="F323">
        <v>709</v>
      </c>
      <c r="G323">
        <v>1670</v>
      </c>
      <c r="H323">
        <v>29673</v>
      </c>
      <c r="I323">
        <v>25</v>
      </c>
    </row>
    <row r="324" spans="1:9" x14ac:dyDescent="0.25">
      <c r="A324" t="s">
        <v>2106</v>
      </c>
      <c r="B324" t="s">
        <v>933</v>
      </c>
      <c r="C324">
        <v>89257</v>
      </c>
      <c r="D324">
        <v>652</v>
      </c>
      <c r="E324">
        <v>1302</v>
      </c>
      <c r="F324">
        <v>6203</v>
      </c>
      <c r="G324">
        <v>11352</v>
      </c>
      <c r="H324">
        <v>108766</v>
      </c>
      <c r="I324">
        <v>162</v>
      </c>
    </row>
    <row r="325" spans="1:9" x14ac:dyDescent="0.25">
      <c r="A325" t="s">
        <v>3006</v>
      </c>
      <c r="B325" t="s">
        <v>1718</v>
      </c>
      <c r="C325">
        <v>3656</v>
      </c>
      <c r="D325">
        <v>0</v>
      </c>
      <c r="E325">
        <v>162</v>
      </c>
      <c r="F325">
        <v>798</v>
      </c>
      <c r="G325">
        <v>606</v>
      </c>
      <c r="H325">
        <v>5222</v>
      </c>
      <c r="I325">
        <v>1</v>
      </c>
    </row>
    <row r="326" spans="1:9" x14ac:dyDescent="0.25">
      <c r="A326" t="s">
        <v>2859</v>
      </c>
      <c r="B326" t="s">
        <v>1470</v>
      </c>
      <c r="C326">
        <v>5753</v>
      </c>
      <c r="D326">
        <v>0</v>
      </c>
      <c r="E326">
        <v>0</v>
      </c>
      <c r="F326">
        <v>0</v>
      </c>
      <c r="G326">
        <v>2</v>
      </c>
      <c r="H326">
        <v>5755</v>
      </c>
      <c r="I326">
        <v>2</v>
      </c>
    </row>
    <row r="327" spans="1:9" x14ac:dyDescent="0.25">
      <c r="A327" t="s">
        <v>2877</v>
      </c>
      <c r="B327" t="s">
        <v>1473</v>
      </c>
      <c r="C327">
        <v>6157</v>
      </c>
      <c r="D327">
        <v>0</v>
      </c>
      <c r="E327">
        <v>199</v>
      </c>
      <c r="F327">
        <v>481</v>
      </c>
      <c r="G327">
        <v>89</v>
      </c>
      <c r="H327">
        <v>6926</v>
      </c>
      <c r="I327">
        <v>6</v>
      </c>
    </row>
    <row r="328" spans="1:9" x14ac:dyDescent="0.25">
      <c r="A328" t="s">
        <v>2783</v>
      </c>
      <c r="B328" t="s">
        <v>1879</v>
      </c>
      <c r="C328">
        <v>2023</v>
      </c>
      <c r="D328">
        <v>8</v>
      </c>
      <c r="E328">
        <v>226</v>
      </c>
      <c r="F328">
        <v>812</v>
      </c>
      <c r="G328">
        <v>262</v>
      </c>
      <c r="H328">
        <v>3331</v>
      </c>
      <c r="I328">
        <v>5</v>
      </c>
    </row>
    <row r="329" spans="1:9" x14ac:dyDescent="0.25">
      <c r="A329" t="s">
        <v>3026</v>
      </c>
      <c r="B329" t="s">
        <v>9841</v>
      </c>
      <c r="C329">
        <v>8666</v>
      </c>
      <c r="D329">
        <v>0</v>
      </c>
      <c r="E329">
        <v>123</v>
      </c>
      <c r="F329">
        <v>1514</v>
      </c>
      <c r="G329">
        <v>478</v>
      </c>
      <c r="H329">
        <v>10781</v>
      </c>
      <c r="I329">
        <v>3</v>
      </c>
    </row>
    <row r="330" spans="1:9" x14ac:dyDescent="0.25">
      <c r="A330" t="s">
        <v>2655</v>
      </c>
      <c r="B330" t="s">
        <v>1720</v>
      </c>
      <c r="C330">
        <v>1333</v>
      </c>
      <c r="D330">
        <v>0</v>
      </c>
      <c r="E330">
        <v>0</v>
      </c>
      <c r="F330">
        <v>0</v>
      </c>
      <c r="G330">
        <v>55</v>
      </c>
      <c r="H330">
        <v>1388</v>
      </c>
      <c r="I330">
        <v>4</v>
      </c>
    </row>
    <row r="331" spans="1:9" x14ac:dyDescent="0.25">
      <c r="A331" t="s">
        <v>2853</v>
      </c>
      <c r="B331" t="s">
        <v>1590</v>
      </c>
      <c r="C331">
        <v>5128</v>
      </c>
      <c r="D331">
        <v>0</v>
      </c>
      <c r="E331">
        <v>0</v>
      </c>
      <c r="F331">
        <v>0</v>
      </c>
      <c r="G331">
        <v>535</v>
      </c>
      <c r="H331">
        <v>5663</v>
      </c>
      <c r="I331">
        <v>9</v>
      </c>
    </row>
    <row r="332" spans="1:9" x14ac:dyDescent="0.25">
      <c r="A332" t="s">
        <v>3033</v>
      </c>
      <c r="B332" t="s">
        <v>992</v>
      </c>
      <c r="C332">
        <v>9787</v>
      </c>
      <c r="D332">
        <v>6</v>
      </c>
      <c r="E332">
        <v>158</v>
      </c>
      <c r="F332">
        <v>1209</v>
      </c>
      <c r="G332">
        <v>1326</v>
      </c>
      <c r="H332">
        <v>12486</v>
      </c>
      <c r="I332">
        <v>12</v>
      </c>
    </row>
    <row r="333" spans="1:9" x14ac:dyDescent="0.25">
      <c r="A333" t="s">
        <v>2929</v>
      </c>
      <c r="B333" t="s">
        <v>1229</v>
      </c>
      <c r="C333">
        <v>922</v>
      </c>
      <c r="D333">
        <v>0</v>
      </c>
      <c r="E333">
        <v>129</v>
      </c>
      <c r="F333">
        <v>317</v>
      </c>
      <c r="G333">
        <v>76</v>
      </c>
      <c r="H333">
        <v>1444</v>
      </c>
      <c r="I333">
        <v>3</v>
      </c>
    </row>
    <row r="334" spans="1:9" x14ac:dyDescent="0.25">
      <c r="A334" t="s">
        <v>3010</v>
      </c>
      <c r="B334" t="s">
        <v>1725</v>
      </c>
      <c r="C334">
        <v>10035</v>
      </c>
      <c r="D334">
        <v>0</v>
      </c>
      <c r="E334">
        <v>229</v>
      </c>
      <c r="F334">
        <v>1866</v>
      </c>
      <c r="G334">
        <v>855</v>
      </c>
      <c r="H334">
        <v>12985</v>
      </c>
      <c r="I334">
        <v>6</v>
      </c>
    </row>
    <row r="335" spans="1:9" x14ac:dyDescent="0.25">
      <c r="A335" t="s">
        <v>10618</v>
      </c>
      <c r="B335" t="s">
        <v>1415</v>
      </c>
      <c r="C335">
        <v>1695</v>
      </c>
      <c r="D335">
        <v>0</v>
      </c>
      <c r="E335">
        <v>0</v>
      </c>
      <c r="F335">
        <v>62</v>
      </c>
      <c r="G335">
        <v>3</v>
      </c>
      <c r="H335">
        <v>1760</v>
      </c>
      <c r="I335">
        <v>4</v>
      </c>
    </row>
    <row r="336" spans="1:9" x14ac:dyDescent="0.25">
      <c r="A336" t="s">
        <v>2033</v>
      </c>
      <c r="B336" t="s">
        <v>997</v>
      </c>
      <c r="C336">
        <v>12020</v>
      </c>
      <c r="D336">
        <v>0</v>
      </c>
      <c r="E336">
        <v>661</v>
      </c>
      <c r="F336">
        <v>3593</v>
      </c>
      <c r="G336">
        <v>2204</v>
      </c>
      <c r="H336">
        <v>18478</v>
      </c>
      <c r="I336">
        <v>39</v>
      </c>
    </row>
    <row r="337" spans="1:9" x14ac:dyDescent="0.25">
      <c r="A337" t="s">
        <v>2868</v>
      </c>
      <c r="B337" t="s">
        <v>1235</v>
      </c>
      <c r="C337">
        <v>2325</v>
      </c>
      <c r="D337">
        <v>0</v>
      </c>
      <c r="E337">
        <v>0</v>
      </c>
      <c r="F337">
        <v>0</v>
      </c>
      <c r="G337">
        <v>45</v>
      </c>
      <c r="H337">
        <v>2370</v>
      </c>
      <c r="I337">
        <v>1</v>
      </c>
    </row>
    <row r="338" spans="1:9" x14ac:dyDescent="0.25">
      <c r="A338" t="s">
        <v>2888</v>
      </c>
      <c r="B338" t="s">
        <v>1110</v>
      </c>
      <c r="C338">
        <v>11199</v>
      </c>
      <c r="D338">
        <v>0</v>
      </c>
      <c r="E338">
        <v>149</v>
      </c>
      <c r="F338">
        <v>637</v>
      </c>
      <c r="G338">
        <v>863</v>
      </c>
      <c r="H338">
        <v>12848</v>
      </c>
      <c r="I338">
        <v>12</v>
      </c>
    </row>
    <row r="339" spans="1:9" x14ac:dyDescent="0.25">
      <c r="A339" t="s">
        <v>2828</v>
      </c>
      <c r="B339" t="s">
        <v>1478</v>
      </c>
      <c r="C339">
        <v>1569</v>
      </c>
      <c r="D339">
        <v>0</v>
      </c>
      <c r="E339">
        <v>81</v>
      </c>
      <c r="F339">
        <v>68</v>
      </c>
      <c r="G339">
        <v>97</v>
      </c>
      <c r="H339">
        <v>1815</v>
      </c>
      <c r="I339">
        <v>2</v>
      </c>
    </row>
    <row r="340" spans="1:9" x14ac:dyDescent="0.25">
      <c r="A340" t="s">
        <v>2820</v>
      </c>
      <c r="B340" t="s">
        <v>998</v>
      </c>
      <c r="C340">
        <v>1142</v>
      </c>
      <c r="D340">
        <v>0</v>
      </c>
      <c r="E340">
        <v>0</v>
      </c>
      <c r="F340">
        <v>0</v>
      </c>
      <c r="G340">
        <v>388</v>
      </c>
      <c r="H340">
        <v>1530</v>
      </c>
      <c r="I340">
        <v>48</v>
      </c>
    </row>
    <row r="341" spans="1:9" x14ac:dyDescent="0.25">
      <c r="A341" t="s">
        <v>2795</v>
      </c>
      <c r="B341" t="s">
        <v>1111</v>
      </c>
      <c r="C341">
        <v>3562</v>
      </c>
      <c r="D341">
        <v>0</v>
      </c>
      <c r="E341">
        <v>104</v>
      </c>
      <c r="F341">
        <v>78</v>
      </c>
      <c r="G341">
        <v>594</v>
      </c>
      <c r="H341">
        <v>4338</v>
      </c>
      <c r="I341">
        <v>18</v>
      </c>
    </row>
    <row r="342" spans="1:9" x14ac:dyDescent="0.25">
      <c r="A342" t="s">
        <v>2882</v>
      </c>
      <c r="B342" t="s">
        <v>10624</v>
      </c>
      <c r="C342">
        <v>7768</v>
      </c>
      <c r="D342">
        <v>0</v>
      </c>
      <c r="E342">
        <v>11</v>
      </c>
      <c r="F342">
        <v>634</v>
      </c>
      <c r="G342">
        <v>401</v>
      </c>
      <c r="H342">
        <v>8814</v>
      </c>
      <c r="I342">
        <v>8</v>
      </c>
    </row>
    <row r="343" spans="1:9" x14ac:dyDescent="0.25">
      <c r="A343" t="s">
        <v>1932</v>
      </c>
      <c r="B343" t="s">
        <v>1483</v>
      </c>
      <c r="C343">
        <v>11397</v>
      </c>
      <c r="D343">
        <v>3</v>
      </c>
      <c r="E343">
        <v>0</v>
      </c>
      <c r="F343">
        <v>0</v>
      </c>
      <c r="G343">
        <v>105</v>
      </c>
      <c r="H343">
        <v>11505</v>
      </c>
      <c r="I343">
        <v>4</v>
      </c>
    </row>
    <row r="344" spans="1:9" x14ac:dyDescent="0.25">
      <c r="A344" t="s">
        <v>2143</v>
      </c>
      <c r="B344" t="s">
        <v>1112</v>
      </c>
      <c r="C344">
        <v>1623</v>
      </c>
      <c r="D344">
        <v>0</v>
      </c>
      <c r="E344">
        <v>45</v>
      </c>
      <c r="F344">
        <v>463</v>
      </c>
      <c r="G344">
        <v>167</v>
      </c>
      <c r="H344">
        <v>2298</v>
      </c>
      <c r="I344">
        <v>6</v>
      </c>
    </row>
    <row r="345" spans="1:9" x14ac:dyDescent="0.25">
      <c r="A345" t="s">
        <v>1953</v>
      </c>
      <c r="B345" t="s">
        <v>1113</v>
      </c>
      <c r="C345">
        <v>29337</v>
      </c>
      <c r="D345">
        <v>0</v>
      </c>
      <c r="E345">
        <v>221</v>
      </c>
      <c r="F345">
        <v>423</v>
      </c>
      <c r="G345">
        <v>2042</v>
      </c>
      <c r="H345">
        <v>32023</v>
      </c>
      <c r="I345">
        <v>20</v>
      </c>
    </row>
    <row r="346" spans="1:9" x14ac:dyDescent="0.25">
      <c r="A346" t="s">
        <v>2897</v>
      </c>
      <c r="B346" t="s">
        <v>1484</v>
      </c>
      <c r="C346">
        <v>16074</v>
      </c>
      <c r="D346">
        <v>0</v>
      </c>
      <c r="E346">
        <v>1563</v>
      </c>
      <c r="F346">
        <v>0</v>
      </c>
      <c r="G346">
        <v>162</v>
      </c>
      <c r="H346">
        <v>17799</v>
      </c>
      <c r="I346">
        <v>7</v>
      </c>
    </row>
    <row r="347" spans="1:9" x14ac:dyDescent="0.25">
      <c r="A347" t="s">
        <v>3007</v>
      </c>
      <c r="B347" t="s">
        <v>1001</v>
      </c>
      <c r="C347">
        <v>0</v>
      </c>
      <c r="D347">
        <v>0</v>
      </c>
      <c r="E347">
        <v>1160</v>
      </c>
      <c r="F347">
        <v>0</v>
      </c>
      <c r="G347">
        <v>0</v>
      </c>
      <c r="H347">
        <v>1160</v>
      </c>
      <c r="I347">
        <v>25</v>
      </c>
    </row>
    <row r="348" spans="1:9" x14ac:dyDescent="0.25">
      <c r="A348" t="s">
        <v>2879</v>
      </c>
      <c r="B348" t="s">
        <v>1114</v>
      </c>
      <c r="C348">
        <v>6148</v>
      </c>
      <c r="D348">
        <v>22</v>
      </c>
      <c r="E348">
        <v>26</v>
      </c>
      <c r="F348">
        <v>567</v>
      </c>
      <c r="G348">
        <v>60</v>
      </c>
      <c r="H348">
        <v>6823</v>
      </c>
      <c r="I348">
        <v>1</v>
      </c>
    </row>
    <row r="349" spans="1:9" x14ac:dyDescent="0.25">
      <c r="A349" t="s">
        <v>2836</v>
      </c>
      <c r="B349" t="s">
        <v>1485</v>
      </c>
      <c r="C349">
        <v>1218</v>
      </c>
      <c r="D349">
        <v>440</v>
      </c>
      <c r="E349">
        <v>23</v>
      </c>
      <c r="F349">
        <v>49</v>
      </c>
      <c r="G349">
        <v>124</v>
      </c>
      <c r="H349">
        <v>1854</v>
      </c>
      <c r="I349">
        <v>16</v>
      </c>
    </row>
    <row r="350" spans="1:9" x14ac:dyDescent="0.25">
      <c r="A350" t="s">
        <v>2862</v>
      </c>
      <c r="B350" t="s">
        <v>1003</v>
      </c>
      <c r="C350">
        <v>4116</v>
      </c>
      <c r="D350">
        <v>34</v>
      </c>
      <c r="E350">
        <v>20</v>
      </c>
      <c r="F350">
        <v>2214</v>
      </c>
      <c r="G350">
        <v>350</v>
      </c>
      <c r="H350">
        <v>6734</v>
      </c>
      <c r="I350">
        <v>18</v>
      </c>
    </row>
    <row r="351" spans="1:9" x14ac:dyDescent="0.25">
      <c r="A351" t="s">
        <v>2887</v>
      </c>
      <c r="B351" t="s">
        <v>1004</v>
      </c>
      <c r="C351">
        <v>2381</v>
      </c>
      <c r="D351">
        <v>0</v>
      </c>
      <c r="E351">
        <v>0</v>
      </c>
      <c r="F351">
        <v>886</v>
      </c>
      <c r="G351">
        <v>187</v>
      </c>
      <c r="H351">
        <v>3454</v>
      </c>
      <c r="I351">
        <v>9</v>
      </c>
    </row>
    <row r="352" spans="1:9" x14ac:dyDescent="0.25">
      <c r="A352" t="s">
        <v>2677</v>
      </c>
      <c r="B352" t="s">
        <v>1115</v>
      </c>
      <c r="C352">
        <v>1906</v>
      </c>
      <c r="D352">
        <v>23</v>
      </c>
      <c r="E352">
        <v>102</v>
      </c>
      <c r="F352">
        <v>447</v>
      </c>
      <c r="G352">
        <v>392</v>
      </c>
      <c r="H352">
        <v>2870</v>
      </c>
      <c r="I352">
        <v>6</v>
      </c>
    </row>
    <row r="353" spans="1:9" x14ac:dyDescent="0.25">
      <c r="A353" t="s">
        <v>2854</v>
      </c>
      <c r="B353" t="s">
        <v>1418</v>
      </c>
      <c r="C353">
        <v>28148</v>
      </c>
      <c r="D353">
        <v>0</v>
      </c>
      <c r="E353">
        <v>130</v>
      </c>
      <c r="F353">
        <v>233</v>
      </c>
      <c r="G353">
        <v>163</v>
      </c>
      <c r="H353">
        <v>28674</v>
      </c>
      <c r="I353">
        <v>6</v>
      </c>
    </row>
    <row r="354" spans="1:9" x14ac:dyDescent="0.25">
      <c r="A354" t="s">
        <v>1933</v>
      </c>
      <c r="B354" t="s">
        <v>1737</v>
      </c>
      <c r="C354">
        <v>4304</v>
      </c>
      <c r="D354">
        <v>0</v>
      </c>
      <c r="E354">
        <v>77</v>
      </c>
      <c r="F354">
        <v>269</v>
      </c>
      <c r="G354">
        <v>145</v>
      </c>
      <c r="H354">
        <v>4795</v>
      </c>
      <c r="I354">
        <v>4</v>
      </c>
    </row>
    <row r="355" spans="1:9" x14ac:dyDescent="0.25">
      <c r="A355" t="s">
        <v>2057</v>
      </c>
      <c r="B355" t="s">
        <v>10638</v>
      </c>
      <c r="C355">
        <v>0</v>
      </c>
      <c r="D355">
        <v>0</v>
      </c>
      <c r="E355">
        <v>2717</v>
      </c>
      <c r="F355">
        <v>0</v>
      </c>
      <c r="G355">
        <v>0</v>
      </c>
      <c r="H355">
        <v>2717</v>
      </c>
      <c r="I355">
        <v>198</v>
      </c>
    </row>
    <row r="356" spans="1:9" x14ac:dyDescent="0.25">
      <c r="A356" t="s">
        <v>3029</v>
      </c>
      <c r="B356" t="s">
        <v>1249</v>
      </c>
      <c r="C356">
        <v>6373</v>
      </c>
      <c r="D356">
        <v>0</v>
      </c>
      <c r="E356">
        <v>0</v>
      </c>
      <c r="F356">
        <v>975</v>
      </c>
      <c r="G356">
        <v>561</v>
      </c>
      <c r="H356">
        <v>7909</v>
      </c>
      <c r="I356">
        <v>11</v>
      </c>
    </row>
    <row r="357" spans="1:9" x14ac:dyDescent="0.25">
      <c r="A357" t="s">
        <v>2128</v>
      </c>
      <c r="B357" t="s">
        <v>1005</v>
      </c>
      <c r="C357">
        <v>9936</v>
      </c>
      <c r="D357">
        <v>0</v>
      </c>
      <c r="E357">
        <v>554</v>
      </c>
      <c r="F357">
        <v>881</v>
      </c>
      <c r="G357">
        <v>1158</v>
      </c>
      <c r="H357">
        <v>12529</v>
      </c>
      <c r="I357">
        <v>20</v>
      </c>
    </row>
    <row r="358" spans="1:9" x14ac:dyDescent="0.25">
      <c r="A358" t="s">
        <v>2724</v>
      </c>
      <c r="B358" t="s">
        <v>1006</v>
      </c>
      <c r="C358">
        <v>16539</v>
      </c>
      <c r="D358">
        <v>0</v>
      </c>
      <c r="E358">
        <v>1296</v>
      </c>
      <c r="F358">
        <v>457</v>
      </c>
      <c r="G358">
        <v>3276</v>
      </c>
      <c r="H358">
        <v>21568</v>
      </c>
      <c r="I358">
        <v>47</v>
      </c>
    </row>
    <row r="359" spans="1:9" x14ac:dyDescent="0.25">
      <c r="A359" t="s">
        <v>2891</v>
      </c>
      <c r="B359" t="s">
        <v>1007</v>
      </c>
      <c r="C359">
        <v>4600</v>
      </c>
      <c r="D359">
        <v>0</v>
      </c>
      <c r="E359">
        <v>228</v>
      </c>
      <c r="F359">
        <v>0</v>
      </c>
      <c r="G359">
        <v>262</v>
      </c>
      <c r="H359">
        <v>5090</v>
      </c>
      <c r="I359">
        <v>2</v>
      </c>
    </row>
    <row r="360" spans="1:9" x14ac:dyDescent="0.25">
      <c r="A360" t="s">
        <v>2987</v>
      </c>
      <c r="B360" t="s">
        <v>10643</v>
      </c>
      <c r="C360">
        <v>20020</v>
      </c>
      <c r="D360">
        <v>14</v>
      </c>
      <c r="E360">
        <v>1017</v>
      </c>
      <c r="F360">
        <v>1910</v>
      </c>
      <c r="G360">
        <v>2330</v>
      </c>
      <c r="H360">
        <v>25291</v>
      </c>
      <c r="I360">
        <v>38</v>
      </c>
    </row>
    <row r="361" spans="1:9" x14ac:dyDescent="0.25">
      <c r="A361" t="s">
        <v>2928</v>
      </c>
      <c r="B361" t="s">
        <v>1008</v>
      </c>
      <c r="C361">
        <v>2545</v>
      </c>
      <c r="D361">
        <v>0</v>
      </c>
      <c r="E361">
        <v>459</v>
      </c>
      <c r="F361">
        <v>244</v>
      </c>
      <c r="G361">
        <v>2</v>
      </c>
      <c r="H361">
        <v>3250</v>
      </c>
      <c r="I361">
        <v>77</v>
      </c>
    </row>
    <row r="362" spans="1:9" x14ac:dyDescent="0.25">
      <c r="A362" t="s">
        <v>2876</v>
      </c>
      <c r="B362" t="s">
        <v>1487</v>
      </c>
      <c r="C362">
        <v>6867</v>
      </c>
      <c r="D362">
        <v>0</v>
      </c>
      <c r="E362">
        <v>262</v>
      </c>
      <c r="F362">
        <v>0</v>
      </c>
      <c r="G362">
        <v>274</v>
      </c>
      <c r="H362">
        <v>7403</v>
      </c>
      <c r="I362">
        <v>4</v>
      </c>
    </row>
    <row r="363" spans="1:9" x14ac:dyDescent="0.25">
      <c r="A363" t="s">
        <v>1941</v>
      </c>
      <c r="B363" t="s">
        <v>10651</v>
      </c>
      <c r="C363">
        <v>767</v>
      </c>
      <c r="D363">
        <v>0</v>
      </c>
      <c r="E363">
        <v>36</v>
      </c>
      <c r="F363">
        <v>54</v>
      </c>
      <c r="G363">
        <v>271</v>
      </c>
      <c r="H363">
        <v>1128</v>
      </c>
      <c r="I363">
        <v>5</v>
      </c>
    </row>
    <row r="364" spans="1:9" x14ac:dyDescent="0.25">
      <c r="A364" t="s">
        <v>2749</v>
      </c>
      <c r="B364" t="s">
        <v>1264</v>
      </c>
      <c r="C364">
        <v>3658</v>
      </c>
      <c r="D364">
        <v>28</v>
      </c>
      <c r="E364">
        <v>253</v>
      </c>
      <c r="F364">
        <v>0</v>
      </c>
      <c r="G364">
        <v>340</v>
      </c>
      <c r="H364">
        <v>4279</v>
      </c>
      <c r="I364">
        <v>8</v>
      </c>
    </row>
    <row r="365" spans="1:9" x14ac:dyDescent="0.25">
      <c r="A365" t="s">
        <v>2777</v>
      </c>
      <c r="B365" t="s">
        <v>1119</v>
      </c>
      <c r="C365">
        <v>5981</v>
      </c>
      <c r="D365">
        <v>0</v>
      </c>
      <c r="E365">
        <v>503</v>
      </c>
      <c r="F365">
        <v>81</v>
      </c>
      <c r="G365">
        <v>1338</v>
      </c>
      <c r="H365">
        <v>7903</v>
      </c>
      <c r="I365">
        <v>15</v>
      </c>
    </row>
    <row r="366" spans="1:9" x14ac:dyDescent="0.25">
      <c r="A366" t="s">
        <v>2020</v>
      </c>
      <c r="B366" t="s">
        <v>1011</v>
      </c>
      <c r="C366">
        <v>0</v>
      </c>
      <c r="D366">
        <v>0</v>
      </c>
      <c r="E366">
        <v>1053</v>
      </c>
      <c r="F366">
        <v>0</v>
      </c>
      <c r="G366">
        <v>0</v>
      </c>
      <c r="H366">
        <v>1053</v>
      </c>
      <c r="I366">
        <v>57</v>
      </c>
    </row>
    <row r="367" spans="1:9" x14ac:dyDescent="0.25">
      <c r="A367" t="s">
        <v>3002</v>
      </c>
      <c r="B367" t="s">
        <v>10652</v>
      </c>
      <c r="C367">
        <v>15882</v>
      </c>
      <c r="D367">
        <v>0</v>
      </c>
      <c r="E367">
        <v>299</v>
      </c>
      <c r="F367">
        <v>1970</v>
      </c>
      <c r="G367">
        <v>887</v>
      </c>
      <c r="H367">
        <v>19038</v>
      </c>
      <c r="I367">
        <v>7</v>
      </c>
    </row>
    <row r="368" spans="1:9" x14ac:dyDescent="0.25">
      <c r="A368" t="s">
        <v>2962</v>
      </c>
      <c r="B368" t="s">
        <v>1493</v>
      </c>
      <c r="C368">
        <v>2247</v>
      </c>
      <c r="D368">
        <v>21</v>
      </c>
      <c r="E368">
        <v>153</v>
      </c>
      <c r="F368">
        <v>456</v>
      </c>
      <c r="G368">
        <v>202</v>
      </c>
      <c r="H368">
        <v>3079</v>
      </c>
      <c r="I368">
        <v>5</v>
      </c>
    </row>
    <row r="369" spans="1:9" x14ac:dyDescent="0.25">
      <c r="A369" t="s">
        <v>2647</v>
      </c>
      <c r="B369" t="s">
        <v>940</v>
      </c>
      <c r="C369">
        <v>30</v>
      </c>
      <c r="D369">
        <v>0</v>
      </c>
      <c r="E369">
        <v>165</v>
      </c>
      <c r="F369">
        <v>18315</v>
      </c>
      <c r="G369">
        <v>1453</v>
      </c>
      <c r="H369">
        <v>19963</v>
      </c>
      <c r="I369">
        <v>210</v>
      </c>
    </row>
    <row r="370" spans="1:9" x14ac:dyDescent="0.25">
      <c r="A370" t="s">
        <v>2823</v>
      </c>
      <c r="B370" t="s">
        <v>1122</v>
      </c>
      <c r="C370">
        <v>4520</v>
      </c>
      <c r="D370">
        <v>24</v>
      </c>
      <c r="E370">
        <v>271</v>
      </c>
      <c r="F370">
        <v>299</v>
      </c>
      <c r="G370">
        <v>599</v>
      </c>
      <c r="H370">
        <v>5713</v>
      </c>
      <c r="I370">
        <v>10</v>
      </c>
    </row>
    <row r="371" spans="1:9" x14ac:dyDescent="0.25">
      <c r="A371" t="s">
        <v>2691</v>
      </c>
      <c r="B371" t="s">
        <v>1123</v>
      </c>
      <c r="C371">
        <v>1225</v>
      </c>
      <c r="D371">
        <v>13</v>
      </c>
      <c r="E371">
        <v>0</v>
      </c>
      <c r="F371">
        <v>0</v>
      </c>
      <c r="G371">
        <v>115</v>
      </c>
      <c r="H371">
        <v>1353</v>
      </c>
      <c r="I371">
        <v>8</v>
      </c>
    </row>
    <row r="372" spans="1:9" x14ac:dyDescent="0.25">
      <c r="A372" t="s">
        <v>2911</v>
      </c>
      <c r="B372" t="s">
        <v>1012</v>
      </c>
      <c r="C372">
        <v>19501</v>
      </c>
      <c r="D372">
        <v>85</v>
      </c>
      <c r="E372">
        <v>1115</v>
      </c>
      <c r="F372">
        <v>1013</v>
      </c>
      <c r="G372">
        <v>3507</v>
      </c>
      <c r="H372">
        <v>25221</v>
      </c>
      <c r="I372">
        <v>47</v>
      </c>
    </row>
    <row r="373" spans="1:9" x14ac:dyDescent="0.25">
      <c r="A373" t="s">
        <v>2841</v>
      </c>
      <c r="B373" t="s">
        <v>1275</v>
      </c>
      <c r="C373">
        <v>2187</v>
      </c>
      <c r="D373">
        <v>0</v>
      </c>
      <c r="E373">
        <v>0</v>
      </c>
      <c r="F373">
        <v>42</v>
      </c>
      <c r="G373">
        <v>29</v>
      </c>
      <c r="H373">
        <v>2258</v>
      </c>
      <c r="I373">
        <v>1</v>
      </c>
    </row>
    <row r="374" spans="1:9" x14ac:dyDescent="0.25">
      <c r="A374" t="s">
        <v>2883</v>
      </c>
      <c r="B374" t="s">
        <v>1897</v>
      </c>
      <c r="C374">
        <v>20339</v>
      </c>
      <c r="D374">
        <v>0</v>
      </c>
      <c r="E374">
        <v>61</v>
      </c>
      <c r="F374">
        <v>713</v>
      </c>
      <c r="G374">
        <v>190</v>
      </c>
      <c r="H374">
        <v>21303</v>
      </c>
      <c r="I374">
        <v>8</v>
      </c>
    </row>
    <row r="375" spans="1:9" x14ac:dyDescent="0.25">
      <c r="A375" t="s">
        <v>2648</v>
      </c>
      <c r="B375" t="s">
        <v>1495</v>
      </c>
      <c r="C375">
        <v>6437</v>
      </c>
      <c r="D375">
        <v>0</v>
      </c>
      <c r="E375">
        <v>282</v>
      </c>
      <c r="F375">
        <v>457</v>
      </c>
      <c r="G375">
        <v>197</v>
      </c>
      <c r="H375">
        <v>7373</v>
      </c>
      <c r="I375">
        <v>10</v>
      </c>
    </row>
    <row r="376" spans="1:9" x14ac:dyDescent="0.25">
      <c r="A376" t="s">
        <v>2674</v>
      </c>
      <c r="B376" t="s">
        <v>1278</v>
      </c>
      <c r="C376">
        <v>1818</v>
      </c>
      <c r="D376">
        <v>42</v>
      </c>
      <c r="E376">
        <v>61</v>
      </c>
      <c r="F376">
        <v>42</v>
      </c>
      <c r="G376">
        <v>398</v>
      </c>
      <c r="H376">
        <v>2361</v>
      </c>
      <c r="I376">
        <v>6</v>
      </c>
    </row>
    <row r="377" spans="1:9" x14ac:dyDescent="0.25">
      <c r="A377" t="s">
        <v>2898</v>
      </c>
      <c r="B377" t="s">
        <v>1014</v>
      </c>
      <c r="C377">
        <v>2391</v>
      </c>
      <c r="D377">
        <v>0</v>
      </c>
      <c r="E377">
        <v>23</v>
      </c>
      <c r="F377">
        <v>842</v>
      </c>
      <c r="G377">
        <v>83</v>
      </c>
      <c r="H377">
        <v>3339</v>
      </c>
      <c r="I377">
        <v>5</v>
      </c>
    </row>
    <row r="378" spans="1:9" x14ac:dyDescent="0.25">
      <c r="A378" t="s">
        <v>2916</v>
      </c>
      <c r="B378" t="s">
        <v>9819</v>
      </c>
      <c r="C378">
        <v>12436</v>
      </c>
      <c r="D378">
        <v>0</v>
      </c>
      <c r="E378">
        <v>455</v>
      </c>
      <c r="F378">
        <v>1647</v>
      </c>
      <c r="G378">
        <v>1277</v>
      </c>
      <c r="H378">
        <v>15815</v>
      </c>
      <c r="I378">
        <v>28</v>
      </c>
    </row>
    <row r="379" spans="1:9" x14ac:dyDescent="0.25">
      <c r="A379" t="s">
        <v>3017</v>
      </c>
      <c r="B379" t="s">
        <v>9820</v>
      </c>
      <c r="C379">
        <v>14212</v>
      </c>
      <c r="D379">
        <v>0</v>
      </c>
      <c r="E379">
        <v>281</v>
      </c>
      <c r="F379">
        <v>655</v>
      </c>
      <c r="G379">
        <v>14</v>
      </c>
      <c r="H379">
        <v>15162</v>
      </c>
      <c r="I379">
        <v>5</v>
      </c>
    </row>
    <row r="380" spans="1:9" x14ac:dyDescent="0.25">
      <c r="A380" t="s">
        <v>2137</v>
      </c>
      <c r="B380" t="s">
        <v>1426</v>
      </c>
      <c r="C380">
        <v>1251</v>
      </c>
      <c r="D380">
        <v>0</v>
      </c>
      <c r="E380">
        <v>50</v>
      </c>
      <c r="F380">
        <v>316</v>
      </c>
      <c r="G380">
        <v>634</v>
      </c>
      <c r="H380">
        <v>2251</v>
      </c>
      <c r="I380">
        <v>6</v>
      </c>
    </row>
    <row r="381" spans="1:9" x14ac:dyDescent="0.25">
      <c r="A381" t="s">
        <v>2087</v>
      </c>
      <c r="B381" t="s">
        <v>1427</v>
      </c>
      <c r="C381">
        <v>26370</v>
      </c>
      <c r="D381">
        <v>0</v>
      </c>
      <c r="E381">
        <v>513</v>
      </c>
      <c r="F381">
        <v>1057</v>
      </c>
      <c r="G381">
        <v>900</v>
      </c>
      <c r="H381">
        <v>28840</v>
      </c>
      <c r="I381">
        <v>17</v>
      </c>
    </row>
    <row r="382" spans="1:9" x14ac:dyDescent="0.25">
      <c r="A382" t="s">
        <v>2975</v>
      </c>
      <c r="B382" t="s">
        <v>14386</v>
      </c>
      <c r="C382">
        <v>1248</v>
      </c>
      <c r="D382">
        <v>0</v>
      </c>
      <c r="E382">
        <v>0</v>
      </c>
      <c r="F382">
        <v>0</v>
      </c>
      <c r="G382">
        <v>70</v>
      </c>
      <c r="H382">
        <v>1318</v>
      </c>
      <c r="I382">
        <v>10</v>
      </c>
    </row>
    <row r="383" spans="1:9" x14ac:dyDescent="0.25">
      <c r="A383" t="s">
        <v>2944</v>
      </c>
      <c r="B383" t="s">
        <v>1019</v>
      </c>
      <c r="C383">
        <v>3661</v>
      </c>
      <c r="D383">
        <v>0</v>
      </c>
      <c r="E383">
        <v>208</v>
      </c>
      <c r="F383">
        <v>254</v>
      </c>
      <c r="G383">
        <v>462</v>
      </c>
      <c r="H383">
        <v>4585</v>
      </c>
      <c r="I383">
        <v>5</v>
      </c>
    </row>
    <row r="384" spans="1:9" x14ac:dyDescent="0.25">
      <c r="A384" t="s">
        <v>2116</v>
      </c>
      <c r="B384" t="s">
        <v>1022</v>
      </c>
      <c r="C384">
        <v>10081</v>
      </c>
      <c r="D384">
        <v>0</v>
      </c>
      <c r="E384">
        <v>20</v>
      </c>
      <c r="F384">
        <v>1703</v>
      </c>
      <c r="G384">
        <v>352</v>
      </c>
      <c r="H384">
        <v>12156</v>
      </c>
      <c r="I384">
        <v>6</v>
      </c>
    </row>
    <row r="385" spans="1:9" x14ac:dyDescent="0.25">
      <c r="A385" t="s">
        <v>2113</v>
      </c>
      <c r="B385" t="s">
        <v>942</v>
      </c>
      <c r="C385">
        <v>29170</v>
      </c>
      <c r="D385">
        <v>8</v>
      </c>
      <c r="E385">
        <v>1460</v>
      </c>
      <c r="F385">
        <v>1837</v>
      </c>
      <c r="G385">
        <v>5043</v>
      </c>
      <c r="H385">
        <v>37518</v>
      </c>
      <c r="I385">
        <v>30</v>
      </c>
    </row>
    <row r="386" spans="1:9" x14ac:dyDescent="0.25">
      <c r="A386" t="s">
        <v>2901</v>
      </c>
      <c r="B386" t="s">
        <v>1430</v>
      </c>
      <c r="C386">
        <v>8869</v>
      </c>
      <c r="D386">
        <v>0</v>
      </c>
      <c r="E386">
        <v>0</v>
      </c>
      <c r="F386">
        <v>0</v>
      </c>
      <c r="G386">
        <v>14</v>
      </c>
      <c r="H386">
        <v>8883</v>
      </c>
      <c r="I386">
        <v>4</v>
      </c>
    </row>
    <row r="387" spans="1:9" x14ac:dyDescent="0.25">
      <c r="A387" t="s">
        <v>3024</v>
      </c>
      <c r="B387" t="s">
        <v>1508</v>
      </c>
      <c r="C387">
        <v>11750</v>
      </c>
      <c r="D387">
        <v>4</v>
      </c>
      <c r="E387">
        <v>13</v>
      </c>
      <c r="F387">
        <v>789</v>
      </c>
      <c r="G387">
        <v>355</v>
      </c>
      <c r="H387">
        <v>12911</v>
      </c>
      <c r="I387">
        <v>6</v>
      </c>
    </row>
    <row r="388" spans="1:9" x14ac:dyDescent="0.25">
      <c r="A388" t="s">
        <v>3034</v>
      </c>
      <c r="B388" t="s">
        <v>1127</v>
      </c>
      <c r="C388">
        <v>1558</v>
      </c>
      <c r="D388">
        <v>0</v>
      </c>
      <c r="E388">
        <v>30</v>
      </c>
      <c r="F388">
        <v>0</v>
      </c>
      <c r="G388">
        <v>0</v>
      </c>
      <c r="H388">
        <v>1588</v>
      </c>
      <c r="I388">
        <v>19</v>
      </c>
    </row>
    <row r="389" spans="1:9" x14ac:dyDescent="0.25">
      <c r="A389" t="s">
        <v>2893</v>
      </c>
      <c r="B389" t="s">
        <v>1025</v>
      </c>
      <c r="C389">
        <v>67275</v>
      </c>
      <c r="D389">
        <v>14</v>
      </c>
      <c r="E389">
        <v>2434</v>
      </c>
      <c r="F389">
        <v>5202</v>
      </c>
      <c r="G389">
        <v>13998</v>
      </c>
      <c r="H389">
        <v>88923</v>
      </c>
      <c r="I389">
        <v>140</v>
      </c>
    </row>
    <row r="390" spans="1:9" x14ac:dyDescent="0.25">
      <c r="A390" t="s">
        <v>2848</v>
      </c>
      <c r="B390" t="s">
        <v>1026</v>
      </c>
      <c r="C390">
        <v>18459</v>
      </c>
      <c r="D390">
        <v>0</v>
      </c>
      <c r="E390">
        <v>489</v>
      </c>
      <c r="F390">
        <v>1354</v>
      </c>
      <c r="G390">
        <v>2645</v>
      </c>
      <c r="H390">
        <v>22947</v>
      </c>
      <c r="I390">
        <v>43</v>
      </c>
    </row>
    <row r="391" spans="1:9" x14ac:dyDescent="0.25">
      <c r="A391" t="s">
        <v>2910</v>
      </c>
      <c r="B391" t="s">
        <v>1293</v>
      </c>
      <c r="C391">
        <v>26</v>
      </c>
      <c r="D391">
        <v>0</v>
      </c>
      <c r="E391">
        <v>1098</v>
      </c>
      <c r="F391">
        <v>0</v>
      </c>
      <c r="G391">
        <v>0</v>
      </c>
      <c r="H391">
        <v>1124</v>
      </c>
      <c r="I391">
        <v>21</v>
      </c>
    </row>
    <row r="392" spans="1:9" x14ac:dyDescent="0.25">
      <c r="A392" t="s">
        <v>2869</v>
      </c>
      <c r="B392" t="s">
        <v>1512</v>
      </c>
      <c r="C392">
        <v>10800</v>
      </c>
      <c r="D392">
        <v>0</v>
      </c>
      <c r="E392">
        <v>75</v>
      </c>
      <c r="F392">
        <v>1767</v>
      </c>
      <c r="G392">
        <v>91</v>
      </c>
      <c r="H392">
        <v>12733</v>
      </c>
      <c r="I392">
        <v>4</v>
      </c>
    </row>
    <row r="393" spans="1:9" x14ac:dyDescent="0.25">
      <c r="A393" t="s">
        <v>2086</v>
      </c>
      <c r="B393" t="s">
        <v>1743</v>
      </c>
      <c r="C393">
        <v>6139</v>
      </c>
      <c r="D393">
        <v>0</v>
      </c>
      <c r="E393">
        <v>214</v>
      </c>
      <c r="F393">
        <v>1847</v>
      </c>
      <c r="G393">
        <v>267</v>
      </c>
      <c r="H393">
        <v>8467</v>
      </c>
      <c r="I393">
        <v>4</v>
      </c>
    </row>
    <row r="394" spans="1:9" x14ac:dyDescent="0.25">
      <c r="A394" t="s">
        <v>2806</v>
      </c>
      <c r="B394" t="s">
        <v>1903</v>
      </c>
      <c r="C394">
        <v>1351</v>
      </c>
      <c r="D394">
        <v>0</v>
      </c>
      <c r="E394">
        <v>0</v>
      </c>
      <c r="F394">
        <v>0</v>
      </c>
      <c r="G394">
        <v>43</v>
      </c>
      <c r="H394">
        <v>1394</v>
      </c>
      <c r="I394">
        <v>2</v>
      </c>
    </row>
    <row r="395" spans="1:9" x14ac:dyDescent="0.25">
      <c r="A395" t="s">
        <v>2851</v>
      </c>
      <c r="B395" t="s">
        <v>1628</v>
      </c>
      <c r="C395">
        <v>5511</v>
      </c>
      <c r="D395">
        <v>0</v>
      </c>
      <c r="E395">
        <v>49</v>
      </c>
      <c r="F395">
        <v>394</v>
      </c>
      <c r="G395">
        <v>210</v>
      </c>
      <c r="H395">
        <v>6164</v>
      </c>
      <c r="I395">
        <v>9</v>
      </c>
    </row>
    <row r="396" spans="1:9" x14ac:dyDescent="0.25">
      <c r="A396" t="s">
        <v>2694</v>
      </c>
      <c r="B396" t="s">
        <v>943</v>
      </c>
      <c r="C396">
        <v>30426</v>
      </c>
      <c r="D396">
        <v>7</v>
      </c>
      <c r="E396">
        <v>1910</v>
      </c>
      <c r="F396">
        <v>3191</v>
      </c>
      <c r="G396">
        <v>8148</v>
      </c>
      <c r="H396">
        <v>43682</v>
      </c>
      <c r="I396">
        <v>117</v>
      </c>
    </row>
    <row r="397" spans="1:9" x14ac:dyDescent="0.25">
      <c r="A397" t="s">
        <v>2880</v>
      </c>
      <c r="B397" t="s">
        <v>1030</v>
      </c>
      <c r="C397">
        <v>25254</v>
      </c>
      <c r="D397">
        <v>2</v>
      </c>
      <c r="E397">
        <v>981</v>
      </c>
      <c r="F397">
        <v>2734</v>
      </c>
      <c r="G397">
        <v>2466</v>
      </c>
      <c r="H397">
        <v>31437</v>
      </c>
      <c r="I397">
        <v>44</v>
      </c>
    </row>
    <row r="398" spans="1:9" x14ac:dyDescent="0.25">
      <c r="A398" t="s">
        <v>2098</v>
      </c>
      <c r="B398" t="s">
        <v>1516</v>
      </c>
      <c r="C398">
        <v>6830</v>
      </c>
      <c r="D398">
        <v>17</v>
      </c>
      <c r="E398">
        <v>674</v>
      </c>
      <c r="F398">
        <v>699</v>
      </c>
      <c r="G398">
        <v>434</v>
      </c>
      <c r="H398">
        <v>8654</v>
      </c>
      <c r="I398">
        <v>18</v>
      </c>
    </row>
    <row r="399" spans="1:9" x14ac:dyDescent="0.25">
      <c r="A399" t="s">
        <v>2644</v>
      </c>
      <c r="B399" t="s">
        <v>1300</v>
      </c>
      <c r="C399">
        <v>1037</v>
      </c>
      <c r="D399">
        <v>0</v>
      </c>
      <c r="E399">
        <v>50</v>
      </c>
      <c r="F399">
        <v>287</v>
      </c>
      <c r="G399">
        <v>192</v>
      </c>
      <c r="H399">
        <v>1566</v>
      </c>
      <c r="I399">
        <v>16</v>
      </c>
    </row>
    <row r="400" spans="1:9" x14ac:dyDescent="0.25">
      <c r="A400" t="s">
        <v>2779</v>
      </c>
      <c r="B400" t="s">
        <v>1031</v>
      </c>
      <c r="C400">
        <v>4591</v>
      </c>
      <c r="D400">
        <v>9</v>
      </c>
      <c r="E400">
        <v>367</v>
      </c>
      <c r="F400">
        <v>202</v>
      </c>
      <c r="G400">
        <v>470</v>
      </c>
      <c r="H400">
        <v>5639</v>
      </c>
      <c r="I400">
        <v>30</v>
      </c>
    </row>
    <row r="401" spans="1:9" x14ac:dyDescent="0.25">
      <c r="A401" t="s">
        <v>2878</v>
      </c>
      <c r="B401" t="s">
        <v>1749</v>
      </c>
      <c r="C401">
        <v>6654</v>
      </c>
      <c r="D401">
        <v>0</v>
      </c>
      <c r="E401">
        <v>86</v>
      </c>
      <c r="F401">
        <v>0</v>
      </c>
      <c r="G401">
        <v>286</v>
      </c>
      <c r="H401">
        <v>7026</v>
      </c>
      <c r="I401">
        <v>5</v>
      </c>
    </row>
    <row r="402" spans="1:9" x14ac:dyDescent="0.25">
      <c r="A402" t="s">
        <v>2811</v>
      </c>
      <c r="B402" t="s">
        <v>1829</v>
      </c>
      <c r="C402">
        <v>927</v>
      </c>
      <c r="D402">
        <v>0</v>
      </c>
      <c r="E402">
        <v>35</v>
      </c>
      <c r="F402">
        <v>270</v>
      </c>
      <c r="G402">
        <v>3</v>
      </c>
      <c r="H402">
        <v>1235</v>
      </c>
      <c r="I402">
        <v>6</v>
      </c>
    </row>
    <row r="403" spans="1:9" x14ac:dyDescent="0.25">
      <c r="A403" t="s">
        <v>2637</v>
      </c>
      <c r="B403" t="s">
        <v>1131</v>
      </c>
      <c r="C403">
        <v>5192</v>
      </c>
      <c r="D403">
        <v>268</v>
      </c>
      <c r="E403">
        <v>387</v>
      </c>
      <c r="F403">
        <v>193</v>
      </c>
      <c r="G403">
        <v>1227</v>
      </c>
      <c r="H403">
        <v>7267</v>
      </c>
      <c r="I403">
        <v>11</v>
      </c>
    </row>
    <row r="404" spans="1:9" x14ac:dyDescent="0.25">
      <c r="A404" t="s">
        <v>3013</v>
      </c>
      <c r="B404" t="s">
        <v>1748</v>
      </c>
      <c r="C404">
        <v>2717</v>
      </c>
      <c r="D404">
        <v>0</v>
      </c>
      <c r="E404">
        <v>0</v>
      </c>
      <c r="F404">
        <v>541</v>
      </c>
      <c r="G404">
        <v>84</v>
      </c>
      <c r="H404">
        <v>3342</v>
      </c>
      <c r="I404">
        <v>2</v>
      </c>
    </row>
    <row r="405" spans="1:9" x14ac:dyDescent="0.25">
      <c r="A405" t="s">
        <v>2982</v>
      </c>
      <c r="B405" t="s">
        <v>1307</v>
      </c>
      <c r="C405">
        <v>986</v>
      </c>
      <c r="D405">
        <v>0</v>
      </c>
      <c r="E405">
        <v>0</v>
      </c>
      <c r="F405">
        <v>0</v>
      </c>
      <c r="G405">
        <v>81</v>
      </c>
      <c r="H405">
        <v>1067</v>
      </c>
      <c r="I405">
        <v>5</v>
      </c>
    </row>
    <row r="406" spans="1:9" x14ac:dyDescent="0.25">
      <c r="A406" t="s">
        <v>2914</v>
      </c>
      <c r="B406" t="s">
        <v>1433</v>
      </c>
      <c r="C406">
        <v>3284</v>
      </c>
      <c r="D406">
        <v>0</v>
      </c>
      <c r="E406">
        <v>398</v>
      </c>
      <c r="F406">
        <v>193</v>
      </c>
      <c r="G406">
        <v>29</v>
      </c>
      <c r="H406">
        <v>3904</v>
      </c>
      <c r="I406">
        <v>9</v>
      </c>
    </row>
    <row r="407" spans="1:9" x14ac:dyDescent="0.25">
      <c r="A407" t="s">
        <v>2118</v>
      </c>
      <c r="B407" t="s">
        <v>1134</v>
      </c>
      <c r="C407">
        <v>36365</v>
      </c>
      <c r="D407">
        <v>6</v>
      </c>
      <c r="E407">
        <v>2598</v>
      </c>
      <c r="F407">
        <v>1673</v>
      </c>
      <c r="G407">
        <v>3667</v>
      </c>
      <c r="H407">
        <v>44309</v>
      </c>
      <c r="I407">
        <v>55</v>
      </c>
    </row>
    <row r="408" spans="1:9" x14ac:dyDescent="0.25">
      <c r="A408" t="s">
        <v>3035</v>
      </c>
      <c r="B408" t="s">
        <v>949</v>
      </c>
      <c r="C408">
        <v>21</v>
      </c>
      <c r="D408">
        <v>0</v>
      </c>
      <c r="E408">
        <v>0</v>
      </c>
      <c r="F408">
        <v>0</v>
      </c>
      <c r="G408">
        <v>5212</v>
      </c>
      <c r="H408">
        <v>5233</v>
      </c>
      <c r="I408">
        <v>69</v>
      </c>
    </row>
    <row r="409" spans="1:9" x14ac:dyDescent="0.25">
      <c r="A409" t="s">
        <v>2068</v>
      </c>
      <c r="B409" t="s">
        <v>1038</v>
      </c>
      <c r="C409">
        <v>7794</v>
      </c>
      <c r="D409">
        <v>0</v>
      </c>
      <c r="E409">
        <v>682</v>
      </c>
      <c r="F409">
        <v>350</v>
      </c>
      <c r="G409">
        <v>1331</v>
      </c>
      <c r="H409">
        <v>10157</v>
      </c>
      <c r="I409">
        <v>32</v>
      </c>
    </row>
    <row r="410" spans="1:9" x14ac:dyDescent="0.25">
      <c r="A410" t="s">
        <v>3012</v>
      </c>
      <c r="B410" t="s">
        <v>1750</v>
      </c>
      <c r="C410">
        <v>3596</v>
      </c>
      <c r="D410">
        <v>0</v>
      </c>
      <c r="E410">
        <v>14</v>
      </c>
      <c r="F410">
        <v>631</v>
      </c>
      <c r="G410">
        <v>73</v>
      </c>
      <c r="H410">
        <v>4314</v>
      </c>
      <c r="I410">
        <v>1</v>
      </c>
    </row>
    <row r="411" spans="1:9" x14ac:dyDescent="0.25">
      <c r="A411" t="s">
        <v>2690</v>
      </c>
      <c r="B411" t="s">
        <v>1309</v>
      </c>
      <c r="C411">
        <v>3835</v>
      </c>
      <c r="D411">
        <v>165</v>
      </c>
      <c r="E411">
        <v>246</v>
      </c>
      <c r="F411">
        <v>207</v>
      </c>
      <c r="G411">
        <v>513</v>
      </c>
      <c r="H411">
        <v>4966</v>
      </c>
      <c r="I411">
        <v>11</v>
      </c>
    </row>
    <row r="412" spans="1:9" x14ac:dyDescent="0.25">
      <c r="A412" t="s">
        <v>2060</v>
      </c>
      <c r="B412" t="s">
        <v>1519</v>
      </c>
      <c r="C412">
        <v>11510</v>
      </c>
      <c r="D412">
        <v>1</v>
      </c>
      <c r="E412">
        <v>0</v>
      </c>
      <c r="F412">
        <v>241</v>
      </c>
      <c r="G412">
        <v>166</v>
      </c>
      <c r="H412">
        <v>11918</v>
      </c>
      <c r="I412">
        <v>2</v>
      </c>
    </row>
    <row r="413" spans="1:9" x14ac:dyDescent="0.25">
      <c r="A413" t="s">
        <v>2058</v>
      </c>
      <c r="B413" t="s">
        <v>1520</v>
      </c>
      <c r="C413">
        <v>11788</v>
      </c>
      <c r="D413">
        <v>0</v>
      </c>
      <c r="E413">
        <v>983</v>
      </c>
      <c r="F413">
        <v>0</v>
      </c>
      <c r="G413">
        <v>365</v>
      </c>
      <c r="H413">
        <v>13136</v>
      </c>
      <c r="I413">
        <v>13</v>
      </c>
    </row>
    <row r="414" spans="1:9" x14ac:dyDescent="0.25">
      <c r="A414" t="s">
        <v>2885</v>
      </c>
      <c r="B414" t="s">
        <v>1039</v>
      </c>
      <c r="C414">
        <v>10886</v>
      </c>
      <c r="D414">
        <v>2</v>
      </c>
      <c r="E414">
        <v>113</v>
      </c>
      <c r="F414">
        <v>79</v>
      </c>
      <c r="G414">
        <v>147</v>
      </c>
      <c r="H414">
        <v>11227</v>
      </c>
      <c r="I414">
        <v>12</v>
      </c>
    </row>
    <row r="415" spans="1:9" x14ac:dyDescent="0.25">
      <c r="A415" t="s">
        <v>2920</v>
      </c>
      <c r="B415" t="s">
        <v>1521</v>
      </c>
      <c r="C415">
        <v>22657</v>
      </c>
      <c r="D415">
        <v>0</v>
      </c>
      <c r="E415">
        <v>1863</v>
      </c>
      <c r="F415">
        <v>3888</v>
      </c>
      <c r="G415">
        <v>1408</v>
      </c>
      <c r="H415">
        <v>29816</v>
      </c>
      <c r="I415">
        <v>29</v>
      </c>
    </row>
    <row r="416" spans="1:9" x14ac:dyDescent="0.25">
      <c r="A416" t="s">
        <v>2826</v>
      </c>
      <c r="B416" t="s">
        <v>1041</v>
      </c>
      <c r="C416">
        <v>125</v>
      </c>
      <c r="D416">
        <v>0</v>
      </c>
      <c r="E416">
        <v>0</v>
      </c>
      <c r="F416">
        <v>0</v>
      </c>
      <c r="G416">
        <v>5786</v>
      </c>
      <c r="H416">
        <v>5911</v>
      </c>
      <c r="I416">
        <v>83</v>
      </c>
    </row>
    <row r="417" spans="1:9" x14ac:dyDescent="0.25">
      <c r="A417" t="s">
        <v>2822</v>
      </c>
      <c r="B417" t="s">
        <v>9787</v>
      </c>
      <c r="C417">
        <v>30711</v>
      </c>
      <c r="D417">
        <v>2</v>
      </c>
      <c r="E417">
        <v>583</v>
      </c>
      <c r="F417">
        <v>2899</v>
      </c>
      <c r="G417">
        <v>60</v>
      </c>
      <c r="H417">
        <v>34255</v>
      </c>
      <c r="I417">
        <v>64</v>
      </c>
    </row>
    <row r="418" spans="1:9" x14ac:dyDescent="0.25">
      <c r="A418" t="s">
        <v>2697</v>
      </c>
      <c r="B418" t="s">
        <v>1140</v>
      </c>
      <c r="C418">
        <v>3975</v>
      </c>
      <c r="D418">
        <v>454</v>
      </c>
      <c r="E418">
        <v>257</v>
      </c>
      <c r="F418">
        <v>402</v>
      </c>
      <c r="G418">
        <v>627</v>
      </c>
      <c r="H418">
        <v>5715</v>
      </c>
      <c r="I418">
        <v>31</v>
      </c>
    </row>
    <row r="419" spans="1:9" x14ac:dyDescent="0.25">
      <c r="A419" t="s">
        <v>2642</v>
      </c>
      <c r="B419" t="s">
        <v>1141</v>
      </c>
      <c r="C419">
        <v>2916</v>
      </c>
      <c r="D419">
        <v>0</v>
      </c>
      <c r="E419">
        <v>395</v>
      </c>
      <c r="F419">
        <v>428</v>
      </c>
      <c r="G419">
        <v>177</v>
      </c>
      <c r="H419">
        <v>3916</v>
      </c>
      <c r="I419">
        <v>12</v>
      </c>
    </row>
    <row r="420" spans="1:9" x14ac:dyDescent="0.25">
      <c r="A420" t="s">
        <v>2090</v>
      </c>
      <c r="B420" t="s">
        <v>1043</v>
      </c>
      <c r="C420">
        <v>16972</v>
      </c>
      <c r="D420">
        <v>0</v>
      </c>
      <c r="E420">
        <v>671</v>
      </c>
      <c r="F420">
        <v>2435</v>
      </c>
      <c r="G420">
        <v>1871</v>
      </c>
      <c r="H420">
        <v>21949</v>
      </c>
      <c r="I420">
        <v>63</v>
      </c>
    </row>
    <row r="421" spans="1:9" x14ac:dyDescent="0.25">
      <c r="A421" t="s">
        <v>2117</v>
      </c>
      <c r="B421" t="s">
        <v>1146</v>
      </c>
      <c r="C421">
        <v>63221</v>
      </c>
      <c r="D421">
        <v>536</v>
      </c>
      <c r="E421">
        <v>3504</v>
      </c>
      <c r="F421">
        <v>2117</v>
      </c>
      <c r="G421">
        <v>9493</v>
      </c>
      <c r="H421">
        <v>78871</v>
      </c>
      <c r="I421">
        <v>87</v>
      </c>
    </row>
    <row r="422" spans="1:9" x14ac:dyDescent="0.25">
      <c r="A422" t="s">
        <v>2889</v>
      </c>
      <c r="B422" t="s">
        <v>1321</v>
      </c>
      <c r="C422">
        <v>6376</v>
      </c>
      <c r="D422">
        <v>0</v>
      </c>
      <c r="E422">
        <v>0</v>
      </c>
      <c r="F422">
        <v>60</v>
      </c>
      <c r="G422">
        <v>31</v>
      </c>
      <c r="H422">
        <v>6467</v>
      </c>
      <c r="I422">
        <v>2</v>
      </c>
    </row>
    <row r="423" spans="1:9" x14ac:dyDescent="0.25">
      <c r="A423" t="s">
        <v>2327</v>
      </c>
      <c r="B423" t="s">
        <v>1905</v>
      </c>
      <c r="C423">
        <v>1238</v>
      </c>
      <c r="D423">
        <v>0</v>
      </c>
      <c r="E423">
        <v>0</v>
      </c>
      <c r="F423">
        <v>191</v>
      </c>
      <c r="G423">
        <v>0</v>
      </c>
      <c r="H423">
        <v>1429</v>
      </c>
      <c r="I423">
        <v>2</v>
      </c>
    </row>
    <row r="424" spans="1:9" x14ac:dyDescent="0.25">
      <c r="A424" t="s">
        <v>2138</v>
      </c>
      <c r="B424" t="s">
        <v>1049</v>
      </c>
      <c r="C424">
        <v>37314</v>
      </c>
      <c r="D424">
        <v>0</v>
      </c>
      <c r="E424">
        <v>771</v>
      </c>
      <c r="F424">
        <v>2722</v>
      </c>
      <c r="G424">
        <v>6688</v>
      </c>
      <c r="H424">
        <v>47495</v>
      </c>
      <c r="I424">
        <v>68</v>
      </c>
    </row>
    <row r="425" spans="1:9" x14ac:dyDescent="0.25">
      <c r="A425" t="s">
        <v>2908</v>
      </c>
      <c r="B425" t="s">
        <v>1525</v>
      </c>
      <c r="C425">
        <v>11784</v>
      </c>
      <c r="D425">
        <v>0</v>
      </c>
      <c r="E425">
        <v>294</v>
      </c>
      <c r="F425">
        <v>376</v>
      </c>
      <c r="G425">
        <v>791</v>
      </c>
      <c r="H425">
        <v>13245</v>
      </c>
      <c r="I425">
        <v>13</v>
      </c>
    </row>
    <row r="426" spans="1:9" x14ac:dyDescent="0.25">
      <c r="A426" t="s">
        <v>2902</v>
      </c>
      <c r="B426" t="s">
        <v>1754</v>
      </c>
      <c r="C426">
        <v>12473</v>
      </c>
      <c r="D426">
        <v>0</v>
      </c>
      <c r="E426">
        <v>1781</v>
      </c>
      <c r="F426">
        <v>0</v>
      </c>
      <c r="G426">
        <v>409</v>
      </c>
      <c r="H426">
        <v>14663</v>
      </c>
      <c r="I426">
        <v>4</v>
      </c>
    </row>
    <row r="427" spans="1:9" x14ac:dyDescent="0.25">
      <c r="A427" t="s">
        <v>2832</v>
      </c>
      <c r="B427" t="s">
        <v>1325</v>
      </c>
      <c r="C427">
        <v>5176</v>
      </c>
      <c r="D427">
        <v>0</v>
      </c>
      <c r="E427">
        <v>0</v>
      </c>
      <c r="F427">
        <v>0</v>
      </c>
      <c r="G427">
        <v>264</v>
      </c>
      <c r="H427">
        <v>5440</v>
      </c>
      <c r="I427">
        <v>2</v>
      </c>
    </row>
    <row r="428" spans="1:9" x14ac:dyDescent="0.25">
      <c r="A428" t="s">
        <v>2714</v>
      </c>
      <c r="B428" t="s">
        <v>10707</v>
      </c>
      <c r="C428">
        <v>2280</v>
      </c>
      <c r="D428">
        <v>0</v>
      </c>
      <c r="E428">
        <v>49</v>
      </c>
      <c r="F428">
        <v>206</v>
      </c>
      <c r="G428">
        <v>19</v>
      </c>
      <c r="H428">
        <v>2554</v>
      </c>
      <c r="I428">
        <v>4</v>
      </c>
    </row>
    <row r="429" spans="1:9" x14ac:dyDescent="0.25">
      <c r="A429" t="s">
        <v>2995</v>
      </c>
      <c r="B429" t="s">
        <v>1051</v>
      </c>
      <c r="C429">
        <v>5240</v>
      </c>
      <c r="D429">
        <v>3</v>
      </c>
      <c r="E429">
        <v>2938</v>
      </c>
      <c r="F429">
        <v>1209</v>
      </c>
      <c r="G429">
        <v>384</v>
      </c>
      <c r="H429">
        <v>9774</v>
      </c>
      <c r="I429">
        <v>101</v>
      </c>
    </row>
    <row r="430" spans="1:9" x14ac:dyDescent="0.25">
      <c r="A430" t="s">
        <v>2209</v>
      </c>
      <c r="B430" t="s">
        <v>1436</v>
      </c>
      <c r="C430">
        <v>558</v>
      </c>
      <c r="D430">
        <v>0</v>
      </c>
      <c r="E430">
        <v>506</v>
      </c>
      <c r="F430">
        <v>494</v>
      </c>
      <c r="G430">
        <v>75</v>
      </c>
      <c r="H430">
        <v>1633</v>
      </c>
      <c r="I430">
        <v>20</v>
      </c>
    </row>
    <row r="431" spans="1:9" x14ac:dyDescent="0.25">
      <c r="A431" t="s">
        <v>2856</v>
      </c>
      <c r="B431" t="s">
        <v>1331</v>
      </c>
      <c r="C431">
        <v>5428</v>
      </c>
      <c r="D431">
        <v>0</v>
      </c>
      <c r="E431">
        <v>0</v>
      </c>
      <c r="F431">
        <v>360</v>
      </c>
      <c r="G431">
        <v>502</v>
      </c>
      <c r="H431">
        <v>6290</v>
      </c>
      <c r="I431">
        <v>11</v>
      </c>
    </row>
    <row r="432" spans="1:9" x14ac:dyDescent="0.25">
      <c r="A432" t="s">
        <v>1970</v>
      </c>
      <c r="B432" t="s">
        <v>1646</v>
      </c>
      <c r="C432">
        <v>3683</v>
      </c>
      <c r="D432">
        <v>0</v>
      </c>
      <c r="E432">
        <v>0</v>
      </c>
      <c r="F432">
        <v>1695</v>
      </c>
      <c r="G432">
        <v>61</v>
      </c>
      <c r="H432">
        <v>5439</v>
      </c>
      <c r="I432">
        <v>2</v>
      </c>
    </row>
    <row r="433" spans="1:9" x14ac:dyDescent="0.25">
      <c r="A433" t="s">
        <v>1954</v>
      </c>
      <c r="B433" t="s">
        <v>1529</v>
      </c>
      <c r="C433">
        <v>9014</v>
      </c>
      <c r="D433">
        <v>0</v>
      </c>
      <c r="E433">
        <v>741</v>
      </c>
      <c r="F433">
        <v>1039</v>
      </c>
      <c r="G433">
        <v>490</v>
      </c>
      <c r="H433">
        <v>11284</v>
      </c>
      <c r="I433">
        <v>24</v>
      </c>
    </row>
    <row r="434" spans="1:9" x14ac:dyDescent="0.25">
      <c r="A434" t="s">
        <v>2014</v>
      </c>
      <c r="B434" t="s">
        <v>953</v>
      </c>
      <c r="C434">
        <v>0</v>
      </c>
      <c r="D434">
        <v>0</v>
      </c>
      <c r="E434">
        <v>1180</v>
      </c>
      <c r="F434">
        <v>0</v>
      </c>
      <c r="G434">
        <v>0</v>
      </c>
      <c r="H434">
        <v>1180</v>
      </c>
      <c r="I434">
        <v>96</v>
      </c>
    </row>
    <row r="435" spans="1:9" x14ac:dyDescent="0.25">
      <c r="A435" t="s">
        <v>2849</v>
      </c>
      <c r="B435" t="s">
        <v>1334</v>
      </c>
      <c r="C435">
        <v>6755</v>
      </c>
      <c r="D435">
        <v>0</v>
      </c>
      <c r="E435">
        <v>0</v>
      </c>
      <c r="F435">
        <v>390</v>
      </c>
      <c r="G435">
        <v>208</v>
      </c>
      <c r="H435">
        <v>7353</v>
      </c>
      <c r="I435">
        <v>4</v>
      </c>
    </row>
    <row r="436" spans="1:9" x14ac:dyDescent="0.25">
      <c r="A436" t="s">
        <v>1934</v>
      </c>
      <c r="B436" t="s">
        <v>1530</v>
      </c>
      <c r="C436">
        <v>11389</v>
      </c>
      <c r="D436">
        <v>0</v>
      </c>
      <c r="E436">
        <v>0</v>
      </c>
      <c r="F436">
        <v>911</v>
      </c>
      <c r="G436">
        <v>46</v>
      </c>
      <c r="H436">
        <v>12346</v>
      </c>
      <c r="I436">
        <v>2</v>
      </c>
    </row>
    <row r="437" spans="1:9" x14ac:dyDescent="0.25">
      <c r="A437" t="s">
        <v>2997</v>
      </c>
      <c r="B437" t="s">
        <v>1758</v>
      </c>
      <c r="C437">
        <v>5237</v>
      </c>
      <c r="D437">
        <v>267</v>
      </c>
      <c r="E437">
        <v>153</v>
      </c>
      <c r="F437">
        <v>553</v>
      </c>
      <c r="G437">
        <v>372</v>
      </c>
      <c r="H437">
        <v>6582</v>
      </c>
      <c r="I437">
        <v>16</v>
      </c>
    </row>
    <row r="438" spans="1:9" x14ac:dyDescent="0.25">
      <c r="A438" t="s">
        <v>3031</v>
      </c>
      <c r="B438" t="s">
        <v>1152</v>
      </c>
      <c r="C438">
        <v>5548</v>
      </c>
      <c r="D438">
        <v>0</v>
      </c>
      <c r="E438">
        <v>128</v>
      </c>
      <c r="F438">
        <v>590</v>
      </c>
      <c r="G438">
        <v>447</v>
      </c>
      <c r="H438">
        <v>6713</v>
      </c>
      <c r="I438">
        <v>22</v>
      </c>
    </row>
    <row r="439" spans="1:9" x14ac:dyDescent="0.25">
      <c r="A439" t="s">
        <v>1936</v>
      </c>
      <c r="B439" t="s">
        <v>1532</v>
      </c>
      <c r="C439">
        <v>7651</v>
      </c>
      <c r="D439">
        <v>14</v>
      </c>
      <c r="E439">
        <v>0</v>
      </c>
      <c r="F439">
        <v>299</v>
      </c>
      <c r="G439">
        <v>0</v>
      </c>
      <c r="H439">
        <v>7964</v>
      </c>
      <c r="I439">
        <v>2</v>
      </c>
    </row>
    <row r="440" spans="1:9" x14ac:dyDescent="0.25">
      <c r="A440" t="s">
        <v>2966</v>
      </c>
      <c r="B440" t="s">
        <v>1056</v>
      </c>
      <c r="C440">
        <v>1268</v>
      </c>
      <c r="D440">
        <v>11</v>
      </c>
      <c r="E440">
        <v>1842</v>
      </c>
      <c r="F440">
        <v>291</v>
      </c>
      <c r="G440">
        <v>0</v>
      </c>
      <c r="H440">
        <v>3412</v>
      </c>
      <c r="I440">
        <v>73</v>
      </c>
    </row>
    <row r="441" spans="1:9" x14ac:dyDescent="0.25">
      <c r="A441" t="s">
        <v>1972</v>
      </c>
      <c r="B441" t="s">
        <v>1057</v>
      </c>
      <c r="C441">
        <v>3849</v>
      </c>
      <c r="D441">
        <v>0</v>
      </c>
      <c r="E441">
        <v>866</v>
      </c>
      <c r="F441">
        <v>530</v>
      </c>
      <c r="G441">
        <v>1238</v>
      </c>
      <c r="H441">
        <v>6483</v>
      </c>
      <c r="I441">
        <v>89</v>
      </c>
    </row>
    <row r="442" spans="1:9" x14ac:dyDescent="0.25">
      <c r="A442" t="s">
        <v>2660</v>
      </c>
      <c r="B442" t="s">
        <v>955</v>
      </c>
      <c r="C442">
        <v>48759</v>
      </c>
      <c r="D442">
        <v>515</v>
      </c>
      <c r="E442">
        <v>3350</v>
      </c>
      <c r="F442">
        <v>10344</v>
      </c>
      <c r="G442">
        <v>2462</v>
      </c>
      <c r="H442">
        <v>65430</v>
      </c>
      <c r="I442">
        <v>207</v>
      </c>
    </row>
    <row r="443" spans="1:9" x14ac:dyDescent="0.25">
      <c r="A443" t="s">
        <v>2850</v>
      </c>
      <c r="B443" t="s">
        <v>1654</v>
      </c>
      <c r="C443">
        <v>4285</v>
      </c>
      <c r="D443">
        <v>0</v>
      </c>
      <c r="E443">
        <v>74</v>
      </c>
      <c r="F443">
        <v>1385</v>
      </c>
      <c r="G443">
        <v>451</v>
      </c>
      <c r="H443">
        <v>6195</v>
      </c>
      <c r="I443">
        <v>12</v>
      </c>
    </row>
    <row r="444" spans="1:9" x14ac:dyDescent="0.25">
      <c r="A444" t="s">
        <v>3000</v>
      </c>
      <c r="B444" t="s">
        <v>1760</v>
      </c>
      <c r="C444">
        <v>5125</v>
      </c>
      <c r="D444">
        <v>0</v>
      </c>
      <c r="E444">
        <v>86</v>
      </c>
      <c r="F444">
        <v>1414</v>
      </c>
      <c r="G444">
        <v>433</v>
      </c>
      <c r="H444">
        <v>7058</v>
      </c>
      <c r="I444">
        <v>3</v>
      </c>
    </row>
    <row r="445" spans="1:9" x14ac:dyDescent="0.25">
      <c r="A445" t="s">
        <v>2861</v>
      </c>
      <c r="B445" t="s">
        <v>1154</v>
      </c>
      <c r="C445">
        <v>7850</v>
      </c>
      <c r="D445">
        <v>0</v>
      </c>
      <c r="E445">
        <v>106</v>
      </c>
      <c r="F445">
        <v>771</v>
      </c>
      <c r="G445">
        <v>671</v>
      </c>
      <c r="H445">
        <v>9398</v>
      </c>
      <c r="I445">
        <v>15</v>
      </c>
    </row>
    <row r="446" spans="1:9" x14ac:dyDescent="0.25">
      <c r="A446" t="s">
        <v>2912</v>
      </c>
      <c r="B446" t="s">
        <v>1155</v>
      </c>
      <c r="C446">
        <v>3314</v>
      </c>
      <c r="D446">
        <v>0</v>
      </c>
      <c r="E446">
        <v>112</v>
      </c>
      <c r="F446">
        <v>73</v>
      </c>
      <c r="G446">
        <v>696</v>
      </c>
      <c r="H446">
        <v>4195</v>
      </c>
      <c r="I446">
        <v>35</v>
      </c>
    </row>
    <row r="447" spans="1:9" x14ac:dyDescent="0.25">
      <c r="A447" t="s">
        <v>2892</v>
      </c>
      <c r="B447" t="s">
        <v>1658</v>
      </c>
      <c r="C447">
        <v>6314</v>
      </c>
      <c r="D447">
        <v>0</v>
      </c>
      <c r="E447">
        <v>47</v>
      </c>
      <c r="F447">
        <v>350</v>
      </c>
      <c r="G447">
        <v>504</v>
      </c>
      <c r="H447">
        <v>7215</v>
      </c>
      <c r="I447">
        <v>7</v>
      </c>
    </row>
    <row r="448" spans="1:9" x14ac:dyDescent="0.25">
      <c r="A448" t="s">
        <v>2827</v>
      </c>
      <c r="B448" t="s">
        <v>1660</v>
      </c>
      <c r="C448">
        <v>5943</v>
      </c>
      <c r="D448">
        <v>0</v>
      </c>
      <c r="E448">
        <v>154</v>
      </c>
      <c r="F448">
        <v>575</v>
      </c>
      <c r="G448">
        <v>917</v>
      </c>
      <c r="H448">
        <v>7589</v>
      </c>
      <c r="I448">
        <v>10</v>
      </c>
    </row>
    <row r="449" spans="1:9" x14ac:dyDescent="0.25">
      <c r="A449" t="s">
        <v>1973</v>
      </c>
      <c r="B449" t="s">
        <v>1537</v>
      </c>
      <c r="C449">
        <v>2836</v>
      </c>
      <c r="D449">
        <v>0</v>
      </c>
      <c r="E449">
        <v>0</v>
      </c>
      <c r="F449">
        <v>420</v>
      </c>
      <c r="G449">
        <v>127</v>
      </c>
      <c r="H449">
        <v>3383</v>
      </c>
      <c r="I449">
        <v>2</v>
      </c>
    </row>
    <row r="450" spans="1:9" x14ac:dyDescent="0.25">
      <c r="A450" t="s">
        <v>2843</v>
      </c>
      <c r="B450" t="s">
        <v>1538</v>
      </c>
      <c r="C450">
        <v>3660</v>
      </c>
      <c r="D450">
        <v>0</v>
      </c>
      <c r="E450">
        <v>3</v>
      </c>
      <c r="F450">
        <v>118</v>
      </c>
      <c r="G450">
        <v>41</v>
      </c>
      <c r="H450">
        <v>3822</v>
      </c>
      <c r="I450">
        <v>1</v>
      </c>
    </row>
    <row r="451" spans="1:9" x14ac:dyDescent="0.25">
      <c r="A451" t="s">
        <v>11768</v>
      </c>
      <c r="B451" t="s">
        <v>11663</v>
      </c>
      <c r="C451">
        <v>51770</v>
      </c>
      <c r="D451">
        <v>1243</v>
      </c>
      <c r="E451">
        <v>1430</v>
      </c>
      <c r="F451">
        <v>5878</v>
      </c>
      <c r="G451">
        <v>7508</v>
      </c>
      <c r="H451">
        <v>67829</v>
      </c>
      <c r="I451">
        <v>107</v>
      </c>
    </row>
    <row r="452" spans="1:9" x14ac:dyDescent="0.25">
      <c r="A452" t="s">
        <v>2890</v>
      </c>
      <c r="B452" t="s">
        <v>1541</v>
      </c>
      <c r="C452">
        <v>5745</v>
      </c>
      <c r="D452">
        <v>0</v>
      </c>
      <c r="E452">
        <v>0</v>
      </c>
      <c r="F452">
        <v>219</v>
      </c>
      <c r="G452">
        <v>283</v>
      </c>
      <c r="H452">
        <v>6247</v>
      </c>
      <c r="I452">
        <v>5</v>
      </c>
    </row>
    <row r="453" spans="1:9" x14ac:dyDescent="0.25">
      <c r="A453" t="s">
        <v>2080</v>
      </c>
      <c r="B453" t="s">
        <v>960</v>
      </c>
      <c r="C453">
        <v>47004</v>
      </c>
      <c r="D453">
        <v>1</v>
      </c>
      <c r="E453">
        <v>1118</v>
      </c>
      <c r="F453">
        <v>2261</v>
      </c>
      <c r="G453">
        <v>8061</v>
      </c>
      <c r="H453">
        <v>58445</v>
      </c>
      <c r="I453">
        <v>56</v>
      </c>
    </row>
    <row r="454" spans="1:9" x14ac:dyDescent="0.25">
      <c r="A454" t="s">
        <v>2074</v>
      </c>
      <c r="B454" t="s">
        <v>14380</v>
      </c>
      <c r="C454">
        <v>13109</v>
      </c>
      <c r="D454">
        <v>1168</v>
      </c>
      <c r="E454">
        <v>353</v>
      </c>
      <c r="F454">
        <v>1485</v>
      </c>
      <c r="G454">
        <v>2378</v>
      </c>
      <c r="H454">
        <v>18493</v>
      </c>
      <c r="I454">
        <v>36</v>
      </c>
    </row>
    <row r="455" spans="1:9" x14ac:dyDescent="0.25">
      <c r="A455" t="s">
        <v>2922</v>
      </c>
      <c r="B455" t="s">
        <v>1158</v>
      </c>
      <c r="C455">
        <v>44</v>
      </c>
      <c r="D455">
        <v>95</v>
      </c>
      <c r="E455">
        <v>1431</v>
      </c>
      <c r="F455">
        <v>0</v>
      </c>
      <c r="G455">
        <v>0</v>
      </c>
      <c r="H455">
        <v>1570</v>
      </c>
      <c r="I455">
        <v>21</v>
      </c>
    </row>
    <row r="456" spans="1:9" x14ac:dyDescent="0.25">
      <c r="A456" t="s">
        <v>1993</v>
      </c>
      <c r="B456" t="s">
        <v>1062</v>
      </c>
      <c r="C456">
        <v>1103</v>
      </c>
      <c r="D456">
        <v>0</v>
      </c>
      <c r="E456">
        <v>8</v>
      </c>
      <c r="F456">
        <v>133</v>
      </c>
      <c r="G456">
        <v>58</v>
      </c>
      <c r="H456">
        <v>1302</v>
      </c>
      <c r="I456">
        <v>23</v>
      </c>
    </row>
    <row r="457" spans="1:9" x14ac:dyDescent="0.25">
      <c r="A457" t="s">
        <v>2752</v>
      </c>
      <c r="B457" t="s">
        <v>962</v>
      </c>
      <c r="C457">
        <v>25974</v>
      </c>
      <c r="D457">
        <v>8</v>
      </c>
      <c r="E457">
        <v>708</v>
      </c>
      <c r="F457">
        <v>1933</v>
      </c>
      <c r="G457">
        <v>3622</v>
      </c>
      <c r="H457">
        <v>32245</v>
      </c>
      <c r="I457">
        <v>123</v>
      </c>
    </row>
    <row r="458" spans="1:9" x14ac:dyDescent="0.25">
      <c r="A458" t="s">
        <v>1974</v>
      </c>
      <c r="B458" t="s">
        <v>1063</v>
      </c>
      <c r="C458">
        <v>0</v>
      </c>
      <c r="D458">
        <v>0</v>
      </c>
      <c r="E458">
        <v>1852</v>
      </c>
      <c r="F458">
        <v>0</v>
      </c>
      <c r="G458">
        <v>0</v>
      </c>
      <c r="H458">
        <v>1852</v>
      </c>
      <c r="I458">
        <v>1</v>
      </c>
    </row>
    <row r="459" spans="1:9" x14ac:dyDescent="0.25">
      <c r="A459" t="s">
        <v>2829</v>
      </c>
      <c r="B459" t="s">
        <v>1159</v>
      </c>
      <c r="C459">
        <v>7156</v>
      </c>
      <c r="D459">
        <v>675</v>
      </c>
      <c r="E459">
        <v>292</v>
      </c>
      <c r="F459">
        <v>79</v>
      </c>
      <c r="G459">
        <v>252</v>
      </c>
      <c r="H459">
        <v>8454</v>
      </c>
      <c r="I459">
        <v>22</v>
      </c>
    </row>
    <row r="460" spans="1:9" x14ac:dyDescent="0.25">
      <c r="A460" t="s">
        <v>3030</v>
      </c>
      <c r="B460" t="s">
        <v>1770</v>
      </c>
      <c r="C460">
        <v>2743</v>
      </c>
      <c r="D460">
        <v>0</v>
      </c>
      <c r="E460">
        <v>0</v>
      </c>
      <c r="F460">
        <v>997</v>
      </c>
      <c r="G460">
        <v>165</v>
      </c>
      <c r="H460">
        <v>3905</v>
      </c>
      <c r="I460">
        <v>6</v>
      </c>
    </row>
    <row r="461" spans="1:9" x14ac:dyDescent="0.25">
      <c r="A461" t="s">
        <v>2676</v>
      </c>
      <c r="B461" t="s">
        <v>1354</v>
      </c>
      <c r="C461">
        <v>1170</v>
      </c>
      <c r="D461">
        <v>0</v>
      </c>
      <c r="E461">
        <v>0</v>
      </c>
      <c r="F461">
        <v>0</v>
      </c>
      <c r="G461">
        <v>253</v>
      </c>
      <c r="H461">
        <v>1423</v>
      </c>
      <c r="I461">
        <v>6</v>
      </c>
    </row>
    <row r="462" spans="1:9" x14ac:dyDescent="0.25">
      <c r="A462" t="s">
        <v>2712</v>
      </c>
      <c r="B462" t="s">
        <v>1168</v>
      </c>
      <c r="C462">
        <v>2133</v>
      </c>
      <c r="D462">
        <v>2</v>
      </c>
      <c r="E462">
        <v>173</v>
      </c>
      <c r="F462">
        <v>215</v>
      </c>
      <c r="G462">
        <v>445</v>
      </c>
      <c r="H462">
        <v>2968</v>
      </c>
      <c r="I462">
        <v>7</v>
      </c>
    </row>
    <row r="463" spans="1:9" x14ac:dyDescent="0.25">
      <c r="A463" t="s">
        <v>3016</v>
      </c>
      <c r="B463" t="s">
        <v>1857</v>
      </c>
      <c r="C463">
        <v>3638</v>
      </c>
      <c r="D463">
        <v>0</v>
      </c>
      <c r="E463">
        <v>2090</v>
      </c>
      <c r="F463">
        <v>0</v>
      </c>
      <c r="G463">
        <v>319</v>
      </c>
      <c r="H463">
        <v>6047</v>
      </c>
      <c r="I463">
        <v>4</v>
      </c>
    </row>
    <row r="464" spans="1:9" x14ac:dyDescent="0.25">
      <c r="A464" t="s">
        <v>2001</v>
      </c>
      <c r="B464" t="s">
        <v>1069</v>
      </c>
      <c r="C464">
        <v>44698</v>
      </c>
      <c r="D464">
        <v>7</v>
      </c>
      <c r="E464">
        <v>806</v>
      </c>
      <c r="F464">
        <v>7361</v>
      </c>
      <c r="G464">
        <v>6795</v>
      </c>
      <c r="H464">
        <v>59667</v>
      </c>
      <c r="I464">
        <v>134</v>
      </c>
    </row>
    <row r="465" spans="1:9" x14ac:dyDescent="0.25">
      <c r="A465" t="s">
        <v>3023</v>
      </c>
      <c r="B465" t="s">
        <v>1172</v>
      </c>
      <c r="C465">
        <v>6670</v>
      </c>
      <c r="D465">
        <v>0</v>
      </c>
      <c r="E465">
        <v>98</v>
      </c>
      <c r="F465">
        <v>261</v>
      </c>
      <c r="G465">
        <v>431</v>
      </c>
      <c r="H465">
        <v>7460</v>
      </c>
      <c r="I465">
        <v>11</v>
      </c>
    </row>
    <row r="466" spans="1:9" x14ac:dyDescent="0.25">
      <c r="A466" t="s">
        <v>2825</v>
      </c>
      <c r="B466" t="s">
        <v>1860</v>
      </c>
      <c r="C466">
        <v>2269</v>
      </c>
      <c r="D466">
        <v>0</v>
      </c>
      <c r="E466">
        <v>0</v>
      </c>
      <c r="F466">
        <v>128</v>
      </c>
      <c r="G466">
        <v>40</v>
      </c>
      <c r="H466">
        <v>2437</v>
      </c>
      <c r="I466">
        <v>1</v>
      </c>
    </row>
    <row r="467" spans="1:9" x14ac:dyDescent="0.25">
      <c r="A467" t="s">
        <v>2907</v>
      </c>
      <c r="B467" t="s">
        <v>1072</v>
      </c>
      <c r="C467">
        <v>48659</v>
      </c>
      <c r="D467">
        <v>19</v>
      </c>
      <c r="E467">
        <v>5407</v>
      </c>
      <c r="F467">
        <v>5432</v>
      </c>
      <c r="G467">
        <v>5096</v>
      </c>
      <c r="H467">
        <v>64613</v>
      </c>
      <c r="I467">
        <v>150</v>
      </c>
    </row>
    <row r="468" spans="1:9" x14ac:dyDescent="0.25">
      <c r="A468" t="s">
        <v>2684</v>
      </c>
      <c r="B468" t="s">
        <v>966</v>
      </c>
      <c r="C468">
        <v>5261</v>
      </c>
      <c r="D468">
        <v>0</v>
      </c>
      <c r="E468">
        <v>25</v>
      </c>
      <c r="F468">
        <v>171</v>
      </c>
      <c r="G468">
        <v>2120</v>
      </c>
      <c r="H468">
        <v>7577</v>
      </c>
      <c r="I468">
        <v>30</v>
      </c>
    </row>
    <row r="469" spans="1:9" x14ac:dyDescent="0.25">
      <c r="A469" t="s">
        <v>3011</v>
      </c>
      <c r="B469" t="s">
        <v>1861</v>
      </c>
      <c r="C469">
        <v>10714</v>
      </c>
      <c r="D469">
        <v>0</v>
      </c>
      <c r="E469">
        <v>782</v>
      </c>
      <c r="F469">
        <v>1398</v>
      </c>
      <c r="G469">
        <v>340</v>
      </c>
      <c r="H469">
        <v>13234</v>
      </c>
      <c r="I469">
        <v>11</v>
      </c>
    </row>
    <row r="470" spans="1:9" x14ac:dyDescent="0.25">
      <c r="A470" t="s">
        <v>2896</v>
      </c>
      <c r="B470" t="s">
        <v>1180</v>
      </c>
      <c r="C470">
        <v>30676</v>
      </c>
      <c r="D470">
        <v>6</v>
      </c>
      <c r="E470">
        <v>312</v>
      </c>
      <c r="F470">
        <v>2680</v>
      </c>
      <c r="G470">
        <v>1309</v>
      </c>
      <c r="H470">
        <v>34983</v>
      </c>
      <c r="I470">
        <v>18</v>
      </c>
    </row>
    <row r="471" spans="1:9" x14ac:dyDescent="0.25">
      <c r="A471" t="s">
        <v>2894</v>
      </c>
      <c r="B471" t="s">
        <v>1181</v>
      </c>
      <c r="C471">
        <v>3892</v>
      </c>
      <c r="D471">
        <v>0</v>
      </c>
      <c r="E471">
        <v>0</v>
      </c>
      <c r="F471">
        <v>571</v>
      </c>
      <c r="G471">
        <v>441</v>
      </c>
      <c r="H471">
        <v>4904</v>
      </c>
      <c r="I471">
        <v>14</v>
      </c>
    </row>
    <row r="472" spans="1:9" x14ac:dyDescent="0.25">
      <c r="A472" t="s">
        <v>2830</v>
      </c>
      <c r="B472" t="s">
        <v>1075</v>
      </c>
      <c r="C472">
        <v>34165</v>
      </c>
      <c r="D472">
        <v>0</v>
      </c>
      <c r="E472">
        <v>506</v>
      </c>
      <c r="F472">
        <v>585</v>
      </c>
      <c r="G472">
        <v>1653</v>
      </c>
      <c r="H472">
        <v>36909</v>
      </c>
      <c r="I472">
        <v>33</v>
      </c>
    </row>
    <row r="473" spans="1:9" x14ac:dyDescent="0.25">
      <c r="A473" t="s">
        <v>2132</v>
      </c>
      <c r="B473" t="s">
        <v>1553</v>
      </c>
      <c r="C473">
        <v>33757</v>
      </c>
      <c r="D473">
        <v>0</v>
      </c>
      <c r="E473">
        <v>228</v>
      </c>
      <c r="F473">
        <v>3801</v>
      </c>
      <c r="G473">
        <v>1590</v>
      </c>
      <c r="H473">
        <v>39376</v>
      </c>
      <c r="I473">
        <v>11</v>
      </c>
    </row>
    <row r="474" spans="1:9" x14ac:dyDescent="0.25">
      <c r="A474" t="s">
        <v>2847</v>
      </c>
      <c r="B474" t="s">
        <v>1372</v>
      </c>
      <c r="C474">
        <v>1999</v>
      </c>
      <c r="D474">
        <v>0</v>
      </c>
      <c r="E474">
        <v>0</v>
      </c>
      <c r="F474">
        <v>0</v>
      </c>
      <c r="G474">
        <v>54</v>
      </c>
      <c r="H474">
        <v>2053</v>
      </c>
      <c r="I474">
        <v>1</v>
      </c>
    </row>
    <row r="475" spans="1:9" x14ac:dyDescent="0.25">
      <c r="A475" t="s">
        <v>2845</v>
      </c>
      <c r="B475" t="s">
        <v>1684</v>
      </c>
      <c r="C475">
        <v>10241</v>
      </c>
      <c r="D475">
        <v>0</v>
      </c>
      <c r="E475">
        <v>77</v>
      </c>
      <c r="F475">
        <v>858</v>
      </c>
      <c r="G475">
        <v>1384</v>
      </c>
      <c r="H475">
        <v>12560</v>
      </c>
      <c r="I475">
        <v>30</v>
      </c>
    </row>
    <row r="476" spans="1:9" x14ac:dyDescent="0.25">
      <c r="A476" t="s">
        <v>2852</v>
      </c>
      <c r="B476" t="s">
        <v>1076</v>
      </c>
      <c r="C476">
        <v>6148</v>
      </c>
      <c r="D476">
        <v>0</v>
      </c>
      <c r="E476">
        <v>2</v>
      </c>
      <c r="F476">
        <v>165</v>
      </c>
      <c r="G476">
        <v>329</v>
      </c>
      <c r="H476">
        <v>6644</v>
      </c>
      <c r="I476">
        <v>6</v>
      </c>
    </row>
    <row r="477" spans="1:9" x14ac:dyDescent="0.25">
      <c r="A477" t="s">
        <v>2711</v>
      </c>
      <c r="B477" t="s">
        <v>1077</v>
      </c>
      <c r="C477">
        <v>2012</v>
      </c>
      <c r="D477">
        <v>0</v>
      </c>
      <c r="E477">
        <v>602</v>
      </c>
      <c r="F477">
        <v>446</v>
      </c>
      <c r="G477">
        <v>94</v>
      </c>
      <c r="H477">
        <v>3154</v>
      </c>
      <c r="I477">
        <v>15</v>
      </c>
    </row>
    <row r="478" spans="1:9" x14ac:dyDescent="0.25">
      <c r="A478" t="s">
        <v>2810</v>
      </c>
      <c r="B478" t="s">
        <v>1079</v>
      </c>
      <c r="C478">
        <v>1302</v>
      </c>
      <c r="D478">
        <v>0</v>
      </c>
      <c r="E478">
        <v>101</v>
      </c>
      <c r="F478">
        <v>92</v>
      </c>
      <c r="G478">
        <v>82</v>
      </c>
      <c r="H478">
        <v>1577</v>
      </c>
      <c r="I478">
        <v>12</v>
      </c>
    </row>
    <row r="479" spans="1:9" x14ac:dyDescent="0.25">
      <c r="A479" t="s">
        <v>2865</v>
      </c>
      <c r="B479" t="s">
        <v>1790</v>
      </c>
      <c r="C479">
        <v>3649</v>
      </c>
      <c r="D479">
        <v>0</v>
      </c>
      <c r="E479">
        <v>0</v>
      </c>
      <c r="F479">
        <v>595</v>
      </c>
      <c r="G479">
        <v>317</v>
      </c>
      <c r="H479">
        <v>4561</v>
      </c>
      <c r="I479">
        <v>6</v>
      </c>
    </row>
    <row r="480" spans="1:9" x14ac:dyDescent="0.25">
      <c r="A480" t="s">
        <v>2976</v>
      </c>
      <c r="B480" t="s">
        <v>1919</v>
      </c>
      <c r="C480">
        <v>1299</v>
      </c>
      <c r="D480">
        <v>0</v>
      </c>
      <c r="E480">
        <v>24</v>
      </c>
      <c r="F480">
        <v>0</v>
      </c>
      <c r="G480">
        <v>60</v>
      </c>
      <c r="H480">
        <v>1383</v>
      </c>
      <c r="I480">
        <v>2</v>
      </c>
    </row>
    <row r="481" spans="1:9" x14ac:dyDescent="0.25">
      <c r="A481" t="s">
        <v>2091</v>
      </c>
      <c r="B481" t="s">
        <v>968</v>
      </c>
      <c r="C481">
        <v>26262</v>
      </c>
      <c r="D481">
        <v>0</v>
      </c>
      <c r="E481">
        <v>251</v>
      </c>
      <c r="F481">
        <v>1234</v>
      </c>
      <c r="G481">
        <v>4782</v>
      </c>
      <c r="H481">
        <v>32529</v>
      </c>
      <c r="I481">
        <v>25</v>
      </c>
    </row>
    <row r="482" spans="1:9" x14ac:dyDescent="0.25">
      <c r="A482" t="s">
        <v>2871</v>
      </c>
      <c r="B482" t="s">
        <v>1920</v>
      </c>
      <c r="C482">
        <v>29598</v>
      </c>
      <c r="D482">
        <v>0</v>
      </c>
      <c r="E482">
        <v>1513</v>
      </c>
      <c r="F482">
        <v>0</v>
      </c>
      <c r="G482">
        <v>1034</v>
      </c>
      <c r="H482">
        <v>32145</v>
      </c>
      <c r="I482">
        <v>11</v>
      </c>
    </row>
    <row r="483" spans="1:9" x14ac:dyDescent="0.25">
      <c r="A483" t="s">
        <v>2866</v>
      </c>
      <c r="B483" t="s">
        <v>1865</v>
      </c>
      <c r="C483">
        <v>20598</v>
      </c>
      <c r="D483">
        <v>0</v>
      </c>
      <c r="E483">
        <v>345</v>
      </c>
      <c r="F483">
        <v>0</v>
      </c>
      <c r="G483">
        <v>791</v>
      </c>
      <c r="H483">
        <v>21734</v>
      </c>
      <c r="I483">
        <v>22</v>
      </c>
    </row>
    <row r="484" spans="1:9" x14ac:dyDescent="0.25">
      <c r="A484" t="s">
        <v>2664</v>
      </c>
      <c r="B484" t="s">
        <v>1380</v>
      </c>
      <c r="C484">
        <v>5823</v>
      </c>
      <c r="D484">
        <v>5</v>
      </c>
      <c r="E484">
        <v>166</v>
      </c>
      <c r="F484">
        <v>45</v>
      </c>
      <c r="G484">
        <v>775</v>
      </c>
      <c r="H484">
        <v>6814</v>
      </c>
      <c r="I484">
        <v>13</v>
      </c>
    </row>
    <row r="485" spans="1:9" x14ac:dyDescent="0.25">
      <c r="A485" t="s">
        <v>2678</v>
      </c>
      <c r="B485" t="s">
        <v>1556</v>
      </c>
      <c r="C485">
        <v>1037</v>
      </c>
      <c r="D485">
        <v>0</v>
      </c>
      <c r="E485">
        <v>71</v>
      </c>
      <c r="F485">
        <v>157</v>
      </c>
      <c r="G485">
        <v>34</v>
      </c>
      <c r="H485">
        <v>1299</v>
      </c>
      <c r="I485">
        <v>1</v>
      </c>
    </row>
    <row r="486" spans="1:9" x14ac:dyDescent="0.25">
      <c r="A486" t="s">
        <v>2886</v>
      </c>
      <c r="B486" t="s">
        <v>1185</v>
      </c>
      <c r="C486">
        <v>4574</v>
      </c>
      <c r="D486">
        <v>100</v>
      </c>
      <c r="E486">
        <v>0</v>
      </c>
      <c r="F486">
        <v>469</v>
      </c>
      <c r="G486">
        <v>291</v>
      </c>
      <c r="H486">
        <v>5434</v>
      </c>
      <c r="I486">
        <v>7</v>
      </c>
    </row>
    <row r="487" spans="1:9" x14ac:dyDescent="0.25">
      <c r="A487" t="s">
        <v>2864</v>
      </c>
      <c r="B487" t="s">
        <v>11684</v>
      </c>
      <c r="C487">
        <v>2529</v>
      </c>
      <c r="D487">
        <v>0</v>
      </c>
      <c r="E487">
        <v>0</v>
      </c>
      <c r="F487">
        <v>86</v>
      </c>
      <c r="G487">
        <v>0</v>
      </c>
      <c r="H487">
        <v>2615</v>
      </c>
      <c r="I487">
        <v>2</v>
      </c>
    </row>
    <row r="488" spans="1:9" x14ac:dyDescent="0.25">
      <c r="A488" t="s">
        <v>2857</v>
      </c>
      <c r="B488" t="s">
        <v>1557</v>
      </c>
      <c r="C488">
        <v>6138</v>
      </c>
      <c r="D488">
        <v>0</v>
      </c>
      <c r="E488">
        <v>0</v>
      </c>
      <c r="F488">
        <v>109</v>
      </c>
      <c r="G488">
        <v>131</v>
      </c>
      <c r="H488">
        <v>6378</v>
      </c>
      <c r="I488">
        <v>3</v>
      </c>
    </row>
    <row r="489" spans="1:9" x14ac:dyDescent="0.25">
      <c r="A489" t="s">
        <v>2980</v>
      </c>
      <c r="B489" t="s">
        <v>1691</v>
      </c>
      <c r="C489">
        <v>6466</v>
      </c>
      <c r="D489">
        <v>0</v>
      </c>
      <c r="E489">
        <v>79</v>
      </c>
      <c r="F489">
        <v>776</v>
      </c>
      <c r="G489">
        <v>947</v>
      </c>
      <c r="H489">
        <v>8268</v>
      </c>
      <c r="I489">
        <v>12</v>
      </c>
    </row>
    <row r="490" spans="1:9" x14ac:dyDescent="0.25">
      <c r="A490" t="s">
        <v>2075</v>
      </c>
      <c r="B490" t="s">
        <v>1793</v>
      </c>
      <c r="C490">
        <v>5347</v>
      </c>
      <c r="D490">
        <v>0</v>
      </c>
      <c r="E490">
        <v>324</v>
      </c>
      <c r="F490">
        <v>657</v>
      </c>
      <c r="G490">
        <v>933</v>
      </c>
      <c r="H490">
        <v>7261</v>
      </c>
      <c r="I490">
        <v>12</v>
      </c>
    </row>
    <row r="491" spans="1:9" x14ac:dyDescent="0.25">
      <c r="A491" t="s">
        <v>2784</v>
      </c>
      <c r="B491" t="s">
        <v>11715</v>
      </c>
      <c r="C491">
        <v>1394</v>
      </c>
      <c r="D491">
        <v>0</v>
      </c>
      <c r="E491">
        <v>0</v>
      </c>
      <c r="F491">
        <v>0</v>
      </c>
      <c r="G491">
        <v>102</v>
      </c>
      <c r="H491">
        <v>1496</v>
      </c>
      <c r="I491">
        <v>13</v>
      </c>
    </row>
    <row r="492" spans="1:9" x14ac:dyDescent="0.25">
      <c r="A492" t="s">
        <v>3009</v>
      </c>
      <c r="B492" t="s">
        <v>1697</v>
      </c>
      <c r="C492">
        <v>3360</v>
      </c>
      <c r="D492">
        <v>0</v>
      </c>
      <c r="E492">
        <v>11</v>
      </c>
      <c r="F492">
        <v>232</v>
      </c>
      <c r="G492">
        <v>239</v>
      </c>
      <c r="H492">
        <v>3842</v>
      </c>
      <c r="I492">
        <v>7</v>
      </c>
    </row>
    <row r="493" spans="1:9" x14ac:dyDescent="0.25">
      <c r="A493" t="s">
        <v>2840</v>
      </c>
      <c r="B493" t="s">
        <v>11699</v>
      </c>
      <c r="C493">
        <v>13243</v>
      </c>
      <c r="D493">
        <v>5</v>
      </c>
      <c r="E493">
        <v>116</v>
      </c>
      <c r="F493">
        <v>69</v>
      </c>
      <c r="G493">
        <v>301</v>
      </c>
      <c r="H493">
        <v>13734</v>
      </c>
      <c r="I493">
        <v>3</v>
      </c>
    </row>
    <row r="494" spans="1:9" x14ac:dyDescent="0.25">
      <c r="A494" t="s">
        <v>2998</v>
      </c>
      <c r="B494" t="s">
        <v>1398</v>
      </c>
      <c r="C494">
        <v>56</v>
      </c>
      <c r="D494">
        <v>0</v>
      </c>
      <c r="E494">
        <v>1141</v>
      </c>
      <c r="F494">
        <v>0</v>
      </c>
      <c r="G494">
        <v>0</v>
      </c>
      <c r="H494">
        <v>1197</v>
      </c>
      <c r="I494">
        <v>9</v>
      </c>
    </row>
    <row r="495" spans="1:9" x14ac:dyDescent="0.25">
      <c r="A495" t="s">
        <v>2895</v>
      </c>
      <c r="B495" t="s">
        <v>1563</v>
      </c>
      <c r="C495">
        <v>15766</v>
      </c>
      <c r="D495">
        <v>7</v>
      </c>
      <c r="E495">
        <v>403</v>
      </c>
      <c r="F495">
        <v>837</v>
      </c>
      <c r="G495">
        <v>1381</v>
      </c>
      <c r="H495">
        <v>18394</v>
      </c>
      <c r="I495">
        <v>14</v>
      </c>
    </row>
    <row r="496" spans="1:9" x14ac:dyDescent="0.25">
      <c r="A496" t="s">
        <v>2757</v>
      </c>
      <c r="B496" t="s">
        <v>1083</v>
      </c>
      <c r="C496">
        <v>18026</v>
      </c>
      <c r="D496">
        <v>6</v>
      </c>
      <c r="E496">
        <v>772</v>
      </c>
      <c r="F496">
        <v>3293</v>
      </c>
      <c r="G496">
        <v>2049</v>
      </c>
      <c r="H496">
        <v>24146</v>
      </c>
      <c r="I496">
        <v>42</v>
      </c>
    </row>
    <row r="497" spans="1:9" x14ac:dyDescent="0.25">
      <c r="A497" t="s">
        <v>2985</v>
      </c>
      <c r="B497" t="s">
        <v>981</v>
      </c>
      <c r="C497">
        <v>12304</v>
      </c>
      <c r="D497">
        <v>166</v>
      </c>
      <c r="E497">
        <v>197</v>
      </c>
      <c r="F497">
        <v>1010</v>
      </c>
      <c r="G497">
        <v>3122</v>
      </c>
      <c r="H497">
        <v>16799</v>
      </c>
      <c r="I497">
        <v>28</v>
      </c>
    </row>
    <row r="498" spans="1:9" x14ac:dyDescent="0.25">
      <c r="A498" t="s">
        <v>10571</v>
      </c>
      <c r="B498" t="s">
        <v>10572</v>
      </c>
      <c r="C498">
        <v>0</v>
      </c>
      <c r="D498">
        <v>0</v>
      </c>
      <c r="E498">
        <v>0</v>
      </c>
      <c r="F498">
        <v>0</v>
      </c>
      <c r="G498">
        <v>0</v>
      </c>
      <c r="H498">
        <v>0</v>
      </c>
      <c r="I498">
        <v>0</v>
      </c>
    </row>
    <row r="499" spans="1:9" x14ac:dyDescent="0.25">
      <c r="A499" t="s">
        <v>2024</v>
      </c>
      <c r="B499" t="s">
        <v>1458</v>
      </c>
      <c r="C499">
        <v>157</v>
      </c>
      <c r="D499">
        <v>0</v>
      </c>
      <c r="E499">
        <v>0</v>
      </c>
      <c r="F499">
        <v>0</v>
      </c>
      <c r="G499">
        <v>0</v>
      </c>
      <c r="H499">
        <v>157</v>
      </c>
      <c r="I499">
        <v>16</v>
      </c>
    </row>
    <row r="500" spans="1:9" x14ac:dyDescent="0.25">
      <c r="A500" t="s">
        <v>11749</v>
      </c>
      <c r="B500" t="s">
        <v>11750</v>
      </c>
      <c r="C500">
        <v>0</v>
      </c>
      <c r="D500">
        <v>0</v>
      </c>
      <c r="E500">
        <v>0</v>
      </c>
      <c r="F500">
        <v>0</v>
      </c>
      <c r="G500">
        <v>0</v>
      </c>
      <c r="H500">
        <v>0</v>
      </c>
      <c r="I500">
        <v>0</v>
      </c>
    </row>
    <row r="501" spans="1:9" x14ac:dyDescent="0.25">
      <c r="A501" t="s">
        <v>1998</v>
      </c>
      <c r="B501" t="s">
        <v>11671</v>
      </c>
      <c r="C501">
        <v>14</v>
      </c>
      <c r="D501">
        <v>0</v>
      </c>
      <c r="E501">
        <v>0</v>
      </c>
      <c r="F501">
        <v>0</v>
      </c>
      <c r="G501">
        <v>0</v>
      </c>
      <c r="H501">
        <v>14</v>
      </c>
      <c r="I501">
        <v>1</v>
      </c>
    </row>
    <row r="502" spans="1:9" x14ac:dyDescent="0.25">
      <c r="A502" t="s">
        <v>10678</v>
      </c>
      <c r="B502" t="s">
        <v>10679</v>
      </c>
      <c r="C502">
        <v>0</v>
      </c>
      <c r="D502">
        <v>0</v>
      </c>
      <c r="E502">
        <v>0</v>
      </c>
      <c r="F502">
        <v>0</v>
      </c>
      <c r="G502">
        <v>0</v>
      </c>
      <c r="H502">
        <v>0</v>
      </c>
      <c r="I502">
        <v>0</v>
      </c>
    </row>
    <row r="503" spans="1:9" x14ac:dyDescent="0.25">
      <c r="A503" t="s">
        <v>10666</v>
      </c>
      <c r="B503" t="s">
        <v>10667</v>
      </c>
      <c r="C503">
        <v>1306</v>
      </c>
      <c r="D503">
        <v>0</v>
      </c>
      <c r="E503">
        <v>0</v>
      </c>
      <c r="F503">
        <v>0</v>
      </c>
      <c r="G503">
        <v>0</v>
      </c>
      <c r="H503">
        <v>1306</v>
      </c>
      <c r="I503">
        <v>42</v>
      </c>
    </row>
    <row r="504" spans="1:9" x14ac:dyDescent="0.25">
      <c r="A504" t="s">
        <v>10668</v>
      </c>
      <c r="B504" t="s">
        <v>10669</v>
      </c>
      <c r="C504">
        <v>0</v>
      </c>
      <c r="D504">
        <v>0</v>
      </c>
      <c r="E504">
        <v>0</v>
      </c>
      <c r="F504">
        <v>0</v>
      </c>
      <c r="G504">
        <v>0</v>
      </c>
      <c r="H504">
        <v>0</v>
      </c>
      <c r="I504">
        <v>0</v>
      </c>
    </row>
    <row r="505" spans="1:9" x14ac:dyDescent="0.25">
      <c r="A505" t="s">
        <v>2130</v>
      </c>
      <c r="B505" t="s">
        <v>1126</v>
      </c>
      <c r="C505">
        <v>1128</v>
      </c>
      <c r="D505">
        <v>0</v>
      </c>
      <c r="E505">
        <v>0</v>
      </c>
      <c r="F505">
        <v>0</v>
      </c>
      <c r="G505">
        <v>2440</v>
      </c>
      <c r="H505">
        <v>3568</v>
      </c>
      <c r="I505">
        <v>94</v>
      </c>
    </row>
    <row r="506" spans="1:9" x14ac:dyDescent="0.25">
      <c r="A506" t="s">
        <v>10670</v>
      </c>
      <c r="B506" t="s">
        <v>10671</v>
      </c>
      <c r="C506">
        <v>0</v>
      </c>
      <c r="D506">
        <v>0</v>
      </c>
      <c r="E506">
        <v>0</v>
      </c>
      <c r="F506">
        <v>0</v>
      </c>
      <c r="G506">
        <v>0</v>
      </c>
      <c r="H506">
        <v>0</v>
      </c>
      <c r="I506">
        <v>0</v>
      </c>
    </row>
    <row r="507" spans="1:9" x14ac:dyDescent="0.25">
      <c r="A507" t="s">
        <v>10672</v>
      </c>
      <c r="B507" t="s">
        <v>10673</v>
      </c>
      <c r="C507">
        <v>0</v>
      </c>
      <c r="D507">
        <v>0</v>
      </c>
      <c r="E507">
        <v>0</v>
      </c>
      <c r="F507">
        <v>0</v>
      </c>
      <c r="G507">
        <v>0</v>
      </c>
      <c r="H507">
        <v>0</v>
      </c>
      <c r="I507">
        <v>0</v>
      </c>
    </row>
    <row r="508" spans="1:9" x14ac:dyDescent="0.25">
      <c r="A508" t="s">
        <v>2076</v>
      </c>
      <c r="B508" t="s">
        <v>1624</v>
      </c>
      <c r="C508">
        <v>9</v>
      </c>
      <c r="D508">
        <v>33</v>
      </c>
      <c r="E508">
        <v>42</v>
      </c>
      <c r="F508">
        <v>34</v>
      </c>
      <c r="G508">
        <v>0</v>
      </c>
      <c r="H508">
        <v>118</v>
      </c>
      <c r="I508">
        <v>1</v>
      </c>
    </row>
    <row r="509" spans="1:9" x14ac:dyDescent="0.25">
      <c r="A509" t="s">
        <v>1996</v>
      </c>
      <c r="B509" t="s">
        <v>1135</v>
      </c>
      <c r="C509">
        <v>498</v>
      </c>
      <c r="D509">
        <v>0</v>
      </c>
      <c r="E509">
        <v>0</v>
      </c>
      <c r="F509">
        <v>21</v>
      </c>
      <c r="G509">
        <v>0</v>
      </c>
      <c r="H509">
        <v>519</v>
      </c>
      <c r="I509">
        <v>19</v>
      </c>
    </row>
    <row r="510" spans="1:9" x14ac:dyDescent="0.25">
      <c r="A510" t="s">
        <v>2124</v>
      </c>
      <c r="B510" t="s">
        <v>1144</v>
      </c>
      <c r="C510">
        <v>165</v>
      </c>
      <c r="D510">
        <v>0</v>
      </c>
      <c r="E510">
        <v>0</v>
      </c>
      <c r="F510">
        <v>0</v>
      </c>
      <c r="G510">
        <v>0</v>
      </c>
      <c r="H510">
        <v>165</v>
      </c>
      <c r="I510">
        <v>16</v>
      </c>
    </row>
    <row r="511" spans="1:9" x14ac:dyDescent="0.25">
      <c r="A511" t="s">
        <v>10705</v>
      </c>
      <c r="B511" t="s">
        <v>10706</v>
      </c>
      <c r="C511">
        <v>0</v>
      </c>
      <c r="D511">
        <v>0</v>
      </c>
      <c r="E511">
        <v>0</v>
      </c>
      <c r="F511">
        <v>0</v>
      </c>
      <c r="G511">
        <v>0</v>
      </c>
      <c r="H511">
        <v>0</v>
      </c>
      <c r="I511">
        <v>0</v>
      </c>
    </row>
    <row r="512" spans="1:9" x14ac:dyDescent="0.25">
      <c r="A512" t="s">
        <v>15618</v>
      </c>
      <c r="B512" t="s">
        <v>15619</v>
      </c>
      <c r="C512">
        <v>0</v>
      </c>
      <c r="D512">
        <v>0</v>
      </c>
      <c r="E512">
        <v>0</v>
      </c>
      <c r="F512">
        <v>0</v>
      </c>
      <c r="G512">
        <v>0</v>
      </c>
      <c r="H512">
        <v>0</v>
      </c>
      <c r="I512">
        <v>0</v>
      </c>
    </row>
    <row r="513" spans="1:9" x14ac:dyDescent="0.25">
      <c r="A513" t="s">
        <v>11769</v>
      </c>
      <c r="B513" t="s">
        <v>11770</v>
      </c>
      <c r="C513">
        <v>11</v>
      </c>
      <c r="D513">
        <v>0</v>
      </c>
      <c r="E513">
        <v>0</v>
      </c>
      <c r="F513">
        <v>0</v>
      </c>
      <c r="G513">
        <v>0</v>
      </c>
      <c r="H513">
        <v>11</v>
      </c>
      <c r="I513">
        <v>1</v>
      </c>
    </row>
    <row r="514" spans="1:9" x14ac:dyDescent="0.25">
      <c r="A514" t="s">
        <v>11773</v>
      </c>
      <c r="B514" t="s">
        <v>11721</v>
      </c>
      <c r="C514">
        <v>5</v>
      </c>
      <c r="D514">
        <v>0</v>
      </c>
      <c r="E514">
        <v>0</v>
      </c>
      <c r="F514">
        <v>0</v>
      </c>
      <c r="G514">
        <v>0</v>
      </c>
      <c r="H514">
        <v>5</v>
      </c>
      <c r="I514">
        <v>1</v>
      </c>
    </row>
    <row r="515" spans="1:9" x14ac:dyDescent="0.25">
      <c r="A515" t="s">
        <v>10648</v>
      </c>
      <c r="B515" t="s">
        <v>10649</v>
      </c>
      <c r="C515">
        <v>0</v>
      </c>
      <c r="D515">
        <v>0</v>
      </c>
      <c r="E515">
        <v>0</v>
      </c>
      <c r="F515">
        <v>0</v>
      </c>
      <c r="G515">
        <v>0</v>
      </c>
      <c r="H515">
        <v>0</v>
      </c>
      <c r="I515">
        <v>0</v>
      </c>
    </row>
    <row r="516" spans="1:9" x14ac:dyDescent="0.25">
      <c r="A516" t="s">
        <v>1994</v>
      </c>
      <c r="B516" t="s">
        <v>9784</v>
      </c>
      <c r="C516">
        <v>0</v>
      </c>
      <c r="D516">
        <v>0</v>
      </c>
      <c r="E516">
        <v>1355</v>
      </c>
      <c r="F516">
        <v>0</v>
      </c>
      <c r="G516">
        <v>0</v>
      </c>
      <c r="H516">
        <v>1355</v>
      </c>
      <c r="I516">
        <v>93</v>
      </c>
    </row>
    <row r="517" spans="1:9" x14ac:dyDescent="0.25">
      <c r="A517" t="s">
        <v>2921</v>
      </c>
      <c r="B517" t="s">
        <v>1710</v>
      </c>
      <c r="C517">
        <v>4</v>
      </c>
      <c r="D517">
        <v>0</v>
      </c>
      <c r="E517">
        <v>1110</v>
      </c>
      <c r="F517">
        <v>0</v>
      </c>
      <c r="G517">
        <v>24</v>
      </c>
      <c r="H517">
        <v>1138</v>
      </c>
      <c r="I517">
        <v>2</v>
      </c>
    </row>
    <row r="518" spans="1:9" x14ac:dyDescent="0.25">
      <c r="A518" t="s">
        <v>2557</v>
      </c>
      <c r="B518" t="s">
        <v>1066</v>
      </c>
      <c r="C518">
        <v>0</v>
      </c>
      <c r="D518">
        <v>0</v>
      </c>
      <c r="E518">
        <v>0</v>
      </c>
      <c r="F518">
        <v>1087</v>
      </c>
      <c r="G518">
        <v>20</v>
      </c>
      <c r="H518">
        <v>1107</v>
      </c>
      <c r="I518">
        <v>50</v>
      </c>
    </row>
    <row r="519" spans="1:9" x14ac:dyDescent="0.25">
      <c r="A519" t="s">
        <v>2063</v>
      </c>
      <c r="B519" t="s">
        <v>1401</v>
      </c>
      <c r="C519">
        <v>0</v>
      </c>
      <c r="D519">
        <v>0</v>
      </c>
      <c r="E519">
        <v>47</v>
      </c>
      <c r="F519">
        <v>0</v>
      </c>
      <c r="G519">
        <v>0</v>
      </c>
      <c r="H519">
        <v>47</v>
      </c>
      <c r="I519">
        <v>1</v>
      </c>
    </row>
    <row r="520" spans="1:9" x14ac:dyDescent="0.25">
      <c r="A520" t="s">
        <v>2587</v>
      </c>
      <c r="B520" t="s">
        <v>14398</v>
      </c>
      <c r="C520">
        <v>0</v>
      </c>
      <c r="D520">
        <v>0</v>
      </c>
      <c r="E520">
        <v>39</v>
      </c>
      <c r="F520">
        <v>0</v>
      </c>
      <c r="G520">
        <v>0</v>
      </c>
      <c r="H520">
        <v>39</v>
      </c>
      <c r="I520">
        <v>2</v>
      </c>
    </row>
    <row r="521" spans="1:9" x14ac:dyDescent="0.25">
      <c r="A521" t="s">
        <v>2540</v>
      </c>
      <c r="B521" t="s">
        <v>1084</v>
      </c>
      <c r="C521">
        <v>0</v>
      </c>
      <c r="D521">
        <v>0</v>
      </c>
      <c r="E521">
        <v>0</v>
      </c>
      <c r="F521">
        <v>103</v>
      </c>
      <c r="G521">
        <v>0</v>
      </c>
      <c r="H521">
        <v>103</v>
      </c>
      <c r="I521">
        <v>1</v>
      </c>
    </row>
    <row r="522" spans="1:9" x14ac:dyDescent="0.25">
      <c r="A522" t="s">
        <v>2538</v>
      </c>
      <c r="B522" t="s">
        <v>1702</v>
      </c>
      <c r="C522">
        <v>0</v>
      </c>
      <c r="D522">
        <v>0</v>
      </c>
      <c r="E522">
        <v>0</v>
      </c>
      <c r="F522">
        <v>76</v>
      </c>
      <c r="G522">
        <v>0</v>
      </c>
      <c r="H522">
        <v>76</v>
      </c>
      <c r="I522">
        <v>3</v>
      </c>
    </row>
    <row r="523" spans="1:9" x14ac:dyDescent="0.25">
      <c r="A523" t="s">
        <v>11730</v>
      </c>
      <c r="B523" t="s">
        <v>11731</v>
      </c>
      <c r="C523">
        <v>0</v>
      </c>
      <c r="D523">
        <v>0</v>
      </c>
      <c r="E523">
        <v>0</v>
      </c>
      <c r="F523">
        <v>0</v>
      </c>
      <c r="G523">
        <v>0</v>
      </c>
      <c r="H523">
        <v>0</v>
      </c>
      <c r="I523">
        <v>0</v>
      </c>
    </row>
    <row r="524" spans="1:9" x14ac:dyDescent="0.25">
      <c r="A524" t="s">
        <v>11732</v>
      </c>
      <c r="B524" t="s">
        <v>11733</v>
      </c>
      <c r="C524">
        <v>0</v>
      </c>
      <c r="D524">
        <v>0</v>
      </c>
      <c r="E524">
        <v>0</v>
      </c>
      <c r="F524">
        <v>0</v>
      </c>
      <c r="G524">
        <v>0</v>
      </c>
      <c r="H524">
        <v>0</v>
      </c>
      <c r="I524">
        <v>0</v>
      </c>
    </row>
    <row r="525" spans="1:9" x14ac:dyDescent="0.25">
      <c r="A525" t="s">
        <v>10750</v>
      </c>
      <c r="B525" t="s">
        <v>14391</v>
      </c>
      <c r="C525">
        <v>0</v>
      </c>
      <c r="D525">
        <v>0</v>
      </c>
      <c r="E525">
        <v>0</v>
      </c>
      <c r="F525">
        <v>19</v>
      </c>
      <c r="G525">
        <v>0</v>
      </c>
      <c r="H525">
        <v>19</v>
      </c>
      <c r="I525">
        <v>1</v>
      </c>
    </row>
    <row r="526" spans="1:9" x14ac:dyDescent="0.25">
      <c r="A526" t="s">
        <v>10565</v>
      </c>
      <c r="B526" t="s">
        <v>10566</v>
      </c>
      <c r="C526">
        <v>0</v>
      </c>
      <c r="D526">
        <v>0</v>
      </c>
      <c r="E526">
        <v>0</v>
      </c>
      <c r="F526">
        <v>0</v>
      </c>
      <c r="G526">
        <v>0</v>
      </c>
      <c r="H526">
        <v>0</v>
      </c>
      <c r="I526">
        <v>0</v>
      </c>
    </row>
    <row r="527" spans="1:9" x14ac:dyDescent="0.25">
      <c r="A527" t="s">
        <v>2597</v>
      </c>
      <c r="B527" t="s">
        <v>9834</v>
      </c>
      <c r="C527">
        <v>0</v>
      </c>
      <c r="D527">
        <v>0</v>
      </c>
      <c r="E527">
        <v>0</v>
      </c>
      <c r="F527">
        <v>8</v>
      </c>
      <c r="G527">
        <v>0</v>
      </c>
      <c r="H527">
        <v>8</v>
      </c>
      <c r="I527">
        <v>1</v>
      </c>
    </row>
    <row r="528" spans="1:9" x14ac:dyDescent="0.25">
      <c r="A528" t="s">
        <v>2619</v>
      </c>
      <c r="B528" t="s">
        <v>11691</v>
      </c>
      <c r="C528">
        <v>0</v>
      </c>
      <c r="D528">
        <v>0</v>
      </c>
      <c r="E528">
        <v>0</v>
      </c>
      <c r="F528">
        <v>0</v>
      </c>
      <c r="G528">
        <v>0</v>
      </c>
      <c r="H528">
        <v>0</v>
      </c>
      <c r="I528">
        <v>0</v>
      </c>
    </row>
    <row r="529" spans="1:9" x14ac:dyDescent="0.25">
      <c r="A529" t="s">
        <v>2543</v>
      </c>
      <c r="B529" t="s">
        <v>1565</v>
      </c>
      <c r="C529">
        <v>3</v>
      </c>
      <c r="D529">
        <v>0</v>
      </c>
      <c r="E529">
        <v>112</v>
      </c>
      <c r="F529">
        <v>0</v>
      </c>
      <c r="G529">
        <v>0</v>
      </c>
      <c r="H529">
        <v>115</v>
      </c>
      <c r="I529">
        <v>5</v>
      </c>
    </row>
    <row r="530" spans="1:9" x14ac:dyDescent="0.25">
      <c r="A530" t="s">
        <v>2586</v>
      </c>
      <c r="B530" t="s">
        <v>14399</v>
      </c>
      <c r="C530">
        <v>0</v>
      </c>
      <c r="D530">
        <v>0</v>
      </c>
      <c r="E530">
        <v>0</v>
      </c>
      <c r="F530">
        <v>18</v>
      </c>
      <c r="G530">
        <v>0</v>
      </c>
      <c r="H530">
        <v>18</v>
      </c>
      <c r="I530">
        <v>1</v>
      </c>
    </row>
    <row r="531" spans="1:9" x14ac:dyDescent="0.25">
      <c r="A531" t="s">
        <v>2600</v>
      </c>
      <c r="B531" t="s">
        <v>1566</v>
      </c>
      <c r="C531">
        <v>0</v>
      </c>
      <c r="D531">
        <v>0</v>
      </c>
      <c r="E531">
        <v>0</v>
      </c>
      <c r="F531">
        <v>22</v>
      </c>
      <c r="G531">
        <v>0</v>
      </c>
      <c r="H531">
        <v>22</v>
      </c>
      <c r="I531">
        <v>3</v>
      </c>
    </row>
    <row r="532" spans="1:9" x14ac:dyDescent="0.25">
      <c r="A532" t="s">
        <v>2969</v>
      </c>
      <c r="B532" t="s">
        <v>1200</v>
      </c>
      <c r="C532">
        <v>9</v>
      </c>
      <c r="D532">
        <v>7</v>
      </c>
      <c r="E532">
        <v>0</v>
      </c>
      <c r="F532">
        <v>0</v>
      </c>
      <c r="G532">
        <v>0</v>
      </c>
      <c r="H532">
        <v>16</v>
      </c>
      <c r="I532">
        <v>1</v>
      </c>
    </row>
    <row r="533" spans="1:9" x14ac:dyDescent="0.25">
      <c r="A533" t="s">
        <v>2206</v>
      </c>
      <c r="B533" t="s">
        <v>1403</v>
      </c>
      <c r="C533">
        <v>31</v>
      </c>
      <c r="D533">
        <v>0</v>
      </c>
      <c r="E533">
        <v>0</v>
      </c>
      <c r="F533">
        <v>0</v>
      </c>
      <c r="G533">
        <v>0</v>
      </c>
      <c r="H533">
        <v>31</v>
      </c>
      <c r="I533">
        <v>1</v>
      </c>
    </row>
    <row r="534" spans="1:9" x14ac:dyDescent="0.25">
      <c r="A534" t="s">
        <v>2162</v>
      </c>
      <c r="B534" t="s">
        <v>1085</v>
      </c>
      <c r="C534">
        <v>14</v>
      </c>
      <c r="D534">
        <v>0</v>
      </c>
      <c r="E534">
        <v>0</v>
      </c>
      <c r="F534">
        <v>0</v>
      </c>
      <c r="G534">
        <v>0</v>
      </c>
      <c r="H534">
        <v>14</v>
      </c>
      <c r="I534">
        <v>1</v>
      </c>
    </row>
    <row r="535" spans="1:9" x14ac:dyDescent="0.25">
      <c r="A535" t="s">
        <v>10573</v>
      </c>
      <c r="B535" t="s">
        <v>10574</v>
      </c>
      <c r="C535">
        <v>0</v>
      </c>
      <c r="D535">
        <v>0</v>
      </c>
      <c r="E535">
        <v>0</v>
      </c>
      <c r="F535">
        <v>0</v>
      </c>
      <c r="G535">
        <v>0</v>
      </c>
      <c r="H535">
        <v>0</v>
      </c>
      <c r="I535">
        <v>0</v>
      </c>
    </row>
    <row r="536" spans="1:9" x14ac:dyDescent="0.25">
      <c r="A536" t="s">
        <v>2191</v>
      </c>
      <c r="B536" t="s">
        <v>1202</v>
      </c>
      <c r="C536">
        <v>0</v>
      </c>
      <c r="D536">
        <v>0</v>
      </c>
      <c r="E536">
        <v>0</v>
      </c>
      <c r="F536">
        <v>12</v>
      </c>
      <c r="G536">
        <v>0</v>
      </c>
      <c r="H536">
        <v>12</v>
      </c>
      <c r="I536">
        <v>1</v>
      </c>
    </row>
    <row r="537" spans="1:9" x14ac:dyDescent="0.25">
      <c r="A537" t="s">
        <v>2264</v>
      </c>
      <c r="B537" t="s">
        <v>1571</v>
      </c>
      <c r="C537">
        <v>12</v>
      </c>
      <c r="D537">
        <v>0</v>
      </c>
      <c r="E537">
        <v>0</v>
      </c>
      <c r="F537">
        <v>0</v>
      </c>
      <c r="G537">
        <v>0</v>
      </c>
      <c r="H537">
        <v>12</v>
      </c>
      <c r="I537">
        <v>1</v>
      </c>
    </row>
    <row r="538" spans="1:9" x14ac:dyDescent="0.25">
      <c r="A538" t="s">
        <v>2236</v>
      </c>
      <c r="B538" t="s">
        <v>1573</v>
      </c>
      <c r="C538">
        <v>0</v>
      </c>
      <c r="D538">
        <v>0</v>
      </c>
      <c r="E538">
        <v>0</v>
      </c>
      <c r="F538">
        <v>6</v>
      </c>
      <c r="G538">
        <v>0</v>
      </c>
      <c r="H538">
        <v>6</v>
      </c>
      <c r="I538">
        <v>1</v>
      </c>
    </row>
    <row r="539" spans="1:9" x14ac:dyDescent="0.25">
      <c r="A539" t="s">
        <v>2310</v>
      </c>
      <c r="B539" t="s">
        <v>9782</v>
      </c>
      <c r="C539">
        <v>33</v>
      </c>
      <c r="D539">
        <v>0</v>
      </c>
      <c r="E539">
        <v>0</v>
      </c>
      <c r="F539">
        <v>0</v>
      </c>
      <c r="G539">
        <v>0</v>
      </c>
      <c r="H539">
        <v>33</v>
      </c>
      <c r="I539">
        <v>1</v>
      </c>
    </row>
    <row r="540" spans="1:9" x14ac:dyDescent="0.25">
      <c r="A540" t="s">
        <v>2872</v>
      </c>
      <c r="B540" t="s">
        <v>1203</v>
      </c>
      <c r="C540">
        <v>0</v>
      </c>
      <c r="D540">
        <v>0</v>
      </c>
      <c r="E540">
        <v>0</v>
      </c>
      <c r="F540">
        <v>0</v>
      </c>
      <c r="G540">
        <v>0</v>
      </c>
      <c r="H540">
        <v>0</v>
      </c>
      <c r="I540">
        <v>0</v>
      </c>
    </row>
    <row r="541" spans="1:9" x14ac:dyDescent="0.25">
      <c r="A541" t="s">
        <v>2273</v>
      </c>
      <c r="B541" t="s">
        <v>979</v>
      </c>
      <c r="C541">
        <v>46</v>
      </c>
      <c r="D541">
        <v>0</v>
      </c>
      <c r="E541">
        <v>0</v>
      </c>
      <c r="F541">
        <v>0</v>
      </c>
      <c r="G541">
        <v>0</v>
      </c>
      <c r="H541">
        <v>46</v>
      </c>
      <c r="I541">
        <v>1</v>
      </c>
    </row>
    <row r="542" spans="1:9" x14ac:dyDescent="0.25">
      <c r="A542" t="s">
        <v>2950</v>
      </c>
      <c r="B542" t="s">
        <v>1206</v>
      </c>
      <c r="C542">
        <v>19</v>
      </c>
      <c r="D542">
        <v>7</v>
      </c>
      <c r="E542">
        <v>0</v>
      </c>
      <c r="F542">
        <v>0</v>
      </c>
      <c r="G542">
        <v>0</v>
      </c>
      <c r="H542">
        <v>26</v>
      </c>
      <c r="I542">
        <v>1</v>
      </c>
    </row>
    <row r="543" spans="1:9" x14ac:dyDescent="0.25">
      <c r="A543" t="s">
        <v>2554</v>
      </c>
      <c r="B543" t="s">
        <v>14378</v>
      </c>
      <c r="C543">
        <v>0</v>
      </c>
      <c r="D543">
        <v>0</v>
      </c>
      <c r="E543">
        <v>0</v>
      </c>
      <c r="F543">
        <v>33</v>
      </c>
      <c r="G543">
        <v>0</v>
      </c>
      <c r="H543">
        <v>33</v>
      </c>
      <c r="I543">
        <v>1</v>
      </c>
    </row>
    <row r="544" spans="1:9" x14ac:dyDescent="0.25">
      <c r="A544" t="s">
        <v>2153</v>
      </c>
      <c r="B544" t="s">
        <v>1089</v>
      </c>
      <c r="C544">
        <v>0</v>
      </c>
      <c r="D544">
        <v>0</v>
      </c>
      <c r="E544">
        <v>0</v>
      </c>
      <c r="F544">
        <v>36</v>
      </c>
      <c r="G544">
        <v>0</v>
      </c>
      <c r="H544">
        <v>36</v>
      </c>
      <c r="I544">
        <v>1</v>
      </c>
    </row>
    <row r="545" spans="1:9" x14ac:dyDescent="0.25">
      <c r="A545" t="s">
        <v>2703</v>
      </c>
      <c r="B545" t="s">
        <v>1577</v>
      </c>
      <c r="C545">
        <v>8</v>
      </c>
      <c r="D545">
        <v>0</v>
      </c>
      <c r="E545">
        <v>0</v>
      </c>
      <c r="F545">
        <v>0</v>
      </c>
      <c r="G545">
        <v>0</v>
      </c>
      <c r="H545">
        <v>8</v>
      </c>
      <c r="I545">
        <v>1</v>
      </c>
    </row>
    <row r="546" spans="1:9" x14ac:dyDescent="0.25">
      <c r="A546" t="s">
        <v>2977</v>
      </c>
      <c r="B546" t="s">
        <v>11687</v>
      </c>
      <c r="C546">
        <v>0</v>
      </c>
      <c r="D546">
        <v>0</v>
      </c>
      <c r="E546">
        <v>0</v>
      </c>
      <c r="F546">
        <v>31</v>
      </c>
      <c r="G546">
        <v>0</v>
      </c>
      <c r="H546">
        <v>31</v>
      </c>
      <c r="I546">
        <v>2</v>
      </c>
    </row>
    <row r="547" spans="1:9" x14ac:dyDescent="0.25">
      <c r="A547" t="s">
        <v>2282</v>
      </c>
      <c r="B547" t="s">
        <v>1578</v>
      </c>
      <c r="C547">
        <v>9</v>
      </c>
      <c r="D547">
        <v>0</v>
      </c>
      <c r="E547">
        <v>0</v>
      </c>
      <c r="F547">
        <v>0</v>
      </c>
      <c r="G547">
        <v>0</v>
      </c>
      <c r="H547">
        <v>9</v>
      </c>
      <c r="I547">
        <v>1</v>
      </c>
    </row>
    <row r="548" spans="1:9" x14ac:dyDescent="0.25">
      <c r="A548" t="s">
        <v>15155</v>
      </c>
      <c r="B548" t="s">
        <v>14402</v>
      </c>
      <c r="C548">
        <v>14</v>
      </c>
      <c r="D548">
        <v>0</v>
      </c>
      <c r="E548">
        <v>0</v>
      </c>
      <c r="F548">
        <v>0</v>
      </c>
      <c r="G548">
        <v>0</v>
      </c>
      <c r="H548">
        <v>14</v>
      </c>
      <c r="I548">
        <v>1</v>
      </c>
    </row>
    <row r="549" spans="1:9" x14ac:dyDescent="0.25">
      <c r="A549" t="s">
        <v>14521</v>
      </c>
      <c r="B549" t="s">
        <v>14400</v>
      </c>
      <c r="C549">
        <v>10</v>
      </c>
      <c r="D549">
        <v>0</v>
      </c>
      <c r="E549">
        <v>0</v>
      </c>
      <c r="F549">
        <v>0</v>
      </c>
      <c r="G549">
        <v>0</v>
      </c>
      <c r="H549">
        <v>10</v>
      </c>
      <c r="I549">
        <v>1</v>
      </c>
    </row>
    <row r="550" spans="1:9" x14ac:dyDescent="0.25">
      <c r="A550" t="s">
        <v>2270</v>
      </c>
      <c r="B550" t="s">
        <v>1211</v>
      </c>
      <c r="C550">
        <v>12</v>
      </c>
      <c r="D550">
        <v>0</v>
      </c>
      <c r="E550">
        <v>0</v>
      </c>
      <c r="F550">
        <v>0</v>
      </c>
      <c r="G550">
        <v>0</v>
      </c>
      <c r="H550">
        <v>12</v>
      </c>
      <c r="I550">
        <v>1</v>
      </c>
    </row>
    <row r="551" spans="1:9" x14ac:dyDescent="0.25">
      <c r="A551" t="s">
        <v>2737</v>
      </c>
      <c r="B551" t="s">
        <v>1093</v>
      </c>
      <c r="C551">
        <v>0</v>
      </c>
      <c r="D551">
        <v>0</v>
      </c>
      <c r="E551">
        <v>0</v>
      </c>
      <c r="F551">
        <v>38</v>
      </c>
      <c r="G551">
        <v>0</v>
      </c>
      <c r="H551">
        <v>38</v>
      </c>
      <c r="I551">
        <v>1</v>
      </c>
    </row>
    <row r="552" spans="1:9" x14ac:dyDescent="0.25">
      <c r="A552" t="s">
        <v>1946</v>
      </c>
      <c r="B552" t="s">
        <v>1095</v>
      </c>
      <c r="C552">
        <v>45</v>
      </c>
      <c r="D552">
        <v>0</v>
      </c>
      <c r="E552">
        <v>525</v>
      </c>
      <c r="F552">
        <v>0</v>
      </c>
      <c r="G552">
        <v>0</v>
      </c>
      <c r="H552">
        <v>570</v>
      </c>
      <c r="I552">
        <v>11</v>
      </c>
    </row>
    <row r="553" spans="1:9" x14ac:dyDescent="0.25">
      <c r="A553" t="s">
        <v>1995</v>
      </c>
      <c r="B553" t="s">
        <v>1460</v>
      </c>
      <c r="C553">
        <v>0</v>
      </c>
      <c r="D553">
        <v>0</v>
      </c>
      <c r="E553">
        <v>44</v>
      </c>
      <c r="F553">
        <v>0</v>
      </c>
      <c r="G553">
        <v>0</v>
      </c>
      <c r="H553">
        <v>44</v>
      </c>
      <c r="I553">
        <v>1</v>
      </c>
    </row>
    <row r="554" spans="1:9" x14ac:dyDescent="0.25">
      <c r="A554" t="s">
        <v>2332</v>
      </c>
      <c r="B554" t="s">
        <v>1096</v>
      </c>
      <c r="C554">
        <v>0</v>
      </c>
      <c r="D554">
        <v>0</v>
      </c>
      <c r="E554">
        <v>27</v>
      </c>
      <c r="F554">
        <v>0</v>
      </c>
      <c r="G554">
        <v>0</v>
      </c>
      <c r="H554">
        <v>27</v>
      </c>
      <c r="I554">
        <v>1</v>
      </c>
    </row>
    <row r="555" spans="1:9" x14ac:dyDescent="0.25">
      <c r="A555" t="s">
        <v>2344</v>
      </c>
      <c r="B555" t="s">
        <v>1580</v>
      </c>
      <c r="C555">
        <v>0</v>
      </c>
      <c r="D555">
        <v>0</v>
      </c>
      <c r="E555">
        <v>0</v>
      </c>
      <c r="F555">
        <v>2</v>
      </c>
      <c r="G555">
        <v>0</v>
      </c>
      <c r="H555">
        <v>2</v>
      </c>
      <c r="I555">
        <v>1</v>
      </c>
    </row>
    <row r="556" spans="1:9" x14ac:dyDescent="0.25">
      <c r="A556" t="s">
        <v>2629</v>
      </c>
      <c r="B556" t="s">
        <v>1706</v>
      </c>
      <c r="C556">
        <v>0</v>
      </c>
      <c r="D556">
        <v>0</v>
      </c>
      <c r="E556">
        <v>114</v>
      </c>
      <c r="F556">
        <v>0</v>
      </c>
      <c r="G556">
        <v>0</v>
      </c>
      <c r="H556">
        <v>114</v>
      </c>
      <c r="I556">
        <v>1</v>
      </c>
    </row>
    <row r="557" spans="1:9" x14ac:dyDescent="0.25">
      <c r="A557" t="s">
        <v>10587</v>
      </c>
      <c r="B557" t="s">
        <v>10588</v>
      </c>
      <c r="C557">
        <v>0</v>
      </c>
      <c r="D557">
        <v>0</v>
      </c>
      <c r="E557">
        <v>0</v>
      </c>
      <c r="F557">
        <v>7</v>
      </c>
      <c r="G557">
        <v>0</v>
      </c>
      <c r="H557">
        <v>7</v>
      </c>
      <c r="I557">
        <v>1</v>
      </c>
    </row>
    <row r="558" spans="1:9" x14ac:dyDescent="0.25">
      <c r="A558" t="s">
        <v>10591</v>
      </c>
      <c r="B558" t="s">
        <v>10592</v>
      </c>
      <c r="C558">
        <v>0</v>
      </c>
      <c r="D558">
        <v>0</v>
      </c>
      <c r="E558">
        <v>0</v>
      </c>
      <c r="F558">
        <v>0</v>
      </c>
      <c r="G558">
        <v>0</v>
      </c>
      <c r="H558">
        <v>0</v>
      </c>
      <c r="I558">
        <v>0</v>
      </c>
    </row>
    <row r="559" spans="1:9" x14ac:dyDescent="0.25">
      <c r="A559" t="s">
        <v>2006</v>
      </c>
      <c r="B559" t="s">
        <v>1874</v>
      </c>
      <c r="C559">
        <v>13</v>
      </c>
      <c r="D559">
        <v>0</v>
      </c>
      <c r="E559">
        <v>2</v>
      </c>
      <c r="F559">
        <v>0</v>
      </c>
      <c r="G559">
        <v>0</v>
      </c>
      <c r="H559">
        <v>15</v>
      </c>
      <c r="I559">
        <v>3</v>
      </c>
    </row>
    <row r="560" spans="1:9" x14ac:dyDescent="0.25">
      <c r="A560" t="s">
        <v>2628</v>
      </c>
      <c r="B560" t="s">
        <v>9835</v>
      </c>
      <c r="C560">
        <v>0</v>
      </c>
      <c r="D560">
        <v>0</v>
      </c>
      <c r="E560">
        <v>265</v>
      </c>
      <c r="F560">
        <v>0</v>
      </c>
      <c r="G560">
        <v>0</v>
      </c>
      <c r="H560">
        <v>265</v>
      </c>
      <c r="I560">
        <v>4</v>
      </c>
    </row>
    <row r="561" spans="1:9" x14ac:dyDescent="0.25">
      <c r="A561" t="s">
        <v>2343</v>
      </c>
      <c r="B561" t="s">
        <v>1707</v>
      </c>
      <c r="C561">
        <v>0</v>
      </c>
      <c r="D561">
        <v>0</v>
      </c>
      <c r="E561">
        <v>22</v>
      </c>
      <c r="F561">
        <v>0</v>
      </c>
      <c r="G561">
        <v>0</v>
      </c>
      <c r="H561">
        <v>22</v>
      </c>
      <c r="I561">
        <v>1</v>
      </c>
    </row>
    <row r="562" spans="1:9" x14ac:dyDescent="0.25">
      <c r="A562" t="s">
        <v>10597</v>
      </c>
      <c r="B562" t="s">
        <v>10598</v>
      </c>
      <c r="C562">
        <v>0</v>
      </c>
      <c r="D562">
        <v>0</v>
      </c>
      <c r="E562">
        <v>21</v>
      </c>
      <c r="F562">
        <v>0</v>
      </c>
      <c r="G562">
        <v>0</v>
      </c>
      <c r="H562">
        <v>21</v>
      </c>
      <c r="I562">
        <v>2</v>
      </c>
    </row>
    <row r="563" spans="1:9" x14ac:dyDescent="0.25">
      <c r="A563" t="s">
        <v>10599</v>
      </c>
      <c r="B563" t="s">
        <v>10600</v>
      </c>
      <c r="C563">
        <v>0</v>
      </c>
      <c r="D563">
        <v>0</v>
      </c>
      <c r="E563">
        <v>0</v>
      </c>
      <c r="F563">
        <v>39</v>
      </c>
      <c r="G563">
        <v>0</v>
      </c>
      <c r="H563">
        <v>39</v>
      </c>
      <c r="I563">
        <v>1</v>
      </c>
    </row>
    <row r="564" spans="1:9" x14ac:dyDescent="0.25">
      <c r="A564" t="s">
        <v>2187</v>
      </c>
      <c r="B564" t="s">
        <v>1809</v>
      </c>
      <c r="C564">
        <v>0</v>
      </c>
      <c r="D564">
        <v>0</v>
      </c>
      <c r="E564">
        <v>0</v>
      </c>
      <c r="F564">
        <v>42</v>
      </c>
      <c r="G564">
        <v>0</v>
      </c>
      <c r="H564">
        <v>42</v>
      </c>
      <c r="I564">
        <v>1</v>
      </c>
    </row>
    <row r="565" spans="1:9" x14ac:dyDescent="0.25">
      <c r="A565" t="s">
        <v>2249</v>
      </c>
      <c r="B565" t="s">
        <v>984</v>
      </c>
      <c r="C565">
        <v>0</v>
      </c>
      <c r="D565">
        <v>0</v>
      </c>
      <c r="E565">
        <v>0</v>
      </c>
      <c r="F565">
        <v>153</v>
      </c>
      <c r="G565">
        <v>0</v>
      </c>
      <c r="H565">
        <v>153</v>
      </c>
      <c r="I565">
        <v>1</v>
      </c>
    </row>
    <row r="566" spans="1:9" x14ac:dyDescent="0.25">
      <c r="A566" t="s">
        <v>11740</v>
      </c>
      <c r="B566" t="s">
        <v>10601</v>
      </c>
      <c r="C566">
        <v>0</v>
      </c>
      <c r="D566">
        <v>0</v>
      </c>
      <c r="E566">
        <v>0</v>
      </c>
      <c r="F566">
        <v>26</v>
      </c>
      <c r="G566">
        <v>0</v>
      </c>
      <c r="H566">
        <v>26</v>
      </c>
      <c r="I566">
        <v>1</v>
      </c>
    </row>
    <row r="567" spans="1:9" x14ac:dyDescent="0.25">
      <c r="A567" t="s">
        <v>14494</v>
      </c>
      <c r="B567" t="s">
        <v>14403</v>
      </c>
      <c r="C567">
        <v>0</v>
      </c>
      <c r="D567">
        <v>0</v>
      </c>
      <c r="E567">
        <v>0</v>
      </c>
      <c r="F567">
        <v>6</v>
      </c>
      <c r="G567">
        <v>0</v>
      </c>
      <c r="H567">
        <v>6</v>
      </c>
      <c r="I567">
        <v>1</v>
      </c>
    </row>
    <row r="568" spans="1:9" x14ac:dyDescent="0.25">
      <c r="A568" t="s">
        <v>14496</v>
      </c>
      <c r="B568" t="s">
        <v>14404</v>
      </c>
      <c r="C568">
        <v>0</v>
      </c>
      <c r="D568">
        <v>0</v>
      </c>
      <c r="E568">
        <v>0</v>
      </c>
      <c r="F568">
        <v>6</v>
      </c>
      <c r="G568">
        <v>0</v>
      </c>
      <c r="H568">
        <v>6</v>
      </c>
      <c r="I568">
        <v>1</v>
      </c>
    </row>
    <row r="569" spans="1:9" x14ac:dyDescent="0.25">
      <c r="A569" t="s">
        <v>14498</v>
      </c>
      <c r="B569" t="s">
        <v>14405</v>
      </c>
      <c r="C569">
        <v>0</v>
      </c>
      <c r="D569">
        <v>0</v>
      </c>
      <c r="E569">
        <v>0</v>
      </c>
      <c r="F569">
        <v>6</v>
      </c>
      <c r="G569">
        <v>0</v>
      </c>
      <c r="H569">
        <v>6</v>
      </c>
      <c r="I569">
        <v>1</v>
      </c>
    </row>
    <row r="570" spans="1:9" x14ac:dyDescent="0.25">
      <c r="A570" t="s">
        <v>1948</v>
      </c>
      <c r="B570" t="s">
        <v>1220</v>
      </c>
      <c r="C570">
        <v>0</v>
      </c>
      <c r="D570">
        <v>224</v>
      </c>
      <c r="E570">
        <v>45</v>
      </c>
      <c r="F570">
        <v>0</v>
      </c>
      <c r="G570">
        <v>0</v>
      </c>
      <c r="H570">
        <v>269</v>
      </c>
      <c r="I570">
        <v>4</v>
      </c>
    </row>
    <row r="571" spans="1:9" x14ac:dyDescent="0.25">
      <c r="A571" t="s">
        <v>2247</v>
      </c>
      <c r="B571" t="s">
        <v>9837</v>
      </c>
      <c r="C571">
        <v>0</v>
      </c>
      <c r="D571">
        <v>0</v>
      </c>
      <c r="E571">
        <v>0</v>
      </c>
      <c r="F571">
        <v>11</v>
      </c>
      <c r="G571">
        <v>0</v>
      </c>
      <c r="H571">
        <v>11</v>
      </c>
      <c r="I571">
        <v>1</v>
      </c>
    </row>
    <row r="572" spans="1:9" x14ac:dyDescent="0.25">
      <c r="A572" t="s">
        <v>2334</v>
      </c>
      <c r="B572" t="s">
        <v>1467</v>
      </c>
      <c r="C572">
        <v>10</v>
      </c>
      <c r="D572">
        <v>0</v>
      </c>
      <c r="E572">
        <v>0</v>
      </c>
      <c r="F572">
        <v>0</v>
      </c>
      <c r="G572">
        <v>0</v>
      </c>
      <c r="H572">
        <v>10</v>
      </c>
      <c r="I572">
        <v>1</v>
      </c>
    </row>
    <row r="573" spans="1:9" x14ac:dyDescent="0.25">
      <c r="A573" t="s">
        <v>2352</v>
      </c>
      <c r="B573" t="s">
        <v>1811</v>
      </c>
      <c r="C573">
        <v>6</v>
      </c>
      <c r="D573">
        <v>0</v>
      </c>
      <c r="E573">
        <v>0</v>
      </c>
      <c r="F573">
        <v>0</v>
      </c>
      <c r="G573">
        <v>0</v>
      </c>
      <c r="H573">
        <v>6</v>
      </c>
      <c r="I573">
        <v>1</v>
      </c>
    </row>
    <row r="574" spans="1:9" x14ac:dyDescent="0.25">
      <c r="A574" t="s">
        <v>14581</v>
      </c>
      <c r="B574" t="s">
        <v>14392</v>
      </c>
      <c r="C574">
        <v>0</v>
      </c>
      <c r="D574">
        <v>0</v>
      </c>
      <c r="E574">
        <v>0</v>
      </c>
      <c r="F574">
        <v>15</v>
      </c>
      <c r="G574">
        <v>0</v>
      </c>
      <c r="H574">
        <v>15</v>
      </c>
      <c r="I574">
        <v>1</v>
      </c>
    </row>
    <row r="575" spans="1:9" x14ac:dyDescent="0.25">
      <c r="A575" t="s">
        <v>11741</v>
      </c>
      <c r="B575" t="s">
        <v>11670</v>
      </c>
      <c r="C575">
        <v>0</v>
      </c>
      <c r="D575">
        <v>2</v>
      </c>
      <c r="E575">
        <v>0</v>
      </c>
      <c r="F575">
        <v>0</v>
      </c>
      <c r="G575">
        <v>0</v>
      </c>
      <c r="H575">
        <v>2</v>
      </c>
      <c r="I575">
        <v>1</v>
      </c>
    </row>
    <row r="576" spans="1:9" x14ac:dyDescent="0.25">
      <c r="A576" t="s">
        <v>2323</v>
      </c>
      <c r="B576" t="s">
        <v>9848</v>
      </c>
      <c r="C576">
        <v>0</v>
      </c>
      <c r="D576">
        <v>0</v>
      </c>
      <c r="E576">
        <v>0</v>
      </c>
      <c r="F576">
        <v>7</v>
      </c>
      <c r="G576">
        <v>0</v>
      </c>
      <c r="H576">
        <v>7</v>
      </c>
      <c r="I576">
        <v>1</v>
      </c>
    </row>
    <row r="577" spans="1:9" x14ac:dyDescent="0.25">
      <c r="A577" t="s">
        <v>2242</v>
      </c>
      <c r="B577" t="s">
        <v>1101</v>
      </c>
      <c r="C577">
        <v>2</v>
      </c>
      <c r="D577">
        <v>0</v>
      </c>
      <c r="E577">
        <v>0</v>
      </c>
      <c r="F577">
        <v>0</v>
      </c>
      <c r="G577">
        <v>0</v>
      </c>
      <c r="H577">
        <v>2</v>
      </c>
      <c r="I577">
        <v>1</v>
      </c>
    </row>
    <row r="578" spans="1:9" x14ac:dyDescent="0.25">
      <c r="A578" t="s">
        <v>2016</v>
      </c>
      <c r="B578" t="s">
        <v>989</v>
      </c>
      <c r="C578">
        <v>0</v>
      </c>
      <c r="D578">
        <v>0</v>
      </c>
      <c r="E578">
        <v>314</v>
      </c>
      <c r="F578">
        <v>0</v>
      </c>
      <c r="G578">
        <v>0</v>
      </c>
      <c r="H578">
        <v>314</v>
      </c>
      <c r="I578">
        <v>25</v>
      </c>
    </row>
    <row r="579" spans="1:9" x14ac:dyDescent="0.25">
      <c r="A579" t="s">
        <v>2214</v>
      </c>
      <c r="B579" t="s">
        <v>1587</v>
      </c>
      <c r="C579">
        <v>3</v>
      </c>
      <c r="D579">
        <v>0</v>
      </c>
      <c r="E579">
        <v>0</v>
      </c>
      <c r="F579">
        <v>0</v>
      </c>
      <c r="G579">
        <v>0</v>
      </c>
      <c r="H579">
        <v>3</v>
      </c>
      <c r="I579">
        <v>1</v>
      </c>
    </row>
    <row r="580" spans="1:9" x14ac:dyDescent="0.25">
      <c r="A580" t="s">
        <v>2967</v>
      </c>
      <c r="B580" t="s">
        <v>11717</v>
      </c>
      <c r="C580">
        <v>0</v>
      </c>
      <c r="D580">
        <v>0</v>
      </c>
      <c r="E580">
        <v>159</v>
      </c>
      <c r="F580">
        <v>95</v>
      </c>
      <c r="G580">
        <v>0</v>
      </c>
      <c r="H580">
        <v>254</v>
      </c>
      <c r="I580">
        <v>1</v>
      </c>
    </row>
    <row r="581" spans="1:9" x14ac:dyDescent="0.25">
      <c r="A581" t="s">
        <v>2333</v>
      </c>
      <c r="B581" t="s">
        <v>1717</v>
      </c>
      <c r="C581">
        <v>0</v>
      </c>
      <c r="D581">
        <v>0</v>
      </c>
      <c r="E581">
        <v>0</v>
      </c>
      <c r="F581">
        <v>33</v>
      </c>
      <c r="G581">
        <v>0</v>
      </c>
      <c r="H581">
        <v>33</v>
      </c>
      <c r="I581">
        <v>1</v>
      </c>
    </row>
    <row r="582" spans="1:9" x14ac:dyDescent="0.25">
      <c r="A582" t="s">
        <v>2656</v>
      </c>
      <c r="B582" t="s">
        <v>1813</v>
      </c>
      <c r="C582">
        <v>0</v>
      </c>
      <c r="D582">
        <v>0</v>
      </c>
      <c r="E582">
        <v>0</v>
      </c>
      <c r="F582">
        <v>0</v>
      </c>
      <c r="G582">
        <v>0</v>
      </c>
      <c r="H582">
        <v>0</v>
      </c>
      <c r="I582">
        <v>0</v>
      </c>
    </row>
    <row r="583" spans="1:9" x14ac:dyDescent="0.25">
      <c r="A583" t="s">
        <v>2185</v>
      </c>
      <c r="B583" t="s">
        <v>11718</v>
      </c>
      <c r="C583">
        <v>16</v>
      </c>
      <c r="D583">
        <v>0</v>
      </c>
      <c r="E583">
        <v>0</v>
      </c>
      <c r="F583">
        <v>0</v>
      </c>
      <c r="G583">
        <v>0</v>
      </c>
      <c r="H583">
        <v>16</v>
      </c>
      <c r="I583">
        <v>1</v>
      </c>
    </row>
    <row r="584" spans="1:9" x14ac:dyDescent="0.25">
      <c r="A584" t="s">
        <v>11742</v>
      </c>
      <c r="B584" t="s">
        <v>1471</v>
      </c>
      <c r="C584">
        <v>11</v>
      </c>
      <c r="D584">
        <v>0</v>
      </c>
      <c r="E584">
        <v>0</v>
      </c>
      <c r="F584">
        <v>0</v>
      </c>
      <c r="G584">
        <v>0</v>
      </c>
      <c r="H584">
        <v>11</v>
      </c>
      <c r="I584">
        <v>1</v>
      </c>
    </row>
    <row r="585" spans="1:9" x14ac:dyDescent="0.25">
      <c r="A585" t="s">
        <v>11743</v>
      </c>
      <c r="B585" t="s">
        <v>1878</v>
      </c>
      <c r="C585">
        <v>0</v>
      </c>
      <c r="D585">
        <v>0</v>
      </c>
      <c r="E585">
        <v>0</v>
      </c>
      <c r="F585">
        <v>12</v>
      </c>
      <c r="G585">
        <v>0</v>
      </c>
      <c r="H585">
        <v>12</v>
      </c>
      <c r="I585">
        <v>1</v>
      </c>
    </row>
    <row r="586" spans="1:9" x14ac:dyDescent="0.25">
      <c r="A586" t="s">
        <v>2266</v>
      </c>
      <c r="B586" t="s">
        <v>1814</v>
      </c>
      <c r="C586">
        <v>8</v>
      </c>
      <c r="D586">
        <v>0</v>
      </c>
      <c r="E586">
        <v>0</v>
      </c>
      <c r="F586">
        <v>0</v>
      </c>
      <c r="G586">
        <v>0</v>
      </c>
      <c r="H586">
        <v>8</v>
      </c>
      <c r="I586">
        <v>1</v>
      </c>
    </row>
    <row r="587" spans="1:9" x14ac:dyDescent="0.25">
      <c r="A587" t="s">
        <v>2340</v>
      </c>
      <c r="B587" t="s">
        <v>1880</v>
      </c>
      <c r="C587">
        <v>0</v>
      </c>
      <c r="D587">
        <v>0</v>
      </c>
      <c r="E587">
        <v>0</v>
      </c>
      <c r="F587">
        <v>6</v>
      </c>
      <c r="G587">
        <v>0</v>
      </c>
      <c r="H587">
        <v>6</v>
      </c>
      <c r="I587">
        <v>1</v>
      </c>
    </row>
    <row r="588" spans="1:9" x14ac:dyDescent="0.25">
      <c r="A588" t="s">
        <v>2299</v>
      </c>
      <c r="B588" t="s">
        <v>1719</v>
      </c>
      <c r="C588">
        <v>0</v>
      </c>
      <c r="D588">
        <v>0</v>
      </c>
      <c r="E588">
        <v>0</v>
      </c>
      <c r="F588">
        <v>4</v>
      </c>
      <c r="G588">
        <v>0</v>
      </c>
      <c r="H588">
        <v>4</v>
      </c>
      <c r="I588">
        <v>1</v>
      </c>
    </row>
    <row r="589" spans="1:9" x14ac:dyDescent="0.25">
      <c r="A589" t="s">
        <v>2960</v>
      </c>
      <c r="B589" t="s">
        <v>1106</v>
      </c>
      <c r="C589">
        <v>0</v>
      </c>
      <c r="D589">
        <v>0</v>
      </c>
      <c r="E589">
        <v>0</v>
      </c>
      <c r="F589">
        <v>51</v>
      </c>
      <c r="G589">
        <v>0</v>
      </c>
      <c r="H589">
        <v>51</v>
      </c>
      <c r="I589">
        <v>1</v>
      </c>
    </row>
    <row r="590" spans="1:9" x14ac:dyDescent="0.25">
      <c r="A590" t="s">
        <v>2189</v>
      </c>
      <c r="B590" t="s">
        <v>1591</v>
      </c>
      <c r="C590">
        <v>0</v>
      </c>
      <c r="D590">
        <v>0</v>
      </c>
      <c r="E590">
        <v>0</v>
      </c>
      <c r="F590">
        <v>18</v>
      </c>
      <c r="G590">
        <v>0</v>
      </c>
      <c r="H590">
        <v>18</v>
      </c>
      <c r="I590">
        <v>1</v>
      </c>
    </row>
    <row r="591" spans="1:9" x14ac:dyDescent="0.25">
      <c r="A591" t="s">
        <v>2171</v>
      </c>
      <c r="B591" t="s">
        <v>1815</v>
      </c>
      <c r="C591">
        <v>0</v>
      </c>
      <c r="D591">
        <v>0</v>
      </c>
      <c r="E591">
        <v>0</v>
      </c>
      <c r="F591">
        <v>118</v>
      </c>
      <c r="G591">
        <v>0</v>
      </c>
      <c r="H591">
        <v>118</v>
      </c>
      <c r="I591">
        <v>1</v>
      </c>
    </row>
    <row r="592" spans="1:9" x14ac:dyDescent="0.25">
      <c r="A592" t="s">
        <v>10610</v>
      </c>
      <c r="B592" t="s">
        <v>10611</v>
      </c>
      <c r="C592">
        <v>0</v>
      </c>
      <c r="D592">
        <v>0</v>
      </c>
      <c r="E592">
        <v>10</v>
      </c>
      <c r="F592">
        <v>0</v>
      </c>
      <c r="G592">
        <v>0</v>
      </c>
      <c r="H592">
        <v>10</v>
      </c>
      <c r="I592">
        <v>1</v>
      </c>
    </row>
    <row r="593" spans="1:9" x14ac:dyDescent="0.25">
      <c r="A593" t="s">
        <v>2621</v>
      </c>
      <c r="B593" t="s">
        <v>9818</v>
      </c>
      <c r="C593">
        <v>0</v>
      </c>
      <c r="D593">
        <v>0</v>
      </c>
      <c r="E593">
        <v>77</v>
      </c>
      <c r="F593">
        <v>0</v>
      </c>
      <c r="G593">
        <v>0</v>
      </c>
      <c r="H593">
        <v>77</v>
      </c>
      <c r="I593">
        <v>1</v>
      </c>
    </row>
    <row r="594" spans="1:9" x14ac:dyDescent="0.25">
      <c r="A594" t="s">
        <v>2269</v>
      </c>
      <c r="B594" t="s">
        <v>1726</v>
      </c>
      <c r="C594">
        <v>0</v>
      </c>
      <c r="D594">
        <v>0</v>
      </c>
      <c r="E594">
        <v>0</v>
      </c>
      <c r="F594">
        <v>4</v>
      </c>
      <c r="G594">
        <v>0</v>
      </c>
      <c r="H594">
        <v>4</v>
      </c>
      <c r="I594">
        <v>1</v>
      </c>
    </row>
    <row r="595" spans="1:9" x14ac:dyDescent="0.25">
      <c r="A595" t="s">
        <v>2234</v>
      </c>
      <c r="B595" t="s">
        <v>1593</v>
      </c>
      <c r="C595">
        <v>0</v>
      </c>
      <c r="D595">
        <v>0</v>
      </c>
      <c r="E595">
        <v>0</v>
      </c>
      <c r="F595">
        <v>36</v>
      </c>
      <c r="G595">
        <v>0</v>
      </c>
      <c r="H595">
        <v>36</v>
      </c>
      <c r="I595">
        <v>1</v>
      </c>
    </row>
    <row r="596" spans="1:9" x14ac:dyDescent="0.25">
      <c r="A596" t="s">
        <v>2773</v>
      </c>
      <c r="B596" t="s">
        <v>1231</v>
      </c>
      <c r="C596">
        <v>0</v>
      </c>
      <c r="D596">
        <v>0</v>
      </c>
      <c r="E596">
        <v>0</v>
      </c>
      <c r="F596">
        <v>8</v>
      </c>
      <c r="G596">
        <v>0</v>
      </c>
      <c r="H596">
        <v>8</v>
      </c>
      <c r="I596">
        <v>1</v>
      </c>
    </row>
    <row r="597" spans="1:9" x14ac:dyDescent="0.25">
      <c r="A597" t="s">
        <v>2345</v>
      </c>
      <c r="B597" t="s">
        <v>10615</v>
      </c>
      <c r="C597">
        <v>23</v>
      </c>
      <c r="D597">
        <v>0</v>
      </c>
      <c r="E597">
        <v>0</v>
      </c>
      <c r="F597">
        <v>0</v>
      </c>
      <c r="G597">
        <v>0</v>
      </c>
      <c r="H597">
        <v>23</v>
      </c>
      <c r="I597">
        <v>1</v>
      </c>
    </row>
    <row r="598" spans="1:9" x14ac:dyDescent="0.25">
      <c r="A598" t="s">
        <v>2065</v>
      </c>
      <c r="B598" t="s">
        <v>14383</v>
      </c>
      <c r="C598">
        <v>139</v>
      </c>
      <c r="D598">
        <v>0</v>
      </c>
      <c r="E598">
        <v>0</v>
      </c>
      <c r="F598">
        <v>0</v>
      </c>
      <c r="G598">
        <v>0</v>
      </c>
      <c r="H598">
        <v>139</v>
      </c>
      <c r="I598">
        <v>3</v>
      </c>
    </row>
    <row r="599" spans="1:9" x14ac:dyDescent="0.25">
      <c r="A599" t="s">
        <v>2226</v>
      </c>
      <c r="B599" t="s">
        <v>1595</v>
      </c>
      <c r="C599">
        <v>0</v>
      </c>
      <c r="D599">
        <v>0</v>
      </c>
      <c r="E599">
        <v>20</v>
      </c>
      <c r="F599">
        <v>0</v>
      </c>
      <c r="G599">
        <v>0</v>
      </c>
      <c r="H599">
        <v>20</v>
      </c>
      <c r="I599">
        <v>1</v>
      </c>
    </row>
    <row r="600" spans="1:9" x14ac:dyDescent="0.25">
      <c r="A600" t="s">
        <v>2260</v>
      </c>
      <c r="B600" t="s">
        <v>1596</v>
      </c>
      <c r="C600">
        <v>0</v>
      </c>
      <c r="D600">
        <v>0</v>
      </c>
      <c r="E600">
        <v>0</v>
      </c>
      <c r="F600">
        <v>4</v>
      </c>
      <c r="G600">
        <v>0</v>
      </c>
      <c r="H600">
        <v>4</v>
      </c>
      <c r="I600">
        <v>1</v>
      </c>
    </row>
    <row r="601" spans="1:9" x14ac:dyDescent="0.25">
      <c r="A601" t="s">
        <v>2231</v>
      </c>
      <c r="B601" t="s">
        <v>1597</v>
      </c>
      <c r="C601">
        <v>6</v>
      </c>
      <c r="D601">
        <v>0</v>
      </c>
      <c r="E601">
        <v>0</v>
      </c>
      <c r="F601">
        <v>0</v>
      </c>
      <c r="G601">
        <v>0</v>
      </c>
      <c r="H601">
        <v>6</v>
      </c>
      <c r="I601">
        <v>1</v>
      </c>
    </row>
    <row r="602" spans="1:9" x14ac:dyDescent="0.25">
      <c r="A602" t="s">
        <v>2341</v>
      </c>
      <c r="B602" t="s">
        <v>1598</v>
      </c>
      <c r="C602">
        <v>0</v>
      </c>
      <c r="D602">
        <v>0</v>
      </c>
      <c r="E602">
        <v>0</v>
      </c>
      <c r="F602">
        <v>14</v>
      </c>
      <c r="G602">
        <v>0</v>
      </c>
      <c r="H602">
        <v>14</v>
      </c>
      <c r="I602">
        <v>1</v>
      </c>
    </row>
    <row r="603" spans="1:9" x14ac:dyDescent="0.25">
      <c r="A603" t="s">
        <v>2248</v>
      </c>
      <c r="B603" t="s">
        <v>1109</v>
      </c>
      <c r="C603">
        <v>8</v>
      </c>
      <c r="D603">
        <v>0</v>
      </c>
      <c r="E603">
        <v>0</v>
      </c>
      <c r="F603">
        <v>0</v>
      </c>
      <c r="G603">
        <v>0</v>
      </c>
      <c r="H603">
        <v>8</v>
      </c>
      <c r="I603">
        <v>1</v>
      </c>
    </row>
    <row r="604" spans="1:9" x14ac:dyDescent="0.25">
      <c r="A604" t="s">
        <v>2290</v>
      </c>
      <c r="B604" t="s">
        <v>1727</v>
      </c>
      <c r="C604">
        <v>0</v>
      </c>
      <c r="D604">
        <v>0</v>
      </c>
      <c r="E604">
        <v>0</v>
      </c>
      <c r="F604">
        <v>21</v>
      </c>
      <c r="G604">
        <v>0</v>
      </c>
      <c r="H604">
        <v>21</v>
      </c>
      <c r="I604">
        <v>1</v>
      </c>
    </row>
    <row r="605" spans="1:9" x14ac:dyDescent="0.25">
      <c r="A605" t="s">
        <v>10619</v>
      </c>
      <c r="B605" t="s">
        <v>10620</v>
      </c>
      <c r="C605">
        <v>0</v>
      </c>
      <c r="D605">
        <v>0</v>
      </c>
      <c r="E605">
        <v>0</v>
      </c>
      <c r="F605">
        <v>12</v>
      </c>
      <c r="G605">
        <v>0</v>
      </c>
      <c r="H605">
        <v>12</v>
      </c>
      <c r="I605">
        <v>1</v>
      </c>
    </row>
    <row r="606" spans="1:9" x14ac:dyDescent="0.25">
      <c r="A606" t="s">
        <v>2193</v>
      </c>
      <c r="B606" t="s">
        <v>1241</v>
      </c>
      <c r="C606">
        <v>0</v>
      </c>
      <c r="D606">
        <v>0</v>
      </c>
      <c r="E606">
        <v>0</v>
      </c>
      <c r="F606">
        <v>78</v>
      </c>
      <c r="G606">
        <v>0</v>
      </c>
      <c r="H606">
        <v>78</v>
      </c>
      <c r="I606">
        <v>1</v>
      </c>
    </row>
    <row r="607" spans="1:9" x14ac:dyDescent="0.25">
      <c r="A607" t="s">
        <v>11747</v>
      </c>
      <c r="B607" t="s">
        <v>11702</v>
      </c>
      <c r="C607">
        <v>14</v>
      </c>
      <c r="D607">
        <v>0</v>
      </c>
      <c r="E607">
        <v>0</v>
      </c>
      <c r="F607">
        <v>0</v>
      </c>
      <c r="G607">
        <v>0</v>
      </c>
      <c r="H607">
        <v>14</v>
      </c>
      <c r="I607">
        <v>1</v>
      </c>
    </row>
    <row r="608" spans="1:9" x14ac:dyDescent="0.25">
      <c r="A608" t="s">
        <v>2542</v>
      </c>
      <c r="B608" t="s">
        <v>1600</v>
      </c>
      <c r="C608">
        <v>0</v>
      </c>
      <c r="D608">
        <v>0</v>
      </c>
      <c r="E608">
        <v>0</v>
      </c>
      <c r="F608">
        <v>27</v>
      </c>
      <c r="G608">
        <v>0</v>
      </c>
      <c r="H608">
        <v>27</v>
      </c>
      <c r="I608">
        <v>1</v>
      </c>
    </row>
    <row r="609" spans="1:9" x14ac:dyDescent="0.25">
      <c r="A609" t="s">
        <v>2315</v>
      </c>
      <c r="B609" t="s">
        <v>1882</v>
      </c>
      <c r="C609">
        <v>0</v>
      </c>
      <c r="D609">
        <v>0</v>
      </c>
      <c r="E609">
        <v>0</v>
      </c>
      <c r="F609">
        <v>4</v>
      </c>
      <c r="G609">
        <v>0</v>
      </c>
      <c r="H609">
        <v>4</v>
      </c>
      <c r="I609">
        <v>1</v>
      </c>
    </row>
    <row r="610" spans="1:9" x14ac:dyDescent="0.25">
      <c r="A610" t="s">
        <v>2278</v>
      </c>
      <c r="B610" t="s">
        <v>1730</v>
      </c>
      <c r="C610">
        <v>0</v>
      </c>
      <c r="D610">
        <v>0</v>
      </c>
      <c r="E610">
        <v>0</v>
      </c>
      <c r="F610">
        <v>3</v>
      </c>
      <c r="G610">
        <v>0</v>
      </c>
      <c r="H610">
        <v>3</v>
      </c>
      <c r="I610">
        <v>1</v>
      </c>
    </row>
    <row r="611" spans="1:9" x14ac:dyDescent="0.25">
      <c r="A611" t="s">
        <v>15342</v>
      </c>
      <c r="B611" t="s">
        <v>14395</v>
      </c>
      <c r="C611">
        <v>0</v>
      </c>
      <c r="D611">
        <v>0</v>
      </c>
      <c r="E611">
        <v>0</v>
      </c>
      <c r="F611">
        <v>10</v>
      </c>
      <c r="G611">
        <v>0</v>
      </c>
      <c r="H611">
        <v>10</v>
      </c>
      <c r="I611">
        <v>1</v>
      </c>
    </row>
    <row r="612" spans="1:9" x14ac:dyDescent="0.25">
      <c r="A612" t="s">
        <v>2212</v>
      </c>
      <c r="B612" t="s">
        <v>1731</v>
      </c>
      <c r="C612">
        <v>0</v>
      </c>
      <c r="D612">
        <v>0</v>
      </c>
      <c r="E612">
        <v>0</v>
      </c>
      <c r="F612">
        <v>143</v>
      </c>
      <c r="G612">
        <v>0</v>
      </c>
      <c r="H612">
        <v>143</v>
      </c>
      <c r="I612">
        <v>1</v>
      </c>
    </row>
    <row r="613" spans="1:9" x14ac:dyDescent="0.25">
      <c r="A613" t="s">
        <v>2311</v>
      </c>
      <c r="B613" t="s">
        <v>999</v>
      </c>
      <c r="C613">
        <v>0</v>
      </c>
      <c r="D613">
        <v>0</v>
      </c>
      <c r="E613">
        <v>0</v>
      </c>
      <c r="F613">
        <v>10</v>
      </c>
      <c r="G613">
        <v>0</v>
      </c>
      <c r="H613">
        <v>10</v>
      </c>
      <c r="I613">
        <v>1</v>
      </c>
    </row>
    <row r="614" spans="1:9" x14ac:dyDescent="0.25">
      <c r="A614" t="s">
        <v>2322</v>
      </c>
      <c r="B614" t="s">
        <v>1482</v>
      </c>
      <c r="C614">
        <v>0</v>
      </c>
      <c r="D614">
        <v>0</v>
      </c>
      <c r="E614">
        <v>0</v>
      </c>
      <c r="F614">
        <v>7</v>
      </c>
      <c r="G614">
        <v>0</v>
      </c>
      <c r="H614">
        <v>7</v>
      </c>
      <c r="I614">
        <v>1</v>
      </c>
    </row>
    <row r="615" spans="1:9" x14ac:dyDescent="0.25">
      <c r="A615" t="s">
        <v>2289</v>
      </c>
      <c r="B615" t="s">
        <v>1733</v>
      </c>
      <c r="C615">
        <v>0</v>
      </c>
      <c r="D615">
        <v>0</v>
      </c>
      <c r="E615">
        <v>0</v>
      </c>
      <c r="F615">
        <v>12</v>
      </c>
      <c r="G615">
        <v>0</v>
      </c>
      <c r="H615">
        <v>12</v>
      </c>
      <c r="I615">
        <v>1</v>
      </c>
    </row>
    <row r="616" spans="1:9" x14ac:dyDescent="0.25">
      <c r="A616" t="s">
        <v>2336</v>
      </c>
      <c r="B616" t="s">
        <v>10631</v>
      </c>
      <c r="C616">
        <v>5</v>
      </c>
      <c r="D616">
        <v>0</v>
      </c>
      <c r="E616">
        <v>0</v>
      </c>
      <c r="F616">
        <v>0</v>
      </c>
      <c r="G616">
        <v>0</v>
      </c>
      <c r="H616">
        <v>5</v>
      </c>
      <c r="I616">
        <v>1</v>
      </c>
    </row>
    <row r="617" spans="1:9" x14ac:dyDescent="0.25">
      <c r="A617" t="s">
        <v>2178</v>
      </c>
      <c r="B617" t="s">
        <v>1884</v>
      </c>
      <c r="C617">
        <v>21</v>
      </c>
      <c r="D617">
        <v>0</v>
      </c>
      <c r="E617">
        <v>0</v>
      </c>
      <c r="F617">
        <v>0</v>
      </c>
      <c r="G617">
        <v>0</v>
      </c>
      <c r="H617">
        <v>21</v>
      </c>
      <c r="I617">
        <v>1</v>
      </c>
    </row>
    <row r="618" spans="1:9" x14ac:dyDescent="0.25">
      <c r="A618" t="s">
        <v>10634</v>
      </c>
      <c r="B618" t="s">
        <v>1247</v>
      </c>
      <c r="C618">
        <v>11</v>
      </c>
      <c r="D618">
        <v>0</v>
      </c>
      <c r="E618">
        <v>0</v>
      </c>
      <c r="F618">
        <v>0</v>
      </c>
      <c r="G618">
        <v>0</v>
      </c>
      <c r="H618">
        <v>11</v>
      </c>
      <c r="I618">
        <v>1</v>
      </c>
    </row>
    <row r="619" spans="1:9" x14ac:dyDescent="0.25">
      <c r="A619" t="s">
        <v>2337</v>
      </c>
      <c r="B619" t="s">
        <v>1885</v>
      </c>
      <c r="C619">
        <v>8</v>
      </c>
      <c r="D619">
        <v>0</v>
      </c>
      <c r="E619">
        <v>0</v>
      </c>
      <c r="F619">
        <v>0</v>
      </c>
      <c r="G619">
        <v>0</v>
      </c>
      <c r="H619">
        <v>8</v>
      </c>
      <c r="I619">
        <v>1</v>
      </c>
    </row>
    <row r="620" spans="1:9" x14ac:dyDescent="0.25">
      <c r="A620" t="s">
        <v>2797</v>
      </c>
      <c r="B620" t="s">
        <v>1736</v>
      </c>
      <c r="C620">
        <v>0</v>
      </c>
      <c r="D620">
        <v>0</v>
      </c>
      <c r="E620">
        <v>0</v>
      </c>
      <c r="F620">
        <v>6</v>
      </c>
      <c r="G620">
        <v>0</v>
      </c>
      <c r="H620">
        <v>6</v>
      </c>
      <c r="I620">
        <v>1</v>
      </c>
    </row>
    <row r="621" spans="1:9" x14ac:dyDescent="0.25">
      <c r="A621" t="s">
        <v>2275</v>
      </c>
      <c r="B621" t="s">
        <v>1819</v>
      </c>
      <c r="C621">
        <v>0</v>
      </c>
      <c r="D621">
        <v>0</v>
      </c>
      <c r="E621">
        <v>33</v>
      </c>
      <c r="F621">
        <v>0</v>
      </c>
      <c r="G621">
        <v>0</v>
      </c>
      <c r="H621">
        <v>33</v>
      </c>
      <c r="I621">
        <v>1</v>
      </c>
    </row>
    <row r="622" spans="1:9" x14ac:dyDescent="0.25">
      <c r="A622" t="s">
        <v>2054</v>
      </c>
      <c r="B622" t="s">
        <v>1886</v>
      </c>
      <c r="C622">
        <v>62</v>
      </c>
      <c r="D622">
        <v>0</v>
      </c>
      <c r="E622">
        <v>6</v>
      </c>
      <c r="F622">
        <v>0</v>
      </c>
      <c r="G622">
        <v>0</v>
      </c>
      <c r="H622">
        <v>68</v>
      </c>
      <c r="I622">
        <v>1</v>
      </c>
    </row>
    <row r="623" spans="1:9" x14ac:dyDescent="0.25">
      <c r="A623" t="s">
        <v>2616</v>
      </c>
      <c r="B623" t="s">
        <v>9786</v>
      </c>
      <c r="C623">
        <v>0</v>
      </c>
      <c r="D623">
        <v>0</v>
      </c>
      <c r="E623">
        <v>0</v>
      </c>
      <c r="F623">
        <v>8</v>
      </c>
      <c r="G623">
        <v>0</v>
      </c>
      <c r="H623">
        <v>8</v>
      </c>
      <c r="I623">
        <v>1</v>
      </c>
    </row>
    <row r="624" spans="1:9" x14ac:dyDescent="0.25">
      <c r="A624" t="s">
        <v>10639</v>
      </c>
      <c r="B624" t="s">
        <v>10640</v>
      </c>
      <c r="C624">
        <v>31</v>
      </c>
      <c r="D624">
        <v>0</v>
      </c>
      <c r="E624">
        <v>0</v>
      </c>
      <c r="F624">
        <v>0</v>
      </c>
      <c r="G624">
        <v>0</v>
      </c>
      <c r="H624">
        <v>31</v>
      </c>
      <c r="I624">
        <v>1</v>
      </c>
    </row>
    <row r="625" spans="1:9" x14ac:dyDescent="0.25">
      <c r="A625" t="s">
        <v>2295</v>
      </c>
      <c r="B625" t="s">
        <v>1887</v>
      </c>
      <c r="C625">
        <v>0</v>
      </c>
      <c r="D625">
        <v>0</v>
      </c>
      <c r="E625">
        <v>0</v>
      </c>
      <c r="F625">
        <v>6</v>
      </c>
      <c r="G625">
        <v>0</v>
      </c>
      <c r="H625">
        <v>6</v>
      </c>
      <c r="I625">
        <v>1</v>
      </c>
    </row>
    <row r="626" spans="1:9" x14ac:dyDescent="0.25">
      <c r="A626" t="s">
        <v>2182</v>
      </c>
      <c r="B626" t="s">
        <v>1117</v>
      </c>
      <c r="C626">
        <v>0</v>
      </c>
      <c r="D626">
        <v>0</v>
      </c>
      <c r="E626">
        <v>0</v>
      </c>
      <c r="F626">
        <v>99</v>
      </c>
      <c r="G626">
        <v>0</v>
      </c>
      <c r="H626">
        <v>99</v>
      </c>
      <c r="I626">
        <v>1</v>
      </c>
    </row>
    <row r="627" spans="1:9" x14ac:dyDescent="0.25">
      <c r="A627" t="s">
        <v>3005</v>
      </c>
      <c r="B627" t="s">
        <v>11725</v>
      </c>
      <c r="C627">
        <v>0</v>
      </c>
      <c r="D627">
        <v>0</v>
      </c>
      <c r="E627">
        <v>106</v>
      </c>
      <c r="F627">
        <v>0</v>
      </c>
      <c r="G627">
        <v>0</v>
      </c>
      <c r="H627">
        <v>106</v>
      </c>
      <c r="I627">
        <v>1</v>
      </c>
    </row>
    <row r="628" spans="1:9" x14ac:dyDescent="0.25">
      <c r="A628" t="s">
        <v>3001</v>
      </c>
      <c r="B628" t="s">
        <v>1611</v>
      </c>
      <c r="C628">
        <v>0</v>
      </c>
      <c r="D628">
        <v>0</v>
      </c>
      <c r="E628">
        <v>5</v>
      </c>
      <c r="F628">
        <v>32</v>
      </c>
      <c r="G628">
        <v>0</v>
      </c>
      <c r="H628">
        <v>37</v>
      </c>
      <c r="I628">
        <v>1</v>
      </c>
    </row>
    <row r="629" spans="1:9" x14ac:dyDescent="0.25">
      <c r="A629" t="s">
        <v>1981</v>
      </c>
      <c r="B629" t="s">
        <v>1256</v>
      </c>
      <c r="C629">
        <v>0</v>
      </c>
      <c r="D629">
        <v>0</v>
      </c>
      <c r="E629">
        <v>0</v>
      </c>
      <c r="F629">
        <v>46</v>
      </c>
      <c r="G629">
        <v>0</v>
      </c>
      <c r="H629">
        <v>46</v>
      </c>
      <c r="I629">
        <v>1</v>
      </c>
    </row>
    <row r="630" spans="1:9" x14ac:dyDescent="0.25">
      <c r="A630" t="s">
        <v>1958</v>
      </c>
      <c r="B630" t="s">
        <v>1009</v>
      </c>
      <c r="C630">
        <v>0</v>
      </c>
      <c r="D630">
        <v>0</v>
      </c>
      <c r="E630">
        <v>814</v>
      </c>
      <c r="F630">
        <v>0</v>
      </c>
      <c r="G630">
        <v>0</v>
      </c>
      <c r="H630">
        <v>814</v>
      </c>
      <c r="I630">
        <v>55</v>
      </c>
    </row>
    <row r="631" spans="1:9" x14ac:dyDescent="0.25">
      <c r="A631" t="s">
        <v>2207</v>
      </c>
      <c r="B631" t="s">
        <v>1257</v>
      </c>
      <c r="C631">
        <v>0</v>
      </c>
      <c r="D631">
        <v>0</v>
      </c>
      <c r="E631">
        <v>0</v>
      </c>
      <c r="F631">
        <v>92</v>
      </c>
      <c r="G631">
        <v>0</v>
      </c>
      <c r="H631">
        <v>92</v>
      </c>
      <c r="I631">
        <v>1</v>
      </c>
    </row>
    <row r="632" spans="1:9" x14ac:dyDescent="0.25">
      <c r="A632" t="s">
        <v>2349</v>
      </c>
      <c r="B632" t="s">
        <v>1258</v>
      </c>
      <c r="C632">
        <v>16</v>
      </c>
      <c r="D632">
        <v>0</v>
      </c>
      <c r="E632">
        <v>0</v>
      </c>
      <c r="F632">
        <v>0</v>
      </c>
      <c r="G632">
        <v>0</v>
      </c>
      <c r="H632">
        <v>16</v>
      </c>
      <c r="I632">
        <v>1</v>
      </c>
    </row>
    <row r="633" spans="1:9" x14ac:dyDescent="0.25">
      <c r="A633" t="s">
        <v>2149</v>
      </c>
      <c r="B633" t="s">
        <v>1118</v>
      </c>
      <c r="C633">
        <v>0</v>
      </c>
      <c r="D633">
        <v>0</v>
      </c>
      <c r="E633">
        <v>0</v>
      </c>
      <c r="F633">
        <v>14</v>
      </c>
      <c r="G633">
        <v>0</v>
      </c>
      <c r="H633">
        <v>14</v>
      </c>
      <c r="I633">
        <v>1</v>
      </c>
    </row>
    <row r="634" spans="1:9" x14ac:dyDescent="0.25">
      <c r="A634" t="s">
        <v>11751</v>
      </c>
      <c r="B634" t="s">
        <v>11703</v>
      </c>
      <c r="C634">
        <v>0</v>
      </c>
      <c r="D634">
        <v>0</v>
      </c>
      <c r="E634">
        <v>0</v>
      </c>
      <c r="F634">
        <v>4</v>
      </c>
      <c r="G634">
        <v>0</v>
      </c>
      <c r="H634">
        <v>4</v>
      </c>
      <c r="I634">
        <v>1</v>
      </c>
    </row>
    <row r="635" spans="1:9" x14ac:dyDescent="0.25">
      <c r="A635" t="s">
        <v>2161</v>
      </c>
      <c r="B635" t="s">
        <v>1820</v>
      </c>
      <c r="C635">
        <v>13</v>
      </c>
      <c r="D635">
        <v>0</v>
      </c>
      <c r="E635">
        <v>0</v>
      </c>
      <c r="F635">
        <v>0</v>
      </c>
      <c r="G635">
        <v>0</v>
      </c>
      <c r="H635">
        <v>13</v>
      </c>
      <c r="I635">
        <v>1</v>
      </c>
    </row>
    <row r="636" spans="1:9" x14ac:dyDescent="0.25">
      <c r="A636" t="s">
        <v>2211</v>
      </c>
      <c r="B636" t="s">
        <v>10650</v>
      </c>
      <c r="C636">
        <v>0</v>
      </c>
      <c r="D636">
        <v>0</v>
      </c>
      <c r="E636">
        <v>0</v>
      </c>
      <c r="F636">
        <v>52</v>
      </c>
      <c r="G636">
        <v>0</v>
      </c>
      <c r="H636">
        <v>52</v>
      </c>
      <c r="I636">
        <v>1</v>
      </c>
    </row>
    <row r="637" spans="1:9" x14ac:dyDescent="0.25">
      <c r="A637" t="s">
        <v>1987</v>
      </c>
      <c r="B637" t="s">
        <v>1821</v>
      </c>
      <c r="C637">
        <v>29</v>
      </c>
      <c r="D637">
        <v>0</v>
      </c>
      <c r="E637">
        <v>0</v>
      </c>
      <c r="F637">
        <v>0</v>
      </c>
      <c r="G637">
        <v>0</v>
      </c>
      <c r="H637">
        <v>29</v>
      </c>
      <c r="I637">
        <v>1</v>
      </c>
    </row>
    <row r="638" spans="1:9" x14ac:dyDescent="0.25">
      <c r="A638" t="s">
        <v>2040</v>
      </c>
      <c r="B638" t="s">
        <v>1822</v>
      </c>
      <c r="C638">
        <v>93</v>
      </c>
      <c r="D638">
        <v>0</v>
      </c>
      <c r="E638">
        <v>174</v>
      </c>
      <c r="F638">
        <v>0</v>
      </c>
      <c r="G638">
        <v>0</v>
      </c>
      <c r="H638">
        <v>267</v>
      </c>
      <c r="I638">
        <v>2</v>
      </c>
    </row>
    <row r="639" spans="1:9" x14ac:dyDescent="0.25">
      <c r="A639" t="s">
        <v>2160</v>
      </c>
      <c r="B639" t="s">
        <v>1262</v>
      </c>
      <c r="C639">
        <v>0</v>
      </c>
      <c r="D639">
        <v>0</v>
      </c>
      <c r="E639">
        <v>0</v>
      </c>
      <c r="F639">
        <v>7</v>
      </c>
      <c r="G639">
        <v>0</v>
      </c>
      <c r="H639">
        <v>7</v>
      </c>
      <c r="I639">
        <v>1</v>
      </c>
    </row>
    <row r="640" spans="1:9" x14ac:dyDescent="0.25">
      <c r="A640" t="s">
        <v>3015</v>
      </c>
      <c r="B640" t="s">
        <v>9792</v>
      </c>
      <c r="C640">
        <v>0</v>
      </c>
      <c r="D640">
        <v>0</v>
      </c>
      <c r="E640">
        <v>57</v>
      </c>
      <c r="F640">
        <v>0</v>
      </c>
      <c r="G640">
        <v>0</v>
      </c>
      <c r="H640">
        <v>57</v>
      </c>
      <c r="I640">
        <v>1</v>
      </c>
    </row>
    <row r="641" spans="1:9" x14ac:dyDescent="0.25">
      <c r="A641" t="s">
        <v>2238</v>
      </c>
      <c r="B641" t="s">
        <v>1266</v>
      </c>
      <c r="C641">
        <v>0</v>
      </c>
      <c r="D641">
        <v>0</v>
      </c>
      <c r="E641">
        <v>0</v>
      </c>
      <c r="F641">
        <v>8</v>
      </c>
      <c r="G641">
        <v>0</v>
      </c>
      <c r="H641">
        <v>8</v>
      </c>
      <c r="I641">
        <v>1</v>
      </c>
    </row>
    <row r="642" spans="1:9" x14ac:dyDescent="0.25">
      <c r="A642" t="s">
        <v>2011</v>
      </c>
      <c r="B642" t="s">
        <v>1120</v>
      </c>
      <c r="C642">
        <v>0</v>
      </c>
      <c r="D642">
        <v>0</v>
      </c>
      <c r="E642">
        <v>305</v>
      </c>
      <c r="F642">
        <v>0</v>
      </c>
      <c r="G642">
        <v>0</v>
      </c>
      <c r="H642">
        <v>305</v>
      </c>
      <c r="I642">
        <v>1</v>
      </c>
    </row>
    <row r="643" spans="1:9" x14ac:dyDescent="0.25">
      <c r="A643" t="s">
        <v>2258</v>
      </c>
      <c r="B643" t="s">
        <v>1271</v>
      </c>
      <c r="C643">
        <v>0</v>
      </c>
      <c r="D643">
        <v>0</v>
      </c>
      <c r="E643">
        <v>0</v>
      </c>
      <c r="F643">
        <v>20</v>
      </c>
      <c r="G643">
        <v>0</v>
      </c>
      <c r="H643">
        <v>20</v>
      </c>
      <c r="I643">
        <v>1</v>
      </c>
    </row>
    <row r="644" spans="1:9" x14ac:dyDescent="0.25">
      <c r="A644" t="s">
        <v>2195</v>
      </c>
      <c r="B644" t="s">
        <v>1421</v>
      </c>
      <c r="C644">
        <v>59</v>
      </c>
      <c r="D644">
        <v>0</v>
      </c>
      <c r="E644">
        <v>0</v>
      </c>
      <c r="F644">
        <v>0</v>
      </c>
      <c r="G644">
        <v>0</v>
      </c>
      <c r="H644">
        <v>59</v>
      </c>
      <c r="I644">
        <v>1</v>
      </c>
    </row>
    <row r="645" spans="1:9" x14ac:dyDescent="0.25">
      <c r="A645" t="s">
        <v>2632</v>
      </c>
      <c r="B645" t="s">
        <v>1895</v>
      </c>
      <c r="C645">
        <v>0</v>
      </c>
      <c r="D645">
        <v>0</v>
      </c>
      <c r="E645">
        <v>73</v>
      </c>
      <c r="F645">
        <v>0</v>
      </c>
      <c r="G645">
        <v>0</v>
      </c>
      <c r="H645">
        <v>73</v>
      </c>
      <c r="I645">
        <v>1</v>
      </c>
    </row>
    <row r="646" spans="1:9" x14ac:dyDescent="0.25">
      <c r="A646" t="s">
        <v>2147</v>
      </c>
      <c r="B646" t="s">
        <v>1896</v>
      </c>
      <c r="C646">
        <v>0</v>
      </c>
      <c r="D646">
        <v>0</v>
      </c>
      <c r="E646">
        <v>0</v>
      </c>
      <c r="F646">
        <v>62</v>
      </c>
      <c r="G646">
        <v>0</v>
      </c>
      <c r="H646">
        <v>62</v>
      </c>
      <c r="I646">
        <v>1</v>
      </c>
    </row>
    <row r="647" spans="1:9" x14ac:dyDescent="0.25">
      <c r="A647" t="s">
        <v>2077</v>
      </c>
      <c r="B647" t="s">
        <v>1892</v>
      </c>
      <c r="C647">
        <v>4</v>
      </c>
      <c r="D647">
        <v>0</v>
      </c>
      <c r="E647">
        <v>70</v>
      </c>
      <c r="F647">
        <v>0</v>
      </c>
      <c r="G647">
        <v>0</v>
      </c>
      <c r="H647">
        <v>74</v>
      </c>
      <c r="I647">
        <v>1</v>
      </c>
    </row>
    <row r="648" spans="1:9" x14ac:dyDescent="0.25">
      <c r="A648" t="s">
        <v>1990</v>
      </c>
      <c r="B648" t="s">
        <v>1422</v>
      </c>
      <c r="C648">
        <v>12</v>
      </c>
      <c r="D648">
        <v>0</v>
      </c>
      <c r="E648">
        <v>77</v>
      </c>
      <c r="F648">
        <v>0</v>
      </c>
      <c r="G648">
        <v>0</v>
      </c>
      <c r="H648">
        <v>89</v>
      </c>
      <c r="I648">
        <v>9</v>
      </c>
    </row>
    <row r="649" spans="1:9" x14ac:dyDescent="0.25">
      <c r="A649" t="s">
        <v>2071</v>
      </c>
      <c r="B649" t="s">
        <v>1423</v>
      </c>
      <c r="C649">
        <v>0</v>
      </c>
      <c r="D649">
        <v>0</v>
      </c>
      <c r="E649">
        <v>151</v>
      </c>
      <c r="F649">
        <v>0</v>
      </c>
      <c r="G649">
        <v>0</v>
      </c>
      <c r="H649">
        <v>151</v>
      </c>
      <c r="I649">
        <v>12</v>
      </c>
    </row>
    <row r="650" spans="1:9" x14ac:dyDescent="0.25">
      <c r="A650" t="s">
        <v>2615</v>
      </c>
      <c r="B650" t="s">
        <v>9793</v>
      </c>
      <c r="C650">
        <v>0</v>
      </c>
      <c r="D650">
        <v>0</v>
      </c>
      <c r="E650">
        <v>68</v>
      </c>
      <c r="F650">
        <v>0</v>
      </c>
      <c r="G650">
        <v>0</v>
      </c>
      <c r="H650">
        <v>68</v>
      </c>
      <c r="I650">
        <v>3</v>
      </c>
    </row>
    <row r="651" spans="1:9" x14ac:dyDescent="0.25">
      <c r="A651" t="s">
        <v>1965</v>
      </c>
      <c r="B651" t="s">
        <v>11677</v>
      </c>
      <c r="C651">
        <v>99</v>
      </c>
      <c r="D651">
        <v>0</v>
      </c>
      <c r="E651">
        <v>12</v>
      </c>
      <c r="F651">
        <v>0</v>
      </c>
      <c r="G651">
        <v>0</v>
      </c>
      <c r="H651">
        <v>111</v>
      </c>
      <c r="I651">
        <v>1</v>
      </c>
    </row>
    <row r="652" spans="1:9" x14ac:dyDescent="0.25">
      <c r="A652" t="s">
        <v>2227</v>
      </c>
      <c r="B652" t="s">
        <v>1424</v>
      </c>
      <c r="C652">
        <v>5</v>
      </c>
      <c r="D652">
        <v>0</v>
      </c>
      <c r="E652">
        <v>0</v>
      </c>
      <c r="F652">
        <v>0</v>
      </c>
      <c r="G652">
        <v>0</v>
      </c>
      <c r="H652">
        <v>5</v>
      </c>
      <c r="I652">
        <v>1</v>
      </c>
    </row>
    <row r="653" spans="1:9" x14ac:dyDescent="0.25">
      <c r="A653" t="s">
        <v>2265</v>
      </c>
      <c r="B653" t="s">
        <v>1620</v>
      </c>
      <c r="C653">
        <v>6</v>
      </c>
      <c r="D653">
        <v>0</v>
      </c>
      <c r="E653">
        <v>0</v>
      </c>
      <c r="F653">
        <v>0</v>
      </c>
      <c r="G653">
        <v>0</v>
      </c>
      <c r="H653">
        <v>6</v>
      </c>
      <c r="I653">
        <v>1</v>
      </c>
    </row>
    <row r="654" spans="1:9" x14ac:dyDescent="0.25">
      <c r="A654" t="s">
        <v>2245</v>
      </c>
      <c r="B654" t="s">
        <v>1280</v>
      </c>
      <c r="C654">
        <v>0</v>
      </c>
      <c r="D654">
        <v>0</v>
      </c>
      <c r="E654">
        <v>0</v>
      </c>
      <c r="F654">
        <v>10</v>
      </c>
      <c r="G654">
        <v>0</v>
      </c>
      <c r="H654">
        <v>10</v>
      </c>
      <c r="I654">
        <v>1</v>
      </c>
    </row>
    <row r="655" spans="1:9" x14ac:dyDescent="0.25">
      <c r="A655" t="s">
        <v>2284</v>
      </c>
      <c r="B655" t="s">
        <v>1015</v>
      </c>
      <c r="C655">
        <v>6</v>
      </c>
      <c r="D655">
        <v>0</v>
      </c>
      <c r="E655">
        <v>0</v>
      </c>
      <c r="F655">
        <v>0</v>
      </c>
      <c r="G655">
        <v>0</v>
      </c>
      <c r="H655">
        <v>6</v>
      </c>
      <c r="I655">
        <v>1</v>
      </c>
    </row>
    <row r="656" spans="1:9" x14ac:dyDescent="0.25">
      <c r="A656" t="s">
        <v>2196</v>
      </c>
      <c r="B656" t="s">
        <v>1899</v>
      </c>
      <c r="C656">
        <v>0</v>
      </c>
      <c r="D656">
        <v>0</v>
      </c>
      <c r="E656">
        <v>0</v>
      </c>
      <c r="F656">
        <v>32</v>
      </c>
      <c r="G656">
        <v>0</v>
      </c>
      <c r="H656">
        <v>32</v>
      </c>
      <c r="I656">
        <v>1</v>
      </c>
    </row>
    <row r="657" spans="1:9" x14ac:dyDescent="0.25">
      <c r="A657" t="s">
        <v>2203</v>
      </c>
      <c r="B657" t="s">
        <v>1498</v>
      </c>
      <c r="C657">
        <v>10</v>
      </c>
      <c r="D657">
        <v>0</v>
      </c>
      <c r="E657">
        <v>0</v>
      </c>
      <c r="F657">
        <v>0</v>
      </c>
      <c r="G657">
        <v>0</v>
      </c>
      <c r="H657">
        <v>10</v>
      </c>
      <c r="I657">
        <v>1</v>
      </c>
    </row>
    <row r="658" spans="1:9" x14ac:dyDescent="0.25">
      <c r="A658" t="s">
        <v>2904</v>
      </c>
      <c r="B658" t="s">
        <v>1740</v>
      </c>
      <c r="C658">
        <v>0</v>
      </c>
      <c r="D658">
        <v>0</v>
      </c>
      <c r="E658">
        <v>261</v>
      </c>
      <c r="F658">
        <v>0</v>
      </c>
      <c r="G658">
        <v>0</v>
      </c>
      <c r="H658">
        <v>261</v>
      </c>
      <c r="I658">
        <v>8</v>
      </c>
    </row>
    <row r="659" spans="1:9" x14ac:dyDescent="0.25">
      <c r="A659" t="s">
        <v>3027</v>
      </c>
      <c r="B659" t="s">
        <v>14385</v>
      </c>
      <c r="C659">
        <v>0</v>
      </c>
      <c r="D659">
        <v>0</v>
      </c>
      <c r="E659">
        <v>92</v>
      </c>
      <c r="F659">
        <v>0</v>
      </c>
      <c r="G659">
        <v>0</v>
      </c>
      <c r="H659">
        <v>92</v>
      </c>
      <c r="I659">
        <v>5</v>
      </c>
    </row>
    <row r="660" spans="1:9" x14ac:dyDescent="0.25">
      <c r="A660" t="s">
        <v>2915</v>
      </c>
      <c r="B660" t="s">
        <v>1281</v>
      </c>
      <c r="C660">
        <v>0</v>
      </c>
      <c r="D660">
        <v>0</v>
      </c>
      <c r="E660">
        <v>16</v>
      </c>
      <c r="F660">
        <v>0</v>
      </c>
      <c r="G660">
        <v>0</v>
      </c>
      <c r="H660">
        <v>16</v>
      </c>
      <c r="I660">
        <v>1</v>
      </c>
    </row>
    <row r="661" spans="1:9" x14ac:dyDescent="0.25">
      <c r="A661" t="s">
        <v>9863</v>
      </c>
      <c r="B661" t="s">
        <v>1499</v>
      </c>
      <c r="C661">
        <v>42</v>
      </c>
      <c r="D661">
        <v>0</v>
      </c>
      <c r="E661">
        <v>0</v>
      </c>
      <c r="F661">
        <v>0</v>
      </c>
      <c r="G661">
        <v>0</v>
      </c>
      <c r="H661">
        <v>42</v>
      </c>
      <c r="I661">
        <v>1</v>
      </c>
    </row>
    <row r="662" spans="1:9" x14ac:dyDescent="0.25">
      <c r="A662" t="s">
        <v>2164</v>
      </c>
      <c r="B662" t="s">
        <v>1623</v>
      </c>
      <c r="C662">
        <v>0</v>
      </c>
      <c r="D662">
        <v>0</v>
      </c>
      <c r="E662">
        <v>0</v>
      </c>
      <c r="F662">
        <v>12</v>
      </c>
      <c r="G662">
        <v>0</v>
      </c>
      <c r="H662">
        <v>12</v>
      </c>
      <c r="I662">
        <v>1</v>
      </c>
    </row>
    <row r="663" spans="1:9" x14ac:dyDescent="0.25">
      <c r="A663" t="s">
        <v>2293</v>
      </c>
      <c r="B663" t="s">
        <v>1901</v>
      </c>
      <c r="C663">
        <v>0</v>
      </c>
      <c r="D663">
        <v>0</v>
      </c>
      <c r="E663">
        <v>0</v>
      </c>
      <c r="F663">
        <v>12</v>
      </c>
      <c r="G663">
        <v>0</v>
      </c>
      <c r="H663">
        <v>12</v>
      </c>
      <c r="I663">
        <v>1</v>
      </c>
    </row>
    <row r="664" spans="1:9" x14ac:dyDescent="0.25">
      <c r="A664" t="s">
        <v>2213</v>
      </c>
      <c r="B664" t="s">
        <v>1289</v>
      </c>
      <c r="C664">
        <v>0</v>
      </c>
      <c r="D664">
        <v>0</v>
      </c>
      <c r="E664">
        <v>0</v>
      </c>
      <c r="F664">
        <v>19</v>
      </c>
      <c r="G664">
        <v>0</v>
      </c>
      <c r="H664">
        <v>19</v>
      </c>
      <c r="I664">
        <v>1</v>
      </c>
    </row>
    <row r="665" spans="1:9" x14ac:dyDescent="0.25">
      <c r="A665" t="s">
        <v>11754</v>
      </c>
      <c r="B665" t="s">
        <v>11755</v>
      </c>
      <c r="C665">
        <v>0</v>
      </c>
      <c r="D665">
        <v>0</v>
      </c>
      <c r="E665">
        <v>65</v>
      </c>
      <c r="F665">
        <v>0</v>
      </c>
      <c r="G665">
        <v>0</v>
      </c>
      <c r="H665">
        <v>65</v>
      </c>
      <c r="I665">
        <v>13</v>
      </c>
    </row>
    <row r="666" spans="1:9" x14ac:dyDescent="0.25">
      <c r="A666" t="s">
        <v>2051</v>
      </c>
      <c r="B666" t="s">
        <v>1021</v>
      </c>
      <c r="C666">
        <v>0</v>
      </c>
      <c r="D666">
        <v>0</v>
      </c>
      <c r="E666">
        <v>39</v>
      </c>
      <c r="F666">
        <v>0</v>
      </c>
      <c r="G666">
        <v>0</v>
      </c>
      <c r="H666">
        <v>39</v>
      </c>
      <c r="I666">
        <v>1</v>
      </c>
    </row>
    <row r="667" spans="1:9" x14ac:dyDescent="0.25">
      <c r="A667" t="s">
        <v>2584</v>
      </c>
      <c r="B667" t="s">
        <v>1024</v>
      </c>
      <c r="C667">
        <v>0</v>
      </c>
      <c r="D667">
        <v>0</v>
      </c>
      <c r="E667">
        <v>164</v>
      </c>
      <c r="F667">
        <v>13</v>
      </c>
      <c r="G667">
        <v>0</v>
      </c>
      <c r="H667">
        <v>177</v>
      </c>
      <c r="I667">
        <v>1</v>
      </c>
    </row>
    <row r="668" spans="1:9" x14ac:dyDescent="0.25">
      <c r="A668" t="s">
        <v>2304</v>
      </c>
      <c r="B668" t="s">
        <v>1828</v>
      </c>
      <c r="C668">
        <v>2</v>
      </c>
      <c r="D668">
        <v>0</v>
      </c>
      <c r="E668">
        <v>0</v>
      </c>
      <c r="F668">
        <v>0</v>
      </c>
      <c r="G668">
        <v>0</v>
      </c>
      <c r="H668">
        <v>2</v>
      </c>
      <c r="I668">
        <v>1</v>
      </c>
    </row>
    <row r="669" spans="1:9" x14ac:dyDescent="0.25">
      <c r="A669" t="s">
        <v>2279</v>
      </c>
      <c r="B669" t="s">
        <v>9826</v>
      </c>
      <c r="C669">
        <v>4</v>
      </c>
      <c r="D669">
        <v>0</v>
      </c>
      <c r="E669">
        <v>0</v>
      </c>
      <c r="F669">
        <v>0</v>
      </c>
      <c r="G669">
        <v>0</v>
      </c>
      <c r="H669">
        <v>4</v>
      </c>
      <c r="I669">
        <v>1</v>
      </c>
    </row>
    <row r="670" spans="1:9" x14ac:dyDescent="0.25">
      <c r="A670" t="s">
        <v>2314</v>
      </c>
      <c r="B670" t="s">
        <v>1904</v>
      </c>
      <c r="C670">
        <v>0</v>
      </c>
      <c r="D670">
        <v>0</v>
      </c>
      <c r="E670">
        <v>0</v>
      </c>
      <c r="F670">
        <v>6</v>
      </c>
      <c r="G670">
        <v>0</v>
      </c>
      <c r="H670">
        <v>6</v>
      </c>
      <c r="I670">
        <v>1</v>
      </c>
    </row>
    <row r="671" spans="1:9" x14ac:dyDescent="0.25">
      <c r="A671" t="s">
        <v>2157</v>
      </c>
      <c r="B671" t="s">
        <v>1744</v>
      </c>
      <c r="C671">
        <v>8</v>
      </c>
      <c r="D671">
        <v>0</v>
      </c>
      <c r="E671">
        <v>0</v>
      </c>
      <c r="F671">
        <v>0</v>
      </c>
      <c r="G671">
        <v>0</v>
      </c>
      <c r="H671">
        <v>8</v>
      </c>
      <c r="I671">
        <v>1</v>
      </c>
    </row>
    <row r="672" spans="1:9" x14ac:dyDescent="0.25">
      <c r="A672" t="s">
        <v>2731</v>
      </c>
      <c r="B672" t="s">
        <v>1129</v>
      </c>
      <c r="C672">
        <v>0</v>
      </c>
      <c r="D672">
        <v>0</v>
      </c>
      <c r="E672">
        <v>0</v>
      </c>
      <c r="F672">
        <v>41</v>
      </c>
      <c r="G672">
        <v>0</v>
      </c>
      <c r="H672">
        <v>41</v>
      </c>
      <c r="I672">
        <v>1</v>
      </c>
    </row>
    <row r="673" spans="1:9" x14ac:dyDescent="0.25">
      <c r="A673" t="s">
        <v>2965</v>
      </c>
      <c r="B673" t="s">
        <v>1296</v>
      </c>
      <c r="C673">
        <v>0</v>
      </c>
      <c r="D673">
        <v>0</v>
      </c>
      <c r="E673">
        <v>0</v>
      </c>
      <c r="F673">
        <v>671</v>
      </c>
      <c r="G673">
        <v>0</v>
      </c>
      <c r="H673">
        <v>671</v>
      </c>
      <c r="I673">
        <v>17</v>
      </c>
    </row>
    <row r="674" spans="1:9" x14ac:dyDescent="0.25">
      <c r="A674" t="s">
        <v>11757</v>
      </c>
      <c r="B674" t="s">
        <v>11680</v>
      </c>
      <c r="C674">
        <v>0</v>
      </c>
      <c r="D674">
        <v>0</v>
      </c>
      <c r="E674">
        <v>0</v>
      </c>
      <c r="F674">
        <v>28</v>
      </c>
      <c r="G674">
        <v>0</v>
      </c>
      <c r="H674">
        <v>28</v>
      </c>
      <c r="I674">
        <v>1</v>
      </c>
    </row>
    <row r="675" spans="1:9" x14ac:dyDescent="0.25">
      <c r="A675" t="s">
        <v>2274</v>
      </c>
      <c r="B675" t="s">
        <v>1746</v>
      </c>
      <c r="C675">
        <v>0</v>
      </c>
      <c r="D675">
        <v>0</v>
      </c>
      <c r="E675">
        <v>0</v>
      </c>
      <c r="F675">
        <v>43</v>
      </c>
      <c r="G675">
        <v>0</v>
      </c>
      <c r="H675">
        <v>43</v>
      </c>
      <c r="I675">
        <v>1</v>
      </c>
    </row>
    <row r="676" spans="1:9" x14ac:dyDescent="0.25">
      <c r="A676" t="s">
        <v>2251</v>
      </c>
      <c r="B676" t="s">
        <v>1747</v>
      </c>
      <c r="C676">
        <v>0</v>
      </c>
      <c r="D676">
        <v>0</v>
      </c>
      <c r="E676">
        <v>0</v>
      </c>
      <c r="F676">
        <v>46</v>
      </c>
      <c r="G676">
        <v>0</v>
      </c>
      <c r="H676">
        <v>46</v>
      </c>
      <c r="I676">
        <v>1</v>
      </c>
    </row>
    <row r="677" spans="1:9" x14ac:dyDescent="0.25">
      <c r="A677" t="s">
        <v>2179</v>
      </c>
      <c r="B677" t="s">
        <v>1747</v>
      </c>
      <c r="C677">
        <v>0</v>
      </c>
      <c r="D677">
        <v>0</v>
      </c>
      <c r="E677">
        <v>0</v>
      </c>
      <c r="F677">
        <v>16</v>
      </c>
      <c r="G677">
        <v>0</v>
      </c>
      <c r="H677">
        <v>16</v>
      </c>
      <c r="I677">
        <v>1</v>
      </c>
    </row>
    <row r="678" spans="1:9" x14ac:dyDescent="0.25">
      <c r="A678" t="s">
        <v>11758</v>
      </c>
      <c r="B678" t="s">
        <v>11759</v>
      </c>
      <c r="C678">
        <v>0</v>
      </c>
      <c r="D678">
        <v>0</v>
      </c>
      <c r="E678">
        <v>0</v>
      </c>
      <c r="F678">
        <v>0</v>
      </c>
      <c r="G678">
        <v>0</v>
      </c>
      <c r="H678">
        <v>0</v>
      </c>
      <c r="I678">
        <v>0</v>
      </c>
    </row>
    <row r="679" spans="1:9" x14ac:dyDescent="0.25">
      <c r="A679" t="s">
        <v>2039</v>
      </c>
      <c r="B679" t="s">
        <v>1033</v>
      </c>
      <c r="C679">
        <v>0</v>
      </c>
      <c r="D679">
        <v>0</v>
      </c>
      <c r="E679">
        <v>294</v>
      </c>
      <c r="F679">
        <v>0</v>
      </c>
      <c r="G679">
        <v>0</v>
      </c>
      <c r="H679">
        <v>294</v>
      </c>
      <c r="I679">
        <v>19</v>
      </c>
    </row>
    <row r="680" spans="1:9" x14ac:dyDescent="0.25">
      <c r="A680" t="s">
        <v>10798</v>
      </c>
      <c r="B680" t="s">
        <v>11760</v>
      </c>
      <c r="C680">
        <v>0</v>
      </c>
      <c r="D680">
        <v>0</v>
      </c>
      <c r="E680">
        <v>0</v>
      </c>
      <c r="F680">
        <v>0</v>
      </c>
      <c r="G680">
        <v>0</v>
      </c>
      <c r="H680">
        <v>0</v>
      </c>
      <c r="I680">
        <v>0</v>
      </c>
    </row>
    <row r="681" spans="1:9" x14ac:dyDescent="0.25">
      <c r="A681" t="s">
        <v>2708</v>
      </c>
      <c r="B681" t="s">
        <v>1034</v>
      </c>
      <c r="C681">
        <v>0</v>
      </c>
      <c r="D681">
        <v>0</v>
      </c>
      <c r="E681">
        <v>0</v>
      </c>
      <c r="F681">
        <v>28</v>
      </c>
      <c r="G681">
        <v>0</v>
      </c>
      <c r="H681">
        <v>28</v>
      </c>
      <c r="I681">
        <v>1</v>
      </c>
    </row>
    <row r="682" spans="1:9" x14ac:dyDescent="0.25">
      <c r="A682" t="s">
        <v>9866</v>
      </c>
      <c r="B682" t="s">
        <v>11719</v>
      </c>
      <c r="C682">
        <v>0</v>
      </c>
      <c r="D682">
        <v>0</v>
      </c>
      <c r="E682">
        <v>0</v>
      </c>
      <c r="F682">
        <v>28</v>
      </c>
      <c r="G682">
        <v>0</v>
      </c>
      <c r="H682">
        <v>28</v>
      </c>
      <c r="I682">
        <v>1</v>
      </c>
    </row>
    <row r="683" spans="1:9" x14ac:dyDescent="0.25">
      <c r="A683" t="s">
        <v>2574</v>
      </c>
      <c r="B683" t="s">
        <v>10799</v>
      </c>
      <c r="C683">
        <v>17</v>
      </c>
      <c r="D683">
        <v>125</v>
      </c>
      <c r="E683">
        <v>84</v>
      </c>
      <c r="F683">
        <v>0</v>
      </c>
      <c r="G683">
        <v>0</v>
      </c>
      <c r="H683">
        <v>226</v>
      </c>
      <c r="I683">
        <v>1</v>
      </c>
    </row>
    <row r="684" spans="1:9" x14ac:dyDescent="0.25">
      <c r="A684" t="s">
        <v>2233</v>
      </c>
      <c r="B684" t="s">
        <v>1633</v>
      </c>
      <c r="C684">
        <v>0</v>
      </c>
      <c r="D684">
        <v>0</v>
      </c>
      <c r="E684">
        <v>0</v>
      </c>
      <c r="F684">
        <v>7</v>
      </c>
      <c r="G684">
        <v>0</v>
      </c>
      <c r="H684">
        <v>7</v>
      </c>
      <c r="I684">
        <v>1</v>
      </c>
    </row>
    <row r="685" spans="1:9" x14ac:dyDescent="0.25">
      <c r="A685" t="s">
        <v>1966</v>
      </c>
      <c r="B685" t="s">
        <v>1036</v>
      </c>
      <c r="C685">
        <v>0</v>
      </c>
      <c r="D685">
        <v>0</v>
      </c>
      <c r="E685">
        <v>20</v>
      </c>
      <c r="F685">
        <v>0</v>
      </c>
      <c r="G685">
        <v>0</v>
      </c>
      <c r="H685">
        <v>20</v>
      </c>
      <c r="I685">
        <v>2</v>
      </c>
    </row>
    <row r="686" spans="1:9" x14ac:dyDescent="0.25">
      <c r="A686" t="s">
        <v>2163</v>
      </c>
      <c r="B686" t="s">
        <v>1132</v>
      </c>
      <c r="C686">
        <v>0</v>
      </c>
      <c r="D686">
        <v>0</v>
      </c>
      <c r="E686">
        <v>12</v>
      </c>
      <c r="F686">
        <v>57</v>
      </c>
      <c r="G686">
        <v>0</v>
      </c>
      <c r="H686">
        <v>69</v>
      </c>
      <c r="I686">
        <v>1</v>
      </c>
    </row>
    <row r="687" spans="1:9" x14ac:dyDescent="0.25">
      <c r="A687" t="s">
        <v>2208</v>
      </c>
      <c r="B687" t="s">
        <v>9827</v>
      </c>
      <c r="C687">
        <v>0</v>
      </c>
      <c r="D687">
        <v>0</v>
      </c>
      <c r="E687">
        <v>0</v>
      </c>
      <c r="F687">
        <v>78</v>
      </c>
      <c r="G687">
        <v>0</v>
      </c>
      <c r="H687">
        <v>78</v>
      </c>
      <c r="I687">
        <v>2</v>
      </c>
    </row>
    <row r="688" spans="1:9" x14ac:dyDescent="0.25">
      <c r="A688" t="s">
        <v>2168</v>
      </c>
      <c r="B688" t="s">
        <v>1751</v>
      </c>
      <c r="C688">
        <v>4</v>
      </c>
      <c r="D688">
        <v>0</v>
      </c>
      <c r="E688">
        <v>0</v>
      </c>
      <c r="F688">
        <v>0</v>
      </c>
      <c r="G688">
        <v>0</v>
      </c>
      <c r="H688">
        <v>4</v>
      </c>
      <c r="I688">
        <v>1</v>
      </c>
    </row>
    <row r="689" spans="1:9" x14ac:dyDescent="0.25">
      <c r="A689" t="s">
        <v>2146</v>
      </c>
      <c r="B689" t="s">
        <v>1752</v>
      </c>
      <c r="C689">
        <v>5</v>
      </c>
      <c r="D689">
        <v>0</v>
      </c>
      <c r="E689">
        <v>0</v>
      </c>
      <c r="F689">
        <v>112</v>
      </c>
      <c r="G689">
        <v>0</v>
      </c>
      <c r="H689">
        <v>117</v>
      </c>
      <c r="I689">
        <v>1</v>
      </c>
    </row>
    <row r="690" spans="1:9" x14ac:dyDescent="0.25">
      <c r="A690" t="s">
        <v>2250</v>
      </c>
      <c r="B690" t="s">
        <v>1045</v>
      </c>
      <c r="C690">
        <v>0</v>
      </c>
      <c r="D690">
        <v>0</v>
      </c>
      <c r="E690">
        <v>0</v>
      </c>
      <c r="F690">
        <v>8</v>
      </c>
      <c r="G690">
        <v>0</v>
      </c>
      <c r="H690">
        <v>8</v>
      </c>
      <c r="I690">
        <v>1</v>
      </c>
    </row>
    <row r="691" spans="1:9" x14ac:dyDescent="0.25">
      <c r="A691" t="s">
        <v>9868</v>
      </c>
      <c r="B691" t="s">
        <v>9808</v>
      </c>
      <c r="C691">
        <v>1</v>
      </c>
      <c r="D691">
        <v>0</v>
      </c>
      <c r="E691">
        <v>56</v>
      </c>
      <c r="F691">
        <v>0</v>
      </c>
      <c r="G691">
        <v>0</v>
      </c>
      <c r="H691">
        <v>57</v>
      </c>
      <c r="I691">
        <v>1</v>
      </c>
    </row>
    <row r="692" spans="1:9" x14ac:dyDescent="0.25">
      <c r="A692" t="s">
        <v>2300</v>
      </c>
      <c r="B692" t="s">
        <v>1639</v>
      </c>
      <c r="C692">
        <v>0</v>
      </c>
      <c r="D692">
        <v>0</v>
      </c>
      <c r="E692">
        <v>0</v>
      </c>
      <c r="F692">
        <v>5</v>
      </c>
      <c r="G692">
        <v>0</v>
      </c>
      <c r="H692">
        <v>5</v>
      </c>
      <c r="I692">
        <v>1</v>
      </c>
    </row>
    <row r="693" spans="1:9" x14ac:dyDescent="0.25">
      <c r="A693" t="s">
        <v>2228</v>
      </c>
      <c r="B693" t="s">
        <v>1319</v>
      </c>
      <c r="C693">
        <v>0</v>
      </c>
      <c r="D693">
        <v>0</v>
      </c>
      <c r="E693">
        <v>0</v>
      </c>
      <c r="F693">
        <v>10</v>
      </c>
      <c r="G693">
        <v>0</v>
      </c>
      <c r="H693">
        <v>10</v>
      </c>
      <c r="I693">
        <v>1</v>
      </c>
    </row>
    <row r="694" spans="1:9" x14ac:dyDescent="0.25">
      <c r="A694" t="s">
        <v>2824</v>
      </c>
      <c r="B694" t="s">
        <v>1522</v>
      </c>
      <c r="C694">
        <v>275</v>
      </c>
      <c r="D694">
        <v>0</v>
      </c>
      <c r="E694">
        <v>0</v>
      </c>
      <c r="F694">
        <v>0</v>
      </c>
      <c r="G694">
        <v>0</v>
      </c>
      <c r="H694">
        <v>275</v>
      </c>
      <c r="I694">
        <v>1</v>
      </c>
    </row>
    <row r="695" spans="1:9" x14ac:dyDescent="0.25">
      <c r="A695" t="s">
        <v>2139</v>
      </c>
      <c r="B695" t="s">
        <v>1523</v>
      </c>
      <c r="C695">
        <v>0</v>
      </c>
      <c r="D695">
        <v>0</v>
      </c>
      <c r="E695">
        <v>95</v>
      </c>
      <c r="F695">
        <v>0</v>
      </c>
      <c r="G695">
        <v>0</v>
      </c>
      <c r="H695">
        <v>95</v>
      </c>
      <c r="I695">
        <v>1</v>
      </c>
    </row>
    <row r="696" spans="1:9" x14ac:dyDescent="0.25">
      <c r="A696" t="s">
        <v>2346</v>
      </c>
      <c r="B696" t="s">
        <v>1753</v>
      </c>
      <c r="C696">
        <v>0</v>
      </c>
      <c r="D696">
        <v>0</v>
      </c>
      <c r="E696">
        <v>0</v>
      </c>
      <c r="F696">
        <v>73</v>
      </c>
      <c r="G696">
        <v>0</v>
      </c>
      <c r="H696">
        <v>73</v>
      </c>
      <c r="I696">
        <v>1</v>
      </c>
    </row>
    <row r="697" spans="1:9" x14ac:dyDescent="0.25">
      <c r="A697" t="s">
        <v>2638</v>
      </c>
      <c r="B697" t="s">
        <v>1642</v>
      </c>
      <c r="C697">
        <v>0</v>
      </c>
      <c r="D697">
        <v>0</v>
      </c>
      <c r="E697">
        <v>0</v>
      </c>
      <c r="F697">
        <v>44</v>
      </c>
      <c r="G697">
        <v>0</v>
      </c>
      <c r="H697">
        <v>44</v>
      </c>
      <c r="I697">
        <v>1</v>
      </c>
    </row>
    <row r="698" spans="1:9" x14ac:dyDescent="0.25">
      <c r="A698" t="s">
        <v>2566</v>
      </c>
      <c r="B698" t="s">
        <v>1326</v>
      </c>
      <c r="C698">
        <v>0</v>
      </c>
      <c r="D698">
        <v>0</v>
      </c>
      <c r="E698">
        <v>112</v>
      </c>
      <c r="F698">
        <v>0</v>
      </c>
      <c r="G698">
        <v>0</v>
      </c>
      <c r="H698">
        <v>112</v>
      </c>
      <c r="I698">
        <v>1</v>
      </c>
    </row>
    <row r="699" spans="1:9" x14ac:dyDescent="0.25">
      <c r="A699" t="s">
        <v>2262</v>
      </c>
      <c r="B699" t="s">
        <v>1149</v>
      </c>
      <c r="C699">
        <v>0</v>
      </c>
      <c r="D699">
        <v>0</v>
      </c>
      <c r="E699">
        <v>0</v>
      </c>
      <c r="F699">
        <v>44</v>
      </c>
      <c r="G699">
        <v>0</v>
      </c>
      <c r="H699">
        <v>44</v>
      </c>
      <c r="I699">
        <v>1</v>
      </c>
    </row>
    <row r="700" spans="1:9" x14ac:dyDescent="0.25">
      <c r="A700" t="s">
        <v>2906</v>
      </c>
      <c r="B700" t="s">
        <v>1645</v>
      </c>
      <c r="C700">
        <v>0</v>
      </c>
      <c r="D700">
        <v>0</v>
      </c>
      <c r="E700">
        <v>40</v>
      </c>
      <c r="F700">
        <v>0</v>
      </c>
      <c r="G700">
        <v>0</v>
      </c>
      <c r="H700">
        <v>40</v>
      </c>
      <c r="I700">
        <v>1</v>
      </c>
    </row>
    <row r="701" spans="1:9" x14ac:dyDescent="0.25">
      <c r="A701" t="s">
        <v>2002</v>
      </c>
      <c r="B701" t="s">
        <v>1052</v>
      </c>
      <c r="C701">
        <v>0</v>
      </c>
      <c r="D701">
        <v>0</v>
      </c>
      <c r="E701">
        <v>8</v>
      </c>
      <c r="F701">
        <v>0</v>
      </c>
      <c r="G701">
        <v>0</v>
      </c>
      <c r="H701">
        <v>8</v>
      </c>
      <c r="I701">
        <v>1</v>
      </c>
    </row>
    <row r="702" spans="1:9" x14ac:dyDescent="0.25">
      <c r="A702" t="s">
        <v>2339</v>
      </c>
      <c r="B702" t="s">
        <v>1647</v>
      </c>
      <c r="C702">
        <v>0</v>
      </c>
      <c r="D702">
        <v>0</v>
      </c>
      <c r="E702">
        <v>0</v>
      </c>
      <c r="F702">
        <v>6</v>
      </c>
      <c r="G702">
        <v>0</v>
      </c>
      <c r="H702">
        <v>6</v>
      </c>
      <c r="I702">
        <v>1</v>
      </c>
    </row>
    <row r="703" spans="1:9" x14ac:dyDescent="0.25">
      <c r="A703" t="s">
        <v>2860</v>
      </c>
      <c r="B703" t="s">
        <v>1053</v>
      </c>
      <c r="C703">
        <v>0</v>
      </c>
      <c r="D703">
        <v>0</v>
      </c>
      <c r="E703">
        <v>0</v>
      </c>
      <c r="F703">
        <v>301</v>
      </c>
      <c r="G703">
        <v>0</v>
      </c>
      <c r="H703">
        <v>301</v>
      </c>
      <c r="I703">
        <v>4</v>
      </c>
    </row>
    <row r="704" spans="1:9" x14ac:dyDescent="0.25">
      <c r="A704" t="s">
        <v>2971</v>
      </c>
      <c r="B704" t="s">
        <v>1907</v>
      </c>
      <c r="C704">
        <v>5</v>
      </c>
      <c r="D704">
        <v>0</v>
      </c>
      <c r="E704">
        <v>17</v>
      </c>
      <c r="F704">
        <v>0</v>
      </c>
      <c r="G704">
        <v>0</v>
      </c>
      <c r="H704">
        <v>22</v>
      </c>
      <c r="I704">
        <v>1</v>
      </c>
    </row>
    <row r="705" spans="1:9" x14ac:dyDescent="0.25">
      <c r="A705" t="s">
        <v>2240</v>
      </c>
      <c r="B705" t="s">
        <v>1151</v>
      </c>
      <c r="C705">
        <v>0</v>
      </c>
      <c r="D705">
        <v>0</v>
      </c>
      <c r="E705">
        <v>0</v>
      </c>
      <c r="F705">
        <v>24</v>
      </c>
      <c r="G705">
        <v>0</v>
      </c>
      <c r="H705">
        <v>24</v>
      </c>
      <c r="I705">
        <v>1</v>
      </c>
    </row>
    <row r="706" spans="1:9" x14ac:dyDescent="0.25">
      <c r="A706" t="s">
        <v>2180</v>
      </c>
      <c r="B706" t="s">
        <v>1908</v>
      </c>
      <c r="C706">
        <v>0</v>
      </c>
      <c r="D706">
        <v>0</v>
      </c>
      <c r="E706">
        <v>0</v>
      </c>
      <c r="F706">
        <v>15</v>
      </c>
      <c r="G706">
        <v>0</v>
      </c>
      <c r="H706">
        <v>15</v>
      </c>
      <c r="I706">
        <v>1</v>
      </c>
    </row>
    <row r="707" spans="1:9" x14ac:dyDescent="0.25">
      <c r="A707" t="s">
        <v>15270</v>
      </c>
      <c r="B707" t="s">
        <v>1652</v>
      </c>
      <c r="C707">
        <v>0</v>
      </c>
      <c r="D707">
        <v>0</v>
      </c>
      <c r="E707">
        <v>0</v>
      </c>
      <c r="F707">
        <v>25</v>
      </c>
      <c r="G707">
        <v>0</v>
      </c>
      <c r="H707">
        <v>25</v>
      </c>
      <c r="I707">
        <v>1</v>
      </c>
    </row>
    <row r="708" spans="1:9" x14ac:dyDescent="0.25">
      <c r="A708" t="s">
        <v>2291</v>
      </c>
      <c r="B708" t="s">
        <v>1652</v>
      </c>
      <c r="C708">
        <v>0</v>
      </c>
      <c r="D708">
        <v>0</v>
      </c>
      <c r="E708">
        <v>0</v>
      </c>
      <c r="F708">
        <v>25</v>
      </c>
      <c r="G708">
        <v>0</v>
      </c>
      <c r="H708">
        <v>25</v>
      </c>
      <c r="I708">
        <v>1</v>
      </c>
    </row>
    <row r="709" spans="1:9" x14ac:dyDescent="0.25">
      <c r="A709" t="s">
        <v>2741</v>
      </c>
      <c r="B709" t="s">
        <v>1653</v>
      </c>
      <c r="C709">
        <v>0</v>
      </c>
      <c r="D709">
        <v>0</v>
      </c>
      <c r="E709">
        <v>0</v>
      </c>
      <c r="F709">
        <v>32</v>
      </c>
      <c r="G709">
        <v>0</v>
      </c>
      <c r="H709">
        <v>32</v>
      </c>
      <c r="I709">
        <v>1</v>
      </c>
    </row>
    <row r="710" spans="1:9" x14ac:dyDescent="0.25">
      <c r="A710" t="s">
        <v>10716</v>
      </c>
      <c r="B710" t="s">
        <v>10717</v>
      </c>
      <c r="C710">
        <v>0</v>
      </c>
      <c r="D710">
        <v>0</v>
      </c>
      <c r="E710">
        <v>0</v>
      </c>
      <c r="F710">
        <v>0</v>
      </c>
      <c r="G710">
        <v>0</v>
      </c>
      <c r="H710">
        <v>0</v>
      </c>
      <c r="I710">
        <v>0</v>
      </c>
    </row>
    <row r="711" spans="1:9" x14ac:dyDescent="0.25">
      <c r="A711" t="s">
        <v>2151</v>
      </c>
      <c r="B711" t="s">
        <v>1759</v>
      </c>
      <c r="C711">
        <v>36</v>
      </c>
      <c r="D711">
        <v>0</v>
      </c>
      <c r="E711">
        <v>0</v>
      </c>
      <c r="F711">
        <v>191</v>
      </c>
      <c r="G711">
        <v>0</v>
      </c>
      <c r="H711">
        <v>227</v>
      </c>
      <c r="I711">
        <v>1</v>
      </c>
    </row>
    <row r="712" spans="1:9" x14ac:dyDescent="0.25">
      <c r="A712" t="s">
        <v>2272</v>
      </c>
      <c r="B712" t="s">
        <v>1835</v>
      </c>
      <c r="C712">
        <v>10</v>
      </c>
      <c r="D712">
        <v>0</v>
      </c>
      <c r="E712">
        <v>0</v>
      </c>
      <c r="F712">
        <v>0</v>
      </c>
      <c r="G712">
        <v>0</v>
      </c>
      <c r="H712">
        <v>10</v>
      </c>
      <c r="I712">
        <v>1</v>
      </c>
    </row>
    <row r="713" spans="1:9" x14ac:dyDescent="0.25">
      <c r="A713" t="s">
        <v>14585</v>
      </c>
      <c r="B713" t="s">
        <v>14394</v>
      </c>
      <c r="C713">
        <v>0</v>
      </c>
      <c r="D713">
        <v>0</v>
      </c>
      <c r="E713">
        <v>0</v>
      </c>
      <c r="F713">
        <v>29</v>
      </c>
      <c r="G713">
        <v>0</v>
      </c>
      <c r="H713">
        <v>29</v>
      </c>
      <c r="I713">
        <v>1</v>
      </c>
    </row>
    <row r="714" spans="1:9" x14ac:dyDescent="0.25">
      <c r="A714" t="s">
        <v>2122</v>
      </c>
      <c r="B714" t="s">
        <v>1836</v>
      </c>
      <c r="C714">
        <v>2</v>
      </c>
      <c r="D714">
        <v>0</v>
      </c>
      <c r="E714">
        <v>19</v>
      </c>
      <c r="F714">
        <v>0</v>
      </c>
      <c r="G714">
        <v>0</v>
      </c>
      <c r="H714">
        <v>21</v>
      </c>
      <c r="I714">
        <v>1</v>
      </c>
    </row>
    <row r="715" spans="1:9" x14ac:dyDescent="0.25">
      <c r="A715" t="s">
        <v>2183</v>
      </c>
      <c r="B715" t="s">
        <v>1058</v>
      </c>
      <c r="C715">
        <v>0</v>
      </c>
      <c r="D715">
        <v>0</v>
      </c>
      <c r="E715">
        <v>0</v>
      </c>
      <c r="F715">
        <v>8</v>
      </c>
      <c r="G715">
        <v>0</v>
      </c>
      <c r="H715">
        <v>8</v>
      </c>
      <c r="I715">
        <v>1</v>
      </c>
    </row>
    <row r="716" spans="1:9" x14ac:dyDescent="0.25">
      <c r="A716" t="s">
        <v>10729</v>
      </c>
      <c r="B716" t="s">
        <v>1762</v>
      </c>
      <c r="C716">
        <v>0</v>
      </c>
      <c r="D716">
        <v>0</v>
      </c>
      <c r="E716">
        <v>0</v>
      </c>
      <c r="F716">
        <v>12</v>
      </c>
      <c r="G716">
        <v>0</v>
      </c>
      <c r="H716">
        <v>12</v>
      </c>
      <c r="I716">
        <v>1</v>
      </c>
    </row>
    <row r="717" spans="1:9" x14ac:dyDescent="0.25">
      <c r="A717" t="s">
        <v>2287</v>
      </c>
      <c r="B717" t="s">
        <v>1438</v>
      </c>
      <c r="C717">
        <v>0</v>
      </c>
      <c r="D717">
        <v>0</v>
      </c>
      <c r="E717">
        <v>18</v>
      </c>
      <c r="F717">
        <v>7</v>
      </c>
      <c r="G717">
        <v>0</v>
      </c>
      <c r="H717">
        <v>25</v>
      </c>
      <c r="I717">
        <v>1</v>
      </c>
    </row>
    <row r="718" spans="1:9" x14ac:dyDescent="0.25">
      <c r="A718" t="s">
        <v>2061</v>
      </c>
      <c r="B718" t="s">
        <v>1839</v>
      </c>
      <c r="C718">
        <v>0</v>
      </c>
      <c r="D718">
        <v>0</v>
      </c>
      <c r="E718">
        <v>0</v>
      </c>
      <c r="F718">
        <v>51</v>
      </c>
      <c r="G718">
        <v>0</v>
      </c>
      <c r="H718">
        <v>51</v>
      </c>
      <c r="I718">
        <v>1</v>
      </c>
    </row>
    <row r="719" spans="1:9" x14ac:dyDescent="0.25">
      <c r="A719" t="s">
        <v>2539</v>
      </c>
      <c r="B719" t="s">
        <v>14401</v>
      </c>
      <c r="C719">
        <v>0</v>
      </c>
      <c r="D719">
        <v>0</v>
      </c>
      <c r="E719">
        <v>0</v>
      </c>
      <c r="F719">
        <v>32</v>
      </c>
      <c r="G719">
        <v>0</v>
      </c>
      <c r="H719">
        <v>32</v>
      </c>
      <c r="I719">
        <v>1</v>
      </c>
    </row>
    <row r="720" spans="1:9" x14ac:dyDescent="0.25">
      <c r="A720" t="s">
        <v>2169</v>
      </c>
      <c r="B720" t="s">
        <v>11689</v>
      </c>
      <c r="C720">
        <v>0</v>
      </c>
      <c r="D720">
        <v>0</v>
      </c>
      <c r="E720">
        <v>0</v>
      </c>
      <c r="F720">
        <v>55</v>
      </c>
      <c r="G720">
        <v>0</v>
      </c>
      <c r="H720">
        <v>55</v>
      </c>
      <c r="I720">
        <v>1</v>
      </c>
    </row>
    <row r="721" spans="1:9" x14ac:dyDescent="0.25">
      <c r="A721" t="s">
        <v>9873</v>
      </c>
      <c r="B721" t="s">
        <v>9842</v>
      </c>
      <c r="C721">
        <v>0</v>
      </c>
      <c r="D721">
        <v>0</v>
      </c>
      <c r="E721">
        <v>0</v>
      </c>
      <c r="F721">
        <v>6</v>
      </c>
      <c r="G721">
        <v>0</v>
      </c>
      <c r="H721">
        <v>6</v>
      </c>
      <c r="I721">
        <v>1</v>
      </c>
    </row>
    <row r="722" spans="1:9" x14ac:dyDescent="0.25">
      <c r="A722" t="s">
        <v>2176</v>
      </c>
      <c r="B722" t="s">
        <v>1842</v>
      </c>
      <c r="C722">
        <v>0</v>
      </c>
      <c r="D722">
        <v>0</v>
      </c>
      <c r="E722">
        <v>0</v>
      </c>
      <c r="F722">
        <v>182</v>
      </c>
      <c r="G722">
        <v>0</v>
      </c>
      <c r="H722">
        <v>182</v>
      </c>
      <c r="I722">
        <v>2</v>
      </c>
    </row>
    <row r="723" spans="1:9" x14ac:dyDescent="0.25">
      <c r="A723" t="s">
        <v>2064</v>
      </c>
      <c r="B723" t="s">
        <v>1059</v>
      </c>
      <c r="C723">
        <v>3</v>
      </c>
      <c r="D723">
        <v>0</v>
      </c>
      <c r="E723">
        <v>0</v>
      </c>
      <c r="F723">
        <v>0</v>
      </c>
      <c r="G723">
        <v>0</v>
      </c>
      <c r="H723">
        <v>3</v>
      </c>
      <c r="I723">
        <v>1</v>
      </c>
    </row>
    <row r="724" spans="1:9" x14ac:dyDescent="0.25">
      <c r="A724" t="s">
        <v>2215</v>
      </c>
      <c r="B724" t="s">
        <v>1659</v>
      </c>
      <c r="C724">
        <v>0</v>
      </c>
      <c r="D724">
        <v>0</v>
      </c>
      <c r="E724">
        <v>0</v>
      </c>
      <c r="F724">
        <v>52</v>
      </c>
      <c r="G724">
        <v>0</v>
      </c>
      <c r="H724">
        <v>52</v>
      </c>
      <c r="I724">
        <v>1</v>
      </c>
    </row>
    <row r="725" spans="1:9" x14ac:dyDescent="0.25">
      <c r="A725" t="s">
        <v>2347</v>
      </c>
      <c r="B725" t="s">
        <v>1439</v>
      </c>
      <c r="C725">
        <v>0</v>
      </c>
      <c r="D725">
        <v>0</v>
      </c>
      <c r="E725">
        <v>0</v>
      </c>
      <c r="F725">
        <v>25</v>
      </c>
      <c r="G725">
        <v>0</v>
      </c>
      <c r="H725">
        <v>25</v>
      </c>
      <c r="I725">
        <v>1</v>
      </c>
    </row>
    <row r="726" spans="1:9" x14ac:dyDescent="0.25">
      <c r="A726" t="s">
        <v>2239</v>
      </c>
      <c r="B726" t="s">
        <v>1843</v>
      </c>
      <c r="C726">
        <v>0</v>
      </c>
      <c r="D726">
        <v>0</v>
      </c>
      <c r="E726">
        <v>0</v>
      </c>
      <c r="F726">
        <v>23</v>
      </c>
      <c r="G726">
        <v>0</v>
      </c>
      <c r="H726">
        <v>23</v>
      </c>
      <c r="I726">
        <v>1</v>
      </c>
    </row>
    <row r="727" spans="1:9" x14ac:dyDescent="0.25">
      <c r="A727" t="s">
        <v>2094</v>
      </c>
      <c r="B727" t="s">
        <v>1156</v>
      </c>
      <c r="C727">
        <v>0</v>
      </c>
      <c r="D727">
        <v>0</v>
      </c>
      <c r="E727">
        <v>35</v>
      </c>
      <c r="F727">
        <v>0</v>
      </c>
      <c r="G727">
        <v>0</v>
      </c>
      <c r="H727">
        <v>35</v>
      </c>
      <c r="I727">
        <v>1</v>
      </c>
    </row>
    <row r="728" spans="1:9" x14ac:dyDescent="0.25">
      <c r="A728" t="s">
        <v>2631</v>
      </c>
      <c r="B728" t="s">
        <v>1847</v>
      </c>
      <c r="C728">
        <v>0</v>
      </c>
      <c r="D728">
        <v>0</v>
      </c>
      <c r="E728">
        <v>51</v>
      </c>
      <c r="F728">
        <v>0</v>
      </c>
      <c r="G728">
        <v>0</v>
      </c>
      <c r="H728">
        <v>51</v>
      </c>
      <c r="I728">
        <v>1</v>
      </c>
    </row>
    <row r="729" spans="1:9" x14ac:dyDescent="0.25">
      <c r="A729" t="s">
        <v>2957</v>
      </c>
      <c r="B729" t="s">
        <v>1344</v>
      </c>
      <c r="C729">
        <v>4</v>
      </c>
      <c r="D729">
        <v>0</v>
      </c>
      <c r="E729">
        <v>62</v>
      </c>
      <c r="F729">
        <v>0</v>
      </c>
      <c r="G729">
        <v>0</v>
      </c>
      <c r="H729">
        <v>66</v>
      </c>
      <c r="I729">
        <v>5</v>
      </c>
    </row>
    <row r="730" spans="1:9" x14ac:dyDescent="0.25">
      <c r="A730" t="s">
        <v>2259</v>
      </c>
      <c r="B730" t="s">
        <v>1157</v>
      </c>
      <c r="C730">
        <v>20</v>
      </c>
      <c r="D730">
        <v>0</v>
      </c>
      <c r="E730">
        <v>0</v>
      </c>
      <c r="F730">
        <v>0</v>
      </c>
      <c r="G730">
        <v>0</v>
      </c>
      <c r="H730">
        <v>20</v>
      </c>
      <c r="I730">
        <v>1</v>
      </c>
    </row>
    <row r="731" spans="1:9" x14ac:dyDescent="0.25">
      <c r="A731" t="s">
        <v>2199</v>
      </c>
      <c r="B731" t="s">
        <v>11664</v>
      </c>
      <c r="C731">
        <v>0</v>
      </c>
      <c r="D731">
        <v>0</v>
      </c>
      <c r="E731">
        <v>0</v>
      </c>
      <c r="F731">
        <v>10</v>
      </c>
      <c r="G731">
        <v>0</v>
      </c>
      <c r="H731">
        <v>10</v>
      </c>
      <c r="I731">
        <v>1</v>
      </c>
    </row>
    <row r="732" spans="1:9" x14ac:dyDescent="0.25">
      <c r="A732" t="s">
        <v>11771</v>
      </c>
      <c r="B732" t="s">
        <v>11772</v>
      </c>
      <c r="C732">
        <v>6</v>
      </c>
      <c r="D732">
        <v>0</v>
      </c>
      <c r="E732">
        <v>0</v>
      </c>
      <c r="F732">
        <v>0</v>
      </c>
      <c r="G732">
        <v>0</v>
      </c>
      <c r="H732">
        <v>6</v>
      </c>
      <c r="I732">
        <v>1</v>
      </c>
    </row>
    <row r="733" spans="1:9" x14ac:dyDescent="0.25">
      <c r="A733" t="s">
        <v>2008</v>
      </c>
      <c r="B733" t="s">
        <v>9829</v>
      </c>
      <c r="C733">
        <v>0</v>
      </c>
      <c r="D733">
        <v>0</v>
      </c>
      <c r="E733">
        <v>98</v>
      </c>
      <c r="F733">
        <v>0</v>
      </c>
      <c r="G733">
        <v>0</v>
      </c>
      <c r="H733">
        <v>98</v>
      </c>
      <c r="I733">
        <v>2</v>
      </c>
    </row>
    <row r="734" spans="1:9" x14ac:dyDescent="0.25">
      <c r="A734" t="s">
        <v>2317</v>
      </c>
      <c r="B734" t="s">
        <v>10734</v>
      </c>
      <c r="C734">
        <v>0</v>
      </c>
      <c r="D734">
        <v>0</v>
      </c>
      <c r="E734">
        <v>0</v>
      </c>
      <c r="F734">
        <v>12</v>
      </c>
      <c r="G734">
        <v>0</v>
      </c>
      <c r="H734">
        <v>12</v>
      </c>
      <c r="I734">
        <v>1</v>
      </c>
    </row>
    <row r="735" spans="1:9" x14ac:dyDescent="0.25">
      <c r="A735" t="s">
        <v>2308</v>
      </c>
      <c r="B735" t="s">
        <v>1664</v>
      </c>
      <c r="C735">
        <v>11</v>
      </c>
      <c r="D735">
        <v>0</v>
      </c>
      <c r="E735">
        <v>0</v>
      </c>
      <c r="F735">
        <v>0</v>
      </c>
      <c r="G735">
        <v>0</v>
      </c>
      <c r="H735">
        <v>11</v>
      </c>
      <c r="I735">
        <v>1</v>
      </c>
    </row>
    <row r="736" spans="1:9" x14ac:dyDescent="0.25">
      <c r="A736" t="s">
        <v>2142</v>
      </c>
      <c r="B736" t="s">
        <v>1767</v>
      </c>
      <c r="C736">
        <v>9</v>
      </c>
      <c r="D736">
        <v>0</v>
      </c>
      <c r="E736">
        <v>25</v>
      </c>
      <c r="F736">
        <v>0</v>
      </c>
      <c r="G736">
        <v>0</v>
      </c>
      <c r="H736">
        <v>34</v>
      </c>
      <c r="I736">
        <v>1</v>
      </c>
    </row>
    <row r="737" spans="1:9" x14ac:dyDescent="0.25">
      <c r="A737" t="s">
        <v>10811</v>
      </c>
      <c r="B737" t="s">
        <v>11665</v>
      </c>
      <c r="C737">
        <v>0</v>
      </c>
      <c r="D737">
        <v>0</v>
      </c>
      <c r="E737">
        <v>12</v>
      </c>
      <c r="F737">
        <v>0</v>
      </c>
      <c r="G737">
        <v>0</v>
      </c>
      <c r="H737">
        <v>12</v>
      </c>
      <c r="I737">
        <v>1</v>
      </c>
    </row>
    <row r="738" spans="1:9" x14ac:dyDescent="0.25">
      <c r="A738" t="s">
        <v>2017</v>
      </c>
      <c r="B738" t="s">
        <v>1442</v>
      </c>
      <c r="C738">
        <v>76</v>
      </c>
      <c r="D738">
        <v>0</v>
      </c>
      <c r="E738">
        <v>280</v>
      </c>
      <c r="F738">
        <v>0</v>
      </c>
      <c r="G738">
        <v>0</v>
      </c>
      <c r="H738">
        <v>356</v>
      </c>
      <c r="I738">
        <v>9</v>
      </c>
    </row>
    <row r="739" spans="1:9" x14ac:dyDescent="0.25">
      <c r="A739" t="s">
        <v>1968</v>
      </c>
      <c r="B739" t="s">
        <v>1911</v>
      </c>
      <c r="C739">
        <v>0</v>
      </c>
      <c r="D739">
        <v>0</v>
      </c>
      <c r="E739">
        <v>114</v>
      </c>
      <c r="F739">
        <v>0</v>
      </c>
      <c r="G739">
        <v>0</v>
      </c>
      <c r="H739">
        <v>114</v>
      </c>
      <c r="I739">
        <v>5</v>
      </c>
    </row>
    <row r="740" spans="1:9" x14ac:dyDescent="0.25">
      <c r="A740" t="s">
        <v>2127</v>
      </c>
      <c r="B740" t="s">
        <v>1769</v>
      </c>
      <c r="C740">
        <v>0</v>
      </c>
      <c r="D740">
        <v>0</v>
      </c>
      <c r="E740">
        <v>0</v>
      </c>
      <c r="F740">
        <v>65</v>
      </c>
      <c r="G740">
        <v>0</v>
      </c>
      <c r="H740">
        <v>65</v>
      </c>
      <c r="I740">
        <v>1</v>
      </c>
    </row>
    <row r="741" spans="1:9" x14ac:dyDescent="0.25">
      <c r="A741" t="s">
        <v>11777</v>
      </c>
      <c r="B741" t="s">
        <v>11778</v>
      </c>
      <c r="C741">
        <v>0</v>
      </c>
      <c r="D741">
        <v>0</v>
      </c>
      <c r="E741">
        <v>0</v>
      </c>
      <c r="F741">
        <v>0</v>
      </c>
      <c r="G741">
        <v>0</v>
      </c>
      <c r="H741">
        <v>0</v>
      </c>
      <c r="I741">
        <v>0</v>
      </c>
    </row>
    <row r="742" spans="1:9" x14ac:dyDescent="0.25">
      <c r="A742" t="s">
        <v>2558</v>
      </c>
      <c r="B742" t="s">
        <v>1161</v>
      </c>
      <c r="C742">
        <v>0</v>
      </c>
      <c r="D742">
        <v>0</v>
      </c>
      <c r="E742">
        <v>0</v>
      </c>
      <c r="F742">
        <v>34</v>
      </c>
      <c r="G742">
        <v>0</v>
      </c>
      <c r="H742">
        <v>34</v>
      </c>
      <c r="I742">
        <v>1</v>
      </c>
    </row>
    <row r="743" spans="1:9" x14ac:dyDescent="0.25">
      <c r="A743" t="s">
        <v>10735</v>
      </c>
      <c r="B743" t="s">
        <v>10736</v>
      </c>
      <c r="C743">
        <v>0</v>
      </c>
      <c r="D743">
        <v>0</v>
      </c>
      <c r="E743">
        <v>0</v>
      </c>
      <c r="F743">
        <v>20</v>
      </c>
      <c r="G743">
        <v>0</v>
      </c>
      <c r="H743">
        <v>20</v>
      </c>
      <c r="I743">
        <v>1</v>
      </c>
    </row>
    <row r="744" spans="1:9" x14ac:dyDescent="0.25">
      <c r="A744" t="s">
        <v>11779</v>
      </c>
      <c r="B744" t="s">
        <v>11683</v>
      </c>
      <c r="C744">
        <v>0</v>
      </c>
      <c r="D744">
        <v>0</v>
      </c>
      <c r="E744">
        <v>0</v>
      </c>
      <c r="F744">
        <v>7</v>
      </c>
      <c r="G744">
        <v>0</v>
      </c>
      <c r="H744">
        <v>7</v>
      </c>
      <c r="I744">
        <v>1</v>
      </c>
    </row>
    <row r="745" spans="1:9" x14ac:dyDescent="0.25">
      <c r="A745" t="s">
        <v>2545</v>
      </c>
      <c r="B745" t="s">
        <v>1546</v>
      </c>
      <c r="C745">
        <v>0</v>
      </c>
      <c r="D745">
        <v>0</v>
      </c>
      <c r="E745">
        <v>12</v>
      </c>
      <c r="F745">
        <v>0</v>
      </c>
      <c r="G745">
        <v>0</v>
      </c>
      <c r="H745">
        <v>12</v>
      </c>
      <c r="I745">
        <v>1</v>
      </c>
    </row>
    <row r="746" spans="1:9" x14ac:dyDescent="0.25">
      <c r="A746" t="s">
        <v>2547</v>
      </c>
      <c r="B746" t="s">
        <v>1162</v>
      </c>
      <c r="C746">
        <v>0</v>
      </c>
      <c r="D746">
        <v>0</v>
      </c>
      <c r="E746">
        <v>23</v>
      </c>
      <c r="F746">
        <v>0</v>
      </c>
      <c r="G746">
        <v>0</v>
      </c>
      <c r="H746">
        <v>23</v>
      </c>
      <c r="I746">
        <v>1</v>
      </c>
    </row>
    <row r="747" spans="1:9" x14ac:dyDescent="0.25">
      <c r="A747" t="s">
        <v>2578</v>
      </c>
      <c r="B747" t="s">
        <v>1443</v>
      </c>
      <c r="C747">
        <v>0</v>
      </c>
      <c r="D747">
        <v>0</v>
      </c>
      <c r="E747">
        <v>0</v>
      </c>
      <c r="F747">
        <v>9</v>
      </c>
      <c r="G747">
        <v>0</v>
      </c>
      <c r="H747">
        <v>9</v>
      </c>
      <c r="I747">
        <v>1</v>
      </c>
    </row>
    <row r="748" spans="1:9" x14ac:dyDescent="0.25">
      <c r="A748" t="s">
        <v>14450</v>
      </c>
      <c r="B748" t="s">
        <v>14381</v>
      </c>
      <c r="C748">
        <v>0</v>
      </c>
      <c r="D748">
        <v>0</v>
      </c>
      <c r="E748">
        <v>0</v>
      </c>
      <c r="F748">
        <v>10</v>
      </c>
      <c r="G748">
        <v>0</v>
      </c>
      <c r="H748">
        <v>10</v>
      </c>
      <c r="I748">
        <v>1</v>
      </c>
    </row>
    <row r="749" spans="1:9" x14ac:dyDescent="0.25">
      <c r="A749" t="s">
        <v>2626</v>
      </c>
      <c r="B749" t="s">
        <v>11722</v>
      </c>
      <c r="C749">
        <v>0</v>
      </c>
      <c r="D749">
        <v>0</v>
      </c>
      <c r="E749">
        <v>0</v>
      </c>
      <c r="F749">
        <v>11</v>
      </c>
      <c r="G749">
        <v>0</v>
      </c>
      <c r="H749">
        <v>11</v>
      </c>
      <c r="I749">
        <v>1</v>
      </c>
    </row>
    <row r="750" spans="1:9" x14ac:dyDescent="0.25">
      <c r="A750" t="s">
        <v>10739</v>
      </c>
      <c r="B750" t="s">
        <v>10740</v>
      </c>
      <c r="C750">
        <v>0</v>
      </c>
      <c r="D750">
        <v>0</v>
      </c>
      <c r="E750">
        <v>0</v>
      </c>
      <c r="F750">
        <v>9</v>
      </c>
      <c r="G750">
        <v>0</v>
      </c>
      <c r="H750">
        <v>9</v>
      </c>
      <c r="I750">
        <v>1</v>
      </c>
    </row>
    <row r="751" spans="1:9" x14ac:dyDescent="0.25">
      <c r="A751" t="s">
        <v>2544</v>
      </c>
      <c r="B751" t="s">
        <v>9838</v>
      </c>
      <c r="C751">
        <v>0</v>
      </c>
      <c r="D751">
        <v>0</v>
      </c>
      <c r="E751">
        <v>0</v>
      </c>
      <c r="F751">
        <v>8</v>
      </c>
      <c r="G751">
        <v>0</v>
      </c>
      <c r="H751">
        <v>8</v>
      </c>
      <c r="I751">
        <v>1</v>
      </c>
    </row>
    <row r="752" spans="1:9" x14ac:dyDescent="0.25">
      <c r="A752" t="s">
        <v>2562</v>
      </c>
      <c r="B752" t="s">
        <v>1163</v>
      </c>
      <c r="C752">
        <v>0</v>
      </c>
      <c r="D752">
        <v>0</v>
      </c>
      <c r="E752">
        <v>0</v>
      </c>
      <c r="F752">
        <v>11</v>
      </c>
      <c r="G752">
        <v>0</v>
      </c>
      <c r="H752">
        <v>11</v>
      </c>
      <c r="I752">
        <v>1</v>
      </c>
    </row>
    <row r="753" spans="1:9" x14ac:dyDescent="0.25">
      <c r="A753" t="s">
        <v>2564</v>
      </c>
      <c r="B753" t="s">
        <v>1668</v>
      </c>
      <c r="C753">
        <v>0</v>
      </c>
      <c r="D753">
        <v>0</v>
      </c>
      <c r="E753">
        <v>11</v>
      </c>
      <c r="F753">
        <v>0</v>
      </c>
      <c r="G753">
        <v>0</v>
      </c>
      <c r="H753">
        <v>11</v>
      </c>
      <c r="I753">
        <v>1</v>
      </c>
    </row>
    <row r="754" spans="1:9" x14ac:dyDescent="0.25">
      <c r="A754" t="s">
        <v>2529</v>
      </c>
      <c r="B754" t="s">
        <v>9825</v>
      </c>
      <c r="C754">
        <v>0</v>
      </c>
      <c r="D754">
        <v>0</v>
      </c>
      <c r="E754">
        <v>0</v>
      </c>
      <c r="F754">
        <v>12</v>
      </c>
      <c r="G754">
        <v>0</v>
      </c>
      <c r="H754">
        <v>12</v>
      </c>
      <c r="I754">
        <v>1</v>
      </c>
    </row>
    <row r="755" spans="1:9" x14ac:dyDescent="0.25">
      <c r="A755" t="s">
        <v>2589</v>
      </c>
      <c r="B755" t="s">
        <v>1355</v>
      </c>
      <c r="C755">
        <v>0</v>
      </c>
      <c r="D755">
        <v>0</v>
      </c>
      <c r="E755">
        <v>0</v>
      </c>
      <c r="F755">
        <v>5</v>
      </c>
      <c r="G755">
        <v>0</v>
      </c>
      <c r="H755">
        <v>5</v>
      </c>
      <c r="I755">
        <v>1</v>
      </c>
    </row>
    <row r="756" spans="1:9" x14ac:dyDescent="0.25">
      <c r="A756" t="s">
        <v>2531</v>
      </c>
      <c r="B756" t="s">
        <v>1356</v>
      </c>
      <c r="C756">
        <v>0</v>
      </c>
      <c r="D756">
        <v>0</v>
      </c>
      <c r="E756">
        <v>0</v>
      </c>
      <c r="F756">
        <v>7</v>
      </c>
      <c r="G756">
        <v>0</v>
      </c>
      <c r="H756">
        <v>7</v>
      </c>
      <c r="I756">
        <v>1</v>
      </c>
    </row>
    <row r="757" spans="1:9" x14ac:dyDescent="0.25">
      <c r="A757" t="s">
        <v>2548</v>
      </c>
      <c r="B757" t="s">
        <v>1671</v>
      </c>
      <c r="C757">
        <v>0</v>
      </c>
      <c r="D757">
        <v>0</v>
      </c>
      <c r="E757">
        <v>0</v>
      </c>
      <c r="F757">
        <v>0</v>
      </c>
      <c r="G757">
        <v>0</v>
      </c>
      <c r="H757">
        <v>0</v>
      </c>
      <c r="I757">
        <v>0</v>
      </c>
    </row>
    <row r="758" spans="1:9" x14ac:dyDescent="0.25">
      <c r="A758" t="s">
        <v>15620</v>
      </c>
      <c r="B758" t="s">
        <v>15621</v>
      </c>
      <c r="C758">
        <v>0</v>
      </c>
      <c r="D758">
        <v>0</v>
      </c>
      <c r="E758">
        <v>0</v>
      </c>
      <c r="F758">
        <v>0</v>
      </c>
      <c r="G758">
        <v>0</v>
      </c>
      <c r="H758">
        <v>0</v>
      </c>
      <c r="I758">
        <v>0</v>
      </c>
    </row>
    <row r="759" spans="1:9" x14ac:dyDescent="0.25">
      <c r="A759" t="s">
        <v>2593</v>
      </c>
      <c r="B759" t="s">
        <v>1775</v>
      </c>
      <c r="C759">
        <v>0</v>
      </c>
      <c r="D759">
        <v>0</v>
      </c>
      <c r="E759">
        <v>0</v>
      </c>
      <c r="F759">
        <v>11</v>
      </c>
      <c r="G759">
        <v>0</v>
      </c>
      <c r="H759">
        <v>11</v>
      </c>
      <c r="I759">
        <v>1</v>
      </c>
    </row>
    <row r="760" spans="1:9" x14ac:dyDescent="0.25">
      <c r="A760" t="s">
        <v>10744</v>
      </c>
      <c r="B760" t="s">
        <v>10745</v>
      </c>
      <c r="C760">
        <v>0</v>
      </c>
      <c r="D760">
        <v>0</v>
      </c>
      <c r="E760">
        <v>0</v>
      </c>
      <c r="F760">
        <v>0</v>
      </c>
      <c r="G760">
        <v>0</v>
      </c>
      <c r="H760">
        <v>0</v>
      </c>
      <c r="I760">
        <v>0</v>
      </c>
    </row>
    <row r="761" spans="1:9" x14ac:dyDescent="0.25">
      <c r="A761" t="s">
        <v>10746</v>
      </c>
      <c r="B761" t="s">
        <v>10747</v>
      </c>
      <c r="C761">
        <v>0</v>
      </c>
      <c r="D761">
        <v>0</v>
      </c>
      <c r="E761">
        <v>0</v>
      </c>
      <c r="F761">
        <v>10</v>
      </c>
      <c r="G761">
        <v>0</v>
      </c>
      <c r="H761">
        <v>10</v>
      </c>
      <c r="I761">
        <v>1</v>
      </c>
    </row>
    <row r="762" spans="1:9" x14ac:dyDescent="0.25">
      <c r="A762" t="s">
        <v>2606</v>
      </c>
      <c r="B762" t="s">
        <v>1357</v>
      </c>
      <c r="C762">
        <v>0</v>
      </c>
      <c r="D762">
        <v>0</v>
      </c>
      <c r="E762">
        <v>22</v>
      </c>
      <c r="F762">
        <v>0</v>
      </c>
      <c r="G762">
        <v>0</v>
      </c>
      <c r="H762">
        <v>22</v>
      </c>
      <c r="I762">
        <v>3</v>
      </c>
    </row>
    <row r="763" spans="1:9" x14ac:dyDescent="0.25">
      <c r="A763" t="s">
        <v>2550</v>
      </c>
      <c r="B763" t="s">
        <v>1065</v>
      </c>
      <c r="C763">
        <v>0</v>
      </c>
      <c r="D763">
        <v>0</v>
      </c>
      <c r="E763">
        <v>0</v>
      </c>
      <c r="F763">
        <v>0</v>
      </c>
      <c r="G763">
        <v>0</v>
      </c>
      <c r="H763">
        <v>0</v>
      </c>
      <c r="I763">
        <v>0</v>
      </c>
    </row>
    <row r="764" spans="1:9" x14ac:dyDescent="0.25">
      <c r="A764" t="s">
        <v>2602</v>
      </c>
      <c r="B764" t="s">
        <v>1778</v>
      </c>
      <c r="C764">
        <v>0</v>
      </c>
      <c r="D764">
        <v>0</v>
      </c>
      <c r="E764">
        <v>0</v>
      </c>
      <c r="F764">
        <v>57</v>
      </c>
      <c r="G764">
        <v>0</v>
      </c>
      <c r="H764">
        <v>57</v>
      </c>
      <c r="I764">
        <v>4</v>
      </c>
    </row>
    <row r="765" spans="1:9" x14ac:dyDescent="0.25">
      <c r="A765" t="s">
        <v>2603</v>
      </c>
      <c r="B765" t="s">
        <v>1912</v>
      </c>
      <c r="C765">
        <v>8</v>
      </c>
      <c r="D765">
        <v>0</v>
      </c>
      <c r="E765">
        <v>12</v>
      </c>
      <c r="F765">
        <v>0</v>
      </c>
      <c r="G765">
        <v>0</v>
      </c>
      <c r="H765">
        <v>20</v>
      </c>
      <c r="I765">
        <v>1</v>
      </c>
    </row>
    <row r="766" spans="1:9" x14ac:dyDescent="0.25">
      <c r="A766" t="s">
        <v>2549</v>
      </c>
      <c r="B766" t="s">
        <v>1779</v>
      </c>
      <c r="C766">
        <v>0</v>
      </c>
      <c r="D766">
        <v>0</v>
      </c>
      <c r="E766">
        <v>0</v>
      </c>
      <c r="F766">
        <v>10</v>
      </c>
      <c r="G766">
        <v>0</v>
      </c>
      <c r="H766">
        <v>10</v>
      </c>
      <c r="I766">
        <v>1</v>
      </c>
    </row>
    <row r="767" spans="1:9" x14ac:dyDescent="0.25">
      <c r="A767" t="s">
        <v>2533</v>
      </c>
      <c r="B767" t="s">
        <v>1166</v>
      </c>
      <c r="C767">
        <v>0</v>
      </c>
      <c r="D767">
        <v>0</v>
      </c>
      <c r="E767">
        <v>0</v>
      </c>
      <c r="F767">
        <v>12</v>
      </c>
      <c r="G767">
        <v>0</v>
      </c>
      <c r="H767">
        <v>12</v>
      </c>
      <c r="I767">
        <v>1</v>
      </c>
    </row>
    <row r="768" spans="1:9" x14ac:dyDescent="0.25">
      <c r="A768" t="s">
        <v>2541</v>
      </c>
      <c r="B768" t="s">
        <v>1549</v>
      </c>
      <c r="C768">
        <v>0</v>
      </c>
      <c r="D768">
        <v>0</v>
      </c>
      <c r="E768">
        <v>20</v>
      </c>
      <c r="F768">
        <v>0</v>
      </c>
      <c r="G768">
        <v>0</v>
      </c>
      <c r="H768">
        <v>20</v>
      </c>
      <c r="I768">
        <v>1</v>
      </c>
    </row>
    <row r="769" spans="1:9" x14ac:dyDescent="0.25">
      <c r="A769" t="s">
        <v>2590</v>
      </c>
      <c r="B769" t="s">
        <v>1853</v>
      </c>
      <c r="C769">
        <v>0</v>
      </c>
      <c r="D769">
        <v>0</v>
      </c>
      <c r="E769">
        <v>0</v>
      </c>
      <c r="F769">
        <v>11</v>
      </c>
      <c r="G769">
        <v>0</v>
      </c>
      <c r="H769">
        <v>11</v>
      </c>
      <c r="I769">
        <v>1</v>
      </c>
    </row>
    <row r="770" spans="1:9" x14ac:dyDescent="0.25">
      <c r="A770" t="s">
        <v>2155</v>
      </c>
      <c r="B770" t="s">
        <v>9874</v>
      </c>
      <c r="C770">
        <v>0</v>
      </c>
      <c r="D770">
        <v>0</v>
      </c>
      <c r="E770">
        <v>0</v>
      </c>
      <c r="F770">
        <v>28</v>
      </c>
      <c r="G770">
        <v>0</v>
      </c>
      <c r="H770">
        <v>28</v>
      </c>
      <c r="I770">
        <v>1</v>
      </c>
    </row>
    <row r="771" spans="1:9" x14ac:dyDescent="0.25">
      <c r="A771" t="s">
        <v>10575</v>
      </c>
      <c r="B771" t="s">
        <v>11714</v>
      </c>
      <c r="C771">
        <v>0</v>
      </c>
      <c r="D771">
        <v>0</v>
      </c>
      <c r="E771">
        <v>0</v>
      </c>
      <c r="F771">
        <v>18</v>
      </c>
      <c r="G771">
        <v>0</v>
      </c>
      <c r="H771">
        <v>18</v>
      </c>
      <c r="I771">
        <v>1</v>
      </c>
    </row>
    <row r="772" spans="1:9" x14ac:dyDescent="0.25">
      <c r="A772" t="s">
        <v>2177</v>
      </c>
      <c r="B772" t="s">
        <v>1674</v>
      </c>
      <c r="C772">
        <v>18</v>
      </c>
      <c r="D772">
        <v>0</v>
      </c>
      <c r="E772">
        <v>0</v>
      </c>
      <c r="F772">
        <v>0</v>
      </c>
      <c r="G772">
        <v>0</v>
      </c>
      <c r="H772">
        <v>18</v>
      </c>
      <c r="I772">
        <v>1</v>
      </c>
    </row>
    <row r="773" spans="1:9" x14ac:dyDescent="0.25">
      <c r="A773" t="s">
        <v>15622</v>
      </c>
      <c r="B773" t="s">
        <v>15623</v>
      </c>
      <c r="C773">
        <v>0</v>
      </c>
      <c r="D773">
        <v>0</v>
      </c>
      <c r="E773">
        <v>0</v>
      </c>
      <c r="F773">
        <v>0</v>
      </c>
      <c r="G773">
        <v>0</v>
      </c>
      <c r="H773">
        <v>0</v>
      </c>
      <c r="I773">
        <v>0</v>
      </c>
    </row>
    <row r="774" spans="1:9" x14ac:dyDescent="0.25">
      <c r="A774" t="s">
        <v>2267</v>
      </c>
      <c r="B774" t="s">
        <v>1854</v>
      </c>
      <c r="C774">
        <v>14</v>
      </c>
      <c r="D774">
        <v>0</v>
      </c>
      <c r="E774">
        <v>0</v>
      </c>
      <c r="F774">
        <v>0</v>
      </c>
      <c r="G774">
        <v>0</v>
      </c>
      <c r="H774">
        <v>14</v>
      </c>
      <c r="I774">
        <v>1</v>
      </c>
    </row>
    <row r="775" spans="1:9" x14ac:dyDescent="0.25">
      <c r="A775" t="s">
        <v>2190</v>
      </c>
      <c r="B775" t="s">
        <v>1167</v>
      </c>
      <c r="C775">
        <v>0</v>
      </c>
      <c r="D775">
        <v>0</v>
      </c>
      <c r="E775">
        <v>47</v>
      </c>
      <c r="F775">
        <v>0</v>
      </c>
      <c r="G775">
        <v>0</v>
      </c>
      <c r="H775">
        <v>47</v>
      </c>
      <c r="I775">
        <v>1</v>
      </c>
    </row>
    <row r="776" spans="1:9" x14ac:dyDescent="0.25">
      <c r="A776" t="s">
        <v>2256</v>
      </c>
      <c r="B776" t="s">
        <v>1780</v>
      </c>
      <c r="C776">
        <v>2</v>
      </c>
      <c r="D776">
        <v>0</v>
      </c>
      <c r="E776">
        <v>0</v>
      </c>
      <c r="F776">
        <v>0</v>
      </c>
      <c r="G776">
        <v>0</v>
      </c>
      <c r="H776">
        <v>2</v>
      </c>
      <c r="I776">
        <v>1</v>
      </c>
    </row>
    <row r="777" spans="1:9" x14ac:dyDescent="0.25">
      <c r="A777" t="s">
        <v>2216</v>
      </c>
      <c r="B777" t="s">
        <v>1360</v>
      </c>
      <c r="C777">
        <v>0</v>
      </c>
      <c r="D777">
        <v>0</v>
      </c>
      <c r="E777">
        <v>0</v>
      </c>
      <c r="F777">
        <v>33</v>
      </c>
      <c r="G777">
        <v>0</v>
      </c>
      <c r="H777">
        <v>33</v>
      </c>
      <c r="I777">
        <v>1</v>
      </c>
    </row>
    <row r="778" spans="1:9" x14ac:dyDescent="0.25">
      <c r="A778" t="s">
        <v>2121</v>
      </c>
      <c r="B778" t="s">
        <v>1855</v>
      </c>
      <c r="C778">
        <v>0</v>
      </c>
      <c r="D778">
        <v>29</v>
      </c>
      <c r="E778">
        <v>0</v>
      </c>
      <c r="F778">
        <v>0</v>
      </c>
      <c r="G778">
        <v>0</v>
      </c>
      <c r="H778">
        <v>29</v>
      </c>
      <c r="I778">
        <v>1</v>
      </c>
    </row>
    <row r="779" spans="1:9" x14ac:dyDescent="0.25">
      <c r="A779" t="s">
        <v>2329</v>
      </c>
      <c r="B779" t="s">
        <v>1856</v>
      </c>
      <c r="C779">
        <v>13</v>
      </c>
      <c r="D779">
        <v>0</v>
      </c>
      <c r="E779">
        <v>0</v>
      </c>
      <c r="F779">
        <v>0</v>
      </c>
      <c r="G779">
        <v>0</v>
      </c>
      <c r="H779">
        <v>13</v>
      </c>
      <c r="I779">
        <v>2</v>
      </c>
    </row>
    <row r="780" spans="1:9" x14ac:dyDescent="0.25">
      <c r="A780" t="s">
        <v>10751</v>
      </c>
      <c r="B780" t="s">
        <v>10752</v>
      </c>
      <c r="C780">
        <v>0</v>
      </c>
      <c r="D780">
        <v>0</v>
      </c>
      <c r="E780">
        <v>0</v>
      </c>
      <c r="F780">
        <v>0</v>
      </c>
      <c r="G780">
        <v>0</v>
      </c>
      <c r="H780">
        <v>0</v>
      </c>
      <c r="I780">
        <v>0</v>
      </c>
    </row>
    <row r="781" spans="1:9" x14ac:dyDescent="0.25">
      <c r="A781" t="s">
        <v>2100</v>
      </c>
      <c r="B781" t="s">
        <v>1781</v>
      </c>
      <c r="C781">
        <v>0</v>
      </c>
      <c r="D781">
        <v>0</v>
      </c>
      <c r="E781">
        <v>0</v>
      </c>
      <c r="F781">
        <v>17</v>
      </c>
      <c r="G781">
        <v>0</v>
      </c>
      <c r="H781">
        <v>17</v>
      </c>
      <c r="I781">
        <v>1</v>
      </c>
    </row>
    <row r="782" spans="1:9" x14ac:dyDescent="0.25">
      <c r="A782" t="s">
        <v>9875</v>
      </c>
      <c r="B782" t="s">
        <v>9843</v>
      </c>
      <c r="C782">
        <v>8</v>
      </c>
      <c r="D782">
        <v>0</v>
      </c>
      <c r="E782">
        <v>0</v>
      </c>
      <c r="F782">
        <v>0</v>
      </c>
      <c r="G782">
        <v>0</v>
      </c>
      <c r="H782">
        <v>8</v>
      </c>
      <c r="I782">
        <v>1</v>
      </c>
    </row>
    <row r="783" spans="1:9" x14ac:dyDescent="0.25">
      <c r="A783" t="s">
        <v>2083</v>
      </c>
      <c r="B783" t="s">
        <v>1675</v>
      </c>
      <c r="C783">
        <v>16</v>
      </c>
      <c r="D783">
        <v>0</v>
      </c>
      <c r="E783">
        <v>0</v>
      </c>
      <c r="F783">
        <v>0</v>
      </c>
      <c r="G783">
        <v>0</v>
      </c>
      <c r="H783">
        <v>16</v>
      </c>
      <c r="I783">
        <v>1</v>
      </c>
    </row>
    <row r="784" spans="1:9" x14ac:dyDescent="0.25">
      <c r="A784" t="s">
        <v>2222</v>
      </c>
      <c r="B784" t="s">
        <v>1067</v>
      </c>
      <c r="C784">
        <v>0</v>
      </c>
      <c r="D784">
        <v>0</v>
      </c>
      <c r="E784">
        <v>0</v>
      </c>
      <c r="F784">
        <v>69</v>
      </c>
      <c r="G784">
        <v>0</v>
      </c>
      <c r="H784">
        <v>69</v>
      </c>
      <c r="I784">
        <v>1</v>
      </c>
    </row>
    <row r="785" spans="1:9" x14ac:dyDescent="0.25">
      <c r="A785" t="s">
        <v>15376</v>
      </c>
      <c r="B785" t="s">
        <v>14406</v>
      </c>
      <c r="C785">
        <v>0</v>
      </c>
      <c r="D785">
        <v>0</v>
      </c>
      <c r="E785">
        <v>0</v>
      </c>
      <c r="F785">
        <v>4</v>
      </c>
      <c r="G785">
        <v>0</v>
      </c>
      <c r="H785">
        <v>4</v>
      </c>
      <c r="I785">
        <v>1</v>
      </c>
    </row>
    <row r="786" spans="1:9" x14ac:dyDescent="0.25">
      <c r="A786" t="s">
        <v>2305</v>
      </c>
      <c r="B786" t="s">
        <v>1361</v>
      </c>
      <c r="C786">
        <v>8</v>
      </c>
      <c r="D786">
        <v>0</v>
      </c>
      <c r="E786">
        <v>0</v>
      </c>
      <c r="F786">
        <v>0</v>
      </c>
      <c r="G786">
        <v>0</v>
      </c>
      <c r="H786">
        <v>8</v>
      </c>
      <c r="I786">
        <v>1</v>
      </c>
    </row>
    <row r="787" spans="1:9" x14ac:dyDescent="0.25">
      <c r="A787" t="s">
        <v>2298</v>
      </c>
      <c r="B787" t="s">
        <v>1362</v>
      </c>
      <c r="C787">
        <v>0</v>
      </c>
      <c r="D787">
        <v>0</v>
      </c>
      <c r="E787">
        <v>0</v>
      </c>
      <c r="F787">
        <v>172</v>
      </c>
      <c r="G787">
        <v>0</v>
      </c>
      <c r="H787">
        <v>172</v>
      </c>
      <c r="I787">
        <v>1</v>
      </c>
    </row>
    <row r="788" spans="1:9" x14ac:dyDescent="0.25">
      <c r="A788" t="s">
        <v>2271</v>
      </c>
      <c r="B788" t="s">
        <v>1782</v>
      </c>
      <c r="C788">
        <v>0</v>
      </c>
      <c r="D788">
        <v>0</v>
      </c>
      <c r="E788">
        <v>0</v>
      </c>
      <c r="F788">
        <v>49</v>
      </c>
      <c r="G788">
        <v>0</v>
      </c>
      <c r="H788">
        <v>49</v>
      </c>
      <c r="I788">
        <v>1</v>
      </c>
    </row>
    <row r="789" spans="1:9" x14ac:dyDescent="0.25">
      <c r="A789" t="s">
        <v>2026</v>
      </c>
      <c r="B789" t="s">
        <v>1550</v>
      </c>
      <c r="C789">
        <v>50</v>
      </c>
      <c r="D789">
        <v>0</v>
      </c>
      <c r="E789">
        <v>0</v>
      </c>
      <c r="F789">
        <v>0</v>
      </c>
      <c r="G789">
        <v>0</v>
      </c>
      <c r="H789">
        <v>50</v>
      </c>
      <c r="I789">
        <v>1</v>
      </c>
    </row>
    <row r="790" spans="1:9" x14ac:dyDescent="0.25">
      <c r="A790" t="s">
        <v>2081</v>
      </c>
      <c r="B790" t="s">
        <v>1068</v>
      </c>
      <c r="C790">
        <v>0</v>
      </c>
      <c r="D790">
        <v>3</v>
      </c>
      <c r="E790">
        <v>176</v>
      </c>
      <c r="F790">
        <v>0</v>
      </c>
      <c r="G790">
        <v>0</v>
      </c>
      <c r="H790">
        <v>179</v>
      </c>
      <c r="I790">
        <v>7</v>
      </c>
    </row>
    <row r="791" spans="1:9" x14ac:dyDescent="0.25">
      <c r="A791" t="s">
        <v>2205</v>
      </c>
      <c r="B791" t="s">
        <v>9876</v>
      </c>
      <c r="C791">
        <v>0</v>
      </c>
      <c r="D791">
        <v>0</v>
      </c>
      <c r="E791">
        <v>0</v>
      </c>
      <c r="F791">
        <v>69</v>
      </c>
      <c r="G791">
        <v>0</v>
      </c>
      <c r="H791">
        <v>69</v>
      </c>
      <c r="I791">
        <v>1</v>
      </c>
    </row>
    <row r="792" spans="1:9" x14ac:dyDescent="0.25">
      <c r="A792" t="s">
        <v>10756</v>
      </c>
      <c r="B792" t="s">
        <v>10757</v>
      </c>
      <c r="C792">
        <v>0</v>
      </c>
      <c r="D792">
        <v>0</v>
      </c>
      <c r="E792">
        <v>0</v>
      </c>
      <c r="F792">
        <v>8</v>
      </c>
      <c r="G792">
        <v>0</v>
      </c>
      <c r="H792">
        <v>8</v>
      </c>
      <c r="I792">
        <v>1</v>
      </c>
    </row>
    <row r="793" spans="1:9" x14ac:dyDescent="0.25">
      <c r="A793" t="s">
        <v>2968</v>
      </c>
      <c r="B793" t="s">
        <v>1170</v>
      </c>
      <c r="C793">
        <v>0</v>
      </c>
      <c r="D793">
        <v>0</v>
      </c>
      <c r="E793">
        <v>101</v>
      </c>
      <c r="F793">
        <v>5</v>
      </c>
      <c r="G793">
        <v>0</v>
      </c>
      <c r="H793">
        <v>106</v>
      </c>
      <c r="I793">
        <v>8</v>
      </c>
    </row>
    <row r="794" spans="1:9" x14ac:dyDescent="0.25">
      <c r="A794" t="s">
        <v>2150</v>
      </c>
      <c r="B794" t="s">
        <v>1363</v>
      </c>
      <c r="C794">
        <v>0</v>
      </c>
      <c r="D794">
        <v>0</v>
      </c>
      <c r="E794">
        <v>0</v>
      </c>
      <c r="F794">
        <v>172</v>
      </c>
      <c r="G794">
        <v>0</v>
      </c>
      <c r="H794">
        <v>172</v>
      </c>
      <c r="I794">
        <v>1</v>
      </c>
    </row>
    <row r="795" spans="1:9" x14ac:dyDescent="0.25">
      <c r="A795" t="s">
        <v>2286</v>
      </c>
      <c r="B795" t="s">
        <v>1171</v>
      </c>
      <c r="C795">
        <v>0</v>
      </c>
      <c r="D795">
        <v>0</v>
      </c>
      <c r="E795">
        <v>0</v>
      </c>
      <c r="F795">
        <v>8</v>
      </c>
      <c r="G795">
        <v>0</v>
      </c>
      <c r="H795">
        <v>8</v>
      </c>
      <c r="I795">
        <v>1</v>
      </c>
    </row>
    <row r="796" spans="1:9" x14ac:dyDescent="0.25">
      <c r="A796" t="s">
        <v>1971</v>
      </c>
      <c r="B796" t="s">
        <v>1444</v>
      </c>
      <c r="C796">
        <v>15</v>
      </c>
      <c r="D796">
        <v>0</v>
      </c>
      <c r="E796">
        <v>0</v>
      </c>
      <c r="F796">
        <v>0</v>
      </c>
      <c r="G796">
        <v>0</v>
      </c>
      <c r="H796">
        <v>15</v>
      </c>
      <c r="I796">
        <v>1</v>
      </c>
    </row>
    <row r="797" spans="1:9" x14ac:dyDescent="0.25">
      <c r="A797" t="s">
        <v>2154</v>
      </c>
      <c r="B797" t="s">
        <v>1784</v>
      </c>
      <c r="C797">
        <v>0</v>
      </c>
      <c r="D797">
        <v>0</v>
      </c>
      <c r="E797">
        <v>0</v>
      </c>
      <c r="F797">
        <v>137</v>
      </c>
      <c r="G797">
        <v>0</v>
      </c>
      <c r="H797">
        <v>137</v>
      </c>
      <c r="I797">
        <v>1</v>
      </c>
    </row>
    <row r="798" spans="1:9" x14ac:dyDescent="0.25">
      <c r="A798" t="s">
        <v>2608</v>
      </c>
      <c r="B798" t="s">
        <v>1677</v>
      </c>
      <c r="C798">
        <v>0</v>
      </c>
      <c r="D798">
        <v>0</v>
      </c>
      <c r="E798">
        <v>66</v>
      </c>
      <c r="F798">
        <v>0</v>
      </c>
      <c r="G798">
        <v>0</v>
      </c>
      <c r="H798">
        <v>66</v>
      </c>
      <c r="I798">
        <v>2</v>
      </c>
    </row>
    <row r="799" spans="1:9" x14ac:dyDescent="0.25">
      <c r="A799" t="s">
        <v>2204</v>
      </c>
      <c r="B799" t="s">
        <v>1364</v>
      </c>
      <c r="C799">
        <v>0</v>
      </c>
      <c r="D799">
        <v>0</v>
      </c>
      <c r="E799">
        <v>0</v>
      </c>
      <c r="F799">
        <v>12</v>
      </c>
      <c r="G799">
        <v>0</v>
      </c>
      <c r="H799">
        <v>12</v>
      </c>
      <c r="I799">
        <v>1</v>
      </c>
    </row>
    <row r="800" spans="1:9" x14ac:dyDescent="0.25">
      <c r="A800" t="s">
        <v>2268</v>
      </c>
      <c r="B800" t="s">
        <v>1858</v>
      </c>
      <c r="C800">
        <v>0</v>
      </c>
      <c r="D800">
        <v>0</v>
      </c>
      <c r="E800">
        <v>0</v>
      </c>
      <c r="F800">
        <v>99</v>
      </c>
      <c r="G800">
        <v>0</v>
      </c>
      <c r="H800">
        <v>99</v>
      </c>
      <c r="I800">
        <v>2</v>
      </c>
    </row>
    <row r="801" spans="1:9" x14ac:dyDescent="0.25">
      <c r="A801" t="s">
        <v>2324</v>
      </c>
      <c r="B801" t="s">
        <v>1914</v>
      </c>
      <c r="C801">
        <v>0</v>
      </c>
      <c r="D801">
        <v>0</v>
      </c>
      <c r="E801">
        <v>0</v>
      </c>
      <c r="F801">
        <v>8</v>
      </c>
      <c r="G801">
        <v>0</v>
      </c>
      <c r="H801">
        <v>8</v>
      </c>
      <c r="I801">
        <v>1</v>
      </c>
    </row>
    <row r="802" spans="1:9" x14ac:dyDescent="0.25">
      <c r="A802" t="s">
        <v>2335</v>
      </c>
      <c r="B802" t="s">
        <v>10758</v>
      </c>
      <c r="C802">
        <v>12</v>
      </c>
      <c r="D802">
        <v>0</v>
      </c>
      <c r="E802">
        <v>0</v>
      </c>
      <c r="F802">
        <v>0</v>
      </c>
      <c r="G802">
        <v>0</v>
      </c>
      <c r="H802">
        <v>12</v>
      </c>
      <c r="I802">
        <v>1</v>
      </c>
    </row>
    <row r="803" spans="1:9" x14ac:dyDescent="0.25">
      <c r="A803" t="s">
        <v>11781</v>
      </c>
      <c r="B803" t="s">
        <v>1173</v>
      </c>
      <c r="C803">
        <v>16</v>
      </c>
      <c r="D803">
        <v>0</v>
      </c>
      <c r="E803">
        <v>0</v>
      </c>
      <c r="F803">
        <v>0</v>
      </c>
      <c r="G803">
        <v>0</v>
      </c>
      <c r="H803">
        <v>16</v>
      </c>
      <c r="I803">
        <v>1</v>
      </c>
    </row>
    <row r="804" spans="1:9" x14ac:dyDescent="0.25">
      <c r="A804" t="s">
        <v>2319</v>
      </c>
      <c r="B804" t="s">
        <v>1173</v>
      </c>
      <c r="C804">
        <v>0</v>
      </c>
      <c r="D804">
        <v>0</v>
      </c>
      <c r="E804">
        <v>0</v>
      </c>
      <c r="F804">
        <v>0</v>
      </c>
      <c r="G804">
        <v>0</v>
      </c>
      <c r="H804">
        <v>0</v>
      </c>
      <c r="I804">
        <v>0</v>
      </c>
    </row>
    <row r="805" spans="1:9" x14ac:dyDescent="0.25">
      <c r="A805" t="s">
        <v>2320</v>
      </c>
      <c r="B805" t="s">
        <v>9831</v>
      </c>
      <c r="C805">
        <v>66</v>
      </c>
      <c r="D805">
        <v>0</v>
      </c>
      <c r="E805">
        <v>0</v>
      </c>
      <c r="F805">
        <v>0</v>
      </c>
      <c r="G805">
        <v>0</v>
      </c>
      <c r="H805">
        <v>66</v>
      </c>
      <c r="I805">
        <v>1</v>
      </c>
    </row>
    <row r="806" spans="1:9" x14ac:dyDescent="0.25">
      <c r="A806" t="s">
        <v>2326</v>
      </c>
      <c r="B806" t="s">
        <v>1678</v>
      </c>
      <c r="C806">
        <v>29</v>
      </c>
      <c r="D806">
        <v>0</v>
      </c>
      <c r="E806">
        <v>0</v>
      </c>
      <c r="F806">
        <v>0</v>
      </c>
      <c r="G806">
        <v>0</v>
      </c>
      <c r="H806">
        <v>29</v>
      </c>
      <c r="I806">
        <v>1</v>
      </c>
    </row>
    <row r="807" spans="1:9" x14ac:dyDescent="0.25">
      <c r="A807" t="s">
        <v>2257</v>
      </c>
      <c r="B807" t="s">
        <v>1915</v>
      </c>
      <c r="C807">
        <v>20</v>
      </c>
      <c r="D807">
        <v>0</v>
      </c>
      <c r="E807">
        <v>0</v>
      </c>
      <c r="F807">
        <v>0</v>
      </c>
      <c r="G807">
        <v>0</v>
      </c>
      <c r="H807">
        <v>20</v>
      </c>
      <c r="I807">
        <v>1</v>
      </c>
    </row>
    <row r="808" spans="1:9" x14ac:dyDescent="0.25">
      <c r="A808" t="s">
        <v>10759</v>
      </c>
      <c r="B808" t="s">
        <v>10760</v>
      </c>
      <c r="C808">
        <v>0</v>
      </c>
      <c r="D808">
        <v>0</v>
      </c>
      <c r="E808">
        <v>0</v>
      </c>
      <c r="F808">
        <v>14</v>
      </c>
      <c r="G808">
        <v>0</v>
      </c>
      <c r="H808">
        <v>14</v>
      </c>
      <c r="I808">
        <v>1</v>
      </c>
    </row>
    <row r="809" spans="1:9" x14ac:dyDescent="0.25">
      <c r="A809" t="s">
        <v>2292</v>
      </c>
      <c r="B809" t="s">
        <v>1679</v>
      </c>
      <c r="C809">
        <v>0</v>
      </c>
      <c r="D809">
        <v>0</v>
      </c>
      <c r="E809">
        <v>0</v>
      </c>
      <c r="F809">
        <v>14</v>
      </c>
      <c r="G809">
        <v>0</v>
      </c>
      <c r="H809">
        <v>14</v>
      </c>
      <c r="I809">
        <v>1</v>
      </c>
    </row>
    <row r="810" spans="1:9" x14ac:dyDescent="0.25">
      <c r="A810" t="s">
        <v>9877</v>
      </c>
      <c r="B810" t="s">
        <v>9845</v>
      </c>
      <c r="C810">
        <v>0</v>
      </c>
      <c r="D810">
        <v>0</v>
      </c>
      <c r="E810">
        <v>0</v>
      </c>
      <c r="F810">
        <v>22</v>
      </c>
      <c r="G810">
        <v>0</v>
      </c>
      <c r="H810">
        <v>22</v>
      </c>
      <c r="I810">
        <v>1</v>
      </c>
    </row>
    <row r="811" spans="1:9" x14ac:dyDescent="0.25">
      <c r="A811" t="s">
        <v>2243</v>
      </c>
      <c r="B811" t="s">
        <v>1445</v>
      </c>
      <c r="C811">
        <v>10</v>
      </c>
      <c r="D811">
        <v>0</v>
      </c>
      <c r="E811">
        <v>0</v>
      </c>
      <c r="F811">
        <v>0</v>
      </c>
      <c r="G811">
        <v>0</v>
      </c>
      <c r="H811">
        <v>10</v>
      </c>
      <c r="I811">
        <v>1</v>
      </c>
    </row>
    <row r="812" spans="1:9" x14ac:dyDescent="0.25">
      <c r="A812" t="s">
        <v>15624</v>
      </c>
      <c r="B812" t="s">
        <v>15625</v>
      </c>
      <c r="C812">
        <v>0</v>
      </c>
      <c r="D812">
        <v>0</v>
      </c>
      <c r="E812">
        <v>0</v>
      </c>
      <c r="F812">
        <v>0</v>
      </c>
      <c r="G812">
        <v>0</v>
      </c>
      <c r="H812">
        <v>0</v>
      </c>
      <c r="I812">
        <v>0</v>
      </c>
    </row>
    <row r="813" spans="1:9" x14ac:dyDescent="0.25">
      <c r="A813" t="s">
        <v>2221</v>
      </c>
      <c r="B813" t="s">
        <v>1859</v>
      </c>
      <c r="C813">
        <v>0</v>
      </c>
      <c r="D813">
        <v>0</v>
      </c>
      <c r="E813">
        <v>0</v>
      </c>
      <c r="F813">
        <v>31</v>
      </c>
      <c r="G813">
        <v>0</v>
      </c>
      <c r="H813">
        <v>31</v>
      </c>
      <c r="I813">
        <v>1</v>
      </c>
    </row>
    <row r="814" spans="1:9" x14ac:dyDescent="0.25">
      <c r="A814" t="s">
        <v>2318</v>
      </c>
      <c r="B814" t="s">
        <v>1175</v>
      </c>
      <c r="C814">
        <v>0</v>
      </c>
      <c r="D814">
        <v>0</v>
      </c>
      <c r="E814">
        <v>0</v>
      </c>
      <c r="F814">
        <v>41</v>
      </c>
      <c r="G814">
        <v>0</v>
      </c>
      <c r="H814">
        <v>41</v>
      </c>
      <c r="I814">
        <v>1</v>
      </c>
    </row>
    <row r="815" spans="1:9" x14ac:dyDescent="0.25">
      <c r="A815" t="s">
        <v>2837</v>
      </c>
      <c r="B815" t="s">
        <v>9832</v>
      </c>
      <c r="C815">
        <v>0</v>
      </c>
      <c r="D815">
        <v>0</v>
      </c>
      <c r="E815">
        <v>0</v>
      </c>
      <c r="F815">
        <v>82</v>
      </c>
      <c r="G815">
        <v>0</v>
      </c>
      <c r="H815">
        <v>82</v>
      </c>
      <c r="I815">
        <v>1</v>
      </c>
    </row>
    <row r="816" spans="1:9" x14ac:dyDescent="0.25">
      <c r="A816" t="s">
        <v>2201</v>
      </c>
      <c r="B816" t="s">
        <v>1070</v>
      </c>
      <c r="C816">
        <v>20</v>
      </c>
      <c r="D816">
        <v>0</v>
      </c>
      <c r="E816">
        <v>0</v>
      </c>
      <c r="F816">
        <v>0</v>
      </c>
      <c r="G816">
        <v>0</v>
      </c>
      <c r="H816">
        <v>20</v>
      </c>
      <c r="I816">
        <v>1</v>
      </c>
    </row>
    <row r="817" spans="1:9" x14ac:dyDescent="0.25">
      <c r="A817" t="s">
        <v>2192</v>
      </c>
      <c r="B817" t="s">
        <v>9796</v>
      </c>
      <c r="C817">
        <v>0</v>
      </c>
      <c r="D817">
        <v>0</v>
      </c>
      <c r="E817">
        <v>0</v>
      </c>
      <c r="F817">
        <v>67</v>
      </c>
      <c r="G817">
        <v>0</v>
      </c>
      <c r="H817">
        <v>67</v>
      </c>
      <c r="I817">
        <v>1</v>
      </c>
    </row>
    <row r="818" spans="1:9" x14ac:dyDescent="0.25">
      <c r="A818" t="s">
        <v>9878</v>
      </c>
      <c r="B818" t="s">
        <v>9813</v>
      </c>
      <c r="C818">
        <v>40</v>
      </c>
      <c r="D818">
        <v>0</v>
      </c>
      <c r="E818">
        <v>0</v>
      </c>
      <c r="F818">
        <v>0</v>
      </c>
      <c r="G818">
        <v>0</v>
      </c>
      <c r="H818">
        <v>40</v>
      </c>
      <c r="I818">
        <v>1</v>
      </c>
    </row>
    <row r="819" spans="1:9" x14ac:dyDescent="0.25">
      <c r="A819" t="s">
        <v>2316</v>
      </c>
      <c r="B819" t="s">
        <v>9797</v>
      </c>
      <c r="C819">
        <v>6</v>
      </c>
      <c r="D819">
        <v>0</v>
      </c>
      <c r="E819">
        <v>0</v>
      </c>
      <c r="F819">
        <v>0</v>
      </c>
      <c r="G819">
        <v>0</v>
      </c>
      <c r="H819">
        <v>6</v>
      </c>
      <c r="I819">
        <v>1</v>
      </c>
    </row>
    <row r="820" spans="1:9" x14ac:dyDescent="0.25">
      <c r="A820" t="s">
        <v>2223</v>
      </c>
      <c r="B820" t="s">
        <v>1365</v>
      </c>
      <c r="C820">
        <v>75</v>
      </c>
      <c r="D820">
        <v>0</v>
      </c>
      <c r="E820">
        <v>0</v>
      </c>
      <c r="F820">
        <v>0</v>
      </c>
      <c r="G820">
        <v>0</v>
      </c>
      <c r="H820">
        <v>75</v>
      </c>
      <c r="I820">
        <v>1</v>
      </c>
    </row>
    <row r="821" spans="1:9" x14ac:dyDescent="0.25">
      <c r="A821" t="s">
        <v>9879</v>
      </c>
      <c r="B821" t="s">
        <v>9798</v>
      </c>
      <c r="C821">
        <v>28</v>
      </c>
      <c r="D821">
        <v>0</v>
      </c>
      <c r="E821">
        <v>0</v>
      </c>
      <c r="F821">
        <v>0</v>
      </c>
      <c r="G821">
        <v>0</v>
      </c>
      <c r="H821">
        <v>28</v>
      </c>
      <c r="I821">
        <v>1</v>
      </c>
    </row>
    <row r="822" spans="1:9" x14ac:dyDescent="0.25">
      <c r="A822" t="s">
        <v>2342</v>
      </c>
      <c r="B822" t="s">
        <v>1680</v>
      </c>
      <c r="C822">
        <v>16</v>
      </c>
      <c r="D822">
        <v>0</v>
      </c>
      <c r="E822">
        <v>0</v>
      </c>
      <c r="F822">
        <v>0</v>
      </c>
      <c r="G822">
        <v>0</v>
      </c>
      <c r="H822">
        <v>16</v>
      </c>
      <c r="I822">
        <v>1</v>
      </c>
    </row>
    <row r="823" spans="1:9" x14ac:dyDescent="0.25">
      <c r="A823" t="s">
        <v>1947</v>
      </c>
      <c r="B823" t="s">
        <v>14375</v>
      </c>
      <c r="C823">
        <v>0</v>
      </c>
      <c r="D823">
        <v>0</v>
      </c>
      <c r="E823">
        <v>37</v>
      </c>
      <c r="F823">
        <v>0</v>
      </c>
      <c r="G823">
        <v>0</v>
      </c>
      <c r="H823">
        <v>37</v>
      </c>
      <c r="I823">
        <v>1</v>
      </c>
    </row>
    <row r="824" spans="1:9" x14ac:dyDescent="0.25">
      <c r="A824" t="s">
        <v>2789</v>
      </c>
      <c r="B824" t="s">
        <v>9789</v>
      </c>
      <c r="C824">
        <v>35</v>
      </c>
      <c r="D824">
        <v>0</v>
      </c>
      <c r="E824">
        <v>0</v>
      </c>
      <c r="F824">
        <v>0</v>
      </c>
      <c r="G824">
        <v>0</v>
      </c>
      <c r="H824">
        <v>35</v>
      </c>
      <c r="I824">
        <v>1</v>
      </c>
    </row>
    <row r="825" spans="1:9" x14ac:dyDescent="0.25">
      <c r="A825" t="s">
        <v>2254</v>
      </c>
      <c r="B825" t="s">
        <v>9881</v>
      </c>
      <c r="C825">
        <v>0</v>
      </c>
      <c r="D825">
        <v>0</v>
      </c>
      <c r="E825">
        <v>0</v>
      </c>
      <c r="F825">
        <v>57</v>
      </c>
      <c r="G825">
        <v>0</v>
      </c>
      <c r="H825">
        <v>57</v>
      </c>
      <c r="I825">
        <v>2</v>
      </c>
    </row>
    <row r="826" spans="1:9" x14ac:dyDescent="0.25">
      <c r="A826" t="s">
        <v>2952</v>
      </c>
      <c r="B826" t="s">
        <v>1176</v>
      </c>
      <c r="C826">
        <v>173</v>
      </c>
      <c r="D826">
        <v>0</v>
      </c>
      <c r="E826">
        <v>494</v>
      </c>
      <c r="F826">
        <v>0</v>
      </c>
      <c r="G826">
        <v>0</v>
      </c>
      <c r="H826">
        <v>667</v>
      </c>
      <c r="I826">
        <v>20</v>
      </c>
    </row>
    <row r="827" spans="1:9" x14ac:dyDescent="0.25">
      <c r="A827" t="s">
        <v>9882</v>
      </c>
      <c r="B827" t="s">
        <v>9839</v>
      </c>
      <c r="C827">
        <v>3</v>
      </c>
      <c r="D827">
        <v>0</v>
      </c>
      <c r="E827">
        <v>0</v>
      </c>
      <c r="F827">
        <v>0</v>
      </c>
      <c r="G827">
        <v>0</v>
      </c>
      <c r="H827">
        <v>3</v>
      </c>
      <c r="I827">
        <v>1</v>
      </c>
    </row>
    <row r="828" spans="1:9" x14ac:dyDescent="0.25">
      <c r="A828" t="s">
        <v>2173</v>
      </c>
      <c r="B828" t="s">
        <v>10812</v>
      </c>
      <c r="C828">
        <v>10</v>
      </c>
      <c r="D828">
        <v>0</v>
      </c>
      <c r="E828">
        <v>0</v>
      </c>
      <c r="F828">
        <v>0</v>
      </c>
      <c r="G828">
        <v>0</v>
      </c>
      <c r="H828">
        <v>10</v>
      </c>
      <c r="I828">
        <v>1</v>
      </c>
    </row>
    <row r="829" spans="1:9" x14ac:dyDescent="0.25">
      <c r="A829" t="s">
        <v>2309</v>
      </c>
      <c r="B829" t="s">
        <v>1551</v>
      </c>
      <c r="C829">
        <v>0</v>
      </c>
      <c r="D829">
        <v>0</v>
      </c>
      <c r="E829">
        <v>0</v>
      </c>
      <c r="F829">
        <v>6</v>
      </c>
      <c r="G829">
        <v>0</v>
      </c>
      <c r="H829">
        <v>6</v>
      </c>
      <c r="I829">
        <v>1</v>
      </c>
    </row>
    <row r="830" spans="1:9" x14ac:dyDescent="0.25">
      <c r="A830" t="s">
        <v>2158</v>
      </c>
      <c r="B830" t="s">
        <v>1786</v>
      </c>
      <c r="C830">
        <v>7</v>
      </c>
      <c r="D830">
        <v>0</v>
      </c>
      <c r="E830">
        <v>0</v>
      </c>
      <c r="F830">
        <v>0</v>
      </c>
      <c r="G830">
        <v>0</v>
      </c>
      <c r="H830">
        <v>7</v>
      </c>
      <c r="I830">
        <v>1</v>
      </c>
    </row>
    <row r="831" spans="1:9" x14ac:dyDescent="0.25">
      <c r="A831" t="s">
        <v>2296</v>
      </c>
      <c r="B831" t="s">
        <v>1917</v>
      </c>
      <c r="C831">
        <v>0</v>
      </c>
      <c r="D831">
        <v>0</v>
      </c>
      <c r="E831">
        <v>0</v>
      </c>
      <c r="F831">
        <v>7</v>
      </c>
      <c r="G831">
        <v>0</v>
      </c>
      <c r="H831">
        <v>7</v>
      </c>
      <c r="I831">
        <v>1</v>
      </c>
    </row>
    <row r="832" spans="1:9" x14ac:dyDescent="0.25">
      <c r="A832" t="s">
        <v>2338</v>
      </c>
      <c r="B832" t="s">
        <v>1177</v>
      </c>
      <c r="C832">
        <v>0</v>
      </c>
      <c r="D832">
        <v>0</v>
      </c>
      <c r="E832">
        <v>0</v>
      </c>
      <c r="F832">
        <v>0</v>
      </c>
      <c r="G832">
        <v>0</v>
      </c>
      <c r="H832">
        <v>0</v>
      </c>
      <c r="I832">
        <v>0</v>
      </c>
    </row>
    <row r="833" spans="1:9" x14ac:dyDescent="0.25">
      <c r="A833" t="s">
        <v>2301</v>
      </c>
      <c r="B833" t="s">
        <v>1178</v>
      </c>
      <c r="C833">
        <v>6</v>
      </c>
      <c r="D833">
        <v>0</v>
      </c>
      <c r="E833">
        <v>0</v>
      </c>
      <c r="F833">
        <v>0</v>
      </c>
      <c r="G833">
        <v>0</v>
      </c>
      <c r="H833">
        <v>6</v>
      </c>
      <c r="I833">
        <v>1</v>
      </c>
    </row>
    <row r="834" spans="1:9" x14ac:dyDescent="0.25">
      <c r="A834" t="s">
        <v>2263</v>
      </c>
      <c r="B834" t="s">
        <v>1367</v>
      </c>
      <c r="C834">
        <v>0</v>
      </c>
      <c r="D834">
        <v>0</v>
      </c>
      <c r="E834">
        <v>0</v>
      </c>
      <c r="F834">
        <v>88</v>
      </c>
      <c r="G834">
        <v>0</v>
      </c>
      <c r="H834">
        <v>88</v>
      </c>
      <c r="I834">
        <v>2</v>
      </c>
    </row>
    <row r="835" spans="1:9" x14ac:dyDescent="0.25">
      <c r="A835" t="s">
        <v>2297</v>
      </c>
      <c r="B835" t="s">
        <v>1787</v>
      </c>
      <c r="C835">
        <v>12</v>
      </c>
      <c r="D835">
        <v>0</v>
      </c>
      <c r="E835">
        <v>0</v>
      </c>
      <c r="F835">
        <v>0</v>
      </c>
      <c r="G835">
        <v>0</v>
      </c>
      <c r="H835">
        <v>12</v>
      </c>
      <c r="I835">
        <v>1</v>
      </c>
    </row>
    <row r="836" spans="1:9" x14ac:dyDescent="0.25">
      <c r="A836" t="s">
        <v>3022</v>
      </c>
      <c r="B836" t="s">
        <v>1368</v>
      </c>
      <c r="C836">
        <v>34</v>
      </c>
      <c r="D836">
        <v>26</v>
      </c>
      <c r="E836">
        <v>16</v>
      </c>
      <c r="F836">
        <v>0</v>
      </c>
      <c r="G836">
        <v>0</v>
      </c>
      <c r="H836">
        <v>76</v>
      </c>
      <c r="I836">
        <v>4</v>
      </c>
    </row>
    <row r="837" spans="1:9" x14ac:dyDescent="0.25">
      <c r="A837" t="s">
        <v>2219</v>
      </c>
      <c r="B837" t="s">
        <v>11711</v>
      </c>
      <c r="C837">
        <v>10</v>
      </c>
      <c r="D837">
        <v>0</v>
      </c>
      <c r="E837">
        <v>0</v>
      </c>
      <c r="F837">
        <v>0</v>
      </c>
      <c r="G837">
        <v>0</v>
      </c>
      <c r="H837">
        <v>10</v>
      </c>
      <c r="I837">
        <v>1</v>
      </c>
    </row>
    <row r="838" spans="1:9" x14ac:dyDescent="0.25">
      <c r="A838" t="s">
        <v>2246</v>
      </c>
      <c r="B838" t="s">
        <v>9799</v>
      </c>
      <c r="C838">
        <v>0</v>
      </c>
      <c r="D838">
        <v>0</v>
      </c>
      <c r="E838">
        <v>15</v>
      </c>
      <c r="F838">
        <v>0</v>
      </c>
      <c r="G838">
        <v>0</v>
      </c>
      <c r="H838">
        <v>15</v>
      </c>
      <c r="I838">
        <v>1</v>
      </c>
    </row>
    <row r="839" spans="1:9" x14ac:dyDescent="0.25">
      <c r="A839" t="s">
        <v>2351</v>
      </c>
      <c r="B839" t="s">
        <v>9883</v>
      </c>
      <c r="C839">
        <v>0</v>
      </c>
      <c r="D839">
        <v>0</v>
      </c>
      <c r="E839">
        <v>0</v>
      </c>
      <c r="F839">
        <v>4</v>
      </c>
      <c r="G839">
        <v>0</v>
      </c>
      <c r="H839">
        <v>4</v>
      </c>
      <c r="I839">
        <v>1</v>
      </c>
    </row>
    <row r="840" spans="1:9" x14ac:dyDescent="0.25">
      <c r="A840" t="s">
        <v>2307</v>
      </c>
      <c r="B840" t="s">
        <v>11690</v>
      </c>
      <c r="C840">
        <v>30</v>
      </c>
      <c r="D840">
        <v>0</v>
      </c>
      <c r="E840">
        <v>0</v>
      </c>
      <c r="F840">
        <v>0</v>
      </c>
      <c r="G840">
        <v>0</v>
      </c>
      <c r="H840">
        <v>30</v>
      </c>
      <c r="I840">
        <v>1</v>
      </c>
    </row>
    <row r="841" spans="1:9" x14ac:dyDescent="0.25">
      <c r="A841" t="s">
        <v>2175</v>
      </c>
      <c r="B841" t="s">
        <v>10766</v>
      </c>
      <c r="C841">
        <v>0</v>
      </c>
      <c r="D841">
        <v>0</v>
      </c>
      <c r="E841">
        <v>0</v>
      </c>
      <c r="F841">
        <v>6</v>
      </c>
      <c r="G841">
        <v>0</v>
      </c>
      <c r="H841">
        <v>6</v>
      </c>
      <c r="I841">
        <v>1</v>
      </c>
    </row>
    <row r="842" spans="1:9" x14ac:dyDescent="0.25">
      <c r="A842" t="s">
        <v>2197</v>
      </c>
      <c r="B842" t="s">
        <v>1918</v>
      </c>
      <c r="C842">
        <v>0</v>
      </c>
      <c r="D842">
        <v>0</v>
      </c>
      <c r="E842">
        <v>0</v>
      </c>
      <c r="F842">
        <v>19</v>
      </c>
      <c r="G842">
        <v>0</v>
      </c>
      <c r="H842">
        <v>19</v>
      </c>
      <c r="I842">
        <v>1</v>
      </c>
    </row>
    <row r="843" spans="1:9" x14ac:dyDescent="0.25">
      <c r="A843" t="s">
        <v>2280</v>
      </c>
      <c r="B843" t="s">
        <v>1074</v>
      </c>
      <c r="C843">
        <v>6</v>
      </c>
      <c r="D843">
        <v>0</v>
      </c>
      <c r="E843">
        <v>0</v>
      </c>
      <c r="F843">
        <v>0</v>
      </c>
      <c r="G843">
        <v>0</v>
      </c>
      <c r="H843">
        <v>6</v>
      </c>
      <c r="I843">
        <v>1</v>
      </c>
    </row>
    <row r="844" spans="1:9" x14ac:dyDescent="0.25">
      <c r="A844" t="s">
        <v>10770</v>
      </c>
      <c r="B844" t="s">
        <v>1682</v>
      </c>
      <c r="C844">
        <v>0</v>
      </c>
      <c r="D844">
        <v>0</v>
      </c>
      <c r="E844">
        <v>0</v>
      </c>
      <c r="F844">
        <v>102</v>
      </c>
      <c r="G844">
        <v>0</v>
      </c>
      <c r="H844">
        <v>102</v>
      </c>
      <c r="I844">
        <v>1</v>
      </c>
    </row>
    <row r="845" spans="1:9" x14ac:dyDescent="0.25">
      <c r="A845" t="s">
        <v>2082</v>
      </c>
      <c r="B845" t="s">
        <v>1683</v>
      </c>
      <c r="C845">
        <v>0</v>
      </c>
      <c r="D845">
        <v>0</v>
      </c>
      <c r="E845">
        <v>0</v>
      </c>
      <c r="F845">
        <v>124</v>
      </c>
      <c r="G845">
        <v>0</v>
      </c>
      <c r="H845">
        <v>124</v>
      </c>
      <c r="I845">
        <v>1</v>
      </c>
    </row>
    <row r="846" spans="1:9" x14ac:dyDescent="0.25">
      <c r="A846" t="s">
        <v>2066</v>
      </c>
      <c r="B846" t="s">
        <v>1370</v>
      </c>
      <c r="C846">
        <v>17</v>
      </c>
      <c r="D846">
        <v>0</v>
      </c>
      <c r="E846">
        <v>0</v>
      </c>
      <c r="F846">
        <v>0</v>
      </c>
      <c r="G846">
        <v>0</v>
      </c>
      <c r="H846">
        <v>17</v>
      </c>
      <c r="I846">
        <v>1</v>
      </c>
    </row>
    <row r="847" spans="1:9" x14ac:dyDescent="0.25">
      <c r="A847" t="s">
        <v>2188</v>
      </c>
      <c r="B847" t="s">
        <v>1788</v>
      </c>
      <c r="C847">
        <v>0</v>
      </c>
      <c r="D847">
        <v>0</v>
      </c>
      <c r="E847">
        <v>0</v>
      </c>
      <c r="F847">
        <v>85</v>
      </c>
      <c r="G847">
        <v>0</v>
      </c>
      <c r="H847">
        <v>85</v>
      </c>
      <c r="I847">
        <v>1</v>
      </c>
    </row>
    <row r="848" spans="1:9" x14ac:dyDescent="0.25">
      <c r="A848" t="s">
        <v>2186</v>
      </c>
      <c r="B848" t="s">
        <v>11673</v>
      </c>
      <c r="C848">
        <v>0</v>
      </c>
      <c r="D848">
        <v>0</v>
      </c>
      <c r="E848">
        <v>0</v>
      </c>
      <c r="F848">
        <v>4</v>
      </c>
      <c r="G848">
        <v>0</v>
      </c>
      <c r="H848">
        <v>4</v>
      </c>
      <c r="I848">
        <v>1</v>
      </c>
    </row>
    <row r="849" spans="1:9" x14ac:dyDescent="0.25">
      <c r="A849" t="s">
        <v>15348</v>
      </c>
      <c r="B849" t="s">
        <v>14396</v>
      </c>
      <c r="C849">
        <v>6</v>
      </c>
      <c r="D849">
        <v>0</v>
      </c>
      <c r="E849">
        <v>0</v>
      </c>
      <c r="F849">
        <v>0</v>
      </c>
      <c r="G849">
        <v>0</v>
      </c>
      <c r="H849">
        <v>6</v>
      </c>
      <c r="I849">
        <v>1</v>
      </c>
    </row>
    <row r="850" spans="1:9" x14ac:dyDescent="0.25">
      <c r="A850" t="s">
        <v>2145</v>
      </c>
      <c r="B850" t="s">
        <v>1789</v>
      </c>
      <c r="C850">
        <v>0</v>
      </c>
      <c r="D850">
        <v>0</v>
      </c>
      <c r="E850">
        <v>0</v>
      </c>
      <c r="F850">
        <v>4</v>
      </c>
      <c r="G850">
        <v>0</v>
      </c>
      <c r="H850">
        <v>4</v>
      </c>
      <c r="I850">
        <v>1</v>
      </c>
    </row>
    <row r="851" spans="1:9" x14ac:dyDescent="0.25">
      <c r="A851" t="s">
        <v>2235</v>
      </c>
      <c r="B851" t="s">
        <v>1375</v>
      </c>
      <c r="C851">
        <v>0</v>
      </c>
      <c r="D851">
        <v>0</v>
      </c>
      <c r="E851">
        <v>0</v>
      </c>
      <c r="F851">
        <v>16</v>
      </c>
      <c r="G851">
        <v>0</v>
      </c>
      <c r="H851">
        <v>16</v>
      </c>
      <c r="I851">
        <v>1</v>
      </c>
    </row>
    <row r="852" spans="1:9" x14ac:dyDescent="0.25">
      <c r="A852" t="s">
        <v>2328</v>
      </c>
      <c r="B852" t="s">
        <v>1863</v>
      </c>
      <c r="C852">
        <v>0</v>
      </c>
      <c r="D852">
        <v>0</v>
      </c>
      <c r="E852">
        <v>0</v>
      </c>
      <c r="F852">
        <v>13</v>
      </c>
      <c r="G852">
        <v>0</v>
      </c>
      <c r="H852">
        <v>13</v>
      </c>
      <c r="I852">
        <v>1</v>
      </c>
    </row>
    <row r="853" spans="1:9" x14ac:dyDescent="0.25">
      <c r="A853" t="s">
        <v>14472</v>
      </c>
      <c r="B853" t="s">
        <v>14389</v>
      </c>
      <c r="C853">
        <v>0</v>
      </c>
      <c r="D853">
        <v>0</v>
      </c>
      <c r="E853">
        <v>535</v>
      </c>
      <c r="F853">
        <v>0</v>
      </c>
      <c r="G853">
        <v>0</v>
      </c>
      <c r="H853">
        <v>535</v>
      </c>
      <c r="I853">
        <v>2</v>
      </c>
    </row>
    <row r="854" spans="1:9" x14ac:dyDescent="0.25">
      <c r="A854" t="s">
        <v>2931</v>
      </c>
      <c r="B854" t="s">
        <v>1376</v>
      </c>
      <c r="C854">
        <v>0</v>
      </c>
      <c r="D854">
        <v>66</v>
      </c>
      <c r="E854">
        <v>0</v>
      </c>
      <c r="F854">
        <v>0</v>
      </c>
      <c r="G854">
        <v>0</v>
      </c>
      <c r="H854">
        <v>66</v>
      </c>
      <c r="I854">
        <v>1</v>
      </c>
    </row>
    <row r="855" spans="1:9" x14ac:dyDescent="0.25">
      <c r="A855" t="s">
        <v>10775</v>
      </c>
      <c r="B855" t="s">
        <v>10776</v>
      </c>
      <c r="C855">
        <v>0</v>
      </c>
      <c r="D855">
        <v>0</v>
      </c>
      <c r="E855">
        <v>0</v>
      </c>
      <c r="F855">
        <v>26</v>
      </c>
      <c r="G855">
        <v>0</v>
      </c>
      <c r="H855">
        <v>26</v>
      </c>
      <c r="I855">
        <v>1</v>
      </c>
    </row>
    <row r="856" spans="1:9" x14ac:dyDescent="0.25">
      <c r="A856" t="s">
        <v>2167</v>
      </c>
      <c r="B856" t="s">
        <v>10813</v>
      </c>
      <c r="C856">
        <v>0</v>
      </c>
      <c r="D856">
        <v>0</v>
      </c>
      <c r="E856">
        <v>0</v>
      </c>
      <c r="F856">
        <v>21</v>
      </c>
      <c r="G856">
        <v>0</v>
      </c>
      <c r="H856">
        <v>21</v>
      </c>
      <c r="I856">
        <v>1</v>
      </c>
    </row>
    <row r="857" spans="1:9" x14ac:dyDescent="0.25">
      <c r="A857" t="s">
        <v>2261</v>
      </c>
      <c r="B857" t="s">
        <v>1921</v>
      </c>
      <c r="C857">
        <v>0</v>
      </c>
      <c r="D857">
        <v>0</v>
      </c>
      <c r="E857">
        <v>0</v>
      </c>
      <c r="F857">
        <v>31</v>
      </c>
      <c r="G857">
        <v>0</v>
      </c>
      <c r="H857">
        <v>31</v>
      </c>
      <c r="I857">
        <v>1</v>
      </c>
    </row>
    <row r="858" spans="1:9" x14ac:dyDescent="0.25">
      <c r="A858" t="s">
        <v>2148</v>
      </c>
      <c r="B858" t="s">
        <v>1688</v>
      </c>
      <c r="C858">
        <v>0</v>
      </c>
      <c r="D858">
        <v>0</v>
      </c>
      <c r="E858">
        <v>10</v>
      </c>
      <c r="F858">
        <v>105</v>
      </c>
      <c r="G858">
        <v>0</v>
      </c>
      <c r="H858">
        <v>115</v>
      </c>
      <c r="I858">
        <v>1</v>
      </c>
    </row>
    <row r="859" spans="1:9" x14ac:dyDescent="0.25">
      <c r="A859" t="s">
        <v>2152</v>
      </c>
      <c r="B859" t="s">
        <v>1184</v>
      </c>
      <c r="C859">
        <v>6</v>
      </c>
      <c r="D859">
        <v>0</v>
      </c>
      <c r="E859">
        <v>0</v>
      </c>
      <c r="F859">
        <v>0</v>
      </c>
      <c r="G859">
        <v>0</v>
      </c>
      <c r="H859">
        <v>6</v>
      </c>
      <c r="I859">
        <v>1</v>
      </c>
    </row>
    <row r="860" spans="1:9" x14ac:dyDescent="0.25">
      <c r="A860" t="s">
        <v>2156</v>
      </c>
      <c r="B860" t="s">
        <v>1383</v>
      </c>
      <c r="C860">
        <v>0</v>
      </c>
      <c r="D860">
        <v>0</v>
      </c>
      <c r="E860">
        <v>0</v>
      </c>
      <c r="F860">
        <v>39</v>
      </c>
      <c r="G860">
        <v>0</v>
      </c>
      <c r="H860">
        <v>39</v>
      </c>
      <c r="I860">
        <v>1</v>
      </c>
    </row>
    <row r="861" spans="1:9" x14ac:dyDescent="0.25">
      <c r="A861" t="s">
        <v>2166</v>
      </c>
      <c r="B861" t="s">
        <v>1186</v>
      </c>
      <c r="C861">
        <v>4</v>
      </c>
      <c r="D861">
        <v>0</v>
      </c>
      <c r="E861">
        <v>0</v>
      </c>
      <c r="F861">
        <v>0</v>
      </c>
      <c r="G861">
        <v>0</v>
      </c>
      <c r="H861">
        <v>4</v>
      </c>
      <c r="I861">
        <v>1</v>
      </c>
    </row>
    <row r="862" spans="1:9" x14ac:dyDescent="0.25">
      <c r="A862" t="s">
        <v>2276</v>
      </c>
      <c r="B862" t="s">
        <v>1385</v>
      </c>
      <c r="C862">
        <v>18</v>
      </c>
      <c r="D862">
        <v>0</v>
      </c>
      <c r="E862">
        <v>0</v>
      </c>
      <c r="F862">
        <v>0</v>
      </c>
      <c r="G862">
        <v>0</v>
      </c>
      <c r="H862">
        <v>18</v>
      </c>
      <c r="I862">
        <v>1</v>
      </c>
    </row>
    <row r="863" spans="1:9" x14ac:dyDescent="0.25">
      <c r="A863" t="s">
        <v>2330</v>
      </c>
      <c r="B863" t="s">
        <v>1922</v>
      </c>
      <c r="C863">
        <v>0</v>
      </c>
      <c r="D863">
        <v>0</v>
      </c>
      <c r="E863">
        <v>0</v>
      </c>
      <c r="F863">
        <v>20</v>
      </c>
      <c r="G863">
        <v>0</v>
      </c>
      <c r="H863">
        <v>20</v>
      </c>
      <c r="I863">
        <v>1</v>
      </c>
    </row>
    <row r="864" spans="1:9" x14ac:dyDescent="0.25">
      <c r="A864" t="s">
        <v>2285</v>
      </c>
      <c r="B864" t="s">
        <v>1867</v>
      </c>
      <c r="C864">
        <v>12</v>
      </c>
      <c r="D864">
        <v>0</v>
      </c>
      <c r="E864">
        <v>0</v>
      </c>
      <c r="F864">
        <v>0</v>
      </c>
      <c r="G864">
        <v>0</v>
      </c>
      <c r="H864">
        <v>12</v>
      </c>
      <c r="I864">
        <v>1</v>
      </c>
    </row>
    <row r="865" spans="1:9" x14ac:dyDescent="0.25">
      <c r="A865" t="s">
        <v>1979</v>
      </c>
      <c r="B865" t="s">
        <v>1694</v>
      </c>
      <c r="C865">
        <v>14</v>
      </c>
      <c r="D865">
        <v>0</v>
      </c>
      <c r="E865">
        <v>0</v>
      </c>
      <c r="F865">
        <v>0</v>
      </c>
      <c r="G865">
        <v>0</v>
      </c>
      <c r="H865">
        <v>14</v>
      </c>
      <c r="I865">
        <v>1</v>
      </c>
    </row>
    <row r="866" spans="1:9" x14ac:dyDescent="0.25">
      <c r="A866" t="s">
        <v>2200</v>
      </c>
      <c r="B866" t="s">
        <v>1081</v>
      </c>
      <c r="C866">
        <v>20</v>
      </c>
      <c r="D866">
        <v>0</v>
      </c>
      <c r="E866">
        <v>0</v>
      </c>
      <c r="F866">
        <v>0</v>
      </c>
      <c r="G866">
        <v>0</v>
      </c>
      <c r="H866">
        <v>20</v>
      </c>
      <c r="I866">
        <v>1</v>
      </c>
    </row>
    <row r="867" spans="1:9" x14ac:dyDescent="0.25">
      <c r="A867" t="s">
        <v>2021</v>
      </c>
      <c r="B867" t="s">
        <v>11728</v>
      </c>
      <c r="C867">
        <v>9</v>
      </c>
      <c r="D867">
        <v>0</v>
      </c>
      <c r="E867">
        <v>45</v>
      </c>
      <c r="F867">
        <v>0</v>
      </c>
      <c r="G867">
        <v>0</v>
      </c>
      <c r="H867">
        <v>54</v>
      </c>
      <c r="I867">
        <v>1</v>
      </c>
    </row>
    <row r="868" spans="1:9" x14ac:dyDescent="0.25">
      <c r="A868" t="s">
        <v>2220</v>
      </c>
      <c r="B868" t="s">
        <v>1190</v>
      </c>
      <c r="C868">
        <v>0</v>
      </c>
      <c r="D868">
        <v>0</v>
      </c>
      <c r="E868">
        <v>0</v>
      </c>
      <c r="F868">
        <v>21</v>
      </c>
      <c r="G868">
        <v>0</v>
      </c>
      <c r="H868">
        <v>21</v>
      </c>
      <c r="I868">
        <v>1</v>
      </c>
    </row>
    <row r="869" spans="1:9" x14ac:dyDescent="0.25">
      <c r="A869" t="s">
        <v>2348</v>
      </c>
      <c r="B869" t="s">
        <v>11716</v>
      </c>
      <c r="C869">
        <v>0</v>
      </c>
      <c r="D869">
        <v>0</v>
      </c>
      <c r="E869">
        <v>0</v>
      </c>
      <c r="F869">
        <v>8</v>
      </c>
      <c r="G869">
        <v>0</v>
      </c>
      <c r="H869">
        <v>8</v>
      </c>
      <c r="I869">
        <v>1</v>
      </c>
    </row>
    <row r="870" spans="1:9" x14ac:dyDescent="0.25">
      <c r="A870" t="s">
        <v>2288</v>
      </c>
      <c r="B870" t="s">
        <v>1395</v>
      </c>
      <c r="C870">
        <v>0</v>
      </c>
      <c r="D870">
        <v>0</v>
      </c>
      <c r="E870">
        <v>0</v>
      </c>
      <c r="F870">
        <v>6</v>
      </c>
      <c r="G870">
        <v>0</v>
      </c>
      <c r="H870">
        <v>6</v>
      </c>
      <c r="I870">
        <v>1</v>
      </c>
    </row>
    <row r="871" spans="1:9" x14ac:dyDescent="0.25">
      <c r="A871" t="s">
        <v>2563</v>
      </c>
      <c r="B871" t="s">
        <v>9846</v>
      </c>
      <c r="C871">
        <v>0</v>
      </c>
      <c r="D871">
        <v>0</v>
      </c>
      <c r="E871">
        <v>25</v>
      </c>
      <c r="F871">
        <v>0</v>
      </c>
      <c r="G871">
        <v>0</v>
      </c>
      <c r="H871">
        <v>25</v>
      </c>
      <c r="I871">
        <v>1</v>
      </c>
    </row>
    <row r="872" spans="1:9" x14ac:dyDescent="0.25">
      <c r="A872" t="s">
        <v>2230</v>
      </c>
      <c r="B872" t="s">
        <v>1696</v>
      </c>
      <c r="C872">
        <v>18</v>
      </c>
      <c r="D872">
        <v>0</v>
      </c>
      <c r="E872">
        <v>0</v>
      </c>
      <c r="F872">
        <v>0</v>
      </c>
      <c r="G872">
        <v>0</v>
      </c>
      <c r="H872">
        <v>18</v>
      </c>
      <c r="I872">
        <v>1</v>
      </c>
    </row>
    <row r="873" spans="1:9" x14ac:dyDescent="0.25">
      <c r="A873" t="s">
        <v>10785</v>
      </c>
      <c r="B873" t="s">
        <v>10786</v>
      </c>
      <c r="C873">
        <v>4</v>
      </c>
      <c r="D873">
        <v>0</v>
      </c>
      <c r="E873">
        <v>0</v>
      </c>
      <c r="F873">
        <v>0</v>
      </c>
      <c r="G873">
        <v>0</v>
      </c>
      <c r="H873">
        <v>4</v>
      </c>
      <c r="I873">
        <v>1</v>
      </c>
    </row>
    <row r="874" spans="1:9" x14ac:dyDescent="0.25">
      <c r="A874" t="s">
        <v>2096</v>
      </c>
      <c r="B874" t="s">
        <v>1868</v>
      </c>
      <c r="C874">
        <v>68</v>
      </c>
      <c r="D874">
        <v>0</v>
      </c>
      <c r="E874">
        <v>32</v>
      </c>
      <c r="F874">
        <v>0</v>
      </c>
      <c r="G874">
        <v>0</v>
      </c>
      <c r="H874">
        <v>100</v>
      </c>
      <c r="I874">
        <v>1</v>
      </c>
    </row>
    <row r="875" spans="1:9" x14ac:dyDescent="0.25">
      <c r="A875" t="s">
        <v>2974</v>
      </c>
      <c r="B875" t="s">
        <v>1869</v>
      </c>
      <c r="C875">
        <v>122</v>
      </c>
      <c r="D875">
        <v>5</v>
      </c>
      <c r="E875">
        <v>84</v>
      </c>
      <c r="F875">
        <v>0</v>
      </c>
      <c r="G875">
        <v>0</v>
      </c>
      <c r="H875">
        <v>211</v>
      </c>
      <c r="I875">
        <v>2</v>
      </c>
    </row>
    <row r="876" spans="1:9" x14ac:dyDescent="0.25">
      <c r="A876" t="s">
        <v>2905</v>
      </c>
      <c r="B876" t="s">
        <v>1871</v>
      </c>
      <c r="C876">
        <v>63</v>
      </c>
      <c r="D876">
        <v>47</v>
      </c>
      <c r="E876">
        <v>131</v>
      </c>
      <c r="F876">
        <v>0</v>
      </c>
      <c r="G876">
        <v>0</v>
      </c>
      <c r="H876">
        <v>241</v>
      </c>
      <c r="I876">
        <v>3</v>
      </c>
    </row>
    <row r="877" spans="1:9" x14ac:dyDescent="0.25">
      <c r="A877" t="s">
        <v>2111</v>
      </c>
      <c r="B877" t="s">
        <v>1796</v>
      </c>
      <c r="C877">
        <v>0</v>
      </c>
      <c r="D877">
        <v>0</v>
      </c>
      <c r="E877">
        <v>41</v>
      </c>
      <c r="F877">
        <v>0</v>
      </c>
      <c r="G877">
        <v>0</v>
      </c>
      <c r="H877">
        <v>41</v>
      </c>
      <c r="I877">
        <v>1</v>
      </c>
    </row>
    <row r="878" spans="1:9" x14ac:dyDescent="0.25">
      <c r="A878" t="s">
        <v>2622</v>
      </c>
      <c r="B878" t="s">
        <v>1082</v>
      </c>
      <c r="C878">
        <v>0</v>
      </c>
      <c r="D878">
        <v>0</v>
      </c>
      <c r="E878">
        <v>160</v>
      </c>
      <c r="F878">
        <v>0</v>
      </c>
      <c r="G878">
        <v>0</v>
      </c>
      <c r="H878">
        <v>160</v>
      </c>
      <c r="I878">
        <v>2</v>
      </c>
    </row>
    <row r="879" spans="1:9" x14ac:dyDescent="0.25">
      <c r="A879" t="s">
        <v>2095</v>
      </c>
      <c r="B879" t="s">
        <v>1700</v>
      </c>
      <c r="C879">
        <v>0</v>
      </c>
      <c r="D879">
        <v>0</v>
      </c>
      <c r="E879">
        <v>69</v>
      </c>
      <c r="F879">
        <v>0</v>
      </c>
      <c r="G879">
        <v>0</v>
      </c>
      <c r="H879">
        <v>69</v>
      </c>
      <c r="I879">
        <v>1</v>
      </c>
    </row>
    <row r="880" spans="1:9" x14ac:dyDescent="0.25">
      <c r="A880" t="s">
        <v>2114</v>
      </c>
      <c r="B880" t="s">
        <v>1701</v>
      </c>
      <c r="C880">
        <v>0</v>
      </c>
      <c r="D880">
        <v>3</v>
      </c>
      <c r="E880">
        <v>142</v>
      </c>
      <c r="F880">
        <v>0</v>
      </c>
      <c r="G880">
        <v>0</v>
      </c>
      <c r="H880">
        <v>145</v>
      </c>
      <c r="I880">
        <v>3</v>
      </c>
    </row>
    <row r="881" spans="1:9" x14ac:dyDescent="0.25">
      <c r="A881" t="s">
        <v>2579</v>
      </c>
      <c r="B881" t="s">
        <v>11669</v>
      </c>
      <c r="C881">
        <v>0</v>
      </c>
      <c r="D881">
        <v>0</v>
      </c>
      <c r="E881">
        <v>109</v>
      </c>
      <c r="F881">
        <v>0</v>
      </c>
      <c r="G881">
        <v>0</v>
      </c>
      <c r="H881">
        <v>109</v>
      </c>
      <c r="I881">
        <v>1</v>
      </c>
    </row>
    <row r="882" spans="1:9" x14ac:dyDescent="0.25">
      <c r="A882" t="s">
        <v>2623</v>
      </c>
      <c r="B882" t="s">
        <v>9886</v>
      </c>
      <c r="C882">
        <v>0</v>
      </c>
      <c r="D882">
        <v>8</v>
      </c>
      <c r="E882">
        <v>388</v>
      </c>
      <c r="F882">
        <v>0</v>
      </c>
      <c r="G882">
        <v>0</v>
      </c>
      <c r="H882">
        <v>396</v>
      </c>
      <c r="I882">
        <v>3</v>
      </c>
    </row>
    <row r="883" spans="1:9" x14ac:dyDescent="0.25">
      <c r="A883" t="s">
        <v>2636</v>
      </c>
      <c r="B883" t="s">
        <v>9847</v>
      </c>
      <c r="C883">
        <v>0</v>
      </c>
      <c r="D883">
        <v>0</v>
      </c>
      <c r="E883">
        <v>209</v>
      </c>
      <c r="F883">
        <v>0</v>
      </c>
      <c r="G883">
        <v>0</v>
      </c>
      <c r="H883">
        <v>209</v>
      </c>
      <c r="I883">
        <v>1</v>
      </c>
    </row>
    <row r="884" spans="1:9" x14ac:dyDescent="0.25">
      <c r="A884" t="s">
        <v>2049</v>
      </c>
      <c r="B884" t="s">
        <v>1451</v>
      </c>
      <c r="C884">
        <v>0</v>
      </c>
      <c r="D884">
        <v>0</v>
      </c>
      <c r="E884">
        <v>24</v>
      </c>
      <c r="F884">
        <v>0</v>
      </c>
      <c r="G884">
        <v>0</v>
      </c>
      <c r="H884">
        <v>24</v>
      </c>
      <c r="I884">
        <v>1</v>
      </c>
    </row>
    <row r="885" spans="1:9" x14ac:dyDescent="0.25">
      <c r="A885" t="s">
        <v>2599</v>
      </c>
      <c r="B885" t="s">
        <v>10787</v>
      </c>
      <c r="C885">
        <v>0</v>
      </c>
      <c r="D885">
        <v>0</v>
      </c>
      <c r="E885">
        <v>166</v>
      </c>
      <c r="F885">
        <v>0</v>
      </c>
      <c r="G885">
        <v>0</v>
      </c>
      <c r="H885">
        <v>166</v>
      </c>
      <c r="I885">
        <v>3</v>
      </c>
    </row>
    <row r="886" spans="1:9" x14ac:dyDescent="0.25">
      <c r="A886" t="s">
        <v>2973</v>
      </c>
      <c r="B886" t="s">
        <v>1562</v>
      </c>
      <c r="C886">
        <v>44</v>
      </c>
      <c r="D886">
        <v>0</v>
      </c>
      <c r="E886">
        <v>103</v>
      </c>
      <c r="F886">
        <v>0</v>
      </c>
      <c r="G886">
        <v>0</v>
      </c>
      <c r="H886">
        <v>147</v>
      </c>
      <c r="I886">
        <v>1</v>
      </c>
    </row>
    <row r="887" spans="1:9" x14ac:dyDescent="0.25">
      <c r="A887" t="s">
        <v>2903</v>
      </c>
      <c r="B887" t="s">
        <v>1399</v>
      </c>
      <c r="C887">
        <v>134</v>
      </c>
      <c r="D887">
        <v>9</v>
      </c>
      <c r="E887">
        <v>322</v>
      </c>
      <c r="F887">
        <v>0</v>
      </c>
      <c r="G887">
        <v>0</v>
      </c>
      <c r="H887">
        <v>465</v>
      </c>
      <c r="I887">
        <v>8</v>
      </c>
    </row>
    <row r="888" spans="1:9" x14ac:dyDescent="0.25">
      <c r="A888" t="s">
        <v>2627</v>
      </c>
      <c r="B888" t="s">
        <v>1194</v>
      </c>
      <c r="C888">
        <v>0</v>
      </c>
      <c r="D888">
        <v>0</v>
      </c>
      <c r="E888">
        <v>321</v>
      </c>
      <c r="F888">
        <v>0</v>
      </c>
      <c r="G888">
        <v>0</v>
      </c>
      <c r="H888">
        <v>321</v>
      </c>
      <c r="I888">
        <v>4</v>
      </c>
    </row>
    <row r="889" spans="1:9" x14ac:dyDescent="0.25">
      <c r="A889" t="s">
        <v>2224</v>
      </c>
      <c r="B889" t="s">
        <v>1870</v>
      </c>
      <c r="C889">
        <v>0</v>
      </c>
      <c r="D889">
        <v>0</v>
      </c>
      <c r="E889">
        <v>0</v>
      </c>
      <c r="F889">
        <v>206</v>
      </c>
      <c r="G889">
        <v>0</v>
      </c>
      <c r="H889">
        <v>206</v>
      </c>
      <c r="I889">
        <v>2</v>
      </c>
    </row>
    <row r="890" spans="1:9" x14ac:dyDescent="0.25">
      <c r="A890" t="s">
        <v>2447</v>
      </c>
      <c r="B890" t="s">
        <v>11700</v>
      </c>
      <c r="C890">
        <v>6</v>
      </c>
      <c r="D890">
        <v>0</v>
      </c>
      <c r="E890">
        <v>0</v>
      </c>
      <c r="F890">
        <v>0</v>
      </c>
      <c r="G890">
        <v>0</v>
      </c>
      <c r="H890">
        <v>6</v>
      </c>
      <c r="I890">
        <v>1</v>
      </c>
    </row>
    <row r="891" spans="1:9" x14ac:dyDescent="0.25">
      <c r="A891" t="s">
        <v>2457</v>
      </c>
      <c r="B891" t="s">
        <v>1797</v>
      </c>
      <c r="C891">
        <v>49</v>
      </c>
      <c r="D891">
        <v>0</v>
      </c>
      <c r="E891">
        <v>0</v>
      </c>
      <c r="F891">
        <v>0</v>
      </c>
      <c r="G891">
        <v>0</v>
      </c>
      <c r="H891">
        <v>49</v>
      </c>
      <c r="I891">
        <v>1</v>
      </c>
    </row>
    <row r="892" spans="1:9" x14ac:dyDescent="0.25">
      <c r="A892" t="s">
        <v>2455</v>
      </c>
      <c r="B892" t="s">
        <v>1198</v>
      </c>
      <c r="C892">
        <v>44</v>
      </c>
      <c r="D892">
        <v>0</v>
      </c>
      <c r="E892">
        <v>0</v>
      </c>
      <c r="F892">
        <v>0</v>
      </c>
      <c r="G892">
        <v>0</v>
      </c>
      <c r="H892">
        <v>44</v>
      </c>
      <c r="I892">
        <v>1</v>
      </c>
    </row>
    <row r="893" spans="1:9" x14ac:dyDescent="0.25">
      <c r="A893" t="s">
        <v>2490</v>
      </c>
      <c r="B893" t="s">
        <v>1404</v>
      </c>
      <c r="C893">
        <v>12</v>
      </c>
      <c r="D893">
        <v>0</v>
      </c>
      <c r="E893">
        <v>0</v>
      </c>
      <c r="F893">
        <v>0</v>
      </c>
      <c r="G893">
        <v>0</v>
      </c>
      <c r="H893">
        <v>12</v>
      </c>
      <c r="I893">
        <v>1</v>
      </c>
    </row>
    <row r="894" spans="1:9" x14ac:dyDescent="0.25">
      <c r="A894" t="s">
        <v>2522</v>
      </c>
      <c r="B894" t="s">
        <v>1569</v>
      </c>
      <c r="C894">
        <v>46</v>
      </c>
      <c r="D894">
        <v>0</v>
      </c>
      <c r="E894">
        <v>0</v>
      </c>
      <c r="F894">
        <v>0</v>
      </c>
      <c r="G894">
        <v>0</v>
      </c>
      <c r="H894">
        <v>46</v>
      </c>
      <c r="I894">
        <v>1</v>
      </c>
    </row>
    <row r="895" spans="1:9" x14ac:dyDescent="0.25">
      <c r="A895" t="s">
        <v>2429</v>
      </c>
      <c r="B895" t="s">
        <v>1798</v>
      </c>
      <c r="C895">
        <v>33</v>
      </c>
      <c r="D895">
        <v>0</v>
      </c>
      <c r="E895">
        <v>0</v>
      </c>
      <c r="F895">
        <v>0</v>
      </c>
      <c r="G895">
        <v>0</v>
      </c>
      <c r="H895">
        <v>33</v>
      </c>
      <c r="I895">
        <v>1</v>
      </c>
    </row>
    <row r="896" spans="1:9" x14ac:dyDescent="0.25">
      <c r="A896" t="s">
        <v>2375</v>
      </c>
      <c r="B896" t="s">
        <v>1453</v>
      </c>
      <c r="C896">
        <v>138</v>
      </c>
      <c r="D896">
        <v>0</v>
      </c>
      <c r="E896">
        <v>0</v>
      </c>
      <c r="F896">
        <v>0</v>
      </c>
      <c r="G896">
        <v>0</v>
      </c>
      <c r="H896">
        <v>138</v>
      </c>
      <c r="I896">
        <v>1</v>
      </c>
    </row>
    <row r="897" spans="1:9" x14ac:dyDescent="0.25">
      <c r="A897" t="s">
        <v>2363</v>
      </c>
      <c r="B897" t="s">
        <v>1086</v>
      </c>
      <c r="C897">
        <v>9</v>
      </c>
      <c r="D897">
        <v>75</v>
      </c>
      <c r="E897">
        <v>0</v>
      </c>
      <c r="F897">
        <v>0</v>
      </c>
      <c r="G897">
        <v>0</v>
      </c>
      <c r="H897">
        <v>84</v>
      </c>
      <c r="I897">
        <v>1</v>
      </c>
    </row>
    <row r="898" spans="1:9" x14ac:dyDescent="0.25">
      <c r="A898" t="s">
        <v>2448</v>
      </c>
      <c r="B898" t="s">
        <v>1204</v>
      </c>
      <c r="C898">
        <v>23</v>
      </c>
      <c r="D898">
        <v>0</v>
      </c>
      <c r="E898">
        <v>0</v>
      </c>
      <c r="F898">
        <v>0</v>
      </c>
      <c r="G898">
        <v>0</v>
      </c>
      <c r="H898">
        <v>23</v>
      </c>
      <c r="I898">
        <v>1</v>
      </c>
    </row>
    <row r="899" spans="1:9" x14ac:dyDescent="0.25">
      <c r="A899" t="s">
        <v>2526</v>
      </c>
      <c r="B899" t="s">
        <v>1574</v>
      </c>
      <c r="C899">
        <v>40</v>
      </c>
      <c r="D899">
        <v>0</v>
      </c>
      <c r="E899">
        <v>0</v>
      </c>
      <c r="F899">
        <v>0</v>
      </c>
      <c r="G899">
        <v>0</v>
      </c>
      <c r="H899">
        <v>40</v>
      </c>
      <c r="I899">
        <v>1</v>
      </c>
    </row>
    <row r="900" spans="1:9" x14ac:dyDescent="0.25">
      <c r="A900" t="s">
        <v>2439</v>
      </c>
      <c r="B900" t="s">
        <v>1405</v>
      </c>
      <c r="C900">
        <v>31</v>
      </c>
      <c r="D900">
        <v>0</v>
      </c>
      <c r="E900">
        <v>0</v>
      </c>
      <c r="F900">
        <v>0</v>
      </c>
      <c r="G900">
        <v>0</v>
      </c>
      <c r="H900">
        <v>31</v>
      </c>
      <c r="I900">
        <v>1</v>
      </c>
    </row>
    <row r="901" spans="1:9" x14ac:dyDescent="0.25">
      <c r="A901" t="s">
        <v>2374</v>
      </c>
      <c r="B901" t="s">
        <v>1799</v>
      </c>
      <c r="C901">
        <v>77</v>
      </c>
      <c r="D901">
        <v>0</v>
      </c>
      <c r="E901">
        <v>0</v>
      </c>
      <c r="F901">
        <v>0</v>
      </c>
      <c r="G901">
        <v>0</v>
      </c>
      <c r="H901">
        <v>77</v>
      </c>
      <c r="I901">
        <v>1</v>
      </c>
    </row>
    <row r="902" spans="1:9" x14ac:dyDescent="0.25">
      <c r="A902" t="s">
        <v>2444</v>
      </c>
      <c r="B902" t="s">
        <v>1576</v>
      </c>
      <c r="C902">
        <v>45</v>
      </c>
      <c r="D902">
        <v>0</v>
      </c>
      <c r="E902">
        <v>0</v>
      </c>
      <c r="F902">
        <v>0</v>
      </c>
      <c r="G902">
        <v>0</v>
      </c>
      <c r="H902">
        <v>45</v>
      </c>
      <c r="I902">
        <v>1</v>
      </c>
    </row>
    <row r="903" spans="1:9" x14ac:dyDescent="0.25">
      <c r="A903" t="s">
        <v>2361</v>
      </c>
      <c r="B903" t="s">
        <v>1208</v>
      </c>
      <c r="C903">
        <v>66</v>
      </c>
      <c r="D903">
        <v>0</v>
      </c>
      <c r="E903">
        <v>0</v>
      </c>
      <c r="F903">
        <v>0</v>
      </c>
      <c r="G903">
        <v>0</v>
      </c>
      <c r="H903">
        <v>66</v>
      </c>
      <c r="I903">
        <v>1</v>
      </c>
    </row>
    <row r="904" spans="1:9" x14ac:dyDescent="0.25">
      <c r="A904" t="s">
        <v>2513</v>
      </c>
      <c r="B904" t="s">
        <v>1209</v>
      </c>
      <c r="C904">
        <v>55</v>
      </c>
      <c r="D904">
        <v>0</v>
      </c>
      <c r="E904">
        <v>0</v>
      </c>
      <c r="F904">
        <v>0</v>
      </c>
      <c r="G904">
        <v>0</v>
      </c>
      <c r="H904">
        <v>55</v>
      </c>
      <c r="I904">
        <v>1</v>
      </c>
    </row>
    <row r="905" spans="1:9" x14ac:dyDescent="0.25">
      <c r="A905" t="s">
        <v>2356</v>
      </c>
      <c r="B905" t="s">
        <v>9783</v>
      </c>
      <c r="C905">
        <v>357</v>
      </c>
      <c r="D905">
        <v>0</v>
      </c>
      <c r="E905">
        <v>0</v>
      </c>
      <c r="F905">
        <v>21</v>
      </c>
      <c r="G905">
        <v>0</v>
      </c>
      <c r="H905">
        <v>378</v>
      </c>
      <c r="I905">
        <v>1</v>
      </c>
    </row>
    <row r="906" spans="1:9" x14ac:dyDescent="0.25">
      <c r="A906" t="s">
        <v>2403</v>
      </c>
      <c r="B906" t="s">
        <v>1210</v>
      </c>
      <c r="C906">
        <v>21</v>
      </c>
      <c r="D906">
        <v>0</v>
      </c>
      <c r="E906">
        <v>0</v>
      </c>
      <c r="F906">
        <v>0</v>
      </c>
      <c r="G906">
        <v>0</v>
      </c>
      <c r="H906">
        <v>21</v>
      </c>
      <c r="I906">
        <v>1</v>
      </c>
    </row>
    <row r="907" spans="1:9" x14ac:dyDescent="0.25">
      <c r="A907" t="s">
        <v>2523</v>
      </c>
      <c r="B907" t="s">
        <v>1579</v>
      </c>
      <c r="C907">
        <v>42</v>
      </c>
      <c r="D907">
        <v>0</v>
      </c>
      <c r="E907">
        <v>0</v>
      </c>
      <c r="F907">
        <v>0</v>
      </c>
      <c r="G907">
        <v>0</v>
      </c>
      <c r="H907">
        <v>42</v>
      </c>
      <c r="I907">
        <v>1</v>
      </c>
    </row>
    <row r="908" spans="1:9" x14ac:dyDescent="0.25">
      <c r="A908" t="s">
        <v>2496</v>
      </c>
      <c r="B908" t="s">
        <v>1409</v>
      </c>
      <c r="C908">
        <v>174</v>
      </c>
      <c r="D908">
        <v>0</v>
      </c>
      <c r="E908">
        <v>0</v>
      </c>
      <c r="F908">
        <v>0</v>
      </c>
      <c r="G908">
        <v>0</v>
      </c>
      <c r="H908">
        <v>174</v>
      </c>
      <c r="I908">
        <v>2</v>
      </c>
    </row>
    <row r="909" spans="1:9" x14ac:dyDescent="0.25">
      <c r="A909" t="s">
        <v>2400</v>
      </c>
      <c r="B909" t="s">
        <v>10582</v>
      </c>
      <c r="C909">
        <v>39</v>
      </c>
      <c r="D909">
        <v>0</v>
      </c>
      <c r="E909">
        <v>0</v>
      </c>
      <c r="F909">
        <v>0</v>
      </c>
      <c r="G909">
        <v>0</v>
      </c>
      <c r="H909">
        <v>39</v>
      </c>
      <c r="I909">
        <v>1</v>
      </c>
    </row>
    <row r="910" spans="1:9" x14ac:dyDescent="0.25">
      <c r="A910" t="s">
        <v>2453</v>
      </c>
      <c r="B910" t="s">
        <v>1803</v>
      </c>
      <c r="C910">
        <v>34</v>
      </c>
      <c r="D910">
        <v>0</v>
      </c>
      <c r="E910">
        <v>0</v>
      </c>
      <c r="F910">
        <v>0</v>
      </c>
      <c r="G910">
        <v>0</v>
      </c>
      <c r="H910">
        <v>34</v>
      </c>
      <c r="I910">
        <v>1</v>
      </c>
    </row>
    <row r="911" spans="1:9" x14ac:dyDescent="0.25">
      <c r="A911" t="s">
        <v>2428</v>
      </c>
      <c r="B911" t="s">
        <v>1214</v>
      </c>
      <c r="C911">
        <v>24</v>
      </c>
      <c r="D911">
        <v>26</v>
      </c>
      <c r="E911">
        <v>0</v>
      </c>
      <c r="F911">
        <v>0</v>
      </c>
      <c r="G911">
        <v>0</v>
      </c>
      <c r="H911">
        <v>50</v>
      </c>
      <c r="I911">
        <v>1</v>
      </c>
    </row>
    <row r="912" spans="1:9" x14ac:dyDescent="0.25">
      <c r="A912" t="s">
        <v>10589</v>
      </c>
      <c r="B912" t="s">
        <v>10590</v>
      </c>
      <c r="C912">
        <v>0</v>
      </c>
      <c r="D912">
        <v>0</v>
      </c>
      <c r="E912">
        <v>0</v>
      </c>
      <c r="F912">
        <v>0</v>
      </c>
      <c r="G912">
        <v>0</v>
      </c>
      <c r="H912">
        <v>0</v>
      </c>
      <c r="I912">
        <v>0</v>
      </c>
    </row>
    <row r="913" spans="1:9" x14ac:dyDescent="0.25">
      <c r="A913" t="s">
        <v>2479</v>
      </c>
      <c r="B913" t="s">
        <v>1215</v>
      </c>
      <c r="C913">
        <v>39</v>
      </c>
      <c r="D913">
        <v>0</v>
      </c>
      <c r="E913">
        <v>0</v>
      </c>
      <c r="F913">
        <v>0</v>
      </c>
      <c r="G913">
        <v>0</v>
      </c>
      <c r="H913">
        <v>39</v>
      </c>
      <c r="I913">
        <v>1</v>
      </c>
    </row>
    <row r="914" spans="1:9" x14ac:dyDescent="0.25">
      <c r="A914" t="s">
        <v>2382</v>
      </c>
      <c r="B914" t="s">
        <v>1216</v>
      </c>
      <c r="C914">
        <v>86</v>
      </c>
      <c r="D914">
        <v>0</v>
      </c>
      <c r="E914">
        <v>0</v>
      </c>
      <c r="F914">
        <v>0</v>
      </c>
      <c r="G914">
        <v>0</v>
      </c>
      <c r="H914">
        <v>86</v>
      </c>
      <c r="I914">
        <v>1</v>
      </c>
    </row>
    <row r="915" spans="1:9" x14ac:dyDescent="0.25">
      <c r="A915" t="s">
        <v>2489</v>
      </c>
      <c r="B915" t="s">
        <v>1462</v>
      </c>
      <c r="C915">
        <v>15</v>
      </c>
      <c r="D915">
        <v>0</v>
      </c>
      <c r="E915">
        <v>0</v>
      </c>
      <c r="F915">
        <v>0</v>
      </c>
      <c r="G915">
        <v>0</v>
      </c>
      <c r="H915">
        <v>15</v>
      </c>
      <c r="I915">
        <v>1</v>
      </c>
    </row>
    <row r="916" spans="1:9" x14ac:dyDescent="0.25">
      <c r="A916" t="s">
        <v>2120</v>
      </c>
      <c r="B916" t="s">
        <v>1875</v>
      </c>
      <c r="C916">
        <v>6</v>
      </c>
      <c r="D916">
        <v>0</v>
      </c>
      <c r="E916">
        <v>0</v>
      </c>
      <c r="F916">
        <v>0</v>
      </c>
      <c r="G916">
        <v>0</v>
      </c>
      <c r="H916">
        <v>6</v>
      </c>
      <c r="I916">
        <v>1</v>
      </c>
    </row>
    <row r="917" spans="1:9" x14ac:dyDescent="0.25">
      <c r="A917" t="s">
        <v>2358</v>
      </c>
      <c r="B917" t="s">
        <v>1464</v>
      </c>
      <c r="C917">
        <v>119</v>
      </c>
      <c r="D917">
        <v>0</v>
      </c>
      <c r="E917">
        <v>0</v>
      </c>
      <c r="F917">
        <v>0</v>
      </c>
      <c r="G917">
        <v>0</v>
      </c>
      <c r="H917">
        <v>119</v>
      </c>
      <c r="I917">
        <v>1</v>
      </c>
    </row>
    <row r="918" spans="1:9" x14ac:dyDescent="0.25">
      <c r="A918" t="s">
        <v>2505</v>
      </c>
      <c r="B918" t="s">
        <v>1466</v>
      </c>
      <c r="C918">
        <v>18</v>
      </c>
      <c r="D918">
        <v>0</v>
      </c>
      <c r="E918">
        <v>0</v>
      </c>
      <c r="F918">
        <v>0</v>
      </c>
      <c r="G918">
        <v>0</v>
      </c>
      <c r="H918">
        <v>18</v>
      </c>
      <c r="I918">
        <v>1</v>
      </c>
    </row>
    <row r="919" spans="1:9" x14ac:dyDescent="0.25">
      <c r="A919" t="s">
        <v>2472</v>
      </c>
      <c r="B919" t="s">
        <v>1468</v>
      </c>
      <c r="C919">
        <v>19</v>
      </c>
      <c r="D919">
        <v>0</v>
      </c>
      <c r="E919">
        <v>0</v>
      </c>
      <c r="F919">
        <v>0</v>
      </c>
      <c r="G919">
        <v>0</v>
      </c>
      <c r="H919">
        <v>19</v>
      </c>
      <c r="I919">
        <v>1</v>
      </c>
    </row>
    <row r="920" spans="1:9" x14ac:dyDescent="0.25">
      <c r="A920" t="s">
        <v>2458</v>
      </c>
      <c r="B920" t="s">
        <v>1222</v>
      </c>
      <c r="C920">
        <v>12</v>
      </c>
      <c r="D920">
        <v>0</v>
      </c>
      <c r="E920">
        <v>0</v>
      </c>
      <c r="F920">
        <v>0</v>
      </c>
      <c r="G920">
        <v>0</v>
      </c>
      <c r="H920">
        <v>12</v>
      </c>
      <c r="I920">
        <v>1</v>
      </c>
    </row>
    <row r="921" spans="1:9" x14ac:dyDescent="0.25">
      <c r="A921" t="s">
        <v>2415</v>
      </c>
      <c r="B921" t="s">
        <v>1225</v>
      </c>
      <c r="C921">
        <v>24</v>
      </c>
      <c r="D921">
        <v>0</v>
      </c>
      <c r="E921">
        <v>0</v>
      </c>
      <c r="F921">
        <v>0</v>
      </c>
      <c r="G921">
        <v>0</v>
      </c>
      <c r="H921">
        <v>24</v>
      </c>
      <c r="I921">
        <v>1</v>
      </c>
    </row>
    <row r="922" spans="1:9" x14ac:dyDescent="0.25">
      <c r="A922" t="s">
        <v>2498</v>
      </c>
      <c r="B922" t="s">
        <v>11692</v>
      </c>
      <c r="C922">
        <v>20</v>
      </c>
      <c r="D922">
        <v>0</v>
      </c>
      <c r="E922">
        <v>0</v>
      </c>
      <c r="F922">
        <v>0</v>
      </c>
      <c r="G922">
        <v>0</v>
      </c>
      <c r="H922">
        <v>20</v>
      </c>
      <c r="I922">
        <v>1</v>
      </c>
    </row>
    <row r="923" spans="1:9" x14ac:dyDescent="0.25">
      <c r="A923" t="s">
        <v>2376</v>
      </c>
      <c r="B923" t="s">
        <v>1472</v>
      </c>
      <c r="C923">
        <v>1</v>
      </c>
      <c r="D923">
        <v>15</v>
      </c>
      <c r="E923">
        <v>0</v>
      </c>
      <c r="F923">
        <v>0</v>
      </c>
      <c r="G923">
        <v>0</v>
      </c>
      <c r="H923">
        <v>16</v>
      </c>
      <c r="I923">
        <v>1</v>
      </c>
    </row>
    <row r="924" spans="1:9" x14ac:dyDescent="0.25">
      <c r="A924" t="s">
        <v>2369</v>
      </c>
      <c r="B924" t="s">
        <v>11693</v>
      </c>
      <c r="C924">
        <v>75</v>
      </c>
      <c r="D924">
        <v>0</v>
      </c>
      <c r="E924">
        <v>0</v>
      </c>
      <c r="F924">
        <v>0</v>
      </c>
      <c r="G924">
        <v>0</v>
      </c>
      <c r="H924">
        <v>75</v>
      </c>
      <c r="I924">
        <v>1</v>
      </c>
    </row>
    <row r="925" spans="1:9" x14ac:dyDescent="0.25">
      <c r="A925" t="s">
        <v>2399</v>
      </c>
      <c r="B925" t="s">
        <v>990</v>
      </c>
      <c r="C925">
        <v>125</v>
      </c>
      <c r="D925">
        <v>0</v>
      </c>
      <c r="E925">
        <v>0</v>
      </c>
      <c r="F925">
        <v>14</v>
      </c>
      <c r="G925">
        <v>0</v>
      </c>
      <c r="H925">
        <v>139</v>
      </c>
      <c r="I925">
        <v>1</v>
      </c>
    </row>
    <row r="926" spans="1:9" x14ac:dyDescent="0.25">
      <c r="A926" t="s">
        <v>2420</v>
      </c>
      <c r="B926" t="s">
        <v>1226</v>
      </c>
      <c r="C926">
        <v>90</v>
      </c>
      <c r="D926">
        <v>0</v>
      </c>
      <c r="E926">
        <v>0</v>
      </c>
      <c r="F926">
        <v>0</v>
      </c>
      <c r="G926">
        <v>0</v>
      </c>
      <c r="H926">
        <v>90</v>
      </c>
      <c r="I926">
        <v>1</v>
      </c>
    </row>
    <row r="927" spans="1:9" x14ac:dyDescent="0.25">
      <c r="A927" t="s">
        <v>2442</v>
      </c>
      <c r="B927" t="s">
        <v>1228</v>
      </c>
      <c r="C927">
        <v>23</v>
      </c>
      <c r="D927">
        <v>0</v>
      </c>
      <c r="E927">
        <v>0</v>
      </c>
      <c r="F927">
        <v>0</v>
      </c>
      <c r="G927">
        <v>0</v>
      </c>
      <c r="H927">
        <v>23</v>
      </c>
      <c r="I927">
        <v>1</v>
      </c>
    </row>
    <row r="928" spans="1:9" x14ac:dyDescent="0.25">
      <c r="A928" t="s">
        <v>2392</v>
      </c>
      <c r="B928" t="s">
        <v>1230</v>
      </c>
      <c r="C928">
        <v>53</v>
      </c>
      <c r="D928">
        <v>0</v>
      </c>
      <c r="E928">
        <v>0</v>
      </c>
      <c r="F928">
        <v>0</v>
      </c>
      <c r="G928">
        <v>0</v>
      </c>
      <c r="H928">
        <v>53</v>
      </c>
      <c r="I928">
        <v>1</v>
      </c>
    </row>
    <row r="929" spans="1:9" x14ac:dyDescent="0.25">
      <c r="A929" t="s">
        <v>2506</v>
      </c>
      <c r="B929" t="s">
        <v>1232</v>
      </c>
      <c r="C929">
        <v>6</v>
      </c>
      <c r="D929">
        <v>0</v>
      </c>
      <c r="E929">
        <v>0</v>
      </c>
      <c r="F929">
        <v>0</v>
      </c>
      <c r="G929">
        <v>0</v>
      </c>
      <c r="H929">
        <v>6</v>
      </c>
      <c r="I929">
        <v>1</v>
      </c>
    </row>
    <row r="930" spans="1:9" x14ac:dyDescent="0.25">
      <c r="A930" t="s">
        <v>2518</v>
      </c>
      <c r="B930" t="s">
        <v>1594</v>
      </c>
      <c r="C930">
        <v>29</v>
      </c>
      <c r="D930">
        <v>0</v>
      </c>
      <c r="E930">
        <v>0</v>
      </c>
      <c r="F930">
        <v>0</v>
      </c>
      <c r="G930">
        <v>0</v>
      </c>
      <c r="H930">
        <v>29</v>
      </c>
      <c r="I930">
        <v>1</v>
      </c>
    </row>
    <row r="931" spans="1:9" x14ac:dyDescent="0.25">
      <c r="A931" t="s">
        <v>2485</v>
      </c>
      <c r="B931" t="s">
        <v>1233</v>
      </c>
      <c r="C931">
        <v>19</v>
      </c>
      <c r="D931">
        <v>0</v>
      </c>
      <c r="E931">
        <v>0</v>
      </c>
      <c r="F931">
        <v>0</v>
      </c>
      <c r="G931">
        <v>0</v>
      </c>
      <c r="H931">
        <v>19</v>
      </c>
      <c r="I931">
        <v>1</v>
      </c>
    </row>
    <row r="932" spans="1:9" x14ac:dyDescent="0.25">
      <c r="A932" t="s">
        <v>11744</v>
      </c>
      <c r="B932" t="s">
        <v>11675</v>
      </c>
      <c r="C932">
        <v>51</v>
      </c>
      <c r="D932">
        <v>80</v>
      </c>
      <c r="E932">
        <v>0</v>
      </c>
      <c r="F932">
        <v>0</v>
      </c>
      <c r="G932">
        <v>0</v>
      </c>
      <c r="H932">
        <v>131</v>
      </c>
      <c r="I932">
        <v>1</v>
      </c>
    </row>
    <row r="933" spans="1:9" x14ac:dyDescent="0.25">
      <c r="A933" t="s">
        <v>2432</v>
      </c>
      <c r="B933" t="s">
        <v>1477</v>
      </c>
      <c r="C933">
        <v>32</v>
      </c>
      <c r="D933">
        <v>0</v>
      </c>
      <c r="E933">
        <v>0</v>
      </c>
      <c r="F933">
        <v>0</v>
      </c>
      <c r="G933">
        <v>0</v>
      </c>
      <c r="H933">
        <v>32</v>
      </c>
      <c r="I933">
        <v>1</v>
      </c>
    </row>
    <row r="934" spans="1:9" x14ac:dyDescent="0.25">
      <c r="A934" t="s">
        <v>2419</v>
      </c>
      <c r="B934" t="s">
        <v>1238</v>
      </c>
      <c r="C934">
        <v>56</v>
      </c>
      <c r="D934">
        <v>0</v>
      </c>
      <c r="E934">
        <v>0</v>
      </c>
      <c r="F934">
        <v>0</v>
      </c>
      <c r="G934">
        <v>0</v>
      </c>
      <c r="H934">
        <v>56</v>
      </c>
      <c r="I934">
        <v>1</v>
      </c>
    </row>
    <row r="935" spans="1:9" x14ac:dyDescent="0.25">
      <c r="A935" t="s">
        <v>2423</v>
      </c>
      <c r="B935" t="s">
        <v>1599</v>
      </c>
      <c r="C935">
        <v>21</v>
      </c>
      <c r="D935">
        <v>0</v>
      </c>
      <c r="E935">
        <v>0</v>
      </c>
      <c r="F935">
        <v>0</v>
      </c>
      <c r="G935">
        <v>0</v>
      </c>
      <c r="H935">
        <v>21</v>
      </c>
      <c r="I935">
        <v>1</v>
      </c>
    </row>
    <row r="936" spans="1:9" x14ac:dyDescent="0.25">
      <c r="A936" t="s">
        <v>2411</v>
      </c>
      <c r="B936" t="s">
        <v>1242</v>
      </c>
      <c r="C936">
        <v>62</v>
      </c>
      <c r="D936">
        <v>0</v>
      </c>
      <c r="E936">
        <v>0</v>
      </c>
      <c r="F936">
        <v>0</v>
      </c>
      <c r="G936">
        <v>0</v>
      </c>
      <c r="H936">
        <v>62</v>
      </c>
      <c r="I936">
        <v>1</v>
      </c>
    </row>
    <row r="937" spans="1:9" x14ac:dyDescent="0.25">
      <c r="A937" t="s">
        <v>10796</v>
      </c>
      <c r="B937" t="s">
        <v>10797</v>
      </c>
      <c r="C937">
        <v>0</v>
      </c>
      <c r="D937">
        <v>0</v>
      </c>
      <c r="E937">
        <v>0</v>
      </c>
      <c r="F937">
        <v>0</v>
      </c>
      <c r="G937">
        <v>0</v>
      </c>
      <c r="H937">
        <v>0</v>
      </c>
      <c r="I937">
        <v>0</v>
      </c>
    </row>
    <row r="938" spans="1:9" x14ac:dyDescent="0.25">
      <c r="A938" t="s">
        <v>2353</v>
      </c>
      <c r="B938" t="s">
        <v>1244</v>
      </c>
      <c r="C938">
        <v>115</v>
      </c>
      <c r="D938">
        <v>43</v>
      </c>
      <c r="E938">
        <v>0</v>
      </c>
      <c r="F938">
        <v>0</v>
      </c>
      <c r="G938">
        <v>0</v>
      </c>
      <c r="H938">
        <v>158</v>
      </c>
      <c r="I938">
        <v>1</v>
      </c>
    </row>
    <row r="939" spans="1:9" x14ac:dyDescent="0.25">
      <c r="A939" t="s">
        <v>2396</v>
      </c>
      <c r="B939" t="s">
        <v>1417</v>
      </c>
      <c r="C939">
        <v>29</v>
      </c>
      <c r="D939">
        <v>0</v>
      </c>
      <c r="E939">
        <v>0</v>
      </c>
      <c r="F939">
        <v>0</v>
      </c>
      <c r="G939">
        <v>0</v>
      </c>
      <c r="H939">
        <v>29</v>
      </c>
      <c r="I939">
        <v>1</v>
      </c>
    </row>
    <row r="940" spans="1:9" x14ac:dyDescent="0.25">
      <c r="A940" t="s">
        <v>10625</v>
      </c>
      <c r="B940" t="s">
        <v>10626</v>
      </c>
      <c r="C940">
        <v>35</v>
      </c>
      <c r="D940">
        <v>0</v>
      </c>
      <c r="E940">
        <v>0</v>
      </c>
      <c r="F940">
        <v>0</v>
      </c>
      <c r="G940">
        <v>0</v>
      </c>
      <c r="H940">
        <v>35</v>
      </c>
      <c r="I940">
        <v>1</v>
      </c>
    </row>
    <row r="941" spans="1:9" x14ac:dyDescent="0.25">
      <c r="A941" t="s">
        <v>2511</v>
      </c>
      <c r="B941" t="s">
        <v>1607</v>
      </c>
      <c r="C941">
        <v>59</v>
      </c>
      <c r="D941">
        <v>0</v>
      </c>
      <c r="E941">
        <v>0</v>
      </c>
      <c r="F941">
        <v>0</v>
      </c>
      <c r="G941">
        <v>0</v>
      </c>
      <c r="H941">
        <v>59</v>
      </c>
      <c r="I941">
        <v>1</v>
      </c>
    </row>
    <row r="942" spans="1:9" x14ac:dyDescent="0.25">
      <c r="A942" t="s">
        <v>2508</v>
      </c>
      <c r="B942" t="s">
        <v>1116</v>
      </c>
      <c r="C942">
        <v>20</v>
      </c>
      <c r="D942">
        <v>0</v>
      </c>
      <c r="E942">
        <v>0</v>
      </c>
      <c r="F942">
        <v>0</v>
      </c>
      <c r="G942">
        <v>0</v>
      </c>
      <c r="H942">
        <v>20</v>
      </c>
      <c r="I942">
        <v>1</v>
      </c>
    </row>
    <row r="943" spans="1:9" x14ac:dyDescent="0.25">
      <c r="A943" t="s">
        <v>2527</v>
      </c>
      <c r="B943" t="s">
        <v>1608</v>
      </c>
      <c r="C943">
        <v>35</v>
      </c>
      <c r="D943">
        <v>0</v>
      </c>
      <c r="E943">
        <v>0</v>
      </c>
      <c r="F943">
        <v>0</v>
      </c>
      <c r="G943">
        <v>0</v>
      </c>
      <c r="H943">
        <v>35</v>
      </c>
      <c r="I943">
        <v>1</v>
      </c>
    </row>
    <row r="944" spans="1:9" x14ac:dyDescent="0.25">
      <c r="A944" t="s">
        <v>2433</v>
      </c>
      <c r="B944" t="s">
        <v>1486</v>
      </c>
      <c r="C944">
        <v>30</v>
      </c>
      <c r="D944">
        <v>0</v>
      </c>
      <c r="E944">
        <v>0</v>
      </c>
      <c r="F944">
        <v>0</v>
      </c>
      <c r="G944">
        <v>0</v>
      </c>
      <c r="H944">
        <v>30</v>
      </c>
      <c r="I944">
        <v>1</v>
      </c>
    </row>
    <row r="945" spans="1:9" x14ac:dyDescent="0.25">
      <c r="A945" t="s">
        <v>2390</v>
      </c>
      <c r="B945" t="s">
        <v>1251</v>
      </c>
      <c r="C945">
        <v>79</v>
      </c>
      <c r="D945">
        <v>0</v>
      </c>
      <c r="E945">
        <v>0</v>
      </c>
      <c r="F945">
        <v>0</v>
      </c>
      <c r="G945">
        <v>0</v>
      </c>
      <c r="H945">
        <v>79</v>
      </c>
      <c r="I945">
        <v>1</v>
      </c>
    </row>
    <row r="946" spans="1:9" x14ac:dyDescent="0.25">
      <c r="A946" t="s">
        <v>2389</v>
      </c>
      <c r="B946" t="s">
        <v>1253</v>
      </c>
      <c r="C946">
        <v>75</v>
      </c>
      <c r="D946">
        <v>0</v>
      </c>
      <c r="E946">
        <v>0</v>
      </c>
      <c r="F946">
        <v>0</v>
      </c>
      <c r="G946">
        <v>0</v>
      </c>
      <c r="H946">
        <v>75</v>
      </c>
      <c r="I946">
        <v>1</v>
      </c>
    </row>
    <row r="947" spans="1:9" x14ac:dyDescent="0.25">
      <c r="A947" t="s">
        <v>2394</v>
      </c>
      <c r="B947" t="s">
        <v>1255</v>
      </c>
      <c r="C947">
        <v>86</v>
      </c>
      <c r="D947">
        <v>0</v>
      </c>
      <c r="E947">
        <v>0</v>
      </c>
      <c r="F947">
        <v>0</v>
      </c>
      <c r="G947">
        <v>0</v>
      </c>
      <c r="H947">
        <v>86</v>
      </c>
      <c r="I947">
        <v>1</v>
      </c>
    </row>
    <row r="948" spans="1:9" x14ac:dyDescent="0.25">
      <c r="A948" t="s">
        <v>2492</v>
      </c>
      <c r="B948" t="s">
        <v>1488</v>
      </c>
      <c r="C948">
        <v>40</v>
      </c>
      <c r="D948">
        <v>0</v>
      </c>
      <c r="E948">
        <v>0</v>
      </c>
      <c r="F948">
        <v>0</v>
      </c>
      <c r="G948">
        <v>0</v>
      </c>
      <c r="H948">
        <v>40</v>
      </c>
      <c r="I948">
        <v>1</v>
      </c>
    </row>
    <row r="949" spans="1:9" x14ac:dyDescent="0.25">
      <c r="A949" t="s">
        <v>2364</v>
      </c>
      <c r="B949" t="s">
        <v>9805</v>
      </c>
      <c r="C949">
        <v>19</v>
      </c>
      <c r="D949">
        <v>0</v>
      </c>
      <c r="E949">
        <v>0</v>
      </c>
      <c r="F949">
        <v>0</v>
      </c>
      <c r="G949">
        <v>0</v>
      </c>
      <c r="H949">
        <v>19</v>
      </c>
      <c r="I949">
        <v>1</v>
      </c>
    </row>
    <row r="950" spans="1:9" x14ac:dyDescent="0.25">
      <c r="A950" t="s">
        <v>2509</v>
      </c>
      <c r="B950" t="s">
        <v>1260</v>
      </c>
      <c r="C950">
        <v>76</v>
      </c>
      <c r="D950">
        <v>0</v>
      </c>
      <c r="E950">
        <v>0</v>
      </c>
      <c r="F950">
        <v>0</v>
      </c>
      <c r="G950">
        <v>0</v>
      </c>
      <c r="H950">
        <v>76</v>
      </c>
      <c r="I950">
        <v>1</v>
      </c>
    </row>
    <row r="951" spans="1:9" x14ac:dyDescent="0.25">
      <c r="A951" t="s">
        <v>2366</v>
      </c>
      <c r="B951" t="s">
        <v>1261</v>
      </c>
      <c r="C951">
        <v>58</v>
      </c>
      <c r="D951">
        <v>0</v>
      </c>
      <c r="E951">
        <v>0</v>
      </c>
      <c r="F951">
        <v>0</v>
      </c>
      <c r="G951">
        <v>0</v>
      </c>
      <c r="H951">
        <v>58</v>
      </c>
      <c r="I951">
        <v>1</v>
      </c>
    </row>
    <row r="952" spans="1:9" x14ac:dyDescent="0.25">
      <c r="A952" t="s">
        <v>2407</v>
      </c>
      <c r="B952" t="s">
        <v>1490</v>
      </c>
      <c r="C952">
        <v>42</v>
      </c>
      <c r="D952">
        <v>0</v>
      </c>
      <c r="E952">
        <v>0</v>
      </c>
      <c r="F952">
        <v>0</v>
      </c>
      <c r="G952">
        <v>0</v>
      </c>
      <c r="H952">
        <v>42</v>
      </c>
      <c r="I952">
        <v>1</v>
      </c>
    </row>
    <row r="953" spans="1:9" x14ac:dyDescent="0.25">
      <c r="A953" t="s">
        <v>2454</v>
      </c>
      <c r="B953" t="s">
        <v>1420</v>
      </c>
      <c r="C953">
        <v>26</v>
      </c>
      <c r="D953">
        <v>0</v>
      </c>
      <c r="E953">
        <v>0</v>
      </c>
      <c r="F953">
        <v>0</v>
      </c>
      <c r="G953">
        <v>0</v>
      </c>
      <c r="H953">
        <v>26</v>
      </c>
      <c r="I953">
        <v>1</v>
      </c>
    </row>
    <row r="954" spans="1:9" x14ac:dyDescent="0.25">
      <c r="A954" t="s">
        <v>2362</v>
      </c>
      <c r="B954" t="s">
        <v>1825</v>
      </c>
      <c r="C954">
        <v>58</v>
      </c>
      <c r="D954">
        <v>0</v>
      </c>
      <c r="E954">
        <v>0</v>
      </c>
      <c r="F954">
        <v>0</v>
      </c>
      <c r="G954">
        <v>0</v>
      </c>
      <c r="H954">
        <v>58</v>
      </c>
      <c r="I954">
        <v>1</v>
      </c>
    </row>
    <row r="955" spans="1:9" x14ac:dyDescent="0.25">
      <c r="A955" t="s">
        <v>2438</v>
      </c>
      <c r="B955" t="s">
        <v>1491</v>
      </c>
      <c r="C955">
        <v>34</v>
      </c>
      <c r="D955">
        <v>0</v>
      </c>
      <c r="E955">
        <v>0</v>
      </c>
      <c r="F955">
        <v>0</v>
      </c>
      <c r="G955">
        <v>0</v>
      </c>
      <c r="H955">
        <v>34</v>
      </c>
      <c r="I955">
        <v>1</v>
      </c>
    </row>
    <row r="956" spans="1:9" x14ac:dyDescent="0.25">
      <c r="A956" t="s">
        <v>2372</v>
      </c>
      <c r="B956" t="s">
        <v>11695</v>
      </c>
      <c r="C956">
        <v>117</v>
      </c>
      <c r="D956">
        <v>0</v>
      </c>
      <c r="E956">
        <v>0</v>
      </c>
      <c r="F956">
        <v>0</v>
      </c>
      <c r="G956">
        <v>0</v>
      </c>
      <c r="H956">
        <v>117</v>
      </c>
      <c r="I956">
        <v>1</v>
      </c>
    </row>
    <row r="957" spans="1:9" x14ac:dyDescent="0.25">
      <c r="A957" t="s">
        <v>2507</v>
      </c>
      <c r="B957" t="s">
        <v>1492</v>
      </c>
      <c r="C957">
        <v>75</v>
      </c>
      <c r="D957">
        <v>0</v>
      </c>
      <c r="E957">
        <v>0</v>
      </c>
      <c r="F957">
        <v>0</v>
      </c>
      <c r="G957">
        <v>0</v>
      </c>
      <c r="H957">
        <v>75</v>
      </c>
      <c r="I957">
        <v>1</v>
      </c>
    </row>
    <row r="958" spans="1:9" x14ac:dyDescent="0.25">
      <c r="A958" t="s">
        <v>2417</v>
      </c>
      <c r="B958" t="s">
        <v>14384</v>
      </c>
      <c r="C958">
        <v>15</v>
      </c>
      <c r="D958">
        <v>0</v>
      </c>
      <c r="E958">
        <v>0</v>
      </c>
      <c r="F958">
        <v>0</v>
      </c>
      <c r="G958">
        <v>0</v>
      </c>
      <c r="H958">
        <v>15</v>
      </c>
      <c r="I958">
        <v>1</v>
      </c>
    </row>
    <row r="959" spans="1:9" x14ac:dyDescent="0.25">
      <c r="A959" t="s">
        <v>11752</v>
      </c>
      <c r="B959" t="s">
        <v>11726</v>
      </c>
      <c r="C959">
        <v>18</v>
      </c>
      <c r="D959">
        <v>0</v>
      </c>
      <c r="E959">
        <v>0</v>
      </c>
      <c r="F959">
        <v>0</v>
      </c>
      <c r="G959">
        <v>0</v>
      </c>
      <c r="H959">
        <v>18</v>
      </c>
      <c r="I959">
        <v>1</v>
      </c>
    </row>
    <row r="960" spans="1:9" x14ac:dyDescent="0.25">
      <c r="A960" t="s">
        <v>2464</v>
      </c>
      <c r="B960" t="s">
        <v>10657</v>
      </c>
      <c r="C960">
        <v>0</v>
      </c>
      <c r="D960">
        <v>0</v>
      </c>
      <c r="E960">
        <v>65</v>
      </c>
      <c r="F960">
        <v>0</v>
      </c>
      <c r="G960">
        <v>0</v>
      </c>
      <c r="H960">
        <v>65</v>
      </c>
      <c r="I960">
        <v>1</v>
      </c>
    </row>
    <row r="961" spans="1:9" x14ac:dyDescent="0.25">
      <c r="A961" t="s">
        <v>2497</v>
      </c>
      <c r="B961" t="s">
        <v>1277</v>
      </c>
      <c r="C961">
        <v>54</v>
      </c>
      <c r="D961">
        <v>0</v>
      </c>
      <c r="E961">
        <v>0</v>
      </c>
      <c r="F961">
        <v>0</v>
      </c>
      <c r="G961">
        <v>0</v>
      </c>
      <c r="H961">
        <v>54</v>
      </c>
      <c r="I961">
        <v>1</v>
      </c>
    </row>
    <row r="962" spans="1:9" x14ac:dyDescent="0.25">
      <c r="A962" t="s">
        <v>14511</v>
      </c>
      <c r="B962" t="s">
        <v>14387</v>
      </c>
      <c r="C962">
        <v>37</v>
      </c>
      <c r="D962">
        <v>0</v>
      </c>
      <c r="E962">
        <v>0</v>
      </c>
      <c r="F962">
        <v>0</v>
      </c>
      <c r="G962">
        <v>0</v>
      </c>
      <c r="H962">
        <v>37</v>
      </c>
      <c r="I962">
        <v>1</v>
      </c>
    </row>
    <row r="963" spans="1:9" x14ac:dyDescent="0.25">
      <c r="A963" t="s">
        <v>2445</v>
      </c>
      <c r="B963" t="s">
        <v>1285</v>
      </c>
      <c r="C963">
        <v>28</v>
      </c>
      <c r="D963">
        <v>10</v>
      </c>
      <c r="E963">
        <v>0</v>
      </c>
      <c r="F963">
        <v>0</v>
      </c>
      <c r="G963">
        <v>0</v>
      </c>
      <c r="H963">
        <v>38</v>
      </c>
      <c r="I963">
        <v>1</v>
      </c>
    </row>
    <row r="964" spans="1:9" x14ac:dyDescent="0.25">
      <c r="A964" t="s">
        <v>2469</v>
      </c>
      <c r="B964" t="s">
        <v>1501</v>
      </c>
      <c r="C964">
        <v>24</v>
      </c>
      <c r="D964">
        <v>0</v>
      </c>
      <c r="E964">
        <v>0</v>
      </c>
      <c r="F964">
        <v>0</v>
      </c>
      <c r="G964">
        <v>0</v>
      </c>
      <c r="H964">
        <v>24</v>
      </c>
      <c r="I964">
        <v>1</v>
      </c>
    </row>
    <row r="965" spans="1:9" x14ac:dyDescent="0.25">
      <c r="A965" t="s">
        <v>2355</v>
      </c>
      <c r="B965" t="s">
        <v>1286</v>
      </c>
      <c r="C965">
        <v>158</v>
      </c>
      <c r="D965">
        <v>0</v>
      </c>
      <c r="E965">
        <v>0</v>
      </c>
      <c r="F965">
        <v>0</v>
      </c>
      <c r="G965">
        <v>0</v>
      </c>
      <c r="H965">
        <v>158</v>
      </c>
      <c r="I965">
        <v>1</v>
      </c>
    </row>
    <row r="966" spans="1:9" x14ac:dyDescent="0.25">
      <c r="A966" t="s">
        <v>11753</v>
      </c>
      <c r="B966" t="s">
        <v>11679</v>
      </c>
      <c r="C966">
        <v>15</v>
      </c>
      <c r="D966">
        <v>0</v>
      </c>
      <c r="E966">
        <v>0</v>
      </c>
      <c r="F966">
        <v>0</v>
      </c>
      <c r="G966">
        <v>0</v>
      </c>
      <c r="H966">
        <v>15</v>
      </c>
      <c r="I966">
        <v>1</v>
      </c>
    </row>
    <row r="967" spans="1:9" x14ac:dyDescent="0.25">
      <c r="A967" t="s">
        <v>2502</v>
      </c>
      <c r="B967" t="s">
        <v>1502</v>
      </c>
      <c r="C967">
        <v>48</v>
      </c>
      <c r="D967">
        <v>0</v>
      </c>
      <c r="E967">
        <v>0</v>
      </c>
      <c r="F967">
        <v>0</v>
      </c>
      <c r="G967">
        <v>0</v>
      </c>
      <c r="H967">
        <v>48</v>
      </c>
      <c r="I967">
        <v>1</v>
      </c>
    </row>
    <row r="968" spans="1:9" x14ac:dyDescent="0.25">
      <c r="A968" t="s">
        <v>2368</v>
      </c>
      <c r="B968" t="s">
        <v>1503</v>
      </c>
      <c r="C968">
        <v>128</v>
      </c>
      <c r="D968">
        <v>0</v>
      </c>
      <c r="E968">
        <v>0</v>
      </c>
      <c r="F968">
        <v>0</v>
      </c>
      <c r="G968">
        <v>0</v>
      </c>
      <c r="H968">
        <v>128</v>
      </c>
      <c r="I968">
        <v>1</v>
      </c>
    </row>
    <row r="969" spans="1:9" x14ac:dyDescent="0.25">
      <c r="A969" t="s">
        <v>2431</v>
      </c>
      <c r="B969" t="s">
        <v>9821</v>
      </c>
      <c r="C969">
        <v>40</v>
      </c>
      <c r="D969">
        <v>0</v>
      </c>
      <c r="E969">
        <v>0</v>
      </c>
      <c r="F969">
        <v>0</v>
      </c>
      <c r="G969">
        <v>0</v>
      </c>
      <c r="H969">
        <v>40</v>
      </c>
      <c r="I969">
        <v>1</v>
      </c>
    </row>
    <row r="970" spans="1:9" x14ac:dyDescent="0.25">
      <c r="A970" t="s">
        <v>2482</v>
      </c>
      <c r="B970" t="s">
        <v>1291</v>
      </c>
      <c r="C970">
        <v>12</v>
      </c>
      <c r="D970">
        <v>0</v>
      </c>
      <c r="E970">
        <v>0</v>
      </c>
      <c r="F970">
        <v>0</v>
      </c>
      <c r="G970">
        <v>0</v>
      </c>
      <c r="H970">
        <v>12</v>
      </c>
      <c r="I970">
        <v>1</v>
      </c>
    </row>
    <row r="971" spans="1:9" x14ac:dyDescent="0.25">
      <c r="A971" t="s">
        <v>10676</v>
      </c>
      <c r="B971" t="s">
        <v>10677</v>
      </c>
      <c r="C971">
        <v>0</v>
      </c>
      <c r="D971">
        <v>0</v>
      </c>
      <c r="E971">
        <v>0</v>
      </c>
      <c r="F971">
        <v>0</v>
      </c>
      <c r="G971">
        <v>0</v>
      </c>
      <c r="H971">
        <v>0</v>
      </c>
      <c r="I971">
        <v>0</v>
      </c>
    </row>
    <row r="972" spans="1:9" x14ac:dyDescent="0.25">
      <c r="A972" t="s">
        <v>2402</v>
      </c>
      <c r="B972" t="s">
        <v>1506</v>
      </c>
      <c r="C972">
        <v>50</v>
      </c>
      <c r="D972">
        <v>0</v>
      </c>
      <c r="E972">
        <v>0</v>
      </c>
      <c r="F972">
        <v>0</v>
      </c>
      <c r="G972">
        <v>0</v>
      </c>
      <c r="H972">
        <v>50</v>
      </c>
      <c r="I972">
        <v>2</v>
      </c>
    </row>
    <row r="973" spans="1:9" x14ac:dyDescent="0.25">
      <c r="A973" t="s">
        <v>2354</v>
      </c>
      <c r="B973" t="s">
        <v>1509</v>
      </c>
      <c r="C973">
        <v>215</v>
      </c>
      <c r="D973">
        <v>0</v>
      </c>
      <c r="E973">
        <v>0</v>
      </c>
      <c r="F973">
        <v>0</v>
      </c>
      <c r="G973">
        <v>0</v>
      </c>
      <c r="H973">
        <v>215</v>
      </c>
      <c r="I973">
        <v>1</v>
      </c>
    </row>
    <row r="974" spans="1:9" x14ac:dyDescent="0.25">
      <c r="A974" t="s">
        <v>2434</v>
      </c>
      <c r="B974" t="s">
        <v>1292</v>
      </c>
      <c r="C974">
        <v>64</v>
      </c>
      <c r="D974">
        <v>0</v>
      </c>
      <c r="E974">
        <v>0</v>
      </c>
      <c r="F974">
        <v>0</v>
      </c>
      <c r="G974">
        <v>0</v>
      </c>
      <c r="H974">
        <v>64</v>
      </c>
      <c r="I974">
        <v>1</v>
      </c>
    </row>
    <row r="975" spans="1:9" x14ac:dyDescent="0.25">
      <c r="A975" t="s">
        <v>2524</v>
      </c>
      <c r="B975" t="s">
        <v>1626</v>
      </c>
      <c r="C975">
        <v>17</v>
      </c>
      <c r="D975">
        <v>0</v>
      </c>
      <c r="E975">
        <v>0</v>
      </c>
      <c r="F975">
        <v>0</v>
      </c>
      <c r="G975">
        <v>0</v>
      </c>
      <c r="H975">
        <v>17</v>
      </c>
      <c r="I975">
        <v>1</v>
      </c>
    </row>
    <row r="976" spans="1:9" x14ac:dyDescent="0.25">
      <c r="A976" t="s">
        <v>2467</v>
      </c>
      <c r="B976" t="s">
        <v>1295</v>
      </c>
      <c r="C976">
        <v>18</v>
      </c>
      <c r="D976">
        <v>0</v>
      </c>
      <c r="E976">
        <v>0</v>
      </c>
      <c r="F976">
        <v>0</v>
      </c>
      <c r="G976">
        <v>0</v>
      </c>
      <c r="H976">
        <v>18</v>
      </c>
      <c r="I976">
        <v>1</v>
      </c>
    </row>
    <row r="977" spans="1:9" x14ac:dyDescent="0.25">
      <c r="A977" t="s">
        <v>2377</v>
      </c>
      <c r="B977" t="s">
        <v>1029</v>
      </c>
      <c r="C977">
        <v>117</v>
      </c>
      <c r="D977">
        <v>0</v>
      </c>
      <c r="E977">
        <v>0</v>
      </c>
      <c r="F977">
        <v>0</v>
      </c>
      <c r="G977">
        <v>0</v>
      </c>
      <c r="H977">
        <v>117</v>
      </c>
      <c r="I977">
        <v>1</v>
      </c>
    </row>
    <row r="978" spans="1:9" x14ac:dyDescent="0.25">
      <c r="A978" t="s">
        <v>2450</v>
      </c>
      <c r="B978" t="s">
        <v>9823</v>
      </c>
      <c r="C978">
        <v>54</v>
      </c>
      <c r="D978">
        <v>0</v>
      </c>
      <c r="E978">
        <v>0</v>
      </c>
      <c r="F978">
        <v>0</v>
      </c>
      <c r="G978">
        <v>0</v>
      </c>
      <c r="H978">
        <v>54</v>
      </c>
      <c r="I978">
        <v>1</v>
      </c>
    </row>
    <row r="979" spans="1:9" x14ac:dyDescent="0.25">
      <c r="A979" t="s">
        <v>2478</v>
      </c>
      <c r="B979" t="s">
        <v>1298</v>
      </c>
      <c r="C979">
        <v>13</v>
      </c>
      <c r="D979">
        <v>0</v>
      </c>
      <c r="E979">
        <v>0</v>
      </c>
      <c r="F979">
        <v>0</v>
      </c>
      <c r="G979">
        <v>0</v>
      </c>
      <c r="H979">
        <v>13</v>
      </c>
      <c r="I979">
        <v>1</v>
      </c>
    </row>
    <row r="980" spans="1:9" x14ac:dyDescent="0.25">
      <c r="A980" t="s">
        <v>2525</v>
      </c>
      <c r="B980" t="s">
        <v>1631</v>
      </c>
      <c r="C980">
        <v>36</v>
      </c>
      <c r="D980">
        <v>0</v>
      </c>
      <c r="E980">
        <v>0</v>
      </c>
      <c r="F980">
        <v>0</v>
      </c>
      <c r="G980">
        <v>0</v>
      </c>
      <c r="H980">
        <v>36</v>
      </c>
      <c r="I980">
        <v>1</v>
      </c>
    </row>
    <row r="981" spans="1:9" x14ac:dyDescent="0.25">
      <c r="A981" t="s">
        <v>2474</v>
      </c>
      <c r="B981" t="s">
        <v>1632</v>
      </c>
      <c r="C981">
        <v>27</v>
      </c>
      <c r="D981">
        <v>0</v>
      </c>
      <c r="E981">
        <v>0</v>
      </c>
      <c r="F981">
        <v>0</v>
      </c>
      <c r="G981">
        <v>0</v>
      </c>
      <c r="H981">
        <v>27</v>
      </c>
      <c r="I981">
        <v>1</v>
      </c>
    </row>
    <row r="982" spans="1:9" x14ac:dyDescent="0.25">
      <c r="A982" t="s">
        <v>2476</v>
      </c>
      <c r="B982" t="s">
        <v>1301</v>
      </c>
      <c r="C982">
        <v>56</v>
      </c>
      <c r="D982">
        <v>0</v>
      </c>
      <c r="E982">
        <v>0</v>
      </c>
      <c r="F982">
        <v>0</v>
      </c>
      <c r="G982">
        <v>0</v>
      </c>
      <c r="H982">
        <v>56</v>
      </c>
      <c r="I982">
        <v>1</v>
      </c>
    </row>
    <row r="983" spans="1:9" x14ac:dyDescent="0.25">
      <c r="A983" t="s">
        <v>2470</v>
      </c>
      <c r="B983" t="s">
        <v>1517</v>
      </c>
      <c r="C983">
        <v>0</v>
      </c>
      <c r="D983">
        <v>85</v>
      </c>
      <c r="E983">
        <v>0</v>
      </c>
      <c r="F983">
        <v>0</v>
      </c>
      <c r="G983">
        <v>0</v>
      </c>
      <c r="H983">
        <v>85</v>
      </c>
      <c r="I983">
        <v>1</v>
      </c>
    </row>
    <row r="984" spans="1:9" x14ac:dyDescent="0.25">
      <c r="A984" t="s">
        <v>2475</v>
      </c>
      <c r="B984" t="s">
        <v>1431</v>
      </c>
      <c r="C984">
        <v>8</v>
      </c>
      <c r="D984">
        <v>0</v>
      </c>
      <c r="E984">
        <v>0</v>
      </c>
      <c r="F984">
        <v>0</v>
      </c>
      <c r="G984">
        <v>0</v>
      </c>
      <c r="H984">
        <v>8</v>
      </c>
      <c r="I984">
        <v>1</v>
      </c>
    </row>
    <row r="985" spans="1:9" x14ac:dyDescent="0.25">
      <c r="A985" t="s">
        <v>2381</v>
      </c>
      <c r="B985" t="s">
        <v>1303</v>
      </c>
      <c r="C985">
        <v>82</v>
      </c>
      <c r="D985">
        <v>0</v>
      </c>
      <c r="E985">
        <v>0</v>
      </c>
      <c r="F985">
        <v>0</v>
      </c>
      <c r="G985">
        <v>0</v>
      </c>
      <c r="H985">
        <v>82</v>
      </c>
      <c r="I985">
        <v>2</v>
      </c>
    </row>
    <row r="986" spans="1:9" x14ac:dyDescent="0.25">
      <c r="A986" t="s">
        <v>2451</v>
      </c>
      <c r="B986" t="s">
        <v>1304</v>
      </c>
      <c r="C986">
        <v>0</v>
      </c>
      <c r="D986">
        <v>0</v>
      </c>
      <c r="E986">
        <v>0</v>
      </c>
      <c r="F986">
        <v>27</v>
      </c>
      <c r="G986">
        <v>0</v>
      </c>
      <c r="H986">
        <v>27</v>
      </c>
      <c r="I986">
        <v>1</v>
      </c>
    </row>
    <row r="987" spans="1:9" x14ac:dyDescent="0.25">
      <c r="A987" t="s">
        <v>2413</v>
      </c>
      <c r="B987" t="s">
        <v>1518</v>
      </c>
      <c r="C987">
        <v>90</v>
      </c>
      <c r="D987">
        <v>0</v>
      </c>
      <c r="E987">
        <v>0</v>
      </c>
      <c r="F987">
        <v>0</v>
      </c>
      <c r="G987">
        <v>0</v>
      </c>
      <c r="H987">
        <v>90</v>
      </c>
      <c r="I987">
        <v>1</v>
      </c>
    </row>
    <row r="988" spans="1:9" x14ac:dyDescent="0.25">
      <c r="A988" t="s">
        <v>11761</v>
      </c>
      <c r="B988" t="s">
        <v>11706</v>
      </c>
      <c r="C988">
        <v>99</v>
      </c>
      <c r="D988">
        <v>0</v>
      </c>
      <c r="E988">
        <v>0</v>
      </c>
      <c r="F988">
        <v>0</v>
      </c>
      <c r="G988">
        <v>0</v>
      </c>
      <c r="H988">
        <v>99</v>
      </c>
      <c r="I988">
        <v>1</v>
      </c>
    </row>
    <row r="989" spans="1:9" x14ac:dyDescent="0.25">
      <c r="A989" t="s">
        <v>2519</v>
      </c>
      <c r="B989" t="s">
        <v>1634</v>
      </c>
      <c r="C989">
        <v>25</v>
      </c>
      <c r="D989">
        <v>0</v>
      </c>
      <c r="E989">
        <v>0</v>
      </c>
      <c r="F989">
        <v>0</v>
      </c>
      <c r="G989">
        <v>0</v>
      </c>
      <c r="H989">
        <v>25</v>
      </c>
      <c r="I989">
        <v>1</v>
      </c>
    </row>
    <row r="990" spans="1:9" x14ac:dyDescent="0.25">
      <c r="A990" t="s">
        <v>2515</v>
      </c>
      <c r="B990" t="s">
        <v>1635</v>
      </c>
      <c r="C990">
        <v>36</v>
      </c>
      <c r="D990">
        <v>0</v>
      </c>
      <c r="E990">
        <v>0</v>
      </c>
      <c r="F990">
        <v>0</v>
      </c>
      <c r="G990">
        <v>0</v>
      </c>
      <c r="H990">
        <v>36</v>
      </c>
      <c r="I990">
        <v>1</v>
      </c>
    </row>
    <row r="991" spans="1:9" x14ac:dyDescent="0.25">
      <c r="A991" t="s">
        <v>2512</v>
      </c>
      <c r="B991" t="s">
        <v>1637</v>
      </c>
      <c r="C991">
        <v>42</v>
      </c>
      <c r="D991">
        <v>0</v>
      </c>
      <c r="E991">
        <v>0</v>
      </c>
      <c r="F991">
        <v>0</v>
      </c>
      <c r="G991">
        <v>0</v>
      </c>
      <c r="H991">
        <v>42</v>
      </c>
      <c r="I991">
        <v>1</v>
      </c>
    </row>
    <row r="992" spans="1:9" x14ac:dyDescent="0.25">
      <c r="A992" t="s">
        <v>2493</v>
      </c>
      <c r="B992" t="s">
        <v>1311</v>
      </c>
      <c r="C992">
        <v>20</v>
      </c>
      <c r="D992">
        <v>0</v>
      </c>
      <c r="E992">
        <v>0</v>
      </c>
      <c r="F992">
        <v>0</v>
      </c>
      <c r="G992">
        <v>0</v>
      </c>
      <c r="H992">
        <v>20</v>
      </c>
      <c r="I992">
        <v>1</v>
      </c>
    </row>
    <row r="993" spans="1:9" x14ac:dyDescent="0.25">
      <c r="A993" t="s">
        <v>2359</v>
      </c>
      <c r="B993" t="s">
        <v>1638</v>
      </c>
      <c r="C993">
        <v>92</v>
      </c>
      <c r="D993">
        <v>0</v>
      </c>
      <c r="E993">
        <v>0</v>
      </c>
      <c r="F993">
        <v>0</v>
      </c>
      <c r="G993">
        <v>0</v>
      </c>
      <c r="H993">
        <v>92</v>
      </c>
      <c r="I993">
        <v>1</v>
      </c>
    </row>
    <row r="994" spans="1:9" x14ac:dyDescent="0.25">
      <c r="A994" t="s">
        <v>2436</v>
      </c>
      <c r="B994" t="s">
        <v>1434</v>
      </c>
      <c r="C994">
        <v>29</v>
      </c>
      <c r="D994">
        <v>0</v>
      </c>
      <c r="E994">
        <v>0</v>
      </c>
      <c r="F994">
        <v>0</v>
      </c>
      <c r="G994">
        <v>0</v>
      </c>
      <c r="H994">
        <v>29</v>
      </c>
      <c r="I994">
        <v>1</v>
      </c>
    </row>
    <row r="995" spans="1:9" x14ac:dyDescent="0.25">
      <c r="A995" t="s">
        <v>2471</v>
      </c>
      <c r="B995" t="s">
        <v>1831</v>
      </c>
      <c r="C995">
        <v>24</v>
      </c>
      <c r="D995">
        <v>0</v>
      </c>
      <c r="E995">
        <v>0</v>
      </c>
      <c r="F995">
        <v>0</v>
      </c>
      <c r="G995">
        <v>0</v>
      </c>
      <c r="H995">
        <v>24</v>
      </c>
      <c r="I995">
        <v>1</v>
      </c>
    </row>
    <row r="996" spans="1:9" x14ac:dyDescent="0.25">
      <c r="A996" t="s">
        <v>2516</v>
      </c>
      <c r="B996" t="s">
        <v>1314</v>
      </c>
      <c r="C996">
        <v>27</v>
      </c>
      <c r="D996">
        <v>0</v>
      </c>
      <c r="E996">
        <v>0</v>
      </c>
      <c r="F996">
        <v>0</v>
      </c>
      <c r="G996">
        <v>0</v>
      </c>
      <c r="H996">
        <v>27</v>
      </c>
      <c r="I996">
        <v>1</v>
      </c>
    </row>
    <row r="997" spans="1:9" x14ac:dyDescent="0.25">
      <c r="A997" t="s">
        <v>2422</v>
      </c>
      <c r="B997" t="s">
        <v>1143</v>
      </c>
      <c r="C997">
        <v>0</v>
      </c>
      <c r="D997">
        <v>11</v>
      </c>
      <c r="E997">
        <v>0</v>
      </c>
      <c r="F997">
        <v>0</v>
      </c>
      <c r="G997">
        <v>0</v>
      </c>
      <c r="H997">
        <v>11</v>
      </c>
      <c r="I997">
        <v>1</v>
      </c>
    </row>
    <row r="998" spans="1:9" x14ac:dyDescent="0.25">
      <c r="A998" t="s">
        <v>2477</v>
      </c>
      <c r="B998" t="s">
        <v>1316</v>
      </c>
      <c r="C998">
        <v>25</v>
      </c>
      <c r="D998">
        <v>0</v>
      </c>
      <c r="E998">
        <v>0</v>
      </c>
      <c r="F998">
        <v>0</v>
      </c>
      <c r="G998">
        <v>0</v>
      </c>
      <c r="H998">
        <v>25</v>
      </c>
      <c r="I998">
        <v>1</v>
      </c>
    </row>
    <row r="999" spans="1:9" x14ac:dyDescent="0.25">
      <c r="A999" t="s">
        <v>2405</v>
      </c>
      <c r="B999" t="s">
        <v>1435</v>
      </c>
      <c r="C999">
        <v>23</v>
      </c>
      <c r="D999">
        <v>0</v>
      </c>
      <c r="E999">
        <v>0</v>
      </c>
      <c r="F999">
        <v>0</v>
      </c>
      <c r="G999">
        <v>0</v>
      </c>
      <c r="H999">
        <v>23</v>
      </c>
      <c r="I999">
        <v>1</v>
      </c>
    </row>
    <row r="1000" spans="1:9" x14ac:dyDescent="0.25">
      <c r="A1000" t="s">
        <v>2466</v>
      </c>
      <c r="B1000" t="s">
        <v>1322</v>
      </c>
      <c r="C1000">
        <v>3</v>
      </c>
      <c r="D1000">
        <v>59</v>
      </c>
      <c r="E1000">
        <v>0</v>
      </c>
      <c r="F1000">
        <v>0</v>
      </c>
      <c r="G1000">
        <v>0</v>
      </c>
      <c r="H1000">
        <v>62</v>
      </c>
      <c r="I1000">
        <v>4</v>
      </c>
    </row>
    <row r="1001" spans="1:9" x14ac:dyDescent="0.25">
      <c r="A1001" t="s">
        <v>2520</v>
      </c>
      <c r="B1001" t="s">
        <v>1641</v>
      </c>
      <c r="C1001">
        <v>25</v>
      </c>
      <c r="D1001">
        <v>0</v>
      </c>
      <c r="E1001">
        <v>0</v>
      </c>
      <c r="F1001">
        <v>0</v>
      </c>
      <c r="G1001">
        <v>0</v>
      </c>
      <c r="H1001">
        <v>25</v>
      </c>
      <c r="I1001">
        <v>1</v>
      </c>
    </row>
    <row r="1002" spans="1:9" x14ac:dyDescent="0.25">
      <c r="A1002" t="s">
        <v>10697</v>
      </c>
      <c r="B1002" t="s">
        <v>10698</v>
      </c>
      <c r="C1002">
        <v>0</v>
      </c>
      <c r="D1002">
        <v>0</v>
      </c>
      <c r="E1002">
        <v>0</v>
      </c>
      <c r="F1002">
        <v>0</v>
      </c>
      <c r="G1002">
        <v>0</v>
      </c>
      <c r="H1002">
        <v>0</v>
      </c>
      <c r="I1002">
        <v>0</v>
      </c>
    </row>
    <row r="1003" spans="1:9" x14ac:dyDescent="0.25">
      <c r="A1003" t="s">
        <v>2781</v>
      </c>
      <c r="B1003" t="s">
        <v>1755</v>
      </c>
      <c r="C1003">
        <v>12</v>
      </c>
      <c r="D1003">
        <v>0</v>
      </c>
      <c r="E1003">
        <v>0</v>
      </c>
      <c r="F1003">
        <v>0</v>
      </c>
      <c r="G1003">
        <v>0</v>
      </c>
      <c r="H1003">
        <v>12</v>
      </c>
      <c r="I1003">
        <v>1</v>
      </c>
    </row>
    <row r="1004" spans="1:9" x14ac:dyDescent="0.25">
      <c r="A1004" t="s">
        <v>2425</v>
      </c>
      <c r="B1004" t="s">
        <v>1526</v>
      </c>
      <c r="C1004">
        <v>19</v>
      </c>
      <c r="D1004">
        <v>0</v>
      </c>
      <c r="E1004">
        <v>0</v>
      </c>
      <c r="F1004">
        <v>0</v>
      </c>
      <c r="G1004">
        <v>0</v>
      </c>
      <c r="H1004">
        <v>19</v>
      </c>
      <c r="I1004">
        <v>1</v>
      </c>
    </row>
    <row r="1005" spans="1:9" x14ac:dyDescent="0.25">
      <c r="A1005" t="s">
        <v>2371</v>
      </c>
      <c r="B1005" t="s">
        <v>9824</v>
      </c>
      <c r="C1005">
        <v>99</v>
      </c>
      <c r="D1005">
        <v>0</v>
      </c>
      <c r="E1005">
        <v>0</v>
      </c>
      <c r="F1005">
        <v>0</v>
      </c>
      <c r="G1005">
        <v>0</v>
      </c>
      <c r="H1005">
        <v>99</v>
      </c>
      <c r="I1005">
        <v>1</v>
      </c>
    </row>
    <row r="1006" spans="1:9" x14ac:dyDescent="0.25">
      <c r="A1006" t="s">
        <v>11764</v>
      </c>
      <c r="B1006" t="s">
        <v>11661</v>
      </c>
      <c r="C1006">
        <v>12</v>
      </c>
      <c r="D1006">
        <v>0</v>
      </c>
      <c r="E1006">
        <v>0</v>
      </c>
      <c r="F1006">
        <v>0</v>
      </c>
      <c r="G1006">
        <v>0</v>
      </c>
      <c r="H1006">
        <v>12</v>
      </c>
      <c r="I1006">
        <v>1</v>
      </c>
    </row>
    <row r="1007" spans="1:9" x14ac:dyDescent="0.25">
      <c r="A1007" t="s">
        <v>2360</v>
      </c>
      <c r="B1007" t="s">
        <v>1328</v>
      </c>
      <c r="C1007">
        <v>136</v>
      </c>
      <c r="D1007">
        <v>0</v>
      </c>
      <c r="E1007">
        <v>0</v>
      </c>
      <c r="F1007">
        <v>0</v>
      </c>
      <c r="G1007">
        <v>0</v>
      </c>
      <c r="H1007">
        <v>136</v>
      </c>
      <c r="I1007">
        <v>3</v>
      </c>
    </row>
    <row r="1008" spans="1:9" x14ac:dyDescent="0.25">
      <c r="A1008" t="s">
        <v>2500</v>
      </c>
      <c r="B1008" t="s">
        <v>1437</v>
      </c>
      <c r="C1008">
        <v>39</v>
      </c>
      <c r="D1008">
        <v>0</v>
      </c>
      <c r="E1008">
        <v>0</v>
      </c>
      <c r="F1008">
        <v>0</v>
      </c>
      <c r="G1008">
        <v>0</v>
      </c>
      <c r="H1008">
        <v>39</v>
      </c>
      <c r="I1008">
        <v>1</v>
      </c>
    </row>
    <row r="1009" spans="1:9" x14ac:dyDescent="0.25">
      <c r="A1009" t="s">
        <v>10802</v>
      </c>
      <c r="B1009" t="s">
        <v>10803</v>
      </c>
      <c r="C1009">
        <v>0</v>
      </c>
      <c r="D1009">
        <v>0</v>
      </c>
      <c r="E1009">
        <v>0</v>
      </c>
      <c r="F1009">
        <v>0</v>
      </c>
      <c r="G1009">
        <v>0</v>
      </c>
      <c r="H1009">
        <v>0</v>
      </c>
      <c r="I1009">
        <v>0</v>
      </c>
    </row>
    <row r="1010" spans="1:9" x14ac:dyDescent="0.25">
      <c r="A1010" t="s">
        <v>2416</v>
      </c>
      <c r="B1010" t="s">
        <v>1333</v>
      </c>
      <c r="C1010">
        <v>0</v>
      </c>
      <c r="D1010">
        <v>26</v>
      </c>
      <c r="E1010">
        <v>0</v>
      </c>
      <c r="F1010">
        <v>0</v>
      </c>
      <c r="G1010">
        <v>0</v>
      </c>
      <c r="H1010">
        <v>26</v>
      </c>
      <c r="I1010">
        <v>1</v>
      </c>
    </row>
    <row r="1011" spans="1:9" x14ac:dyDescent="0.25">
      <c r="A1011" t="s">
        <v>9870</v>
      </c>
      <c r="B1011" t="s">
        <v>9810</v>
      </c>
      <c r="C1011">
        <v>25</v>
      </c>
      <c r="D1011">
        <v>0</v>
      </c>
      <c r="E1011">
        <v>0</v>
      </c>
      <c r="F1011">
        <v>0</v>
      </c>
      <c r="G1011">
        <v>0</v>
      </c>
      <c r="H1011">
        <v>25</v>
      </c>
      <c r="I1011">
        <v>1</v>
      </c>
    </row>
    <row r="1012" spans="1:9" x14ac:dyDescent="0.25">
      <c r="A1012" t="s">
        <v>10712</v>
      </c>
      <c r="B1012" t="s">
        <v>10713</v>
      </c>
      <c r="C1012">
        <v>0</v>
      </c>
      <c r="D1012">
        <v>0</v>
      </c>
      <c r="E1012">
        <v>0</v>
      </c>
      <c r="F1012">
        <v>0</v>
      </c>
      <c r="G1012">
        <v>0</v>
      </c>
      <c r="H1012">
        <v>0</v>
      </c>
      <c r="I1012">
        <v>0</v>
      </c>
    </row>
    <row r="1013" spans="1:9" x14ac:dyDescent="0.25">
      <c r="A1013" t="s">
        <v>2408</v>
      </c>
      <c r="B1013" t="s">
        <v>1054</v>
      </c>
      <c r="C1013">
        <v>121</v>
      </c>
      <c r="D1013">
        <v>0</v>
      </c>
      <c r="E1013">
        <v>0</v>
      </c>
      <c r="F1013">
        <v>0</v>
      </c>
      <c r="G1013">
        <v>0</v>
      </c>
      <c r="H1013">
        <v>121</v>
      </c>
      <c r="I1013">
        <v>1</v>
      </c>
    </row>
    <row r="1014" spans="1:9" x14ac:dyDescent="0.25">
      <c r="A1014" t="s">
        <v>2486</v>
      </c>
      <c r="B1014" t="s">
        <v>1531</v>
      </c>
      <c r="C1014">
        <v>37</v>
      </c>
      <c r="D1014">
        <v>0</v>
      </c>
      <c r="E1014">
        <v>0</v>
      </c>
      <c r="F1014">
        <v>0</v>
      </c>
      <c r="G1014">
        <v>0</v>
      </c>
      <c r="H1014">
        <v>37</v>
      </c>
      <c r="I1014">
        <v>1</v>
      </c>
    </row>
    <row r="1015" spans="1:9" x14ac:dyDescent="0.25">
      <c r="A1015" t="s">
        <v>10721</v>
      </c>
      <c r="B1015" t="s">
        <v>10722</v>
      </c>
      <c r="C1015">
        <v>0</v>
      </c>
      <c r="D1015">
        <v>0</v>
      </c>
      <c r="E1015">
        <v>0</v>
      </c>
      <c r="F1015">
        <v>0</v>
      </c>
      <c r="G1015">
        <v>0</v>
      </c>
      <c r="H1015">
        <v>0</v>
      </c>
      <c r="I1015">
        <v>0</v>
      </c>
    </row>
    <row r="1016" spans="1:9" x14ac:dyDescent="0.25">
      <c r="A1016" t="s">
        <v>2463</v>
      </c>
      <c r="B1016" t="s">
        <v>1655</v>
      </c>
      <c r="C1016">
        <v>77</v>
      </c>
      <c r="D1016">
        <v>0</v>
      </c>
      <c r="E1016">
        <v>0</v>
      </c>
      <c r="F1016">
        <v>0</v>
      </c>
      <c r="G1016">
        <v>0</v>
      </c>
      <c r="H1016">
        <v>77</v>
      </c>
      <c r="I1016">
        <v>1</v>
      </c>
    </row>
    <row r="1017" spans="1:9" x14ac:dyDescent="0.25">
      <c r="A1017" t="s">
        <v>2456</v>
      </c>
      <c r="B1017" t="s">
        <v>1533</v>
      </c>
      <c r="C1017">
        <v>28</v>
      </c>
      <c r="D1017">
        <v>0</v>
      </c>
      <c r="E1017">
        <v>0</v>
      </c>
      <c r="F1017">
        <v>0</v>
      </c>
      <c r="G1017">
        <v>0</v>
      </c>
      <c r="H1017">
        <v>28</v>
      </c>
      <c r="I1017">
        <v>1</v>
      </c>
    </row>
    <row r="1018" spans="1:9" x14ac:dyDescent="0.25">
      <c r="A1018" t="s">
        <v>9872</v>
      </c>
      <c r="B1018" t="s">
        <v>9811</v>
      </c>
      <c r="C1018">
        <v>3</v>
      </c>
      <c r="D1018">
        <v>0</v>
      </c>
      <c r="E1018">
        <v>0</v>
      </c>
      <c r="F1018">
        <v>0</v>
      </c>
      <c r="G1018">
        <v>0</v>
      </c>
      <c r="H1018">
        <v>3</v>
      </c>
      <c r="I1018">
        <v>1</v>
      </c>
    </row>
    <row r="1019" spans="1:9" x14ac:dyDescent="0.25">
      <c r="A1019" t="s">
        <v>2401</v>
      </c>
      <c r="B1019" t="s">
        <v>1838</v>
      </c>
      <c r="C1019">
        <v>74</v>
      </c>
      <c r="D1019">
        <v>0</v>
      </c>
      <c r="E1019">
        <v>0</v>
      </c>
      <c r="F1019">
        <v>0</v>
      </c>
      <c r="G1019">
        <v>0</v>
      </c>
      <c r="H1019">
        <v>74</v>
      </c>
      <c r="I1019">
        <v>1</v>
      </c>
    </row>
    <row r="1020" spans="1:9" x14ac:dyDescent="0.25">
      <c r="A1020" t="s">
        <v>10727</v>
      </c>
      <c r="B1020" t="s">
        <v>10728</v>
      </c>
      <c r="C1020">
        <v>111</v>
      </c>
      <c r="D1020">
        <v>0</v>
      </c>
      <c r="E1020">
        <v>0</v>
      </c>
      <c r="F1020">
        <v>0</v>
      </c>
      <c r="G1020">
        <v>0</v>
      </c>
      <c r="H1020">
        <v>111</v>
      </c>
      <c r="I1020">
        <v>1</v>
      </c>
    </row>
    <row r="1021" spans="1:9" x14ac:dyDescent="0.25">
      <c r="A1021" t="s">
        <v>2452</v>
      </c>
      <c r="B1021" t="s">
        <v>1534</v>
      </c>
      <c r="C1021">
        <v>46</v>
      </c>
      <c r="D1021">
        <v>0</v>
      </c>
      <c r="E1021">
        <v>0</v>
      </c>
      <c r="F1021">
        <v>0</v>
      </c>
      <c r="G1021">
        <v>0</v>
      </c>
      <c r="H1021">
        <v>46</v>
      </c>
      <c r="I1021">
        <v>1</v>
      </c>
    </row>
    <row r="1022" spans="1:9" x14ac:dyDescent="0.25">
      <c r="A1022" t="s">
        <v>2521</v>
      </c>
      <c r="B1022" t="s">
        <v>1657</v>
      </c>
      <c r="C1022">
        <v>19</v>
      </c>
      <c r="D1022">
        <v>0</v>
      </c>
      <c r="E1022">
        <v>0</v>
      </c>
      <c r="F1022">
        <v>0</v>
      </c>
      <c r="G1022">
        <v>0</v>
      </c>
      <c r="H1022">
        <v>19</v>
      </c>
      <c r="I1022">
        <v>1</v>
      </c>
    </row>
    <row r="1023" spans="1:9" x14ac:dyDescent="0.25">
      <c r="A1023" t="s">
        <v>2414</v>
      </c>
      <c r="B1023" t="s">
        <v>1764</v>
      </c>
      <c r="C1023">
        <v>13</v>
      </c>
      <c r="D1023">
        <v>4</v>
      </c>
      <c r="E1023">
        <v>0</v>
      </c>
      <c r="F1023">
        <v>0</v>
      </c>
      <c r="G1023">
        <v>0</v>
      </c>
      <c r="H1023">
        <v>17</v>
      </c>
      <c r="I1023">
        <v>1</v>
      </c>
    </row>
    <row r="1024" spans="1:9" x14ac:dyDescent="0.25">
      <c r="A1024" t="s">
        <v>2435</v>
      </c>
      <c r="B1024" t="s">
        <v>1340</v>
      </c>
      <c r="C1024">
        <v>26</v>
      </c>
      <c r="D1024">
        <v>0</v>
      </c>
      <c r="E1024">
        <v>3</v>
      </c>
      <c r="F1024">
        <v>0</v>
      </c>
      <c r="G1024">
        <v>0</v>
      </c>
      <c r="H1024">
        <v>29</v>
      </c>
      <c r="I1024">
        <v>1</v>
      </c>
    </row>
    <row r="1025" spans="1:9" x14ac:dyDescent="0.25">
      <c r="A1025" t="s">
        <v>2427</v>
      </c>
      <c r="B1025" t="s">
        <v>1846</v>
      </c>
      <c r="C1025">
        <v>33</v>
      </c>
      <c r="D1025">
        <v>0</v>
      </c>
      <c r="E1025">
        <v>0</v>
      </c>
      <c r="F1025">
        <v>0</v>
      </c>
      <c r="G1025">
        <v>0</v>
      </c>
      <c r="H1025">
        <v>33</v>
      </c>
      <c r="I1025">
        <v>1</v>
      </c>
    </row>
    <row r="1026" spans="1:9" x14ac:dyDescent="0.25">
      <c r="A1026" t="s">
        <v>2468</v>
      </c>
      <c r="B1026" t="s">
        <v>1539</v>
      </c>
      <c r="C1026">
        <v>23</v>
      </c>
      <c r="D1026">
        <v>0</v>
      </c>
      <c r="E1026">
        <v>0</v>
      </c>
      <c r="F1026">
        <v>0</v>
      </c>
      <c r="G1026">
        <v>0</v>
      </c>
      <c r="H1026">
        <v>23</v>
      </c>
      <c r="I1026">
        <v>1</v>
      </c>
    </row>
    <row r="1027" spans="1:9" x14ac:dyDescent="0.25">
      <c r="A1027" t="s">
        <v>2441</v>
      </c>
      <c r="B1027" t="s">
        <v>1540</v>
      </c>
      <c r="C1027">
        <v>40</v>
      </c>
      <c r="D1027">
        <v>0</v>
      </c>
      <c r="E1027">
        <v>0</v>
      </c>
      <c r="F1027">
        <v>0</v>
      </c>
      <c r="G1027">
        <v>0</v>
      </c>
      <c r="H1027">
        <v>40</v>
      </c>
      <c r="I1027">
        <v>1</v>
      </c>
    </row>
    <row r="1028" spans="1:9" x14ac:dyDescent="0.25">
      <c r="A1028" t="s">
        <v>2465</v>
      </c>
      <c r="B1028" t="s">
        <v>1662</v>
      </c>
      <c r="C1028">
        <v>34</v>
      </c>
      <c r="D1028">
        <v>2</v>
      </c>
      <c r="E1028">
        <v>0</v>
      </c>
      <c r="F1028">
        <v>0</v>
      </c>
      <c r="G1028">
        <v>0</v>
      </c>
      <c r="H1028">
        <v>36</v>
      </c>
      <c r="I1028">
        <v>1</v>
      </c>
    </row>
    <row r="1029" spans="1:9" x14ac:dyDescent="0.25">
      <c r="A1029" t="s">
        <v>2487</v>
      </c>
      <c r="B1029" t="s">
        <v>1543</v>
      </c>
      <c r="C1029">
        <v>24</v>
      </c>
      <c r="D1029">
        <v>0</v>
      </c>
      <c r="E1029">
        <v>0</v>
      </c>
      <c r="F1029">
        <v>0</v>
      </c>
      <c r="G1029">
        <v>0</v>
      </c>
      <c r="H1029">
        <v>24</v>
      </c>
      <c r="I1029">
        <v>1</v>
      </c>
    </row>
    <row r="1030" spans="1:9" x14ac:dyDescent="0.25">
      <c r="A1030" t="s">
        <v>2378</v>
      </c>
      <c r="B1030" t="s">
        <v>1909</v>
      </c>
      <c r="C1030">
        <v>41</v>
      </c>
      <c r="D1030">
        <v>0</v>
      </c>
      <c r="E1030">
        <v>0</v>
      </c>
      <c r="F1030">
        <v>37</v>
      </c>
      <c r="G1030">
        <v>0</v>
      </c>
      <c r="H1030">
        <v>78</v>
      </c>
      <c r="I1030">
        <v>1</v>
      </c>
    </row>
    <row r="1031" spans="1:9" x14ac:dyDescent="0.25">
      <c r="A1031" t="s">
        <v>2517</v>
      </c>
      <c r="B1031" t="s">
        <v>1345</v>
      </c>
      <c r="C1031">
        <v>30</v>
      </c>
      <c r="D1031">
        <v>0</v>
      </c>
      <c r="E1031">
        <v>0</v>
      </c>
      <c r="F1031">
        <v>0</v>
      </c>
      <c r="G1031">
        <v>0</v>
      </c>
      <c r="H1031">
        <v>30</v>
      </c>
      <c r="I1031">
        <v>1</v>
      </c>
    </row>
    <row r="1032" spans="1:9" x14ac:dyDescent="0.25">
      <c r="A1032" t="s">
        <v>2393</v>
      </c>
      <c r="B1032" t="s">
        <v>1850</v>
      </c>
      <c r="C1032">
        <v>125</v>
      </c>
      <c r="D1032">
        <v>0</v>
      </c>
      <c r="E1032">
        <v>0</v>
      </c>
      <c r="F1032">
        <v>0</v>
      </c>
      <c r="G1032">
        <v>0</v>
      </c>
      <c r="H1032">
        <v>125</v>
      </c>
      <c r="I1032">
        <v>1</v>
      </c>
    </row>
    <row r="1033" spans="1:9" x14ac:dyDescent="0.25">
      <c r="A1033" t="s">
        <v>2373</v>
      </c>
      <c r="B1033" t="s">
        <v>1348</v>
      </c>
      <c r="C1033">
        <v>63</v>
      </c>
      <c r="D1033">
        <v>0</v>
      </c>
      <c r="E1033">
        <v>0</v>
      </c>
      <c r="F1033">
        <v>0</v>
      </c>
      <c r="G1033">
        <v>0</v>
      </c>
      <c r="H1033">
        <v>63</v>
      </c>
      <c r="I1033">
        <v>2</v>
      </c>
    </row>
    <row r="1034" spans="1:9" x14ac:dyDescent="0.25">
      <c r="A1034" t="s">
        <v>2424</v>
      </c>
      <c r="B1034" t="s">
        <v>9815</v>
      </c>
      <c r="C1034">
        <v>12</v>
      </c>
      <c r="D1034">
        <v>0</v>
      </c>
      <c r="E1034">
        <v>0</v>
      </c>
      <c r="F1034">
        <v>0</v>
      </c>
      <c r="G1034">
        <v>0</v>
      </c>
      <c r="H1034">
        <v>12</v>
      </c>
      <c r="I1034">
        <v>1</v>
      </c>
    </row>
    <row r="1035" spans="1:9" x14ac:dyDescent="0.25">
      <c r="A1035" t="s">
        <v>2446</v>
      </c>
      <c r="B1035" t="s">
        <v>1441</v>
      </c>
      <c r="C1035">
        <v>87</v>
      </c>
      <c r="D1035">
        <v>0</v>
      </c>
      <c r="E1035">
        <v>0</v>
      </c>
      <c r="F1035">
        <v>0</v>
      </c>
      <c r="G1035">
        <v>0</v>
      </c>
      <c r="H1035">
        <v>87</v>
      </c>
      <c r="I1035">
        <v>1</v>
      </c>
    </row>
    <row r="1036" spans="1:9" x14ac:dyDescent="0.25">
      <c r="A1036" t="s">
        <v>2494</v>
      </c>
      <c r="B1036" t="s">
        <v>1350</v>
      </c>
      <c r="C1036">
        <v>44</v>
      </c>
      <c r="D1036">
        <v>0</v>
      </c>
      <c r="E1036">
        <v>0</v>
      </c>
      <c r="F1036">
        <v>0</v>
      </c>
      <c r="G1036">
        <v>0</v>
      </c>
      <c r="H1036">
        <v>44</v>
      </c>
      <c r="I1036">
        <v>1</v>
      </c>
    </row>
    <row r="1037" spans="1:9" x14ac:dyDescent="0.25">
      <c r="A1037" t="s">
        <v>2426</v>
      </c>
      <c r="B1037" t="s">
        <v>1351</v>
      </c>
      <c r="C1037">
        <v>23</v>
      </c>
      <c r="D1037">
        <v>0</v>
      </c>
      <c r="E1037">
        <v>0</v>
      </c>
      <c r="F1037">
        <v>0</v>
      </c>
      <c r="G1037">
        <v>0</v>
      </c>
      <c r="H1037">
        <v>23</v>
      </c>
      <c r="I1037">
        <v>1</v>
      </c>
    </row>
    <row r="1038" spans="1:9" x14ac:dyDescent="0.25">
      <c r="A1038" t="s">
        <v>2409</v>
      </c>
      <c r="B1038" t="s">
        <v>1910</v>
      </c>
      <c r="C1038">
        <v>38</v>
      </c>
      <c r="D1038">
        <v>0</v>
      </c>
      <c r="E1038">
        <v>0</v>
      </c>
      <c r="F1038">
        <v>0</v>
      </c>
      <c r="G1038">
        <v>0</v>
      </c>
      <c r="H1038">
        <v>38</v>
      </c>
      <c r="I1038">
        <v>1</v>
      </c>
    </row>
    <row r="1039" spans="1:9" x14ac:dyDescent="0.25">
      <c r="A1039" t="s">
        <v>10763</v>
      </c>
      <c r="B1039" t="s">
        <v>10764</v>
      </c>
      <c r="C1039">
        <v>25</v>
      </c>
      <c r="D1039">
        <v>0</v>
      </c>
      <c r="E1039">
        <v>0</v>
      </c>
      <c r="F1039">
        <v>0</v>
      </c>
      <c r="G1039">
        <v>0</v>
      </c>
      <c r="H1039">
        <v>25</v>
      </c>
      <c r="I1039">
        <v>1</v>
      </c>
    </row>
    <row r="1040" spans="1:9" x14ac:dyDescent="0.25">
      <c r="A1040" t="s">
        <v>2480</v>
      </c>
      <c r="B1040" t="s">
        <v>1366</v>
      </c>
      <c r="C1040">
        <v>41</v>
      </c>
      <c r="D1040">
        <v>0</v>
      </c>
      <c r="E1040">
        <v>0</v>
      </c>
      <c r="F1040">
        <v>0</v>
      </c>
      <c r="G1040">
        <v>0</v>
      </c>
      <c r="H1040">
        <v>41</v>
      </c>
      <c r="I1040">
        <v>1</v>
      </c>
    </row>
    <row r="1041" spans="1:9" x14ac:dyDescent="0.25">
      <c r="A1041" t="s">
        <v>10768</v>
      </c>
      <c r="B1041" t="s">
        <v>10769</v>
      </c>
      <c r="C1041">
        <v>0</v>
      </c>
      <c r="D1041">
        <v>0</v>
      </c>
      <c r="E1041">
        <v>0</v>
      </c>
      <c r="F1041">
        <v>0</v>
      </c>
      <c r="G1041">
        <v>0</v>
      </c>
      <c r="H1041">
        <v>0</v>
      </c>
      <c r="I1041">
        <v>0</v>
      </c>
    </row>
    <row r="1042" spans="1:9" x14ac:dyDescent="0.25">
      <c r="A1042" t="s">
        <v>2430</v>
      </c>
      <c r="B1042" t="s">
        <v>1552</v>
      </c>
      <c r="C1042">
        <v>40</v>
      </c>
      <c r="D1042">
        <v>0</v>
      </c>
      <c r="E1042">
        <v>0</v>
      </c>
      <c r="F1042">
        <v>0</v>
      </c>
      <c r="G1042">
        <v>0</v>
      </c>
      <c r="H1042">
        <v>40</v>
      </c>
      <c r="I1042">
        <v>1</v>
      </c>
    </row>
    <row r="1043" spans="1:9" x14ac:dyDescent="0.25">
      <c r="A1043" t="s">
        <v>2461</v>
      </c>
      <c r="B1043" t="s">
        <v>1446</v>
      </c>
      <c r="C1043">
        <v>30</v>
      </c>
      <c r="D1043">
        <v>0</v>
      </c>
      <c r="E1043">
        <v>0</v>
      </c>
      <c r="F1043">
        <v>0</v>
      </c>
      <c r="G1043">
        <v>0</v>
      </c>
      <c r="H1043">
        <v>30</v>
      </c>
      <c r="I1043">
        <v>1</v>
      </c>
    </row>
    <row r="1044" spans="1:9" x14ac:dyDescent="0.25">
      <c r="A1044" t="s">
        <v>2510</v>
      </c>
      <c r="B1044" t="s">
        <v>1373</v>
      </c>
      <c r="C1044">
        <v>32</v>
      </c>
      <c r="D1044">
        <v>0</v>
      </c>
      <c r="E1044">
        <v>0</v>
      </c>
      <c r="F1044">
        <v>0</v>
      </c>
      <c r="G1044">
        <v>0</v>
      </c>
      <c r="H1044">
        <v>32</v>
      </c>
      <c r="I1044">
        <v>1</v>
      </c>
    </row>
    <row r="1045" spans="1:9" x14ac:dyDescent="0.25">
      <c r="A1045" t="s">
        <v>2386</v>
      </c>
      <c r="B1045" t="s">
        <v>1862</v>
      </c>
      <c r="C1045">
        <v>90</v>
      </c>
      <c r="D1045">
        <v>0</v>
      </c>
      <c r="E1045">
        <v>0</v>
      </c>
      <c r="F1045">
        <v>0</v>
      </c>
      <c r="G1045">
        <v>0</v>
      </c>
      <c r="H1045">
        <v>90</v>
      </c>
      <c r="I1045">
        <v>1</v>
      </c>
    </row>
    <row r="1046" spans="1:9" x14ac:dyDescent="0.25">
      <c r="A1046" t="s">
        <v>10773</v>
      </c>
      <c r="B1046" t="s">
        <v>10774</v>
      </c>
      <c r="C1046">
        <v>12</v>
      </c>
      <c r="D1046">
        <v>54</v>
      </c>
      <c r="E1046">
        <v>0</v>
      </c>
      <c r="F1046">
        <v>0</v>
      </c>
      <c r="G1046">
        <v>0</v>
      </c>
      <c r="H1046">
        <v>66</v>
      </c>
      <c r="I1046">
        <v>1</v>
      </c>
    </row>
    <row r="1047" spans="1:9" x14ac:dyDescent="0.25">
      <c r="A1047" t="s">
        <v>2379</v>
      </c>
      <c r="B1047" t="s">
        <v>1864</v>
      </c>
      <c r="C1047">
        <v>136</v>
      </c>
      <c r="D1047">
        <v>0</v>
      </c>
      <c r="E1047">
        <v>0</v>
      </c>
      <c r="F1047">
        <v>0</v>
      </c>
      <c r="G1047">
        <v>0</v>
      </c>
      <c r="H1047">
        <v>136</v>
      </c>
      <c r="I1047">
        <v>1</v>
      </c>
    </row>
    <row r="1048" spans="1:9" x14ac:dyDescent="0.25">
      <c r="A1048" t="s">
        <v>2459</v>
      </c>
      <c r="B1048" t="s">
        <v>1377</v>
      </c>
      <c r="C1048">
        <v>50</v>
      </c>
      <c r="D1048">
        <v>0</v>
      </c>
      <c r="E1048">
        <v>0</v>
      </c>
      <c r="F1048">
        <v>0</v>
      </c>
      <c r="G1048">
        <v>0</v>
      </c>
      <c r="H1048">
        <v>50</v>
      </c>
      <c r="I1048">
        <v>1</v>
      </c>
    </row>
    <row r="1049" spans="1:9" x14ac:dyDescent="0.25">
      <c r="A1049" t="s">
        <v>10814</v>
      </c>
      <c r="B1049" t="s">
        <v>10815</v>
      </c>
      <c r="C1049">
        <v>0</v>
      </c>
      <c r="D1049">
        <v>0</v>
      </c>
      <c r="E1049">
        <v>0</v>
      </c>
      <c r="F1049">
        <v>0</v>
      </c>
      <c r="G1049">
        <v>0</v>
      </c>
      <c r="H1049">
        <v>0</v>
      </c>
      <c r="I1049">
        <v>0</v>
      </c>
    </row>
    <row r="1050" spans="1:9" x14ac:dyDescent="0.25">
      <c r="A1050" t="s">
        <v>2817</v>
      </c>
      <c r="B1050" t="s">
        <v>1378</v>
      </c>
      <c r="C1050">
        <v>498</v>
      </c>
      <c r="D1050">
        <v>0</v>
      </c>
      <c r="E1050">
        <v>0</v>
      </c>
      <c r="F1050">
        <v>0</v>
      </c>
      <c r="G1050">
        <v>0</v>
      </c>
      <c r="H1050">
        <v>498</v>
      </c>
      <c r="I1050">
        <v>1</v>
      </c>
    </row>
    <row r="1051" spans="1:9" x14ac:dyDescent="0.25">
      <c r="A1051" t="s">
        <v>2514</v>
      </c>
      <c r="B1051" t="s">
        <v>1690</v>
      </c>
      <c r="C1051">
        <v>40</v>
      </c>
      <c r="D1051">
        <v>0</v>
      </c>
      <c r="E1051">
        <v>0</v>
      </c>
      <c r="F1051">
        <v>0</v>
      </c>
      <c r="G1051">
        <v>0</v>
      </c>
      <c r="H1051">
        <v>40</v>
      </c>
      <c r="I1051">
        <v>1</v>
      </c>
    </row>
    <row r="1052" spans="1:9" x14ac:dyDescent="0.25">
      <c r="A1052" t="s">
        <v>2397</v>
      </c>
      <c r="B1052" t="s">
        <v>1381</v>
      </c>
      <c r="C1052">
        <v>41</v>
      </c>
      <c r="D1052">
        <v>0</v>
      </c>
      <c r="E1052">
        <v>0</v>
      </c>
      <c r="F1052">
        <v>0</v>
      </c>
      <c r="G1052">
        <v>0</v>
      </c>
      <c r="H1052">
        <v>41</v>
      </c>
      <c r="I1052">
        <v>1</v>
      </c>
    </row>
    <row r="1053" spans="1:9" x14ac:dyDescent="0.25">
      <c r="A1053" t="s">
        <v>14829</v>
      </c>
      <c r="B1053" t="s">
        <v>14390</v>
      </c>
      <c r="C1053">
        <v>92</v>
      </c>
      <c r="D1053">
        <v>0</v>
      </c>
      <c r="E1053">
        <v>0</v>
      </c>
      <c r="F1053">
        <v>0</v>
      </c>
      <c r="G1053">
        <v>0</v>
      </c>
      <c r="H1053">
        <v>92</v>
      </c>
      <c r="I1053">
        <v>1</v>
      </c>
    </row>
    <row r="1054" spans="1:9" x14ac:dyDescent="0.25">
      <c r="A1054" t="s">
        <v>2387</v>
      </c>
      <c r="B1054" t="s">
        <v>1382</v>
      </c>
      <c r="C1054">
        <v>26</v>
      </c>
      <c r="D1054">
        <v>0</v>
      </c>
      <c r="E1054">
        <v>0</v>
      </c>
      <c r="F1054">
        <v>0</v>
      </c>
      <c r="G1054">
        <v>0</v>
      </c>
      <c r="H1054">
        <v>26</v>
      </c>
      <c r="I1054">
        <v>1</v>
      </c>
    </row>
    <row r="1055" spans="1:9" x14ac:dyDescent="0.25">
      <c r="A1055" t="s">
        <v>2418</v>
      </c>
      <c r="B1055" t="s">
        <v>1448</v>
      </c>
      <c r="C1055">
        <v>67</v>
      </c>
      <c r="D1055">
        <v>0</v>
      </c>
      <c r="E1055">
        <v>0</v>
      </c>
      <c r="F1055">
        <v>0</v>
      </c>
      <c r="G1055">
        <v>0</v>
      </c>
      <c r="H1055">
        <v>67</v>
      </c>
      <c r="I1055">
        <v>1</v>
      </c>
    </row>
    <row r="1056" spans="1:9" x14ac:dyDescent="0.25">
      <c r="A1056" t="s">
        <v>2391</v>
      </c>
      <c r="B1056" t="s">
        <v>1558</v>
      </c>
      <c r="C1056">
        <v>67</v>
      </c>
      <c r="D1056">
        <v>0</v>
      </c>
      <c r="E1056">
        <v>0</v>
      </c>
      <c r="F1056">
        <v>0</v>
      </c>
      <c r="G1056">
        <v>0</v>
      </c>
      <c r="H1056">
        <v>67</v>
      </c>
      <c r="I1056">
        <v>1</v>
      </c>
    </row>
    <row r="1057" spans="1:9" x14ac:dyDescent="0.25">
      <c r="A1057" t="s">
        <v>2503</v>
      </c>
      <c r="B1057" t="s">
        <v>1384</v>
      </c>
      <c r="C1057">
        <v>24</v>
      </c>
      <c r="D1057">
        <v>0</v>
      </c>
      <c r="E1057">
        <v>0</v>
      </c>
      <c r="F1057">
        <v>0</v>
      </c>
      <c r="G1057">
        <v>0</v>
      </c>
      <c r="H1057">
        <v>24</v>
      </c>
      <c r="I1057">
        <v>1</v>
      </c>
    </row>
    <row r="1058" spans="1:9" x14ac:dyDescent="0.25">
      <c r="A1058" t="s">
        <v>10779</v>
      </c>
      <c r="B1058" t="s">
        <v>10780</v>
      </c>
      <c r="C1058">
        <v>0</v>
      </c>
      <c r="D1058">
        <v>0</v>
      </c>
      <c r="E1058">
        <v>0</v>
      </c>
      <c r="F1058">
        <v>0</v>
      </c>
      <c r="G1058">
        <v>0</v>
      </c>
      <c r="H1058">
        <v>0</v>
      </c>
      <c r="I1058">
        <v>0</v>
      </c>
    </row>
    <row r="1059" spans="1:9" x14ac:dyDescent="0.25">
      <c r="A1059" t="s">
        <v>2406</v>
      </c>
      <c r="B1059" t="s">
        <v>1449</v>
      </c>
      <c r="C1059">
        <v>12</v>
      </c>
      <c r="D1059">
        <v>0</v>
      </c>
      <c r="E1059">
        <v>0</v>
      </c>
      <c r="F1059">
        <v>0</v>
      </c>
      <c r="G1059">
        <v>0</v>
      </c>
      <c r="H1059">
        <v>12</v>
      </c>
      <c r="I1059">
        <v>1</v>
      </c>
    </row>
    <row r="1060" spans="1:9" x14ac:dyDescent="0.25">
      <c r="A1060" t="s">
        <v>2528</v>
      </c>
      <c r="B1060" t="s">
        <v>1692</v>
      </c>
      <c r="C1060">
        <v>34</v>
      </c>
      <c r="D1060">
        <v>0</v>
      </c>
      <c r="E1060">
        <v>0</v>
      </c>
      <c r="F1060">
        <v>0</v>
      </c>
      <c r="G1060">
        <v>0</v>
      </c>
      <c r="H1060">
        <v>34</v>
      </c>
      <c r="I1060">
        <v>1</v>
      </c>
    </row>
    <row r="1061" spans="1:9" x14ac:dyDescent="0.25">
      <c r="A1061" t="s">
        <v>2491</v>
      </c>
      <c r="B1061" t="s">
        <v>1560</v>
      </c>
      <c r="C1061">
        <v>35</v>
      </c>
      <c r="D1061">
        <v>0</v>
      </c>
      <c r="E1061">
        <v>0</v>
      </c>
      <c r="F1061">
        <v>0</v>
      </c>
      <c r="G1061">
        <v>0</v>
      </c>
      <c r="H1061">
        <v>35</v>
      </c>
      <c r="I1061">
        <v>1</v>
      </c>
    </row>
    <row r="1062" spans="1:9" x14ac:dyDescent="0.25">
      <c r="A1062" t="s">
        <v>2443</v>
      </c>
      <c r="B1062" t="s">
        <v>1693</v>
      </c>
      <c r="C1062">
        <v>48</v>
      </c>
      <c r="D1062">
        <v>0</v>
      </c>
      <c r="E1062">
        <v>0</v>
      </c>
      <c r="F1062">
        <v>0</v>
      </c>
      <c r="G1062">
        <v>0</v>
      </c>
      <c r="H1062">
        <v>48</v>
      </c>
      <c r="I1062">
        <v>1</v>
      </c>
    </row>
    <row r="1063" spans="1:9" x14ac:dyDescent="0.25">
      <c r="A1063" t="s">
        <v>2449</v>
      </c>
      <c r="B1063" t="s">
        <v>1392</v>
      </c>
      <c r="C1063">
        <v>18</v>
      </c>
      <c r="D1063">
        <v>0</v>
      </c>
      <c r="E1063">
        <v>0</v>
      </c>
      <c r="F1063">
        <v>0</v>
      </c>
      <c r="G1063">
        <v>0</v>
      </c>
      <c r="H1063">
        <v>18</v>
      </c>
      <c r="I1063">
        <v>1</v>
      </c>
    </row>
    <row r="1064" spans="1:9" x14ac:dyDescent="0.25">
      <c r="A1064" t="s">
        <v>2753</v>
      </c>
      <c r="B1064" t="s">
        <v>1393</v>
      </c>
      <c r="C1064">
        <v>0</v>
      </c>
      <c r="D1064">
        <v>0</v>
      </c>
      <c r="E1064">
        <v>22</v>
      </c>
      <c r="F1064">
        <v>0</v>
      </c>
      <c r="G1064">
        <v>0</v>
      </c>
      <c r="H1064">
        <v>22</v>
      </c>
      <c r="I1064">
        <v>1</v>
      </c>
    </row>
    <row r="1065" spans="1:9" x14ac:dyDescent="0.25">
      <c r="A1065" t="s">
        <v>2488</v>
      </c>
      <c r="B1065" t="s">
        <v>1394</v>
      </c>
      <c r="C1065">
        <v>24</v>
      </c>
      <c r="D1065">
        <v>0</v>
      </c>
      <c r="E1065">
        <v>0</v>
      </c>
      <c r="F1065">
        <v>0</v>
      </c>
      <c r="G1065">
        <v>0</v>
      </c>
      <c r="H1065">
        <v>24</v>
      </c>
      <c r="I1065">
        <v>1</v>
      </c>
    </row>
    <row r="1066" spans="1:9" x14ac:dyDescent="0.25">
      <c r="A1066" t="s">
        <v>2398</v>
      </c>
      <c r="B1066" t="s">
        <v>1191</v>
      </c>
      <c r="C1066">
        <v>94</v>
      </c>
      <c r="D1066">
        <v>0</v>
      </c>
      <c r="E1066">
        <v>0</v>
      </c>
      <c r="F1066">
        <v>0</v>
      </c>
      <c r="G1066">
        <v>0</v>
      </c>
      <c r="H1066">
        <v>94</v>
      </c>
      <c r="I1066">
        <v>1</v>
      </c>
    </row>
    <row r="1067" spans="1:9" x14ac:dyDescent="0.25">
      <c r="A1067" t="s">
        <v>2460</v>
      </c>
      <c r="B1067" t="s">
        <v>1397</v>
      </c>
      <c r="C1067">
        <v>2</v>
      </c>
      <c r="D1067">
        <v>2</v>
      </c>
      <c r="E1067">
        <v>0</v>
      </c>
      <c r="F1067">
        <v>0</v>
      </c>
      <c r="G1067">
        <v>0</v>
      </c>
      <c r="H1067">
        <v>4</v>
      </c>
      <c r="I1067">
        <v>1</v>
      </c>
    </row>
    <row r="1068" spans="1:9" x14ac:dyDescent="0.25">
      <c r="A1068" t="s">
        <v>2133</v>
      </c>
      <c r="B1068" t="s">
        <v>1872</v>
      </c>
      <c r="C1068">
        <v>0</v>
      </c>
      <c r="D1068">
        <v>0</v>
      </c>
      <c r="E1068">
        <v>131</v>
      </c>
      <c r="F1068">
        <v>18</v>
      </c>
      <c r="G1068">
        <v>0</v>
      </c>
      <c r="H1068">
        <v>149</v>
      </c>
      <c r="I1068">
        <v>3</v>
      </c>
    </row>
    <row r="1069" spans="1:9" x14ac:dyDescent="0.25">
      <c r="A1069" t="s">
        <v>2573</v>
      </c>
      <c r="B1069" t="s">
        <v>922</v>
      </c>
      <c r="C1069">
        <v>0</v>
      </c>
      <c r="D1069">
        <v>0</v>
      </c>
      <c r="E1069">
        <v>0</v>
      </c>
      <c r="F1069">
        <v>90</v>
      </c>
      <c r="G1069">
        <v>0</v>
      </c>
      <c r="H1069">
        <v>90</v>
      </c>
      <c r="I1069">
        <v>5</v>
      </c>
    </row>
    <row r="1070" spans="1:9" x14ac:dyDescent="0.25">
      <c r="A1070" t="s">
        <v>1957</v>
      </c>
      <c r="B1070" t="s">
        <v>973</v>
      </c>
      <c r="C1070">
        <v>140</v>
      </c>
      <c r="D1070">
        <v>3</v>
      </c>
      <c r="E1070">
        <v>112</v>
      </c>
      <c r="F1070">
        <v>0</v>
      </c>
      <c r="G1070">
        <v>0</v>
      </c>
      <c r="H1070">
        <v>255</v>
      </c>
      <c r="I1070">
        <v>10</v>
      </c>
    </row>
    <row r="1071" spans="1:9" x14ac:dyDescent="0.25">
      <c r="A1071" t="s">
        <v>2044</v>
      </c>
      <c r="B1071" t="s">
        <v>1402</v>
      </c>
      <c r="C1071">
        <v>12</v>
      </c>
      <c r="D1071">
        <v>0</v>
      </c>
      <c r="E1071">
        <v>0</v>
      </c>
      <c r="F1071">
        <v>0</v>
      </c>
      <c r="G1071">
        <v>0</v>
      </c>
      <c r="H1071">
        <v>12</v>
      </c>
      <c r="I1071">
        <v>1</v>
      </c>
    </row>
    <row r="1072" spans="1:9" x14ac:dyDescent="0.25">
      <c r="A1072" t="s">
        <v>2010</v>
      </c>
      <c r="B1072" t="s">
        <v>975</v>
      </c>
      <c r="C1072">
        <v>225</v>
      </c>
      <c r="D1072">
        <v>0</v>
      </c>
      <c r="E1072">
        <v>0</v>
      </c>
      <c r="F1072">
        <v>0</v>
      </c>
      <c r="G1072">
        <v>0</v>
      </c>
      <c r="H1072">
        <v>225</v>
      </c>
      <c r="I1072">
        <v>5</v>
      </c>
    </row>
    <row r="1073" spans="1:9" x14ac:dyDescent="0.25">
      <c r="A1073" t="s">
        <v>2951</v>
      </c>
      <c r="B1073" t="s">
        <v>1091</v>
      </c>
      <c r="C1073">
        <v>0</v>
      </c>
      <c r="D1073">
        <v>0</v>
      </c>
      <c r="E1073">
        <v>0</v>
      </c>
      <c r="F1073">
        <v>69</v>
      </c>
      <c r="G1073">
        <v>0</v>
      </c>
      <c r="H1073">
        <v>69</v>
      </c>
      <c r="I1073">
        <v>1</v>
      </c>
    </row>
    <row r="1074" spans="1:9" x14ac:dyDescent="0.25">
      <c r="A1074" t="s">
        <v>10580</v>
      </c>
      <c r="B1074" t="s">
        <v>10581</v>
      </c>
      <c r="C1074">
        <v>0</v>
      </c>
      <c r="D1074">
        <v>0</v>
      </c>
      <c r="E1074">
        <v>0</v>
      </c>
      <c r="F1074">
        <v>0</v>
      </c>
      <c r="G1074">
        <v>0</v>
      </c>
      <c r="H1074">
        <v>0</v>
      </c>
      <c r="I1074">
        <v>0</v>
      </c>
    </row>
    <row r="1075" spans="1:9" x14ac:dyDescent="0.25">
      <c r="A1075" t="s">
        <v>11736</v>
      </c>
      <c r="B1075" t="s">
        <v>11737</v>
      </c>
      <c r="C1075">
        <v>0</v>
      </c>
      <c r="D1075">
        <v>0</v>
      </c>
      <c r="E1075">
        <v>0</v>
      </c>
      <c r="F1075">
        <v>0</v>
      </c>
      <c r="G1075">
        <v>0</v>
      </c>
      <c r="H1075">
        <v>0</v>
      </c>
      <c r="I1075">
        <v>0</v>
      </c>
    </row>
    <row r="1076" spans="1:9" x14ac:dyDescent="0.25">
      <c r="A1076" t="s">
        <v>2710</v>
      </c>
      <c r="B1076" t="s">
        <v>11738</v>
      </c>
      <c r="C1076">
        <v>0</v>
      </c>
      <c r="D1076">
        <v>0</v>
      </c>
      <c r="E1076">
        <v>0</v>
      </c>
      <c r="F1076">
        <v>0</v>
      </c>
      <c r="G1076">
        <v>0</v>
      </c>
      <c r="H1076">
        <v>0</v>
      </c>
      <c r="I1076">
        <v>0</v>
      </c>
    </row>
    <row r="1077" spans="1:9" x14ac:dyDescent="0.25">
      <c r="A1077" t="s">
        <v>10583</v>
      </c>
      <c r="B1077" t="s">
        <v>10584</v>
      </c>
      <c r="C1077">
        <v>0</v>
      </c>
      <c r="D1077">
        <v>0</v>
      </c>
      <c r="E1077">
        <v>0</v>
      </c>
      <c r="F1077">
        <v>42</v>
      </c>
      <c r="G1077">
        <v>0</v>
      </c>
      <c r="H1077">
        <v>42</v>
      </c>
      <c r="I1077">
        <v>1</v>
      </c>
    </row>
    <row r="1078" spans="1:9" x14ac:dyDescent="0.25">
      <c r="A1078" t="s">
        <v>10585</v>
      </c>
      <c r="B1078" t="s">
        <v>10586</v>
      </c>
      <c r="C1078">
        <v>0</v>
      </c>
      <c r="D1078">
        <v>0</v>
      </c>
      <c r="E1078">
        <v>0</v>
      </c>
      <c r="F1078">
        <v>10</v>
      </c>
      <c r="G1078">
        <v>0</v>
      </c>
      <c r="H1078">
        <v>10</v>
      </c>
      <c r="I1078">
        <v>1</v>
      </c>
    </row>
    <row r="1079" spans="1:9" x14ac:dyDescent="0.25">
      <c r="A1079" t="s">
        <v>10593</v>
      </c>
      <c r="B1079" t="s">
        <v>10594</v>
      </c>
      <c r="C1079">
        <v>61</v>
      </c>
      <c r="D1079">
        <v>0</v>
      </c>
      <c r="E1079">
        <v>0</v>
      </c>
      <c r="F1079">
        <v>0</v>
      </c>
      <c r="G1079">
        <v>0</v>
      </c>
      <c r="H1079">
        <v>61</v>
      </c>
      <c r="I1079">
        <v>1</v>
      </c>
    </row>
    <row r="1080" spans="1:9" x14ac:dyDescent="0.25">
      <c r="A1080" t="s">
        <v>2746</v>
      </c>
      <c r="B1080" t="s">
        <v>1108</v>
      </c>
      <c r="C1080">
        <v>0</v>
      </c>
      <c r="D1080">
        <v>0</v>
      </c>
      <c r="E1080">
        <v>0</v>
      </c>
      <c r="F1080">
        <v>44</v>
      </c>
      <c r="G1080">
        <v>0</v>
      </c>
      <c r="H1080">
        <v>44</v>
      </c>
      <c r="I1080">
        <v>2</v>
      </c>
    </row>
    <row r="1081" spans="1:9" x14ac:dyDescent="0.25">
      <c r="A1081" t="s">
        <v>2569</v>
      </c>
      <c r="B1081" t="s">
        <v>1219</v>
      </c>
      <c r="C1081">
        <v>77</v>
      </c>
      <c r="D1081">
        <v>56</v>
      </c>
      <c r="E1081">
        <v>224</v>
      </c>
      <c r="F1081">
        <v>0</v>
      </c>
      <c r="G1081">
        <v>0</v>
      </c>
      <c r="H1081">
        <v>357</v>
      </c>
      <c r="I1081">
        <v>16</v>
      </c>
    </row>
    <row r="1082" spans="1:9" x14ac:dyDescent="0.25">
      <c r="A1082" t="s">
        <v>2756</v>
      </c>
      <c r="B1082" t="s">
        <v>1223</v>
      </c>
      <c r="C1082">
        <v>5</v>
      </c>
      <c r="D1082">
        <v>0</v>
      </c>
      <c r="E1082">
        <v>0</v>
      </c>
      <c r="F1082">
        <v>193</v>
      </c>
      <c r="G1082">
        <v>0</v>
      </c>
      <c r="H1082">
        <v>198</v>
      </c>
      <c r="I1082">
        <v>3</v>
      </c>
    </row>
    <row r="1083" spans="1:9" x14ac:dyDescent="0.25">
      <c r="A1083" t="s">
        <v>2760</v>
      </c>
      <c r="B1083" t="s">
        <v>1476</v>
      </c>
      <c r="C1083">
        <v>357</v>
      </c>
      <c r="D1083">
        <v>0</v>
      </c>
      <c r="E1083">
        <v>78</v>
      </c>
      <c r="F1083">
        <v>0</v>
      </c>
      <c r="G1083">
        <v>0</v>
      </c>
      <c r="H1083">
        <v>435</v>
      </c>
      <c r="I1083">
        <v>2</v>
      </c>
    </row>
    <row r="1084" spans="1:9" x14ac:dyDescent="0.25">
      <c r="A1084" t="s">
        <v>2679</v>
      </c>
      <c r="B1084" t="s">
        <v>1728</v>
      </c>
      <c r="C1084">
        <v>44</v>
      </c>
      <c r="D1084">
        <v>0</v>
      </c>
      <c r="E1084">
        <v>213</v>
      </c>
      <c r="F1084">
        <v>242</v>
      </c>
      <c r="G1084">
        <v>0</v>
      </c>
      <c r="H1084">
        <v>499</v>
      </c>
      <c r="I1084">
        <v>2</v>
      </c>
    </row>
    <row r="1085" spans="1:9" x14ac:dyDescent="0.25">
      <c r="A1085" t="s">
        <v>2983</v>
      </c>
      <c r="B1085" t="s">
        <v>1236</v>
      </c>
      <c r="C1085">
        <v>0</v>
      </c>
      <c r="D1085">
        <v>25</v>
      </c>
      <c r="E1085">
        <v>0</v>
      </c>
      <c r="F1085">
        <v>0</v>
      </c>
      <c r="G1085">
        <v>0</v>
      </c>
      <c r="H1085">
        <v>25</v>
      </c>
      <c r="I1085">
        <v>1</v>
      </c>
    </row>
    <row r="1086" spans="1:9" x14ac:dyDescent="0.25">
      <c r="A1086" t="s">
        <v>2252</v>
      </c>
      <c r="B1086" t="s">
        <v>1816</v>
      </c>
      <c r="C1086">
        <v>0</v>
      </c>
      <c r="D1086">
        <v>0</v>
      </c>
      <c r="E1086">
        <v>0</v>
      </c>
      <c r="F1086">
        <v>32</v>
      </c>
      <c r="G1086">
        <v>0</v>
      </c>
      <c r="H1086">
        <v>32</v>
      </c>
      <c r="I1086">
        <v>1</v>
      </c>
    </row>
    <row r="1087" spans="1:9" x14ac:dyDescent="0.25">
      <c r="A1087" t="s">
        <v>2643</v>
      </c>
      <c r="B1087" t="s">
        <v>1602</v>
      </c>
      <c r="C1087">
        <v>0</v>
      </c>
      <c r="D1087">
        <v>0</v>
      </c>
      <c r="E1087">
        <v>0</v>
      </c>
      <c r="F1087">
        <v>91</v>
      </c>
      <c r="G1087">
        <v>0</v>
      </c>
      <c r="H1087">
        <v>91</v>
      </c>
      <c r="I1087">
        <v>1</v>
      </c>
    </row>
    <row r="1088" spans="1:9" x14ac:dyDescent="0.25">
      <c r="A1088" t="s">
        <v>2800</v>
      </c>
      <c r="B1088" t="s">
        <v>1732</v>
      </c>
      <c r="C1088">
        <v>293</v>
      </c>
      <c r="D1088">
        <v>0</v>
      </c>
      <c r="E1088">
        <v>0</v>
      </c>
      <c r="F1088">
        <v>0</v>
      </c>
      <c r="G1088">
        <v>0</v>
      </c>
      <c r="H1088">
        <v>293</v>
      </c>
      <c r="I1088">
        <v>2</v>
      </c>
    </row>
    <row r="1089" spans="1:9" x14ac:dyDescent="0.25">
      <c r="A1089" t="s">
        <v>2652</v>
      </c>
      <c r="B1089" t="s">
        <v>1246</v>
      </c>
      <c r="C1089">
        <v>124</v>
      </c>
      <c r="D1089">
        <v>0</v>
      </c>
      <c r="E1089">
        <v>0</v>
      </c>
      <c r="F1089">
        <v>0</v>
      </c>
      <c r="G1089">
        <v>0</v>
      </c>
      <c r="H1089">
        <v>124</v>
      </c>
      <c r="I1089">
        <v>1</v>
      </c>
    </row>
    <row r="1090" spans="1:9" x14ac:dyDescent="0.25">
      <c r="A1090" t="s">
        <v>2667</v>
      </c>
      <c r="B1090" t="s">
        <v>1254</v>
      </c>
      <c r="C1090">
        <v>17</v>
      </c>
      <c r="D1090">
        <v>0</v>
      </c>
      <c r="E1090">
        <v>0</v>
      </c>
      <c r="F1090">
        <v>0</v>
      </c>
      <c r="G1090">
        <v>0</v>
      </c>
      <c r="H1090">
        <v>17</v>
      </c>
      <c r="I1090">
        <v>1</v>
      </c>
    </row>
    <row r="1091" spans="1:9" x14ac:dyDescent="0.25">
      <c r="A1091" t="s">
        <v>2718</v>
      </c>
      <c r="B1091" t="s">
        <v>1888</v>
      </c>
      <c r="C1091">
        <v>33</v>
      </c>
      <c r="D1091">
        <v>0</v>
      </c>
      <c r="E1091">
        <v>0</v>
      </c>
      <c r="F1091">
        <v>0</v>
      </c>
      <c r="G1091">
        <v>0</v>
      </c>
      <c r="H1091">
        <v>33</v>
      </c>
      <c r="I1091">
        <v>1</v>
      </c>
    </row>
    <row r="1092" spans="1:9" x14ac:dyDescent="0.25">
      <c r="A1092" t="s">
        <v>2744</v>
      </c>
      <c r="B1092" t="s">
        <v>1263</v>
      </c>
      <c r="C1092">
        <v>115</v>
      </c>
      <c r="D1092">
        <v>6</v>
      </c>
      <c r="E1092">
        <v>0</v>
      </c>
      <c r="F1092">
        <v>17</v>
      </c>
      <c r="G1092">
        <v>0</v>
      </c>
      <c r="H1092">
        <v>138</v>
      </c>
      <c r="I1092">
        <v>2</v>
      </c>
    </row>
    <row r="1093" spans="1:9" x14ac:dyDescent="0.25">
      <c r="A1093" t="s">
        <v>2042</v>
      </c>
      <c r="B1093" t="s">
        <v>1121</v>
      </c>
      <c r="C1093">
        <v>22</v>
      </c>
      <c r="D1093">
        <v>0</v>
      </c>
      <c r="E1093">
        <v>0</v>
      </c>
      <c r="F1093">
        <v>0</v>
      </c>
      <c r="G1093">
        <v>0</v>
      </c>
      <c r="H1093">
        <v>22</v>
      </c>
      <c r="I1093">
        <v>1</v>
      </c>
    </row>
    <row r="1094" spans="1:9" x14ac:dyDescent="0.25">
      <c r="A1094" t="s">
        <v>2961</v>
      </c>
      <c r="B1094" t="s">
        <v>1270</v>
      </c>
      <c r="C1094">
        <v>0</v>
      </c>
      <c r="D1094">
        <v>0</v>
      </c>
      <c r="E1094">
        <v>0</v>
      </c>
      <c r="F1094">
        <v>70</v>
      </c>
      <c r="G1094">
        <v>0</v>
      </c>
      <c r="H1094">
        <v>70</v>
      </c>
      <c r="I1094">
        <v>1</v>
      </c>
    </row>
    <row r="1095" spans="1:9" x14ac:dyDescent="0.25">
      <c r="A1095" t="s">
        <v>2981</v>
      </c>
      <c r="B1095" t="s">
        <v>1124</v>
      </c>
      <c r="C1095">
        <v>531</v>
      </c>
      <c r="D1095">
        <v>0</v>
      </c>
      <c r="E1095">
        <v>38</v>
      </c>
      <c r="F1095">
        <v>25</v>
      </c>
      <c r="G1095">
        <v>0</v>
      </c>
      <c r="H1095">
        <v>594</v>
      </c>
      <c r="I1095">
        <v>13</v>
      </c>
    </row>
    <row r="1096" spans="1:9" x14ac:dyDescent="0.25">
      <c r="A1096" t="s">
        <v>2812</v>
      </c>
      <c r="B1096" t="s">
        <v>1510</v>
      </c>
      <c r="C1096">
        <v>106</v>
      </c>
      <c r="D1096">
        <v>0</v>
      </c>
      <c r="E1096">
        <v>0</v>
      </c>
      <c r="F1096">
        <v>0</v>
      </c>
      <c r="G1096">
        <v>0</v>
      </c>
      <c r="H1096">
        <v>106</v>
      </c>
      <c r="I1096">
        <v>3</v>
      </c>
    </row>
    <row r="1097" spans="1:9" x14ac:dyDescent="0.25">
      <c r="A1097" t="s">
        <v>2867</v>
      </c>
      <c r="B1097" t="s">
        <v>1827</v>
      </c>
      <c r="C1097">
        <v>200</v>
      </c>
      <c r="D1097">
        <v>0</v>
      </c>
      <c r="E1097">
        <v>0</v>
      </c>
      <c r="F1097">
        <v>0</v>
      </c>
      <c r="G1097">
        <v>0</v>
      </c>
      <c r="H1097">
        <v>200</v>
      </c>
      <c r="I1097">
        <v>1</v>
      </c>
    </row>
    <row r="1098" spans="1:9" x14ac:dyDescent="0.25">
      <c r="A1098" t="s">
        <v>2670</v>
      </c>
      <c r="B1098" t="s">
        <v>1514</v>
      </c>
      <c r="C1098">
        <v>51</v>
      </c>
      <c r="D1098">
        <v>0</v>
      </c>
      <c r="E1098">
        <v>0</v>
      </c>
      <c r="F1098">
        <v>0</v>
      </c>
      <c r="G1098">
        <v>0</v>
      </c>
      <c r="H1098">
        <v>51</v>
      </c>
      <c r="I1098">
        <v>1</v>
      </c>
    </row>
    <row r="1099" spans="1:9" x14ac:dyDescent="0.25">
      <c r="A1099" t="s">
        <v>2941</v>
      </c>
      <c r="B1099" t="s">
        <v>1027</v>
      </c>
      <c r="C1099">
        <v>0</v>
      </c>
      <c r="D1099">
        <v>0</v>
      </c>
      <c r="E1099">
        <v>0</v>
      </c>
      <c r="F1099">
        <v>110</v>
      </c>
      <c r="G1099">
        <v>0</v>
      </c>
      <c r="H1099">
        <v>110</v>
      </c>
      <c r="I1099">
        <v>1</v>
      </c>
    </row>
    <row r="1100" spans="1:9" x14ac:dyDescent="0.25">
      <c r="A1100" t="s">
        <v>2728</v>
      </c>
      <c r="B1100" t="s">
        <v>947</v>
      </c>
      <c r="C1100">
        <v>0</v>
      </c>
      <c r="D1100">
        <v>0</v>
      </c>
      <c r="E1100">
        <v>0</v>
      </c>
      <c r="F1100">
        <v>102</v>
      </c>
      <c r="G1100">
        <v>0</v>
      </c>
      <c r="H1100">
        <v>102</v>
      </c>
      <c r="I1100">
        <v>1</v>
      </c>
    </row>
    <row r="1101" spans="1:9" x14ac:dyDescent="0.25">
      <c r="A1101" t="s">
        <v>2037</v>
      </c>
      <c r="B1101" t="s">
        <v>1032</v>
      </c>
      <c r="C1101">
        <v>0</v>
      </c>
      <c r="D1101">
        <v>0</v>
      </c>
      <c r="E1101">
        <v>37</v>
      </c>
      <c r="F1101">
        <v>0</v>
      </c>
      <c r="G1101">
        <v>0</v>
      </c>
      <c r="H1101">
        <v>37</v>
      </c>
      <c r="I1101">
        <v>3</v>
      </c>
    </row>
    <row r="1102" spans="1:9" x14ac:dyDescent="0.25">
      <c r="A1102" t="s">
        <v>2556</v>
      </c>
      <c r="B1102" t="s">
        <v>1830</v>
      </c>
      <c r="C1102">
        <v>52</v>
      </c>
      <c r="D1102">
        <v>0</v>
      </c>
      <c r="E1102">
        <v>4</v>
      </c>
      <c r="F1102">
        <v>50</v>
      </c>
      <c r="G1102">
        <v>0</v>
      </c>
      <c r="H1102">
        <v>106</v>
      </c>
      <c r="I1102">
        <v>2</v>
      </c>
    </row>
    <row r="1103" spans="1:9" x14ac:dyDescent="0.25">
      <c r="A1103" t="s">
        <v>2992</v>
      </c>
      <c r="B1103" t="s">
        <v>1305</v>
      </c>
      <c r="C1103">
        <v>443</v>
      </c>
      <c r="D1103">
        <v>0</v>
      </c>
      <c r="E1103">
        <v>0</v>
      </c>
      <c r="F1103">
        <v>53</v>
      </c>
      <c r="G1103">
        <v>0</v>
      </c>
      <c r="H1103">
        <v>496</v>
      </c>
      <c r="I1103">
        <v>5</v>
      </c>
    </row>
    <row r="1104" spans="1:9" x14ac:dyDescent="0.25">
      <c r="A1104" t="s">
        <v>2807</v>
      </c>
      <c r="B1104" t="s">
        <v>1310</v>
      </c>
      <c r="C1104">
        <v>165</v>
      </c>
      <c r="D1104">
        <v>0</v>
      </c>
      <c r="E1104">
        <v>0</v>
      </c>
      <c r="F1104">
        <v>0</v>
      </c>
      <c r="G1104">
        <v>0</v>
      </c>
      <c r="H1104">
        <v>165</v>
      </c>
      <c r="I1104">
        <v>3</v>
      </c>
    </row>
    <row r="1105" spans="1:9" x14ac:dyDescent="0.25">
      <c r="A1105" t="s">
        <v>2772</v>
      </c>
      <c r="B1105" t="s">
        <v>9806</v>
      </c>
      <c r="C1105">
        <v>53</v>
      </c>
      <c r="D1105">
        <v>2</v>
      </c>
      <c r="E1105">
        <v>0</v>
      </c>
      <c r="F1105">
        <v>0</v>
      </c>
      <c r="G1105">
        <v>0</v>
      </c>
      <c r="H1105">
        <v>55</v>
      </c>
      <c r="I1105">
        <v>2</v>
      </c>
    </row>
    <row r="1106" spans="1:9" x14ac:dyDescent="0.25">
      <c r="A1106" t="s">
        <v>2734</v>
      </c>
      <c r="B1106" t="s">
        <v>1312</v>
      </c>
      <c r="C1106">
        <v>0</v>
      </c>
      <c r="D1106">
        <v>0</v>
      </c>
      <c r="E1106">
        <v>61</v>
      </c>
      <c r="F1106">
        <v>0</v>
      </c>
      <c r="G1106">
        <v>0</v>
      </c>
      <c r="H1106">
        <v>61</v>
      </c>
      <c r="I1106">
        <v>1</v>
      </c>
    </row>
    <row r="1107" spans="1:9" x14ac:dyDescent="0.25">
      <c r="A1107" t="s">
        <v>2959</v>
      </c>
      <c r="B1107" t="s">
        <v>1313</v>
      </c>
      <c r="C1107">
        <v>0</v>
      </c>
      <c r="D1107">
        <v>0</v>
      </c>
      <c r="E1107">
        <v>3</v>
      </c>
      <c r="F1107">
        <v>8</v>
      </c>
      <c r="G1107">
        <v>0</v>
      </c>
      <c r="H1107">
        <v>11</v>
      </c>
      <c r="I1107">
        <v>1</v>
      </c>
    </row>
    <row r="1108" spans="1:9" x14ac:dyDescent="0.25">
      <c r="A1108" t="s">
        <v>10693</v>
      </c>
      <c r="B1108" t="s">
        <v>10694</v>
      </c>
      <c r="C1108">
        <v>8</v>
      </c>
      <c r="D1108">
        <v>0</v>
      </c>
      <c r="E1108">
        <v>0</v>
      </c>
      <c r="F1108">
        <v>0</v>
      </c>
      <c r="G1108">
        <v>0</v>
      </c>
      <c r="H1108">
        <v>8</v>
      </c>
      <c r="I1108">
        <v>1</v>
      </c>
    </row>
    <row r="1109" spans="1:9" x14ac:dyDescent="0.25">
      <c r="A1109" t="s">
        <v>10695</v>
      </c>
      <c r="B1109" t="s">
        <v>10696</v>
      </c>
      <c r="C1109">
        <v>0</v>
      </c>
      <c r="D1109">
        <v>0</v>
      </c>
      <c r="E1109">
        <v>0</v>
      </c>
      <c r="F1109">
        <v>0</v>
      </c>
      <c r="G1109">
        <v>0</v>
      </c>
      <c r="H1109">
        <v>0</v>
      </c>
      <c r="I1109">
        <v>0</v>
      </c>
    </row>
    <row r="1110" spans="1:9" x14ac:dyDescent="0.25">
      <c r="A1110" t="s">
        <v>2612</v>
      </c>
      <c r="B1110" t="s">
        <v>1323</v>
      </c>
      <c r="C1110">
        <v>0</v>
      </c>
      <c r="D1110">
        <v>0</v>
      </c>
      <c r="E1110">
        <v>71</v>
      </c>
      <c r="F1110">
        <v>0</v>
      </c>
      <c r="G1110">
        <v>0</v>
      </c>
      <c r="H1110">
        <v>71</v>
      </c>
      <c r="I1110">
        <v>6</v>
      </c>
    </row>
    <row r="1111" spans="1:9" x14ac:dyDescent="0.25">
      <c r="A1111" t="s">
        <v>10703</v>
      </c>
      <c r="B1111" t="s">
        <v>10704</v>
      </c>
      <c r="C1111">
        <v>0</v>
      </c>
      <c r="D1111">
        <v>0</v>
      </c>
      <c r="E1111">
        <v>0</v>
      </c>
      <c r="F1111">
        <v>0</v>
      </c>
      <c r="G1111">
        <v>0</v>
      </c>
      <c r="H1111">
        <v>0</v>
      </c>
      <c r="I1111">
        <v>0</v>
      </c>
    </row>
    <row r="1112" spans="1:9" x14ac:dyDescent="0.25">
      <c r="A1112" t="s">
        <v>15626</v>
      </c>
      <c r="B1112" t="s">
        <v>15627</v>
      </c>
      <c r="C1112">
        <v>0</v>
      </c>
      <c r="D1112">
        <v>0</v>
      </c>
      <c r="E1112">
        <v>0</v>
      </c>
      <c r="F1112">
        <v>0</v>
      </c>
      <c r="G1112">
        <v>0</v>
      </c>
      <c r="H1112">
        <v>0</v>
      </c>
      <c r="I1112">
        <v>0</v>
      </c>
    </row>
    <row r="1113" spans="1:9" x14ac:dyDescent="0.25">
      <c r="A1113" t="s">
        <v>2775</v>
      </c>
      <c r="B1113" t="s">
        <v>11697</v>
      </c>
      <c r="C1113">
        <v>188</v>
      </c>
      <c r="D1113">
        <v>0</v>
      </c>
      <c r="E1113">
        <v>0</v>
      </c>
      <c r="F1113">
        <v>0</v>
      </c>
      <c r="G1113">
        <v>0</v>
      </c>
      <c r="H1113">
        <v>188</v>
      </c>
      <c r="I1113">
        <v>1</v>
      </c>
    </row>
    <row r="1114" spans="1:9" x14ac:dyDescent="0.25">
      <c r="A1114" t="s">
        <v>2701</v>
      </c>
      <c r="B1114" t="s">
        <v>1150</v>
      </c>
      <c r="C1114">
        <v>0</v>
      </c>
      <c r="D1114">
        <v>0</v>
      </c>
      <c r="E1114">
        <v>0</v>
      </c>
      <c r="F1114">
        <v>27</v>
      </c>
      <c r="G1114">
        <v>0</v>
      </c>
      <c r="H1114">
        <v>27</v>
      </c>
      <c r="I1114">
        <v>1</v>
      </c>
    </row>
    <row r="1115" spans="1:9" x14ac:dyDescent="0.25">
      <c r="A1115" t="s">
        <v>2107</v>
      </c>
      <c r="B1115" t="s">
        <v>1757</v>
      </c>
      <c r="C1115">
        <v>4</v>
      </c>
      <c r="D1115">
        <v>0</v>
      </c>
      <c r="E1115">
        <v>0</v>
      </c>
      <c r="F1115">
        <v>0</v>
      </c>
      <c r="G1115">
        <v>0</v>
      </c>
      <c r="H1115">
        <v>4</v>
      </c>
      <c r="I1115">
        <v>1</v>
      </c>
    </row>
    <row r="1116" spans="1:9" x14ac:dyDescent="0.25">
      <c r="A1116" t="s">
        <v>15059</v>
      </c>
      <c r="B1116" t="s">
        <v>14379</v>
      </c>
      <c r="C1116">
        <v>0</v>
      </c>
      <c r="D1116">
        <v>0</v>
      </c>
      <c r="E1116">
        <v>20</v>
      </c>
      <c r="F1116">
        <v>0</v>
      </c>
      <c r="G1116">
        <v>0</v>
      </c>
      <c r="H1116">
        <v>20</v>
      </c>
      <c r="I1116">
        <v>1</v>
      </c>
    </row>
    <row r="1117" spans="1:9" x14ac:dyDescent="0.25">
      <c r="A1117" t="s">
        <v>2984</v>
      </c>
      <c r="B1117" t="s">
        <v>1338</v>
      </c>
      <c r="C1117">
        <v>471</v>
      </c>
      <c r="D1117">
        <v>0</v>
      </c>
      <c r="E1117">
        <v>14</v>
      </c>
      <c r="F1117">
        <v>0</v>
      </c>
      <c r="G1117">
        <v>0</v>
      </c>
      <c r="H1117">
        <v>485</v>
      </c>
      <c r="I1117">
        <v>3</v>
      </c>
    </row>
    <row r="1118" spans="1:9" x14ac:dyDescent="0.25">
      <c r="A1118" t="s">
        <v>2740</v>
      </c>
      <c r="B1118" t="s">
        <v>1841</v>
      </c>
      <c r="C1118">
        <v>281</v>
      </c>
      <c r="D1118">
        <v>0</v>
      </c>
      <c r="E1118">
        <v>0</v>
      </c>
      <c r="F1118">
        <v>20</v>
      </c>
      <c r="G1118">
        <v>0</v>
      </c>
      <c r="H1118">
        <v>301</v>
      </c>
      <c r="I1118">
        <v>2</v>
      </c>
    </row>
    <row r="1119" spans="1:9" x14ac:dyDescent="0.25">
      <c r="A1119" t="s">
        <v>2535</v>
      </c>
      <c r="B1119" t="s">
        <v>1763</v>
      </c>
      <c r="C1119">
        <v>0</v>
      </c>
      <c r="D1119">
        <v>0</v>
      </c>
      <c r="E1119">
        <v>0</v>
      </c>
      <c r="F1119">
        <v>26</v>
      </c>
      <c r="G1119">
        <v>0</v>
      </c>
      <c r="H1119">
        <v>26</v>
      </c>
      <c r="I1119">
        <v>1</v>
      </c>
    </row>
    <row r="1120" spans="1:9" x14ac:dyDescent="0.25">
      <c r="A1120" t="s">
        <v>2834</v>
      </c>
      <c r="B1120" t="s">
        <v>1845</v>
      </c>
      <c r="C1120">
        <v>0</v>
      </c>
      <c r="D1120">
        <v>0</v>
      </c>
      <c r="E1120">
        <v>32</v>
      </c>
      <c r="F1120">
        <v>81</v>
      </c>
      <c r="G1120">
        <v>0</v>
      </c>
      <c r="H1120">
        <v>113</v>
      </c>
      <c r="I1120">
        <v>1</v>
      </c>
    </row>
    <row r="1121" spans="1:9" x14ac:dyDescent="0.25">
      <c r="A1121" t="s">
        <v>2410</v>
      </c>
      <c r="B1121" t="s">
        <v>1343</v>
      </c>
      <c r="C1121">
        <v>678</v>
      </c>
      <c r="D1121">
        <v>0</v>
      </c>
      <c r="E1121">
        <v>0</v>
      </c>
      <c r="F1121">
        <v>0</v>
      </c>
      <c r="G1121">
        <v>0</v>
      </c>
      <c r="H1121">
        <v>678</v>
      </c>
      <c r="I1121">
        <v>1</v>
      </c>
    </row>
    <row r="1122" spans="1:9" x14ac:dyDescent="0.25">
      <c r="A1122" t="s">
        <v>2723</v>
      </c>
      <c r="B1122" t="s">
        <v>1440</v>
      </c>
      <c r="C1122">
        <v>90</v>
      </c>
      <c r="D1122">
        <v>0</v>
      </c>
      <c r="E1122">
        <v>25</v>
      </c>
      <c r="F1122">
        <v>0</v>
      </c>
      <c r="G1122">
        <v>0</v>
      </c>
      <c r="H1122">
        <v>115</v>
      </c>
      <c r="I1122">
        <v>1</v>
      </c>
    </row>
    <row r="1123" spans="1:9" x14ac:dyDescent="0.25">
      <c r="A1123" t="s">
        <v>2794</v>
      </c>
      <c r="B1123" t="s">
        <v>1849</v>
      </c>
      <c r="C1123">
        <v>64</v>
      </c>
      <c r="D1123">
        <v>0</v>
      </c>
      <c r="E1123">
        <v>513</v>
      </c>
      <c r="F1123">
        <v>41</v>
      </c>
      <c r="G1123">
        <v>0</v>
      </c>
      <c r="H1123">
        <v>618</v>
      </c>
      <c r="I1123">
        <v>5</v>
      </c>
    </row>
    <row r="1124" spans="1:9" x14ac:dyDescent="0.25">
      <c r="A1124" t="s">
        <v>2804</v>
      </c>
      <c r="B1124" t="s">
        <v>1544</v>
      </c>
      <c r="C1124">
        <v>195</v>
      </c>
      <c r="D1124">
        <v>0</v>
      </c>
      <c r="E1124">
        <v>82</v>
      </c>
      <c r="F1124">
        <v>0</v>
      </c>
      <c r="G1124">
        <v>0</v>
      </c>
      <c r="H1124">
        <v>277</v>
      </c>
      <c r="I1124">
        <v>1</v>
      </c>
    </row>
    <row r="1125" spans="1:9" x14ac:dyDescent="0.25">
      <c r="A1125" t="s">
        <v>2640</v>
      </c>
      <c r="B1125" t="s">
        <v>1851</v>
      </c>
      <c r="C1125">
        <v>588</v>
      </c>
      <c r="D1125">
        <v>0</v>
      </c>
      <c r="E1125">
        <v>0</v>
      </c>
      <c r="F1125">
        <v>0</v>
      </c>
      <c r="G1125">
        <v>0</v>
      </c>
      <c r="H1125">
        <v>588</v>
      </c>
      <c r="I1125">
        <v>1</v>
      </c>
    </row>
    <row r="1126" spans="1:9" x14ac:dyDescent="0.25">
      <c r="A1126" t="s">
        <v>2863</v>
      </c>
      <c r="B1126" t="s">
        <v>1160</v>
      </c>
      <c r="C1126">
        <v>308</v>
      </c>
      <c r="D1126">
        <v>0</v>
      </c>
      <c r="E1126">
        <v>0</v>
      </c>
      <c r="F1126">
        <v>0</v>
      </c>
      <c r="G1126">
        <v>0</v>
      </c>
      <c r="H1126">
        <v>308</v>
      </c>
      <c r="I1126">
        <v>12</v>
      </c>
    </row>
    <row r="1127" spans="1:9" x14ac:dyDescent="0.25">
      <c r="A1127" t="s">
        <v>2927</v>
      </c>
      <c r="B1127" t="s">
        <v>1353</v>
      </c>
      <c r="C1127">
        <v>293</v>
      </c>
      <c r="D1127">
        <v>15</v>
      </c>
      <c r="E1127">
        <v>0</v>
      </c>
      <c r="F1127">
        <v>274</v>
      </c>
      <c r="G1127">
        <v>0</v>
      </c>
      <c r="H1127">
        <v>582</v>
      </c>
      <c r="I1127">
        <v>12</v>
      </c>
    </row>
    <row r="1128" spans="1:9" x14ac:dyDescent="0.25">
      <c r="A1128" t="s">
        <v>2748</v>
      </c>
      <c r="B1128" t="s">
        <v>1666</v>
      </c>
      <c r="C1128">
        <v>0</v>
      </c>
      <c r="D1128">
        <v>0</v>
      </c>
      <c r="E1128">
        <v>0</v>
      </c>
      <c r="F1128">
        <v>99</v>
      </c>
      <c r="G1128">
        <v>0</v>
      </c>
      <c r="H1128">
        <v>99</v>
      </c>
      <c r="I1128">
        <v>2</v>
      </c>
    </row>
    <row r="1129" spans="1:9" x14ac:dyDescent="0.25">
      <c r="A1129" t="s">
        <v>2582</v>
      </c>
      <c r="B1129" t="s">
        <v>1547</v>
      </c>
      <c r="C1129">
        <v>0</v>
      </c>
      <c r="D1129">
        <v>0</v>
      </c>
      <c r="E1129">
        <v>0</v>
      </c>
      <c r="F1129">
        <v>33</v>
      </c>
      <c r="G1129">
        <v>0</v>
      </c>
      <c r="H1129">
        <v>33</v>
      </c>
      <c r="I1129">
        <v>1</v>
      </c>
    </row>
    <row r="1130" spans="1:9" x14ac:dyDescent="0.25">
      <c r="A1130" t="s">
        <v>2241</v>
      </c>
      <c r="B1130" t="s">
        <v>9844</v>
      </c>
      <c r="C1130">
        <v>11</v>
      </c>
      <c r="D1130">
        <v>0</v>
      </c>
      <c r="E1130">
        <v>0</v>
      </c>
      <c r="F1130">
        <v>36</v>
      </c>
      <c r="G1130">
        <v>0</v>
      </c>
      <c r="H1130">
        <v>47</v>
      </c>
      <c r="I1130">
        <v>1</v>
      </c>
    </row>
    <row r="1131" spans="1:9" x14ac:dyDescent="0.25">
      <c r="A1131" t="s">
        <v>2646</v>
      </c>
      <c r="B1131" t="s">
        <v>1689</v>
      </c>
      <c r="C1131">
        <v>0</v>
      </c>
      <c r="D1131">
        <v>0</v>
      </c>
      <c r="E1131">
        <v>0</v>
      </c>
      <c r="F1131">
        <v>42</v>
      </c>
      <c r="G1131">
        <v>0</v>
      </c>
      <c r="H1131">
        <v>42</v>
      </c>
      <c r="I1131">
        <v>1</v>
      </c>
    </row>
    <row r="1132" spans="1:9" x14ac:dyDescent="0.25">
      <c r="A1132" t="s">
        <v>2964</v>
      </c>
      <c r="B1132" t="s">
        <v>1792</v>
      </c>
      <c r="C1132">
        <v>0</v>
      </c>
      <c r="D1132">
        <v>0</v>
      </c>
      <c r="E1132">
        <v>0</v>
      </c>
      <c r="F1132">
        <v>18</v>
      </c>
      <c r="G1132">
        <v>0</v>
      </c>
      <c r="H1132">
        <v>18</v>
      </c>
      <c r="I1132">
        <v>1</v>
      </c>
    </row>
    <row r="1133" spans="1:9" x14ac:dyDescent="0.25">
      <c r="A1133" t="s">
        <v>2713</v>
      </c>
      <c r="B1133" t="s">
        <v>1192</v>
      </c>
      <c r="C1133">
        <v>0</v>
      </c>
      <c r="D1133">
        <v>0</v>
      </c>
      <c r="E1133">
        <v>0</v>
      </c>
      <c r="F1133">
        <v>41</v>
      </c>
      <c r="G1133">
        <v>0</v>
      </c>
      <c r="H1133">
        <v>41</v>
      </c>
      <c r="I1133">
        <v>1</v>
      </c>
    </row>
    <row r="1134" spans="1:9" x14ac:dyDescent="0.25">
      <c r="A1134" t="s">
        <v>2766</v>
      </c>
      <c r="B1134" t="s">
        <v>1795</v>
      </c>
      <c r="C1134">
        <v>431</v>
      </c>
      <c r="D1134">
        <v>0</v>
      </c>
      <c r="E1134">
        <v>0</v>
      </c>
      <c r="F1134">
        <v>22</v>
      </c>
      <c r="G1134">
        <v>0</v>
      </c>
      <c r="H1134">
        <v>453</v>
      </c>
      <c r="I1134">
        <v>2</v>
      </c>
    </row>
    <row r="1135" spans="1:9" x14ac:dyDescent="0.25">
      <c r="A1135" t="s">
        <v>1949</v>
      </c>
      <c r="B1135" t="s">
        <v>1699</v>
      </c>
      <c r="C1135">
        <v>0</v>
      </c>
      <c r="D1135">
        <v>0</v>
      </c>
      <c r="E1135">
        <v>265</v>
      </c>
      <c r="F1135">
        <v>0</v>
      </c>
      <c r="G1135">
        <v>0</v>
      </c>
      <c r="H1135">
        <v>265</v>
      </c>
      <c r="I1135">
        <v>7</v>
      </c>
    </row>
    <row r="1136" spans="1:9" x14ac:dyDescent="0.25">
      <c r="A1136" t="s">
        <v>2617</v>
      </c>
      <c r="B1136" t="s">
        <v>1193</v>
      </c>
      <c r="C1136">
        <v>0</v>
      </c>
      <c r="D1136">
        <v>0</v>
      </c>
      <c r="E1136">
        <v>204</v>
      </c>
      <c r="F1136">
        <v>0</v>
      </c>
      <c r="G1136">
        <v>0</v>
      </c>
      <c r="H1136">
        <v>204</v>
      </c>
      <c r="I1136">
        <v>3</v>
      </c>
    </row>
    <row r="1137" spans="1:9" x14ac:dyDescent="0.25">
      <c r="A1137" t="s">
        <v>2084</v>
      </c>
      <c r="B1137" t="s">
        <v>11686</v>
      </c>
      <c r="C1137">
        <v>0</v>
      </c>
      <c r="D1137">
        <v>0</v>
      </c>
      <c r="E1137">
        <v>155</v>
      </c>
      <c r="F1137">
        <v>0</v>
      </c>
      <c r="G1137">
        <v>0</v>
      </c>
      <c r="H1137">
        <v>155</v>
      </c>
      <c r="I1137">
        <v>1</v>
      </c>
    </row>
    <row r="1138" spans="1:9" x14ac:dyDescent="0.25">
      <c r="A1138" t="s">
        <v>10578</v>
      </c>
      <c r="B1138" t="s">
        <v>10579</v>
      </c>
      <c r="C1138">
        <v>177</v>
      </c>
      <c r="D1138">
        <v>0</v>
      </c>
      <c r="E1138">
        <v>0</v>
      </c>
      <c r="F1138">
        <v>0</v>
      </c>
      <c r="G1138">
        <v>0</v>
      </c>
      <c r="H1138">
        <v>177</v>
      </c>
      <c r="I1138">
        <v>1</v>
      </c>
    </row>
    <row r="1139" spans="1:9" x14ac:dyDescent="0.25">
      <c r="A1139" t="s">
        <v>10629</v>
      </c>
      <c r="B1139" t="s">
        <v>10630</v>
      </c>
      <c r="C1139">
        <v>25</v>
      </c>
      <c r="D1139">
        <v>0</v>
      </c>
      <c r="E1139">
        <v>0</v>
      </c>
      <c r="F1139">
        <v>0</v>
      </c>
      <c r="G1139">
        <v>0</v>
      </c>
      <c r="H1139">
        <v>25</v>
      </c>
      <c r="I1139">
        <v>2</v>
      </c>
    </row>
    <row r="1140" spans="1:9" x14ac:dyDescent="0.25">
      <c r="A1140" t="s">
        <v>10646</v>
      </c>
      <c r="B1140" t="s">
        <v>10647</v>
      </c>
      <c r="C1140">
        <v>104</v>
      </c>
      <c r="D1140">
        <v>0</v>
      </c>
      <c r="E1140">
        <v>0</v>
      </c>
      <c r="F1140">
        <v>0</v>
      </c>
      <c r="G1140">
        <v>0</v>
      </c>
      <c r="H1140">
        <v>104</v>
      </c>
      <c r="I1140">
        <v>2</v>
      </c>
    </row>
    <row r="1141" spans="1:9" x14ac:dyDescent="0.25">
      <c r="A1141" t="s">
        <v>2072</v>
      </c>
      <c r="B1141" t="s">
        <v>1500</v>
      </c>
      <c r="C1141">
        <v>64</v>
      </c>
      <c r="D1141">
        <v>0</v>
      </c>
      <c r="E1141">
        <v>0</v>
      </c>
      <c r="F1141">
        <v>0</v>
      </c>
      <c r="G1141">
        <v>0</v>
      </c>
      <c r="H1141">
        <v>64</v>
      </c>
      <c r="I1141">
        <v>1</v>
      </c>
    </row>
    <row r="1142" spans="1:9" x14ac:dyDescent="0.25">
      <c r="A1142" t="s">
        <v>10682</v>
      </c>
      <c r="B1142" t="s">
        <v>10683</v>
      </c>
      <c r="C1142">
        <v>0</v>
      </c>
      <c r="D1142">
        <v>0</v>
      </c>
      <c r="E1142">
        <v>0</v>
      </c>
      <c r="F1142">
        <v>0</v>
      </c>
      <c r="G1142">
        <v>0</v>
      </c>
      <c r="H1142">
        <v>0</v>
      </c>
      <c r="I1142">
        <v>0</v>
      </c>
    </row>
    <row r="1143" spans="1:9" x14ac:dyDescent="0.25">
      <c r="A1143" t="s">
        <v>2123</v>
      </c>
      <c r="B1143" t="s">
        <v>1651</v>
      </c>
      <c r="C1143">
        <v>13</v>
      </c>
      <c r="D1143">
        <v>0</v>
      </c>
      <c r="E1143">
        <v>0</v>
      </c>
      <c r="F1143">
        <v>0</v>
      </c>
      <c r="G1143">
        <v>0</v>
      </c>
      <c r="H1143">
        <v>13</v>
      </c>
      <c r="I1143">
        <v>2</v>
      </c>
    </row>
    <row r="1144" spans="1:9" x14ac:dyDescent="0.25">
      <c r="A1144" t="s">
        <v>11774</v>
      </c>
      <c r="B1144" t="s">
        <v>11775</v>
      </c>
      <c r="C1144">
        <v>0</v>
      </c>
      <c r="D1144">
        <v>0</v>
      </c>
      <c r="E1144">
        <v>0</v>
      </c>
      <c r="F1144">
        <v>0</v>
      </c>
      <c r="G1144">
        <v>0</v>
      </c>
      <c r="H1144">
        <v>0</v>
      </c>
      <c r="I1144">
        <v>0</v>
      </c>
    </row>
    <row r="1145" spans="1:9" x14ac:dyDescent="0.25">
      <c r="A1145" t="s">
        <v>2102</v>
      </c>
      <c r="B1145" t="s">
        <v>1791</v>
      </c>
      <c r="C1145">
        <v>4</v>
      </c>
      <c r="D1145">
        <v>0</v>
      </c>
      <c r="E1145">
        <v>0</v>
      </c>
      <c r="F1145">
        <v>0</v>
      </c>
      <c r="G1145">
        <v>0</v>
      </c>
      <c r="H1145">
        <v>4</v>
      </c>
      <c r="I1145">
        <v>1</v>
      </c>
    </row>
    <row r="1146" spans="1:9" x14ac:dyDescent="0.25">
      <c r="A1146" t="s">
        <v>10792</v>
      </c>
      <c r="B1146" t="s">
        <v>10793</v>
      </c>
      <c r="C1146">
        <v>0</v>
      </c>
      <c r="D1146">
        <v>0</v>
      </c>
      <c r="E1146">
        <v>0</v>
      </c>
      <c r="F1146">
        <v>0</v>
      </c>
      <c r="G1146">
        <v>0</v>
      </c>
      <c r="H1146">
        <v>0</v>
      </c>
      <c r="I1146">
        <v>0</v>
      </c>
    </row>
    <row r="1147" spans="1:9" x14ac:dyDescent="0.25">
      <c r="A1147" t="s">
        <v>2831</v>
      </c>
      <c r="B1147" t="s">
        <v>1817</v>
      </c>
      <c r="C1147">
        <v>1360</v>
      </c>
      <c r="D1147">
        <v>0</v>
      </c>
      <c r="E1147">
        <v>20</v>
      </c>
      <c r="F1147">
        <v>0</v>
      </c>
      <c r="G1147">
        <v>2</v>
      </c>
      <c r="H1147">
        <v>1382</v>
      </c>
      <c r="I1147">
        <v>3</v>
      </c>
    </row>
    <row r="1148" spans="1:9" x14ac:dyDescent="0.25">
      <c r="A1148" t="s">
        <v>2791</v>
      </c>
      <c r="B1148" t="s">
        <v>938</v>
      </c>
      <c r="C1148">
        <v>37842</v>
      </c>
      <c r="D1148">
        <v>0</v>
      </c>
      <c r="E1148">
        <v>4109</v>
      </c>
      <c r="F1148">
        <v>1937</v>
      </c>
      <c r="G1148">
        <v>3499</v>
      </c>
      <c r="H1148">
        <v>47387</v>
      </c>
      <c r="I1148">
        <v>174</v>
      </c>
    </row>
    <row r="1149" spans="1:9" x14ac:dyDescent="0.25">
      <c r="A1149" t="s">
        <v>3003</v>
      </c>
      <c r="B1149" t="s">
        <v>1142</v>
      </c>
      <c r="C1149">
        <v>12399</v>
      </c>
      <c r="D1149">
        <v>3</v>
      </c>
      <c r="E1149">
        <v>136</v>
      </c>
      <c r="F1149">
        <v>25</v>
      </c>
      <c r="G1149">
        <v>2882</v>
      </c>
      <c r="H1149">
        <v>15445</v>
      </c>
      <c r="I1149">
        <v>25</v>
      </c>
    </row>
    <row r="1150" spans="1:9" x14ac:dyDescent="0.25">
      <c r="A1150" t="s">
        <v>2651</v>
      </c>
      <c r="B1150" t="s">
        <v>1060</v>
      </c>
      <c r="C1150">
        <v>3544</v>
      </c>
      <c r="D1150">
        <v>0</v>
      </c>
      <c r="E1150">
        <v>905</v>
      </c>
      <c r="F1150">
        <v>313</v>
      </c>
      <c r="G1150">
        <v>282</v>
      </c>
      <c r="H1150">
        <v>5044</v>
      </c>
      <c r="I1150">
        <v>13</v>
      </c>
    </row>
    <row r="1151" spans="1:9" x14ac:dyDescent="0.25">
      <c r="A1151" t="s">
        <v>2663</v>
      </c>
      <c r="B1151" t="s">
        <v>1174</v>
      </c>
      <c r="C1151">
        <v>1218</v>
      </c>
      <c r="D1151">
        <v>0</v>
      </c>
      <c r="E1151">
        <v>0</v>
      </c>
      <c r="F1151">
        <v>196</v>
      </c>
      <c r="G1151">
        <v>69</v>
      </c>
      <c r="H1151">
        <v>1483</v>
      </c>
      <c r="I1151">
        <v>9</v>
      </c>
    </row>
    <row r="1152" spans="1:9" x14ac:dyDescent="0.25">
      <c r="A1152" t="s">
        <v>10743</v>
      </c>
      <c r="B1152" t="s">
        <v>15628</v>
      </c>
      <c r="C1152">
        <v>0</v>
      </c>
      <c r="D1152">
        <v>0</v>
      </c>
      <c r="E1152">
        <v>0</v>
      </c>
      <c r="F1152">
        <v>0</v>
      </c>
      <c r="G1152">
        <v>0</v>
      </c>
      <c r="H1152">
        <v>0</v>
      </c>
      <c r="I1152">
        <v>0</v>
      </c>
    </row>
    <row r="1153" spans="1:9" x14ac:dyDescent="0.25">
      <c r="A1153" t="s">
        <v>2559</v>
      </c>
      <c r="B1153" t="s">
        <v>1197</v>
      </c>
      <c r="C1153">
        <v>0</v>
      </c>
      <c r="D1153">
        <v>0</v>
      </c>
      <c r="E1153">
        <v>47</v>
      </c>
      <c r="F1153">
        <v>24</v>
      </c>
      <c r="G1153">
        <v>0</v>
      </c>
      <c r="H1153">
        <v>71</v>
      </c>
      <c r="I1153">
        <v>4</v>
      </c>
    </row>
    <row r="1154" spans="1:9" x14ac:dyDescent="0.25">
      <c r="A1154" t="s">
        <v>2062</v>
      </c>
      <c r="B1154" t="s">
        <v>1567</v>
      </c>
      <c r="C1154">
        <v>0</v>
      </c>
      <c r="D1154">
        <v>0</v>
      </c>
      <c r="E1154">
        <v>80</v>
      </c>
      <c r="F1154">
        <v>0</v>
      </c>
      <c r="G1154">
        <v>0</v>
      </c>
      <c r="H1154">
        <v>80</v>
      </c>
      <c r="I1154">
        <v>1</v>
      </c>
    </row>
    <row r="1155" spans="1:9" x14ac:dyDescent="0.25">
      <c r="A1155" t="s">
        <v>2306</v>
      </c>
      <c r="B1155" t="s">
        <v>1570</v>
      </c>
      <c r="C1155">
        <v>0</v>
      </c>
      <c r="D1155">
        <v>0</v>
      </c>
      <c r="E1155">
        <v>0</v>
      </c>
      <c r="F1155">
        <v>10</v>
      </c>
      <c r="G1155">
        <v>0</v>
      </c>
      <c r="H1155">
        <v>10</v>
      </c>
      <c r="I1155">
        <v>1</v>
      </c>
    </row>
    <row r="1156" spans="1:9" x14ac:dyDescent="0.25">
      <c r="A1156" t="s">
        <v>2999</v>
      </c>
      <c r="B1156" t="s">
        <v>929</v>
      </c>
      <c r="C1156">
        <v>238</v>
      </c>
      <c r="D1156">
        <v>0</v>
      </c>
      <c r="E1156">
        <v>0</v>
      </c>
      <c r="F1156">
        <v>35482</v>
      </c>
      <c r="G1156">
        <v>1601</v>
      </c>
      <c r="H1156">
        <v>37321</v>
      </c>
      <c r="I1156">
        <v>246</v>
      </c>
    </row>
    <row r="1157" spans="1:9" x14ac:dyDescent="0.25">
      <c r="A1157" t="s">
        <v>1997</v>
      </c>
      <c r="B1157" t="s">
        <v>1572</v>
      </c>
      <c r="C1157">
        <v>0</v>
      </c>
      <c r="D1157">
        <v>0</v>
      </c>
      <c r="E1157">
        <v>102</v>
      </c>
      <c r="F1157">
        <v>0</v>
      </c>
      <c r="G1157">
        <v>0</v>
      </c>
      <c r="H1157">
        <v>102</v>
      </c>
      <c r="I1157">
        <v>1</v>
      </c>
    </row>
    <row r="1158" spans="1:9" x14ac:dyDescent="0.25">
      <c r="A1158" t="s">
        <v>2383</v>
      </c>
      <c r="B1158" t="s">
        <v>9858</v>
      </c>
      <c r="C1158">
        <v>49</v>
      </c>
      <c r="D1158">
        <v>0</v>
      </c>
      <c r="E1158">
        <v>0</v>
      </c>
      <c r="F1158">
        <v>0</v>
      </c>
      <c r="G1158">
        <v>0</v>
      </c>
      <c r="H1158">
        <v>49</v>
      </c>
      <c r="I1158">
        <v>1</v>
      </c>
    </row>
    <row r="1159" spans="1:9" x14ac:dyDescent="0.25">
      <c r="A1159" t="s">
        <v>1999</v>
      </c>
      <c r="B1159" t="s">
        <v>978</v>
      </c>
      <c r="C1159">
        <v>99</v>
      </c>
      <c r="D1159">
        <v>0</v>
      </c>
      <c r="E1159">
        <v>106</v>
      </c>
      <c r="F1159">
        <v>0</v>
      </c>
      <c r="G1159">
        <v>0</v>
      </c>
      <c r="H1159">
        <v>205</v>
      </c>
      <c r="I1159">
        <v>34</v>
      </c>
    </row>
    <row r="1160" spans="1:9" x14ac:dyDescent="0.25">
      <c r="A1160" t="s">
        <v>2097</v>
      </c>
      <c r="B1160" t="s">
        <v>1088</v>
      </c>
      <c r="C1160">
        <v>6</v>
      </c>
      <c r="D1160">
        <v>0</v>
      </c>
      <c r="E1160">
        <v>0</v>
      </c>
      <c r="F1160">
        <v>0</v>
      </c>
      <c r="G1160">
        <v>0</v>
      </c>
      <c r="H1160">
        <v>6</v>
      </c>
      <c r="I1160">
        <v>1</v>
      </c>
    </row>
    <row r="1161" spans="1:9" x14ac:dyDescent="0.25">
      <c r="A1161" t="s">
        <v>2504</v>
      </c>
      <c r="B1161" t="s">
        <v>1205</v>
      </c>
      <c r="C1161">
        <v>151</v>
      </c>
      <c r="D1161">
        <v>51</v>
      </c>
      <c r="E1161">
        <v>0</v>
      </c>
      <c r="F1161">
        <v>0</v>
      </c>
      <c r="G1161">
        <v>0</v>
      </c>
      <c r="H1161">
        <v>202</v>
      </c>
      <c r="I1161">
        <v>3</v>
      </c>
    </row>
    <row r="1162" spans="1:9" x14ac:dyDescent="0.25">
      <c r="A1162" t="s">
        <v>2112</v>
      </c>
      <c r="B1162" t="s">
        <v>1575</v>
      </c>
      <c r="C1162">
        <v>1080</v>
      </c>
      <c r="D1162">
        <v>0</v>
      </c>
      <c r="E1162">
        <v>3</v>
      </c>
      <c r="F1162">
        <v>23</v>
      </c>
      <c r="G1162">
        <v>284</v>
      </c>
      <c r="H1162">
        <v>1390</v>
      </c>
      <c r="I1162">
        <v>16</v>
      </c>
    </row>
    <row r="1163" spans="1:9" x14ac:dyDescent="0.25">
      <c r="A1163" t="s">
        <v>1978</v>
      </c>
      <c r="B1163" t="s">
        <v>931</v>
      </c>
      <c r="C1163">
        <v>15829</v>
      </c>
      <c r="D1163">
        <v>0</v>
      </c>
      <c r="E1163">
        <v>463</v>
      </c>
      <c r="F1163">
        <v>1388</v>
      </c>
      <c r="G1163">
        <v>2758</v>
      </c>
      <c r="H1163">
        <v>20438</v>
      </c>
      <c r="I1163">
        <v>40</v>
      </c>
    </row>
    <row r="1164" spans="1:9" x14ac:dyDescent="0.25">
      <c r="A1164" t="s">
        <v>10576</v>
      </c>
      <c r="B1164" t="s">
        <v>10577</v>
      </c>
      <c r="C1164">
        <v>2</v>
      </c>
      <c r="D1164">
        <v>0</v>
      </c>
      <c r="E1164">
        <v>0</v>
      </c>
      <c r="F1164">
        <v>0</v>
      </c>
      <c r="G1164">
        <v>0</v>
      </c>
      <c r="H1164">
        <v>2</v>
      </c>
      <c r="I1164">
        <v>1</v>
      </c>
    </row>
    <row r="1165" spans="1:9" x14ac:dyDescent="0.25">
      <c r="A1165" t="s">
        <v>15234</v>
      </c>
      <c r="B1165" t="s">
        <v>14373</v>
      </c>
      <c r="C1165">
        <v>3</v>
      </c>
      <c r="D1165">
        <v>0</v>
      </c>
      <c r="E1165">
        <v>0</v>
      </c>
      <c r="F1165">
        <v>0</v>
      </c>
      <c r="G1165">
        <v>0</v>
      </c>
      <c r="H1165">
        <v>3</v>
      </c>
      <c r="I1165">
        <v>1</v>
      </c>
    </row>
    <row r="1166" spans="1:9" x14ac:dyDescent="0.25">
      <c r="A1166" t="s">
        <v>2031</v>
      </c>
      <c r="B1166" t="s">
        <v>1207</v>
      </c>
      <c r="C1166">
        <v>2</v>
      </c>
      <c r="D1166">
        <v>0</v>
      </c>
      <c r="E1166">
        <v>0</v>
      </c>
      <c r="F1166">
        <v>0</v>
      </c>
      <c r="G1166">
        <v>0</v>
      </c>
      <c r="H1166">
        <v>2</v>
      </c>
      <c r="I1166">
        <v>1</v>
      </c>
    </row>
    <row r="1167" spans="1:9" x14ac:dyDescent="0.25">
      <c r="A1167" t="s">
        <v>2899</v>
      </c>
      <c r="B1167" t="s">
        <v>9802</v>
      </c>
      <c r="C1167">
        <v>144</v>
      </c>
      <c r="D1167">
        <v>0</v>
      </c>
      <c r="E1167">
        <v>0</v>
      </c>
      <c r="F1167">
        <v>0</v>
      </c>
      <c r="G1167">
        <v>0</v>
      </c>
      <c r="H1167">
        <v>144</v>
      </c>
      <c r="I1167">
        <v>3</v>
      </c>
    </row>
    <row r="1168" spans="1:9" x14ac:dyDescent="0.25">
      <c r="A1168" t="s">
        <v>2059</v>
      </c>
      <c r="B1168" t="s">
        <v>1704</v>
      </c>
      <c r="C1168">
        <v>7</v>
      </c>
      <c r="D1168">
        <v>0</v>
      </c>
      <c r="E1168">
        <v>0</v>
      </c>
      <c r="F1168">
        <v>0</v>
      </c>
      <c r="G1168">
        <v>0</v>
      </c>
      <c r="H1168">
        <v>7</v>
      </c>
      <c r="I1168">
        <v>1</v>
      </c>
    </row>
    <row r="1169" spans="1:9" x14ac:dyDescent="0.25">
      <c r="A1169" t="s">
        <v>2722</v>
      </c>
      <c r="B1169" t="s">
        <v>980</v>
      </c>
      <c r="C1169">
        <v>0</v>
      </c>
      <c r="D1169">
        <v>0</v>
      </c>
      <c r="E1169">
        <v>0</v>
      </c>
      <c r="F1169">
        <v>8</v>
      </c>
      <c r="G1169">
        <v>0</v>
      </c>
      <c r="H1169">
        <v>8</v>
      </c>
      <c r="I1169">
        <v>1</v>
      </c>
    </row>
    <row r="1170" spans="1:9" x14ac:dyDescent="0.25">
      <c r="A1170" t="s">
        <v>2004</v>
      </c>
      <c r="B1170" t="s">
        <v>1212</v>
      </c>
      <c r="C1170">
        <v>0</v>
      </c>
      <c r="D1170">
        <v>192</v>
      </c>
      <c r="E1170">
        <v>291</v>
      </c>
      <c r="F1170">
        <v>0</v>
      </c>
      <c r="G1170">
        <v>0</v>
      </c>
      <c r="H1170">
        <v>483</v>
      </c>
      <c r="I1170">
        <v>14</v>
      </c>
    </row>
    <row r="1171" spans="1:9" x14ac:dyDescent="0.25">
      <c r="A1171" t="s">
        <v>2715</v>
      </c>
      <c r="B1171" t="s">
        <v>1705</v>
      </c>
      <c r="C1171">
        <v>10</v>
      </c>
      <c r="D1171">
        <v>0</v>
      </c>
      <c r="E1171">
        <v>0</v>
      </c>
      <c r="F1171">
        <v>11</v>
      </c>
      <c r="G1171">
        <v>0</v>
      </c>
      <c r="H1171">
        <v>21</v>
      </c>
      <c r="I1171">
        <v>1</v>
      </c>
    </row>
    <row r="1172" spans="1:9" x14ac:dyDescent="0.25">
      <c r="A1172" t="s">
        <v>2101</v>
      </c>
      <c r="B1172" t="s">
        <v>1873</v>
      </c>
      <c r="C1172">
        <v>0</v>
      </c>
      <c r="D1172">
        <v>0</v>
      </c>
      <c r="E1172">
        <v>105</v>
      </c>
      <c r="F1172">
        <v>0</v>
      </c>
      <c r="G1172">
        <v>0</v>
      </c>
      <c r="H1172">
        <v>105</v>
      </c>
      <c r="I1172">
        <v>1</v>
      </c>
    </row>
    <row r="1173" spans="1:9" x14ac:dyDescent="0.25">
      <c r="A1173" t="s">
        <v>2717</v>
      </c>
      <c r="B1173" t="s">
        <v>1097</v>
      </c>
      <c r="C1173">
        <v>0</v>
      </c>
      <c r="D1173">
        <v>0</v>
      </c>
      <c r="E1173">
        <v>0</v>
      </c>
      <c r="F1173">
        <v>6</v>
      </c>
      <c r="G1173">
        <v>0</v>
      </c>
      <c r="H1173">
        <v>6</v>
      </c>
      <c r="I1173">
        <v>1</v>
      </c>
    </row>
    <row r="1174" spans="1:9" x14ac:dyDescent="0.25">
      <c r="A1174" t="s">
        <v>2730</v>
      </c>
      <c r="B1174" t="s">
        <v>1098</v>
      </c>
      <c r="C1174">
        <v>164</v>
      </c>
      <c r="D1174">
        <v>7</v>
      </c>
      <c r="E1174">
        <v>0</v>
      </c>
      <c r="F1174">
        <v>0</v>
      </c>
      <c r="G1174">
        <v>0</v>
      </c>
      <c r="H1174">
        <v>171</v>
      </c>
      <c r="I1174">
        <v>2</v>
      </c>
    </row>
    <row r="1175" spans="1:9" x14ac:dyDescent="0.25">
      <c r="A1175" t="s">
        <v>2056</v>
      </c>
      <c r="B1175" t="s">
        <v>1708</v>
      </c>
      <c r="C1175">
        <v>5</v>
      </c>
      <c r="D1175">
        <v>0</v>
      </c>
      <c r="E1175">
        <v>0</v>
      </c>
      <c r="F1175">
        <v>0</v>
      </c>
      <c r="G1175">
        <v>0</v>
      </c>
      <c r="H1175">
        <v>5</v>
      </c>
      <c r="I1175">
        <v>1</v>
      </c>
    </row>
    <row r="1176" spans="1:9" x14ac:dyDescent="0.25">
      <c r="A1176" t="s">
        <v>11739</v>
      </c>
      <c r="B1176" t="s">
        <v>11674</v>
      </c>
      <c r="C1176">
        <v>90</v>
      </c>
      <c r="D1176">
        <v>0</v>
      </c>
      <c r="E1176">
        <v>0</v>
      </c>
      <c r="F1176">
        <v>0</v>
      </c>
      <c r="G1176">
        <v>0</v>
      </c>
      <c r="H1176">
        <v>90</v>
      </c>
      <c r="I1176">
        <v>1</v>
      </c>
    </row>
    <row r="1177" spans="1:9" x14ac:dyDescent="0.25">
      <c r="A1177" t="s">
        <v>2874</v>
      </c>
      <c r="B1177" t="s">
        <v>982</v>
      </c>
      <c r="C1177">
        <v>130</v>
      </c>
      <c r="D1177">
        <v>0</v>
      </c>
      <c r="E1177">
        <v>0</v>
      </c>
      <c r="F1177">
        <v>16</v>
      </c>
      <c r="G1177">
        <v>0</v>
      </c>
      <c r="H1177">
        <v>146</v>
      </c>
      <c r="I1177">
        <v>5</v>
      </c>
    </row>
    <row r="1178" spans="1:9" x14ac:dyDescent="0.25">
      <c r="A1178" t="s">
        <v>2069</v>
      </c>
      <c r="B1178" t="s">
        <v>983</v>
      </c>
      <c r="C1178">
        <v>25359</v>
      </c>
      <c r="D1178">
        <v>0</v>
      </c>
      <c r="E1178">
        <v>751</v>
      </c>
      <c r="F1178">
        <v>807</v>
      </c>
      <c r="G1178">
        <v>4014</v>
      </c>
      <c r="H1178">
        <v>30931</v>
      </c>
      <c r="I1178">
        <v>37</v>
      </c>
    </row>
    <row r="1179" spans="1:9" x14ac:dyDescent="0.25">
      <c r="A1179" t="s">
        <v>10595</v>
      </c>
      <c r="B1179" t="s">
        <v>10596</v>
      </c>
      <c r="C1179">
        <v>0</v>
      </c>
      <c r="D1179">
        <v>0</v>
      </c>
      <c r="E1179">
        <v>0</v>
      </c>
      <c r="F1179">
        <v>0</v>
      </c>
      <c r="G1179">
        <v>0</v>
      </c>
      <c r="H1179">
        <v>0</v>
      </c>
      <c r="I1179">
        <v>0</v>
      </c>
    </row>
    <row r="1180" spans="1:9" x14ac:dyDescent="0.25">
      <c r="A1180" t="s">
        <v>2119</v>
      </c>
      <c r="B1180" t="s">
        <v>1810</v>
      </c>
      <c r="C1180">
        <v>12</v>
      </c>
      <c r="D1180">
        <v>0</v>
      </c>
      <c r="E1180">
        <v>0</v>
      </c>
      <c r="F1180">
        <v>0</v>
      </c>
      <c r="G1180">
        <v>0</v>
      </c>
      <c r="H1180">
        <v>12</v>
      </c>
      <c r="I1180">
        <v>1</v>
      </c>
    </row>
    <row r="1181" spans="1:9" x14ac:dyDescent="0.25">
      <c r="A1181" t="s">
        <v>1988</v>
      </c>
      <c r="B1181" t="s">
        <v>1465</v>
      </c>
      <c r="C1181">
        <v>0</v>
      </c>
      <c r="D1181">
        <v>0</v>
      </c>
      <c r="E1181">
        <v>48</v>
      </c>
      <c r="F1181">
        <v>0</v>
      </c>
      <c r="G1181">
        <v>0</v>
      </c>
      <c r="H1181">
        <v>48</v>
      </c>
      <c r="I1181">
        <v>1</v>
      </c>
    </row>
    <row r="1182" spans="1:9" x14ac:dyDescent="0.25">
      <c r="A1182" t="s">
        <v>2303</v>
      </c>
      <c r="B1182" t="s">
        <v>1876</v>
      </c>
      <c r="C1182">
        <v>0</v>
      </c>
      <c r="D1182">
        <v>0</v>
      </c>
      <c r="E1182">
        <v>0</v>
      </c>
      <c r="F1182">
        <v>4</v>
      </c>
      <c r="G1182">
        <v>0</v>
      </c>
      <c r="H1182">
        <v>4</v>
      </c>
      <c r="I1182">
        <v>1</v>
      </c>
    </row>
    <row r="1183" spans="1:9" x14ac:dyDescent="0.25">
      <c r="A1183" t="s">
        <v>2255</v>
      </c>
      <c r="B1183" t="s">
        <v>1711</v>
      </c>
      <c r="C1183">
        <v>2</v>
      </c>
      <c r="D1183">
        <v>0</v>
      </c>
      <c r="E1183">
        <v>0</v>
      </c>
      <c r="F1183">
        <v>0</v>
      </c>
      <c r="G1183">
        <v>0</v>
      </c>
      <c r="H1183">
        <v>2</v>
      </c>
      <c r="I1183">
        <v>1</v>
      </c>
    </row>
    <row r="1184" spans="1:9" x14ac:dyDescent="0.25">
      <c r="A1184" t="s">
        <v>2991</v>
      </c>
      <c r="B1184" t="s">
        <v>988</v>
      </c>
      <c r="C1184">
        <v>0</v>
      </c>
      <c r="D1184">
        <v>0</v>
      </c>
      <c r="E1184">
        <v>0</v>
      </c>
      <c r="F1184">
        <v>33</v>
      </c>
      <c r="G1184">
        <v>0</v>
      </c>
      <c r="H1184">
        <v>33</v>
      </c>
      <c r="I1184">
        <v>1</v>
      </c>
    </row>
    <row r="1185" spans="1:9" x14ac:dyDescent="0.25">
      <c r="A1185" t="s">
        <v>10794</v>
      </c>
      <c r="B1185" t="s">
        <v>10795</v>
      </c>
      <c r="C1185">
        <v>0</v>
      </c>
      <c r="D1185">
        <v>0</v>
      </c>
      <c r="E1185">
        <v>0</v>
      </c>
      <c r="F1185">
        <v>0</v>
      </c>
      <c r="G1185">
        <v>0</v>
      </c>
      <c r="H1185">
        <v>0</v>
      </c>
      <c r="I1185">
        <v>0</v>
      </c>
    </row>
    <row r="1186" spans="1:9" x14ac:dyDescent="0.25">
      <c r="A1186" t="s">
        <v>3014</v>
      </c>
      <c r="B1186" t="s">
        <v>1103</v>
      </c>
      <c r="C1186">
        <v>0</v>
      </c>
      <c r="D1186">
        <v>0</v>
      </c>
      <c r="E1186">
        <v>0</v>
      </c>
      <c r="F1186">
        <v>0</v>
      </c>
      <c r="G1186">
        <v>0</v>
      </c>
      <c r="H1186">
        <v>0</v>
      </c>
      <c r="I1186">
        <v>0</v>
      </c>
    </row>
    <row r="1187" spans="1:9" x14ac:dyDescent="0.25">
      <c r="A1187" t="s">
        <v>2237</v>
      </c>
      <c r="B1187" t="s">
        <v>1588</v>
      </c>
      <c r="C1187">
        <v>0</v>
      </c>
      <c r="D1187">
        <v>0</v>
      </c>
      <c r="E1187">
        <v>0</v>
      </c>
      <c r="F1187">
        <v>46</v>
      </c>
      <c r="G1187">
        <v>0</v>
      </c>
      <c r="H1187">
        <v>46</v>
      </c>
      <c r="I1187">
        <v>1</v>
      </c>
    </row>
    <row r="1188" spans="1:9" x14ac:dyDescent="0.25">
      <c r="A1188" t="s">
        <v>10606</v>
      </c>
      <c r="B1188" t="s">
        <v>10607</v>
      </c>
      <c r="C1188">
        <v>0</v>
      </c>
      <c r="D1188">
        <v>0</v>
      </c>
      <c r="E1188">
        <v>0</v>
      </c>
      <c r="F1188">
        <v>0</v>
      </c>
      <c r="G1188">
        <v>0</v>
      </c>
      <c r="H1188">
        <v>0</v>
      </c>
      <c r="I1188">
        <v>0</v>
      </c>
    </row>
    <row r="1189" spans="1:9" x14ac:dyDescent="0.25">
      <c r="A1189" t="s">
        <v>10608</v>
      </c>
      <c r="B1189" t="s">
        <v>10609</v>
      </c>
      <c r="C1189">
        <v>0</v>
      </c>
      <c r="D1189">
        <v>0</v>
      </c>
      <c r="E1189">
        <v>0</v>
      </c>
      <c r="F1189">
        <v>0</v>
      </c>
      <c r="G1189">
        <v>0</v>
      </c>
      <c r="H1189">
        <v>0</v>
      </c>
      <c r="I1189">
        <v>0</v>
      </c>
    </row>
    <row r="1190" spans="1:9" x14ac:dyDescent="0.25">
      <c r="A1190" t="s">
        <v>2665</v>
      </c>
      <c r="B1190" t="s">
        <v>1107</v>
      </c>
      <c r="C1190">
        <v>0</v>
      </c>
      <c r="D1190">
        <v>0</v>
      </c>
      <c r="E1190">
        <v>0</v>
      </c>
      <c r="F1190">
        <v>0</v>
      </c>
      <c r="G1190">
        <v>0</v>
      </c>
      <c r="H1190">
        <v>0</v>
      </c>
      <c r="I1190">
        <v>0</v>
      </c>
    </row>
    <row r="1191" spans="1:9" x14ac:dyDescent="0.25">
      <c r="A1191" t="s">
        <v>1991</v>
      </c>
      <c r="B1191" t="s">
        <v>1475</v>
      </c>
      <c r="C1191">
        <v>0</v>
      </c>
      <c r="D1191">
        <v>0</v>
      </c>
      <c r="E1191">
        <v>145</v>
      </c>
      <c r="F1191">
        <v>0</v>
      </c>
      <c r="G1191">
        <v>0</v>
      </c>
      <c r="H1191">
        <v>145</v>
      </c>
      <c r="I1191">
        <v>1</v>
      </c>
    </row>
    <row r="1192" spans="1:9" x14ac:dyDescent="0.25">
      <c r="A1192" t="s">
        <v>2023</v>
      </c>
      <c r="B1192" t="s">
        <v>1227</v>
      </c>
      <c r="C1192">
        <v>333</v>
      </c>
      <c r="D1192">
        <v>16</v>
      </c>
      <c r="E1192">
        <v>16</v>
      </c>
      <c r="F1192">
        <v>0</v>
      </c>
      <c r="G1192">
        <v>0</v>
      </c>
      <c r="H1192">
        <v>365</v>
      </c>
      <c r="I1192">
        <v>26</v>
      </c>
    </row>
    <row r="1193" spans="1:9" x14ac:dyDescent="0.25">
      <c r="A1193" t="s">
        <v>1967</v>
      </c>
      <c r="B1193" t="s">
        <v>9785</v>
      </c>
      <c r="C1193">
        <v>0</v>
      </c>
      <c r="D1193">
        <v>0</v>
      </c>
      <c r="E1193">
        <v>17</v>
      </c>
      <c r="F1193">
        <v>0</v>
      </c>
      <c r="G1193">
        <v>0</v>
      </c>
      <c r="H1193">
        <v>17</v>
      </c>
      <c r="I1193">
        <v>2</v>
      </c>
    </row>
    <row r="1194" spans="1:9" x14ac:dyDescent="0.25">
      <c r="A1194" t="s">
        <v>2046</v>
      </c>
      <c r="B1194" t="s">
        <v>994</v>
      </c>
      <c r="C1194">
        <v>0</v>
      </c>
      <c r="D1194">
        <v>0</v>
      </c>
      <c r="E1194">
        <v>0</v>
      </c>
      <c r="F1194">
        <v>0</v>
      </c>
      <c r="G1194">
        <v>0</v>
      </c>
      <c r="H1194">
        <v>0</v>
      </c>
      <c r="I1194">
        <v>0</v>
      </c>
    </row>
    <row r="1195" spans="1:9" x14ac:dyDescent="0.25">
      <c r="A1195" t="s">
        <v>2689</v>
      </c>
      <c r="B1195" t="s">
        <v>995</v>
      </c>
      <c r="C1195">
        <v>0</v>
      </c>
      <c r="D1195">
        <v>0</v>
      </c>
      <c r="E1195">
        <v>0</v>
      </c>
      <c r="F1195">
        <v>0</v>
      </c>
      <c r="G1195">
        <v>0</v>
      </c>
      <c r="H1195">
        <v>0</v>
      </c>
      <c r="I1195">
        <v>0</v>
      </c>
    </row>
    <row r="1196" spans="1:9" x14ac:dyDescent="0.25">
      <c r="A1196" t="s">
        <v>9861</v>
      </c>
      <c r="B1196" t="s">
        <v>9803</v>
      </c>
      <c r="C1196">
        <v>18</v>
      </c>
      <c r="D1196">
        <v>0</v>
      </c>
      <c r="E1196">
        <v>0</v>
      </c>
      <c r="F1196">
        <v>0</v>
      </c>
      <c r="G1196">
        <v>0</v>
      </c>
      <c r="H1196">
        <v>18</v>
      </c>
      <c r="I1196">
        <v>1</v>
      </c>
    </row>
    <row r="1197" spans="1:9" x14ac:dyDescent="0.25">
      <c r="A1197" t="s">
        <v>2043</v>
      </c>
      <c r="B1197" t="s">
        <v>9804</v>
      </c>
      <c r="C1197">
        <v>122</v>
      </c>
      <c r="D1197">
        <v>0</v>
      </c>
      <c r="E1197">
        <v>70</v>
      </c>
      <c r="F1197">
        <v>0</v>
      </c>
      <c r="G1197">
        <v>0</v>
      </c>
      <c r="H1197">
        <v>192</v>
      </c>
      <c r="I1197">
        <v>9</v>
      </c>
    </row>
    <row r="1198" spans="1:9" x14ac:dyDescent="0.25">
      <c r="A1198" t="s">
        <v>2607</v>
      </c>
      <c r="B1198" t="s">
        <v>1881</v>
      </c>
      <c r="C1198">
        <v>0</v>
      </c>
      <c r="D1198">
        <v>0</v>
      </c>
      <c r="E1198">
        <v>30</v>
      </c>
      <c r="F1198">
        <v>0</v>
      </c>
      <c r="G1198">
        <v>0</v>
      </c>
      <c r="H1198">
        <v>30</v>
      </c>
      <c r="I1198">
        <v>1</v>
      </c>
    </row>
    <row r="1199" spans="1:9" x14ac:dyDescent="0.25">
      <c r="A1199" t="s">
        <v>2093</v>
      </c>
      <c r="B1199" t="s">
        <v>1234</v>
      </c>
      <c r="C1199">
        <v>84</v>
      </c>
      <c r="D1199">
        <v>0</v>
      </c>
      <c r="E1199">
        <v>0</v>
      </c>
      <c r="F1199">
        <v>0</v>
      </c>
      <c r="G1199">
        <v>0</v>
      </c>
      <c r="H1199">
        <v>84</v>
      </c>
      <c r="I1199">
        <v>4</v>
      </c>
    </row>
    <row r="1200" spans="1:9" x14ac:dyDescent="0.25">
      <c r="A1200" t="s">
        <v>2930</v>
      </c>
      <c r="B1200" t="s">
        <v>1601</v>
      </c>
      <c r="C1200">
        <v>185</v>
      </c>
      <c r="D1200">
        <v>0</v>
      </c>
      <c r="E1200">
        <v>69</v>
      </c>
      <c r="F1200">
        <v>0</v>
      </c>
      <c r="G1200">
        <v>0</v>
      </c>
      <c r="H1200">
        <v>254</v>
      </c>
      <c r="I1200">
        <v>1</v>
      </c>
    </row>
    <row r="1201" spans="1:9" x14ac:dyDescent="0.25">
      <c r="A1201" t="s">
        <v>2050</v>
      </c>
      <c r="B1201" t="s">
        <v>1479</v>
      </c>
      <c r="C1201">
        <v>0</v>
      </c>
      <c r="D1201">
        <v>0</v>
      </c>
      <c r="E1201">
        <v>212</v>
      </c>
      <c r="F1201">
        <v>0</v>
      </c>
      <c r="G1201">
        <v>0</v>
      </c>
      <c r="H1201">
        <v>212</v>
      </c>
      <c r="I1201">
        <v>4</v>
      </c>
    </row>
    <row r="1202" spans="1:9" x14ac:dyDescent="0.25">
      <c r="A1202" t="s">
        <v>2053</v>
      </c>
      <c r="B1202" t="s">
        <v>1603</v>
      </c>
      <c r="C1202">
        <v>0</v>
      </c>
      <c r="D1202">
        <v>0</v>
      </c>
      <c r="E1202">
        <v>34</v>
      </c>
      <c r="F1202">
        <v>0</v>
      </c>
      <c r="G1202">
        <v>0</v>
      </c>
      <c r="H1202">
        <v>34</v>
      </c>
      <c r="I1202">
        <v>6</v>
      </c>
    </row>
    <row r="1203" spans="1:9" x14ac:dyDescent="0.25">
      <c r="A1203" t="s">
        <v>2029</v>
      </c>
      <c r="B1203" t="s">
        <v>1416</v>
      </c>
      <c r="C1203">
        <v>0</v>
      </c>
      <c r="D1203">
        <v>0</v>
      </c>
      <c r="E1203">
        <v>972</v>
      </c>
      <c r="F1203">
        <v>0</v>
      </c>
      <c r="G1203">
        <v>0</v>
      </c>
      <c r="H1203">
        <v>972</v>
      </c>
      <c r="I1203">
        <v>69</v>
      </c>
    </row>
    <row r="1204" spans="1:9" x14ac:dyDescent="0.25">
      <c r="A1204" t="s">
        <v>10627</v>
      </c>
      <c r="B1204" t="s">
        <v>10628</v>
      </c>
      <c r="C1204">
        <v>0</v>
      </c>
      <c r="D1204">
        <v>0</v>
      </c>
      <c r="E1204">
        <v>0</v>
      </c>
      <c r="F1204">
        <v>0</v>
      </c>
      <c r="G1204">
        <v>0</v>
      </c>
      <c r="H1204">
        <v>0</v>
      </c>
      <c r="I1204">
        <v>0</v>
      </c>
    </row>
    <row r="1205" spans="1:9" x14ac:dyDescent="0.25">
      <c r="A1205" t="s">
        <v>2229</v>
      </c>
      <c r="B1205" t="s">
        <v>1604</v>
      </c>
      <c r="C1205">
        <v>0</v>
      </c>
      <c r="D1205">
        <v>0</v>
      </c>
      <c r="E1205">
        <v>0</v>
      </c>
      <c r="F1205">
        <v>14</v>
      </c>
      <c r="G1205">
        <v>0</v>
      </c>
      <c r="H1205">
        <v>14</v>
      </c>
      <c r="I1205">
        <v>1</v>
      </c>
    </row>
    <row r="1206" spans="1:9" x14ac:dyDescent="0.25">
      <c r="A1206" t="s">
        <v>2945</v>
      </c>
      <c r="B1206" t="s">
        <v>11724</v>
      </c>
      <c r="C1206">
        <v>0</v>
      </c>
      <c r="D1206">
        <v>0</v>
      </c>
      <c r="E1206">
        <v>0</v>
      </c>
      <c r="F1206">
        <v>30</v>
      </c>
      <c r="G1206">
        <v>0</v>
      </c>
      <c r="H1206">
        <v>30</v>
      </c>
      <c r="I1206">
        <v>1</v>
      </c>
    </row>
    <row r="1207" spans="1:9" x14ac:dyDescent="0.25">
      <c r="A1207" t="s">
        <v>1975</v>
      </c>
      <c r="B1207" t="s">
        <v>1883</v>
      </c>
      <c r="C1207">
        <v>5</v>
      </c>
      <c r="D1207">
        <v>0</v>
      </c>
      <c r="E1207">
        <v>13</v>
      </c>
      <c r="F1207">
        <v>0</v>
      </c>
      <c r="G1207">
        <v>0</v>
      </c>
      <c r="H1207">
        <v>18</v>
      </c>
      <c r="I1207">
        <v>2</v>
      </c>
    </row>
    <row r="1208" spans="1:9" x14ac:dyDescent="0.25">
      <c r="A1208" t="s">
        <v>2939</v>
      </c>
      <c r="B1208" t="s">
        <v>1734</v>
      </c>
      <c r="C1208">
        <v>7</v>
      </c>
      <c r="D1208">
        <v>0</v>
      </c>
      <c r="E1208">
        <v>0</v>
      </c>
      <c r="F1208">
        <v>0</v>
      </c>
      <c r="G1208">
        <v>0</v>
      </c>
      <c r="H1208">
        <v>7</v>
      </c>
      <c r="I1208">
        <v>1</v>
      </c>
    </row>
    <row r="1209" spans="1:9" x14ac:dyDescent="0.25">
      <c r="A1209" t="s">
        <v>2009</v>
      </c>
      <c r="B1209" t="s">
        <v>1735</v>
      </c>
      <c r="C1209">
        <v>5</v>
      </c>
      <c r="D1209">
        <v>0</v>
      </c>
      <c r="E1209">
        <v>0</v>
      </c>
      <c r="F1209">
        <v>0</v>
      </c>
      <c r="G1209">
        <v>0</v>
      </c>
      <c r="H1209">
        <v>5</v>
      </c>
      <c r="I1209">
        <v>1</v>
      </c>
    </row>
    <row r="1210" spans="1:9" x14ac:dyDescent="0.25">
      <c r="A1210" t="s">
        <v>2078</v>
      </c>
      <c r="B1210" t="s">
        <v>1002</v>
      </c>
      <c r="C1210">
        <v>89</v>
      </c>
      <c r="D1210">
        <v>0</v>
      </c>
      <c r="E1210">
        <v>1</v>
      </c>
      <c r="F1210">
        <v>0</v>
      </c>
      <c r="G1210">
        <v>0</v>
      </c>
      <c r="H1210">
        <v>90</v>
      </c>
      <c r="I1210">
        <v>2</v>
      </c>
    </row>
    <row r="1211" spans="1:9" x14ac:dyDescent="0.25">
      <c r="A1211" t="s">
        <v>9860</v>
      </c>
      <c r="B1211" t="s">
        <v>10635</v>
      </c>
      <c r="C1211">
        <v>2</v>
      </c>
      <c r="D1211">
        <v>0</v>
      </c>
      <c r="E1211">
        <v>0</v>
      </c>
      <c r="F1211">
        <v>0</v>
      </c>
      <c r="G1211">
        <v>0</v>
      </c>
      <c r="H1211">
        <v>2</v>
      </c>
      <c r="I1211">
        <v>1</v>
      </c>
    </row>
    <row r="1212" spans="1:9" x14ac:dyDescent="0.25">
      <c r="A1212" t="s">
        <v>10636</v>
      </c>
      <c r="B1212" t="s">
        <v>10637</v>
      </c>
      <c r="C1212">
        <v>0</v>
      </c>
      <c r="D1212">
        <v>0</v>
      </c>
      <c r="E1212">
        <v>0</v>
      </c>
      <c r="F1212">
        <v>0</v>
      </c>
      <c r="G1212">
        <v>0</v>
      </c>
      <c r="H1212">
        <v>0</v>
      </c>
      <c r="I1212">
        <v>0</v>
      </c>
    </row>
    <row r="1213" spans="1:9" x14ac:dyDescent="0.25">
      <c r="A1213" t="s">
        <v>2012</v>
      </c>
      <c r="B1213" t="s">
        <v>1250</v>
      </c>
      <c r="C1213">
        <v>622</v>
      </c>
      <c r="D1213">
        <v>0</v>
      </c>
      <c r="E1213">
        <v>6</v>
      </c>
      <c r="F1213">
        <v>0</v>
      </c>
      <c r="G1213">
        <v>0</v>
      </c>
      <c r="H1213">
        <v>628</v>
      </c>
      <c r="I1213">
        <v>6</v>
      </c>
    </row>
    <row r="1214" spans="1:9" x14ac:dyDescent="0.25">
      <c r="A1214" t="s">
        <v>10644</v>
      </c>
      <c r="B1214" t="s">
        <v>10645</v>
      </c>
      <c r="C1214">
        <v>1</v>
      </c>
      <c r="D1214">
        <v>0</v>
      </c>
      <c r="E1214">
        <v>0</v>
      </c>
      <c r="F1214">
        <v>0</v>
      </c>
      <c r="G1214">
        <v>0</v>
      </c>
      <c r="H1214">
        <v>1</v>
      </c>
      <c r="I1214">
        <v>1</v>
      </c>
    </row>
    <row r="1215" spans="1:9" x14ac:dyDescent="0.25">
      <c r="A1215" t="s">
        <v>2501</v>
      </c>
      <c r="B1215" t="s">
        <v>1613</v>
      </c>
      <c r="C1215">
        <v>20</v>
      </c>
      <c r="D1215">
        <v>36</v>
      </c>
      <c r="E1215">
        <v>0</v>
      </c>
      <c r="F1215">
        <v>0</v>
      </c>
      <c r="G1215">
        <v>0</v>
      </c>
      <c r="H1215">
        <v>56</v>
      </c>
      <c r="I1215">
        <v>1</v>
      </c>
    </row>
    <row r="1216" spans="1:9" x14ac:dyDescent="0.25">
      <c r="A1216" t="s">
        <v>2047</v>
      </c>
      <c r="B1216" t="s">
        <v>1489</v>
      </c>
      <c r="C1216">
        <v>0</v>
      </c>
      <c r="D1216">
        <v>0</v>
      </c>
      <c r="E1216">
        <v>281</v>
      </c>
      <c r="F1216">
        <v>0</v>
      </c>
      <c r="G1216">
        <v>0</v>
      </c>
      <c r="H1216">
        <v>281</v>
      </c>
      <c r="I1216">
        <v>5</v>
      </c>
    </row>
    <row r="1217" spans="1:9" x14ac:dyDescent="0.25">
      <c r="A1217" t="s">
        <v>2970</v>
      </c>
      <c r="B1217" t="s">
        <v>11712</v>
      </c>
      <c r="C1217">
        <v>0</v>
      </c>
      <c r="D1217">
        <v>0</v>
      </c>
      <c r="E1217">
        <v>19</v>
      </c>
      <c r="F1217">
        <v>0</v>
      </c>
      <c r="G1217">
        <v>0</v>
      </c>
      <c r="H1217">
        <v>19</v>
      </c>
      <c r="I1217">
        <v>1</v>
      </c>
    </row>
    <row r="1218" spans="1:9" x14ac:dyDescent="0.25">
      <c r="A1218" t="s">
        <v>2553</v>
      </c>
      <c r="B1218" t="s">
        <v>1890</v>
      </c>
      <c r="C1218">
        <v>0</v>
      </c>
      <c r="D1218">
        <v>0</v>
      </c>
      <c r="E1218">
        <v>0</v>
      </c>
      <c r="F1218">
        <v>55</v>
      </c>
      <c r="G1218">
        <v>0</v>
      </c>
      <c r="H1218">
        <v>55</v>
      </c>
      <c r="I1218">
        <v>1</v>
      </c>
    </row>
    <row r="1219" spans="1:9" x14ac:dyDescent="0.25">
      <c r="A1219" t="s">
        <v>2639</v>
      </c>
      <c r="B1219" t="s">
        <v>1010</v>
      </c>
      <c r="C1219">
        <v>4238</v>
      </c>
      <c r="D1219">
        <v>0</v>
      </c>
      <c r="E1219">
        <v>0</v>
      </c>
      <c r="F1219">
        <v>0</v>
      </c>
      <c r="G1219">
        <v>853</v>
      </c>
      <c r="H1219">
        <v>5091</v>
      </c>
      <c r="I1219">
        <v>63</v>
      </c>
    </row>
    <row r="1220" spans="1:9" x14ac:dyDescent="0.25">
      <c r="A1220" t="s">
        <v>1955</v>
      </c>
      <c r="B1220" t="s">
        <v>1823</v>
      </c>
      <c r="C1220">
        <v>0</v>
      </c>
      <c r="D1220">
        <v>4</v>
      </c>
      <c r="E1220">
        <v>594</v>
      </c>
      <c r="F1220">
        <v>0</v>
      </c>
      <c r="G1220">
        <v>0</v>
      </c>
      <c r="H1220">
        <v>598</v>
      </c>
      <c r="I1220">
        <v>2</v>
      </c>
    </row>
    <row r="1221" spans="1:9" x14ac:dyDescent="0.25">
      <c r="A1221" t="s">
        <v>2013</v>
      </c>
      <c r="B1221" t="s">
        <v>1419</v>
      </c>
      <c r="C1221">
        <v>301</v>
      </c>
      <c r="D1221">
        <v>0</v>
      </c>
      <c r="E1221">
        <v>0</v>
      </c>
      <c r="F1221">
        <v>0</v>
      </c>
      <c r="G1221">
        <v>0</v>
      </c>
      <c r="H1221">
        <v>301</v>
      </c>
      <c r="I1221">
        <v>8</v>
      </c>
    </row>
    <row r="1222" spans="1:9" x14ac:dyDescent="0.25">
      <c r="A1222" t="s">
        <v>2088</v>
      </c>
      <c r="B1222" t="s">
        <v>1617</v>
      </c>
      <c r="C1222">
        <v>0</v>
      </c>
      <c r="D1222">
        <v>0</v>
      </c>
      <c r="E1222">
        <v>31</v>
      </c>
      <c r="F1222">
        <v>0</v>
      </c>
      <c r="G1222">
        <v>0</v>
      </c>
      <c r="H1222">
        <v>31</v>
      </c>
      <c r="I1222">
        <v>1</v>
      </c>
    </row>
    <row r="1223" spans="1:9" x14ac:dyDescent="0.25">
      <c r="A1223" t="s">
        <v>2771</v>
      </c>
      <c r="B1223" t="s">
        <v>1616</v>
      </c>
      <c r="C1223">
        <v>75</v>
      </c>
      <c r="D1223">
        <v>0</v>
      </c>
      <c r="E1223">
        <v>0</v>
      </c>
      <c r="F1223">
        <v>0</v>
      </c>
      <c r="G1223">
        <v>0</v>
      </c>
      <c r="H1223">
        <v>75</v>
      </c>
      <c r="I1223">
        <v>1</v>
      </c>
    </row>
    <row r="1224" spans="1:9" x14ac:dyDescent="0.25">
      <c r="A1224" t="s">
        <v>1962</v>
      </c>
      <c r="B1224" t="s">
        <v>937</v>
      </c>
      <c r="C1224">
        <v>0</v>
      </c>
      <c r="D1224">
        <v>0</v>
      </c>
      <c r="E1224">
        <v>0</v>
      </c>
      <c r="F1224">
        <v>0</v>
      </c>
      <c r="G1224">
        <v>7644</v>
      </c>
      <c r="H1224">
        <v>7644</v>
      </c>
      <c r="I1224">
        <v>202</v>
      </c>
    </row>
    <row r="1225" spans="1:9" x14ac:dyDescent="0.25">
      <c r="A1225" t="s">
        <v>1959</v>
      </c>
      <c r="B1225" t="s">
        <v>1013</v>
      </c>
      <c r="C1225">
        <v>8</v>
      </c>
      <c r="D1225">
        <v>0</v>
      </c>
      <c r="E1225">
        <v>3822</v>
      </c>
      <c r="F1225">
        <v>125</v>
      </c>
      <c r="G1225">
        <v>0</v>
      </c>
      <c r="H1225">
        <v>3955</v>
      </c>
      <c r="I1225">
        <v>151</v>
      </c>
    </row>
    <row r="1226" spans="1:9" x14ac:dyDescent="0.25">
      <c r="A1226" t="s">
        <v>2007</v>
      </c>
      <c r="B1226" t="s">
        <v>1496</v>
      </c>
      <c r="C1226">
        <v>136</v>
      </c>
      <c r="D1226">
        <v>0</v>
      </c>
      <c r="E1226">
        <v>0</v>
      </c>
      <c r="F1226">
        <v>0</v>
      </c>
      <c r="G1226">
        <v>0</v>
      </c>
      <c r="H1226">
        <v>136</v>
      </c>
      <c r="I1226">
        <v>3</v>
      </c>
    </row>
    <row r="1227" spans="1:9" x14ac:dyDescent="0.25">
      <c r="A1227" t="s">
        <v>2194</v>
      </c>
      <c r="B1227" t="s">
        <v>11688</v>
      </c>
      <c r="C1227">
        <v>0</v>
      </c>
      <c r="D1227">
        <v>0</v>
      </c>
      <c r="E1227">
        <v>0</v>
      </c>
      <c r="F1227">
        <v>101</v>
      </c>
      <c r="G1227">
        <v>0</v>
      </c>
      <c r="H1227">
        <v>101</v>
      </c>
      <c r="I1227">
        <v>3</v>
      </c>
    </row>
    <row r="1228" spans="1:9" x14ac:dyDescent="0.25">
      <c r="A1228" t="s">
        <v>2165</v>
      </c>
      <c r="B1228" t="s">
        <v>1621</v>
      </c>
      <c r="C1228">
        <v>16</v>
      </c>
      <c r="D1228">
        <v>0</v>
      </c>
      <c r="E1228">
        <v>0</v>
      </c>
      <c r="F1228">
        <v>0</v>
      </c>
      <c r="G1228">
        <v>0</v>
      </c>
      <c r="H1228">
        <v>16</v>
      </c>
      <c r="I1228">
        <v>1</v>
      </c>
    </row>
    <row r="1229" spans="1:9" x14ac:dyDescent="0.25">
      <c r="A1229" t="s">
        <v>10662</v>
      </c>
      <c r="B1229" t="s">
        <v>10663</v>
      </c>
      <c r="C1229">
        <v>4</v>
      </c>
      <c r="D1229">
        <v>0</v>
      </c>
      <c r="E1229">
        <v>0</v>
      </c>
      <c r="F1229">
        <v>0</v>
      </c>
      <c r="G1229">
        <v>0</v>
      </c>
      <c r="H1229">
        <v>4</v>
      </c>
      <c r="I1229">
        <v>1</v>
      </c>
    </row>
    <row r="1230" spans="1:9" x14ac:dyDescent="0.25">
      <c r="A1230" t="s">
        <v>2028</v>
      </c>
      <c r="B1230" t="s">
        <v>1282</v>
      </c>
      <c r="C1230">
        <v>37</v>
      </c>
      <c r="D1230">
        <v>0</v>
      </c>
      <c r="E1230">
        <v>0</v>
      </c>
      <c r="F1230">
        <v>0</v>
      </c>
      <c r="G1230">
        <v>0</v>
      </c>
      <c r="H1230">
        <v>37</v>
      </c>
      <c r="I1230">
        <v>5</v>
      </c>
    </row>
    <row r="1231" spans="1:9" x14ac:dyDescent="0.25">
      <c r="A1231" t="s">
        <v>1989</v>
      </c>
      <c r="B1231" t="s">
        <v>9864</v>
      </c>
      <c r="C1231">
        <v>25</v>
      </c>
      <c r="D1231">
        <v>0</v>
      </c>
      <c r="E1231">
        <v>0</v>
      </c>
      <c r="F1231">
        <v>0</v>
      </c>
      <c r="G1231">
        <v>0</v>
      </c>
      <c r="H1231">
        <v>25</v>
      </c>
      <c r="I1231">
        <v>1</v>
      </c>
    </row>
    <row r="1232" spans="1:9" x14ac:dyDescent="0.25">
      <c r="A1232" t="s">
        <v>2005</v>
      </c>
      <c r="B1232" t="s">
        <v>1900</v>
      </c>
      <c r="C1232">
        <v>8</v>
      </c>
      <c r="D1232">
        <v>0</v>
      </c>
      <c r="E1232">
        <v>0</v>
      </c>
      <c r="F1232">
        <v>0</v>
      </c>
      <c r="G1232">
        <v>0</v>
      </c>
      <c r="H1232">
        <v>8</v>
      </c>
      <c r="I1232">
        <v>1</v>
      </c>
    </row>
    <row r="1233" spans="1:9" x14ac:dyDescent="0.25">
      <c r="A1233" t="s">
        <v>10664</v>
      </c>
      <c r="B1233" t="s">
        <v>10665</v>
      </c>
      <c r="C1233">
        <v>0</v>
      </c>
      <c r="D1233">
        <v>0</v>
      </c>
      <c r="E1233">
        <v>0</v>
      </c>
      <c r="F1233">
        <v>0</v>
      </c>
      <c r="G1233">
        <v>0</v>
      </c>
      <c r="H1233">
        <v>0</v>
      </c>
      <c r="I1233">
        <v>0</v>
      </c>
    </row>
    <row r="1234" spans="1:9" x14ac:dyDescent="0.25">
      <c r="A1234" t="s">
        <v>2555</v>
      </c>
      <c r="B1234" t="s">
        <v>1288</v>
      </c>
      <c r="C1234">
        <v>0</v>
      </c>
      <c r="D1234">
        <v>8</v>
      </c>
      <c r="E1234">
        <v>0</v>
      </c>
      <c r="F1234">
        <v>0</v>
      </c>
      <c r="G1234">
        <v>0</v>
      </c>
      <c r="H1234">
        <v>8</v>
      </c>
      <c r="I1234">
        <v>1</v>
      </c>
    </row>
    <row r="1235" spans="1:9" x14ac:dyDescent="0.25">
      <c r="A1235" t="s">
        <v>2277</v>
      </c>
      <c r="B1235" t="s">
        <v>1505</v>
      </c>
      <c r="C1235">
        <v>0</v>
      </c>
      <c r="D1235">
        <v>0</v>
      </c>
      <c r="E1235">
        <v>0</v>
      </c>
      <c r="F1235">
        <v>8</v>
      </c>
      <c r="G1235">
        <v>0</v>
      </c>
      <c r="H1235">
        <v>8</v>
      </c>
      <c r="I1235">
        <v>1</v>
      </c>
    </row>
    <row r="1236" spans="1:9" x14ac:dyDescent="0.25">
      <c r="A1236" t="s">
        <v>10674</v>
      </c>
      <c r="B1236" t="s">
        <v>10675</v>
      </c>
      <c r="C1236">
        <v>0</v>
      </c>
      <c r="D1236">
        <v>0</v>
      </c>
      <c r="E1236">
        <v>0</v>
      </c>
      <c r="F1236">
        <v>0</v>
      </c>
      <c r="G1236">
        <v>0</v>
      </c>
      <c r="H1236">
        <v>0</v>
      </c>
      <c r="I1236">
        <v>0</v>
      </c>
    </row>
    <row r="1237" spans="1:9" x14ac:dyDescent="0.25">
      <c r="A1237" t="s">
        <v>2649</v>
      </c>
      <c r="B1237" t="s">
        <v>1507</v>
      </c>
      <c r="C1237">
        <v>40</v>
      </c>
      <c r="D1237">
        <v>0</v>
      </c>
      <c r="E1237">
        <v>0</v>
      </c>
      <c r="F1237">
        <v>166</v>
      </c>
      <c r="G1237">
        <v>0</v>
      </c>
      <c r="H1237">
        <v>206</v>
      </c>
      <c r="I1237">
        <v>1</v>
      </c>
    </row>
    <row r="1238" spans="1:9" x14ac:dyDescent="0.25">
      <c r="A1238" t="s">
        <v>11756</v>
      </c>
      <c r="B1238" t="s">
        <v>11696</v>
      </c>
      <c r="C1238">
        <v>84</v>
      </c>
      <c r="D1238">
        <v>0</v>
      </c>
      <c r="E1238">
        <v>0</v>
      </c>
      <c r="F1238">
        <v>0</v>
      </c>
      <c r="G1238">
        <v>0</v>
      </c>
      <c r="H1238">
        <v>84</v>
      </c>
      <c r="I1238">
        <v>1</v>
      </c>
    </row>
    <row r="1239" spans="1:9" x14ac:dyDescent="0.25">
      <c r="A1239" t="s">
        <v>2210</v>
      </c>
      <c r="B1239" t="s">
        <v>1625</v>
      </c>
      <c r="C1239">
        <v>8</v>
      </c>
      <c r="D1239">
        <v>0</v>
      </c>
      <c r="E1239">
        <v>0</v>
      </c>
      <c r="F1239">
        <v>0</v>
      </c>
      <c r="G1239">
        <v>0</v>
      </c>
      <c r="H1239">
        <v>8</v>
      </c>
      <c r="I1239">
        <v>1</v>
      </c>
    </row>
    <row r="1240" spans="1:9" x14ac:dyDescent="0.25">
      <c r="A1240" t="s">
        <v>1939</v>
      </c>
      <c r="B1240" t="s">
        <v>1511</v>
      </c>
      <c r="C1240">
        <v>10</v>
      </c>
      <c r="D1240">
        <v>0</v>
      </c>
      <c r="E1240">
        <v>0</v>
      </c>
      <c r="F1240">
        <v>0</v>
      </c>
      <c r="G1240">
        <v>0</v>
      </c>
      <c r="H1240">
        <v>10</v>
      </c>
      <c r="I1240">
        <v>1</v>
      </c>
    </row>
    <row r="1241" spans="1:9" x14ac:dyDescent="0.25">
      <c r="A1241" t="s">
        <v>10680</v>
      </c>
      <c r="B1241" t="s">
        <v>10681</v>
      </c>
      <c r="C1241">
        <v>0</v>
      </c>
      <c r="D1241">
        <v>0</v>
      </c>
      <c r="E1241">
        <v>0</v>
      </c>
      <c r="F1241">
        <v>0</v>
      </c>
      <c r="G1241">
        <v>1571</v>
      </c>
      <c r="H1241">
        <v>1571</v>
      </c>
      <c r="I1241">
        <v>92</v>
      </c>
    </row>
    <row r="1242" spans="1:9" x14ac:dyDescent="0.25">
      <c r="A1242" t="s">
        <v>10684</v>
      </c>
      <c r="B1242" t="s">
        <v>10685</v>
      </c>
      <c r="C1242">
        <v>28</v>
      </c>
      <c r="D1242">
        <v>0</v>
      </c>
      <c r="E1242">
        <v>0</v>
      </c>
      <c r="F1242">
        <v>0</v>
      </c>
      <c r="G1242">
        <v>0</v>
      </c>
      <c r="H1242">
        <v>28</v>
      </c>
      <c r="I1242">
        <v>2</v>
      </c>
    </row>
    <row r="1243" spans="1:9" x14ac:dyDescent="0.25">
      <c r="A1243" t="s">
        <v>10686</v>
      </c>
      <c r="B1243" t="s">
        <v>10687</v>
      </c>
      <c r="C1243">
        <v>392</v>
      </c>
      <c r="D1243">
        <v>0</v>
      </c>
      <c r="E1243">
        <v>0</v>
      </c>
      <c r="F1243">
        <v>0</v>
      </c>
      <c r="G1243">
        <v>0</v>
      </c>
      <c r="H1243">
        <v>392</v>
      </c>
      <c r="I1243">
        <v>5</v>
      </c>
    </row>
    <row r="1244" spans="1:9" x14ac:dyDescent="0.25">
      <c r="A1244" t="s">
        <v>1944</v>
      </c>
      <c r="B1244" t="s">
        <v>1294</v>
      </c>
      <c r="C1244">
        <v>7</v>
      </c>
      <c r="D1244">
        <v>0</v>
      </c>
      <c r="E1244">
        <v>0</v>
      </c>
      <c r="F1244">
        <v>0</v>
      </c>
      <c r="G1244">
        <v>0</v>
      </c>
      <c r="H1244">
        <v>7</v>
      </c>
      <c r="I1244">
        <v>1</v>
      </c>
    </row>
    <row r="1245" spans="1:9" x14ac:dyDescent="0.25">
      <c r="A1245" t="s">
        <v>2035</v>
      </c>
      <c r="B1245" t="s">
        <v>1627</v>
      </c>
      <c r="C1245">
        <v>3</v>
      </c>
      <c r="D1245">
        <v>0</v>
      </c>
      <c r="E1245">
        <v>0</v>
      </c>
      <c r="F1245">
        <v>0</v>
      </c>
      <c r="G1245">
        <v>0</v>
      </c>
      <c r="H1245">
        <v>3</v>
      </c>
      <c r="I1245">
        <v>2</v>
      </c>
    </row>
    <row r="1246" spans="1:9" x14ac:dyDescent="0.25">
      <c r="A1246" t="s">
        <v>14640</v>
      </c>
      <c r="B1246" t="s">
        <v>14393</v>
      </c>
      <c r="C1246">
        <v>0</v>
      </c>
      <c r="D1246">
        <v>0</v>
      </c>
      <c r="E1246">
        <v>0</v>
      </c>
      <c r="F1246">
        <v>6</v>
      </c>
      <c r="G1246">
        <v>0</v>
      </c>
      <c r="H1246">
        <v>6</v>
      </c>
      <c r="I1246">
        <v>1</v>
      </c>
    </row>
    <row r="1247" spans="1:9" x14ac:dyDescent="0.25">
      <c r="A1247" t="s">
        <v>2884</v>
      </c>
      <c r="B1247" t="s">
        <v>1745</v>
      </c>
      <c r="C1247">
        <v>10230</v>
      </c>
      <c r="D1247">
        <v>0</v>
      </c>
      <c r="E1247">
        <v>74</v>
      </c>
      <c r="F1247">
        <v>1738</v>
      </c>
      <c r="G1247">
        <v>535</v>
      </c>
      <c r="H1247">
        <v>12577</v>
      </c>
      <c r="I1247">
        <v>12</v>
      </c>
    </row>
    <row r="1248" spans="1:9" x14ac:dyDescent="0.25">
      <c r="A1248" t="s">
        <v>2110</v>
      </c>
      <c r="B1248" t="s">
        <v>1630</v>
      </c>
      <c r="C1248">
        <v>0</v>
      </c>
      <c r="D1248">
        <v>0</v>
      </c>
      <c r="E1248">
        <v>206</v>
      </c>
      <c r="F1248">
        <v>0</v>
      </c>
      <c r="G1248">
        <v>0</v>
      </c>
      <c r="H1248">
        <v>206</v>
      </c>
      <c r="I1248">
        <v>1</v>
      </c>
    </row>
    <row r="1249" spans="1:9" x14ac:dyDescent="0.25">
      <c r="A1249" t="s">
        <v>2668</v>
      </c>
      <c r="B1249" t="s">
        <v>945</v>
      </c>
      <c r="C1249">
        <v>11550</v>
      </c>
      <c r="D1249">
        <v>0</v>
      </c>
      <c r="E1249">
        <v>213</v>
      </c>
      <c r="F1249">
        <v>1568</v>
      </c>
      <c r="G1249">
        <v>5835</v>
      </c>
      <c r="H1249">
        <v>19166</v>
      </c>
      <c r="I1249">
        <v>91</v>
      </c>
    </row>
    <row r="1250" spans="1:9" x14ac:dyDescent="0.25">
      <c r="A1250" t="s">
        <v>2821</v>
      </c>
      <c r="B1250" t="s">
        <v>1130</v>
      </c>
      <c r="C1250">
        <v>3</v>
      </c>
      <c r="D1250">
        <v>0</v>
      </c>
      <c r="E1250">
        <v>0</v>
      </c>
      <c r="F1250">
        <v>0</v>
      </c>
      <c r="G1250">
        <v>0</v>
      </c>
      <c r="H1250">
        <v>3</v>
      </c>
      <c r="I1250">
        <v>1</v>
      </c>
    </row>
    <row r="1251" spans="1:9" x14ac:dyDescent="0.25">
      <c r="A1251" t="s">
        <v>2404</v>
      </c>
      <c r="B1251" t="s">
        <v>1299</v>
      </c>
      <c r="C1251">
        <v>5</v>
      </c>
      <c r="D1251">
        <v>0</v>
      </c>
      <c r="E1251">
        <v>0</v>
      </c>
      <c r="F1251">
        <v>0</v>
      </c>
      <c r="G1251">
        <v>0</v>
      </c>
      <c r="H1251">
        <v>5</v>
      </c>
      <c r="I1251">
        <v>1</v>
      </c>
    </row>
    <row r="1252" spans="1:9" x14ac:dyDescent="0.25">
      <c r="A1252" t="s">
        <v>1961</v>
      </c>
      <c r="B1252" t="s">
        <v>1302</v>
      </c>
      <c r="C1252">
        <v>0</v>
      </c>
      <c r="D1252">
        <v>0</v>
      </c>
      <c r="E1252">
        <v>236</v>
      </c>
      <c r="F1252">
        <v>0</v>
      </c>
      <c r="G1252">
        <v>0</v>
      </c>
      <c r="H1252">
        <v>236</v>
      </c>
      <c r="I1252">
        <v>22</v>
      </c>
    </row>
    <row r="1253" spans="1:9" x14ac:dyDescent="0.25">
      <c r="A1253" t="s">
        <v>2073</v>
      </c>
      <c r="B1253" t="s">
        <v>11672</v>
      </c>
      <c r="C1253">
        <v>12</v>
      </c>
      <c r="D1253">
        <v>0</v>
      </c>
      <c r="E1253">
        <v>0</v>
      </c>
      <c r="F1253">
        <v>0</v>
      </c>
      <c r="G1253">
        <v>0</v>
      </c>
      <c r="H1253">
        <v>12</v>
      </c>
      <c r="I1253">
        <v>1</v>
      </c>
    </row>
    <row r="1254" spans="1:9" x14ac:dyDescent="0.25">
      <c r="A1254" t="s">
        <v>2462</v>
      </c>
      <c r="B1254" t="s">
        <v>1308</v>
      </c>
      <c r="C1254">
        <v>17</v>
      </c>
      <c r="D1254">
        <v>0</v>
      </c>
      <c r="E1254">
        <v>0</v>
      </c>
      <c r="F1254">
        <v>0</v>
      </c>
      <c r="G1254">
        <v>0</v>
      </c>
      <c r="H1254">
        <v>17</v>
      </c>
      <c r="I1254">
        <v>1</v>
      </c>
    </row>
    <row r="1255" spans="1:9" x14ac:dyDescent="0.25">
      <c r="A1255" t="s">
        <v>2650</v>
      </c>
      <c r="B1255" t="s">
        <v>1636</v>
      </c>
      <c r="C1255">
        <v>3</v>
      </c>
      <c r="D1255">
        <v>0</v>
      </c>
      <c r="E1255">
        <v>0</v>
      </c>
      <c r="F1255">
        <v>12</v>
      </c>
      <c r="G1255">
        <v>0</v>
      </c>
      <c r="H1255">
        <v>15</v>
      </c>
      <c r="I1255">
        <v>1</v>
      </c>
    </row>
    <row r="1256" spans="1:9" x14ac:dyDescent="0.25">
      <c r="A1256" t="s">
        <v>2481</v>
      </c>
      <c r="B1256" t="s">
        <v>1315</v>
      </c>
      <c r="C1256">
        <v>49</v>
      </c>
      <c r="D1256">
        <v>0</v>
      </c>
      <c r="E1256">
        <v>0</v>
      </c>
      <c r="F1256">
        <v>0</v>
      </c>
      <c r="G1256">
        <v>0</v>
      </c>
      <c r="H1256">
        <v>49</v>
      </c>
      <c r="I1256">
        <v>1</v>
      </c>
    </row>
    <row r="1257" spans="1:9" x14ac:dyDescent="0.25">
      <c r="A1257" t="s">
        <v>2129</v>
      </c>
      <c r="B1257" t="s">
        <v>1147</v>
      </c>
      <c r="C1257">
        <v>9</v>
      </c>
      <c r="D1257">
        <v>0</v>
      </c>
      <c r="E1257">
        <v>0</v>
      </c>
      <c r="F1257">
        <v>0</v>
      </c>
      <c r="G1257">
        <v>0</v>
      </c>
      <c r="H1257">
        <v>9</v>
      </c>
      <c r="I1257">
        <v>1</v>
      </c>
    </row>
    <row r="1258" spans="1:9" x14ac:dyDescent="0.25">
      <c r="A1258" t="s">
        <v>11762</v>
      </c>
      <c r="B1258" t="s">
        <v>11763</v>
      </c>
      <c r="C1258">
        <v>0</v>
      </c>
      <c r="D1258">
        <v>0</v>
      </c>
      <c r="E1258">
        <v>0</v>
      </c>
      <c r="F1258">
        <v>0</v>
      </c>
      <c r="G1258">
        <v>0</v>
      </c>
      <c r="H1258">
        <v>0</v>
      </c>
      <c r="I1258">
        <v>0</v>
      </c>
    </row>
    <row r="1259" spans="1:9" x14ac:dyDescent="0.25">
      <c r="A1259" t="s">
        <v>2767</v>
      </c>
      <c r="B1259" t="s">
        <v>1148</v>
      </c>
      <c r="C1259">
        <v>117</v>
      </c>
      <c r="D1259">
        <v>0</v>
      </c>
      <c r="E1259">
        <v>0</v>
      </c>
      <c r="F1259">
        <v>0</v>
      </c>
      <c r="G1259">
        <v>0</v>
      </c>
      <c r="H1259">
        <v>117</v>
      </c>
      <c r="I1259">
        <v>1</v>
      </c>
    </row>
    <row r="1260" spans="1:9" x14ac:dyDescent="0.25">
      <c r="A1260" t="s">
        <v>10690</v>
      </c>
      <c r="B1260" t="s">
        <v>11681</v>
      </c>
      <c r="C1260">
        <v>343</v>
      </c>
      <c r="D1260">
        <v>0</v>
      </c>
      <c r="E1260">
        <v>0</v>
      </c>
      <c r="F1260">
        <v>0</v>
      </c>
      <c r="G1260">
        <v>0</v>
      </c>
      <c r="H1260">
        <v>343</v>
      </c>
      <c r="I1260">
        <v>4</v>
      </c>
    </row>
    <row r="1261" spans="1:9" x14ac:dyDescent="0.25">
      <c r="A1261" t="s">
        <v>1983</v>
      </c>
      <c r="B1261" t="s">
        <v>1906</v>
      </c>
      <c r="C1261">
        <v>373</v>
      </c>
      <c r="D1261">
        <v>0</v>
      </c>
      <c r="E1261">
        <v>0</v>
      </c>
      <c r="F1261">
        <v>0</v>
      </c>
      <c r="G1261">
        <v>0</v>
      </c>
      <c r="H1261">
        <v>373</v>
      </c>
      <c r="I1261">
        <v>6</v>
      </c>
    </row>
    <row r="1262" spans="1:9" x14ac:dyDescent="0.25">
      <c r="A1262" t="s">
        <v>2747</v>
      </c>
      <c r="B1262" t="s">
        <v>1324</v>
      </c>
      <c r="C1262">
        <v>0</v>
      </c>
      <c r="D1262">
        <v>0</v>
      </c>
      <c r="E1262">
        <v>0</v>
      </c>
      <c r="F1262">
        <v>30</v>
      </c>
      <c r="G1262">
        <v>0</v>
      </c>
      <c r="H1262">
        <v>30</v>
      </c>
      <c r="I1262">
        <v>1</v>
      </c>
    </row>
    <row r="1263" spans="1:9" x14ac:dyDescent="0.25">
      <c r="A1263" t="s">
        <v>10699</v>
      </c>
      <c r="B1263" t="s">
        <v>10700</v>
      </c>
      <c r="C1263">
        <v>0</v>
      </c>
      <c r="D1263">
        <v>0</v>
      </c>
      <c r="E1263">
        <v>0</v>
      </c>
      <c r="F1263">
        <v>0</v>
      </c>
      <c r="G1263">
        <v>0</v>
      </c>
      <c r="H1263">
        <v>0</v>
      </c>
      <c r="I1263">
        <v>0</v>
      </c>
    </row>
    <row r="1264" spans="1:9" x14ac:dyDescent="0.25">
      <c r="A1264" t="s">
        <v>2680</v>
      </c>
      <c r="B1264" t="s">
        <v>951</v>
      </c>
      <c r="C1264">
        <v>34763</v>
      </c>
      <c r="D1264">
        <v>1</v>
      </c>
      <c r="E1264">
        <v>437</v>
      </c>
      <c r="F1264">
        <v>2279</v>
      </c>
      <c r="G1264">
        <v>2772</v>
      </c>
      <c r="H1264">
        <v>40252</v>
      </c>
      <c r="I1264">
        <v>206</v>
      </c>
    </row>
    <row r="1265" spans="1:9" x14ac:dyDescent="0.25">
      <c r="A1265" t="s">
        <v>2989</v>
      </c>
      <c r="B1265" t="s">
        <v>1048</v>
      </c>
      <c r="C1265">
        <v>15963</v>
      </c>
      <c r="D1265">
        <v>253</v>
      </c>
      <c r="E1265">
        <v>2767</v>
      </c>
      <c r="F1265">
        <v>1818</v>
      </c>
      <c r="G1265">
        <v>829</v>
      </c>
      <c r="H1265">
        <v>21630</v>
      </c>
      <c r="I1265">
        <v>142</v>
      </c>
    </row>
    <row r="1266" spans="1:9" x14ac:dyDescent="0.25">
      <c r="A1266" t="s">
        <v>2585</v>
      </c>
      <c r="B1266" t="s">
        <v>1643</v>
      </c>
      <c r="C1266">
        <v>10</v>
      </c>
      <c r="D1266">
        <v>0</v>
      </c>
      <c r="E1266">
        <v>31</v>
      </c>
      <c r="F1266">
        <v>0</v>
      </c>
      <c r="G1266">
        <v>0</v>
      </c>
      <c r="H1266">
        <v>41</v>
      </c>
      <c r="I1266">
        <v>1</v>
      </c>
    </row>
    <row r="1267" spans="1:9" x14ac:dyDescent="0.25">
      <c r="A1267" t="s">
        <v>10804</v>
      </c>
      <c r="B1267" t="s">
        <v>10805</v>
      </c>
      <c r="C1267">
        <v>0</v>
      </c>
      <c r="D1267">
        <v>0</v>
      </c>
      <c r="E1267">
        <v>0</v>
      </c>
      <c r="F1267">
        <v>0</v>
      </c>
      <c r="G1267">
        <v>0</v>
      </c>
      <c r="H1267">
        <v>0</v>
      </c>
      <c r="I1267">
        <v>0</v>
      </c>
    </row>
    <row r="1268" spans="1:9" x14ac:dyDescent="0.25">
      <c r="A1268" t="s">
        <v>10806</v>
      </c>
      <c r="B1268" t="s">
        <v>10807</v>
      </c>
      <c r="C1268">
        <v>0</v>
      </c>
      <c r="D1268">
        <v>0</v>
      </c>
      <c r="E1268">
        <v>0</v>
      </c>
      <c r="F1268">
        <v>0</v>
      </c>
      <c r="G1268">
        <v>0</v>
      </c>
      <c r="H1268">
        <v>0</v>
      </c>
      <c r="I1268">
        <v>0</v>
      </c>
    </row>
    <row r="1269" spans="1:9" x14ac:dyDescent="0.25">
      <c r="A1269" t="s">
        <v>10710</v>
      </c>
      <c r="B1269" t="s">
        <v>10711</v>
      </c>
      <c r="C1269">
        <v>7</v>
      </c>
      <c r="D1269">
        <v>0</v>
      </c>
      <c r="E1269">
        <v>0</v>
      </c>
      <c r="F1269">
        <v>0</v>
      </c>
      <c r="G1269">
        <v>0</v>
      </c>
      <c r="H1269">
        <v>7</v>
      </c>
      <c r="I1269">
        <v>1</v>
      </c>
    </row>
    <row r="1270" spans="1:9" x14ac:dyDescent="0.25">
      <c r="A1270" t="s">
        <v>2552</v>
      </c>
      <c r="B1270" t="s">
        <v>1756</v>
      </c>
      <c r="C1270">
        <v>0</v>
      </c>
      <c r="D1270">
        <v>0</v>
      </c>
      <c r="E1270">
        <v>21</v>
      </c>
      <c r="F1270">
        <v>16</v>
      </c>
      <c r="G1270">
        <v>0</v>
      </c>
      <c r="H1270">
        <v>37</v>
      </c>
      <c r="I1270">
        <v>1</v>
      </c>
    </row>
    <row r="1271" spans="1:9" x14ac:dyDescent="0.25">
      <c r="A1271" t="s">
        <v>2484</v>
      </c>
      <c r="B1271" t="s">
        <v>1332</v>
      </c>
      <c r="C1271">
        <v>78</v>
      </c>
      <c r="D1271">
        <v>0</v>
      </c>
      <c r="E1271">
        <v>0</v>
      </c>
      <c r="F1271">
        <v>0</v>
      </c>
      <c r="G1271">
        <v>0</v>
      </c>
      <c r="H1271">
        <v>78</v>
      </c>
      <c r="I1271">
        <v>1</v>
      </c>
    </row>
    <row r="1272" spans="1:9" x14ac:dyDescent="0.25">
      <c r="A1272" t="s">
        <v>2934</v>
      </c>
      <c r="B1272" t="s">
        <v>1648</v>
      </c>
      <c r="C1272">
        <v>0</v>
      </c>
      <c r="D1272">
        <v>0</v>
      </c>
      <c r="E1272">
        <v>0</v>
      </c>
      <c r="F1272">
        <v>126</v>
      </c>
      <c r="G1272">
        <v>0</v>
      </c>
      <c r="H1272">
        <v>126</v>
      </c>
      <c r="I1272">
        <v>1</v>
      </c>
    </row>
    <row r="1273" spans="1:9" x14ac:dyDescent="0.25">
      <c r="A1273" t="s">
        <v>2609</v>
      </c>
      <c r="B1273" t="s">
        <v>1336</v>
      </c>
      <c r="C1273">
        <v>0</v>
      </c>
      <c r="D1273">
        <v>0</v>
      </c>
      <c r="E1273">
        <v>0</v>
      </c>
      <c r="F1273">
        <v>16</v>
      </c>
      <c r="G1273">
        <v>0</v>
      </c>
      <c r="H1273">
        <v>16</v>
      </c>
      <c r="I1273">
        <v>1</v>
      </c>
    </row>
    <row r="1274" spans="1:9" x14ac:dyDescent="0.25">
      <c r="A1274" t="s">
        <v>10718</v>
      </c>
      <c r="B1274" t="s">
        <v>11720</v>
      </c>
      <c r="C1274">
        <v>2536</v>
      </c>
      <c r="D1274">
        <v>0</v>
      </c>
      <c r="E1274">
        <v>0</v>
      </c>
      <c r="F1274">
        <v>0</v>
      </c>
      <c r="G1274">
        <v>2964</v>
      </c>
      <c r="H1274">
        <v>5500</v>
      </c>
      <c r="I1274">
        <v>129</v>
      </c>
    </row>
    <row r="1275" spans="1:9" x14ac:dyDescent="0.25">
      <c r="A1275" t="s">
        <v>9871</v>
      </c>
      <c r="B1275" t="s">
        <v>9788</v>
      </c>
      <c r="C1275">
        <v>6820</v>
      </c>
      <c r="D1275">
        <v>0</v>
      </c>
      <c r="E1275">
        <v>0</v>
      </c>
      <c r="F1275">
        <v>0</v>
      </c>
      <c r="G1275">
        <v>0</v>
      </c>
      <c r="H1275">
        <v>6820</v>
      </c>
      <c r="I1275">
        <v>126</v>
      </c>
    </row>
    <row r="1276" spans="1:9" x14ac:dyDescent="0.25">
      <c r="A1276" t="s">
        <v>11765</v>
      </c>
      <c r="B1276" t="s">
        <v>11698</v>
      </c>
      <c r="C1276">
        <v>13</v>
      </c>
      <c r="D1276">
        <v>6</v>
      </c>
      <c r="E1276">
        <v>50</v>
      </c>
      <c r="F1276">
        <v>0</v>
      </c>
      <c r="G1276">
        <v>0</v>
      </c>
      <c r="H1276">
        <v>69</v>
      </c>
      <c r="I1276">
        <v>4</v>
      </c>
    </row>
    <row r="1277" spans="1:9" x14ac:dyDescent="0.25">
      <c r="A1277" t="s">
        <v>10723</v>
      </c>
      <c r="B1277" t="s">
        <v>10724</v>
      </c>
      <c r="C1277">
        <v>88</v>
      </c>
      <c r="D1277">
        <v>0</v>
      </c>
      <c r="E1277">
        <v>0</v>
      </c>
      <c r="F1277">
        <v>0</v>
      </c>
      <c r="G1277">
        <v>0</v>
      </c>
      <c r="H1277">
        <v>88</v>
      </c>
      <c r="I1277">
        <v>2</v>
      </c>
    </row>
    <row r="1278" spans="1:9" x14ac:dyDescent="0.25">
      <c r="A1278" t="s">
        <v>2089</v>
      </c>
      <c r="B1278" t="s">
        <v>1337</v>
      </c>
      <c r="C1278">
        <v>11</v>
      </c>
      <c r="D1278">
        <v>0</v>
      </c>
      <c r="E1278">
        <v>0</v>
      </c>
      <c r="F1278">
        <v>0</v>
      </c>
      <c r="G1278">
        <v>0</v>
      </c>
      <c r="H1278">
        <v>11</v>
      </c>
      <c r="I1278">
        <v>1</v>
      </c>
    </row>
    <row r="1279" spans="1:9" x14ac:dyDescent="0.25">
      <c r="A1279" t="s">
        <v>10725</v>
      </c>
      <c r="B1279" t="s">
        <v>10726</v>
      </c>
      <c r="C1279">
        <v>0</v>
      </c>
      <c r="D1279">
        <v>0</v>
      </c>
      <c r="E1279">
        <v>0</v>
      </c>
      <c r="F1279">
        <v>0</v>
      </c>
      <c r="G1279">
        <v>0</v>
      </c>
      <c r="H1279">
        <v>0</v>
      </c>
      <c r="I1279">
        <v>0</v>
      </c>
    </row>
    <row r="1280" spans="1:9" x14ac:dyDescent="0.25">
      <c r="A1280" t="s">
        <v>10564</v>
      </c>
      <c r="B1280" t="s">
        <v>11766</v>
      </c>
      <c r="C1280">
        <v>0</v>
      </c>
      <c r="D1280">
        <v>0</v>
      </c>
      <c r="E1280">
        <v>0</v>
      </c>
      <c r="F1280">
        <v>0</v>
      </c>
      <c r="G1280">
        <v>0</v>
      </c>
      <c r="H1280">
        <v>0</v>
      </c>
      <c r="I1280">
        <v>0</v>
      </c>
    </row>
    <row r="1281" spans="1:9" x14ac:dyDescent="0.25">
      <c r="A1281" t="s">
        <v>11767</v>
      </c>
      <c r="B1281" t="s">
        <v>11662</v>
      </c>
      <c r="C1281">
        <v>0</v>
      </c>
      <c r="D1281">
        <v>0</v>
      </c>
      <c r="E1281">
        <v>0</v>
      </c>
      <c r="F1281">
        <v>46</v>
      </c>
      <c r="G1281">
        <v>0</v>
      </c>
      <c r="H1281">
        <v>46</v>
      </c>
      <c r="I1281">
        <v>1</v>
      </c>
    </row>
    <row r="1282" spans="1:9" x14ac:dyDescent="0.25">
      <c r="A1282" t="s">
        <v>2774</v>
      </c>
      <c r="B1282" t="s">
        <v>1536</v>
      </c>
      <c r="C1282">
        <v>115</v>
      </c>
      <c r="D1282">
        <v>0</v>
      </c>
      <c r="E1282">
        <v>0</v>
      </c>
      <c r="F1282">
        <v>0</v>
      </c>
      <c r="G1282">
        <v>0</v>
      </c>
      <c r="H1282">
        <v>115</v>
      </c>
      <c r="I1282">
        <v>1</v>
      </c>
    </row>
    <row r="1283" spans="1:9" x14ac:dyDescent="0.25">
      <c r="A1283" t="s">
        <v>1943</v>
      </c>
      <c r="B1283" t="s">
        <v>14374</v>
      </c>
      <c r="C1283">
        <v>0</v>
      </c>
      <c r="D1283">
        <v>0</v>
      </c>
      <c r="E1283">
        <v>0</v>
      </c>
      <c r="F1283">
        <v>0</v>
      </c>
      <c r="G1283">
        <v>3408</v>
      </c>
      <c r="H1283">
        <v>3408</v>
      </c>
      <c r="I1283">
        <v>117</v>
      </c>
    </row>
    <row r="1284" spans="1:9" x14ac:dyDescent="0.25">
      <c r="A1284" t="s">
        <v>2283</v>
      </c>
      <c r="B1284" t="s">
        <v>1346</v>
      </c>
      <c r="C1284">
        <v>0</v>
      </c>
      <c r="D1284">
        <v>0</v>
      </c>
      <c r="E1284">
        <v>0</v>
      </c>
      <c r="F1284">
        <v>10</v>
      </c>
      <c r="G1284">
        <v>0</v>
      </c>
      <c r="H1284">
        <v>10</v>
      </c>
      <c r="I1284">
        <v>1</v>
      </c>
    </row>
    <row r="1285" spans="1:9" x14ac:dyDescent="0.25">
      <c r="A1285" t="s">
        <v>10732</v>
      </c>
      <c r="B1285" t="s">
        <v>10733</v>
      </c>
      <c r="C1285">
        <v>0</v>
      </c>
      <c r="D1285">
        <v>0</v>
      </c>
      <c r="E1285">
        <v>0</v>
      </c>
      <c r="F1285">
        <v>0</v>
      </c>
      <c r="G1285">
        <v>0</v>
      </c>
      <c r="H1285">
        <v>0</v>
      </c>
      <c r="I1285">
        <v>0</v>
      </c>
    </row>
    <row r="1286" spans="1:9" x14ac:dyDescent="0.25">
      <c r="A1286" t="s">
        <v>2105</v>
      </c>
      <c r="B1286" t="s">
        <v>1064</v>
      </c>
      <c r="C1286">
        <v>2</v>
      </c>
      <c r="D1286">
        <v>0</v>
      </c>
      <c r="E1286">
        <v>0</v>
      </c>
      <c r="F1286">
        <v>0</v>
      </c>
      <c r="G1286">
        <v>0</v>
      </c>
      <c r="H1286">
        <v>2</v>
      </c>
      <c r="I1286">
        <v>1</v>
      </c>
    </row>
    <row r="1287" spans="1:9" x14ac:dyDescent="0.25">
      <c r="A1287" t="s">
        <v>1969</v>
      </c>
      <c r="B1287" t="s">
        <v>964</v>
      </c>
      <c r="C1287">
        <v>7563</v>
      </c>
      <c r="D1287">
        <v>0</v>
      </c>
      <c r="E1287">
        <v>486</v>
      </c>
      <c r="F1287">
        <v>1299</v>
      </c>
      <c r="G1287">
        <v>1044</v>
      </c>
      <c r="H1287">
        <v>10392</v>
      </c>
      <c r="I1287">
        <v>28</v>
      </c>
    </row>
    <row r="1288" spans="1:9" x14ac:dyDescent="0.25">
      <c r="A1288" t="s">
        <v>2657</v>
      </c>
      <c r="B1288" t="s">
        <v>1667</v>
      </c>
      <c r="C1288">
        <v>0</v>
      </c>
      <c r="D1288">
        <v>0</v>
      </c>
      <c r="E1288">
        <v>0</v>
      </c>
      <c r="F1288">
        <v>15</v>
      </c>
      <c r="G1288">
        <v>0</v>
      </c>
      <c r="H1288">
        <v>15</v>
      </c>
      <c r="I1288">
        <v>1</v>
      </c>
    </row>
    <row r="1289" spans="1:9" x14ac:dyDescent="0.25">
      <c r="A1289" t="s">
        <v>10737</v>
      </c>
      <c r="B1289" t="s">
        <v>10738</v>
      </c>
      <c r="C1289">
        <v>0</v>
      </c>
      <c r="D1289">
        <v>0</v>
      </c>
      <c r="E1289">
        <v>0</v>
      </c>
      <c r="F1289">
        <v>0</v>
      </c>
      <c r="G1289">
        <v>0</v>
      </c>
      <c r="H1289">
        <v>0</v>
      </c>
      <c r="I1289">
        <v>0</v>
      </c>
    </row>
    <row r="1290" spans="1:9" x14ac:dyDescent="0.25">
      <c r="A1290" t="s">
        <v>2534</v>
      </c>
      <c r="B1290" t="s">
        <v>11727</v>
      </c>
      <c r="C1290">
        <v>0</v>
      </c>
      <c r="D1290">
        <v>0</v>
      </c>
      <c r="E1290">
        <v>10</v>
      </c>
      <c r="F1290">
        <v>0</v>
      </c>
      <c r="G1290">
        <v>0</v>
      </c>
      <c r="H1290">
        <v>10</v>
      </c>
      <c r="I1290">
        <v>1</v>
      </c>
    </row>
    <row r="1291" spans="1:9" x14ac:dyDescent="0.25">
      <c r="A1291" t="s">
        <v>2581</v>
      </c>
      <c r="B1291" t="s">
        <v>1771</v>
      </c>
      <c r="C1291">
        <v>0</v>
      </c>
      <c r="D1291">
        <v>0</v>
      </c>
      <c r="E1291">
        <v>0</v>
      </c>
      <c r="F1291">
        <v>9</v>
      </c>
      <c r="G1291">
        <v>0</v>
      </c>
      <c r="H1291">
        <v>9</v>
      </c>
      <c r="I1291">
        <v>1</v>
      </c>
    </row>
    <row r="1292" spans="1:9" x14ac:dyDescent="0.25">
      <c r="A1292" t="s">
        <v>2530</v>
      </c>
      <c r="B1292" t="s">
        <v>1772</v>
      </c>
      <c r="C1292">
        <v>0</v>
      </c>
      <c r="D1292">
        <v>0</v>
      </c>
      <c r="E1292">
        <v>0</v>
      </c>
      <c r="F1292">
        <v>10</v>
      </c>
      <c r="G1292">
        <v>0</v>
      </c>
      <c r="H1292">
        <v>10</v>
      </c>
      <c r="I1292">
        <v>1</v>
      </c>
    </row>
    <row r="1293" spans="1:9" x14ac:dyDescent="0.25">
      <c r="A1293" t="s">
        <v>2605</v>
      </c>
      <c r="B1293" t="s">
        <v>11710</v>
      </c>
      <c r="C1293">
        <v>0</v>
      </c>
      <c r="D1293">
        <v>0</v>
      </c>
      <c r="E1293">
        <v>0</v>
      </c>
      <c r="F1293">
        <v>10</v>
      </c>
      <c r="G1293">
        <v>0</v>
      </c>
      <c r="H1293">
        <v>10</v>
      </c>
      <c r="I1293">
        <v>1</v>
      </c>
    </row>
    <row r="1294" spans="1:9" x14ac:dyDescent="0.25">
      <c r="A1294" t="s">
        <v>2592</v>
      </c>
      <c r="B1294" t="s">
        <v>1773</v>
      </c>
      <c r="C1294">
        <v>0</v>
      </c>
      <c r="D1294">
        <v>0</v>
      </c>
      <c r="E1294">
        <v>0</v>
      </c>
      <c r="F1294">
        <v>12</v>
      </c>
      <c r="G1294">
        <v>0</v>
      </c>
      <c r="H1294">
        <v>12</v>
      </c>
      <c r="I1294">
        <v>1</v>
      </c>
    </row>
    <row r="1295" spans="1:9" x14ac:dyDescent="0.25">
      <c r="A1295" t="s">
        <v>2561</v>
      </c>
      <c r="B1295" t="s">
        <v>1774</v>
      </c>
      <c r="C1295">
        <v>0</v>
      </c>
      <c r="D1295">
        <v>0</v>
      </c>
      <c r="E1295">
        <v>0</v>
      </c>
      <c r="F1295">
        <v>7</v>
      </c>
      <c r="G1295">
        <v>0</v>
      </c>
      <c r="H1295">
        <v>7</v>
      </c>
      <c r="I1295">
        <v>1</v>
      </c>
    </row>
    <row r="1296" spans="1:9" x14ac:dyDescent="0.25">
      <c r="A1296" t="s">
        <v>2575</v>
      </c>
      <c r="B1296" t="s">
        <v>9812</v>
      </c>
      <c r="C1296">
        <v>0</v>
      </c>
      <c r="D1296">
        <v>0</v>
      </c>
      <c r="E1296">
        <v>0</v>
      </c>
      <c r="F1296">
        <v>8</v>
      </c>
      <c r="G1296">
        <v>0</v>
      </c>
      <c r="H1296">
        <v>8</v>
      </c>
      <c r="I1296">
        <v>1</v>
      </c>
    </row>
    <row r="1297" spans="1:9" x14ac:dyDescent="0.25">
      <c r="A1297" t="s">
        <v>2576</v>
      </c>
      <c r="B1297" t="s">
        <v>1669</v>
      </c>
      <c r="C1297">
        <v>0</v>
      </c>
      <c r="D1297">
        <v>0</v>
      </c>
      <c r="E1297">
        <v>9</v>
      </c>
      <c r="F1297">
        <v>0</v>
      </c>
      <c r="G1297">
        <v>0</v>
      </c>
      <c r="H1297">
        <v>9</v>
      </c>
      <c r="I1297">
        <v>1</v>
      </c>
    </row>
    <row r="1298" spans="1:9" x14ac:dyDescent="0.25">
      <c r="A1298" t="s">
        <v>10741</v>
      </c>
      <c r="B1298" t="s">
        <v>10742</v>
      </c>
      <c r="C1298">
        <v>0</v>
      </c>
      <c r="D1298">
        <v>0</v>
      </c>
      <c r="E1298">
        <v>0</v>
      </c>
      <c r="F1298">
        <v>0</v>
      </c>
      <c r="G1298">
        <v>0</v>
      </c>
      <c r="H1298">
        <v>0</v>
      </c>
      <c r="I1298">
        <v>0</v>
      </c>
    </row>
    <row r="1299" spans="1:9" x14ac:dyDescent="0.25">
      <c r="A1299" t="s">
        <v>2611</v>
      </c>
      <c r="B1299" t="s">
        <v>1548</v>
      </c>
      <c r="C1299">
        <v>0</v>
      </c>
      <c r="D1299">
        <v>0</v>
      </c>
      <c r="E1299">
        <v>0</v>
      </c>
      <c r="F1299">
        <v>10</v>
      </c>
      <c r="G1299">
        <v>0</v>
      </c>
      <c r="H1299">
        <v>10</v>
      </c>
      <c r="I1299">
        <v>1</v>
      </c>
    </row>
    <row r="1300" spans="1:9" x14ac:dyDescent="0.25">
      <c r="A1300" t="s">
        <v>2536</v>
      </c>
      <c r="B1300" t="s">
        <v>1670</v>
      </c>
      <c r="C1300">
        <v>0</v>
      </c>
      <c r="D1300">
        <v>0</v>
      </c>
      <c r="E1300">
        <v>0</v>
      </c>
      <c r="F1300">
        <v>16</v>
      </c>
      <c r="G1300">
        <v>0</v>
      </c>
      <c r="H1300">
        <v>16</v>
      </c>
      <c r="I1300">
        <v>1</v>
      </c>
    </row>
    <row r="1301" spans="1:9" x14ac:dyDescent="0.25">
      <c r="A1301" t="s">
        <v>2604</v>
      </c>
      <c r="B1301" t="s">
        <v>1164</v>
      </c>
      <c r="C1301">
        <v>0</v>
      </c>
      <c r="D1301">
        <v>0</v>
      </c>
      <c r="E1301">
        <v>0</v>
      </c>
      <c r="F1301">
        <v>12</v>
      </c>
      <c r="G1301">
        <v>0</v>
      </c>
      <c r="H1301">
        <v>12</v>
      </c>
      <c r="I1301">
        <v>1</v>
      </c>
    </row>
    <row r="1302" spans="1:9" x14ac:dyDescent="0.25">
      <c r="A1302" t="s">
        <v>10748</v>
      </c>
      <c r="B1302" t="s">
        <v>10749</v>
      </c>
      <c r="C1302">
        <v>0</v>
      </c>
      <c r="D1302">
        <v>0</v>
      </c>
      <c r="E1302">
        <v>0</v>
      </c>
      <c r="F1302">
        <v>0</v>
      </c>
      <c r="G1302">
        <v>0</v>
      </c>
      <c r="H1302">
        <v>0</v>
      </c>
      <c r="I1302">
        <v>0</v>
      </c>
    </row>
    <row r="1303" spans="1:9" x14ac:dyDescent="0.25">
      <c r="A1303" t="s">
        <v>2601</v>
      </c>
      <c r="B1303" t="s">
        <v>1672</v>
      </c>
      <c r="C1303">
        <v>0</v>
      </c>
      <c r="D1303">
        <v>0</v>
      </c>
      <c r="E1303">
        <v>0</v>
      </c>
      <c r="F1303">
        <v>0</v>
      </c>
      <c r="G1303">
        <v>0</v>
      </c>
      <c r="H1303">
        <v>0</v>
      </c>
      <c r="I1303">
        <v>0</v>
      </c>
    </row>
    <row r="1304" spans="1:9" x14ac:dyDescent="0.25">
      <c r="A1304" t="s">
        <v>2624</v>
      </c>
      <c r="B1304" t="s">
        <v>1165</v>
      </c>
      <c r="C1304">
        <v>0</v>
      </c>
      <c r="D1304">
        <v>0</v>
      </c>
      <c r="E1304">
        <v>0</v>
      </c>
      <c r="F1304">
        <v>36</v>
      </c>
      <c r="G1304">
        <v>0</v>
      </c>
      <c r="H1304">
        <v>36</v>
      </c>
      <c r="I1304">
        <v>1</v>
      </c>
    </row>
    <row r="1305" spans="1:9" x14ac:dyDescent="0.25">
      <c r="A1305" t="s">
        <v>2588</v>
      </c>
      <c r="B1305" t="s">
        <v>9830</v>
      </c>
      <c r="C1305">
        <v>0</v>
      </c>
      <c r="D1305">
        <v>0</v>
      </c>
      <c r="E1305">
        <v>0</v>
      </c>
      <c r="F1305">
        <v>11</v>
      </c>
      <c r="G1305">
        <v>0</v>
      </c>
      <c r="H1305">
        <v>11</v>
      </c>
      <c r="I1305">
        <v>1</v>
      </c>
    </row>
    <row r="1306" spans="1:9" x14ac:dyDescent="0.25">
      <c r="A1306" t="s">
        <v>2591</v>
      </c>
      <c r="B1306" t="s">
        <v>1673</v>
      </c>
      <c r="C1306">
        <v>0</v>
      </c>
      <c r="D1306">
        <v>0</v>
      </c>
      <c r="E1306">
        <v>0</v>
      </c>
      <c r="F1306">
        <v>9</v>
      </c>
      <c r="G1306">
        <v>0</v>
      </c>
      <c r="H1306">
        <v>9</v>
      </c>
      <c r="I1306">
        <v>1</v>
      </c>
    </row>
    <row r="1307" spans="1:9" x14ac:dyDescent="0.25">
      <c r="A1307" t="s">
        <v>2577</v>
      </c>
      <c r="B1307" t="s">
        <v>1776</v>
      </c>
      <c r="C1307">
        <v>0</v>
      </c>
      <c r="D1307">
        <v>0</v>
      </c>
      <c r="E1307">
        <v>0</v>
      </c>
      <c r="F1307">
        <v>13</v>
      </c>
      <c r="G1307">
        <v>0</v>
      </c>
      <c r="H1307">
        <v>13</v>
      </c>
      <c r="I1307">
        <v>1</v>
      </c>
    </row>
    <row r="1308" spans="1:9" x14ac:dyDescent="0.25">
      <c r="A1308" t="s">
        <v>2551</v>
      </c>
      <c r="B1308" t="s">
        <v>1358</v>
      </c>
      <c r="C1308">
        <v>0</v>
      </c>
      <c r="D1308">
        <v>0</v>
      </c>
      <c r="E1308">
        <v>0</v>
      </c>
      <c r="F1308">
        <v>9</v>
      </c>
      <c r="G1308">
        <v>0</v>
      </c>
      <c r="H1308">
        <v>9</v>
      </c>
      <c r="I1308">
        <v>1</v>
      </c>
    </row>
    <row r="1309" spans="1:9" x14ac:dyDescent="0.25">
      <c r="A1309" t="s">
        <v>2598</v>
      </c>
      <c r="B1309" t="s">
        <v>1777</v>
      </c>
      <c r="C1309">
        <v>0</v>
      </c>
      <c r="D1309">
        <v>0</v>
      </c>
      <c r="E1309">
        <v>0</v>
      </c>
      <c r="F1309">
        <v>9</v>
      </c>
      <c r="G1309">
        <v>0</v>
      </c>
      <c r="H1309">
        <v>9</v>
      </c>
      <c r="I1309">
        <v>1</v>
      </c>
    </row>
    <row r="1310" spans="1:9" x14ac:dyDescent="0.25">
      <c r="A1310" t="s">
        <v>2546</v>
      </c>
      <c r="B1310" t="s">
        <v>1359</v>
      </c>
      <c r="C1310">
        <v>0</v>
      </c>
      <c r="D1310">
        <v>0</v>
      </c>
      <c r="E1310">
        <v>0</v>
      </c>
      <c r="F1310">
        <v>30</v>
      </c>
      <c r="G1310">
        <v>0</v>
      </c>
      <c r="H1310">
        <v>30</v>
      </c>
      <c r="I1310">
        <v>1</v>
      </c>
    </row>
    <row r="1311" spans="1:9" x14ac:dyDescent="0.25">
      <c r="A1311" t="s">
        <v>2572</v>
      </c>
      <c r="B1311" t="s">
        <v>1913</v>
      </c>
      <c r="C1311">
        <v>0</v>
      </c>
      <c r="D1311">
        <v>0</v>
      </c>
      <c r="E1311">
        <v>0</v>
      </c>
      <c r="F1311">
        <v>31</v>
      </c>
      <c r="G1311">
        <v>0</v>
      </c>
      <c r="H1311">
        <v>31</v>
      </c>
      <c r="I1311">
        <v>1</v>
      </c>
    </row>
    <row r="1312" spans="1:9" x14ac:dyDescent="0.25">
      <c r="A1312" t="s">
        <v>11780</v>
      </c>
      <c r="B1312" t="s">
        <v>11666</v>
      </c>
      <c r="C1312">
        <v>0</v>
      </c>
      <c r="D1312">
        <v>0</v>
      </c>
      <c r="E1312">
        <v>0</v>
      </c>
      <c r="F1312">
        <v>8</v>
      </c>
      <c r="G1312">
        <v>0</v>
      </c>
      <c r="H1312">
        <v>8</v>
      </c>
      <c r="I1312">
        <v>1</v>
      </c>
    </row>
    <row r="1313" spans="1:9" x14ac:dyDescent="0.25">
      <c r="A1313" t="s">
        <v>2313</v>
      </c>
      <c r="B1313" t="s">
        <v>10755</v>
      </c>
      <c r="C1313">
        <v>6</v>
      </c>
      <c r="D1313">
        <v>0</v>
      </c>
      <c r="E1313">
        <v>0</v>
      </c>
      <c r="F1313">
        <v>0</v>
      </c>
      <c r="G1313">
        <v>0</v>
      </c>
      <c r="H1313">
        <v>6</v>
      </c>
      <c r="I1313">
        <v>1</v>
      </c>
    </row>
    <row r="1314" spans="1:9" x14ac:dyDescent="0.25">
      <c r="A1314" t="s">
        <v>2331</v>
      </c>
      <c r="B1314" t="s">
        <v>1783</v>
      </c>
      <c r="C1314">
        <v>12</v>
      </c>
      <c r="D1314">
        <v>0</v>
      </c>
      <c r="E1314">
        <v>0</v>
      </c>
      <c r="F1314">
        <v>0</v>
      </c>
      <c r="G1314">
        <v>0</v>
      </c>
      <c r="H1314">
        <v>12</v>
      </c>
      <c r="I1314">
        <v>1</v>
      </c>
    </row>
    <row r="1315" spans="1:9" x14ac:dyDescent="0.25">
      <c r="A1315" t="s">
        <v>2184</v>
      </c>
      <c r="B1315" t="s">
        <v>9817</v>
      </c>
      <c r="C1315">
        <v>24</v>
      </c>
      <c r="D1315">
        <v>0</v>
      </c>
      <c r="E1315">
        <v>0</v>
      </c>
      <c r="F1315">
        <v>0</v>
      </c>
      <c r="G1315">
        <v>0</v>
      </c>
      <c r="H1315">
        <v>24</v>
      </c>
      <c r="I1315">
        <v>1</v>
      </c>
    </row>
    <row r="1316" spans="1:9" x14ac:dyDescent="0.25">
      <c r="A1316" t="s">
        <v>2174</v>
      </c>
      <c r="B1316" t="s">
        <v>11668</v>
      </c>
      <c r="C1316">
        <v>0</v>
      </c>
      <c r="D1316">
        <v>0</v>
      </c>
      <c r="E1316">
        <v>0</v>
      </c>
      <c r="F1316">
        <v>103</v>
      </c>
      <c r="G1316">
        <v>0</v>
      </c>
      <c r="H1316">
        <v>103</v>
      </c>
      <c r="I1316">
        <v>1</v>
      </c>
    </row>
    <row r="1317" spans="1:9" x14ac:dyDescent="0.25">
      <c r="A1317" t="s">
        <v>2198</v>
      </c>
      <c r="B1317" t="s">
        <v>1916</v>
      </c>
      <c r="C1317">
        <v>15</v>
      </c>
      <c r="D1317">
        <v>0</v>
      </c>
      <c r="E1317">
        <v>0</v>
      </c>
      <c r="F1317">
        <v>0</v>
      </c>
      <c r="G1317">
        <v>0</v>
      </c>
      <c r="H1317">
        <v>15</v>
      </c>
      <c r="I1317">
        <v>1</v>
      </c>
    </row>
    <row r="1318" spans="1:9" x14ac:dyDescent="0.25">
      <c r="A1318" t="s">
        <v>2325</v>
      </c>
      <c r="B1318" t="s">
        <v>1785</v>
      </c>
      <c r="C1318">
        <v>3</v>
      </c>
      <c r="D1318">
        <v>0</v>
      </c>
      <c r="E1318">
        <v>0</v>
      </c>
      <c r="F1318">
        <v>0</v>
      </c>
      <c r="G1318">
        <v>0</v>
      </c>
      <c r="H1318">
        <v>3</v>
      </c>
      <c r="I1318">
        <v>1</v>
      </c>
    </row>
    <row r="1319" spans="1:9" x14ac:dyDescent="0.25">
      <c r="A1319" t="s">
        <v>2144</v>
      </c>
      <c r="B1319" t="s">
        <v>9880</v>
      </c>
      <c r="C1319">
        <v>0</v>
      </c>
      <c r="D1319">
        <v>0</v>
      </c>
      <c r="E1319">
        <v>0</v>
      </c>
      <c r="F1319">
        <v>43</v>
      </c>
      <c r="G1319">
        <v>0</v>
      </c>
      <c r="H1319">
        <v>43</v>
      </c>
      <c r="I1319">
        <v>1</v>
      </c>
    </row>
    <row r="1320" spans="1:9" x14ac:dyDescent="0.25">
      <c r="A1320" t="s">
        <v>2388</v>
      </c>
      <c r="B1320" t="s">
        <v>1371</v>
      </c>
      <c r="C1320">
        <v>70</v>
      </c>
      <c r="D1320">
        <v>0</v>
      </c>
      <c r="E1320">
        <v>0</v>
      </c>
      <c r="F1320">
        <v>0</v>
      </c>
      <c r="G1320">
        <v>0</v>
      </c>
      <c r="H1320">
        <v>70</v>
      </c>
      <c r="I1320">
        <v>1</v>
      </c>
    </row>
    <row r="1321" spans="1:9" x14ac:dyDescent="0.25">
      <c r="A1321" t="s">
        <v>2583</v>
      </c>
      <c r="B1321" t="s">
        <v>1182</v>
      </c>
      <c r="C1321">
        <v>0</v>
      </c>
      <c r="D1321">
        <v>0</v>
      </c>
      <c r="E1321">
        <v>86</v>
      </c>
      <c r="F1321">
        <v>0</v>
      </c>
      <c r="G1321">
        <v>0</v>
      </c>
      <c r="H1321">
        <v>86</v>
      </c>
      <c r="I1321">
        <v>8</v>
      </c>
    </row>
    <row r="1322" spans="1:9" x14ac:dyDescent="0.25">
      <c r="A1322" t="s">
        <v>2108</v>
      </c>
      <c r="B1322" t="s">
        <v>1183</v>
      </c>
      <c r="C1322">
        <v>54</v>
      </c>
      <c r="D1322">
        <v>0</v>
      </c>
      <c r="E1322">
        <v>0</v>
      </c>
      <c r="F1322">
        <v>0</v>
      </c>
      <c r="G1322">
        <v>0</v>
      </c>
      <c r="H1322">
        <v>54</v>
      </c>
      <c r="I1322">
        <v>7</v>
      </c>
    </row>
    <row r="1323" spans="1:9" x14ac:dyDescent="0.25">
      <c r="A1323" t="s">
        <v>2052</v>
      </c>
      <c r="B1323" t="s">
        <v>14397</v>
      </c>
      <c r="C1323">
        <v>91</v>
      </c>
      <c r="D1323">
        <v>0</v>
      </c>
      <c r="E1323">
        <v>0</v>
      </c>
      <c r="F1323">
        <v>0</v>
      </c>
      <c r="G1323">
        <v>0</v>
      </c>
      <c r="H1323">
        <v>91</v>
      </c>
      <c r="I1323">
        <v>1</v>
      </c>
    </row>
    <row r="1324" spans="1:9" x14ac:dyDescent="0.25">
      <c r="A1324" t="s">
        <v>2294</v>
      </c>
      <c r="B1324" t="s">
        <v>1555</v>
      </c>
      <c r="C1324">
        <v>0</v>
      </c>
      <c r="D1324">
        <v>0</v>
      </c>
      <c r="E1324">
        <v>0</v>
      </c>
      <c r="F1324">
        <v>25</v>
      </c>
      <c r="G1324">
        <v>0</v>
      </c>
      <c r="H1324">
        <v>25</v>
      </c>
      <c r="I1324">
        <v>1</v>
      </c>
    </row>
    <row r="1325" spans="1:9" x14ac:dyDescent="0.25">
      <c r="A1325" t="s">
        <v>11782</v>
      </c>
      <c r="B1325" t="s">
        <v>11685</v>
      </c>
      <c r="C1325">
        <v>27</v>
      </c>
      <c r="D1325">
        <v>0</v>
      </c>
      <c r="E1325">
        <v>17</v>
      </c>
      <c r="F1325">
        <v>0</v>
      </c>
      <c r="G1325">
        <v>0</v>
      </c>
      <c r="H1325">
        <v>44</v>
      </c>
      <c r="I1325">
        <v>1</v>
      </c>
    </row>
    <row r="1326" spans="1:9" x14ac:dyDescent="0.25">
      <c r="A1326" t="s">
        <v>15424</v>
      </c>
      <c r="B1326" t="s">
        <v>14376</v>
      </c>
      <c r="C1326">
        <v>0</v>
      </c>
      <c r="D1326">
        <v>0</v>
      </c>
      <c r="E1326">
        <v>0</v>
      </c>
      <c r="F1326">
        <v>6</v>
      </c>
      <c r="G1326">
        <v>0</v>
      </c>
      <c r="H1326">
        <v>6</v>
      </c>
      <c r="I1326">
        <v>1</v>
      </c>
    </row>
    <row r="1327" spans="1:9" x14ac:dyDescent="0.25">
      <c r="A1327" t="s">
        <v>2244</v>
      </c>
      <c r="B1327" t="s">
        <v>1188</v>
      </c>
      <c r="C1327">
        <v>0</v>
      </c>
      <c r="D1327">
        <v>0</v>
      </c>
      <c r="E1327">
        <v>0</v>
      </c>
      <c r="F1327">
        <v>80</v>
      </c>
      <c r="G1327">
        <v>0</v>
      </c>
      <c r="H1327">
        <v>80</v>
      </c>
      <c r="I1327">
        <v>1</v>
      </c>
    </row>
    <row r="1328" spans="1:9" x14ac:dyDescent="0.25">
      <c r="A1328" t="s">
        <v>2079</v>
      </c>
      <c r="B1328" t="s">
        <v>1189</v>
      </c>
      <c r="C1328">
        <v>0</v>
      </c>
      <c r="D1328">
        <v>0</v>
      </c>
      <c r="E1328">
        <v>0</v>
      </c>
      <c r="F1328">
        <v>43</v>
      </c>
      <c r="G1328">
        <v>0</v>
      </c>
      <c r="H1328">
        <v>43</v>
      </c>
      <c r="I1328">
        <v>1</v>
      </c>
    </row>
  </sheetData>
  <sortState xmlns:xlrd2="http://schemas.microsoft.com/office/spreadsheetml/2017/richdata2" ref="K2:M318">
    <sortCondition ref="L2:L318"/>
  </sortState>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A67A-E1E4-4CB8-A237-FE54688B8B48}">
  <sheetPr codeName="Sheet11">
    <tabColor rgb="FFFFFF00"/>
  </sheetPr>
  <dimension ref="A1:O11878"/>
  <sheetViews>
    <sheetView zoomScale="80" zoomScaleNormal="80" workbookViewId="0">
      <pane ySplit="1" topLeftCell="A2" activePane="bottomLeft" state="frozen"/>
      <selection pane="bottomLeft" activeCell="O11878" sqref="O11878"/>
    </sheetView>
  </sheetViews>
  <sheetFormatPr defaultColWidth="8.85546875" defaultRowHeight="15" x14ac:dyDescent="0.25"/>
  <cols>
    <col min="1" max="1" width="68.7109375" bestFit="1" customWidth="1"/>
    <col min="6" max="6" width="32.85546875" bestFit="1" customWidth="1"/>
    <col min="7" max="7" width="10.5703125" customWidth="1"/>
    <col min="8" max="8" width="9.140625" customWidth="1"/>
    <col min="9" max="10" width="25.140625" bestFit="1" customWidth="1"/>
    <col min="11" max="11" width="26.42578125" bestFit="1" customWidth="1"/>
    <col min="12" max="12" width="22.140625" bestFit="1" customWidth="1"/>
  </cols>
  <sheetData>
    <row r="1" spans="1:15" s="216" customFormat="1" ht="75" x14ac:dyDescent="0.25">
      <c r="A1" s="518" t="s">
        <v>1924</v>
      </c>
      <c r="B1" s="518" t="s">
        <v>1923</v>
      </c>
      <c r="C1" s="518" t="s">
        <v>3046</v>
      </c>
      <c r="D1" s="518" t="s">
        <v>3047</v>
      </c>
      <c r="E1" s="518" t="s">
        <v>3048</v>
      </c>
      <c r="F1" s="518" t="s">
        <v>3049</v>
      </c>
      <c r="G1" s="518" t="s">
        <v>77</v>
      </c>
      <c r="H1" s="518" t="s">
        <v>3050</v>
      </c>
      <c r="I1" s="518" t="s">
        <v>896</v>
      </c>
      <c r="J1" s="518" t="s">
        <v>3041</v>
      </c>
      <c r="K1" s="518" t="s">
        <v>3042</v>
      </c>
      <c r="L1" s="518" t="s">
        <v>3043</v>
      </c>
      <c r="M1" s="518" t="s">
        <v>3044</v>
      </c>
      <c r="N1" s="518" t="s">
        <v>3051</v>
      </c>
      <c r="O1" s="518" t="s">
        <v>3045</v>
      </c>
    </row>
    <row r="2" spans="1:15" x14ac:dyDescent="0.25">
      <c r="A2" s="523" t="s">
        <v>282</v>
      </c>
      <c r="B2" s="523" t="s">
        <v>78</v>
      </c>
      <c r="C2" s="523" t="s">
        <v>78</v>
      </c>
      <c r="D2" s="523" t="s">
        <v>3040</v>
      </c>
      <c r="E2" s="523" t="s">
        <v>3040</v>
      </c>
      <c r="F2" s="523" t="s">
        <v>3040</v>
      </c>
      <c r="G2" s="523" t="s">
        <v>6</v>
      </c>
      <c r="H2" s="523" t="s">
        <v>10522</v>
      </c>
      <c r="I2">
        <v>174423</v>
      </c>
      <c r="J2">
        <v>123112</v>
      </c>
      <c r="K2">
        <v>483</v>
      </c>
      <c r="L2">
        <v>9425</v>
      </c>
      <c r="M2">
        <v>22298</v>
      </c>
      <c r="N2">
        <v>296</v>
      </c>
      <c r="O2">
        <v>19105</v>
      </c>
    </row>
    <row r="3" spans="1:15" x14ac:dyDescent="0.25">
      <c r="A3" s="523" t="s">
        <v>283</v>
      </c>
      <c r="B3" s="523" t="s">
        <v>78</v>
      </c>
      <c r="C3" s="523" t="s">
        <v>78</v>
      </c>
      <c r="D3" s="523" t="s">
        <v>3040</v>
      </c>
      <c r="E3" s="523" t="s">
        <v>3040</v>
      </c>
      <c r="F3" s="523" t="s">
        <v>3040</v>
      </c>
      <c r="G3" s="523" t="s">
        <v>6</v>
      </c>
      <c r="H3" s="523" t="s">
        <v>10523</v>
      </c>
      <c r="I3">
        <v>306447</v>
      </c>
      <c r="J3">
        <v>236415</v>
      </c>
      <c r="K3">
        <v>1799</v>
      </c>
      <c r="L3">
        <v>11918</v>
      </c>
      <c r="M3">
        <v>26090</v>
      </c>
      <c r="N3">
        <v>1452</v>
      </c>
      <c r="O3">
        <v>30225</v>
      </c>
    </row>
    <row r="4" spans="1:15" x14ac:dyDescent="0.25">
      <c r="A4" s="523" t="s">
        <v>284</v>
      </c>
      <c r="B4" s="523" t="s">
        <v>78</v>
      </c>
      <c r="C4" s="523" t="s">
        <v>78</v>
      </c>
      <c r="D4" s="523" t="s">
        <v>3040</v>
      </c>
      <c r="E4" s="523" t="s">
        <v>3040</v>
      </c>
      <c r="F4" s="523" t="s">
        <v>3040</v>
      </c>
      <c r="G4" s="523" t="s">
        <v>6</v>
      </c>
      <c r="H4" s="523" t="s">
        <v>10524</v>
      </c>
      <c r="I4">
        <v>484559</v>
      </c>
      <c r="J4">
        <v>368022</v>
      </c>
      <c r="K4">
        <v>4844</v>
      </c>
      <c r="L4">
        <v>26480</v>
      </c>
      <c r="M4">
        <v>29258</v>
      </c>
      <c r="N4">
        <v>4540</v>
      </c>
      <c r="O4">
        <v>55955</v>
      </c>
    </row>
    <row r="5" spans="1:15" x14ac:dyDescent="0.25">
      <c r="A5" s="523" t="s">
        <v>285</v>
      </c>
      <c r="B5" s="523" t="s">
        <v>78</v>
      </c>
      <c r="C5" s="523" t="s">
        <v>78</v>
      </c>
      <c r="D5" s="523" t="s">
        <v>3040</v>
      </c>
      <c r="E5" s="523" t="s">
        <v>3040</v>
      </c>
      <c r="F5" s="523" t="s">
        <v>3040</v>
      </c>
      <c r="G5" s="523" t="s">
        <v>6</v>
      </c>
      <c r="H5" s="523" t="s">
        <v>10525</v>
      </c>
      <c r="I5">
        <v>189981</v>
      </c>
      <c r="J5">
        <v>160323</v>
      </c>
      <c r="K5">
        <v>131</v>
      </c>
      <c r="L5">
        <v>7310</v>
      </c>
      <c r="M5">
        <v>17134</v>
      </c>
      <c r="N5">
        <v>668</v>
      </c>
      <c r="O5">
        <v>5083</v>
      </c>
    </row>
    <row r="6" spans="1:15" x14ac:dyDescent="0.25">
      <c r="A6" s="523" t="s">
        <v>286</v>
      </c>
      <c r="B6" s="523" t="s">
        <v>78</v>
      </c>
      <c r="C6" s="523" t="s">
        <v>78</v>
      </c>
      <c r="D6" s="523" t="s">
        <v>3040</v>
      </c>
      <c r="E6" s="523" t="s">
        <v>3040</v>
      </c>
      <c r="F6" s="523" t="s">
        <v>3040</v>
      </c>
      <c r="G6" s="523" t="s">
        <v>6</v>
      </c>
      <c r="H6" s="523" t="s">
        <v>10526</v>
      </c>
      <c r="I6">
        <v>538017</v>
      </c>
      <c r="J6">
        <v>438362</v>
      </c>
      <c r="K6">
        <v>656</v>
      </c>
      <c r="L6">
        <v>23809</v>
      </c>
      <c r="M6">
        <v>52156</v>
      </c>
      <c r="N6">
        <v>1705</v>
      </c>
      <c r="O6">
        <v>23034</v>
      </c>
    </row>
    <row r="7" spans="1:15" x14ac:dyDescent="0.25">
      <c r="A7" s="523" t="s">
        <v>2</v>
      </c>
      <c r="B7" s="523" t="s">
        <v>78</v>
      </c>
      <c r="C7" s="523" t="s">
        <v>78</v>
      </c>
      <c r="D7" s="523" t="s">
        <v>3040</v>
      </c>
      <c r="E7" s="523" t="s">
        <v>3040</v>
      </c>
      <c r="F7" s="523" t="s">
        <v>3040</v>
      </c>
      <c r="G7" s="523" t="s">
        <v>6</v>
      </c>
      <c r="H7" s="523" t="s">
        <v>10527</v>
      </c>
      <c r="I7">
        <v>432440</v>
      </c>
      <c r="J7">
        <v>318525</v>
      </c>
      <c r="K7">
        <v>1011</v>
      </c>
      <c r="L7">
        <v>15661</v>
      </c>
      <c r="M7">
        <v>38992</v>
      </c>
      <c r="N7">
        <v>1176</v>
      </c>
      <c r="O7">
        <v>58251</v>
      </c>
    </row>
    <row r="8" spans="1:15" x14ac:dyDescent="0.25">
      <c r="A8" s="523" t="s">
        <v>287</v>
      </c>
      <c r="B8" s="523" t="s">
        <v>78</v>
      </c>
      <c r="C8" s="523" t="s">
        <v>78</v>
      </c>
      <c r="D8" s="523" t="s">
        <v>3040</v>
      </c>
      <c r="E8" s="523" t="s">
        <v>3040</v>
      </c>
      <c r="F8" s="523" t="s">
        <v>3040</v>
      </c>
      <c r="G8" s="523" t="s">
        <v>6</v>
      </c>
      <c r="H8" s="523" t="s">
        <v>10528</v>
      </c>
      <c r="I8">
        <v>283252</v>
      </c>
      <c r="J8">
        <v>209733</v>
      </c>
      <c r="K8">
        <v>196</v>
      </c>
      <c r="L8">
        <v>15275</v>
      </c>
      <c r="M8">
        <v>29582</v>
      </c>
      <c r="N8">
        <v>1271</v>
      </c>
      <c r="O8">
        <v>28466</v>
      </c>
    </row>
    <row r="9" spans="1:15" x14ac:dyDescent="0.25">
      <c r="A9" s="523" t="s">
        <v>288</v>
      </c>
      <c r="B9" s="523" t="s">
        <v>78</v>
      </c>
      <c r="C9" s="523" t="s">
        <v>78</v>
      </c>
      <c r="D9" s="523" t="s">
        <v>3040</v>
      </c>
      <c r="E9" s="523" t="s">
        <v>3040</v>
      </c>
      <c r="F9" s="523" t="s">
        <v>3040</v>
      </c>
      <c r="G9" s="523" t="s">
        <v>6</v>
      </c>
      <c r="H9" s="523" t="s">
        <v>10529</v>
      </c>
      <c r="I9">
        <v>299802</v>
      </c>
      <c r="J9">
        <v>233113</v>
      </c>
      <c r="K9">
        <v>682</v>
      </c>
      <c r="L9">
        <v>17402</v>
      </c>
      <c r="M9">
        <v>27314</v>
      </c>
      <c r="N9">
        <v>1032</v>
      </c>
      <c r="O9">
        <v>21291</v>
      </c>
    </row>
    <row r="10" spans="1:15" x14ac:dyDescent="0.25">
      <c r="A10" s="523" t="s">
        <v>882</v>
      </c>
      <c r="B10" s="523" t="s">
        <v>78</v>
      </c>
      <c r="C10" s="523" t="s">
        <v>78</v>
      </c>
      <c r="D10" s="523" t="s">
        <v>3040</v>
      </c>
      <c r="E10" s="523" t="s">
        <v>3040</v>
      </c>
      <c r="F10" s="523" t="s">
        <v>3040</v>
      </c>
      <c r="G10" s="523" t="s">
        <v>6</v>
      </c>
      <c r="H10" s="523" t="s">
        <v>11545</v>
      </c>
      <c r="I10">
        <v>216545</v>
      </c>
      <c r="J10">
        <v>173542</v>
      </c>
      <c r="K10">
        <v>32</v>
      </c>
      <c r="L10">
        <v>12148</v>
      </c>
      <c r="M10">
        <v>18442</v>
      </c>
      <c r="N10">
        <v>1084</v>
      </c>
      <c r="O10">
        <v>12381</v>
      </c>
    </row>
    <row r="11" spans="1:15" x14ac:dyDescent="0.25">
      <c r="A11" t="s">
        <v>1565</v>
      </c>
      <c r="B11" t="s">
        <v>2543</v>
      </c>
      <c r="C11" t="s">
        <v>923</v>
      </c>
      <c r="D11" t="s">
        <v>3063</v>
      </c>
      <c r="E11" t="s">
        <v>3053</v>
      </c>
      <c r="F11" t="s">
        <v>290</v>
      </c>
      <c r="G11" t="s">
        <v>291</v>
      </c>
      <c r="H11" t="s">
        <v>14409</v>
      </c>
      <c r="I11">
        <v>9</v>
      </c>
      <c r="J11">
        <v>0</v>
      </c>
      <c r="K11">
        <v>0</v>
      </c>
      <c r="L11">
        <v>9</v>
      </c>
      <c r="M11">
        <v>0</v>
      </c>
      <c r="N11">
        <v>0</v>
      </c>
      <c r="O11">
        <v>0</v>
      </c>
    </row>
    <row r="12" spans="1:15" x14ac:dyDescent="0.25">
      <c r="A12" t="s">
        <v>933</v>
      </c>
      <c r="B12" t="s">
        <v>2106</v>
      </c>
      <c r="C12" t="s">
        <v>927</v>
      </c>
      <c r="D12" t="s">
        <v>3052</v>
      </c>
      <c r="E12" t="s">
        <v>3053</v>
      </c>
      <c r="F12" t="s">
        <v>290</v>
      </c>
      <c r="G12" t="s">
        <v>291</v>
      </c>
      <c r="H12" t="s">
        <v>3054</v>
      </c>
      <c r="I12">
        <v>194</v>
      </c>
      <c r="J12">
        <v>173</v>
      </c>
      <c r="K12">
        <v>0</v>
      </c>
      <c r="L12">
        <v>0</v>
      </c>
      <c r="M12">
        <v>0</v>
      </c>
      <c r="N12">
        <v>3</v>
      </c>
      <c r="O12">
        <v>21</v>
      </c>
    </row>
    <row r="13" spans="1:15" x14ac:dyDescent="0.25">
      <c r="A13" t="s">
        <v>1008</v>
      </c>
      <c r="B13" t="s">
        <v>2928</v>
      </c>
      <c r="C13" t="s">
        <v>927</v>
      </c>
      <c r="D13" t="s">
        <v>3052</v>
      </c>
      <c r="E13" t="s">
        <v>3053</v>
      </c>
      <c r="F13" t="s">
        <v>290</v>
      </c>
      <c r="G13" t="s">
        <v>291</v>
      </c>
      <c r="H13" t="s">
        <v>3055</v>
      </c>
      <c r="I13">
        <v>7</v>
      </c>
      <c r="J13">
        <v>7</v>
      </c>
      <c r="K13">
        <v>0</v>
      </c>
      <c r="L13">
        <v>0</v>
      </c>
      <c r="M13">
        <v>0</v>
      </c>
      <c r="N13">
        <v>0</v>
      </c>
      <c r="O13">
        <v>0</v>
      </c>
    </row>
    <row r="14" spans="1:15" x14ac:dyDescent="0.25">
      <c r="A14" t="s">
        <v>938</v>
      </c>
      <c r="B14" t="s">
        <v>2791</v>
      </c>
      <c r="C14" t="s">
        <v>927</v>
      </c>
      <c r="D14" t="s">
        <v>3052</v>
      </c>
      <c r="E14" t="s">
        <v>3053</v>
      </c>
      <c r="F14" t="s">
        <v>290</v>
      </c>
      <c r="G14" t="s">
        <v>291</v>
      </c>
      <c r="H14" t="s">
        <v>3056</v>
      </c>
      <c r="I14">
        <v>4</v>
      </c>
      <c r="J14">
        <v>0</v>
      </c>
      <c r="K14">
        <v>0</v>
      </c>
      <c r="L14">
        <v>4</v>
      </c>
      <c r="M14">
        <v>0</v>
      </c>
      <c r="N14">
        <v>0</v>
      </c>
      <c r="O14">
        <v>0</v>
      </c>
    </row>
    <row r="15" spans="1:15" x14ac:dyDescent="0.25">
      <c r="A15" t="s">
        <v>940</v>
      </c>
      <c r="B15" t="s">
        <v>2647</v>
      </c>
      <c r="C15" t="s">
        <v>927</v>
      </c>
      <c r="D15" t="s">
        <v>3052</v>
      </c>
      <c r="E15" t="s">
        <v>3053</v>
      </c>
      <c r="F15" t="s">
        <v>290</v>
      </c>
      <c r="G15" t="s">
        <v>291</v>
      </c>
      <c r="H15" t="s">
        <v>3057</v>
      </c>
      <c r="I15">
        <v>51</v>
      </c>
      <c r="J15">
        <v>0</v>
      </c>
      <c r="K15">
        <v>0</v>
      </c>
      <c r="L15">
        <v>0</v>
      </c>
      <c r="M15">
        <v>51</v>
      </c>
      <c r="N15">
        <v>0</v>
      </c>
      <c r="O15">
        <v>0</v>
      </c>
    </row>
    <row r="16" spans="1:15" x14ac:dyDescent="0.25">
      <c r="A16" t="s">
        <v>1012</v>
      </c>
      <c r="B16" t="s">
        <v>2911</v>
      </c>
      <c r="C16" t="s">
        <v>927</v>
      </c>
      <c r="D16" t="s">
        <v>3052</v>
      </c>
      <c r="E16" t="s">
        <v>3053</v>
      </c>
      <c r="F16" t="s">
        <v>290</v>
      </c>
      <c r="G16" t="s">
        <v>291</v>
      </c>
      <c r="H16" t="s">
        <v>3058</v>
      </c>
      <c r="I16">
        <v>176</v>
      </c>
      <c r="J16">
        <v>109</v>
      </c>
      <c r="K16">
        <v>0</v>
      </c>
      <c r="L16">
        <v>12</v>
      </c>
      <c r="M16">
        <v>0</v>
      </c>
      <c r="N16">
        <v>1</v>
      </c>
      <c r="O16">
        <v>55</v>
      </c>
    </row>
    <row r="17" spans="1:15" x14ac:dyDescent="0.25">
      <c r="A17" t="s">
        <v>1025</v>
      </c>
      <c r="B17" t="s">
        <v>2893</v>
      </c>
      <c r="C17" t="s">
        <v>927</v>
      </c>
      <c r="D17" t="s">
        <v>3052</v>
      </c>
      <c r="E17" t="s">
        <v>3053</v>
      </c>
      <c r="F17" t="s">
        <v>290</v>
      </c>
      <c r="G17" t="s">
        <v>291</v>
      </c>
      <c r="H17" t="s">
        <v>10174</v>
      </c>
      <c r="I17">
        <v>1</v>
      </c>
      <c r="J17">
        <v>0</v>
      </c>
      <c r="K17">
        <v>0</v>
      </c>
      <c r="L17">
        <v>0</v>
      </c>
      <c r="M17">
        <v>0</v>
      </c>
      <c r="N17">
        <v>0</v>
      </c>
      <c r="O17">
        <v>1</v>
      </c>
    </row>
    <row r="18" spans="1:15" x14ac:dyDescent="0.25">
      <c r="A18" t="s">
        <v>943</v>
      </c>
      <c r="B18" t="s">
        <v>2694</v>
      </c>
      <c r="C18" t="s">
        <v>927</v>
      </c>
      <c r="D18" t="s">
        <v>3052</v>
      </c>
      <c r="E18" t="s">
        <v>3053</v>
      </c>
      <c r="F18" t="s">
        <v>290</v>
      </c>
      <c r="G18" t="s">
        <v>291</v>
      </c>
      <c r="H18" t="s">
        <v>3059</v>
      </c>
      <c r="I18">
        <v>1</v>
      </c>
      <c r="J18">
        <v>0</v>
      </c>
      <c r="K18">
        <v>0</v>
      </c>
      <c r="L18">
        <v>0</v>
      </c>
      <c r="M18">
        <v>0</v>
      </c>
      <c r="N18">
        <v>0</v>
      </c>
      <c r="O18">
        <v>1</v>
      </c>
    </row>
    <row r="19" spans="1:15" x14ac:dyDescent="0.25">
      <c r="A19" t="s">
        <v>945</v>
      </c>
      <c r="B19" t="s">
        <v>2668</v>
      </c>
      <c r="C19" t="s">
        <v>927</v>
      </c>
      <c r="D19" t="s">
        <v>3052</v>
      </c>
      <c r="E19" t="s">
        <v>3053</v>
      </c>
      <c r="F19" t="s">
        <v>290</v>
      </c>
      <c r="G19" t="s">
        <v>291</v>
      </c>
      <c r="H19" t="s">
        <v>3060</v>
      </c>
      <c r="I19">
        <v>1</v>
      </c>
      <c r="J19">
        <v>1</v>
      </c>
      <c r="K19">
        <v>0</v>
      </c>
      <c r="L19">
        <v>0</v>
      </c>
      <c r="M19">
        <v>0</v>
      </c>
      <c r="N19">
        <v>0</v>
      </c>
      <c r="O19">
        <v>0</v>
      </c>
    </row>
    <row r="20" spans="1:15" x14ac:dyDescent="0.25">
      <c r="A20" t="s">
        <v>1041</v>
      </c>
      <c r="B20" t="s">
        <v>2826</v>
      </c>
      <c r="C20" t="s">
        <v>927</v>
      </c>
      <c r="D20" t="s">
        <v>3052</v>
      </c>
      <c r="E20" t="s">
        <v>3053</v>
      </c>
      <c r="F20" t="s">
        <v>290</v>
      </c>
      <c r="G20" t="s">
        <v>291</v>
      </c>
      <c r="H20" t="s">
        <v>3061</v>
      </c>
      <c r="I20">
        <v>3</v>
      </c>
      <c r="J20">
        <v>0</v>
      </c>
      <c r="K20">
        <v>0</v>
      </c>
      <c r="L20">
        <v>0</v>
      </c>
      <c r="M20">
        <v>0</v>
      </c>
      <c r="N20">
        <v>0</v>
      </c>
      <c r="O20">
        <v>3</v>
      </c>
    </row>
    <row r="21" spans="1:15" x14ac:dyDescent="0.25">
      <c r="A21" t="s">
        <v>955</v>
      </c>
      <c r="B21" t="s">
        <v>2660</v>
      </c>
      <c r="C21" t="s">
        <v>927</v>
      </c>
      <c r="D21" t="s">
        <v>3052</v>
      </c>
      <c r="E21" t="s">
        <v>3053</v>
      </c>
      <c r="F21" t="s">
        <v>290</v>
      </c>
      <c r="G21" t="s">
        <v>291</v>
      </c>
      <c r="H21" t="s">
        <v>3062</v>
      </c>
      <c r="I21">
        <v>25</v>
      </c>
      <c r="J21">
        <v>0</v>
      </c>
      <c r="K21">
        <v>0</v>
      </c>
      <c r="L21">
        <v>25</v>
      </c>
      <c r="M21">
        <v>0</v>
      </c>
      <c r="N21">
        <v>0</v>
      </c>
      <c r="O21">
        <v>0</v>
      </c>
    </row>
    <row r="22" spans="1:15" x14ac:dyDescent="0.25">
      <c r="A22" t="s">
        <v>1661</v>
      </c>
      <c r="B22" t="s">
        <v>2764</v>
      </c>
      <c r="C22" t="s">
        <v>923</v>
      </c>
      <c r="D22" t="s">
        <v>3063</v>
      </c>
      <c r="E22" t="s">
        <v>3053</v>
      </c>
      <c r="F22" t="s">
        <v>290</v>
      </c>
      <c r="G22" t="s">
        <v>291</v>
      </c>
      <c r="H22" t="s">
        <v>3064</v>
      </c>
      <c r="I22">
        <v>8</v>
      </c>
      <c r="J22">
        <v>0</v>
      </c>
      <c r="K22">
        <v>0</v>
      </c>
      <c r="L22">
        <v>8</v>
      </c>
      <c r="M22">
        <v>0</v>
      </c>
      <c r="N22">
        <v>0</v>
      </c>
      <c r="O22">
        <v>0</v>
      </c>
    </row>
    <row r="23" spans="1:15" x14ac:dyDescent="0.25">
      <c r="A23" t="s">
        <v>11663</v>
      </c>
      <c r="B23" t="s">
        <v>11768</v>
      </c>
      <c r="C23" t="s">
        <v>927</v>
      </c>
      <c r="D23" t="s">
        <v>3052</v>
      </c>
      <c r="E23" t="s">
        <v>3053</v>
      </c>
      <c r="F23" t="s">
        <v>290</v>
      </c>
      <c r="G23" t="s">
        <v>291</v>
      </c>
      <c r="H23" t="s">
        <v>11783</v>
      </c>
      <c r="I23">
        <v>320</v>
      </c>
      <c r="J23">
        <v>160</v>
      </c>
      <c r="K23">
        <v>0</v>
      </c>
      <c r="L23">
        <v>0</v>
      </c>
      <c r="M23">
        <v>87</v>
      </c>
      <c r="N23">
        <v>1</v>
      </c>
      <c r="O23">
        <v>73</v>
      </c>
    </row>
    <row r="24" spans="1:15" x14ac:dyDescent="0.25">
      <c r="A24" t="s">
        <v>962</v>
      </c>
      <c r="B24" t="s">
        <v>2752</v>
      </c>
      <c r="C24" t="s">
        <v>927</v>
      </c>
      <c r="D24" t="s">
        <v>3052</v>
      </c>
      <c r="E24" t="s">
        <v>3053</v>
      </c>
      <c r="F24" t="s">
        <v>290</v>
      </c>
      <c r="G24" t="s">
        <v>291</v>
      </c>
      <c r="H24" t="s">
        <v>3065</v>
      </c>
      <c r="I24">
        <v>42</v>
      </c>
      <c r="J24">
        <v>38</v>
      </c>
      <c r="K24">
        <v>0</v>
      </c>
      <c r="L24">
        <v>0</v>
      </c>
      <c r="M24">
        <v>0</v>
      </c>
      <c r="N24">
        <v>0</v>
      </c>
      <c r="O24">
        <v>4</v>
      </c>
    </row>
    <row r="25" spans="1:15" x14ac:dyDescent="0.25">
      <c r="A25" t="s">
        <v>1676</v>
      </c>
      <c r="B25" t="s">
        <v>2762</v>
      </c>
      <c r="C25" t="s">
        <v>923</v>
      </c>
      <c r="D25" t="s">
        <v>3063</v>
      </c>
      <c r="E25" t="s">
        <v>3053</v>
      </c>
      <c r="F25" t="s">
        <v>290</v>
      </c>
      <c r="G25" t="s">
        <v>291</v>
      </c>
      <c r="H25" t="s">
        <v>3066</v>
      </c>
      <c r="I25">
        <v>21</v>
      </c>
      <c r="J25">
        <v>21</v>
      </c>
      <c r="K25">
        <v>0</v>
      </c>
      <c r="L25">
        <v>0</v>
      </c>
      <c r="M25">
        <v>0</v>
      </c>
      <c r="N25">
        <v>0</v>
      </c>
      <c r="O25">
        <v>0</v>
      </c>
    </row>
    <row r="26" spans="1:15" x14ac:dyDescent="0.25">
      <c r="A26" t="s">
        <v>1069</v>
      </c>
      <c r="B26" t="s">
        <v>2001</v>
      </c>
      <c r="C26" t="s">
        <v>927</v>
      </c>
      <c r="D26" t="s">
        <v>3052</v>
      </c>
      <c r="E26" t="s">
        <v>3053</v>
      </c>
      <c r="F26" t="s">
        <v>290</v>
      </c>
      <c r="G26" t="s">
        <v>291</v>
      </c>
      <c r="H26" t="s">
        <v>3067</v>
      </c>
      <c r="I26">
        <v>224</v>
      </c>
      <c r="J26">
        <v>224</v>
      </c>
      <c r="K26">
        <v>0</v>
      </c>
      <c r="L26">
        <v>0</v>
      </c>
      <c r="M26">
        <v>0</v>
      </c>
      <c r="N26">
        <v>0</v>
      </c>
      <c r="O26">
        <v>0</v>
      </c>
    </row>
    <row r="27" spans="1:15" x14ac:dyDescent="0.25">
      <c r="A27" t="s">
        <v>968</v>
      </c>
      <c r="B27" t="s">
        <v>2091</v>
      </c>
      <c r="C27" t="s">
        <v>927</v>
      </c>
      <c r="D27" t="s">
        <v>3052</v>
      </c>
      <c r="E27" t="s">
        <v>3053</v>
      </c>
      <c r="F27" t="s">
        <v>290</v>
      </c>
      <c r="G27" t="s">
        <v>291</v>
      </c>
      <c r="H27" t="s">
        <v>11784</v>
      </c>
      <c r="I27">
        <v>82</v>
      </c>
      <c r="J27">
        <v>73</v>
      </c>
      <c r="K27">
        <v>0</v>
      </c>
      <c r="L27">
        <v>0</v>
      </c>
      <c r="M27">
        <v>0</v>
      </c>
      <c r="N27">
        <v>0</v>
      </c>
      <c r="O27">
        <v>9</v>
      </c>
    </row>
    <row r="28" spans="1:15" x14ac:dyDescent="0.25">
      <c r="A28" t="s">
        <v>1080</v>
      </c>
      <c r="B28" t="s">
        <v>2030</v>
      </c>
      <c r="C28" t="s">
        <v>923</v>
      </c>
      <c r="D28" t="s">
        <v>3063</v>
      </c>
      <c r="E28" t="s">
        <v>3053</v>
      </c>
      <c r="F28" t="s">
        <v>290</v>
      </c>
      <c r="G28" t="s">
        <v>291</v>
      </c>
      <c r="H28" t="s">
        <v>3068</v>
      </c>
      <c r="I28">
        <v>4</v>
      </c>
      <c r="J28">
        <v>0</v>
      </c>
      <c r="K28">
        <v>0</v>
      </c>
      <c r="L28">
        <v>4</v>
      </c>
      <c r="M28">
        <v>0</v>
      </c>
      <c r="N28">
        <v>0</v>
      </c>
      <c r="O28">
        <v>0</v>
      </c>
    </row>
    <row r="29" spans="1:15" x14ac:dyDescent="0.25">
      <c r="A29" t="s">
        <v>1697</v>
      </c>
      <c r="B29" t="s">
        <v>3009</v>
      </c>
      <c r="C29" t="s">
        <v>927</v>
      </c>
      <c r="D29" t="s">
        <v>3052</v>
      </c>
      <c r="E29" t="s">
        <v>3053</v>
      </c>
      <c r="F29" t="s">
        <v>290</v>
      </c>
      <c r="G29" t="s">
        <v>291</v>
      </c>
      <c r="H29" t="s">
        <v>3069</v>
      </c>
      <c r="I29">
        <v>123</v>
      </c>
      <c r="J29">
        <v>113</v>
      </c>
      <c r="K29">
        <v>0</v>
      </c>
      <c r="L29">
        <v>0</v>
      </c>
      <c r="M29">
        <v>0</v>
      </c>
      <c r="N29">
        <v>0</v>
      </c>
      <c r="O29">
        <v>10</v>
      </c>
    </row>
    <row r="30" spans="1:15" x14ac:dyDescent="0.25">
      <c r="A30" t="s">
        <v>973</v>
      </c>
      <c r="B30" t="s">
        <v>1957</v>
      </c>
      <c r="C30" t="s">
        <v>923</v>
      </c>
      <c r="D30" t="s">
        <v>3063</v>
      </c>
      <c r="E30" t="s">
        <v>3053</v>
      </c>
      <c r="F30" t="s">
        <v>292</v>
      </c>
      <c r="G30" t="s">
        <v>293</v>
      </c>
      <c r="H30" t="s">
        <v>14410</v>
      </c>
      <c r="I30">
        <v>3</v>
      </c>
      <c r="J30">
        <v>0</v>
      </c>
      <c r="K30">
        <v>0</v>
      </c>
      <c r="L30">
        <v>3</v>
      </c>
      <c r="M30">
        <v>0</v>
      </c>
      <c r="N30">
        <v>0</v>
      </c>
      <c r="O30">
        <v>0</v>
      </c>
    </row>
    <row r="31" spans="1:15" x14ac:dyDescent="0.25">
      <c r="A31" t="s">
        <v>974</v>
      </c>
      <c r="B31" t="s">
        <v>2949</v>
      </c>
      <c r="C31" t="s">
        <v>923</v>
      </c>
      <c r="D31" t="s">
        <v>3063</v>
      </c>
      <c r="E31" t="s">
        <v>3053</v>
      </c>
      <c r="F31" t="s">
        <v>292</v>
      </c>
      <c r="G31" t="s">
        <v>293</v>
      </c>
      <c r="H31" t="s">
        <v>3070</v>
      </c>
      <c r="I31">
        <v>10</v>
      </c>
      <c r="J31">
        <v>0</v>
      </c>
      <c r="K31">
        <v>0</v>
      </c>
      <c r="L31">
        <v>10</v>
      </c>
      <c r="M31">
        <v>0</v>
      </c>
      <c r="N31">
        <v>0</v>
      </c>
      <c r="O31">
        <v>0</v>
      </c>
    </row>
    <row r="32" spans="1:15" x14ac:dyDescent="0.25">
      <c r="A32" t="s">
        <v>926</v>
      </c>
      <c r="B32" t="s">
        <v>2923</v>
      </c>
      <c r="C32" t="s">
        <v>927</v>
      </c>
      <c r="D32" t="s">
        <v>3052</v>
      </c>
      <c r="E32" t="s">
        <v>3053</v>
      </c>
      <c r="F32" t="s">
        <v>292</v>
      </c>
      <c r="G32" t="s">
        <v>293</v>
      </c>
      <c r="H32" t="s">
        <v>3071</v>
      </c>
      <c r="I32">
        <v>1</v>
      </c>
      <c r="J32">
        <v>0</v>
      </c>
      <c r="K32">
        <v>0</v>
      </c>
      <c r="L32">
        <v>0</v>
      </c>
      <c r="M32">
        <v>0</v>
      </c>
      <c r="N32">
        <v>0</v>
      </c>
      <c r="O32">
        <v>1</v>
      </c>
    </row>
    <row r="33" spans="1:15" x14ac:dyDescent="0.25">
      <c r="A33" t="s">
        <v>929</v>
      </c>
      <c r="B33" t="s">
        <v>2999</v>
      </c>
      <c r="C33" t="s">
        <v>927</v>
      </c>
      <c r="D33" t="s">
        <v>3052</v>
      </c>
      <c r="E33" t="s">
        <v>3053</v>
      </c>
      <c r="F33" t="s">
        <v>292</v>
      </c>
      <c r="G33" t="s">
        <v>293</v>
      </c>
      <c r="H33" t="s">
        <v>3072</v>
      </c>
      <c r="I33">
        <v>48</v>
      </c>
      <c r="J33">
        <v>0</v>
      </c>
      <c r="K33">
        <v>0</v>
      </c>
      <c r="L33">
        <v>0</v>
      </c>
      <c r="M33">
        <v>48</v>
      </c>
      <c r="N33">
        <v>0</v>
      </c>
      <c r="O33">
        <v>0</v>
      </c>
    </row>
    <row r="34" spans="1:15" x14ac:dyDescent="0.25">
      <c r="A34" t="s">
        <v>997</v>
      </c>
      <c r="B34" t="s">
        <v>2033</v>
      </c>
      <c r="C34" t="s">
        <v>927</v>
      </c>
      <c r="D34" t="s">
        <v>3052</v>
      </c>
      <c r="E34" t="s">
        <v>3053</v>
      </c>
      <c r="F34" t="s">
        <v>292</v>
      </c>
      <c r="G34" t="s">
        <v>293</v>
      </c>
      <c r="H34" t="s">
        <v>3073</v>
      </c>
      <c r="I34">
        <v>113</v>
      </c>
      <c r="J34">
        <v>90</v>
      </c>
      <c r="K34">
        <v>0</v>
      </c>
      <c r="L34">
        <v>0</v>
      </c>
      <c r="M34">
        <v>0</v>
      </c>
      <c r="N34">
        <v>0</v>
      </c>
      <c r="O34">
        <v>23</v>
      </c>
    </row>
    <row r="35" spans="1:15" x14ac:dyDescent="0.25">
      <c r="A35" t="s">
        <v>1001</v>
      </c>
      <c r="B35" t="s">
        <v>3007</v>
      </c>
      <c r="C35" t="s">
        <v>927</v>
      </c>
      <c r="D35" t="s">
        <v>3052</v>
      </c>
      <c r="E35" t="s">
        <v>3053</v>
      </c>
      <c r="F35" t="s">
        <v>292</v>
      </c>
      <c r="G35" t="s">
        <v>293</v>
      </c>
      <c r="H35" t="s">
        <v>3074</v>
      </c>
      <c r="I35">
        <v>11</v>
      </c>
      <c r="J35">
        <v>0</v>
      </c>
      <c r="K35">
        <v>0</v>
      </c>
      <c r="L35">
        <v>11</v>
      </c>
      <c r="M35">
        <v>0</v>
      </c>
      <c r="N35">
        <v>0</v>
      </c>
      <c r="O35">
        <v>0</v>
      </c>
    </row>
    <row r="36" spans="1:15" x14ac:dyDescent="0.25">
      <c r="A36" t="s">
        <v>1003</v>
      </c>
      <c r="B36" t="s">
        <v>2862</v>
      </c>
      <c r="C36" t="s">
        <v>927</v>
      </c>
      <c r="D36" t="s">
        <v>3052</v>
      </c>
      <c r="E36" t="s">
        <v>3053</v>
      </c>
      <c r="F36" t="s">
        <v>292</v>
      </c>
      <c r="G36" t="s">
        <v>293</v>
      </c>
      <c r="H36" t="s">
        <v>3075</v>
      </c>
      <c r="I36">
        <v>5797</v>
      </c>
      <c r="J36">
        <v>3455</v>
      </c>
      <c r="K36">
        <v>0</v>
      </c>
      <c r="L36">
        <v>4</v>
      </c>
      <c r="M36">
        <v>2214</v>
      </c>
      <c r="N36">
        <v>0</v>
      </c>
      <c r="O36">
        <v>124</v>
      </c>
    </row>
    <row r="37" spans="1:15" x14ac:dyDescent="0.25">
      <c r="A37" t="s">
        <v>10638</v>
      </c>
      <c r="B37" t="s">
        <v>2057</v>
      </c>
      <c r="C37" t="s">
        <v>927</v>
      </c>
      <c r="D37" t="s">
        <v>3052</v>
      </c>
      <c r="E37" t="s">
        <v>3053</v>
      </c>
      <c r="F37" t="s">
        <v>292</v>
      </c>
      <c r="G37" t="s">
        <v>293</v>
      </c>
      <c r="H37" t="s">
        <v>10818</v>
      </c>
      <c r="I37">
        <v>20</v>
      </c>
      <c r="J37">
        <v>0</v>
      </c>
      <c r="K37">
        <v>0</v>
      </c>
      <c r="L37">
        <v>20</v>
      </c>
      <c r="M37">
        <v>0</v>
      </c>
      <c r="N37">
        <v>0</v>
      </c>
      <c r="O37">
        <v>0</v>
      </c>
    </row>
    <row r="38" spans="1:15" x14ac:dyDescent="0.25">
      <c r="A38" t="s">
        <v>937</v>
      </c>
      <c r="B38" t="s">
        <v>1962</v>
      </c>
      <c r="C38" t="s">
        <v>927</v>
      </c>
      <c r="D38" t="s">
        <v>3052</v>
      </c>
      <c r="E38" t="s">
        <v>3053</v>
      </c>
      <c r="F38" t="s">
        <v>292</v>
      </c>
      <c r="G38" t="s">
        <v>293</v>
      </c>
      <c r="H38" t="s">
        <v>3076</v>
      </c>
      <c r="I38">
        <v>5</v>
      </c>
      <c r="J38">
        <v>0</v>
      </c>
      <c r="K38">
        <v>0</v>
      </c>
      <c r="L38">
        <v>0</v>
      </c>
      <c r="M38">
        <v>0</v>
      </c>
      <c r="N38">
        <v>0</v>
      </c>
      <c r="O38">
        <v>5</v>
      </c>
    </row>
    <row r="39" spans="1:15" x14ac:dyDescent="0.25">
      <c r="A39" t="s">
        <v>938</v>
      </c>
      <c r="B39" t="s">
        <v>2791</v>
      </c>
      <c r="C39" t="s">
        <v>927</v>
      </c>
      <c r="D39" t="s">
        <v>3052</v>
      </c>
      <c r="E39" t="s">
        <v>3053</v>
      </c>
      <c r="F39" t="s">
        <v>292</v>
      </c>
      <c r="G39" t="s">
        <v>293</v>
      </c>
      <c r="H39" t="s">
        <v>3077</v>
      </c>
      <c r="I39">
        <v>6</v>
      </c>
      <c r="J39">
        <v>0</v>
      </c>
      <c r="K39">
        <v>0</v>
      </c>
      <c r="L39">
        <v>6</v>
      </c>
      <c r="M39">
        <v>0</v>
      </c>
      <c r="N39">
        <v>0</v>
      </c>
      <c r="O39">
        <v>0</v>
      </c>
    </row>
    <row r="40" spans="1:15" x14ac:dyDescent="0.25">
      <c r="A40" t="s">
        <v>1026</v>
      </c>
      <c r="B40" t="s">
        <v>2848</v>
      </c>
      <c r="C40" t="s">
        <v>927</v>
      </c>
      <c r="D40" t="s">
        <v>3052</v>
      </c>
      <c r="E40" t="s">
        <v>3053</v>
      </c>
      <c r="F40" t="s">
        <v>292</v>
      </c>
      <c r="G40" t="s">
        <v>293</v>
      </c>
      <c r="H40" t="s">
        <v>3078</v>
      </c>
      <c r="I40">
        <v>37</v>
      </c>
      <c r="J40">
        <v>36</v>
      </c>
      <c r="K40">
        <v>0</v>
      </c>
      <c r="L40">
        <v>0</v>
      </c>
      <c r="M40">
        <v>0</v>
      </c>
      <c r="N40">
        <v>2</v>
      </c>
      <c r="O40">
        <v>1</v>
      </c>
    </row>
    <row r="41" spans="1:15" x14ac:dyDescent="0.25">
      <c r="A41" t="s">
        <v>10681</v>
      </c>
      <c r="B41" t="s">
        <v>10680</v>
      </c>
      <c r="C41" t="s">
        <v>927</v>
      </c>
      <c r="D41" t="s">
        <v>3052</v>
      </c>
      <c r="E41" t="s">
        <v>3053</v>
      </c>
      <c r="F41" t="s">
        <v>292</v>
      </c>
      <c r="G41" t="s">
        <v>293</v>
      </c>
      <c r="H41" t="s">
        <v>14411</v>
      </c>
      <c r="I41">
        <v>10</v>
      </c>
      <c r="J41">
        <v>0</v>
      </c>
      <c r="K41">
        <v>0</v>
      </c>
      <c r="L41">
        <v>0</v>
      </c>
      <c r="M41">
        <v>0</v>
      </c>
      <c r="N41">
        <v>0</v>
      </c>
      <c r="O41">
        <v>10</v>
      </c>
    </row>
    <row r="42" spans="1:15" x14ac:dyDescent="0.25">
      <c r="A42" t="s">
        <v>943</v>
      </c>
      <c r="B42" t="s">
        <v>2694</v>
      </c>
      <c r="C42" t="s">
        <v>927</v>
      </c>
      <c r="D42" t="s">
        <v>3052</v>
      </c>
      <c r="E42" t="s">
        <v>3053</v>
      </c>
      <c r="F42" t="s">
        <v>292</v>
      </c>
      <c r="G42" t="s">
        <v>293</v>
      </c>
      <c r="H42" t="s">
        <v>3079</v>
      </c>
      <c r="I42">
        <v>126</v>
      </c>
      <c r="J42">
        <v>103</v>
      </c>
      <c r="K42">
        <v>0</v>
      </c>
      <c r="L42">
        <v>20</v>
      </c>
      <c r="M42">
        <v>3</v>
      </c>
      <c r="N42">
        <v>0</v>
      </c>
      <c r="O42">
        <v>0</v>
      </c>
    </row>
    <row r="43" spans="1:15" x14ac:dyDescent="0.25">
      <c r="A43" t="s">
        <v>1038</v>
      </c>
      <c r="B43" t="s">
        <v>2068</v>
      </c>
      <c r="C43" t="s">
        <v>927</v>
      </c>
      <c r="D43" t="s">
        <v>3052</v>
      </c>
      <c r="E43" t="s">
        <v>3053</v>
      </c>
      <c r="F43" t="s">
        <v>292</v>
      </c>
      <c r="G43" t="s">
        <v>293</v>
      </c>
      <c r="H43" t="s">
        <v>3080</v>
      </c>
      <c r="I43">
        <v>326</v>
      </c>
      <c r="J43">
        <v>227</v>
      </c>
      <c r="K43">
        <v>0</v>
      </c>
      <c r="L43">
        <v>19</v>
      </c>
      <c r="M43">
        <v>0</v>
      </c>
      <c r="N43">
        <v>0</v>
      </c>
      <c r="O43">
        <v>80</v>
      </c>
    </row>
    <row r="44" spans="1:15" x14ac:dyDescent="0.25">
      <c r="A44" t="s">
        <v>1042</v>
      </c>
      <c r="B44" t="s">
        <v>2115</v>
      </c>
      <c r="C44" t="s">
        <v>923</v>
      </c>
      <c r="D44" t="s">
        <v>3063</v>
      </c>
      <c r="E44" t="s">
        <v>3053</v>
      </c>
      <c r="F44" t="s">
        <v>292</v>
      </c>
      <c r="G44" t="s">
        <v>293</v>
      </c>
      <c r="H44" t="s">
        <v>14412</v>
      </c>
      <c r="I44">
        <v>4</v>
      </c>
      <c r="J44">
        <v>0</v>
      </c>
      <c r="K44">
        <v>0</v>
      </c>
      <c r="L44">
        <v>4</v>
      </c>
      <c r="M44">
        <v>0</v>
      </c>
      <c r="N44">
        <v>0</v>
      </c>
      <c r="O44">
        <v>0</v>
      </c>
    </row>
    <row r="45" spans="1:15" x14ac:dyDescent="0.25">
      <c r="A45" t="s">
        <v>1046</v>
      </c>
      <c r="B45" t="s">
        <v>2027</v>
      </c>
      <c r="C45" t="s">
        <v>923</v>
      </c>
      <c r="D45" t="s">
        <v>3063</v>
      </c>
      <c r="E45" t="s">
        <v>3053</v>
      </c>
      <c r="F45" t="s">
        <v>292</v>
      </c>
      <c r="G45" t="s">
        <v>293</v>
      </c>
      <c r="H45" t="s">
        <v>3081</v>
      </c>
      <c r="I45">
        <v>6</v>
      </c>
      <c r="J45">
        <v>0</v>
      </c>
      <c r="K45">
        <v>0</v>
      </c>
      <c r="L45">
        <v>6</v>
      </c>
      <c r="M45">
        <v>0</v>
      </c>
      <c r="N45">
        <v>0</v>
      </c>
      <c r="O45">
        <v>0</v>
      </c>
    </row>
    <row r="46" spans="1:15" x14ac:dyDescent="0.25">
      <c r="A46" t="s">
        <v>951</v>
      </c>
      <c r="B46" t="s">
        <v>2680</v>
      </c>
      <c r="C46" t="s">
        <v>927</v>
      </c>
      <c r="D46" t="s">
        <v>3052</v>
      </c>
      <c r="E46" t="s">
        <v>3053</v>
      </c>
      <c r="F46" t="s">
        <v>292</v>
      </c>
      <c r="G46" t="s">
        <v>293</v>
      </c>
      <c r="H46" t="s">
        <v>3082</v>
      </c>
      <c r="I46">
        <v>27</v>
      </c>
      <c r="J46">
        <v>25</v>
      </c>
      <c r="K46">
        <v>0</v>
      </c>
      <c r="L46">
        <v>0</v>
      </c>
      <c r="M46">
        <v>0</v>
      </c>
      <c r="N46">
        <v>0</v>
      </c>
      <c r="O46">
        <v>2</v>
      </c>
    </row>
    <row r="47" spans="1:15" x14ac:dyDescent="0.25">
      <c r="A47" t="s">
        <v>1048</v>
      </c>
      <c r="B47" t="s">
        <v>2989</v>
      </c>
      <c r="C47" t="s">
        <v>927</v>
      </c>
      <c r="D47" t="s">
        <v>3052</v>
      </c>
      <c r="E47" t="s">
        <v>3053</v>
      </c>
      <c r="F47" t="s">
        <v>292</v>
      </c>
      <c r="G47" t="s">
        <v>293</v>
      </c>
      <c r="H47" t="s">
        <v>11785</v>
      </c>
      <c r="I47">
        <v>587</v>
      </c>
      <c r="J47">
        <v>471</v>
      </c>
      <c r="K47">
        <v>0</v>
      </c>
      <c r="L47">
        <v>6</v>
      </c>
      <c r="M47">
        <v>79</v>
      </c>
      <c r="N47">
        <v>0</v>
      </c>
      <c r="O47">
        <v>31</v>
      </c>
    </row>
    <row r="48" spans="1:15" x14ac:dyDescent="0.25">
      <c r="A48" t="s">
        <v>1049</v>
      </c>
      <c r="B48" t="s">
        <v>2138</v>
      </c>
      <c r="C48" t="s">
        <v>927</v>
      </c>
      <c r="D48" t="s">
        <v>3052</v>
      </c>
      <c r="E48" t="s">
        <v>3053</v>
      </c>
      <c r="F48" t="s">
        <v>292</v>
      </c>
      <c r="G48" t="s">
        <v>293</v>
      </c>
      <c r="H48" t="s">
        <v>3083</v>
      </c>
      <c r="I48">
        <v>75</v>
      </c>
      <c r="J48">
        <v>64</v>
      </c>
      <c r="K48">
        <v>0</v>
      </c>
      <c r="L48">
        <v>0</v>
      </c>
      <c r="M48">
        <v>0</v>
      </c>
      <c r="N48">
        <v>0</v>
      </c>
      <c r="O48">
        <v>11</v>
      </c>
    </row>
    <row r="49" spans="1:15" x14ac:dyDescent="0.25">
      <c r="A49" t="s">
        <v>1051</v>
      </c>
      <c r="B49" t="s">
        <v>2995</v>
      </c>
      <c r="C49" t="s">
        <v>927</v>
      </c>
      <c r="D49" t="s">
        <v>3052</v>
      </c>
      <c r="E49" t="s">
        <v>3053</v>
      </c>
      <c r="F49" t="s">
        <v>292</v>
      </c>
      <c r="G49" t="s">
        <v>293</v>
      </c>
      <c r="H49" t="s">
        <v>3084</v>
      </c>
      <c r="I49">
        <v>10</v>
      </c>
      <c r="J49">
        <v>0</v>
      </c>
      <c r="K49">
        <v>0</v>
      </c>
      <c r="L49">
        <v>10</v>
      </c>
      <c r="M49">
        <v>0</v>
      </c>
      <c r="N49">
        <v>0</v>
      </c>
      <c r="O49">
        <v>0</v>
      </c>
    </row>
    <row r="50" spans="1:15" x14ac:dyDescent="0.25">
      <c r="A50" t="s">
        <v>953</v>
      </c>
      <c r="B50" t="s">
        <v>2014</v>
      </c>
      <c r="C50" t="s">
        <v>927</v>
      </c>
      <c r="D50" t="s">
        <v>3052</v>
      </c>
      <c r="E50" t="s">
        <v>3053</v>
      </c>
      <c r="F50" t="s">
        <v>292</v>
      </c>
      <c r="G50" t="s">
        <v>293</v>
      </c>
      <c r="H50" t="s">
        <v>3085</v>
      </c>
      <c r="I50">
        <v>3</v>
      </c>
      <c r="J50">
        <v>0</v>
      </c>
      <c r="K50">
        <v>0</v>
      </c>
      <c r="L50">
        <v>3</v>
      </c>
      <c r="M50">
        <v>0</v>
      </c>
      <c r="N50">
        <v>0</v>
      </c>
      <c r="O50">
        <v>0</v>
      </c>
    </row>
    <row r="51" spans="1:15" x14ac:dyDescent="0.25">
      <c r="A51" t="s">
        <v>11720</v>
      </c>
      <c r="B51" t="s">
        <v>10718</v>
      </c>
      <c r="C51" t="s">
        <v>927</v>
      </c>
      <c r="D51" t="s">
        <v>3052</v>
      </c>
      <c r="E51" t="s">
        <v>3053</v>
      </c>
      <c r="F51" t="s">
        <v>292</v>
      </c>
      <c r="G51" t="s">
        <v>293</v>
      </c>
      <c r="H51" t="s">
        <v>14413</v>
      </c>
      <c r="I51">
        <v>15</v>
      </c>
      <c r="J51">
        <v>5</v>
      </c>
      <c r="K51">
        <v>0</v>
      </c>
      <c r="L51">
        <v>0</v>
      </c>
      <c r="M51">
        <v>0</v>
      </c>
      <c r="N51">
        <v>0</v>
      </c>
      <c r="O51">
        <v>10</v>
      </c>
    </row>
    <row r="52" spans="1:15" x14ac:dyDescent="0.25">
      <c r="A52" t="s">
        <v>9788</v>
      </c>
      <c r="B52" t="s">
        <v>9871</v>
      </c>
      <c r="C52" t="s">
        <v>927</v>
      </c>
      <c r="D52" t="s">
        <v>3052</v>
      </c>
      <c r="E52" t="s">
        <v>3053</v>
      </c>
      <c r="F52" t="s">
        <v>292</v>
      </c>
      <c r="G52" t="s">
        <v>293</v>
      </c>
      <c r="H52" t="s">
        <v>14414</v>
      </c>
      <c r="I52">
        <v>17</v>
      </c>
      <c r="J52">
        <v>17</v>
      </c>
      <c r="K52">
        <v>0</v>
      </c>
      <c r="L52">
        <v>0</v>
      </c>
      <c r="M52">
        <v>0</v>
      </c>
      <c r="N52">
        <v>0</v>
      </c>
      <c r="O52">
        <v>0</v>
      </c>
    </row>
    <row r="53" spans="1:15" x14ac:dyDescent="0.25">
      <c r="A53" t="s">
        <v>1058</v>
      </c>
      <c r="B53" t="s">
        <v>2183</v>
      </c>
      <c r="C53" t="s">
        <v>923</v>
      </c>
      <c r="D53" t="s">
        <v>3063</v>
      </c>
      <c r="E53" t="s">
        <v>3053</v>
      </c>
      <c r="F53" t="s">
        <v>292</v>
      </c>
      <c r="G53" t="s">
        <v>293</v>
      </c>
      <c r="H53" t="s">
        <v>3086</v>
      </c>
      <c r="I53">
        <v>8</v>
      </c>
      <c r="J53">
        <v>0</v>
      </c>
      <c r="K53">
        <v>0</v>
      </c>
      <c r="L53">
        <v>0</v>
      </c>
      <c r="M53">
        <v>8</v>
      </c>
      <c r="N53">
        <v>0</v>
      </c>
      <c r="O53">
        <v>0</v>
      </c>
    </row>
    <row r="54" spans="1:15" x14ac:dyDescent="0.25">
      <c r="A54" t="s">
        <v>14374</v>
      </c>
      <c r="B54" t="s">
        <v>1943</v>
      </c>
      <c r="C54" t="s">
        <v>927</v>
      </c>
      <c r="D54" t="s">
        <v>3052</v>
      </c>
      <c r="E54" t="s">
        <v>3053</v>
      </c>
      <c r="F54" t="s">
        <v>292</v>
      </c>
      <c r="G54" t="s">
        <v>293</v>
      </c>
      <c r="H54" t="s">
        <v>14415</v>
      </c>
      <c r="I54">
        <v>2</v>
      </c>
      <c r="J54">
        <v>0</v>
      </c>
      <c r="K54">
        <v>0</v>
      </c>
      <c r="L54">
        <v>0</v>
      </c>
      <c r="M54">
        <v>0</v>
      </c>
      <c r="N54">
        <v>0</v>
      </c>
      <c r="O54">
        <v>2</v>
      </c>
    </row>
    <row r="55" spans="1:15" x14ac:dyDescent="0.25">
      <c r="A55" t="s">
        <v>962</v>
      </c>
      <c r="B55" t="s">
        <v>2752</v>
      </c>
      <c r="C55" t="s">
        <v>927</v>
      </c>
      <c r="D55" t="s">
        <v>3052</v>
      </c>
      <c r="E55" t="s">
        <v>3053</v>
      </c>
      <c r="F55" t="s">
        <v>292</v>
      </c>
      <c r="G55" t="s">
        <v>293</v>
      </c>
      <c r="H55" t="s">
        <v>3087</v>
      </c>
      <c r="I55">
        <v>9</v>
      </c>
      <c r="J55">
        <v>9</v>
      </c>
      <c r="K55">
        <v>0</v>
      </c>
      <c r="L55">
        <v>0</v>
      </c>
      <c r="M55">
        <v>0</v>
      </c>
      <c r="N55">
        <v>0</v>
      </c>
      <c r="O55">
        <v>0</v>
      </c>
    </row>
    <row r="56" spans="1:15" x14ac:dyDescent="0.25">
      <c r="A56" t="s">
        <v>1069</v>
      </c>
      <c r="B56" t="s">
        <v>2001</v>
      </c>
      <c r="C56" t="s">
        <v>927</v>
      </c>
      <c r="D56" t="s">
        <v>3052</v>
      </c>
      <c r="E56" t="s">
        <v>3053</v>
      </c>
      <c r="F56" t="s">
        <v>292</v>
      </c>
      <c r="G56" t="s">
        <v>293</v>
      </c>
      <c r="H56" t="s">
        <v>3088</v>
      </c>
      <c r="I56">
        <v>425</v>
      </c>
      <c r="J56">
        <v>329</v>
      </c>
      <c r="K56">
        <v>0</v>
      </c>
      <c r="L56">
        <v>2</v>
      </c>
      <c r="M56">
        <v>93</v>
      </c>
      <c r="N56">
        <v>0</v>
      </c>
      <c r="O56">
        <v>1</v>
      </c>
    </row>
    <row r="57" spans="1:15" x14ac:dyDescent="0.25">
      <c r="A57" t="s">
        <v>1072</v>
      </c>
      <c r="B57" t="s">
        <v>2907</v>
      </c>
      <c r="C57" t="s">
        <v>927</v>
      </c>
      <c r="D57" t="s">
        <v>3052</v>
      </c>
      <c r="E57" t="s">
        <v>3053</v>
      </c>
      <c r="F57" t="s">
        <v>292</v>
      </c>
      <c r="G57" t="s">
        <v>293</v>
      </c>
      <c r="H57" t="s">
        <v>3089</v>
      </c>
      <c r="I57">
        <v>53</v>
      </c>
      <c r="J57">
        <v>21</v>
      </c>
      <c r="K57">
        <v>0</v>
      </c>
      <c r="L57">
        <v>32</v>
      </c>
      <c r="M57">
        <v>0</v>
      </c>
      <c r="N57">
        <v>0</v>
      </c>
      <c r="O57">
        <v>0</v>
      </c>
    </row>
    <row r="58" spans="1:15" x14ac:dyDescent="0.25">
      <c r="A58" t="s">
        <v>1074</v>
      </c>
      <c r="B58" t="s">
        <v>2280</v>
      </c>
      <c r="C58" t="s">
        <v>923</v>
      </c>
      <c r="D58" t="s">
        <v>3063</v>
      </c>
      <c r="E58" t="s">
        <v>3053</v>
      </c>
      <c r="F58" t="s">
        <v>292</v>
      </c>
      <c r="G58" t="s">
        <v>293</v>
      </c>
      <c r="H58" t="s">
        <v>3090</v>
      </c>
      <c r="I58">
        <v>6</v>
      </c>
      <c r="J58">
        <v>6</v>
      </c>
      <c r="K58">
        <v>0</v>
      </c>
      <c r="L58">
        <v>0</v>
      </c>
      <c r="M58">
        <v>0</v>
      </c>
      <c r="N58">
        <v>0</v>
      </c>
      <c r="O58">
        <v>0</v>
      </c>
    </row>
    <row r="59" spans="1:15" x14ac:dyDescent="0.25">
      <c r="A59" t="s">
        <v>1082</v>
      </c>
      <c r="B59" t="s">
        <v>2622</v>
      </c>
      <c r="C59" t="s">
        <v>923</v>
      </c>
      <c r="D59" t="s">
        <v>3063</v>
      </c>
      <c r="E59" t="s">
        <v>3053</v>
      </c>
      <c r="F59" t="s">
        <v>292</v>
      </c>
      <c r="G59" t="s">
        <v>293</v>
      </c>
      <c r="H59" t="s">
        <v>3091</v>
      </c>
      <c r="I59">
        <v>19</v>
      </c>
      <c r="J59">
        <v>0</v>
      </c>
      <c r="K59">
        <v>0</v>
      </c>
      <c r="L59">
        <v>19</v>
      </c>
      <c r="M59">
        <v>0</v>
      </c>
      <c r="N59">
        <v>0</v>
      </c>
      <c r="O59">
        <v>0</v>
      </c>
    </row>
    <row r="60" spans="1:15" x14ac:dyDescent="0.25">
      <c r="A60" t="s">
        <v>924</v>
      </c>
      <c r="B60" t="s">
        <v>2963</v>
      </c>
      <c r="C60" t="s">
        <v>923</v>
      </c>
      <c r="D60" t="s">
        <v>3063</v>
      </c>
      <c r="E60" t="s">
        <v>3053</v>
      </c>
      <c r="F60" t="s">
        <v>294</v>
      </c>
      <c r="G60" t="s">
        <v>295</v>
      </c>
      <c r="H60" t="s">
        <v>3092</v>
      </c>
      <c r="I60">
        <v>6</v>
      </c>
      <c r="J60">
        <v>0</v>
      </c>
      <c r="K60">
        <v>0</v>
      </c>
      <c r="L60">
        <v>6</v>
      </c>
      <c r="M60">
        <v>0</v>
      </c>
      <c r="N60">
        <v>0</v>
      </c>
      <c r="O60">
        <v>0</v>
      </c>
    </row>
    <row r="61" spans="1:15" x14ac:dyDescent="0.25">
      <c r="A61" t="s">
        <v>929</v>
      </c>
      <c r="B61" t="s">
        <v>2999</v>
      </c>
      <c r="C61" t="s">
        <v>927</v>
      </c>
      <c r="D61" t="s">
        <v>3052</v>
      </c>
      <c r="E61" t="s">
        <v>3053</v>
      </c>
      <c r="F61" t="s">
        <v>294</v>
      </c>
      <c r="G61" t="s">
        <v>295</v>
      </c>
      <c r="H61" t="s">
        <v>3093</v>
      </c>
      <c r="I61">
        <v>33</v>
      </c>
      <c r="J61">
        <v>0</v>
      </c>
      <c r="K61">
        <v>0</v>
      </c>
      <c r="L61">
        <v>0</v>
      </c>
      <c r="M61">
        <v>33</v>
      </c>
      <c r="N61">
        <v>0</v>
      </c>
      <c r="O61">
        <v>0</v>
      </c>
    </row>
    <row r="62" spans="1:15" x14ac:dyDescent="0.25">
      <c r="A62" t="s">
        <v>1575</v>
      </c>
      <c r="B62" t="s">
        <v>2112</v>
      </c>
      <c r="C62" t="s">
        <v>927</v>
      </c>
      <c r="D62" t="s">
        <v>3052</v>
      </c>
      <c r="E62" t="s">
        <v>3053</v>
      </c>
      <c r="F62" t="s">
        <v>294</v>
      </c>
      <c r="G62" t="s">
        <v>295</v>
      </c>
      <c r="H62" t="s">
        <v>10819</v>
      </c>
      <c r="I62">
        <v>48</v>
      </c>
      <c r="J62">
        <v>6</v>
      </c>
      <c r="K62">
        <v>0</v>
      </c>
      <c r="L62">
        <v>0</v>
      </c>
      <c r="M62">
        <v>0</v>
      </c>
      <c r="N62">
        <v>0</v>
      </c>
      <c r="O62">
        <v>42</v>
      </c>
    </row>
    <row r="63" spans="1:15" x14ac:dyDescent="0.25">
      <c r="A63" t="s">
        <v>931</v>
      </c>
      <c r="B63" t="s">
        <v>1978</v>
      </c>
      <c r="C63" t="s">
        <v>927</v>
      </c>
      <c r="D63" t="s">
        <v>3052</v>
      </c>
      <c r="E63" t="s">
        <v>3053</v>
      </c>
      <c r="F63" t="s">
        <v>294</v>
      </c>
      <c r="G63" t="s">
        <v>295</v>
      </c>
      <c r="H63" t="s">
        <v>11786</v>
      </c>
      <c r="I63">
        <v>80</v>
      </c>
      <c r="J63">
        <v>40</v>
      </c>
      <c r="K63">
        <v>0</v>
      </c>
      <c r="L63">
        <v>0</v>
      </c>
      <c r="M63">
        <v>0</v>
      </c>
      <c r="N63">
        <v>0</v>
      </c>
      <c r="O63">
        <v>40</v>
      </c>
    </row>
    <row r="64" spans="1:15" x14ac:dyDescent="0.25">
      <c r="A64" t="s">
        <v>933</v>
      </c>
      <c r="B64" t="s">
        <v>2106</v>
      </c>
      <c r="C64" t="s">
        <v>927</v>
      </c>
      <c r="D64" t="s">
        <v>3052</v>
      </c>
      <c r="E64" t="s">
        <v>3053</v>
      </c>
      <c r="F64" t="s">
        <v>294</v>
      </c>
      <c r="G64" t="s">
        <v>295</v>
      </c>
      <c r="H64" t="s">
        <v>3094</v>
      </c>
      <c r="I64">
        <v>537</v>
      </c>
      <c r="J64">
        <v>348</v>
      </c>
      <c r="K64">
        <v>0</v>
      </c>
      <c r="L64">
        <v>24</v>
      </c>
      <c r="M64">
        <v>18</v>
      </c>
      <c r="N64">
        <v>5</v>
      </c>
      <c r="O64">
        <v>147</v>
      </c>
    </row>
    <row r="65" spans="1:15" x14ac:dyDescent="0.25">
      <c r="A65" t="s">
        <v>1416</v>
      </c>
      <c r="B65" t="s">
        <v>2029</v>
      </c>
      <c r="C65" t="s">
        <v>923</v>
      </c>
      <c r="D65" t="s">
        <v>3063</v>
      </c>
      <c r="E65" t="s">
        <v>3053</v>
      </c>
      <c r="F65" t="s">
        <v>294</v>
      </c>
      <c r="G65" t="s">
        <v>295</v>
      </c>
      <c r="H65" t="s">
        <v>11787</v>
      </c>
      <c r="I65">
        <v>6</v>
      </c>
      <c r="J65">
        <v>0</v>
      </c>
      <c r="K65">
        <v>0</v>
      </c>
      <c r="L65">
        <v>6</v>
      </c>
      <c r="M65">
        <v>0</v>
      </c>
      <c r="N65">
        <v>0</v>
      </c>
      <c r="O65">
        <v>0</v>
      </c>
    </row>
    <row r="66" spans="1:15" x14ac:dyDescent="0.25">
      <c r="A66" t="s">
        <v>10638</v>
      </c>
      <c r="B66" t="s">
        <v>2057</v>
      </c>
      <c r="C66" t="s">
        <v>927</v>
      </c>
      <c r="D66" t="s">
        <v>3052</v>
      </c>
      <c r="E66" t="s">
        <v>3053</v>
      </c>
      <c r="F66" t="s">
        <v>294</v>
      </c>
      <c r="G66" t="s">
        <v>295</v>
      </c>
      <c r="H66" t="s">
        <v>10820</v>
      </c>
      <c r="I66">
        <v>6</v>
      </c>
      <c r="J66">
        <v>0</v>
      </c>
      <c r="K66">
        <v>0</v>
      </c>
      <c r="L66">
        <v>6</v>
      </c>
      <c r="M66">
        <v>0</v>
      </c>
      <c r="N66">
        <v>0</v>
      </c>
      <c r="O66">
        <v>0</v>
      </c>
    </row>
    <row r="67" spans="1:15" x14ac:dyDescent="0.25">
      <c r="A67" t="s">
        <v>1010</v>
      </c>
      <c r="B67" t="s">
        <v>2639</v>
      </c>
      <c r="C67" t="s">
        <v>927</v>
      </c>
      <c r="D67" t="s">
        <v>3052</v>
      </c>
      <c r="E67" t="s">
        <v>3053</v>
      </c>
      <c r="F67" t="s">
        <v>294</v>
      </c>
      <c r="G67" t="s">
        <v>295</v>
      </c>
      <c r="H67" t="s">
        <v>3095</v>
      </c>
      <c r="I67">
        <v>38</v>
      </c>
      <c r="J67">
        <v>38</v>
      </c>
      <c r="K67">
        <v>0</v>
      </c>
      <c r="L67">
        <v>0</v>
      </c>
      <c r="M67">
        <v>0</v>
      </c>
      <c r="N67">
        <v>0</v>
      </c>
      <c r="O67">
        <v>0</v>
      </c>
    </row>
    <row r="68" spans="1:15" x14ac:dyDescent="0.25">
      <c r="A68" t="s">
        <v>937</v>
      </c>
      <c r="B68" t="s">
        <v>1962</v>
      </c>
      <c r="C68" t="s">
        <v>927</v>
      </c>
      <c r="D68" t="s">
        <v>3052</v>
      </c>
      <c r="E68" t="s">
        <v>3053</v>
      </c>
      <c r="F68" t="s">
        <v>294</v>
      </c>
      <c r="G68" t="s">
        <v>295</v>
      </c>
      <c r="H68" t="s">
        <v>3096</v>
      </c>
      <c r="I68">
        <v>30</v>
      </c>
      <c r="J68">
        <v>0</v>
      </c>
      <c r="K68">
        <v>0</v>
      </c>
      <c r="L68">
        <v>0</v>
      </c>
      <c r="M68">
        <v>0</v>
      </c>
      <c r="N68">
        <v>0</v>
      </c>
      <c r="O68">
        <v>30</v>
      </c>
    </row>
    <row r="69" spans="1:15" x14ac:dyDescent="0.25">
      <c r="A69" t="s">
        <v>938</v>
      </c>
      <c r="B69" t="s">
        <v>2791</v>
      </c>
      <c r="C69" t="s">
        <v>927</v>
      </c>
      <c r="D69" t="s">
        <v>3052</v>
      </c>
      <c r="E69" t="s">
        <v>3053</v>
      </c>
      <c r="F69" t="s">
        <v>294</v>
      </c>
      <c r="G69" t="s">
        <v>295</v>
      </c>
      <c r="H69" t="s">
        <v>3097</v>
      </c>
      <c r="I69">
        <v>142</v>
      </c>
      <c r="J69">
        <v>90</v>
      </c>
      <c r="K69">
        <v>0</v>
      </c>
      <c r="L69">
        <v>27</v>
      </c>
      <c r="M69">
        <v>0</v>
      </c>
      <c r="N69">
        <v>0</v>
      </c>
      <c r="O69">
        <v>25</v>
      </c>
    </row>
    <row r="70" spans="1:15" x14ac:dyDescent="0.25">
      <c r="A70" t="s">
        <v>940</v>
      </c>
      <c r="B70" t="s">
        <v>2647</v>
      </c>
      <c r="C70" t="s">
        <v>927</v>
      </c>
      <c r="D70" t="s">
        <v>3052</v>
      </c>
      <c r="E70" t="s">
        <v>3053</v>
      </c>
      <c r="F70" t="s">
        <v>294</v>
      </c>
      <c r="G70" t="s">
        <v>295</v>
      </c>
      <c r="H70" t="s">
        <v>10118</v>
      </c>
      <c r="I70">
        <v>60</v>
      </c>
      <c r="J70">
        <v>0</v>
      </c>
      <c r="K70">
        <v>0</v>
      </c>
      <c r="L70">
        <v>0</v>
      </c>
      <c r="M70">
        <v>35</v>
      </c>
      <c r="N70">
        <v>0</v>
      </c>
      <c r="O70">
        <v>25</v>
      </c>
    </row>
    <row r="71" spans="1:15" x14ac:dyDescent="0.25">
      <c r="A71" t="s">
        <v>1012</v>
      </c>
      <c r="B71" t="s">
        <v>2911</v>
      </c>
      <c r="C71" t="s">
        <v>927</v>
      </c>
      <c r="D71" t="s">
        <v>3052</v>
      </c>
      <c r="E71" t="s">
        <v>3053</v>
      </c>
      <c r="F71" t="s">
        <v>294</v>
      </c>
      <c r="G71" t="s">
        <v>295</v>
      </c>
      <c r="H71" t="s">
        <v>3098</v>
      </c>
      <c r="I71">
        <v>347</v>
      </c>
      <c r="J71">
        <v>285</v>
      </c>
      <c r="K71">
        <v>1</v>
      </c>
      <c r="L71">
        <v>3</v>
      </c>
      <c r="M71">
        <v>0</v>
      </c>
      <c r="N71">
        <v>0</v>
      </c>
      <c r="O71">
        <v>58</v>
      </c>
    </row>
    <row r="72" spans="1:15" x14ac:dyDescent="0.25">
      <c r="A72" t="s">
        <v>11755</v>
      </c>
      <c r="B72" t="s">
        <v>11754</v>
      </c>
      <c r="C72" t="s">
        <v>923</v>
      </c>
      <c r="D72" t="s">
        <v>3063</v>
      </c>
      <c r="E72" t="s">
        <v>3053</v>
      </c>
      <c r="F72" t="s">
        <v>294</v>
      </c>
      <c r="G72" t="s">
        <v>295</v>
      </c>
      <c r="H72" t="s">
        <v>14416</v>
      </c>
      <c r="I72">
        <v>4</v>
      </c>
      <c r="J72">
        <v>0</v>
      </c>
      <c r="K72">
        <v>0</v>
      </c>
      <c r="L72">
        <v>4</v>
      </c>
      <c r="M72">
        <v>0</v>
      </c>
      <c r="N72">
        <v>0</v>
      </c>
      <c r="O72">
        <v>0</v>
      </c>
    </row>
    <row r="73" spans="1:15" x14ac:dyDescent="0.25">
      <c r="A73" t="s">
        <v>11705</v>
      </c>
      <c r="B73" t="s">
        <v>2729</v>
      </c>
      <c r="C73" t="s">
        <v>923</v>
      </c>
      <c r="D73" t="s">
        <v>3063</v>
      </c>
      <c r="E73" t="s">
        <v>3053</v>
      </c>
      <c r="F73" t="s">
        <v>294</v>
      </c>
      <c r="G73" t="s">
        <v>295</v>
      </c>
      <c r="H73" t="s">
        <v>11788</v>
      </c>
      <c r="I73">
        <v>93</v>
      </c>
      <c r="J73">
        <v>2</v>
      </c>
      <c r="K73">
        <v>0</v>
      </c>
      <c r="L73">
        <v>4</v>
      </c>
      <c r="M73">
        <v>87</v>
      </c>
      <c r="N73">
        <v>0</v>
      </c>
      <c r="O73">
        <v>0</v>
      </c>
    </row>
    <row r="74" spans="1:15" x14ac:dyDescent="0.25">
      <c r="A74" t="s">
        <v>1025</v>
      </c>
      <c r="B74" t="s">
        <v>2893</v>
      </c>
      <c r="C74" t="s">
        <v>927</v>
      </c>
      <c r="D74" t="s">
        <v>3052</v>
      </c>
      <c r="E74" t="s">
        <v>3053</v>
      </c>
      <c r="F74" t="s">
        <v>294</v>
      </c>
      <c r="G74" t="s">
        <v>295</v>
      </c>
      <c r="H74" t="s">
        <v>10175</v>
      </c>
      <c r="I74">
        <v>2</v>
      </c>
      <c r="J74">
        <v>0</v>
      </c>
      <c r="K74">
        <v>0</v>
      </c>
      <c r="L74">
        <v>0</v>
      </c>
      <c r="M74">
        <v>0</v>
      </c>
      <c r="N74">
        <v>0</v>
      </c>
      <c r="O74">
        <v>2</v>
      </c>
    </row>
    <row r="75" spans="1:15" x14ac:dyDescent="0.25">
      <c r="A75" t="s">
        <v>1628</v>
      </c>
      <c r="B75" t="s">
        <v>2851</v>
      </c>
      <c r="C75" t="s">
        <v>927</v>
      </c>
      <c r="D75" t="s">
        <v>3052</v>
      </c>
      <c r="E75" t="s">
        <v>3053</v>
      </c>
      <c r="F75" t="s">
        <v>294</v>
      </c>
      <c r="G75" t="s">
        <v>295</v>
      </c>
      <c r="H75" t="s">
        <v>3099</v>
      </c>
      <c r="I75">
        <v>116</v>
      </c>
      <c r="J75">
        <v>78</v>
      </c>
      <c r="K75">
        <v>0</v>
      </c>
      <c r="L75">
        <v>34</v>
      </c>
      <c r="M75">
        <v>0</v>
      </c>
      <c r="N75">
        <v>1</v>
      </c>
      <c r="O75">
        <v>4</v>
      </c>
    </row>
    <row r="76" spans="1:15" x14ac:dyDescent="0.25">
      <c r="A76" t="s">
        <v>945</v>
      </c>
      <c r="B76" t="s">
        <v>2668</v>
      </c>
      <c r="C76" t="s">
        <v>927</v>
      </c>
      <c r="D76" t="s">
        <v>3052</v>
      </c>
      <c r="E76" t="s">
        <v>3053</v>
      </c>
      <c r="F76" t="s">
        <v>294</v>
      </c>
      <c r="G76" t="s">
        <v>295</v>
      </c>
      <c r="H76" t="s">
        <v>3100</v>
      </c>
      <c r="I76">
        <v>1</v>
      </c>
      <c r="J76">
        <v>0</v>
      </c>
      <c r="K76">
        <v>0</v>
      </c>
      <c r="L76">
        <v>0</v>
      </c>
      <c r="M76">
        <v>0</v>
      </c>
      <c r="N76">
        <v>0</v>
      </c>
      <c r="O76">
        <v>1</v>
      </c>
    </row>
    <row r="77" spans="1:15" x14ac:dyDescent="0.25">
      <c r="A77" t="s">
        <v>949</v>
      </c>
      <c r="B77" t="s">
        <v>3035</v>
      </c>
      <c r="C77" t="s">
        <v>927</v>
      </c>
      <c r="D77" t="s">
        <v>3052</v>
      </c>
      <c r="E77" t="s">
        <v>3053</v>
      </c>
      <c r="F77" t="s">
        <v>294</v>
      </c>
      <c r="G77" t="s">
        <v>295</v>
      </c>
      <c r="H77" t="s">
        <v>3101</v>
      </c>
      <c r="I77">
        <v>1</v>
      </c>
      <c r="J77">
        <v>0</v>
      </c>
      <c r="K77">
        <v>0</v>
      </c>
      <c r="L77">
        <v>0</v>
      </c>
      <c r="M77">
        <v>0</v>
      </c>
      <c r="N77">
        <v>0</v>
      </c>
      <c r="O77">
        <v>1</v>
      </c>
    </row>
    <row r="78" spans="1:15" x14ac:dyDescent="0.25">
      <c r="A78" t="s">
        <v>1043</v>
      </c>
      <c r="B78" t="s">
        <v>2090</v>
      </c>
      <c r="C78" t="s">
        <v>927</v>
      </c>
      <c r="D78" t="s">
        <v>3052</v>
      </c>
      <c r="E78" t="s">
        <v>3053</v>
      </c>
      <c r="F78" t="s">
        <v>294</v>
      </c>
      <c r="G78" t="s">
        <v>295</v>
      </c>
      <c r="H78" t="s">
        <v>3102</v>
      </c>
      <c r="I78">
        <v>18</v>
      </c>
      <c r="J78">
        <v>11</v>
      </c>
      <c r="K78">
        <v>0</v>
      </c>
      <c r="L78">
        <v>0</v>
      </c>
      <c r="M78">
        <v>0</v>
      </c>
      <c r="N78">
        <v>0</v>
      </c>
      <c r="O78">
        <v>7</v>
      </c>
    </row>
    <row r="79" spans="1:15" x14ac:dyDescent="0.25">
      <c r="A79" t="s">
        <v>1146</v>
      </c>
      <c r="B79" t="s">
        <v>2117</v>
      </c>
      <c r="C79" t="s">
        <v>927</v>
      </c>
      <c r="D79" t="s">
        <v>3052</v>
      </c>
      <c r="E79" t="s">
        <v>3053</v>
      </c>
      <c r="F79" t="s">
        <v>294</v>
      </c>
      <c r="G79" t="s">
        <v>295</v>
      </c>
      <c r="H79" t="s">
        <v>14417</v>
      </c>
      <c r="I79">
        <v>1</v>
      </c>
      <c r="J79">
        <v>0</v>
      </c>
      <c r="K79">
        <v>0</v>
      </c>
      <c r="L79">
        <v>0</v>
      </c>
      <c r="M79">
        <v>0</v>
      </c>
      <c r="N79">
        <v>0</v>
      </c>
      <c r="O79">
        <v>1</v>
      </c>
    </row>
    <row r="80" spans="1:15" x14ac:dyDescent="0.25">
      <c r="A80" t="s">
        <v>951</v>
      </c>
      <c r="B80" t="s">
        <v>2680</v>
      </c>
      <c r="C80" t="s">
        <v>927</v>
      </c>
      <c r="D80" t="s">
        <v>3052</v>
      </c>
      <c r="E80" t="s">
        <v>3053</v>
      </c>
      <c r="F80" t="s">
        <v>294</v>
      </c>
      <c r="G80" t="s">
        <v>295</v>
      </c>
      <c r="H80" t="s">
        <v>3103</v>
      </c>
      <c r="I80">
        <v>397</v>
      </c>
      <c r="J80">
        <v>397</v>
      </c>
      <c r="K80">
        <v>0</v>
      </c>
      <c r="L80">
        <v>0</v>
      </c>
      <c r="M80">
        <v>0</v>
      </c>
      <c r="N80">
        <v>0</v>
      </c>
      <c r="O80">
        <v>0</v>
      </c>
    </row>
    <row r="81" spans="1:15" x14ac:dyDescent="0.25">
      <c r="A81" t="s">
        <v>953</v>
      </c>
      <c r="B81" t="s">
        <v>2014</v>
      </c>
      <c r="C81" t="s">
        <v>927</v>
      </c>
      <c r="D81" t="s">
        <v>3052</v>
      </c>
      <c r="E81" t="s">
        <v>3053</v>
      </c>
      <c r="F81" t="s">
        <v>294</v>
      </c>
      <c r="G81" t="s">
        <v>295</v>
      </c>
      <c r="H81" t="s">
        <v>3104</v>
      </c>
      <c r="I81">
        <v>6</v>
      </c>
      <c r="J81">
        <v>0</v>
      </c>
      <c r="K81">
        <v>0</v>
      </c>
      <c r="L81">
        <v>6</v>
      </c>
      <c r="M81">
        <v>0</v>
      </c>
      <c r="N81">
        <v>0</v>
      </c>
      <c r="O81">
        <v>0</v>
      </c>
    </row>
    <row r="82" spans="1:15" x14ac:dyDescent="0.25">
      <c r="A82" t="s">
        <v>11720</v>
      </c>
      <c r="B82" t="s">
        <v>10718</v>
      </c>
      <c r="C82" t="s">
        <v>927</v>
      </c>
      <c r="D82" t="s">
        <v>3052</v>
      </c>
      <c r="E82" t="s">
        <v>3053</v>
      </c>
      <c r="F82" t="s">
        <v>294</v>
      </c>
      <c r="G82" t="s">
        <v>295</v>
      </c>
      <c r="H82" t="s">
        <v>14418</v>
      </c>
      <c r="I82">
        <v>74</v>
      </c>
      <c r="J82">
        <v>34</v>
      </c>
      <c r="K82">
        <v>0</v>
      </c>
      <c r="L82">
        <v>0</v>
      </c>
      <c r="M82">
        <v>0</v>
      </c>
      <c r="N82">
        <v>0</v>
      </c>
      <c r="O82">
        <v>40</v>
      </c>
    </row>
    <row r="83" spans="1:15" x14ac:dyDescent="0.25">
      <c r="A83" t="s">
        <v>9788</v>
      </c>
      <c r="B83" t="s">
        <v>9871</v>
      </c>
      <c r="C83" t="s">
        <v>927</v>
      </c>
      <c r="D83" t="s">
        <v>3052</v>
      </c>
      <c r="E83" t="s">
        <v>3053</v>
      </c>
      <c r="F83" t="s">
        <v>294</v>
      </c>
      <c r="G83" t="s">
        <v>295</v>
      </c>
      <c r="H83" t="s">
        <v>14419</v>
      </c>
      <c r="I83">
        <v>36</v>
      </c>
      <c r="J83">
        <v>36</v>
      </c>
      <c r="K83">
        <v>0</v>
      </c>
      <c r="L83">
        <v>0</v>
      </c>
      <c r="M83">
        <v>0</v>
      </c>
      <c r="N83">
        <v>0</v>
      </c>
      <c r="O83">
        <v>0</v>
      </c>
    </row>
    <row r="84" spans="1:15" x14ac:dyDescent="0.25">
      <c r="A84" t="s">
        <v>955</v>
      </c>
      <c r="B84" t="s">
        <v>2660</v>
      </c>
      <c r="C84" t="s">
        <v>927</v>
      </c>
      <c r="D84" t="s">
        <v>3052</v>
      </c>
      <c r="E84" t="s">
        <v>3053</v>
      </c>
      <c r="F84" t="s">
        <v>294</v>
      </c>
      <c r="G84" t="s">
        <v>295</v>
      </c>
      <c r="H84" t="s">
        <v>3105</v>
      </c>
      <c r="I84">
        <v>174</v>
      </c>
      <c r="J84">
        <v>143</v>
      </c>
      <c r="K84">
        <v>0</v>
      </c>
      <c r="L84">
        <v>31</v>
      </c>
      <c r="M84">
        <v>0</v>
      </c>
      <c r="N84">
        <v>0</v>
      </c>
      <c r="O84">
        <v>0</v>
      </c>
    </row>
    <row r="85" spans="1:15" x14ac:dyDescent="0.25">
      <c r="A85" t="s">
        <v>1654</v>
      </c>
      <c r="B85" t="s">
        <v>2850</v>
      </c>
      <c r="C85" t="s">
        <v>927</v>
      </c>
      <c r="D85" t="s">
        <v>3052</v>
      </c>
      <c r="E85" t="s">
        <v>3053</v>
      </c>
      <c r="F85" t="s">
        <v>294</v>
      </c>
      <c r="G85" t="s">
        <v>295</v>
      </c>
      <c r="H85" t="s">
        <v>3106</v>
      </c>
      <c r="I85">
        <v>240</v>
      </c>
      <c r="J85">
        <v>46</v>
      </c>
      <c r="K85">
        <v>0</v>
      </c>
      <c r="L85">
        <v>11</v>
      </c>
      <c r="M85">
        <v>100</v>
      </c>
      <c r="N85">
        <v>0</v>
      </c>
      <c r="O85">
        <v>83</v>
      </c>
    </row>
    <row r="86" spans="1:15" x14ac:dyDescent="0.25">
      <c r="A86" t="s">
        <v>1661</v>
      </c>
      <c r="B86" t="s">
        <v>2764</v>
      </c>
      <c r="C86" t="s">
        <v>923</v>
      </c>
      <c r="D86" t="s">
        <v>3063</v>
      </c>
      <c r="E86" t="s">
        <v>3053</v>
      </c>
      <c r="F86" t="s">
        <v>294</v>
      </c>
      <c r="G86" t="s">
        <v>295</v>
      </c>
      <c r="H86" t="s">
        <v>3107</v>
      </c>
      <c r="I86">
        <v>2</v>
      </c>
      <c r="J86">
        <v>0</v>
      </c>
      <c r="K86">
        <v>0</v>
      </c>
      <c r="L86">
        <v>2</v>
      </c>
      <c r="M86">
        <v>0</v>
      </c>
      <c r="N86">
        <v>0</v>
      </c>
      <c r="O86">
        <v>0</v>
      </c>
    </row>
    <row r="87" spans="1:15" x14ac:dyDescent="0.25">
      <c r="A87" t="s">
        <v>1341</v>
      </c>
      <c r="B87" t="s">
        <v>2954</v>
      </c>
      <c r="C87" t="s">
        <v>923</v>
      </c>
      <c r="D87" t="s">
        <v>3063</v>
      </c>
      <c r="E87" t="s">
        <v>3053</v>
      </c>
      <c r="F87" t="s">
        <v>294</v>
      </c>
      <c r="G87" t="s">
        <v>295</v>
      </c>
      <c r="H87" t="s">
        <v>14420</v>
      </c>
      <c r="I87">
        <v>29</v>
      </c>
      <c r="J87">
        <v>29</v>
      </c>
      <c r="K87">
        <v>0</v>
      </c>
      <c r="L87">
        <v>0</v>
      </c>
      <c r="M87">
        <v>0</v>
      </c>
      <c r="N87">
        <v>0</v>
      </c>
      <c r="O87">
        <v>0</v>
      </c>
    </row>
    <row r="88" spans="1:15" x14ac:dyDescent="0.25">
      <c r="A88" t="s">
        <v>11663</v>
      </c>
      <c r="B88" t="s">
        <v>11768</v>
      </c>
      <c r="C88" t="s">
        <v>927</v>
      </c>
      <c r="D88" t="s">
        <v>3052</v>
      </c>
      <c r="E88" t="s">
        <v>3053</v>
      </c>
      <c r="F88" t="s">
        <v>294</v>
      </c>
      <c r="G88" t="s">
        <v>295</v>
      </c>
      <c r="H88" t="s">
        <v>11789</v>
      </c>
      <c r="I88">
        <v>1371</v>
      </c>
      <c r="J88">
        <v>993</v>
      </c>
      <c r="K88">
        <v>0</v>
      </c>
      <c r="L88">
        <v>0</v>
      </c>
      <c r="M88">
        <v>98</v>
      </c>
      <c r="N88">
        <v>4</v>
      </c>
      <c r="O88">
        <v>280</v>
      </c>
    </row>
    <row r="89" spans="1:15" x14ac:dyDescent="0.25">
      <c r="A89" t="s">
        <v>960</v>
      </c>
      <c r="B89" t="s">
        <v>2080</v>
      </c>
      <c r="C89" t="s">
        <v>927</v>
      </c>
      <c r="D89" t="s">
        <v>3052</v>
      </c>
      <c r="E89" t="s">
        <v>3053</v>
      </c>
      <c r="F89" t="s">
        <v>294</v>
      </c>
      <c r="G89" t="s">
        <v>295</v>
      </c>
      <c r="H89" t="s">
        <v>11790</v>
      </c>
      <c r="I89">
        <v>58</v>
      </c>
      <c r="J89">
        <v>28</v>
      </c>
      <c r="K89">
        <v>0</v>
      </c>
      <c r="L89">
        <v>0</v>
      </c>
      <c r="M89">
        <v>0</v>
      </c>
      <c r="N89">
        <v>0</v>
      </c>
      <c r="O89">
        <v>30</v>
      </c>
    </row>
    <row r="90" spans="1:15" x14ac:dyDescent="0.25">
      <c r="A90" t="s">
        <v>14374</v>
      </c>
      <c r="B90" t="s">
        <v>1943</v>
      </c>
      <c r="C90" t="s">
        <v>927</v>
      </c>
      <c r="D90" t="s">
        <v>3052</v>
      </c>
      <c r="E90" t="s">
        <v>3053</v>
      </c>
      <c r="F90" t="s">
        <v>294</v>
      </c>
      <c r="G90" t="s">
        <v>295</v>
      </c>
      <c r="H90" t="s">
        <v>14421</v>
      </c>
      <c r="I90">
        <v>24</v>
      </c>
      <c r="J90">
        <v>0</v>
      </c>
      <c r="K90">
        <v>0</v>
      </c>
      <c r="L90">
        <v>0</v>
      </c>
      <c r="M90">
        <v>0</v>
      </c>
      <c r="N90">
        <v>0</v>
      </c>
      <c r="O90">
        <v>24</v>
      </c>
    </row>
    <row r="91" spans="1:15" x14ac:dyDescent="0.25">
      <c r="A91" t="s">
        <v>9829</v>
      </c>
      <c r="B91" t="s">
        <v>2008</v>
      </c>
      <c r="C91" t="s">
        <v>923</v>
      </c>
      <c r="D91" t="s">
        <v>3063</v>
      </c>
      <c r="E91" t="s">
        <v>3053</v>
      </c>
      <c r="F91" t="s">
        <v>294</v>
      </c>
      <c r="G91" t="s">
        <v>295</v>
      </c>
      <c r="H91" t="s">
        <v>10431</v>
      </c>
      <c r="I91">
        <v>55</v>
      </c>
      <c r="J91">
        <v>0</v>
      </c>
      <c r="K91">
        <v>0</v>
      </c>
      <c r="L91">
        <v>55</v>
      </c>
      <c r="M91">
        <v>0</v>
      </c>
      <c r="N91">
        <v>0</v>
      </c>
      <c r="O91">
        <v>0</v>
      </c>
    </row>
    <row r="92" spans="1:15" x14ac:dyDescent="0.25">
      <c r="A92" t="s">
        <v>962</v>
      </c>
      <c r="B92" t="s">
        <v>2752</v>
      </c>
      <c r="C92" t="s">
        <v>927</v>
      </c>
      <c r="D92" t="s">
        <v>3052</v>
      </c>
      <c r="E92" t="s">
        <v>3053</v>
      </c>
      <c r="F92" t="s">
        <v>294</v>
      </c>
      <c r="G92" t="s">
        <v>295</v>
      </c>
      <c r="H92" t="s">
        <v>3108</v>
      </c>
      <c r="I92">
        <v>200</v>
      </c>
      <c r="J92">
        <v>168</v>
      </c>
      <c r="K92">
        <v>0</v>
      </c>
      <c r="L92">
        <v>0</v>
      </c>
      <c r="M92">
        <v>0</v>
      </c>
      <c r="N92">
        <v>0</v>
      </c>
      <c r="O92">
        <v>32</v>
      </c>
    </row>
    <row r="93" spans="1:15" x14ac:dyDescent="0.25">
      <c r="A93" t="s">
        <v>964</v>
      </c>
      <c r="B93" t="s">
        <v>1969</v>
      </c>
      <c r="C93" t="s">
        <v>927</v>
      </c>
      <c r="D93" t="s">
        <v>3052</v>
      </c>
      <c r="E93" t="s">
        <v>3053</v>
      </c>
      <c r="F93" t="s">
        <v>294</v>
      </c>
      <c r="G93" t="s">
        <v>295</v>
      </c>
      <c r="H93" t="s">
        <v>10821</v>
      </c>
      <c r="I93">
        <v>32</v>
      </c>
      <c r="J93">
        <v>24</v>
      </c>
      <c r="K93">
        <v>0</v>
      </c>
      <c r="L93">
        <v>0</v>
      </c>
      <c r="M93">
        <v>0</v>
      </c>
      <c r="N93">
        <v>0</v>
      </c>
      <c r="O93">
        <v>8</v>
      </c>
    </row>
    <row r="94" spans="1:15" x14ac:dyDescent="0.25">
      <c r="A94" t="s">
        <v>1069</v>
      </c>
      <c r="B94" t="s">
        <v>2001</v>
      </c>
      <c r="C94" t="s">
        <v>927</v>
      </c>
      <c r="D94" t="s">
        <v>3052</v>
      </c>
      <c r="E94" t="s">
        <v>3053</v>
      </c>
      <c r="F94" t="s">
        <v>294</v>
      </c>
      <c r="G94" t="s">
        <v>295</v>
      </c>
      <c r="H94" t="s">
        <v>3109</v>
      </c>
      <c r="I94">
        <v>163</v>
      </c>
      <c r="J94">
        <v>135</v>
      </c>
      <c r="K94">
        <v>0</v>
      </c>
      <c r="L94">
        <v>0</v>
      </c>
      <c r="M94">
        <v>0</v>
      </c>
      <c r="N94">
        <v>0</v>
      </c>
      <c r="O94">
        <v>28</v>
      </c>
    </row>
    <row r="95" spans="1:15" x14ac:dyDescent="0.25">
      <c r="A95" t="s">
        <v>1182</v>
      </c>
      <c r="B95" t="s">
        <v>2583</v>
      </c>
      <c r="C95" t="s">
        <v>923</v>
      </c>
      <c r="D95" t="s">
        <v>3063</v>
      </c>
      <c r="E95" t="s">
        <v>3053</v>
      </c>
      <c r="F95" t="s">
        <v>294</v>
      </c>
      <c r="G95" t="s">
        <v>295</v>
      </c>
      <c r="H95" t="s">
        <v>11791</v>
      </c>
      <c r="I95">
        <v>8</v>
      </c>
      <c r="J95">
        <v>0</v>
      </c>
      <c r="K95">
        <v>0</v>
      </c>
      <c r="L95">
        <v>8</v>
      </c>
      <c r="M95">
        <v>0</v>
      </c>
      <c r="N95">
        <v>0</v>
      </c>
      <c r="O95">
        <v>0</v>
      </c>
    </row>
    <row r="96" spans="1:15" x14ac:dyDescent="0.25">
      <c r="A96" t="s">
        <v>968</v>
      </c>
      <c r="B96" t="s">
        <v>2091</v>
      </c>
      <c r="C96" t="s">
        <v>927</v>
      </c>
      <c r="D96" t="s">
        <v>3052</v>
      </c>
      <c r="E96" t="s">
        <v>3053</v>
      </c>
      <c r="F96" t="s">
        <v>294</v>
      </c>
      <c r="G96" t="s">
        <v>295</v>
      </c>
      <c r="H96" t="s">
        <v>14422</v>
      </c>
      <c r="I96">
        <v>26</v>
      </c>
      <c r="J96">
        <v>22</v>
      </c>
      <c r="K96">
        <v>0</v>
      </c>
      <c r="L96">
        <v>0</v>
      </c>
      <c r="M96">
        <v>0</v>
      </c>
      <c r="N96">
        <v>0</v>
      </c>
      <c r="O96">
        <v>4</v>
      </c>
    </row>
    <row r="97" spans="1:15" x14ac:dyDescent="0.25">
      <c r="A97" t="s">
        <v>1380</v>
      </c>
      <c r="B97" t="s">
        <v>2664</v>
      </c>
      <c r="C97" t="s">
        <v>927</v>
      </c>
      <c r="D97" t="s">
        <v>3052</v>
      </c>
      <c r="E97" t="s">
        <v>3053</v>
      </c>
      <c r="F97" t="s">
        <v>294</v>
      </c>
      <c r="G97" t="s">
        <v>295</v>
      </c>
      <c r="H97" t="s">
        <v>3110</v>
      </c>
      <c r="I97">
        <v>1</v>
      </c>
      <c r="J97">
        <v>0</v>
      </c>
      <c r="K97">
        <v>0</v>
      </c>
      <c r="L97">
        <v>0</v>
      </c>
      <c r="M97">
        <v>0</v>
      </c>
      <c r="N97">
        <v>0</v>
      </c>
      <c r="O97">
        <v>1</v>
      </c>
    </row>
    <row r="98" spans="1:15" x14ac:dyDescent="0.25">
      <c r="A98" t="s">
        <v>1697</v>
      </c>
      <c r="B98" t="s">
        <v>3009</v>
      </c>
      <c r="C98" t="s">
        <v>927</v>
      </c>
      <c r="D98" t="s">
        <v>3052</v>
      </c>
      <c r="E98" t="s">
        <v>3053</v>
      </c>
      <c r="F98" t="s">
        <v>294</v>
      </c>
      <c r="G98" t="s">
        <v>295</v>
      </c>
      <c r="H98" t="s">
        <v>3111</v>
      </c>
      <c r="I98">
        <v>569</v>
      </c>
      <c r="J98">
        <v>460</v>
      </c>
      <c r="K98">
        <v>0</v>
      </c>
      <c r="L98">
        <v>0</v>
      </c>
      <c r="M98">
        <v>0</v>
      </c>
      <c r="N98">
        <v>0</v>
      </c>
      <c r="O98">
        <v>109</v>
      </c>
    </row>
    <row r="99" spans="1:15" x14ac:dyDescent="0.25">
      <c r="A99" t="s">
        <v>972</v>
      </c>
      <c r="B99" t="s">
        <v>2842</v>
      </c>
      <c r="C99" t="s">
        <v>927</v>
      </c>
      <c r="D99" t="s">
        <v>3052</v>
      </c>
      <c r="E99" t="s">
        <v>3053</v>
      </c>
      <c r="F99" t="s">
        <v>296</v>
      </c>
      <c r="G99" t="s">
        <v>297</v>
      </c>
      <c r="H99" t="s">
        <v>3112</v>
      </c>
      <c r="I99">
        <v>64</v>
      </c>
      <c r="J99">
        <v>64</v>
      </c>
      <c r="K99">
        <v>0</v>
      </c>
      <c r="L99">
        <v>0</v>
      </c>
      <c r="M99">
        <v>0</v>
      </c>
      <c r="N99">
        <v>0</v>
      </c>
      <c r="O99">
        <v>0</v>
      </c>
    </row>
    <row r="100" spans="1:15" x14ac:dyDescent="0.25">
      <c r="A100" t="s">
        <v>929</v>
      </c>
      <c r="B100" t="s">
        <v>2999</v>
      </c>
      <c r="C100" t="s">
        <v>927</v>
      </c>
      <c r="D100" t="s">
        <v>3052</v>
      </c>
      <c r="E100" t="s">
        <v>3053</v>
      </c>
      <c r="F100" t="s">
        <v>296</v>
      </c>
      <c r="G100" t="s">
        <v>297</v>
      </c>
      <c r="H100" t="s">
        <v>3113</v>
      </c>
      <c r="I100">
        <v>37</v>
      </c>
      <c r="J100">
        <v>0</v>
      </c>
      <c r="K100">
        <v>0</v>
      </c>
      <c r="L100">
        <v>0</v>
      </c>
      <c r="M100">
        <v>37</v>
      </c>
      <c r="N100">
        <v>0</v>
      </c>
      <c r="O100">
        <v>0</v>
      </c>
    </row>
    <row r="101" spans="1:15" x14ac:dyDescent="0.25">
      <c r="A101" t="s">
        <v>9784</v>
      </c>
      <c r="B101" t="s">
        <v>1994</v>
      </c>
      <c r="C101" t="s">
        <v>927</v>
      </c>
      <c r="D101" t="s">
        <v>3052</v>
      </c>
      <c r="E101" t="s">
        <v>3053</v>
      </c>
      <c r="F101" t="s">
        <v>296</v>
      </c>
      <c r="G101" t="s">
        <v>297</v>
      </c>
      <c r="H101" t="s">
        <v>9916</v>
      </c>
      <c r="I101">
        <v>5</v>
      </c>
      <c r="J101">
        <v>0</v>
      </c>
      <c r="K101">
        <v>0</v>
      </c>
      <c r="L101">
        <v>5</v>
      </c>
      <c r="M101">
        <v>0</v>
      </c>
      <c r="N101">
        <v>0</v>
      </c>
      <c r="O101">
        <v>0</v>
      </c>
    </row>
    <row r="102" spans="1:15" x14ac:dyDescent="0.25">
      <c r="A102" t="s">
        <v>997</v>
      </c>
      <c r="B102" t="s">
        <v>2033</v>
      </c>
      <c r="C102" t="s">
        <v>927</v>
      </c>
      <c r="D102" t="s">
        <v>3052</v>
      </c>
      <c r="E102" t="s">
        <v>3053</v>
      </c>
      <c r="F102" t="s">
        <v>296</v>
      </c>
      <c r="G102" t="s">
        <v>297</v>
      </c>
      <c r="H102" t="s">
        <v>3114</v>
      </c>
      <c r="I102">
        <v>779</v>
      </c>
      <c r="J102">
        <v>578</v>
      </c>
      <c r="K102">
        <v>0</v>
      </c>
      <c r="L102">
        <v>48</v>
      </c>
      <c r="M102">
        <v>17</v>
      </c>
      <c r="N102">
        <v>19</v>
      </c>
      <c r="O102">
        <v>136</v>
      </c>
    </row>
    <row r="103" spans="1:15" x14ac:dyDescent="0.25">
      <c r="A103" t="s">
        <v>1001</v>
      </c>
      <c r="B103" t="s">
        <v>3007</v>
      </c>
      <c r="C103" t="s">
        <v>927</v>
      </c>
      <c r="D103" t="s">
        <v>3052</v>
      </c>
      <c r="E103" t="s">
        <v>3053</v>
      </c>
      <c r="F103" t="s">
        <v>296</v>
      </c>
      <c r="G103" t="s">
        <v>297</v>
      </c>
      <c r="H103" t="s">
        <v>3115</v>
      </c>
      <c r="I103">
        <v>42</v>
      </c>
      <c r="J103">
        <v>0</v>
      </c>
      <c r="K103">
        <v>0</v>
      </c>
      <c r="L103">
        <v>42</v>
      </c>
      <c r="M103">
        <v>0</v>
      </c>
      <c r="N103">
        <v>0</v>
      </c>
      <c r="O103">
        <v>0</v>
      </c>
    </row>
    <row r="104" spans="1:15" x14ac:dyDescent="0.25">
      <c r="A104" t="s">
        <v>1003</v>
      </c>
      <c r="B104" t="s">
        <v>2862</v>
      </c>
      <c r="C104" t="s">
        <v>927</v>
      </c>
      <c r="D104" t="s">
        <v>3052</v>
      </c>
      <c r="E104" t="s">
        <v>3053</v>
      </c>
      <c r="F104" t="s">
        <v>296</v>
      </c>
      <c r="G104" t="s">
        <v>297</v>
      </c>
      <c r="H104" t="s">
        <v>3116</v>
      </c>
      <c r="I104">
        <v>5</v>
      </c>
      <c r="J104">
        <v>5</v>
      </c>
      <c r="K104">
        <v>0</v>
      </c>
      <c r="L104">
        <v>0</v>
      </c>
      <c r="M104">
        <v>0</v>
      </c>
      <c r="N104">
        <v>0</v>
      </c>
      <c r="O104">
        <v>0</v>
      </c>
    </row>
    <row r="105" spans="1:15" x14ac:dyDescent="0.25">
      <c r="A105" t="s">
        <v>10638</v>
      </c>
      <c r="B105" t="s">
        <v>2057</v>
      </c>
      <c r="C105" t="s">
        <v>927</v>
      </c>
      <c r="D105" t="s">
        <v>3052</v>
      </c>
      <c r="E105" t="s">
        <v>3053</v>
      </c>
      <c r="F105" t="s">
        <v>296</v>
      </c>
      <c r="G105" t="s">
        <v>297</v>
      </c>
      <c r="H105" t="s">
        <v>10822</v>
      </c>
      <c r="I105">
        <v>44</v>
      </c>
      <c r="J105">
        <v>0</v>
      </c>
      <c r="K105">
        <v>0</v>
      </c>
      <c r="L105">
        <v>44</v>
      </c>
      <c r="M105">
        <v>0</v>
      </c>
      <c r="N105">
        <v>0</v>
      </c>
      <c r="O105">
        <v>0</v>
      </c>
    </row>
    <row r="106" spans="1:15" x14ac:dyDescent="0.25">
      <c r="A106" t="s">
        <v>937</v>
      </c>
      <c r="B106" t="s">
        <v>1962</v>
      </c>
      <c r="C106" t="s">
        <v>927</v>
      </c>
      <c r="D106" t="s">
        <v>3052</v>
      </c>
      <c r="E106" t="s">
        <v>3053</v>
      </c>
      <c r="F106" t="s">
        <v>296</v>
      </c>
      <c r="G106" t="s">
        <v>297</v>
      </c>
      <c r="H106" t="s">
        <v>3117</v>
      </c>
      <c r="I106">
        <v>4</v>
      </c>
      <c r="J106">
        <v>0</v>
      </c>
      <c r="K106">
        <v>0</v>
      </c>
      <c r="L106">
        <v>0</v>
      </c>
      <c r="M106">
        <v>0</v>
      </c>
      <c r="N106">
        <v>0</v>
      </c>
      <c r="O106">
        <v>4</v>
      </c>
    </row>
    <row r="107" spans="1:15" x14ac:dyDescent="0.25">
      <c r="A107" t="s">
        <v>940</v>
      </c>
      <c r="B107" t="s">
        <v>2647</v>
      </c>
      <c r="C107" t="s">
        <v>927</v>
      </c>
      <c r="D107" t="s">
        <v>3052</v>
      </c>
      <c r="E107" t="s">
        <v>3053</v>
      </c>
      <c r="F107" t="s">
        <v>296</v>
      </c>
      <c r="G107" t="s">
        <v>297</v>
      </c>
      <c r="H107" t="s">
        <v>3118</v>
      </c>
      <c r="I107">
        <v>69</v>
      </c>
      <c r="J107">
        <v>0</v>
      </c>
      <c r="K107">
        <v>0</v>
      </c>
      <c r="L107">
        <v>0</v>
      </c>
      <c r="M107">
        <v>69</v>
      </c>
      <c r="N107">
        <v>0</v>
      </c>
      <c r="O107">
        <v>0</v>
      </c>
    </row>
    <row r="108" spans="1:15" x14ac:dyDescent="0.25">
      <c r="A108" t="s">
        <v>1013</v>
      </c>
      <c r="B108" t="s">
        <v>1959</v>
      </c>
      <c r="C108" t="s">
        <v>927</v>
      </c>
      <c r="D108" t="s">
        <v>3052</v>
      </c>
      <c r="E108" t="s">
        <v>3053</v>
      </c>
      <c r="F108" t="s">
        <v>296</v>
      </c>
      <c r="G108" t="s">
        <v>297</v>
      </c>
      <c r="H108" t="s">
        <v>10823</v>
      </c>
      <c r="I108">
        <v>15</v>
      </c>
      <c r="J108">
        <v>0</v>
      </c>
      <c r="K108">
        <v>0</v>
      </c>
      <c r="L108">
        <v>15</v>
      </c>
      <c r="M108">
        <v>0</v>
      </c>
      <c r="N108">
        <v>0</v>
      </c>
      <c r="O108">
        <v>0</v>
      </c>
    </row>
    <row r="109" spans="1:15" x14ac:dyDescent="0.25">
      <c r="A109" t="s">
        <v>1014</v>
      </c>
      <c r="B109" t="s">
        <v>2898</v>
      </c>
      <c r="C109" t="s">
        <v>927</v>
      </c>
      <c r="D109" t="s">
        <v>3052</v>
      </c>
      <c r="E109" t="s">
        <v>3053</v>
      </c>
      <c r="F109" t="s">
        <v>296</v>
      </c>
      <c r="G109" t="s">
        <v>297</v>
      </c>
      <c r="H109" t="s">
        <v>14423</v>
      </c>
      <c r="I109">
        <v>14</v>
      </c>
      <c r="J109">
        <v>7</v>
      </c>
      <c r="K109">
        <v>0</v>
      </c>
      <c r="L109">
        <v>0</v>
      </c>
      <c r="M109">
        <v>0</v>
      </c>
      <c r="N109">
        <v>0</v>
      </c>
      <c r="O109">
        <v>7</v>
      </c>
    </row>
    <row r="110" spans="1:15" x14ac:dyDescent="0.25">
      <c r="A110" t="s">
        <v>10681</v>
      </c>
      <c r="B110" t="s">
        <v>10680</v>
      </c>
      <c r="C110" t="s">
        <v>927</v>
      </c>
      <c r="D110" t="s">
        <v>3052</v>
      </c>
      <c r="E110" t="s">
        <v>3053</v>
      </c>
      <c r="F110" t="s">
        <v>296</v>
      </c>
      <c r="G110" t="s">
        <v>297</v>
      </c>
      <c r="H110" t="s">
        <v>14424</v>
      </c>
      <c r="I110">
        <v>29</v>
      </c>
      <c r="J110">
        <v>0</v>
      </c>
      <c r="K110">
        <v>0</v>
      </c>
      <c r="L110">
        <v>0</v>
      </c>
      <c r="M110">
        <v>0</v>
      </c>
      <c r="N110">
        <v>0</v>
      </c>
      <c r="O110">
        <v>29</v>
      </c>
    </row>
    <row r="111" spans="1:15" x14ac:dyDescent="0.25">
      <c r="A111" t="s">
        <v>943</v>
      </c>
      <c r="B111" t="s">
        <v>2694</v>
      </c>
      <c r="C111" t="s">
        <v>927</v>
      </c>
      <c r="D111" t="s">
        <v>3052</v>
      </c>
      <c r="E111" t="s">
        <v>3053</v>
      </c>
      <c r="F111" t="s">
        <v>296</v>
      </c>
      <c r="G111" t="s">
        <v>297</v>
      </c>
      <c r="H111" t="s">
        <v>3119</v>
      </c>
      <c r="I111">
        <v>232</v>
      </c>
      <c r="J111">
        <v>113</v>
      </c>
      <c r="K111">
        <v>0</v>
      </c>
      <c r="L111">
        <v>3</v>
      </c>
      <c r="M111">
        <v>105</v>
      </c>
      <c r="N111">
        <v>0</v>
      </c>
      <c r="O111">
        <v>11</v>
      </c>
    </row>
    <row r="112" spans="1:15" x14ac:dyDescent="0.25">
      <c r="A112" t="s">
        <v>1038</v>
      </c>
      <c r="B112" t="s">
        <v>2068</v>
      </c>
      <c r="C112" t="s">
        <v>927</v>
      </c>
      <c r="D112" t="s">
        <v>3052</v>
      </c>
      <c r="E112" t="s">
        <v>3053</v>
      </c>
      <c r="F112" t="s">
        <v>296</v>
      </c>
      <c r="G112" t="s">
        <v>297</v>
      </c>
      <c r="H112" t="s">
        <v>3120</v>
      </c>
      <c r="I112">
        <v>20</v>
      </c>
      <c r="J112">
        <v>7</v>
      </c>
      <c r="K112">
        <v>0</v>
      </c>
      <c r="L112">
        <v>12</v>
      </c>
      <c r="M112">
        <v>0</v>
      </c>
      <c r="N112">
        <v>0</v>
      </c>
      <c r="O112">
        <v>1</v>
      </c>
    </row>
    <row r="113" spans="1:15" x14ac:dyDescent="0.25">
      <c r="A113" t="s">
        <v>1039</v>
      </c>
      <c r="B113" t="s">
        <v>2885</v>
      </c>
      <c r="C113" t="s">
        <v>927</v>
      </c>
      <c r="D113" t="s">
        <v>3052</v>
      </c>
      <c r="E113" t="s">
        <v>3053</v>
      </c>
      <c r="F113" t="s">
        <v>296</v>
      </c>
      <c r="G113" t="s">
        <v>297</v>
      </c>
      <c r="H113" t="s">
        <v>14425</v>
      </c>
      <c r="I113">
        <v>7</v>
      </c>
      <c r="J113">
        <v>7</v>
      </c>
      <c r="K113">
        <v>0</v>
      </c>
      <c r="L113">
        <v>0</v>
      </c>
      <c r="M113">
        <v>0</v>
      </c>
      <c r="N113">
        <v>2</v>
      </c>
      <c r="O113">
        <v>0</v>
      </c>
    </row>
    <row r="114" spans="1:15" x14ac:dyDescent="0.25">
      <c r="A114" t="s">
        <v>1043</v>
      </c>
      <c r="B114" t="s">
        <v>2090</v>
      </c>
      <c r="C114" t="s">
        <v>927</v>
      </c>
      <c r="D114" t="s">
        <v>3052</v>
      </c>
      <c r="E114" t="s">
        <v>3053</v>
      </c>
      <c r="F114" t="s">
        <v>296</v>
      </c>
      <c r="G114" t="s">
        <v>297</v>
      </c>
      <c r="H114" t="s">
        <v>10824</v>
      </c>
      <c r="I114">
        <v>8</v>
      </c>
      <c r="J114">
        <v>8</v>
      </c>
      <c r="K114">
        <v>0</v>
      </c>
      <c r="L114">
        <v>0</v>
      </c>
      <c r="M114">
        <v>0</v>
      </c>
      <c r="N114">
        <v>0</v>
      </c>
      <c r="O114">
        <v>0</v>
      </c>
    </row>
    <row r="115" spans="1:15" x14ac:dyDescent="0.25">
      <c r="A115" t="s">
        <v>951</v>
      </c>
      <c r="B115" t="s">
        <v>2680</v>
      </c>
      <c r="C115" t="s">
        <v>927</v>
      </c>
      <c r="D115" t="s">
        <v>3052</v>
      </c>
      <c r="E115" t="s">
        <v>3053</v>
      </c>
      <c r="F115" t="s">
        <v>296</v>
      </c>
      <c r="G115" t="s">
        <v>297</v>
      </c>
      <c r="H115" t="s">
        <v>3121</v>
      </c>
      <c r="I115">
        <v>218</v>
      </c>
      <c r="J115">
        <v>213</v>
      </c>
      <c r="K115">
        <v>0</v>
      </c>
      <c r="L115">
        <v>0</v>
      </c>
      <c r="M115">
        <v>0</v>
      </c>
      <c r="N115">
        <v>0</v>
      </c>
      <c r="O115">
        <v>5</v>
      </c>
    </row>
    <row r="116" spans="1:15" x14ac:dyDescent="0.25">
      <c r="A116" t="s">
        <v>1048</v>
      </c>
      <c r="B116" t="s">
        <v>2989</v>
      </c>
      <c r="C116" t="s">
        <v>927</v>
      </c>
      <c r="D116" t="s">
        <v>3052</v>
      </c>
      <c r="E116" t="s">
        <v>3053</v>
      </c>
      <c r="F116" t="s">
        <v>296</v>
      </c>
      <c r="G116" t="s">
        <v>297</v>
      </c>
      <c r="H116" t="s">
        <v>3122</v>
      </c>
      <c r="I116">
        <v>458</v>
      </c>
      <c r="J116">
        <v>439</v>
      </c>
      <c r="K116">
        <v>0</v>
      </c>
      <c r="L116">
        <v>3</v>
      </c>
      <c r="M116">
        <v>0</v>
      </c>
      <c r="N116">
        <v>0</v>
      </c>
      <c r="O116">
        <v>16</v>
      </c>
    </row>
    <row r="117" spans="1:15" x14ac:dyDescent="0.25">
      <c r="A117" t="s">
        <v>1049</v>
      </c>
      <c r="B117" t="s">
        <v>2138</v>
      </c>
      <c r="C117" t="s">
        <v>927</v>
      </c>
      <c r="D117" t="s">
        <v>3052</v>
      </c>
      <c r="E117" t="s">
        <v>3053</v>
      </c>
      <c r="F117" t="s">
        <v>296</v>
      </c>
      <c r="G117" t="s">
        <v>297</v>
      </c>
      <c r="H117" t="s">
        <v>3123</v>
      </c>
      <c r="I117">
        <v>125</v>
      </c>
      <c r="J117">
        <v>111</v>
      </c>
      <c r="K117">
        <v>0</v>
      </c>
      <c r="L117">
        <v>0</v>
      </c>
      <c r="M117">
        <v>0</v>
      </c>
      <c r="N117">
        <v>0</v>
      </c>
      <c r="O117">
        <v>14</v>
      </c>
    </row>
    <row r="118" spans="1:15" x14ac:dyDescent="0.25">
      <c r="A118" t="s">
        <v>1051</v>
      </c>
      <c r="B118" t="s">
        <v>2995</v>
      </c>
      <c r="C118" t="s">
        <v>927</v>
      </c>
      <c r="D118" t="s">
        <v>3052</v>
      </c>
      <c r="E118" t="s">
        <v>3053</v>
      </c>
      <c r="F118" t="s">
        <v>296</v>
      </c>
      <c r="G118" t="s">
        <v>297</v>
      </c>
      <c r="H118" t="s">
        <v>3124</v>
      </c>
      <c r="I118">
        <v>26</v>
      </c>
      <c r="J118">
        <v>0</v>
      </c>
      <c r="K118">
        <v>0</v>
      </c>
      <c r="L118">
        <v>26</v>
      </c>
      <c r="M118">
        <v>0</v>
      </c>
      <c r="N118">
        <v>3</v>
      </c>
      <c r="O118">
        <v>0</v>
      </c>
    </row>
    <row r="119" spans="1:15" x14ac:dyDescent="0.25">
      <c r="A119" t="s">
        <v>955</v>
      </c>
      <c r="B119" t="s">
        <v>2660</v>
      </c>
      <c r="C119" t="s">
        <v>927</v>
      </c>
      <c r="D119" t="s">
        <v>3052</v>
      </c>
      <c r="E119" t="s">
        <v>3053</v>
      </c>
      <c r="F119" t="s">
        <v>296</v>
      </c>
      <c r="G119" t="s">
        <v>297</v>
      </c>
      <c r="H119" t="s">
        <v>3125</v>
      </c>
      <c r="I119">
        <v>84</v>
      </c>
      <c r="J119">
        <v>51</v>
      </c>
      <c r="K119">
        <v>0</v>
      </c>
      <c r="L119">
        <v>0</v>
      </c>
      <c r="M119">
        <v>33</v>
      </c>
      <c r="N119">
        <v>1</v>
      </c>
      <c r="O119">
        <v>0</v>
      </c>
    </row>
    <row r="120" spans="1:15" x14ac:dyDescent="0.25">
      <c r="A120" t="s">
        <v>962</v>
      </c>
      <c r="B120" t="s">
        <v>2752</v>
      </c>
      <c r="C120" t="s">
        <v>927</v>
      </c>
      <c r="D120" t="s">
        <v>3052</v>
      </c>
      <c r="E120" t="s">
        <v>3053</v>
      </c>
      <c r="F120" t="s">
        <v>296</v>
      </c>
      <c r="G120" t="s">
        <v>297</v>
      </c>
      <c r="H120" t="s">
        <v>3126</v>
      </c>
      <c r="I120">
        <v>38</v>
      </c>
      <c r="J120">
        <v>36</v>
      </c>
      <c r="K120">
        <v>0</v>
      </c>
      <c r="L120">
        <v>0</v>
      </c>
      <c r="M120">
        <v>0</v>
      </c>
      <c r="N120">
        <v>0</v>
      </c>
      <c r="O120">
        <v>2</v>
      </c>
    </row>
    <row r="121" spans="1:15" x14ac:dyDescent="0.25">
      <c r="A121" t="s">
        <v>1072</v>
      </c>
      <c r="B121" t="s">
        <v>2907</v>
      </c>
      <c r="C121" t="s">
        <v>927</v>
      </c>
      <c r="D121" t="s">
        <v>3052</v>
      </c>
      <c r="E121" t="s">
        <v>3053</v>
      </c>
      <c r="F121" t="s">
        <v>296</v>
      </c>
      <c r="G121" t="s">
        <v>297</v>
      </c>
      <c r="H121" t="s">
        <v>3127</v>
      </c>
      <c r="I121">
        <v>25</v>
      </c>
      <c r="J121">
        <v>2</v>
      </c>
      <c r="K121">
        <v>0</v>
      </c>
      <c r="L121">
        <v>0</v>
      </c>
      <c r="M121">
        <v>23</v>
      </c>
      <c r="N121">
        <v>0</v>
      </c>
      <c r="O121">
        <v>0</v>
      </c>
    </row>
    <row r="122" spans="1:15" x14ac:dyDescent="0.25">
      <c r="A122" t="s">
        <v>1079</v>
      </c>
      <c r="B122" t="s">
        <v>2810</v>
      </c>
      <c r="C122" t="s">
        <v>927</v>
      </c>
      <c r="D122" t="s">
        <v>3052</v>
      </c>
      <c r="E122" t="s">
        <v>3053</v>
      </c>
      <c r="F122" t="s">
        <v>296</v>
      </c>
      <c r="G122" t="s">
        <v>297</v>
      </c>
      <c r="H122" t="s">
        <v>3128</v>
      </c>
      <c r="I122">
        <v>34</v>
      </c>
      <c r="J122">
        <v>34</v>
      </c>
      <c r="K122">
        <v>0</v>
      </c>
      <c r="L122">
        <v>0</v>
      </c>
      <c r="M122">
        <v>0</v>
      </c>
      <c r="N122">
        <v>0</v>
      </c>
      <c r="O122">
        <v>0</v>
      </c>
    </row>
    <row r="123" spans="1:15" x14ac:dyDescent="0.25">
      <c r="A123" t="s">
        <v>971</v>
      </c>
      <c r="B123" t="s">
        <v>2956</v>
      </c>
      <c r="C123" t="s">
        <v>927</v>
      </c>
      <c r="D123" t="s">
        <v>3052</v>
      </c>
      <c r="E123" t="s">
        <v>3053</v>
      </c>
      <c r="F123" t="s">
        <v>298</v>
      </c>
      <c r="G123" t="s">
        <v>299</v>
      </c>
      <c r="H123" t="s">
        <v>3129</v>
      </c>
      <c r="I123">
        <v>179</v>
      </c>
      <c r="J123">
        <v>179</v>
      </c>
      <c r="K123">
        <v>0</v>
      </c>
      <c r="L123">
        <v>0</v>
      </c>
      <c r="M123">
        <v>0</v>
      </c>
      <c r="N123">
        <v>0</v>
      </c>
      <c r="O123">
        <v>0</v>
      </c>
    </row>
    <row r="124" spans="1:15" x14ac:dyDescent="0.25">
      <c r="A124" t="s">
        <v>926</v>
      </c>
      <c r="B124" t="s">
        <v>2923</v>
      </c>
      <c r="C124" t="s">
        <v>927</v>
      </c>
      <c r="D124" t="s">
        <v>3052</v>
      </c>
      <c r="E124" t="s">
        <v>3053</v>
      </c>
      <c r="F124" t="s">
        <v>298</v>
      </c>
      <c r="G124" t="s">
        <v>299</v>
      </c>
      <c r="H124" t="s">
        <v>3130</v>
      </c>
      <c r="I124">
        <v>4</v>
      </c>
      <c r="J124">
        <v>0</v>
      </c>
      <c r="K124">
        <v>0</v>
      </c>
      <c r="L124">
        <v>0</v>
      </c>
      <c r="M124">
        <v>0</v>
      </c>
      <c r="N124">
        <v>0</v>
      </c>
      <c r="O124">
        <v>4</v>
      </c>
    </row>
    <row r="125" spans="1:15" x14ac:dyDescent="0.25">
      <c r="A125" t="s">
        <v>929</v>
      </c>
      <c r="B125" t="s">
        <v>2999</v>
      </c>
      <c r="C125" t="s">
        <v>927</v>
      </c>
      <c r="D125" t="s">
        <v>3052</v>
      </c>
      <c r="E125" t="s">
        <v>3053</v>
      </c>
      <c r="F125" t="s">
        <v>298</v>
      </c>
      <c r="G125" t="s">
        <v>299</v>
      </c>
      <c r="H125" t="s">
        <v>10825</v>
      </c>
      <c r="I125">
        <v>12</v>
      </c>
      <c r="J125">
        <v>0</v>
      </c>
      <c r="K125">
        <v>0</v>
      </c>
      <c r="L125">
        <v>0</v>
      </c>
      <c r="M125">
        <v>0</v>
      </c>
      <c r="N125">
        <v>0</v>
      </c>
      <c r="O125">
        <v>12</v>
      </c>
    </row>
    <row r="126" spans="1:15" x14ac:dyDescent="0.25">
      <c r="A126" t="s">
        <v>1574</v>
      </c>
      <c r="B126" t="s">
        <v>2526</v>
      </c>
      <c r="C126" t="s">
        <v>923</v>
      </c>
      <c r="D126" t="s">
        <v>3063</v>
      </c>
      <c r="E126" t="s">
        <v>3053</v>
      </c>
      <c r="F126" t="s">
        <v>298</v>
      </c>
      <c r="G126" t="s">
        <v>299</v>
      </c>
      <c r="H126" t="s">
        <v>3131</v>
      </c>
      <c r="I126">
        <v>40</v>
      </c>
      <c r="J126">
        <v>40</v>
      </c>
      <c r="K126">
        <v>0</v>
      </c>
      <c r="L126">
        <v>0</v>
      </c>
      <c r="M126">
        <v>0</v>
      </c>
      <c r="N126">
        <v>0</v>
      </c>
      <c r="O126">
        <v>0</v>
      </c>
    </row>
    <row r="127" spans="1:15" x14ac:dyDescent="0.25">
      <c r="A127" t="s">
        <v>933</v>
      </c>
      <c r="B127" t="s">
        <v>2106</v>
      </c>
      <c r="C127" t="s">
        <v>927</v>
      </c>
      <c r="D127" t="s">
        <v>3052</v>
      </c>
      <c r="E127" t="s">
        <v>3053</v>
      </c>
      <c r="F127" t="s">
        <v>298</v>
      </c>
      <c r="G127" t="s">
        <v>299</v>
      </c>
      <c r="H127" t="s">
        <v>3132</v>
      </c>
      <c r="I127">
        <v>404</v>
      </c>
      <c r="J127">
        <v>314</v>
      </c>
      <c r="K127">
        <v>0</v>
      </c>
      <c r="L127">
        <v>3</v>
      </c>
      <c r="M127">
        <v>28</v>
      </c>
      <c r="N127">
        <v>0</v>
      </c>
      <c r="O127">
        <v>59</v>
      </c>
    </row>
    <row r="128" spans="1:15" x14ac:dyDescent="0.25">
      <c r="A128" t="s">
        <v>998</v>
      </c>
      <c r="B128" t="s">
        <v>2820</v>
      </c>
      <c r="C128" t="s">
        <v>927</v>
      </c>
      <c r="D128" t="s">
        <v>3052</v>
      </c>
      <c r="E128" t="s">
        <v>3053</v>
      </c>
      <c r="F128" t="s">
        <v>298</v>
      </c>
      <c r="G128" t="s">
        <v>299</v>
      </c>
      <c r="H128" t="s">
        <v>3133</v>
      </c>
      <c r="I128">
        <v>186</v>
      </c>
      <c r="J128">
        <v>136</v>
      </c>
      <c r="K128">
        <v>0</v>
      </c>
      <c r="L128">
        <v>0</v>
      </c>
      <c r="M128">
        <v>0</v>
      </c>
      <c r="N128">
        <v>0</v>
      </c>
      <c r="O128">
        <v>50</v>
      </c>
    </row>
    <row r="129" spans="1:15" x14ac:dyDescent="0.25">
      <c r="A129" t="s">
        <v>1249</v>
      </c>
      <c r="B129" t="s">
        <v>3029</v>
      </c>
      <c r="C129" t="s">
        <v>927</v>
      </c>
      <c r="D129" t="s">
        <v>3052</v>
      </c>
      <c r="E129" t="s">
        <v>3053</v>
      </c>
      <c r="F129" t="s">
        <v>298</v>
      </c>
      <c r="G129" t="s">
        <v>299</v>
      </c>
      <c r="H129" t="s">
        <v>3134</v>
      </c>
      <c r="I129">
        <v>150</v>
      </c>
      <c r="J129">
        <v>83</v>
      </c>
      <c r="K129">
        <v>0</v>
      </c>
      <c r="L129">
        <v>0</v>
      </c>
      <c r="M129">
        <v>0</v>
      </c>
      <c r="N129">
        <v>0</v>
      </c>
      <c r="O129">
        <v>67</v>
      </c>
    </row>
    <row r="130" spans="1:15" x14ac:dyDescent="0.25">
      <c r="A130" t="s">
        <v>937</v>
      </c>
      <c r="B130" t="s">
        <v>1962</v>
      </c>
      <c r="C130" t="s">
        <v>927</v>
      </c>
      <c r="D130" t="s">
        <v>3052</v>
      </c>
      <c r="E130" t="s">
        <v>3053</v>
      </c>
      <c r="F130" t="s">
        <v>298</v>
      </c>
      <c r="G130" t="s">
        <v>299</v>
      </c>
      <c r="H130" t="s">
        <v>3135</v>
      </c>
      <c r="I130">
        <v>22</v>
      </c>
      <c r="J130">
        <v>0</v>
      </c>
      <c r="K130">
        <v>0</v>
      </c>
      <c r="L130">
        <v>0</v>
      </c>
      <c r="M130">
        <v>0</v>
      </c>
      <c r="N130">
        <v>0</v>
      </c>
      <c r="O130">
        <v>22</v>
      </c>
    </row>
    <row r="131" spans="1:15" x14ac:dyDescent="0.25">
      <c r="A131" t="s">
        <v>938</v>
      </c>
      <c r="B131" t="s">
        <v>2791</v>
      </c>
      <c r="C131" t="s">
        <v>927</v>
      </c>
      <c r="D131" t="s">
        <v>3052</v>
      </c>
      <c r="E131" t="s">
        <v>3053</v>
      </c>
      <c r="F131" t="s">
        <v>298</v>
      </c>
      <c r="G131" t="s">
        <v>299</v>
      </c>
      <c r="H131" t="s">
        <v>3136</v>
      </c>
      <c r="I131">
        <v>32</v>
      </c>
      <c r="J131">
        <v>0</v>
      </c>
      <c r="K131">
        <v>0</v>
      </c>
      <c r="L131">
        <v>32</v>
      </c>
      <c r="M131">
        <v>0</v>
      </c>
      <c r="N131">
        <v>0</v>
      </c>
      <c r="O131">
        <v>0</v>
      </c>
    </row>
    <row r="132" spans="1:15" x14ac:dyDescent="0.25">
      <c r="A132" t="s">
        <v>940</v>
      </c>
      <c r="B132" t="s">
        <v>2647</v>
      </c>
      <c r="C132" t="s">
        <v>927</v>
      </c>
      <c r="D132" t="s">
        <v>3052</v>
      </c>
      <c r="E132" t="s">
        <v>3053</v>
      </c>
      <c r="F132" t="s">
        <v>298</v>
      </c>
      <c r="G132" t="s">
        <v>299</v>
      </c>
      <c r="H132" t="s">
        <v>3137</v>
      </c>
      <c r="I132">
        <v>131</v>
      </c>
      <c r="J132">
        <v>0</v>
      </c>
      <c r="K132">
        <v>0</v>
      </c>
      <c r="L132">
        <v>0</v>
      </c>
      <c r="M132">
        <v>82</v>
      </c>
      <c r="N132">
        <v>0</v>
      </c>
      <c r="O132">
        <v>49</v>
      </c>
    </row>
    <row r="133" spans="1:15" x14ac:dyDescent="0.25">
      <c r="A133" t="s">
        <v>1012</v>
      </c>
      <c r="B133" t="s">
        <v>2911</v>
      </c>
      <c r="C133" t="s">
        <v>927</v>
      </c>
      <c r="D133" t="s">
        <v>3052</v>
      </c>
      <c r="E133" t="s">
        <v>3053</v>
      </c>
      <c r="F133" t="s">
        <v>298</v>
      </c>
      <c r="G133" t="s">
        <v>299</v>
      </c>
      <c r="H133" t="s">
        <v>3138</v>
      </c>
      <c r="I133">
        <v>170</v>
      </c>
      <c r="J133">
        <v>102</v>
      </c>
      <c r="K133">
        <v>0</v>
      </c>
      <c r="L133">
        <v>0</v>
      </c>
      <c r="M133">
        <v>0</v>
      </c>
      <c r="N133">
        <v>0</v>
      </c>
      <c r="O133">
        <v>68</v>
      </c>
    </row>
    <row r="134" spans="1:15" x14ac:dyDescent="0.25">
      <c r="A134" t="s">
        <v>1013</v>
      </c>
      <c r="B134" t="s">
        <v>1959</v>
      </c>
      <c r="C134" t="s">
        <v>927</v>
      </c>
      <c r="D134" t="s">
        <v>3052</v>
      </c>
      <c r="E134" t="s">
        <v>3053</v>
      </c>
      <c r="F134" t="s">
        <v>298</v>
      </c>
      <c r="G134" t="s">
        <v>299</v>
      </c>
      <c r="H134" t="s">
        <v>10826</v>
      </c>
      <c r="I134">
        <v>4</v>
      </c>
      <c r="J134">
        <v>0</v>
      </c>
      <c r="K134">
        <v>0</v>
      </c>
      <c r="L134">
        <v>4</v>
      </c>
      <c r="M134">
        <v>0</v>
      </c>
      <c r="N134">
        <v>0</v>
      </c>
      <c r="O134">
        <v>0</v>
      </c>
    </row>
    <row r="135" spans="1:15" x14ac:dyDescent="0.25">
      <c r="A135" t="s">
        <v>1126</v>
      </c>
      <c r="B135" t="s">
        <v>2130</v>
      </c>
      <c r="C135" t="s">
        <v>927</v>
      </c>
      <c r="D135" t="s">
        <v>3052</v>
      </c>
      <c r="E135" t="s">
        <v>3053</v>
      </c>
      <c r="F135" t="s">
        <v>298</v>
      </c>
      <c r="G135" t="s">
        <v>299</v>
      </c>
      <c r="H135" t="s">
        <v>14426</v>
      </c>
      <c r="I135">
        <v>32</v>
      </c>
      <c r="J135">
        <v>8</v>
      </c>
      <c r="K135">
        <v>0</v>
      </c>
      <c r="L135">
        <v>0</v>
      </c>
      <c r="M135">
        <v>0</v>
      </c>
      <c r="N135">
        <v>0</v>
      </c>
      <c r="O135">
        <v>24</v>
      </c>
    </row>
    <row r="136" spans="1:15" x14ac:dyDescent="0.25">
      <c r="A136" t="s">
        <v>1025</v>
      </c>
      <c r="B136" t="s">
        <v>2893</v>
      </c>
      <c r="C136" t="s">
        <v>927</v>
      </c>
      <c r="D136" t="s">
        <v>3052</v>
      </c>
      <c r="E136" t="s">
        <v>3053</v>
      </c>
      <c r="F136" t="s">
        <v>298</v>
      </c>
      <c r="G136" t="s">
        <v>299</v>
      </c>
      <c r="H136" t="s">
        <v>10176</v>
      </c>
      <c r="I136">
        <v>5</v>
      </c>
      <c r="J136">
        <v>0</v>
      </c>
      <c r="K136">
        <v>0</v>
      </c>
      <c r="L136">
        <v>0</v>
      </c>
      <c r="M136">
        <v>0</v>
      </c>
      <c r="N136">
        <v>0</v>
      </c>
      <c r="O136">
        <v>5</v>
      </c>
    </row>
    <row r="137" spans="1:15" x14ac:dyDescent="0.25">
      <c r="A137" t="s">
        <v>10681</v>
      </c>
      <c r="B137" t="s">
        <v>10680</v>
      </c>
      <c r="C137" t="s">
        <v>927</v>
      </c>
      <c r="D137" t="s">
        <v>3052</v>
      </c>
      <c r="E137" t="s">
        <v>3053</v>
      </c>
      <c r="F137" t="s">
        <v>298</v>
      </c>
      <c r="G137" t="s">
        <v>299</v>
      </c>
      <c r="H137" t="s">
        <v>14427</v>
      </c>
      <c r="I137">
        <v>19</v>
      </c>
      <c r="J137">
        <v>0</v>
      </c>
      <c r="K137">
        <v>0</v>
      </c>
      <c r="L137">
        <v>0</v>
      </c>
      <c r="M137">
        <v>0</v>
      </c>
      <c r="N137">
        <v>0</v>
      </c>
      <c r="O137">
        <v>19</v>
      </c>
    </row>
    <row r="138" spans="1:15" x14ac:dyDescent="0.25">
      <c r="A138" t="s">
        <v>945</v>
      </c>
      <c r="B138" t="s">
        <v>2668</v>
      </c>
      <c r="C138" t="s">
        <v>927</v>
      </c>
      <c r="D138" t="s">
        <v>3052</v>
      </c>
      <c r="E138" t="s">
        <v>3053</v>
      </c>
      <c r="F138" t="s">
        <v>298</v>
      </c>
      <c r="G138" t="s">
        <v>299</v>
      </c>
      <c r="H138" t="s">
        <v>3139</v>
      </c>
      <c r="I138">
        <v>654</v>
      </c>
      <c r="J138">
        <v>427</v>
      </c>
      <c r="K138">
        <v>0</v>
      </c>
      <c r="L138">
        <v>7</v>
      </c>
      <c r="M138">
        <v>0</v>
      </c>
      <c r="N138">
        <v>0</v>
      </c>
      <c r="O138">
        <v>220</v>
      </c>
    </row>
    <row r="139" spans="1:15" x14ac:dyDescent="0.25">
      <c r="A139" t="s">
        <v>1041</v>
      </c>
      <c r="B139" t="s">
        <v>2826</v>
      </c>
      <c r="C139" t="s">
        <v>927</v>
      </c>
      <c r="D139" t="s">
        <v>3052</v>
      </c>
      <c r="E139" t="s">
        <v>3053</v>
      </c>
      <c r="F139" t="s">
        <v>298</v>
      </c>
      <c r="G139" t="s">
        <v>299</v>
      </c>
      <c r="H139" t="s">
        <v>3140</v>
      </c>
      <c r="I139">
        <v>77</v>
      </c>
      <c r="J139">
        <v>0</v>
      </c>
      <c r="K139">
        <v>0</v>
      </c>
      <c r="L139">
        <v>0</v>
      </c>
      <c r="M139">
        <v>0</v>
      </c>
      <c r="N139">
        <v>0</v>
      </c>
      <c r="O139">
        <v>77</v>
      </c>
    </row>
    <row r="140" spans="1:15" x14ac:dyDescent="0.25">
      <c r="A140" t="s">
        <v>9787</v>
      </c>
      <c r="B140" t="s">
        <v>2822</v>
      </c>
      <c r="C140" t="s">
        <v>927</v>
      </c>
      <c r="D140" t="s">
        <v>3052</v>
      </c>
      <c r="E140" t="s">
        <v>3053</v>
      </c>
      <c r="F140" t="s">
        <v>298</v>
      </c>
      <c r="G140" t="s">
        <v>299</v>
      </c>
      <c r="H140" t="s">
        <v>10233</v>
      </c>
      <c r="I140">
        <v>131</v>
      </c>
      <c r="J140">
        <v>80</v>
      </c>
      <c r="K140">
        <v>0</v>
      </c>
      <c r="L140">
        <v>0</v>
      </c>
      <c r="M140">
        <v>51</v>
      </c>
      <c r="N140">
        <v>0</v>
      </c>
      <c r="O140">
        <v>0</v>
      </c>
    </row>
    <row r="141" spans="1:15" x14ac:dyDescent="0.25">
      <c r="A141" t="s">
        <v>951</v>
      </c>
      <c r="B141" t="s">
        <v>2680</v>
      </c>
      <c r="C141" t="s">
        <v>927</v>
      </c>
      <c r="D141" t="s">
        <v>3052</v>
      </c>
      <c r="E141" t="s">
        <v>3053</v>
      </c>
      <c r="F141" t="s">
        <v>298</v>
      </c>
      <c r="G141" t="s">
        <v>299</v>
      </c>
      <c r="H141" t="s">
        <v>3141</v>
      </c>
      <c r="I141">
        <v>120</v>
      </c>
      <c r="J141">
        <v>66</v>
      </c>
      <c r="K141">
        <v>0</v>
      </c>
      <c r="L141">
        <v>0</v>
      </c>
      <c r="M141">
        <v>0</v>
      </c>
      <c r="N141">
        <v>0</v>
      </c>
      <c r="O141">
        <v>54</v>
      </c>
    </row>
    <row r="142" spans="1:15" x14ac:dyDescent="0.25">
      <c r="A142" t="s">
        <v>1048</v>
      </c>
      <c r="B142" t="s">
        <v>2989</v>
      </c>
      <c r="C142" t="s">
        <v>927</v>
      </c>
      <c r="D142" t="s">
        <v>3052</v>
      </c>
      <c r="E142" t="s">
        <v>3053</v>
      </c>
      <c r="F142" t="s">
        <v>298</v>
      </c>
      <c r="G142" t="s">
        <v>299</v>
      </c>
      <c r="H142" t="s">
        <v>3142</v>
      </c>
      <c r="I142">
        <v>11</v>
      </c>
      <c r="J142">
        <v>0</v>
      </c>
      <c r="K142">
        <v>0</v>
      </c>
      <c r="L142">
        <v>11</v>
      </c>
      <c r="M142">
        <v>0</v>
      </c>
      <c r="N142">
        <v>0</v>
      </c>
      <c r="O142">
        <v>0</v>
      </c>
    </row>
    <row r="143" spans="1:15" x14ac:dyDescent="0.25">
      <c r="A143" t="s">
        <v>953</v>
      </c>
      <c r="B143" t="s">
        <v>2014</v>
      </c>
      <c r="C143" t="s">
        <v>927</v>
      </c>
      <c r="D143" t="s">
        <v>3052</v>
      </c>
      <c r="E143" t="s">
        <v>3053</v>
      </c>
      <c r="F143" t="s">
        <v>298</v>
      </c>
      <c r="G143" t="s">
        <v>299</v>
      </c>
      <c r="H143" t="s">
        <v>3143</v>
      </c>
      <c r="I143">
        <v>1</v>
      </c>
      <c r="J143">
        <v>0</v>
      </c>
      <c r="K143">
        <v>0</v>
      </c>
      <c r="L143">
        <v>1</v>
      </c>
      <c r="M143">
        <v>0</v>
      </c>
      <c r="N143">
        <v>0</v>
      </c>
      <c r="O143">
        <v>0</v>
      </c>
    </row>
    <row r="144" spans="1:15" x14ac:dyDescent="0.25">
      <c r="A144" t="s">
        <v>11720</v>
      </c>
      <c r="B144" t="s">
        <v>10718</v>
      </c>
      <c r="C144" t="s">
        <v>927</v>
      </c>
      <c r="D144" t="s">
        <v>3052</v>
      </c>
      <c r="E144" t="s">
        <v>3053</v>
      </c>
      <c r="F144" t="s">
        <v>298</v>
      </c>
      <c r="G144" t="s">
        <v>299</v>
      </c>
      <c r="H144" t="s">
        <v>14428</v>
      </c>
      <c r="I144">
        <v>44</v>
      </c>
      <c r="J144">
        <v>0</v>
      </c>
      <c r="K144">
        <v>0</v>
      </c>
      <c r="L144">
        <v>0</v>
      </c>
      <c r="M144">
        <v>0</v>
      </c>
      <c r="N144">
        <v>0</v>
      </c>
      <c r="O144">
        <v>44</v>
      </c>
    </row>
    <row r="145" spans="1:15" x14ac:dyDescent="0.25">
      <c r="A145" t="s">
        <v>9788</v>
      </c>
      <c r="B145" t="s">
        <v>9871</v>
      </c>
      <c r="C145" t="s">
        <v>927</v>
      </c>
      <c r="D145" t="s">
        <v>3052</v>
      </c>
      <c r="E145" t="s">
        <v>3053</v>
      </c>
      <c r="F145" t="s">
        <v>298</v>
      </c>
      <c r="G145" t="s">
        <v>299</v>
      </c>
      <c r="H145" t="s">
        <v>10827</v>
      </c>
      <c r="I145">
        <v>61</v>
      </c>
      <c r="J145">
        <v>61</v>
      </c>
      <c r="K145">
        <v>0</v>
      </c>
      <c r="L145">
        <v>0</v>
      </c>
      <c r="M145">
        <v>0</v>
      </c>
      <c r="N145">
        <v>0</v>
      </c>
      <c r="O145">
        <v>0</v>
      </c>
    </row>
    <row r="146" spans="1:15" x14ac:dyDescent="0.25">
      <c r="A146" t="s">
        <v>1056</v>
      </c>
      <c r="B146" t="s">
        <v>2966</v>
      </c>
      <c r="C146" t="s">
        <v>927</v>
      </c>
      <c r="D146" t="s">
        <v>3052</v>
      </c>
      <c r="E146" t="s">
        <v>3053</v>
      </c>
      <c r="F146" t="s">
        <v>298</v>
      </c>
      <c r="G146" t="s">
        <v>299</v>
      </c>
      <c r="H146" t="s">
        <v>3144</v>
      </c>
      <c r="I146">
        <v>71</v>
      </c>
      <c r="J146">
        <v>71</v>
      </c>
      <c r="K146">
        <v>0</v>
      </c>
      <c r="L146">
        <v>0</v>
      </c>
      <c r="M146">
        <v>0</v>
      </c>
      <c r="N146">
        <v>11</v>
      </c>
      <c r="O146">
        <v>0</v>
      </c>
    </row>
    <row r="147" spans="1:15" x14ac:dyDescent="0.25">
      <c r="A147" t="s">
        <v>955</v>
      </c>
      <c r="B147" t="s">
        <v>2660</v>
      </c>
      <c r="C147" t="s">
        <v>927</v>
      </c>
      <c r="D147" t="s">
        <v>3052</v>
      </c>
      <c r="E147" t="s">
        <v>3053</v>
      </c>
      <c r="F147" t="s">
        <v>298</v>
      </c>
      <c r="G147" t="s">
        <v>299</v>
      </c>
      <c r="H147" t="s">
        <v>3145</v>
      </c>
      <c r="I147">
        <v>99</v>
      </c>
      <c r="J147">
        <v>70</v>
      </c>
      <c r="K147">
        <v>0</v>
      </c>
      <c r="L147">
        <v>16</v>
      </c>
      <c r="M147">
        <v>0</v>
      </c>
      <c r="N147">
        <v>0</v>
      </c>
      <c r="O147">
        <v>13</v>
      </c>
    </row>
    <row r="148" spans="1:15" x14ac:dyDescent="0.25">
      <c r="A148" t="s">
        <v>11663</v>
      </c>
      <c r="B148" t="s">
        <v>11768</v>
      </c>
      <c r="C148" t="s">
        <v>927</v>
      </c>
      <c r="D148" t="s">
        <v>3052</v>
      </c>
      <c r="E148" t="s">
        <v>3053</v>
      </c>
      <c r="F148" t="s">
        <v>298</v>
      </c>
      <c r="G148" t="s">
        <v>299</v>
      </c>
      <c r="H148" t="s">
        <v>11792</v>
      </c>
      <c r="I148">
        <v>552</v>
      </c>
      <c r="J148">
        <v>437</v>
      </c>
      <c r="K148">
        <v>0</v>
      </c>
      <c r="L148">
        <v>16</v>
      </c>
      <c r="M148">
        <v>34</v>
      </c>
      <c r="N148">
        <v>0</v>
      </c>
      <c r="O148">
        <v>65</v>
      </c>
    </row>
    <row r="149" spans="1:15" x14ac:dyDescent="0.25">
      <c r="A149" t="s">
        <v>14374</v>
      </c>
      <c r="B149" t="s">
        <v>1943</v>
      </c>
      <c r="C149" t="s">
        <v>927</v>
      </c>
      <c r="D149" t="s">
        <v>3052</v>
      </c>
      <c r="E149" t="s">
        <v>3053</v>
      </c>
      <c r="F149" t="s">
        <v>298</v>
      </c>
      <c r="G149" t="s">
        <v>299</v>
      </c>
      <c r="H149" t="s">
        <v>14429</v>
      </c>
      <c r="I149">
        <v>27</v>
      </c>
      <c r="J149">
        <v>0</v>
      </c>
      <c r="K149">
        <v>0</v>
      </c>
      <c r="L149">
        <v>0</v>
      </c>
      <c r="M149">
        <v>0</v>
      </c>
      <c r="N149">
        <v>0</v>
      </c>
      <c r="O149">
        <v>27</v>
      </c>
    </row>
    <row r="150" spans="1:15" x14ac:dyDescent="0.25">
      <c r="A150" t="s">
        <v>1069</v>
      </c>
      <c r="B150" t="s">
        <v>2001</v>
      </c>
      <c r="C150" t="s">
        <v>927</v>
      </c>
      <c r="D150" t="s">
        <v>3052</v>
      </c>
      <c r="E150" t="s">
        <v>3053</v>
      </c>
      <c r="F150" t="s">
        <v>298</v>
      </c>
      <c r="G150" t="s">
        <v>299</v>
      </c>
      <c r="H150" t="s">
        <v>3146</v>
      </c>
      <c r="I150">
        <v>1</v>
      </c>
      <c r="J150">
        <v>0</v>
      </c>
      <c r="K150">
        <v>0</v>
      </c>
      <c r="L150">
        <v>0</v>
      </c>
      <c r="M150">
        <v>0</v>
      </c>
      <c r="N150">
        <v>0</v>
      </c>
      <c r="O150">
        <v>1</v>
      </c>
    </row>
    <row r="151" spans="1:15" x14ac:dyDescent="0.25">
      <c r="A151" t="s">
        <v>1072</v>
      </c>
      <c r="B151" t="s">
        <v>2907</v>
      </c>
      <c r="C151" t="s">
        <v>927</v>
      </c>
      <c r="D151" t="s">
        <v>3052</v>
      </c>
      <c r="E151" t="s">
        <v>3053</v>
      </c>
      <c r="F151" t="s">
        <v>298</v>
      </c>
      <c r="G151" t="s">
        <v>299</v>
      </c>
      <c r="H151" t="s">
        <v>3147</v>
      </c>
      <c r="I151">
        <v>15</v>
      </c>
      <c r="J151">
        <v>8</v>
      </c>
      <c r="K151">
        <v>0</v>
      </c>
      <c r="L151">
        <v>3</v>
      </c>
      <c r="M151">
        <v>0</v>
      </c>
      <c r="N151">
        <v>0</v>
      </c>
      <c r="O151">
        <v>4</v>
      </c>
    </row>
    <row r="152" spans="1:15" x14ac:dyDescent="0.25">
      <c r="A152" t="s">
        <v>1684</v>
      </c>
      <c r="B152" t="s">
        <v>2845</v>
      </c>
      <c r="C152" t="s">
        <v>927</v>
      </c>
      <c r="D152" t="s">
        <v>3052</v>
      </c>
      <c r="E152" t="s">
        <v>3053</v>
      </c>
      <c r="F152" t="s">
        <v>298</v>
      </c>
      <c r="G152" t="s">
        <v>299</v>
      </c>
      <c r="H152" t="s">
        <v>3148</v>
      </c>
      <c r="I152">
        <v>121</v>
      </c>
      <c r="J152">
        <v>80</v>
      </c>
      <c r="K152">
        <v>0</v>
      </c>
      <c r="L152">
        <v>0</v>
      </c>
      <c r="M152">
        <v>0</v>
      </c>
      <c r="N152">
        <v>0</v>
      </c>
      <c r="O152">
        <v>41</v>
      </c>
    </row>
    <row r="153" spans="1:15" x14ac:dyDescent="0.25">
      <c r="A153" t="s">
        <v>1691</v>
      </c>
      <c r="B153" t="s">
        <v>2980</v>
      </c>
      <c r="C153" t="s">
        <v>927</v>
      </c>
      <c r="D153" t="s">
        <v>3052</v>
      </c>
      <c r="E153" t="s">
        <v>3053</v>
      </c>
      <c r="F153" t="s">
        <v>298</v>
      </c>
      <c r="G153" t="s">
        <v>299</v>
      </c>
      <c r="H153" t="s">
        <v>3149</v>
      </c>
      <c r="I153">
        <v>601</v>
      </c>
      <c r="J153">
        <v>341</v>
      </c>
      <c r="K153">
        <v>0</v>
      </c>
      <c r="L153">
        <v>19</v>
      </c>
      <c r="M153">
        <v>81</v>
      </c>
      <c r="N153">
        <v>0</v>
      </c>
      <c r="O153">
        <v>160</v>
      </c>
    </row>
    <row r="154" spans="1:15" x14ac:dyDescent="0.25">
      <c r="A154" t="s">
        <v>1399</v>
      </c>
      <c r="B154" t="s">
        <v>2903</v>
      </c>
      <c r="C154" t="s">
        <v>923</v>
      </c>
      <c r="D154" t="s">
        <v>3063</v>
      </c>
      <c r="E154" t="s">
        <v>3053</v>
      </c>
      <c r="F154" t="s">
        <v>298</v>
      </c>
      <c r="G154" t="s">
        <v>299</v>
      </c>
      <c r="H154" t="s">
        <v>11793</v>
      </c>
      <c r="I154">
        <v>9</v>
      </c>
      <c r="J154">
        <v>9</v>
      </c>
      <c r="K154">
        <v>0</v>
      </c>
      <c r="L154">
        <v>0</v>
      </c>
      <c r="M154">
        <v>0</v>
      </c>
      <c r="N154">
        <v>0</v>
      </c>
      <c r="O154">
        <v>0</v>
      </c>
    </row>
    <row r="155" spans="1:15" x14ac:dyDescent="0.25">
      <c r="A155" t="s">
        <v>929</v>
      </c>
      <c r="B155" t="s">
        <v>2999</v>
      </c>
      <c r="C155" t="s">
        <v>927</v>
      </c>
      <c r="D155" t="s">
        <v>3052</v>
      </c>
      <c r="E155" t="s">
        <v>3053</v>
      </c>
      <c r="F155" t="s">
        <v>300</v>
      </c>
      <c r="G155" t="s">
        <v>301</v>
      </c>
      <c r="H155" t="s">
        <v>3150</v>
      </c>
      <c r="I155">
        <v>40</v>
      </c>
      <c r="J155">
        <v>8</v>
      </c>
      <c r="K155">
        <v>0</v>
      </c>
      <c r="L155">
        <v>0</v>
      </c>
      <c r="M155">
        <v>32</v>
      </c>
      <c r="N155">
        <v>0</v>
      </c>
      <c r="O155">
        <v>0</v>
      </c>
    </row>
    <row r="156" spans="1:15" x14ac:dyDescent="0.25">
      <c r="A156" t="s">
        <v>9790</v>
      </c>
      <c r="B156" t="s">
        <v>1977</v>
      </c>
      <c r="C156" t="s">
        <v>923</v>
      </c>
      <c r="D156" t="s">
        <v>3063</v>
      </c>
      <c r="E156" t="s">
        <v>3053</v>
      </c>
      <c r="F156" t="s">
        <v>300</v>
      </c>
      <c r="G156" t="s">
        <v>301</v>
      </c>
      <c r="H156" t="s">
        <v>14430</v>
      </c>
      <c r="I156">
        <v>6</v>
      </c>
      <c r="J156">
        <v>0</v>
      </c>
      <c r="K156">
        <v>0</v>
      </c>
      <c r="L156">
        <v>6</v>
      </c>
      <c r="M156">
        <v>0</v>
      </c>
      <c r="N156">
        <v>0</v>
      </c>
      <c r="O156">
        <v>0</v>
      </c>
    </row>
    <row r="157" spans="1:15" x14ac:dyDescent="0.25">
      <c r="A157" t="s">
        <v>1100</v>
      </c>
      <c r="B157" t="s">
        <v>2855</v>
      </c>
      <c r="C157" t="s">
        <v>927</v>
      </c>
      <c r="D157" t="s">
        <v>3052</v>
      </c>
      <c r="E157" t="s">
        <v>3053</v>
      </c>
      <c r="F157" t="s">
        <v>300</v>
      </c>
      <c r="G157" t="s">
        <v>301</v>
      </c>
      <c r="H157" t="s">
        <v>10828</v>
      </c>
      <c r="I157">
        <v>35</v>
      </c>
      <c r="J157">
        <v>25</v>
      </c>
      <c r="K157">
        <v>0</v>
      </c>
      <c r="L157">
        <v>0</v>
      </c>
      <c r="M157">
        <v>0</v>
      </c>
      <c r="N157">
        <v>0</v>
      </c>
      <c r="O157">
        <v>10</v>
      </c>
    </row>
    <row r="158" spans="1:15" x14ac:dyDescent="0.25">
      <c r="A158" t="s">
        <v>933</v>
      </c>
      <c r="B158" t="s">
        <v>2106</v>
      </c>
      <c r="C158" t="s">
        <v>927</v>
      </c>
      <c r="D158" t="s">
        <v>3052</v>
      </c>
      <c r="E158" t="s">
        <v>3053</v>
      </c>
      <c r="F158" t="s">
        <v>300</v>
      </c>
      <c r="G158" t="s">
        <v>301</v>
      </c>
      <c r="H158" t="s">
        <v>3151</v>
      </c>
      <c r="I158">
        <v>1</v>
      </c>
      <c r="J158">
        <v>0</v>
      </c>
      <c r="K158">
        <v>0</v>
      </c>
      <c r="L158">
        <v>0</v>
      </c>
      <c r="M158">
        <v>0</v>
      </c>
      <c r="N158">
        <v>0</v>
      </c>
      <c r="O158">
        <v>1</v>
      </c>
    </row>
    <row r="159" spans="1:15" x14ac:dyDescent="0.25">
      <c r="A159" t="s">
        <v>1110</v>
      </c>
      <c r="B159" t="s">
        <v>2888</v>
      </c>
      <c r="C159" t="s">
        <v>927</v>
      </c>
      <c r="D159" t="s">
        <v>3052</v>
      </c>
      <c r="E159" t="s">
        <v>3053</v>
      </c>
      <c r="F159" t="s">
        <v>300</v>
      </c>
      <c r="G159" t="s">
        <v>301</v>
      </c>
      <c r="H159" t="s">
        <v>3152</v>
      </c>
      <c r="I159">
        <v>336</v>
      </c>
      <c r="J159">
        <v>273</v>
      </c>
      <c r="K159">
        <v>0</v>
      </c>
      <c r="L159">
        <v>0</v>
      </c>
      <c r="M159">
        <v>0</v>
      </c>
      <c r="N159">
        <v>1</v>
      </c>
      <c r="O159">
        <v>63</v>
      </c>
    </row>
    <row r="160" spans="1:15" x14ac:dyDescent="0.25">
      <c r="A160" t="s">
        <v>935</v>
      </c>
      <c r="B160" t="s">
        <v>1960</v>
      </c>
      <c r="C160" t="s">
        <v>923</v>
      </c>
      <c r="D160" t="s">
        <v>3063</v>
      </c>
      <c r="E160" t="s">
        <v>3053</v>
      </c>
      <c r="F160" t="s">
        <v>300</v>
      </c>
      <c r="G160" t="s">
        <v>301</v>
      </c>
      <c r="H160" t="s">
        <v>3153</v>
      </c>
      <c r="I160">
        <v>1</v>
      </c>
      <c r="J160">
        <v>0</v>
      </c>
      <c r="K160">
        <v>0</v>
      </c>
      <c r="L160">
        <v>1</v>
      </c>
      <c r="M160">
        <v>0</v>
      </c>
      <c r="N160">
        <v>0</v>
      </c>
      <c r="O160">
        <v>0</v>
      </c>
    </row>
    <row r="161" spans="1:15" x14ac:dyDescent="0.25">
      <c r="A161" t="s">
        <v>1111</v>
      </c>
      <c r="B161" t="s">
        <v>2795</v>
      </c>
      <c r="C161" t="s">
        <v>927</v>
      </c>
      <c r="D161" t="s">
        <v>3052</v>
      </c>
      <c r="E161" t="s">
        <v>3053</v>
      </c>
      <c r="F161" t="s">
        <v>300</v>
      </c>
      <c r="G161" t="s">
        <v>301</v>
      </c>
      <c r="H161" t="s">
        <v>3154</v>
      </c>
      <c r="I161">
        <v>1</v>
      </c>
      <c r="J161">
        <v>0</v>
      </c>
      <c r="K161">
        <v>0</v>
      </c>
      <c r="L161">
        <v>0</v>
      </c>
      <c r="M161">
        <v>0</v>
      </c>
      <c r="N161">
        <v>0</v>
      </c>
      <c r="O161">
        <v>1</v>
      </c>
    </row>
    <row r="162" spans="1:15" x14ac:dyDescent="0.25">
      <c r="A162" t="s">
        <v>1113</v>
      </c>
      <c r="B162" t="s">
        <v>1953</v>
      </c>
      <c r="C162" t="s">
        <v>927</v>
      </c>
      <c r="D162" t="s">
        <v>3052</v>
      </c>
      <c r="E162" t="s">
        <v>3053</v>
      </c>
      <c r="F162" t="s">
        <v>300</v>
      </c>
      <c r="G162" t="s">
        <v>301</v>
      </c>
      <c r="H162" t="s">
        <v>3155</v>
      </c>
      <c r="I162">
        <v>975</v>
      </c>
      <c r="J162">
        <v>862</v>
      </c>
      <c r="K162">
        <v>0</v>
      </c>
      <c r="L162">
        <v>9</v>
      </c>
      <c r="M162">
        <v>0</v>
      </c>
      <c r="N162">
        <v>21</v>
      </c>
      <c r="O162">
        <v>104</v>
      </c>
    </row>
    <row r="163" spans="1:15" x14ac:dyDescent="0.25">
      <c r="A163" t="s">
        <v>10638</v>
      </c>
      <c r="B163" t="s">
        <v>2057</v>
      </c>
      <c r="C163" t="s">
        <v>927</v>
      </c>
      <c r="D163" t="s">
        <v>3052</v>
      </c>
      <c r="E163" t="s">
        <v>3053</v>
      </c>
      <c r="F163" t="s">
        <v>300</v>
      </c>
      <c r="G163" t="s">
        <v>301</v>
      </c>
      <c r="H163" t="s">
        <v>10829</v>
      </c>
      <c r="I163">
        <v>11</v>
      </c>
      <c r="J163">
        <v>0</v>
      </c>
      <c r="K163">
        <v>0</v>
      </c>
      <c r="L163">
        <v>11</v>
      </c>
      <c r="M163">
        <v>0</v>
      </c>
      <c r="N163">
        <v>0</v>
      </c>
      <c r="O163">
        <v>0</v>
      </c>
    </row>
    <row r="164" spans="1:15" x14ac:dyDescent="0.25">
      <c r="A164" t="s">
        <v>10640</v>
      </c>
      <c r="B164" t="s">
        <v>10639</v>
      </c>
      <c r="C164" t="s">
        <v>923</v>
      </c>
      <c r="D164" t="s">
        <v>3063</v>
      </c>
      <c r="E164" t="s">
        <v>3053</v>
      </c>
      <c r="F164" t="s">
        <v>300</v>
      </c>
      <c r="G164" t="s">
        <v>301</v>
      </c>
      <c r="H164" t="s">
        <v>10830</v>
      </c>
      <c r="I164">
        <v>31</v>
      </c>
      <c r="J164">
        <v>31</v>
      </c>
      <c r="K164">
        <v>0</v>
      </c>
      <c r="L164">
        <v>0</v>
      </c>
      <c r="M164">
        <v>0</v>
      </c>
      <c r="N164">
        <v>0</v>
      </c>
      <c r="O164">
        <v>0</v>
      </c>
    </row>
    <row r="165" spans="1:15" x14ac:dyDescent="0.25">
      <c r="A165" t="s">
        <v>1010</v>
      </c>
      <c r="B165" t="s">
        <v>2639</v>
      </c>
      <c r="C165" t="s">
        <v>927</v>
      </c>
      <c r="D165" t="s">
        <v>3052</v>
      </c>
      <c r="E165" t="s">
        <v>3053</v>
      </c>
      <c r="F165" t="s">
        <v>300</v>
      </c>
      <c r="G165" t="s">
        <v>301</v>
      </c>
      <c r="H165" t="s">
        <v>3156</v>
      </c>
      <c r="I165">
        <v>112</v>
      </c>
      <c r="J165">
        <v>96</v>
      </c>
      <c r="K165">
        <v>0</v>
      </c>
      <c r="L165">
        <v>0</v>
      </c>
      <c r="M165">
        <v>0</v>
      </c>
      <c r="N165">
        <v>0</v>
      </c>
      <c r="O165">
        <v>16</v>
      </c>
    </row>
    <row r="166" spans="1:15" x14ac:dyDescent="0.25">
      <c r="A166" t="s">
        <v>937</v>
      </c>
      <c r="B166" t="s">
        <v>1962</v>
      </c>
      <c r="C166" t="s">
        <v>927</v>
      </c>
      <c r="D166" t="s">
        <v>3052</v>
      </c>
      <c r="E166" t="s">
        <v>3053</v>
      </c>
      <c r="F166" t="s">
        <v>300</v>
      </c>
      <c r="G166" t="s">
        <v>301</v>
      </c>
      <c r="H166" t="s">
        <v>3157</v>
      </c>
      <c r="I166">
        <v>9</v>
      </c>
      <c r="J166">
        <v>0</v>
      </c>
      <c r="K166">
        <v>0</v>
      </c>
      <c r="L166">
        <v>0</v>
      </c>
      <c r="M166">
        <v>0</v>
      </c>
      <c r="N166">
        <v>0</v>
      </c>
      <c r="O166">
        <v>9</v>
      </c>
    </row>
    <row r="167" spans="1:15" x14ac:dyDescent="0.25">
      <c r="A167" t="s">
        <v>940</v>
      </c>
      <c r="B167" t="s">
        <v>2647</v>
      </c>
      <c r="C167" t="s">
        <v>927</v>
      </c>
      <c r="D167" t="s">
        <v>3052</v>
      </c>
      <c r="E167" t="s">
        <v>3053</v>
      </c>
      <c r="F167" t="s">
        <v>300</v>
      </c>
      <c r="G167" t="s">
        <v>301</v>
      </c>
      <c r="H167" t="s">
        <v>3158</v>
      </c>
      <c r="I167">
        <v>38</v>
      </c>
      <c r="J167">
        <v>0</v>
      </c>
      <c r="K167">
        <v>0</v>
      </c>
      <c r="L167">
        <v>2</v>
      </c>
      <c r="M167">
        <v>36</v>
      </c>
      <c r="N167">
        <v>0</v>
      </c>
      <c r="O167">
        <v>0</v>
      </c>
    </row>
    <row r="168" spans="1:15" x14ac:dyDescent="0.25">
      <c r="A168" t="s">
        <v>1013</v>
      </c>
      <c r="B168" t="s">
        <v>1959</v>
      </c>
      <c r="C168" t="s">
        <v>927</v>
      </c>
      <c r="D168" t="s">
        <v>3052</v>
      </c>
      <c r="E168" t="s">
        <v>3053</v>
      </c>
      <c r="F168" t="s">
        <v>300</v>
      </c>
      <c r="G168" t="s">
        <v>301</v>
      </c>
      <c r="H168" t="s">
        <v>10831</v>
      </c>
      <c r="I168">
        <v>20</v>
      </c>
      <c r="J168">
        <v>0</v>
      </c>
      <c r="K168">
        <v>0</v>
      </c>
      <c r="L168">
        <v>20</v>
      </c>
      <c r="M168">
        <v>0</v>
      </c>
      <c r="N168">
        <v>0</v>
      </c>
      <c r="O168">
        <v>0</v>
      </c>
    </row>
    <row r="169" spans="1:15" x14ac:dyDescent="0.25">
      <c r="A169" t="s">
        <v>943</v>
      </c>
      <c r="B169" t="s">
        <v>2694</v>
      </c>
      <c r="C169" t="s">
        <v>927</v>
      </c>
      <c r="D169" t="s">
        <v>3052</v>
      </c>
      <c r="E169" t="s">
        <v>3053</v>
      </c>
      <c r="F169" t="s">
        <v>300</v>
      </c>
      <c r="G169" t="s">
        <v>301</v>
      </c>
      <c r="H169" t="s">
        <v>3159</v>
      </c>
      <c r="I169">
        <v>6</v>
      </c>
      <c r="J169">
        <v>0</v>
      </c>
      <c r="K169">
        <v>0</v>
      </c>
      <c r="L169">
        <v>6</v>
      </c>
      <c r="M169">
        <v>0</v>
      </c>
      <c r="N169">
        <v>0</v>
      </c>
      <c r="O169">
        <v>0</v>
      </c>
    </row>
    <row r="170" spans="1:15" x14ac:dyDescent="0.25">
      <c r="A170" t="s">
        <v>1041</v>
      </c>
      <c r="B170" t="s">
        <v>2826</v>
      </c>
      <c r="C170" t="s">
        <v>927</v>
      </c>
      <c r="D170" t="s">
        <v>3052</v>
      </c>
      <c r="E170" t="s">
        <v>3053</v>
      </c>
      <c r="F170" t="s">
        <v>300</v>
      </c>
      <c r="G170" t="s">
        <v>301</v>
      </c>
      <c r="H170" t="s">
        <v>3160</v>
      </c>
      <c r="I170">
        <v>1</v>
      </c>
      <c r="J170">
        <v>1</v>
      </c>
      <c r="K170">
        <v>0</v>
      </c>
      <c r="L170">
        <v>0</v>
      </c>
      <c r="M170">
        <v>0</v>
      </c>
      <c r="N170">
        <v>0</v>
      </c>
      <c r="O170">
        <v>0</v>
      </c>
    </row>
    <row r="171" spans="1:15" x14ac:dyDescent="0.25">
      <c r="A171" t="s">
        <v>9787</v>
      </c>
      <c r="B171" t="s">
        <v>2822</v>
      </c>
      <c r="C171" t="s">
        <v>927</v>
      </c>
      <c r="D171" t="s">
        <v>3052</v>
      </c>
      <c r="E171" t="s">
        <v>3053</v>
      </c>
      <c r="F171" t="s">
        <v>300</v>
      </c>
      <c r="G171" t="s">
        <v>301</v>
      </c>
      <c r="H171" t="s">
        <v>10234</v>
      </c>
      <c r="I171">
        <v>212</v>
      </c>
      <c r="J171">
        <v>198</v>
      </c>
      <c r="K171">
        <v>0</v>
      </c>
      <c r="L171">
        <v>14</v>
      </c>
      <c r="M171">
        <v>0</v>
      </c>
      <c r="N171">
        <v>0</v>
      </c>
      <c r="O171">
        <v>0</v>
      </c>
    </row>
    <row r="172" spans="1:15" x14ac:dyDescent="0.25">
      <c r="A172" t="s">
        <v>1141</v>
      </c>
      <c r="B172" t="s">
        <v>2642</v>
      </c>
      <c r="C172" t="s">
        <v>927</v>
      </c>
      <c r="D172" t="s">
        <v>3052</v>
      </c>
      <c r="E172" t="s">
        <v>3053</v>
      </c>
      <c r="F172" t="s">
        <v>300</v>
      </c>
      <c r="G172" t="s">
        <v>301</v>
      </c>
      <c r="H172" t="s">
        <v>3161</v>
      </c>
      <c r="I172">
        <v>495</v>
      </c>
      <c r="J172">
        <v>414</v>
      </c>
      <c r="K172">
        <v>0</v>
      </c>
      <c r="L172">
        <v>27</v>
      </c>
      <c r="M172">
        <v>6</v>
      </c>
      <c r="N172">
        <v>0</v>
      </c>
      <c r="O172">
        <v>48</v>
      </c>
    </row>
    <row r="173" spans="1:15" x14ac:dyDescent="0.25">
      <c r="A173" t="s">
        <v>1051</v>
      </c>
      <c r="B173" t="s">
        <v>2995</v>
      </c>
      <c r="C173" t="s">
        <v>927</v>
      </c>
      <c r="D173" t="s">
        <v>3052</v>
      </c>
      <c r="E173" t="s">
        <v>3053</v>
      </c>
      <c r="F173" t="s">
        <v>300</v>
      </c>
      <c r="G173" t="s">
        <v>301</v>
      </c>
      <c r="H173" t="s">
        <v>3162</v>
      </c>
      <c r="I173">
        <v>3</v>
      </c>
      <c r="J173">
        <v>0</v>
      </c>
      <c r="K173">
        <v>0</v>
      </c>
      <c r="L173">
        <v>3</v>
      </c>
      <c r="M173">
        <v>0</v>
      </c>
      <c r="N173">
        <v>0</v>
      </c>
      <c r="O173">
        <v>0</v>
      </c>
    </row>
    <row r="174" spans="1:15" x14ac:dyDescent="0.25">
      <c r="A174" t="s">
        <v>953</v>
      </c>
      <c r="B174" t="s">
        <v>2014</v>
      </c>
      <c r="C174" t="s">
        <v>927</v>
      </c>
      <c r="D174" t="s">
        <v>3052</v>
      </c>
      <c r="E174" t="s">
        <v>3053</v>
      </c>
      <c r="F174" t="s">
        <v>300</v>
      </c>
      <c r="G174" t="s">
        <v>301</v>
      </c>
      <c r="H174" t="s">
        <v>3163</v>
      </c>
      <c r="I174">
        <v>5</v>
      </c>
      <c r="J174">
        <v>0</v>
      </c>
      <c r="K174">
        <v>0</v>
      </c>
      <c r="L174">
        <v>5</v>
      </c>
      <c r="M174">
        <v>0</v>
      </c>
      <c r="N174">
        <v>0</v>
      </c>
      <c r="O174">
        <v>0</v>
      </c>
    </row>
    <row r="175" spans="1:15" x14ac:dyDescent="0.25">
      <c r="A175" t="s">
        <v>11720</v>
      </c>
      <c r="B175" t="s">
        <v>10718</v>
      </c>
      <c r="C175" t="s">
        <v>927</v>
      </c>
      <c r="D175" t="s">
        <v>3052</v>
      </c>
      <c r="E175" t="s">
        <v>3053</v>
      </c>
      <c r="F175" t="s">
        <v>300</v>
      </c>
      <c r="G175" t="s">
        <v>301</v>
      </c>
      <c r="H175" t="s">
        <v>14431</v>
      </c>
      <c r="I175">
        <v>98</v>
      </c>
      <c r="J175">
        <v>61</v>
      </c>
      <c r="K175">
        <v>0</v>
      </c>
      <c r="L175">
        <v>0</v>
      </c>
      <c r="M175">
        <v>0</v>
      </c>
      <c r="N175">
        <v>0</v>
      </c>
      <c r="O175">
        <v>37</v>
      </c>
    </row>
    <row r="176" spans="1:15" x14ac:dyDescent="0.25">
      <c r="A176" t="s">
        <v>9788</v>
      </c>
      <c r="B176" t="s">
        <v>9871</v>
      </c>
      <c r="C176" t="s">
        <v>927</v>
      </c>
      <c r="D176" t="s">
        <v>3052</v>
      </c>
      <c r="E176" t="s">
        <v>3053</v>
      </c>
      <c r="F176" t="s">
        <v>300</v>
      </c>
      <c r="G176" t="s">
        <v>301</v>
      </c>
      <c r="H176" t="s">
        <v>14432</v>
      </c>
      <c r="I176">
        <v>4</v>
      </c>
      <c r="J176">
        <v>4</v>
      </c>
      <c r="K176">
        <v>0</v>
      </c>
      <c r="L176">
        <v>0</v>
      </c>
      <c r="M176">
        <v>0</v>
      </c>
      <c r="N176">
        <v>0</v>
      </c>
      <c r="O176">
        <v>0</v>
      </c>
    </row>
    <row r="177" spans="1:15" x14ac:dyDescent="0.25">
      <c r="A177" t="s">
        <v>1057</v>
      </c>
      <c r="B177" t="s">
        <v>1972</v>
      </c>
      <c r="C177" t="s">
        <v>927</v>
      </c>
      <c r="D177" t="s">
        <v>3052</v>
      </c>
      <c r="E177" t="s">
        <v>3053</v>
      </c>
      <c r="F177" t="s">
        <v>300</v>
      </c>
      <c r="G177" t="s">
        <v>301</v>
      </c>
      <c r="H177" t="s">
        <v>3164</v>
      </c>
      <c r="I177">
        <v>26</v>
      </c>
      <c r="J177">
        <v>0</v>
      </c>
      <c r="K177">
        <v>0</v>
      </c>
      <c r="L177">
        <v>26</v>
      </c>
      <c r="M177">
        <v>0</v>
      </c>
      <c r="N177">
        <v>0</v>
      </c>
      <c r="O177">
        <v>0</v>
      </c>
    </row>
    <row r="178" spans="1:15" x14ac:dyDescent="0.25">
      <c r="A178" t="s">
        <v>955</v>
      </c>
      <c r="B178" t="s">
        <v>2660</v>
      </c>
      <c r="C178" t="s">
        <v>927</v>
      </c>
      <c r="D178" t="s">
        <v>3052</v>
      </c>
      <c r="E178" t="s">
        <v>3053</v>
      </c>
      <c r="F178" t="s">
        <v>300</v>
      </c>
      <c r="G178" t="s">
        <v>301</v>
      </c>
      <c r="H178" t="s">
        <v>3165</v>
      </c>
      <c r="I178">
        <v>161</v>
      </c>
      <c r="J178">
        <v>161</v>
      </c>
      <c r="K178">
        <v>0</v>
      </c>
      <c r="L178">
        <v>0</v>
      </c>
      <c r="M178">
        <v>0</v>
      </c>
      <c r="N178">
        <v>0</v>
      </c>
      <c r="O178">
        <v>0</v>
      </c>
    </row>
    <row r="179" spans="1:15" x14ac:dyDescent="0.25">
      <c r="A179" t="s">
        <v>9795</v>
      </c>
      <c r="B179" t="s">
        <v>1982</v>
      </c>
      <c r="C179" t="s">
        <v>923</v>
      </c>
      <c r="D179" t="s">
        <v>3063</v>
      </c>
      <c r="E179" t="s">
        <v>3053</v>
      </c>
      <c r="F179" t="s">
        <v>300</v>
      </c>
      <c r="G179" t="s">
        <v>301</v>
      </c>
      <c r="H179" t="s">
        <v>10414</v>
      </c>
      <c r="I179">
        <v>15</v>
      </c>
      <c r="J179">
        <v>0</v>
      </c>
      <c r="K179">
        <v>0</v>
      </c>
      <c r="L179">
        <v>15</v>
      </c>
      <c r="M179">
        <v>0</v>
      </c>
      <c r="N179">
        <v>6</v>
      </c>
      <c r="O179">
        <v>0</v>
      </c>
    </row>
    <row r="180" spans="1:15" x14ac:dyDescent="0.25">
      <c r="A180" t="s">
        <v>1170</v>
      </c>
      <c r="B180" t="s">
        <v>2968</v>
      </c>
      <c r="C180" t="s">
        <v>923</v>
      </c>
      <c r="D180" t="s">
        <v>3063</v>
      </c>
      <c r="E180" t="s">
        <v>3053</v>
      </c>
      <c r="F180" t="s">
        <v>300</v>
      </c>
      <c r="G180" t="s">
        <v>301</v>
      </c>
      <c r="H180" t="s">
        <v>11794</v>
      </c>
      <c r="I180">
        <v>12</v>
      </c>
      <c r="J180">
        <v>0</v>
      </c>
      <c r="K180">
        <v>0</v>
      </c>
      <c r="L180">
        <v>12</v>
      </c>
      <c r="M180">
        <v>0</v>
      </c>
      <c r="N180">
        <v>0</v>
      </c>
      <c r="O180">
        <v>0</v>
      </c>
    </row>
    <row r="181" spans="1:15" x14ac:dyDescent="0.25">
      <c r="A181" t="s">
        <v>1172</v>
      </c>
      <c r="B181" t="s">
        <v>3023</v>
      </c>
      <c r="C181" t="s">
        <v>927</v>
      </c>
      <c r="D181" t="s">
        <v>3052</v>
      </c>
      <c r="E181" t="s">
        <v>3053</v>
      </c>
      <c r="F181" t="s">
        <v>300</v>
      </c>
      <c r="G181" t="s">
        <v>301</v>
      </c>
      <c r="H181" t="s">
        <v>3166</v>
      </c>
      <c r="I181">
        <v>91</v>
      </c>
      <c r="J181">
        <v>71</v>
      </c>
      <c r="K181">
        <v>0</v>
      </c>
      <c r="L181">
        <v>0</v>
      </c>
      <c r="M181">
        <v>0</v>
      </c>
      <c r="N181">
        <v>0</v>
      </c>
      <c r="O181">
        <v>20</v>
      </c>
    </row>
    <row r="182" spans="1:15" x14ac:dyDescent="0.25">
      <c r="A182" t="s">
        <v>1180</v>
      </c>
      <c r="B182" t="s">
        <v>2896</v>
      </c>
      <c r="C182" t="s">
        <v>927</v>
      </c>
      <c r="D182" t="s">
        <v>3052</v>
      </c>
      <c r="E182" t="s">
        <v>3053</v>
      </c>
      <c r="F182" t="s">
        <v>300</v>
      </c>
      <c r="G182" t="s">
        <v>301</v>
      </c>
      <c r="H182" t="s">
        <v>3167</v>
      </c>
      <c r="I182">
        <v>1</v>
      </c>
      <c r="J182">
        <v>0</v>
      </c>
      <c r="K182">
        <v>0</v>
      </c>
      <c r="L182">
        <v>0</v>
      </c>
      <c r="M182">
        <v>0</v>
      </c>
      <c r="N182">
        <v>0</v>
      </c>
      <c r="O182">
        <v>1</v>
      </c>
    </row>
    <row r="183" spans="1:15" x14ac:dyDescent="0.25">
      <c r="A183" t="s">
        <v>1183</v>
      </c>
      <c r="B183" t="s">
        <v>2108</v>
      </c>
      <c r="C183" t="s">
        <v>923</v>
      </c>
      <c r="D183" t="s">
        <v>3063</v>
      </c>
      <c r="E183" t="s">
        <v>3053</v>
      </c>
      <c r="F183" t="s">
        <v>300</v>
      </c>
      <c r="G183" t="s">
        <v>301</v>
      </c>
      <c r="H183" t="s">
        <v>14433</v>
      </c>
      <c r="I183">
        <v>1</v>
      </c>
      <c r="J183">
        <v>1</v>
      </c>
      <c r="K183">
        <v>0</v>
      </c>
      <c r="L183">
        <v>0</v>
      </c>
      <c r="M183">
        <v>0</v>
      </c>
      <c r="N183">
        <v>0</v>
      </c>
      <c r="O183">
        <v>0</v>
      </c>
    </row>
    <row r="184" spans="1:15" x14ac:dyDescent="0.25">
      <c r="A184" t="s">
        <v>929</v>
      </c>
      <c r="B184" t="s">
        <v>2999</v>
      </c>
      <c r="C184" t="s">
        <v>927</v>
      </c>
      <c r="D184" t="s">
        <v>3052</v>
      </c>
      <c r="E184" t="s">
        <v>3053</v>
      </c>
      <c r="F184" t="s">
        <v>302</v>
      </c>
      <c r="G184" t="s">
        <v>303</v>
      </c>
      <c r="H184" t="s">
        <v>3168</v>
      </c>
      <c r="I184">
        <v>176</v>
      </c>
      <c r="J184">
        <v>0</v>
      </c>
      <c r="K184">
        <v>0</v>
      </c>
      <c r="L184">
        <v>0</v>
      </c>
      <c r="M184">
        <v>176</v>
      </c>
      <c r="N184">
        <v>0</v>
      </c>
      <c r="O184">
        <v>0</v>
      </c>
    </row>
    <row r="185" spans="1:15" x14ac:dyDescent="0.25">
      <c r="A185" t="s">
        <v>933</v>
      </c>
      <c r="B185" t="s">
        <v>2106</v>
      </c>
      <c r="C185" t="s">
        <v>927</v>
      </c>
      <c r="D185" t="s">
        <v>3052</v>
      </c>
      <c r="E185" t="s">
        <v>3053</v>
      </c>
      <c r="F185" t="s">
        <v>302</v>
      </c>
      <c r="G185" t="s">
        <v>303</v>
      </c>
      <c r="H185" t="s">
        <v>3169</v>
      </c>
      <c r="I185">
        <v>1063</v>
      </c>
      <c r="J185">
        <v>787</v>
      </c>
      <c r="K185">
        <v>0</v>
      </c>
      <c r="L185">
        <v>48</v>
      </c>
      <c r="M185">
        <v>0</v>
      </c>
      <c r="N185">
        <v>8</v>
      </c>
      <c r="O185">
        <v>228</v>
      </c>
    </row>
    <row r="186" spans="1:15" x14ac:dyDescent="0.25">
      <c r="A186" t="s">
        <v>1227</v>
      </c>
      <c r="B186" t="s">
        <v>2023</v>
      </c>
      <c r="C186" t="s">
        <v>923</v>
      </c>
      <c r="D186" t="s">
        <v>3063</v>
      </c>
      <c r="E186" t="s">
        <v>3053</v>
      </c>
      <c r="F186" t="s">
        <v>302</v>
      </c>
      <c r="G186" t="s">
        <v>303</v>
      </c>
      <c r="H186" t="s">
        <v>10035</v>
      </c>
      <c r="I186">
        <v>45</v>
      </c>
      <c r="J186">
        <v>45</v>
      </c>
      <c r="K186">
        <v>0</v>
      </c>
      <c r="L186">
        <v>0</v>
      </c>
      <c r="M186">
        <v>0</v>
      </c>
      <c r="N186">
        <v>0</v>
      </c>
      <c r="O186">
        <v>0</v>
      </c>
    </row>
    <row r="187" spans="1:15" x14ac:dyDescent="0.25">
      <c r="A187" t="s">
        <v>11660</v>
      </c>
      <c r="B187" t="s">
        <v>2041</v>
      </c>
      <c r="C187" t="s">
        <v>923</v>
      </c>
      <c r="D187" t="s">
        <v>3063</v>
      </c>
      <c r="E187" t="s">
        <v>3053</v>
      </c>
      <c r="F187" t="s">
        <v>302</v>
      </c>
      <c r="G187" t="s">
        <v>303</v>
      </c>
      <c r="H187" t="s">
        <v>11795</v>
      </c>
      <c r="I187">
        <v>11</v>
      </c>
      <c r="J187">
        <v>0</v>
      </c>
      <c r="K187">
        <v>0</v>
      </c>
      <c r="L187">
        <v>11</v>
      </c>
      <c r="M187">
        <v>0</v>
      </c>
      <c r="N187">
        <v>0</v>
      </c>
      <c r="O187">
        <v>0</v>
      </c>
    </row>
    <row r="188" spans="1:15" x14ac:dyDescent="0.25">
      <c r="A188" t="s">
        <v>1111</v>
      </c>
      <c r="B188" t="s">
        <v>2795</v>
      </c>
      <c r="C188" t="s">
        <v>927</v>
      </c>
      <c r="D188" t="s">
        <v>3052</v>
      </c>
      <c r="E188" t="s">
        <v>3053</v>
      </c>
      <c r="F188" t="s">
        <v>302</v>
      </c>
      <c r="G188" t="s">
        <v>303</v>
      </c>
      <c r="H188" t="s">
        <v>3170</v>
      </c>
      <c r="I188">
        <v>159</v>
      </c>
      <c r="J188">
        <v>115</v>
      </c>
      <c r="K188">
        <v>0</v>
      </c>
      <c r="L188">
        <v>0</v>
      </c>
      <c r="M188">
        <v>0</v>
      </c>
      <c r="N188">
        <v>0</v>
      </c>
      <c r="O188">
        <v>44</v>
      </c>
    </row>
    <row r="189" spans="1:15" x14ac:dyDescent="0.25">
      <c r="A189" t="s">
        <v>938</v>
      </c>
      <c r="B189" t="s">
        <v>2791</v>
      </c>
      <c r="C189" t="s">
        <v>927</v>
      </c>
      <c r="D189" t="s">
        <v>3052</v>
      </c>
      <c r="E189" t="s">
        <v>3053</v>
      </c>
      <c r="F189" t="s">
        <v>302</v>
      </c>
      <c r="G189" t="s">
        <v>303</v>
      </c>
      <c r="H189" t="s">
        <v>3171</v>
      </c>
      <c r="I189">
        <v>242</v>
      </c>
      <c r="J189">
        <v>165</v>
      </c>
      <c r="K189">
        <v>0</v>
      </c>
      <c r="L189">
        <v>15</v>
      </c>
      <c r="M189">
        <v>0</v>
      </c>
      <c r="N189">
        <v>0</v>
      </c>
      <c r="O189">
        <v>62</v>
      </c>
    </row>
    <row r="190" spans="1:15" x14ac:dyDescent="0.25">
      <c r="A190" t="s">
        <v>1127</v>
      </c>
      <c r="B190" t="s">
        <v>3034</v>
      </c>
      <c r="C190" t="s">
        <v>927</v>
      </c>
      <c r="D190" t="s">
        <v>3052</v>
      </c>
      <c r="E190" t="s">
        <v>3053</v>
      </c>
      <c r="F190" t="s">
        <v>302</v>
      </c>
      <c r="G190" t="s">
        <v>303</v>
      </c>
      <c r="H190" t="s">
        <v>3172</v>
      </c>
      <c r="I190">
        <v>188</v>
      </c>
      <c r="J190">
        <v>188</v>
      </c>
      <c r="K190">
        <v>0</v>
      </c>
      <c r="L190">
        <v>0</v>
      </c>
      <c r="M190">
        <v>0</v>
      </c>
      <c r="N190">
        <v>1</v>
      </c>
      <c r="O190">
        <v>0</v>
      </c>
    </row>
    <row r="191" spans="1:15" x14ac:dyDescent="0.25">
      <c r="A191" t="s">
        <v>1025</v>
      </c>
      <c r="B191" t="s">
        <v>2893</v>
      </c>
      <c r="C191" t="s">
        <v>927</v>
      </c>
      <c r="D191" t="s">
        <v>3052</v>
      </c>
      <c r="E191" t="s">
        <v>3053</v>
      </c>
      <c r="F191" t="s">
        <v>302</v>
      </c>
      <c r="G191" t="s">
        <v>303</v>
      </c>
      <c r="H191" t="s">
        <v>3173</v>
      </c>
      <c r="I191">
        <v>2913</v>
      </c>
      <c r="J191">
        <v>2025</v>
      </c>
      <c r="K191">
        <v>0</v>
      </c>
      <c r="L191">
        <v>72</v>
      </c>
      <c r="M191">
        <v>133</v>
      </c>
      <c r="N191">
        <v>0</v>
      </c>
      <c r="O191">
        <v>683</v>
      </c>
    </row>
    <row r="192" spans="1:15" x14ac:dyDescent="0.25">
      <c r="A192" t="s">
        <v>1293</v>
      </c>
      <c r="B192" t="s">
        <v>2910</v>
      </c>
      <c r="C192" t="s">
        <v>927</v>
      </c>
      <c r="D192" t="s">
        <v>3052</v>
      </c>
      <c r="E192" t="s">
        <v>3053</v>
      </c>
      <c r="F192" t="s">
        <v>302</v>
      </c>
      <c r="G192" t="s">
        <v>303</v>
      </c>
      <c r="H192" t="s">
        <v>3174</v>
      </c>
      <c r="I192">
        <v>47</v>
      </c>
      <c r="J192">
        <v>0</v>
      </c>
      <c r="K192">
        <v>0</v>
      </c>
      <c r="L192">
        <v>47</v>
      </c>
      <c r="M192">
        <v>0</v>
      </c>
      <c r="N192">
        <v>0</v>
      </c>
      <c r="O192">
        <v>0</v>
      </c>
    </row>
    <row r="193" spans="1:15" x14ac:dyDescent="0.25">
      <c r="A193" t="s">
        <v>943</v>
      </c>
      <c r="B193" t="s">
        <v>2694</v>
      </c>
      <c r="C193" t="s">
        <v>927</v>
      </c>
      <c r="D193" t="s">
        <v>3052</v>
      </c>
      <c r="E193" t="s">
        <v>3053</v>
      </c>
      <c r="F193" t="s">
        <v>302</v>
      </c>
      <c r="G193" t="s">
        <v>303</v>
      </c>
      <c r="H193" t="s">
        <v>3175</v>
      </c>
      <c r="I193">
        <v>246</v>
      </c>
      <c r="J193">
        <v>153</v>
      </c>
      <c r="K193">
        <v>0</v>
      </c>
      <c r="L193">
        <v>0</v>
      </c>
      <c r="M193">
        <v>0</v>
      </c>
      <c r="N193">
        <v>0</v>
      </c>
      <c r="O193">
        <v>93</v>
      </c>
    </row>
    <row r="194" spans="1:15" x14ac:dyDescent="0.25">
      <c r="A194" t="s">
        <v>945</v>
      </c>
      <c r="B194" t="s">
        <v>2668</v>
      </c>
      <c r="C194" t="s">
        <v>927</v>
      </c>
      <c r="D194" t="s">
        <v>3052</v>
      </c>
      <c r="E194" t="s">
        <v>3053</v>
      </c>
      <c r="F194" t="s">
        <v>302</v>
      </c>
      <c r="G194" t="s">
        <v>303</v>
      </c>
      <c r="H194" t="s">
        <v>3176</v>
      </c>
      <c r="I194">
        <v>3</v>
      </c>
      <c r="J194">
        <v>0</v>
      </c>
      <c r="K194">
        <v>0</v>
      </c>
      <c r="L194">
        <v>0</v>
      </c>
      <c r="M194">
        <v>0</v>
      </c>
      <c r="N194">
        <v>0</v>
      </c>
      <c r="O194">
        <v>3</v>
      </c>
    </row>
    <row r="195" spans="1:15" x14ac:dyDescent="0.25">
      <c r="A195" t="s">
        <v>1131</v>
      </c>
      <c r="B195" t="s">
        <v>2637</v>
      </c>
      <c r="C195" t="s">
        <v>927</v>
      </c>
      <c r="D195" t="s">
        <v>3052</v>
      </c>
      <c r="E195" t="s">
        <v>3053</v>
      </c>
      <c r="F195" t="s">
        <v>302</v>
      </c>
      <c r="G195" t="s">
        <v>303</v>
      </c>
      <c r="H195" t="s">
        <v>3177</v>
      </c>
      <c r="I195">
        <v>9</v>
      </c>
      <c r="J195">
        <v>1</v>
      </c>
      <c r="K195">
        <v>0</v>
      </c>
      <c r="L195">
        <v>0</v>
      </c>
      <c r="M195">
        <v>0</v>
      </c>
      <c r="N195">
        <v>0</v>
      </c>
      <c r="O195">
        <v>8</v>
      </c>
    </row>
    <row r="196" spans="1:15" x14ac:dyDescent="0.25">
      <c r="A196" t="s">
        <v>1134</v>
      </c>
      <c r="B196" t="s">
        <v>2118</v>
      </c>
      <c r="C196" t="s">
        <v>927</v>
      </c>
      <c r="D196" t="s">
        <v>3052</v>
      </c>
      <c r="E196" t="s">
        <v>3053</v>
      </c>
      <c r="F196" t="s">
        <v>302</v>
      </c>
      <c r="G196" t="s">
        <v>303</v>
      </c>
      <c r="H196" t="s">
        <v>3178</v>
      </c>
      <c r="I196">
        <v>599</v>
      </c>
      <c r="J196">
        <v>408</v>
      </c>
      <c r="K196">
        <v>0</v>
      </c>
      <c r="L196">
        <v>23</v>
      </c>
      <c r="M196">
        <v>96</v>
      </c>
      <c r="N196">
        <v>1</v>
      </c>
      <c r="O196">
        <v>72</v>
      </c>
    </row>
    <row r="197" spans="1:15" x14ac:dyDescent="0.25">
      <c r="A197" t="s">
        <v>949</v>
      </c>
      <c r="B197" t="s">
        <v>3035</v>
      </c>
      <c r="C197" t="s">
        <v>927</v>
      </c>
      <c r="D197" t="s">
        <v>3052</v>
      </c>
      <c r="E197" t="s">
        <v>3053</v>
      </c>
      <c r="F197" t="s">
        <v>302</v>
      </c>
      <c r="G197" t="s">
        <v>303</v>
      </c>
      <c r="H197" t="s">
        <v>3179</v>
      </c>
      <c r="I197">
        <v>10</v>
      </c>
      <c r="J197">
        <v>0</v>
      </c>
      <c r="K197">
        <v>0</v>
      </c>
      <c r="L197">
        <v>0</v>
      </c>
      <c r="M197">
        <v>0</v>
      </c>
      <c r="N197">
        <v>0</v>
      </c>
      <c r="O197">
        <v>10</v>
      </c>
    </row>
    <row r="198" spans="1:15" x14ac:dyDescent="0.25">
      <c r="A198" t="s">
        <v>1043</v>
      </c>
      <c r="B198" t="s">
        <v>2090</v>
      </c>
      <c r="C198" t="s">
        <v>927</v>
      </c>
      <c r="D198" t="s">
        <v>3052</v>
      </c>
      <c r="E198" t="s">
        <v>3053</v>
      </c>
      <c r="F198" t="s">
        <v>302</v>
      </c>
      <c r="G198" t="s">
        <v>303</v>
      </c>
      <c r="H198" t="s">
        <v>3180</v>
      </c>
      <c r="I198">
        <v>15</v>
      </c>
      <c r="J198">
        <v>15</v>
      </c>
      <c r="K198">
        <v>0</v>
      </c>
      <c r="L198">
        <v>0</v>
      </c>
      <c r="M198">
        <v>0</v>
      </c>
      <c r="N198">
        <v>0</v>
      </c>
      <c r="O198">
        <v>0</v>
      </c>
    </row>
    <row r="199" spans="1:15" x14ac:dyDescent="0.25">
      <c r="A199" t="s">
        <v>1146</v>
      </c>
      <c r="B199" t="s">
        <v>2117</v>
      </c>
      <c r="C199" t="s">
        <v>927</v>
      </c>
      <c r="D199" t="s">
        <v>3052</v>
      </c>
      <c r="E199" t="s">
        <v>3053</v>
      </c>
      <c r="F199" t="s">
        <v>302</v>
      </c>
      <c r="G199" t="s">
        <v>303</v>
      </c>
      <c r="H199" t="s">
        <v>3181</v>
      </c>
      <c r="I199">
        <v>142</v>
      </c>
      <c r="J199">
        <v>142</v>
      </c>
      <c r="K199">
        <v>0</v>
      </c>
      <c r="L199">
        <v>0</v>
      </c>
      <c r="M199">
        <v>0</v>
      </c>
      <c r="N199">
        <v>0</v>
      </c>
      <c r="O199">
        <v>0</v>
      </c>
    </row>
    <row r="200" spans="1:15" x14ac:dyDescent="0.25">
      <c r="A200" t="s">
        <v>1048</v>
      </c>
      <c r="B200" t="s">
        <v>2989</v>
      </c>
      <c r="C200" t="s">
        <v>927</v>
      </c>
      <c r="D200" t="s">
        <v>3052</v>
      </c>
      <c r="E200" t="s">
        <v>3053</v>
      </c>
      <c r="F200" t="s">
        <v>302</v>
      </c>
      <c r="G200" t="s">
        <v>303</v>
      </c>
      <c r="H200" t="s">
        <v>3182</v>
      </c>
      <c r="I200">
        <v>1</v>
      </c>
      <c r="J200">
        <v>0</v>
      </c>
      <c r="K200">
        <v>0</v>
      </c>
      <c r="L200">
        <v>0</v>
      </c>
      <c r="M200">
        <v>0</v>
      </c>
      <c r="N200">
        <v>0</v>
      </c>
      <c r="O200">
        <v>1</v>
      </c>
    </row>
    <row r="201" spans="1:15" x14ac:dyDescent="0.25">
      <c r="A201" t="s">
        <v>11720</v>
      </c>
      <c r="B201" t="s">
        <v>10718</v>
      </c>
      <c r="C201" t="s">
        <v>927</v>
      </c>
      <c r="D201" t="s">
        <v>3052</v>
      </c>
      <c r="E201" t="s">
        <v>3053</v>
      </c>
      <c r="F201" t="s">
        <v>302</v>
      </c>
      <c r="G201" t="s">
        <v>303</v>
      </c>
      <c r="H201" t="s">
        <v>14434</v>
      </c>
      <c r="I201">
        <v>54</v>
      </c>
      <c r="J201">
        <v>54</v>
      </c>
      <c r="K201">
        <v>0</v>
      </c>
      <c r="L201">
        <v>0</v>
      </c>
      <c r="M201">
        <v>0</v>
      </c>
      <c r="N201">
        <v>0</v>
      </c>
      <c r="O201">
        <v>0</v>
      </c>
    </row>
    <row r="202" spans="1:15" x14ac:dyDescent="0.25">
      <c r="A202" t="s">
        <v>955</v>
      </c>
      <c r="B202" t="s">
        <v>2660</v>
      </c>
      <c r="C202" t="s">
        <v>927</v>
      </c>
      <c r="D202" t="s">
        <v>3052</v>
      </c>
      <c r="E202" t="s">
        <v>3053</v>
      </c>
      <c r="F202" t="s">
        <v>302</v>
      </c>
      <c r="G202" t="s">
        <v>303</v>
      </c>
      <c r="H202" t="s">
        <v>3183</v>
      </c>
      <c r="I202">
        <v>8</v>
      </c>
      <c r="J202">
        <v>8</v>
      </c>
      <c r="K202">
        <v>0</v>
      </c>
      <c r="L202">
        <v>0</v>
      </c>
      <c r="M202">
        <v>0</v>
      </c>
      <c r="N202">
        <v>0</v>
      </c>
      <c r="O202">
        <v>0</v>
      </c>
    </row>
    <row r="203" spans="1:15" x14ac:dyDescent="0.25">
      <c r="A203" t="s">
        <v>1341</v>
      </c>
      <c r="B203" t="s">
        <v>2954</v>
      </c>
      <c r="C203" t="s">
        <v>923</v>
      </c>
      <c r="D203" t="s">
        <v>3063</v>
      </c>
      <c r="E203" t="s">
        <v>3053</v>
      </c>
      <c r="F203" t="s">
        <v>302</v>
      </c>
      <c r="G203" t="s">
        <v>303</v>
      </c>
      <c r="H203" t="s">
        <v>3184</v>
      </c>
      <c r="I203">
        <v>9</v>
      </c>
      <c r="J203">
        <v>9</v>
      </c>
      <c r="K203">
        <v>0</v>
      </c>
      <c r="L203">
        <v>0</v>
      </c>
      <c r="M203">
        <v>0</v>
      </c>
      <c r="N203">
        <v>0</v>
      </c>
      <c r="O203">
        <v>0</v>
      </c>
    </row>
    <row r="204" spans="1:15" x14ac:dyDescent="0.25">
      <c r="A204" t="s">
        <v>11663</v>
      </c>
      <c r="B204" t="s">
        <v>11768</v>
      </c>
      <c r="C204" t="s">
        <v>927</v>
      </c>
      <c r="D204" t="s">
        <v>3052</v>
      </c>
      <c r="E204" t="s">
        <v>3053</v>
      </c>
      <c r="F204" t="s">
        <v>302</v>
      </c>
      <c r="G204" t="s">
        <v>303</v>
      </c>
      <c r="H204" t="s">
        <v>11796</v>
      </c>
      <c r="I204">
        <v>720</v>
      </c>
      <c r="J204">
        <v>587</v>
      </c>
      <c r="K204">
        <v>0</v>
      </c>
      <c r="L204">
        <v>0</v>
      </c>
      <c r="M204">
        <v>0</v>
      </c>
      <c r="N204">
        <v>1</v>
      </c>
      <c r="O204">
        <v>133</v>
      </c>
    </row>
    <row r="205" spans="1:15" x14ac:dyDescent="0.25">
      <c r="A205" t="s">
        <v>14380</v>
      </c>
      <c r="B205" t="s">
        <v>2074</v>
      </c>
      <c r="C205" t="s">
        <v>927</v>
      </c>
      <c r="D205" t="s">
        <v>3052</v>
      </c>
      <c r="E205" t="s">
        <v>3053</v>
      </c>
      <c r="F205" t="s">
        <v>302</v>
      </c>
      <c r="G205" t="s">
        <v>303</v>
      </c>
      <c r="H205" t="s">
        <v>14435</v>
      </c>
      <c r="I205">
        <v>32</v>
      </c>
      <c r="J205">
        <v>31</v>
      </c>
      <c r="K205">
        <v>0</v>
      </c>
      <c r="L205">
        <v>0</v>
      </c>
      <c r="M205">
        <v>0</v>
      </c>
      <c r="N205">
        <v>0</v>
      </c>
      <c r="O205">
        <v>1</v>
      </c>
    </row>
    <row r="206" spans="1:15" x14ac:dyDescent="0.25">
      <c r="A206" t="s">
        <v>1159</v>
      </c>
      <c r="B206" t="s">
        <v>2829</v>
      </c>
      <c r="C206" t="s">
        <v>927</v>
      </c>
      <c r="D206" t="s">
        <v>3052</v>
      </c>
      <c r="E206" t="s">
        <v>3053</v>
      </c>
      <c r="F206" t="s">
        <v>302</v>
      </c>
      <c r="G206" t="s">
        <v>303</v>
      </c>
      <c r="H206" t="s">
        <v>3185</v>
      </c>
      <c r="I206">
        <v>9</v>
      </c>
      <c r="J206">
        <v>9</v>
      </c>
      <c r="K206">
        <v>0</v>
      </c>
      <c r="L206">
        <v>0</v>
      </c>
      <c r="M206">
        <v>0</v>
      </c>
      <c r="N206">
        <v>0</v>
      </c>
      <c r="O206">
        <v>0</v>
      </c>
    </row>
    <row r="207" spans="1:15" x14ac:dyDescent="0.25">
      <c r="A207" t="s">
        <v>1072</v>
      </c>
      <c r="B207" t="s">
        <v>2907</v>
      </c>
      <c r="C207" t="s">
        <v>927</v>
      </c>
      <c r="D207" t="s">
        <v>3052</v>
      </c>
      <c r="E207" t="s">
        <v>3053</v>
      </c>
      <c r="F207" t="s">
        <v>302</v>
      </c>
      <c r="G207" t="s">
        <v>303</v>
      </c>
      <c r="H207" t="s">
        <v>3186</v>
      </c>
      <c r="I207">
        <v>33</v>
      </c>
      <c r="J207">
        <v>0</v>
      </c>
      <c r="K207">
        <v>0</v>
      </c>
      <c r="L207">
        <v>0</v>
      </c>
      <c r="M207">
        <v>28</v>
      </c>
      <c r="N207">
        <v>0</v>
      </c>
      <c r="O207">
        <v>5</v>
      </c>
    </row>
    <row r="208" spans="1:15" x14ac:dyDescent="0.25">
      <c r="A208" t="s">
        <v>1399</v>
      </c>
      <c r="B208" t="s">
        <v>2903</v>
      </c>
      <c r="C208" t="s">
        <v>923</v>
      </c>
      <c r="D208" t="s">
        <v>3063</v>
      </c>
      <c r="E208" t="s">
        <v>3053</v>
      </c>
      <c r="F208" t="s">
        <v>302</v>
      </c>
      <c r="G208" t="s">
        <v>303</v>
      </c>
      <c r="H208" t="s">
        <v>3187</v>
      </c>
      <c r="I208">
        <v>191</v>
      </c>
      <c r="J208">
        <v>43</v>
      </c>
      <c r="K208">
        <v>0</v>
      </c>
      <c r="L208">
        <v>148</v>
      </c>
      <c r="M208">
        <v>0</v>
      </c>
      <c r="N208">
        <v>0</v>
      </c>
      <c r="O208">
        <v>0</v>
      </c>
    </row>
    <row r="209" spans="1:15" x14ac:dyDescent="0.25">
      <c r="A209" t="s">
        <v>1195</v>
      </c>
      <c r="B209" t="s">
        <v>2924</v>
      </c>
      <c r="C209" t="s">
        <v>927</v>
      </c>
      <c r="D209" t="s">
        <v>3052</v>
      </c>
      <c r="E209" t="s">
        <v>3053</v>
      </c>
      <c r="F209" t="s">
        <v>304</v>
      </c>
      <c r="G209" t="s">
        <v>305</v>
      </c>
      <c r="H209" t="s">
        <v>3188</v>
      </c>
      <c r="I209">
        <v>59</v>
      </c>
      <c r="J209">
        <v>49</v>
      </c>
      <c r="K209">
        <v>0</v>
      </c>
      <c r="L209">
        <v>0</v>
      </c>
      <c r="M209">
        <v>0</v>
      </c>
      <c r="N209">
        <v>0</v>
      </c>
      <c r="O209">
        <v>10</v>
      </c>
    </row>
    <row r="210" spans="1:15" x14ac:dyDescent="0.25">
      <c r="A210" t="s">
        <v>1201</v>
      </c>
      <c r="B210" t="s">
        <v>2972</v>
      </c>
      <c r="C210" t="s">
        <v>923</v>
      </c>
      <c r="D210" t="s">
        <v>3063</v>
      </c>
      <c r="E210" t="s">
        <v>3053</v>
      </c>
      <c r="F210" t="s">
        <v>304</v>
      </c>
      <c r="G210" t="s">
        <v>305</v>
      </c>
      <c r="H210" t="s">
        <v>3189</v>
      </c>
      <c r="I210">
        <v>25</v>
      </c>
      <c r="J210">
        <v>25</v>
      </c>
      <c r="K210">
        <v>0</v>
      </c>
      <c r="L210">
        <v>0</v>
      </c>
      <c r="M210">
        <v>0</v>
      </c>
      <c r="N210">
        <v>1</v>
      </c>
      <c r="O210">
        <v>0</v>
      </c>
    </row>
    <row r="211" spans="1:15" x14ac:dyDescent="0.25">
      <c r="A211" t="s">
        <v>929</v>
      </c>
      <c r="B211" t="s">
        <v>2999</v>
      </c>
      <c r="C211" t="s">
        <v>927</v>
      </c>
      <c r="D211" t="s">
        <v>3052</v>
      </c>
      <c r="E211" t="s">
        <v>3053</v>
      </c>
      <c r="F211" t="s">
        <v>304</v>
      </c>
      <c r="G211" t="s">
        <v>305</v>
      </c>
      <c r="H211" t="s">
        <v>3190</v>
      </c>
      <c r="I211">
        <v>83</v>
      </c>
      <c r="J211">
        <v>0</v>
      </c>
      <c r="K211">
        <v>0</v>
      </c>
      <c r="L211">
        <v>0</v>
      </c>
      <c r="M211">
        <v>83</v>
      </c>
      <c r="N211">
        <v>0</v>
      </c>
      <c r="O211">
        <v>0</v>
      </c>
    </row>
    <row r="212" spans="1:15" x14ac:dyDescent="0.25">
      <c r="A212" t="s">
        <v>1087</v>
      </c>
      <c r="B212" t="s">
        <v>2979</v>
      </c>
      <c r="C212" t="s">
        <v>923</v>
      </c>
      <c r="D212" t="s">
        <v>3063</v>
      </c>
      <c r="E212" t="s">
        <v>3053</v>
      </c>
      <c r="F212" t="s">
        <v>304</v>
      </c>
      <c r="G212" t="s">
        <v>305</v>
      </c>
      <c r="H212" t="s">
        <v>3191</v>
      </c>
      <c r="I212">
        <v>47</v>
      </c>
      <c r="J212">
        <v>47</v>
      </c>
      <c r="K212">
        <v>0</v>
      </c>
      <c r="L212">
        <v>0</v>
      </c>
      <c r="M212">
        <v>0</v>
      </c>
      <c r="N212">
        <v>7</v>
      </c>
      <c r="O212">
        <v>0</v>
      </c>
    </row>
    <row r="213" spans="1:15" x14ac:dyDescent="0.25">
      <c r="A213" t="s">
        <v>978</v>
      </c>
      <c r="B213" t="s">
        <v>1999</v>
      </c>
      <c r="C213" t="s">
        <v>923</v>
      </c>
      <c r="D213" t="s">
        <v>3063</v>
      </c>
      <c r="E213" t="s">
        <v>3053</v>
      </c>
      <c r="F213" t="s">
        <v>304</v>
      </c>
      <c r="G213" t="s">
        <v>305</v>
      </c>
      <c r="H213" t="s">
        <v>10832</v>
      </c>
      <c r="I213">
        <v>33</v>
      </c>
      <c r="J213">
        <v>0</v>
      </c>
      <c r="K213">
        <v>0</v>
      </c>
      <c r="L213">
        <v>33</v>
      </c>
      <c r="M213">
        <v>0</v>
      </c>
      <c r="N213">
        <v>0</v>
      </c>
      <c r="O213">
        <v>0</v>
      </c>
    </row>
    <row r="214" spans="1:15" x14ac:dyDescent="0.25">
      <c r="A214" t="s">
        <v>1094</v>
      </c>
      <c r="B214" t="s">
        <v>2742</v>
      </c>
      <c r="C214" t="s">
        <v>923</v>
      </c>
      <c r="D214" t="s">
        <v>3063</v>
      </c>
      <c r="E214" t="s">
        <v>3053</v>
      </c>
      <c r="F214" t="s">
        <v>304</v>
      </c>
      <c r="G214" t="s">
        <v>305</v>
      </c>
      <c r="H214" t="s">
        <v>3192</v>
      </c>
      <c r="I214">
        <v>51</v>
      </c>
      <c r="J214">
        <v>23</v>
      </c>
      <c r="K214">
        <v>0</v>
      </c>
      <c r="L214">
        <v>28</v>
      </c>
      <c r="M214">
        <v>0</v>
      </c>
      <c r="N214">
        <v>0</v>
      </c>
      <c r="O214">
        <v>0</v>
      </c>
    </row>
    <row r="215" spans="1:15" x14ac:dyDescent="0.25">
      <c r="A215" t="s">
        <v>1212</v>
      </c>
      <c r="B215" t="s">
        <v>2004</v>
      </c>
      <c r="C215" t="s">
        <v>923</v>
      </c>
      <c r="D215" t="s">
        <v>3063</v>
      </c>
      <c r="E215" t="s">
        <v>3053</v>
      </c>
      <c r="F215" t="s">
        <v>304</v>
      </c>
      <c r="G215" t="s">
        <v>305</v>
      </c>
      <c r="H215" t="s">
        <v>3193</v>
      </c>
      <c r="I215">
        <v>13</v>
      </c>
      <c r="J215">
        <v>0</v>
      </c>
      <c r="K215">
        <v>0</v>
      </c>
      <c r="L215">
        <v>13</v>
      </c>
      <c r="M215">
        <v>0</v>
      </c>
      <c r="N215">
        <v>0</v>
      </c>
      <c r="O215">
        <v>0</v>
      </c>
    </row>
    <row r="216" spans="1:15" x14ac:dyDescent="0.25">
      <c r="A216" t="s">
        <v>1224</v>
      </c>
      <c r="B216" t="s">
        <v>2932</v>
      </c>
      <c r="C216" t="s">
        <v>927</v>
      </c>
      <c r="D216" t="s">
        <v>3052</v>
      </c>
      <c r="E216" t="s">
        <v>3053</v>
      </c>
      <c r="F216" t="s">
        <v>304</v>
      </c>
      <c r="G216" t="s">
        <v>305</v>
      </c>
      <c r="H216" t="s">
        <v>3194</v>
      </c>
      <c r="I216">
        <v>177</v>
      </c>
      <c r="J216">
        <v>140</v>
      </c>
      <c r="K216">
        <v>0</v>
      </c>
      <c r="L216">
        <v>0</v>
      </c>
      <c r="M216">
        <v>37</v>
      </c>
      <c r="N216">
        <v>19</v>
      </c>
      <c r="O216">
        <v>0</v>
      </c>
    </row>
    <row r="217" spans="1:15" x14ac:dyDescent="0.25">
      <c r="A217" t="s">
        <v>933</v>
      </c>
      <c r="B217" t="s">
        <v>2106</v>
      </c>
      <c r="C217" t="s">
        <v>927</v>
      </c>
      <c r="D217" t="s">
        <v>3052</v>
      </c>
      <c r="E217" t="s">
        <v>3053</v>
      </c>
      <c r="F217" t="s">
        <v>304</v>
      </c>
      <c r="G217" t="s">
        <v>305</v>
      </c>
      <c r="H217" t="s">
        <v>3195</v>
      </c>
      <c r="I217">
        <v>355</v>
      </c>
      <c r="J217">
        <v>320</v>
      </c>
      <c r="K217">
        <v>0</v>
      </c>
      <c r="L217">
        <v>0</v>
      </c>
      <c r="M217">
        <v>0</v>
      </c>
      <c r="N217">
        <v>1</v>
      </c>
      <c r="O217">
        <v>35</v>
      </c>
    </row>
    <row r="218" spans="1:15" x14ac:dyDescent="0.25">
      <c r="A218" t="s">
        <v>1474</v>
      </c>
      <c r="B218" t="s">
        <v>2038</v>
      </c>
      <c r="C218" t="s">
        <v>923</v>
      </c>
      <c r="D218" t="s">
        <v>3063</v>
      </c>
      <c r="E218" t="s">
        <v>3053</v>
      </c>
      <c r="F218" t="s">
        <v>304</v>
      </c>
      <c r="G218" t="s">
        <v>305</v>
      </c>
      <c r="H218" t="s">
        <v>10028</v>
      </c>
      <c r="I218">
        <v>11</v>
      </c>
      <c r="J218">
        <v>0</v>
      </c>
      <c r="K218">
        <v>11</v>
      </c>
      <c r="L218">
        <v>0</v>
      </c>
      <c r="M218">
        <v>0</v>
      </c>
      <c r="N218">
        <v>11</v>
      </c>
      <c r="O218">
        <v>0</v>
      </c>
    </row>
    <row r="219" spans="1:15" x14ac:dyDescent="0.25">
      <c r="A219" t="s">
        <v>1227</v>
      </c>
      <c r="B219" t="s">
        <v>2023</v>
      </c>
      <c r="C219" t="s">
        <v>923</v>
      </c>
      <c r="D219" t="s">
        <v>3063</v>
      </c>
      <c r="E219" t="s">
        <v>3053</v>
      </c>
      <c r="F219" t="s">
        <v>304</v>
      </c>
      <c r="G219" t="s">
        <v>305</v>
      </c>
      <c r="H219" t="s">
        <v>14436</v>
      </c>
      <c r="I219">
        <v>3</v>
      </c>
      <c r="J219">
        <v>3</v>
      </c>
      <c r="K219">
        <v>0</v>
      </c>
      <c r="L219">
        <v>0</v>
      </c>
      <c r="M219">
        <v>0</v>
      </c>
      <c r="N219">
        <v>0</v>
      </c>
      <c r="O219">
        <v>0</v>
      </c>
    </row>
    <row r="220" spans="1:15" x14ac:dyDescent="0.25">
      <c r="A220" t="s">
        <v>10615</v>
      </c>
      <c r="B220" t="s">
        <v>2345</v>
      </c>
      <c r="C220" t="s">
        <v>923</v>
      </c>
      <c r="D220" t="s">
        <v>3063</v>
      </c>
      <c r="E220" t="s">
        <v>3053</v>
      </c>
      <c r="F220" t="s">
        <v>304</v>
      </c>
      <c r="G220" t="s">
        <v>305</v>
      </c>
      <c r="H220" t="s">
        <v>10833</v>
      </c>
      <c r="I220">
        <v>23</v>
      </c>
      <c r="J220">
        <v>23</v>
      </c>
      <c r="K220">
        <v>0</v>
      </c>
      <c r="L220">
        <v>0</v>
      </c>
      <c r="M220">
        <v>0</v>
      </c>
      <c r="N220">
        <v>0</v>
      </c>
      <c r="O220">
        <v>0</v>
      </c>
    </row>
    <row r="221" spans="1:15" x14ac:dyDescent="0.25">
      <c r="A221" t="s">
        <v>996</v>
      </c>
      <c r="B221" t="s">
        <v>1952</v>
      </c>
      <c r="C221" t="s">
        <v>923</v>
      </c>
      <c r="D221" t="s">
        <v>3063</v>
      </c>
      <c r="E221" t="s">
        <v>3053</v>
      </c>
      <c r="F221" t="s">
        <v>304</v>
      </c>
      <c r="G221" t="s">
        <v>305</v>
      </c>
      <c r="H221" t="s">
        <v>3196</v>
      </c>
      <c r="I221">
        <v>18</v>
      </c>
      <c r="J221">
        <v>0</v>
      </c>
      <c r="K221">
        <v>0</v>
      </c>
      <c r="L221">
        <v>18</v>
      </c>
      <c r="M221">
        <v>0</v>
      </c>
      <c r="N221">
        <v>0</v>
      </c>
      <c r="O221">
        <v>0</v>
      </c>
    </row>
    <row r="222" spans="1:15" x14ac:dyDescent="0.25">
      <c r="A222" t="s">
        <v>9804</v>
      </c>
      <c r="B222" t="s">
        <v>2043</v>
      </c>
      <c r="C222" t="s">
        <v>923</v>
      </c>
      <c r="D222" t="s">
        <v>3063</v>
      </c>
      <c r="E222" t="s">
        <v>3053</v>
      </c>
      <c r="F222" t="s">
        <v>304</v>
      </c>
      <c r="G222" t="s">
        <v>305</v>
      </c>
      <c r="H222" t="s">
        <v>10046</v>
      </c>
      <c r="I222">
        <v>31</v>
      </c>
      <c r="J222">
        <v>31</v>
      </c>
      <c r="K222">
        <v>0</v>
      </c>
      <c r="L222">
        <v>0</v>
      </c>
      <c r="M222">
        <v>0</v>
      </c>
      <c r="N222">
        <v>0</v>
      </c>
      <c r="O222">
        <v>0</v>
      </c>
    </row>
    <row r="223" spans="1:15" x14ac:dyDescent="0.25">
      <c r="A223" t="s">
        <v>1241</v>
      </c>
      <c r="B223" t="s">
        <v>2193</v>
      </c>
      <c r="C223" t="s">
        <v>923</v>
      </c>
      <c r="D223" t="s">
        <v>3063</v>
      </c>
      <c r="E223" t="s">
        <v>3053</v>
      </c>
      <c r="F223" t="s">
        <v>304</v>
      </c>
      <c r="G223" t="s">
        <v>305</v>
      </c>
      <c r="H223" t="s">
        <v>3197</v>
      </c>
      <c r="I223">
        <v>78</v>
      </c>
      <c r="J223">
        <v>0</v>
      </c>
      <c r="K223">
        <v>0</v>
      </c>
      <c r="L223">
        <v>0</v>
      </c>
      <c r="M223">
        <v>78</v>
      </c>
      <c r="N223">
        <v>0</v>
      </c>
      <c r="O223">
        <v>0</v>
      </c>
    </row>
    <row r="224" spans="1:15" x14ac:dyDescent="0.25">
      <c r="A224" t="s">
        <v>935</v>
      </c>
      <c r="B224" t="s">
        <v>1960</v>
      </c>
      <c r="C224" t="s">
        <v>923</v>
      </c>
      <c r="D224" t="s">
        <v>3063</v>
      </c>
      <c r="E224" t="s">
        <v>3053</v>
      </c>
      <c r="F224" t="s">
        <v>304</v>
      </c>
      <c r="G224" t="s">
        <v>305</v>
      </c>
      <c r="H224" t="s">
        <v>3198</v>
      </c>
      <c r="I224">
        <v>1</v>
      </c>
      <c r="J224">
        <v>0</v>
      </c>
      <c r="K224">
        <v>0</v>
      </c>
      <c r="L224">
        <v>1</v>
      </c>
      <c r="M224">
        <v>0</v>
      </c>
      <c r="N224">
        <v>0</v>
      </c>
      <c r="O224">
        <v>0</v>
      </c>
    </row>
    <row r="225" spans="1:15" x14ac:dyDescent="0.25">
      <c r="A225" t="s">
        <v>11660</v>
      </c>
      <c r="B225" t="s">
        <v>2041</v>
      </c>
      <c r="C225" t="s">
        <v>923</v>
      </c>
      <c r="D225" t="s">
        <v>3063</v>
      </c>
      <c r="E225" t="s">
        <v>3053</v>
      </c>
      <c r="F225" t="s">
        <v>304</v>
      </c>
      <c r="G225" t="s">
        <v>305</v>
      </c>
      <c r="H225" t="s">
        <v>11797</v>
      </c>
      <c r="I225">
        <v>39</v>
      </c>
      <c r="J225">
        <v>0</v>
      </c>
      <c r="K225">
        <v>0</v>
      </c>
      <c r="L225">
        <v>39</v>
      </c>
      <c r="M225">
        <v>0</v>
      </c>
      <c r="N225">
        <v>0</v>
      </c>
      <c r="O225">
        <v>0</v>
      </c>
    </row>
    <row r="226" spans="1:15" x14ac:dyDescent="0.25">
      <c r="A226" t="s">
        <v>1245</v>
      </c>
      <c r="B226" t="s">
        <v>1928</v>
      </c>
      <c r="C226" t="s">
        <v>923</v>
      </c>
      <c r="D226" t="s">
        <v>3063</v>
      </c>
      <c r="E226" t="s">
        <v>3053</v>
      </c>
      <c r="F226" t="s">
        <v>304</v>
      </c>
      <c r="G226" t="s">
        <v>305</v>
      </c>
      <c r="H226" t="s">
        <v>3199</v>
      </c>
      <c r="I226">
        <v>11</v>
      </c>
      <c r="J226">
        <v>11</v>
      </c>
      <c r="K226">
        <v>0</v>
      </c>
      <c r="L226">
        <v>0</v>
      </c>
      <c r="M226">
        <v>0</v>
      </c>
      <c r="N226">
        <v>1</v>
      </c>
      <c r="O226">
        <v>0</v>
      </c>
    </row>
    <row r="227" spans="1:15" x14ac:dyDescent="0.25">
      <c r="A227" t="s">
        <v>10638</v>
      </c>
      <c r="B227" t="s">
        <v>2057</v>
      </c>
      <c r="C227" t="s">
        <v>927</v>
      </c>
      <c r="D227" t="s">
        <v>3052</v>
      </c>
      <c r="E227" t="s">
        <v>3053</v>
      </c>
      <c r="F227" t="s">
        <v>304</v>
      </c>
      <c r="G227" t="s">
        <v>305</v>
      </c>
      <c r="H227" t="s">
        <v>10834</v>
      </c>
      <c r="I227">
        <v>1</v>
      </c>
      <c r="J227">
        <v>0</v>
      </c>
      <c r="K227">
        <v>0</v>
      </c>
      <c r="L227">
        <v>1</v>
      </c>
      <c r="M227">
        <v>0</v>
      </c>
      <c r="N227">
        <v>0</v>
      </c>
      <c r="O227">
        <v>0</v>
      </c>
    </row>
    <row r="228" spans="1:15" x14ac:dyDescent="0.25">
      <c r="A228" t="s">
        <v>1008</v>
      </c>
      <c r="B228" t="s">
        <v>2928</v>
      </c>
      <c r="C228" t="s">
        <v>927</v>
      </c>
      <c r="D228" t="s">
        <v>3052</v>
      </c>
      <c r="E228" t="s">
        <v>3053</v>
      </c>
      <c r="F228" t="s">
        <v>304</v>
      </c>
      <c r="G228" t="s">
        <v>305</v>
      </c>
      <c r="H228" t="s">
        <v>3200</v>
      </c>
      <c r="I228">
        <v>154</v>
      </c>
      <c r="J228">
        <v>125</v>
      </c>
      <c r="K228">
        <v>0</v>
      </c>
      <c r="L228">
        <v>11</v>
      </c>
      <c r="M228">
        <v>18</v>
      </c>
      <c r="N228">
        <v>2</v>
      </c>
      <c r="O228">
        <v>0</v>
      </c>
    </row>
    <row r="229" spans="1:15" x14ac:dyDescent="0.25">
      <c r="A229" t="s">
        <v>1263</v>
      </c>
      <c r="B229" t="s">
        <v>2744</v>
      </c>
      <c r="C229" t="s">
        <v>923</v>
      </c>
      <c r="D229" t="s">
        <v>3063</v>
      </c>
      <c r="E229" t="s">
        <v>3053</v>
      </c>
      <c r="F229" t="s">
        <v>304</v>
      </c>
      <c r="G229" t="s">
        <v>305</v>
      </c>
      <c r="H229" t="s">
        <v>3201</v>
      </c>
      <c r="I229">
        <v>133</v>
      </c>
      <c r="J229">
        <v>110</v>
      </c>
      <c r="K229">
        <v>6</v>
      </c>
      <c r="L229">
        <v>0</v>
      </c>
      <c r="M229">
        <v>17</v>
      </c>
      <c r="N229">
        <v>0</v>
      </c>
      <c r="O229">
        <v>0</v>
      </c>
    </row>
    <row r="230" spans="1:15" x14ac:dyDescent="0.25">
      <c r="A230" t="s">
        <v>1267</v>
      </c>
      <c r="B230" t="s">
        <v>2947</v>
      </c>
      <c r="C230" t="s">
        <v>923</v>
      </c>
      <c r="D230" t="s">
        <v>3063</v>
      </c>
      <c r="E230" t="s">
        <v>3053</v>
      </c>
      <c r="F230" t="s">
        <v>304</v>
      </c>
      <c r="G230" t="s">
        <v>305</v>
      </c>
      <c r="H230" t="s">
        <v>3202</v>
      </c>
      <c r="I230">
        <v>1</v>
      </c>
      <c r="J230">
        <v>1</v>
      </c>
      <c r="K230">
        <v>0</v>
      </c>
      <c r="L230">
        <v>0</v>
      </c>
      <c r="M230">
        <v>0</v>
      </c>
      <c r="N230">
        <v>0</v>
      </c>
      <c r="O230">
        <v>0</v>
      </c>
    </row>
    <row r="231" spans="1:15" x14ac:dyDescent="0.25">
      <c r="A231" t="s">
        <v>938</v>
      </c>
      <c r="B231" t="s">
        <v>2791</v>
      </c>
      <c r="C231" t="s">
        <v>927</v>
      </c>
      <c r="D231" t="s">
        <v>3052</v>
      </c>
      <c r="E231" t="s">
        <v>3053</v>
      </c>
      <c r="F231" t="s">
        <v>304</v>
      </c>
      <c r="G231" t="s">
        <v>305</v>
      </c>
      <c r="H231" t="s">
        <v>3203</v>
      </c>
      <c r="I231">
        <v>630</v>
      </c>
      <c r="J231">
        <v>567</v>
      </c>
      <c r="K231">
        <v>0</v>
      </c>
      <c r="L231">
        <v>5</v>
      </c>
      <c r="M231">
        <v>36</v>
      </c>
      <c r="N231">
        <v>5</v>
      </c>
      <c r="O231">
        <v>22</v>
      </c>
    </row>
    <row r="232" spans="1:15" x14ac:dyDescent="0.25">
      <c r="A232" t="s">
        <v>1124</v>
      </c>
      <c r="B232" t="s">
        <v>2981</v>
      </c>
      <c r="C232" t="s">
        <v>923</v>
      </c>
      <c r="D232" t="s">
        <v>3063</v>
      </c>
      <c r="E232" t="s">
        <v>3053</v>
      </c>
      <c r="F232" t="s">
        <v>304</v>
      </c>
      <c r="G232" t="s">
        <v>305</v>
      </c>
      <c r="H232" t="s">
        <v>14437</v>
      </c>
      <c r="I232">
        <v>13</v>
      </c>
      <c r="J232">
        <v>13</v>
      </c>
      <c r="K232">
        <v>0</v>
      </c>
      <c r="L232">
        <v>0</v>
      </c>
      <c r="M232">
        <v>0</v>
      </c>
      <c r="N232">
        <v>0</v>
      </c>
      <c r="O232">
        <v>0</v>
      </c>
    </row>
    <row r="233" spans="1:15" x14ac:dyDescent="0.25">
      <c r="A233" t="s">
        <v>1125</v>
      </c>
      <c r="B233" t="s">
        <v>2938</v>
      </c>
      <c r="C233" t="s">
        <v>923</v>
      </c>
      <c r="D233" t="s">
        <v>3063</v>
      </c>
      <c r="E233" t="s">
        <v>3053</v>
      </c>
      <c r="F233" t="s">
        <v>304</v>
      </c>
      <c r="G233" t="s">
        <v>305</v>
      </c>
      <c r="H233" t="s">
        <v>3204</v>
      </c>
      <c r="I233">
        <v>221</v>
      </c>
      <c r="J233">
        <v>4</v>
      </c>
      <c r="K233">
        <v>0</v>
      </c>
      <c r="L233">
        <v>1</v>
      </c>
      <c r="M233">
        <v>216</v>
      </c>
      <c r="N233">
        <v>0</v>
      </c>
      <c r="O233">
        <v>0</v>
      </c>
    </row>
    <row r="234" spans="1:15" x14ac:dyDescent="0.25">
      <c r="A234" t="s">
        <v>1280</v>
      </c>
      <c r="B234" t="s">
        <v>2245</v>
      </c>
      <c r="C234" t="s">
        <v>923</v>
      </c>
      <c r="D234" t="s">
        <v>3063</v>
      </c>
      <c r="E234" t="s">
        <v>3053</v>
      </c>
      <c r="F234" t="s">
        <v>304</v>
      </c>
      <c r="G234" t="s">
        <v>305</v>
      </c>
      <c r="H234" t="s">
        <v>11798</v>
      </c>
      <c r="I234">
        <v>10</v>
      </c>
      <c r="J234">
        <v>0</v>
      </c>
      <c r="K234">
        <v>0</v>
      </c>
      <c r="L234">
        <v>0</v>
      </c>
      <c r="M234">
        <v>10</v>
      </c>
      <c r="N234">
        <v>0</v>
      </c>
      <c r="O234">
        <v>0</v>
      </c>
    </row>
    <row r="235" spans="1:15" x14ac:dyDescent="0.25">
      <c r="A235" t="s">
        <v>1289</v>
      </c>
      <c r="B235" t="s">
        <v>2213</v>
      </c>
      <c r="C235" t="s">
        <v>923</v>
      </c>
      <c r="D235" t="s">
        <v>3063</v>
      </c>
      <c r="E235" t="s">
        <v>3053</v>
      </c>
      <c r="F235" t="s">
        <v>304</v>
      </c>
      <c r="G235" t="s">
        <v>305</v>
      </c>
      <c r="H235" t="s">
        <v>3205</v>
      </c>
      <c r="I235">
        <v>19</v>
      </c>
      <c r="J235">
        <v>0</v>
      </c>
      <c r="K235">
        <v>0</v>
      </c>
      <c r="L235">
        <v>0</v>
      </c>
      <c r="M235">
        <v>19</v>
      </c>
      <c r="N235">
        <v>0</v>
      </c>
      <c r="O235">
        <v>0</v>
      </c>
    </row>
    <row r="236" spans="1:15" x14ac:dyDescent="0.25">
      <c r="A236" t="s">
        <v>1025</v>
      </c>
      <c r="B236" t="s">
        <v>2893</v>
      </c>
      <c r="C236" t="s">
        <v>927</v>
      </c>
      <c r="D236" t="s">
        <v>3052</v>
      </c>
      <c r="E236" t="s">
        <v>3053</v>
      </c>
      <c r="F236" t="s">
        <v>304</v>
      </c>
      <c r="G236" t="s">
        <v>305</v>
      </c>
      <c r="H236" t="s">
        <v>3206</v>
      </c>
      <c r="I236">
        <v>606</v>
      </c>
      <c r="J236">
        <v>430</v>
      </c>
      <c r="K236">
        <v>0</v>
      </c>
      <c r="L236">
        <v>0</v>
      </c>
      <c r="M236">
        <v>0</v>
      </c>
      <c r="N236">
        <v>0</v>
      </c>
      <c r="O236">
        <v>176</v>
      </c>
    </row>
    <row r="237" spans="1:15" x14ac:dyDescent="0.25">
      <c r="A237" t="s">
        <v>943</v>
      </c>
      <c r="B237" t="s">
        <v>2694</v>
      </c>
      <c r="C237" t="s">
        <v>927</v>
      </c>
      <c r="D237" t="s">
        <v>3052</v>
      </c>
      <c r="E237" t="s">
        <v>3053</v>
      </c>
      <c r="F237" t="s">
        <v>304</v>
      </c>
      <c r="G237" t="s">
        <v>305</v>
      </c>
      <c r="H237" t="s">
        <v>3207</v>
      </c>
      <c r="I237">
        <v>998</v>
      </c>
      <c r="J237">
        <v>802</v>
      </c>
      <c r="K237">
        <v>0</v>
      </c>
      <c r="L237">
        <v>32</v>
      </c>
      <c r="M237">
        <v>42</v>
      </c>
      <c r="N237">
        <v>0</v>
      </c>
      <c r="O237">
        <v>122</v>
      </c>
    </row>
    <row r="238" spans="1:15" x14ac:dyDescent="0.25">
      <c r="A238" t="s">
        <v>1134</v>
      </c>
      <c r="B238" t="s">
        <v>2118</v>
      </c>
      <c r="C238" t="s">
        <v>927</v>
      </c>
      <c r="D238" t="s">
        <v>3052</v>
      </c>
      <c r="E238" t="s">
        <v>3053</v>
      </c>
      <c r="F238" t="s">
        <v>304</v>
      </c>
      <c r="G238" t="s">
        <v>305</v>
      </c>
      <c r="H238" t="s">
        <v>3208</v>
      </c>
      <c r="I238">
        <v>2882</v>
      </c>
      <c r="J238">
        <v>2431</v>
      </c>
      <c r="K238">
        <v>0</v>
      </c>
      <c r="L238">
        <v>115</v>
      </c>
      <c r="M238">
        <v>0</v>
      </c>
      <c r="N238">
        <v>7</v>
      </c>
      <c r="O238">
        <v>336</v>
      </c>
    </row>
    <row r="239" spans="1:15" x14ac:dyDescent="0.25">
      <c r="A239" t="s">
        <v>949</v>
      </c>
      <c r="B239" t="s">
        <v>3035</v>
      </c>
      <c r="C239" t="s">
        <v>927</v>
      </c>
      <c r="D239" t="s">
        <v>3052</v>
      </c>
      <c r="E239" t="s">
        <v>3053</v>
      </c>
      <c r="F239" t="s">
        <v>304</v>
      </c>
      <c r="G239" t="s">
        <v>305</v>
      </c>
      <c r="H239" t="s">
        <v>3209</v>
      </c>
      <c r="I239">
        <v>258</v>
      </c>
      <c r="J239">
        <v>0</v>
      </c>
      <c r="K239">
        <v>0</v>
      </c>
      <c r="L239">
        <v>0</v>
      </c>
      <c r="M239">
        <v>0</v>
      </c>
      <c r="N239">
        <v>0</v>
      </c>
      <c r="O239">
        <v>258</v>
      </c>
    </row>
    <row r="240" spans="1:15" x14ac:dyDescent="0.25">
      <c r="A240" t="s">
        <v>1309</v>
      </c>
      <c r="B240" t="s">
        <v>2690</v>
      </c>
      <c r="C240" t="s">
        <v>927</v>
      </c>
      <c r="D240" t="s">
        <v>3052</v>
      </c>
      <c r="E240" t="s">
        <v>3053</v>
      </c>
      <c r="F240" t="s">
        <v>304</v>
      </c>
      <c r="G240" t="s">
        <v>305</v>
      </c>
      <c r="H240" t="s">
        <v>3210</v>
      </c>
      <c r="I240">
        <v>7</v>
      </c>
      <c r="J240">
        <v>7</v>
      </c>
      <c r="K240">
        <v>0</v>
      </c>
      <c r="L240">
        <v>0</v>
      </c>
      <c r="M240">
        <v>0</v>
      </c>
      <c r="N240">
        <v>0</v>
      </c>
      <c r="O240">
        <v>0</v>
      </c>
    </row>
    <row r="241" spans="1:15" x14ac:dyDescent="0.25">
      <c r="A241" t="s">
        <v>1310</v>
      </c>
      <c r="B241" t="s">
        <v>2807</v>
      </c>
      <c r="C241" t="s">
        <v>923</v>
      </c>
      <c r="D241" t="s">
        <v>3063</v>
      </c>
      <c r="E241" t="s">
        <v>3053</v>
      </c>
      <c r="F241" t="s">
        <v>304</v>
      </c>
      <c r="G241" t="s">
        <v>305</v>
      </c>
      <c r="H241" t="s">
        <v>3211</v>
      </c>
      <c r="I241">
        <v>31</v>
      </c>
      <c r="J241">
        <v>31</v>
      </c>
      <c r="K241">
        <v>0</v>
      </c>
      <c r="L241">
        <v>0</v>
      </c>
      <c r="M241">
        <v>0</v>
      </c>
      <c r="N241">
        <v>0</v>
      </c>
      <c r="O241">
        <v>0</v>
      </c>
    </row>
    <row r="242" spans="1:15" x14ac:dyDescent="0.25">
      <c r="A242" t="s">
        <v>1312</v>
      </c>
      <c r="B242" t="s">
        <v>2734</v>
      </c>
      <c r="C242" t="s">
        <v>923</v>
      </c>
      <c r="D242" t="s">
        <v>3063</v>
      </c>
      <c r="E242" t="s">
        <v>3053</v>
      </c>
      <c r="F242" t="s">
        <v>304</v>
      </c>
      <c r="G242" t="s">
        <v>305</v>
      </c>
      <c r="H242" t="s">
        <v>3212</v>
      </c>
      <c r="I242">
        <v>61</v>
      </c>
      <c r="J242">
        <v>0</v>
      </c>
      <c r="K242">
        <v>0</v>
      </c>
      <c r="L242">
        <v>61</v>
      </c>
      <c r="M242">
        <v>0</v>
      </c>
      <c r="N242">
        <v>0</v>
      </c>
      <c r="O242">
        <v>0</v>
      </c>
    </row>
    <row r="243" spans="1:15" x14ac:dyDescent="0.25">
      <c r="A243" t="s">
        <v>1140</v>
      </c>
      <c r="B243" t="s">
        <v>2697</v>
      </c>
      <c r="C243" t="s">
        <v>927</v>
      </c>
      <c r="D243" t="s">
        <v>3052</v>
      </c>
      <c r="E243" t="s">
        <v>3053</v>
      </c>
      <c r="F243" t="s">
        <v>304</v>
      </c>
      <c r="G243" t="s">
        <v>305</v>
      </c>
      <c r="H243" t="s">
        <v>3213</v>
      </c>
      <c r="I243">
        <v>245</v>
      </c>
      <c r="J243">
        <v>137</v>
      </c>
      <c r="K243">
        <v>0</v>
      </c>
      <c r="L243">
        <v>19</v>
      </c>
      <c r="M243">
        <v>25</v>
      </c>
      <c r="N243">
        <v>15</v>
      </c>
      <c r="O243">
        <v>64</v>
      </c>
    </row>
    <row r="244" spans="1:15" x14ac:dyDescent="0.25">
      <c r="A244" t="s">
        <v>1313</v>
      </c>
      <c r="B244" t="s">
        <v>2959</v>
      </c>
      <c r="C244" t="s">
        <v>923</v>
      </c>
      <c r="D244" t="s">
        <v>3063</v>
      </c>
      <c r="E244" t="s">
        <v>3053</v>
      </c>
      <c r="F244" t="s">
        <v>304</v>
      </c>
      <c r="G244" t="s">
        <v>305</v>
      </c>
      <c r="H244" t="s">
        <v>3214</v>
      </c>
      <c r="I244">
        <v>11</v>
      </c>
      <c r="J244">
        <v>0</v>
      </c>
      <c r="K244">
        <v>0</v>
      </c>
      <c r="L244">
        <v>3</v>
      </c>
      <c r="M244">
        <v>8</v>
      </c>
      <c r="N244">
        <v>0</v>
      </c>
      <c r="O244">
        <v>0</v>
      </c>
    </row>
    <row r="245" spans="1:15" x14ac:dyDescent="0.25">
      <c r="A245" t="s">
        <v>1142</v>
      </c>
      <c r="B245" t="s">
        <v>3003</v>
      </c>
      <c r="C245" t="s">
        <v>927</v>
      </c>
      <c r="D245" t="s">
        <v>3052</v>
      </c>
      <c r="E245" t="s">
        <v>3053</v>
      </c>
      <c r="F245" t="s">
        <v>304</v>
      </c>
      <c r="G245" t="s">
        <v>305</v>
      </c>
      <c r="H245" t="s">
        <v>3215</v>
      </c>
      <c r="I245">
        <v>25</v>
      </c>
      <c r="J245">
        <v>25</v>
      </c>
      <c r="K245">
        <v>0</v>
      </c>
      <c r="L245">
        <v>0</v>
      </c>
      <c r="M245">
        <v>0</v>
      </c>
      <c r="N245">
        <v>0</v>
      </c>
      <c r="O245">
        <v>0</v>
      </c>
    </row>
    <row r="246" spans="1:15" x14ac:dyDescent="0.25">
      <c r="A246" t="s">
        <v>1043</v>
      </c>
      <c r="B246" t="s">
        <v>2090</v>
      </c>
      <c r="C246" t="s">
        <v>927</v>
      </c>
      <c r="D246" t="s">
        <v>3052</v>
      </c>
      <c r="E246" t="s">
        <v>3053</v>
      </c>
      <c r="F246" t="s">
        <v>304</v>
      </c>
      <c r="G246" t="s">
        <v>305</v>
      </c>
      <c r="H246" t="s">
        <v>3216</v>
      </c>
      <c r="I246">
        <v>52</v>
      </c>
      <c r="J246">
        <v>16</v>
      </c>
      <c r="K246">
        <v>0</v>
      </c>
      <c r="L246">
        <v>6</v>
      </c>
      <c r="M246">
        <v>30</v>
      </c>
      <c r="N246">
        <v>0</v>
      </c>
      <c r="O246">
        <v>0</v>
      </c>
    </row>
    <row r="247" spans="1:15" x14ac:dyDescent="0.25">
      <c r="A247" t="s">
        <v>1044</v>
      </c>
      <c r="B247" t="s">
        <v>2000</v>
      </c>
      <c r="C247" t="s">
        <v>923</v>
      </c>
      <c r="D247" t="s">
        <v>3063</v>
      </c>
      <c r="E247" t="s">
        <v>3053</v>
      </c>
      <c r="F247" t="s">
        <v>304</v>
      </c>
      <c r="G247" t="s">
        <v>305</v>
      </c>
      <c r="H247" t="s">
        <v>3217</v>
      </c>
      <c r="I247">
        <v>19</v>
      </c>
      <c r="J247">
        <v>0</v>
      </c>
      <c r="K247">
        <v>0</v>
      </c>
      <c r="L247">
        <v>19</v>
      </c>
      <c r="M247">
        <v>0</v>
      </c>
      <c r="N247">
        <v>0</v>
      </c>
      <c r="O247">
        <v>0</v>
      </c>
    </row>
    <row r="248" spans="1:15" x14ac:dyDescent="0.25">
      <c r="A248" t="s">
        <v>1146</v>
      </c>
      <c r="B248" t="s">
        <v>2117</v>
      </c>
      <c r="C248" t="s">
        <v>927</v>
      </c>
      <c r="D248" t="s">
        <v>3052</v>
      </c>
      <c r="E248" t="s">
        <v>3053</v>
      </c>
      <c r="F248" t="s">
        <v>304</v>
      </c>
      <c r="G248" t="s">
        <v>305</v>
      </c>
      <c r="H248" t="s">
        <v>3218</v>
      </c>
      <c r="I248">
        <v>1727</v>
      </c>
      <c r="J248">
        <v>1403</v>
      </c>
      <c r="K248">
        <v>0</v>
      </c>
      <c r="L248">
        <v>20</v>
      </c>
      <c r="M248">
        <v>39</v>
      </c>
      <c r="N248">
        <v>3</v>
      </c>
      <c r="O248">
        <v>265</v>
      </c>
    </row>
    <row r="249" spans="1:15" x14ac:dyDescent="0.25">
      <c r="A249" t="s">
        <v>951</v>
      </c>
      <c r="B249" t="s">
        <v>2680</v>
      </c>
      <c r="C249" t="s">
        <v>927</v>
      </c>
      <c r="D249" t="s">
        <v>3052</v>
      </c>
      <c r="E249" t="s">
        <v>3053</v>
      </c>
      <c r="F249" t="s">
        <v>304</v>
      </c>
      <c r="G249" t="s">
        <v>305</v>
      </c>
      <c r="H249" t="s">
        <v>3219</v>
      </c>
      <c r="I249">
        <v>15</v>
      </c>
      <c r="J249">
        <v>8</v>
      </c>
      <c r="K249">
        <v>0</v>
      </c>
      <c r="L249">
        <v>0</v>
      </c>
      <c r="M249">
        <v>0</v>
      </c>
      <c r="N249">
        <v>0</v>
      </c>
      <c r="O249">
        <v>7</v>
      </c>
    </row>
    <row r="250" spans="1:15" x14ac:dyDescent="0.25">
      <c r="A250" t="s">
        <v>953</v>
      </c>
      <c r="B250" t="s">
        <v>2014</v>
      </c>
      <c r="C250" t="s">
        <v>927</v>
      </c>
      <c r="D250" t="s">
        <v>3052</v>
      </c>
      <c r="E250" t="s">
        <v>3053</v>
      </c>
      <c r="F250" t="s">
        <v>304</v>
      </c>
      <c r="G250" t="s">
        <v>305</v>
      </c>
      <c r="H250" t="s">
        <v>3220</v>
      </c>
      <c r="I250">
        <v>2</v>
      </c>
      <c r="J250">
        <v>0</v>
      </c>
      <c r="K250">
        <v>0</v>
      </c>
      <c r="L250">
        <v>2</v>
      </c>
      <c r="M250">
        <v>0</v>
      </c>
      <c r="N250">
        <v>0</v>
      </c>
      <c r="O250">
        <v>0</v>
      </c>
    </row>
    <row r="251" spans="1:15" x14ac:dyDescent="0.25">
      <c r="A251" t="s">
        <v>1053</v>
      </c>
      <c r="B251" t="s">
        <v>2860</v>
      </c>
      <c r="C251" t="s">
        <v>923</v>
      </c>
      <c r="D251" t="s">
        <v>3063</v>
      </c>
      <c r="E251" t="s">
        <v>3053</v>
      </c>
      <c r="F251" t="s">
        <v>304</v>
      </c>
      <c r="G251" t="s">
        <v>305</v>
      </c>
      <c r="H251" t="s">
        <v>3221</v>
      </c>
      <c r="I251">
        <v>82</v>
      </c>
      <c r="J251">
        <v>0</v>
      </c>
      <c r="K251">
        <v>0</v>
      </c>
      <c r="L251">
        <v>0</v>
      </c>
      <c r="M251">
        <v>82</v>
      </c>
      <c r="N251">
        <v>0</v>
      </c>
      <c r="O251">
        <v>0</v>
      </c>
    </row>
    <row r="252" spans="1:15" x14ac:dyDescent="0.25">
      <c r="A252" t="s">
        <v>9788</v>
      </c>
      <c r="B252" t="s">
        <v>9871</v>
      </c>
      <c r="C252" t="s">
        <v>927</v>
      </c>
      <c r="D252" t="s">
        <v>3052</v>
      </c>
      <c r="E252" t="s">
        <v>3053</v>
      </c>
      <c r="F252" t="s">
        <v>304</v>
      </c>
      <c r="G252" t="s">
        <v>305</v>
      </c>
      <c r="H252" t="s">
        <v>14438</v>
      </c>
      <c r="I252">
        <v>83</v>
      </c>
      <c r="J252">
        <v>83</v>
      </c>
      <c r="K252">
        <v>0</v>
      </c>
      <c r="L252">
        <v>0</v>
      </c>
      <c r="M252">
        <v>0</v>
      </c>
      <c r="N252">
        <v>0</v>
      </c>
      <c r="O252">
        <v>0</v>
      </c>
    </row>
    <row r="253" spans="1:15" x14ac:dyDescent="0.25">
      <c r="A253" t="s">
        <v>1056</v>
      </c>
      <c r="B253" t="s">
        <v>2966</v>
      </c>
      <c r="C253" t="s">
        <v>927</v>
      </c>
      <c r="D253" t="s">
        <v>3052</v>
      </c>
      <c r="E253" t="s">
        <v>3053</v>
      </c>
      <c r="F253" t="s">
        <v>304</v>
      </c>
      <c r="G253" t="s">
        <v>305</v>
      </c>
      <c r="H253" t="s">
        <v>14439</v>
      </c>
      <c r="I253">
        <v>108</v>
      </c>
      <c r="J253">
        <v>60</v>
      </c>
      <c r="K253">
        <v>0</v>
      </c>
      <c r="L253">
        <v>8</v>
      </c>
      <c r="M253">
        <v>40</v>
      </c>
      <c r="N253">
        <v>0</v>
      </c>
      <c r="O253">
        <v>0</v>
      </c>
    </row>
    <row r="254" spans="1:15" x14ac:dyDescent="0.25">
      <c r="A254" t="s">
        <v>1057</v>
      </c>
      <c r="B254" t="s">
        <v>1972</v>
      </c>
      <c r="C254" t="s">
        <v>927</v>
      </c>
      <c r="D254" t="s">
        <v>3052</v>
      </c>
      <c r="E254" t="s">
        <v>3053</v>
      </c>
      <c r="F254" t="s">
        <v>304</v>
      </c>
      <c r="G254" t="s">
        <v>305</v>
      </c>
      <c r="H254" t="s">
        <v>3222</v>
      </c>
      <c r="I254">
        <v>91</v>
      </c>
      <c r="J254">
        <v>58</v>
      </c>
      <c r="K254">
        <v>0</v>
      </c>
      <c r="L254">
        <v>0</v>
      </c>
      <c r="M254">
        <v>0</v>
      </c>
      <c r="N254">
        <v>0</v>
      </c>
      <c r="O254">
        <v>33</v>
      </c>
    </row>
    <row r="255" spans="1:15" x14ac:dyDescent="0.25">
      <c r="A255" t="s">
        <v>955</v>
      </c>
      <c r="B255" t="s">
        <v>2660</v>
      </c>
      <c r="C255" t="s">
        <v>927</v>
      </c>
      <c r="D255" t="s">
        <v>3052</v>
      </c>
      <c r="E255" t="s">
        <v>3053</v>
      </c>
      <c r="F255" t="s">
        <v>304</v>
      </c>
      <c r="G255" t="s">
        <v>305</v>
      </c>
      <c r="H255" t="s">
        <v>3223</v>
      </c>
      <c r="I255">
        <v>259</v>
      </c>
      <c r="J255">
        <v>97</v>
      </c>
      <c r="K255">
        <v>0</v>
      </c>
      <c r="L255">
        <v>71</v>
      </c>
      <c r="M255">
        <v>87</v>
      </c>
      <c r="N255">
        <v>0</v>
      </c>
      <c r="O255">
        <v>4</v>
      </c>
    </row>
    <row r="256" spans="1:15" x14ac:dyDescent="0.25">
      <c r="A256" t="s">
        <v>1155</v>
      </c>
      <c r="B256" t="s">
        <v>2912</v>
      </c>
      <c r="C256" t="s">
        <v>927</v>
      </c>
      <c r="D256" t="s">
        <v>3052</v>
      </c>
      <c r="E256" t="s">
        <v>3053</v>
      </c>
      <c r="F256" t="s">
        <v>304</v>
      </c>
      <c r="G256" t="s">
        <v>305</v>
      </c>
      <c r="H256" t="s">
        <v>3224</v>
      </c>
      <c r="I256">
        <v>1</v>
      </c>
      <c r="J256">
        <v>0</v>
      </c>
      <c r="K256">
        <v>0</v>
      </c>
      <c r="L256">
        <v>0</v>
      </c>
      <c r="M256">
        <v>0</v>
      </c>
      <c r="N256">
        <v>0</v>
      </c>
      <c r="O256">
        <v>1</v>
      </c>
    </row>
    <row r="257" spans="1:15" x14ac:dyDescent="0.25">
      <c r="A257" t="s">
        <v>11663</v>
      </c>
      <c r="B257" t="s">
        <v>11768</v>
      </c>
      <c r="C257" t="s">
        <v>927</v>
      </c>
      <c r="D257" t="s">
        <v>3052</v>
      </c>
      <c r="E257" t="s">
        <v>3053</v>
      </c>
      <c r="F257" t="s">
        <v>304</v>
      </c>
      <c r="G257" t="s">
        <v>305</v>
      </c>
      <c r="H257" t="s">
        <v>11799</v>
      </c>
      <c r="I257">
        <v>327</v>
      </c>
      <c r="J257">
        <v>280</v>
      </c>
      <c r="K257">
        <v>0</v>
      </c>
      <c r="L257">
        <v>6</v>
      </c>
      <c r="M257">
        <v>26</v>
      </c>
      <c r="N257">
        <v>0</v>
      </c>
      <c r="O257">
        <v>15</v>
      </c>
    </row>
    <row r="258" spans="1:15" x14ac:dyDescent="0.25">
      <c r="A258" t="s">
        <v>14380</v>
      </c>
      <c r="B258" t="s">
        <v>2074</v>
      </c>
      <c r="C258" t="s">
        <v>927</v>
      </c>
      <c r="D258" t="s">
        <v>3052</v>
      </c>
      <c r="E258" t="s">
        <v>3053</v>
      </c>
      <c r="F258" t="s">
        <v>304</v>
      </c>
      <c r="G258" t="s">
        <v>305</v>
      </c>
      <c r="H258" t="s">
        <v>14440</v>
      </c>
      <c r="I258">
        <v>634</v>
      </c>
      <c r="J258">
        <v>366</v>
      </c>
      <c r="K258">
        <v>5</v>
      </c>
      <c r="L258">
        <v>49</v>
      </c>
      <c r="M258">
        <v>72</v>
      </c>
      <c r="N258">
        <v>17</v>
      </c>
      <c r="O258">
        <v>142</v>
      </c>
    </row>
    <row r="259" spans="1:15" x14ac:dyDescent="0.25">
      <c r="A259" t="s">
        <v>14374</v>
      </c>
      <c r="B259" t="s">
        <v>1943</v>
      </c>
      <c r="C259" t="s">
        <v>927</v>
      </c>
      <c r="D259" t="s">
        <v>3052</v>
      </c>
      <c r="E259" t="s">
        <v>3053</v>
      </c>
      <c r="F259" t="s">
        <v>304</v>
      </c>
      <c r="G259" t="s">
        <v>305</v>
      </c>
      <c r="H259" t="s">
        <v>14441</v>
      </c>
      <c r="I259">
        <v>60</v>
      </c>
      <c r="J259">
        <v>0</v>
      </c>
      <c r="K259">
        <v>0</v>
      </c>
      <c r="L259">
        <v>0</v>
      </c>
      <c r="M259">
        <v>0</v>
      </c>
      <c r="N259">
        <v>0</v>
      </c>
      <c r="O259">
        <v>60</v>
      </c>
    </row>
    <row r="260" spans="1:15" x14ac:dyDescent="0.25">
      <c r="A260" t="s">
        <v>1352</v>
      </c>
      <c r="B260" t="s">
        <v>2085</v>
      </c>
      <c r="C260" t="s">
        <v>923</v>
      </c>
      <c r="D260" t="s">
        <v>3063</v>
      </c>
      <c r="E260" t="s">
        <v>3053</v>
      </c>
      <c r="F260" t="s">
        <v>304</v>
      </c>
      <c r="G260" t="s">
        <v>305</v>
      </c>
      <c r="H260" t="s">
        <v>3225</v>
      </c>
      <c r="I260">
        <v>489</v>
      </c>
      <c r="J260">
        <v>489</v>
      </c>
      <c r="K260">
        <v>0</v>
      </c>
      <c r="L260">
        <v>0</v>
      </c>
      <c r="M260">
        <v>0</v>
      </c>
      <c r="N260">
        <v>0</v>
      </c>
      <c r="O260">
        <v>0</v>
      </c>
    </row>
    <row r="261" spans="1:15" x14ac:dyDescent="0.25">
      <c r="A261" t="s">
        <v>11682</v>
      </c>
      <c r="B261" t="s">
        <v>11776</v>
      </c>
      <c r="C261" t="s">
        <v>923</v>
      </c>
      <c r="D261" t="s">
        <v>3063</v>
      </c>
      <c r="E261" t="s">
        <v>3053</v>
      </c>
      <c r="F261" t="s">
        <v>304</v>
      </c>
      <c r="G261" t="s">
        <v>305</v>
      </c>
      <c r="H261" t="s">
        <v>11800</v>
      </c>
      <c r="I261">
        <v>38</v>
      </c>
      <c r="J261">
        <v>38</v>
      </c>
      <c r="K261">
        <v>0</v>
      </c>
      <c r="L261">
        <v>0</v>
      </c>
      <c r="M261">
        <v>0</v>
      </c>
      <c r="N261">
        <v>0</v>
      </c>
      <c r="O261">
        <v>0</v>
      </c>
    </row>
    <row r="262" spans="1:15" x14ac:dyDescent="0.25">
      <c r="A262" t="s">
        <v>1066</v>
      </c>
      <c r="B262" t="s">
        <v>2557</v>
      </c>
      <c r="C262" t="s">
        <v>927</v>
      </c>
      <c r="D262" t="s">
        <v>3052</v>
      </c>
      <c r="E262" t="s">
        <v>3053</v>
      </c>
      <c r="F262" t="s">
        <v>304</v>
      </c>
      <c r="G262" t="s">
        <v>305</v>
      </c>
      <c r="H262" t="s">
        <v>3226</v>
      </c>
      <c r="I262">
        <v>11</v>
      </c>
      <c r="J262">
        <v>0</v>
      </c>
      <c r="K262">
        <v>0</v>
      </c>
      <c r="L262">
        <v>0</v>
      </c>
      <c r="M262">
        <v>11</v>
      </c>
      <c r="N262">
        <v>0</v>
      </c>
      <c r="O262">
        <v>0</v>
      </c>
    </row>
    <row r="263" spans="1:15" x14ac:dyDescent="0.25">
      <c r="A263" t="s">
        <v>1363</v>
      </c>
      <c r="B263" t="s">
        <v>2150</v>
      </c>
      <c r="C263" t="s">
        <v>923</v>
      </c>
      <c r="D263" t="s">
        <v>3063</v>
      </c>
      <c r="E263" t="s">
        <v>3053</v>
      </c>
      <c r="F263" t="s">
        <v>304</v>
      </c>
      <c r="G263" t="s">
        <v>305</v>
      </c>
      <c r="H263" t="s">
        <v>3227</v>
      </c>
      <c r="I263">
        <v>172</v>
      </c>
      <c r="J263">
        <v>0</v>
      </c>
      <c r="K263">
        <v>0</v>
      </c>
      <c r="L263">
        <v>0</v>
      </c>
      <c r="M263">
        <v>172</v>
      </c>
      <c r="N263">
        <v>0</v>
      </c>
      <c r="O263">
        <v>0</v>
      </c>
    </row>
    <row r="264" spans="1:15" x14ac:dyDescent="0.25">
      <c r="A264" t="s">
        <v>1069</v>
      </c>
      <c r="B264" t="s">
        <v>2001</v>
      </c>
      <c r="C264" t="s">
        <v>927</v>
      </c>
      <c r="D264" t="s">
        <v>3052</v>
      </c>
      <c r="E264" t="s">
        <v>3053</v>
      </c>
      <c r="F264" t="s">
        <v>304</v>
      </c>
      <c r="G264" t="s">
        <v>305</v>
      </c>
      <c r="H264" t="s">
        <v>3228</v>
      </c>
      <c r="I264">
        <v>2</v>
      </c>
      <c r="J264">
        <v>0</v>
      </c>
      <c r="K264">
        <v>0</v>
      </c>
      <c r="L264">
        <v>2</v>
      </c>
      <c r="M264">
        <v>0</v>
      </c>
      <c r="N264">
        <v>0</v>
      </c>
      <c r="O264">
        <v>0</v>
      </c>
    </row>
    <row r="265" spans="1:15" x14ac:dyDescent="0.25">
      <c r="A265" t="s">
        <v>1174</v>
      </c>
      <c r="B265" t="s">
        <v>2663</v>
      </c>
      <c r="C265" t="s">
        <v>927</v>
      </c>
      <c r="D265" t="s">
        <v>3052</v>
      </c>
      <c r="E265" t="s">
        <v>3053</v>
      </c>
      <c r="F265" t="s">
        <v>304</v>
      </c>
      <c r="G265" t="s">
        <v>305</v>
      </c>
      <c r="H265" t="s">
        <v>3229</v>
      </c>
      <c r="I265">
        <v>79</v>
      </c>
      <c r="J265">
        <v>51</v>
      </c>
      <c r="K265">
        <v>0</v>
      </c>
      <c r="L265">
        <v>0</v>
      </c>
      <c r="M265">
        <v>0</v>
      </c>
      <c r="N265">
        <v>0</v>
      </c>
      <c r="O265">
        <v>28</v>
      </c>
    </row>
    <row r="266" spans="1:15" x14ac:dyDescent="0.25">
      <c r="A266" t="s">
        <v>1072</v>
      </c>
      <c r="B266" t="s">
        <v>2907</v>
      </c>
      <c r="C266" t="s">
        <v>927</v>
      </c>
      <c r="D266" t="s">
        <v>3052</v>
      </c>
      <c r="E266" t="s">
        <v>3053</v>
      </c>
      <c r="F266" t="s">
        <v>304</v>
      </c>
      <c r="G266" t="s">
        <v>305</v>
      </c>
      <c r="H266" t="s">
        <v>14442</v>
      </c>
      <c r="I266">
        <v>157</v>
      </c>
      <c r="J266">
        <v>98</v>
      </c>
      <c r="K266">
        <v>0</v>
      </c>
      <c r="L266">
        <v>21</v>
      </c>
      <c r="M266">
        <v>0</v>
      </c>
      <c r="N266">
        <v>0</v>
      </c>
      <c r="O266">
        <v>38</v>
      </c>
    </row>
    <row r="267" spans="1:15" x14ac:dyDescent="0.25">
      <c r="A267" t="s">
        <v>1185</v>
      </c>
      <c r="B267" t="s">
        <v>2886</v>
      </c>
      <c r="C267" t="s">
        <v>927</v>
      </c>
      <c r="D267" t="s">
        <v>3052</v>
      </c>
      <c r="E267" t="s">
        <v>3053</v>
      </c>
      <c r="F267" t="s">
        <v>304</v>
      </c>
      <c r="G267" t="s">
        <v>305</v>
      </c>
      <c r="H267" t="s">
        <v>14443</v>
      </c>
      <c r="I267">
        <v>7</v>
      </c>
      <c r="J267">
        <v>2</v>
      </c>
      <c r="K267">
        <v>5</v>
      </c>
      <c r="L267">
        <v>0</v>
      </c>
      <c r="M267">
        <v>0</v>
      </c>
      <c r="N267">
        <v>0</v>
      </c>
      <c r="O267">
        <v>0</v>
      </c>
    </row>
    <row r="268" spans="1:15" x14ac:dyDescent="0.25">
      <c r="A268" t="s">
        <v>1388</v>
      </c>
      <c r="B268" t="s">
        <v>2926</v>
      </c>
      <c r="C268" t="s">
        <v>923</v>
      </c>
      <c r="D268" t="s">
        <v>3063</v>
      </c>
      <c r="E268" t="s">
        <v>3053</v>
      </c>
      <c r="F268" t="s">
        <v>304</v>
      </c>
      <c r="G268" t="s">
        <v>305</v>
      </c>
      <c r="H268" t="s">
        <v>3230</v>
      </c>
      <c r="I268">
        <v>65</v>
      </c>
      <c r="J268">
        <v>0</v>
      </c>
      <c r="K268">
        <v>0</v>
      </c>
      <c r="L268">
        <v>0</v>
      </c>
      <c r="M268">
        <v>65</v>
      </c>
      <c r="N268">
        <v>0</v>
      </c>
      <c r="O268">
        <v>0</v>
      </c>
    </row>
    <row r="269" spans="1:15" x14ac:dyDescent="0.25">
      <c r="A269" t="s">
        <v>1080</v>
      </c>
      <c r="B269" t="s">
        <v>2030</v>
      </c>
      <c r="C269" t="s">
        <v>923</v>
      </c>
      <c r="D269" t="s">
        <v>3063</v>
      </c>
      <c r="E269" t="s">
        <v>3053</v>
      </c>
      <c r="F269" t="s">
        <v>304</v>
      </c>
      <c r="G269" t="s">
        <v>305</v>
      </c>
      <c r="H269" t="s">
        <v>3231</v>
      </c>
      <c r="I269">
        <v>9</v>
      </c>
      <c r="J269">
        <v>0</v>
      </c>
      <c r="K269">
        <v>0</v>
      </c>
      <c r="L269">
        <v>9</v>
      </c>
      <c r="M269">
        <v>0</v>
      </c>
      <c r="N269">
        <v>0</v>
      </c>
      <c r="O269">
        <v>0</v>
      </c>
    </row>
    <row r="270" spans="1:15" x14ac:dyDescent="0.25">
      <c r="A270" t="s">
        <v>1390</v>
      </c>
      <c r="B270" t="s">
        <v>2978</v>
      </c>
      <c r="C270" t="s">
        <v>923</v>
      </c>
      <c r="D270" t="s">
        <v>3063</v>
      </c>
      <c r="E270" t="s">
        <v>3053</v>
      </c>
      <c r="F270" t="s">
        <v>304</v>
      </c>
      <c r="G270" t="s">
        <v>305</v>
      </c>
      <c r="H270" t="s">
        <v>3232</v>
      </c>
      <c r="I270">
        <v>9</v>
      </c>
      <c r="J270">
        <v>9</v>
      </c>
      <c r="K270">
        <v>0</v>
      </c>
      <c r="L270">
        <v>0</v>
      </c>
      <c r="M270">
        <v>0</v>
      </c>
      <c r="N270">
        <v>0</v>
      </c>
      <c r="O270">
        <v>0</v>
      </c>
    </row>
    <row r="271" spans="1:15" x14ac:dyDescent="0.25">
      <c r="A271" t="s">
        <v>14377</v>
      </c>
      <c r="B271" t="s">
        <v>14444</v>
      </c>
      <c r="C271" t="s">
        <v>923</v>
      </c>
      <c r="D271" t="s">
        <v>3063</v>
      </c>
      <c r="E271" t="s">
        <v>3053</v>
      </c>
      <c r="F271" t="s">
        <v>304</v>
      </c>
      <c r="G271" t="s">
        <v>305</v>
      </c>
      <c r="H271" t="s">
        <v>14445</v>
      </c>
      <c r="I271">
        <v>1</v>
      </c>
      <c r="J271">
        <v>1</v>
      </c>
      <c r="K271">
        <v>0</v>
      </c>
      <c r="L271">
        <v>0</v>
      </c>
      <c r="M271">
        <v>0</v>
      </c>
      <c r="N271">
        <v>0</v>
      </c>
      <c r="O271">
        <v>0</v>
      </c>
    </row>
    <row r="272" spans="1:15" x14ac:dyDescent="0.25">
      <c r="A272" t="s">
        <v>11723</v>
      </c>
      <c r="B272" t="s">
        <v>2719</v>
      </c>
      <c r="C272" t="s">
        <v>927</v>
      </c>
      <c r="D272" t="s">
        <v>3052</v>
      </c>
      <c r="E272" t="s">
        <v>3053</v>
      </c>
      <c r="F272" t="s">
        <v>306</v>
      </c>
      <c r="G272" t="s">
        <v>307</v>
      </c>
      <c r="H272" t="s">
        <v>11801</v>
      </c>
      <c r="I272">
        <v>224</v>
      </c>
      <c r="J272">
        <v>210</v>
      </c>
      <c r="K272">
        <v>0</v>
      </c>
      <c r="L272">
        <v>0</v>
      </c>
      <c r="M272">
        <v>0</v>
      </c>
      <c r="N272">
        <v>0</v>
      </c>
      <c r="O272">
        <v>14</v>
      </c>
    </row>
    <row r="273" spans="1:15" x14ac:dyDescent="0.25">
      <c r="A273" t="s">
        <v>972</v>
      </c>
      <c r="B273" t="s">
        <v>2842</v>
      </c>
      <c r="C273" t="s">
        <v>927</v>
      </c>
      <c r="D273" t="s">
        <v>3052</v>
      </c>
      <c r="E273" t="s">
        <v>3053</v>
      </c>
      <c r="F273" t="s">
        <v>306</v>
      </c>
      <c r="G273" t="s">
        <v>307</v>
      </c>
      <c r="H273" t="s">
        <v>3233</v>
      </c>
      <c r="I273">
        <v>40</v>
      </c>
      <c r="J273">
        <v>16</v>
      </c>
      <c r="K273">
        <v>0</v>
      </c>
      <c r="L273">
        <v>0</v>
      </c>
      <c r="M273">
        <v>0</v>
      </c>
      <c r="N273">
        <v>0</v>
      </c>
      <c r="O273">
        <v>24</v>
      </c>
    </row>
    <row r="274" spans="1:15" x14ac:dyDescent="0.25">
      <c r="A274" t="s">
        <v>973</v>
      </c>
      <c r="B274" t="s">
        <v>1957</v>
      </c>
      <c r="C274" t="s">
        <v>923</v>
      </c>
      <c r="D274" t="s">
        <v>3063</v>
      </c>
      <c r="E274" t="s">
        <v>3053</v>
      </c>
      <c r="F274" t="s">
        <v>306</v>
      </c>
      <c r="G274" t="s">
        <v>307</v>
      </c>
      <c r="H274" t="s">
        <v>3234</v>
      </c>
      <c r="I274">
        <v>2</v>
      </c>
      <c r="J274">
        <v>2</v>
      </c>
      <c r="K274">
        <v>0</v>
      </c>
      <c r="L274">
        <v>0</v>
      </c>
      <c r="M274">
        <v>0</v>
      </c>
      <c r="N274">
        <v>0</v>
      </c>
      <c r="O274">
        <v>0</v>
      </c>
    </row>
    <row r="275" spans="1:15" x14ac:dyDescent="0.25">
      <c r="A275" t="s">
        <v>929</v>
      </c>
      <c r="B275" t="s">
        <v>2999</v>
      </c>
      <c r="C275" t="s">
        <v>927</v>
      </c>
      <c r="D275" t="s">
        <v>3052</v>
      </c>
      <c r="E275" t="s">
        <v>3053</v>
      </c>
      <c r="F275" t="s">
        <v>306</v>
      </c>
      <c r="G275" t="s">
        <v>307</v>
      </c>
      <c r="H275" t="s">
        <v>3235</v>
      </c>
      <c r="I275">
        <v>30</v>
      </c>
      <c r="J275">
        <v>0</v>
      </c>
      <c r="K275">
        <v>0</v>
      </c>
      <c r="L275">
        <v>0</v>
      </c>
      <c r="M275">
        <v>30</v>
      </c>
      <c r="N275">
        <v>9</v>
      </c>
      <c r="O275">
        <v>0</v>
      </c>
    </row>
    <row r="276" spans="1:15" x14ac:dyDescent="0.25">
      <c r="A276" t="s">
        <v>1458</v>
      </c>
      <c r="B276" t="s">
        <v>2024</v>
      </c>
      <c r="C276" t="s">
        <v>923</v>
      </c>
      <c r="D276" t="s">
        <v>3063</v>
      </c>
      <c r="E276" t="s">
        <v>3053</v>
      </c>
      <c r="F276" t="s">
        <v>306</v>
      </c>
      <c r="G276" t="s">
        <v>307</v>
      </c>
      <c r="H276" t="s">
        <v>11802</v>
      </c>
      <c r="I276">
        <v>1</v>
      </c>
      <c r="J276">
        <v>1</v>
      </c>
      <c r="K276">
        <v>0</v>
      </c>
      <c r="L276">
        <v>0</v>
      </c>
      <c r="M276">
        <v>0</v>
      </c>
      <c r="N276">
        <v>0</v>
      </c>
      <c r="O276">
        <v>0</v>
      </c>
    </row>
    <row r="277" spans="1:15" x14ac:dyDescent="0.25">
      <c r="A277" t="s">
        <v>10638</v>
      </c>
      <c r="B277" t="s">
        <v>2057</v>
      </c>
      <c r="C277" t="s">
        <v>927</v>
      </c>
      <c r="D277" t="s">
        <v>3052</v>
      </c>
      <c r="E277" t="s">
        <v>3053</v>
      </c>
      <c r="F277" t="s">
        <v>306</v>
      </c>
      <c r="G277" t="s">
        <v>307</v>
      </c>
      <c r="H277" t="s">
        <v>10835</v>
      </c>
      <c r="I277">
        <v>3</v>
      </c>
      <c r="J277">
        <v>0</v>
      </c>
      <c r="K277">
        <v>0</v>
      </c>
      <c r="L277">
        <v>3</v>
      </c>
      <c r="M277">
        <v>0</v>
      </c>
      <c r="N277">
        <v>0</v>
      </c>
      <c r="O277">
        <v>0</v>
      </c>
    </row>
    <row r="278" spans="1:15" x14ac:dyDescent="0.25">
      <c r="A278" t="s">
        <v>1006</v>
      </c>
      <c r="B278" t="s">
        <v>2724</v>
      </c>
      <c r="C278" t="s">
        <v>927</v>
      </c>
      <c r="D278" t="s">
        <v>3052</v>
      </c>
      <c r="E278" t="s">
        <v>3053</v>
      </c>
      <c r="F278" t="s">
        <v>306</v>
      </c>
      <c r="G278" t="s">
        <v>307</v>
      </c>
      <c r="H278" t="s">
        <v>10072</v>
      </c>
      <c r="I278">
        <v>345</v>
      </c>
      <c r="J278">
        <v>206</v>
      </c>
      <c r="K278">
        <v>0</v>
      </c>
      <c r="L278">
        <v>4</v>
      </c>
      <c r="M278">
        <v>30</v>
      </c>
      <c r="N278">
        <v>0</v>
      </c>
      <c r="O278">
        <v>105</v>
      </c>
    </row>
    <row r="279" spans="1:15" x14ac:dyDescent="0.25">
      <c r="A279" t="s">
        <v>1008</v>
      </c>
      <c r="B279" t="s">
        <v>2928</v>
      </c>
      <c r="C279" t="s">
        <v>927</v>
      </c>
      <c r="D279" t="s">
        <v>3052</v>
      </c>
      <c r="E279" t="s">
        <v>3053</v>
      </c>
      <c r="F279" t="s">
        <v>306</v>
      </c>
      <c r="G279" t="s">
        <v>307</v>
      </c>
      <c r="H279" t="s">
        <v>3236</v>
      </c>
      <c r="I279">
        <v>59</v>
      </c>
      <c r="J279">
        <v>51</v>
      </c>
      <c r="K279">
        <v>0</v>
      </c>
      <c r="L279">
        <v>7</v>
      </c>
      <c r="M279">
        <v>1</v>
      </c>
      <c r="N279">
        <v>3</v>
      </c>
      <c r="O279">
        <v>0</v>
      </c>
    </row>
    <row r="280" spans="1:15" x14ac:dyDescent="0.25">
      <c r="A280" t="s">
        <v>1009</v>
      </c>
      <c r="B280" t="s">
        <v>1958</v>
      </c>
      <c r="C280" t="s">
        <v>923</v>
      </c>
      <c r="D280" t="s">
        <v>3063</v>
      </c>
      <c r="E280" t="s">
        <v>3053</v>
      </c>
      <c r="F280" t="s">
        <v>306</v>
      </c>
      <c r="G280" t="s">
        <v>307</v>
      </c>
      <c r="H280" t="s">
        <v>14446</v>
      </c>
      <c r="I280">
        <v>2</v>
      </c>
      <c r="J280">
        <v>0</v>
      </c>
      <c r="K280">
        <v>0</v>
      </c>
      <c r="L280">
        <v>2</v>
      </c>
      <c r="M280">
        <v>0</v>
      </c>
      <c r="N280">
        <v>0</v>
      </c>
      <c r="O280">
        <v>0</v>
      </c>
    </row>
    <row r="281" spans="1:15" x14ac:dyDescent="0.25">
      <c r="A281" t="s">
        <v>937</v>
      </c>
      <c r="B281" t="s">
        <v>1962</v>
      </c>
      <c r="C281" t="s">
        <v>927</v>
      </c>
      <c r="D281" t="s">
        <v>3052</v>
      </c>
      <c r="E281" t="s">
        <v>3053</v>
      </c>
      <c r="F281" t="s">
        <v>306</v>
      </c>
      <c r="G281" t="s">
        <v>307</v>
      </c>
      <c r="H281" t="s">
        <v>3237</v>
      </c>
      <c r="I281">
        <v>54</v>
      </c>
      <c r="J281">
        <v>0</v>
      </c>
      <c r="K281">
        <v>0</v>
      </c>
      <c r="L281">
        <v>0</v>
      </c>
      <c r="M281">
        <v>0</v>
      </c>
      <c r="N281">
        <v>0</v>
      </c>
      <c r="O281">
        <v>54</v>
      </c>
    </row>
    <row r="282" spans="1:15" x14ac:dyDescent="0.25">
      <c r="A282" t="s">
        <v>1891</v>
      </c>
      <c r="B282" t="s">
        <v>2034</v>
      </c>
      <c r="C282" t="s">
        <v>923</v>
      </c>
      <c r="D282" t="s">
        <v>3063</v>
      </c>
      <c r="E282" t="s">
        <v>3053</v>
      </c>
      <c r="F282" t="s">
        <v>306</v>
      </c>
      <c r="G282" t="s">
        <v>307</v>
      </c>
      <c r="H282" t="s">
        <v>3238</v>
      </c>
      <c r="I282">
        <v>14</v>
      </c>
      <c r="J282">
        <v>0</v>
      </c>
      <c r="K282">
        <v>0</v>
      </c>
      <c r="L282">
        <v>14</v>
      </c>
      <c r="M282">
        <v>0</v>
      </c>
      <c r="N282">
        <v>0</v>
      </c>
      <c r="O282">
        <v>0</v>
      </c>
    </row>
    <row r="283" spans="1:15" x14ac:dyDescent="0.25">
      <c r="A283" t="s">
        <v>938</v>
      </c>
      <c r="B283" t="s">
        <v>2791</v>
      </c>
      <c r="C283" t="s">
        <v>927</v>
      </c>
      <c r="D283" t="s">
        <v>3052</v>
      </c>
      <c r="E283" t="s">
        <v>3053</v>
      </c>
      <c r="F283" t="s">
        <v>306</v>
      </c>
      <c r="G283" t="s">
        <v>307</v>
      </c>
      <c r="H283" t="s">
        <v>3239</v>
      </c>
      <c r="I283">
        <v>6</v>
      </c>
      <c r="J283">
        <v>0</v>
      </c>
      <c r="K283">
        <v>0</v>
      </c>
      <c r="L283">
        <v>6</v>
      </c>
      <c r="M283">
        <v>0</v>
      </c>
      <c r="N283">
        <v>0</v>
      </c>
      <c r="O283">
        <v>0</v>
      </c>
    </row>
    <row r="284" spans="1:15" x14ac:dyDescent="0.25">
      <c r="A284" t="s">
        <v>1422</v>
      </c>
      <c r="B284" t="s">
        <v>1990</v>
      </c>
      <c r="C284" t="s">
        <v>923</v>
      </c>
      <c r="D284" t="s">
        <v>3063</v>
      </c>
      <c r="E284" t="s">
        <v>3053</v>
      </c>
      <c r="F284" t="s">
        <v>306</v>
      </c>
      <c r="G284" t="s">
        <v>307</v>
      </c>
      <c r="H284" t="s">
        <v>3240</v>
      </c>
      <c r="I284">
        <v>14</v>
      </c>
      <c r="J284">
        <v>0</v>
      </c>
      <c r="K284">
        <v>0</v>
      </c>
      <c r="L284">
        <v>14</v>
      </c>
      <c r="M284">
        <v>0</v>
      </c>
      <c r="N284">
        <v>0</v>
      </c>
      <c r="O284">
        <v>0</v>
      </c>
    </row>
    <row r="285" spans="1:15" x14ac:dyDescent="0.25">
      <c r="A285" t="s">
        <v>1013</v>
      </c>
      <c r="B285" t="s">
        <v>1959</v>
      </c>
      <c r="C285" t="s">
        <v>927</v>
      </c>
      <c r="D285" t="s">
        <v>3052</v>
      </c>
      <c r="E285" t="s">
        <v>3053</v>
      </c>
      <c r="F285" t="s">
        <v>306</v>
      </c>
      <c r="G285" t="s">
        <v>307</v>
      </c>
      <c r="H285" t="s">
        <v>3241</v>
      </c>
      <c r="I285">
        <v>16</v>
      </c>
      <c r="J285">
        <v>3</v>
      </c>
      <c r="K285">
        <v>0</v>
      </c>
      <c r="L285">
        <v>13</v>
      </c>
      <c r="M285">
        <v>0</v>
      </c>
      <c r="N285">
        <v>0</v>
      </c>
      <c r="O285">
        <v>0</v>
      </c>
    </row>
    <row r="286" spans="1:15" x14ac:dyDescent="0.25">
      <c r="A286" t="s">
        <v>1496</v>
      </c>
      <c r="B286" t="s">
        <v>2007</v>
      </c>
      <c r="C286" t="s">
        <v>923</v>
      </c>
      <c r="D286" t="s">
        <v>3063</v>
      </c>
      <c r="E286" t="s">
        <v>3053</v>
      </c>
      <c r="F286" t="s">
        <v>306</v>
      </c>
      <c r="G286" t="s">
        <v>307</v>
      </c>
      <c r="H286" t="s">
        <v>3242</v>
      </c>
      <c r="I286">
        <v>3</v>
      </c>
      <c r="J286">
        <v>3</v>
      </c>
      <c r="K286">
        <v>0</v>
      </c>
      <c r="L286">
        <v>0</v>
      </c>
      <c r="M286">
        <v>0</v>
      </c>
      <c r="N286">
        <v>0</v>
      </c>
      <c r="O286">
        <v>0</v>
      </c>
    </row>
    <row r="287" spans="1:15" x14ac:dyDescent="0.25">
      <c r="A287" t="s">
        <v>951</v>
      </c>
      <c r="B287" t="s">
        <v>2680</v>
      </c>
      <c r="C287" t="s">
        <v>927</v>
      </c>
      <c r="D287" t="s">
        <v>3052</v>
      </c>
      <c r="E287" t="s">
        <v>3053</v>
      </c>
      <c r="F287" t="s">
        <v>306</v>
      </c>
      <c r="G287" t="s">
        <v>307</v>
      </c>
      <c r="H287" t="s">
        <v>3243</v>
      </c>
      <c r="I287">
        <v>26</v>
      </c>
      <c r="J287">
        <v>26</v>
      </c>
      <c r="K287">
        <v>0</v>
      </c>
      <c r="L287">
        <v>0</v>
      </c>
      <c r="M287">
        <v>0</v>
      </c>
      <c r="N287">
        <v>0</v>
      </c>
      <c r="O287">
        <v>0</v>
      </c>
    </row>
    <row r="288" spans="1:15" x14ac:dyDescent="0.25">
      <c r="A288" t="s">
        <v>953</v>
      </c>
      <c r="B288" t="s">
        <v>2014</v>
      </c>
      <c r="C288" t="s">
        <v>927</v>
      </c>
      <c r="D288" t="s">
        <v>3052</v>
      </c>
      <c r="E288" t="s">
        <v>3053</v>
      </c>
      <c r="F288" t="s">
        <v>306</v>
      </c>
      <c r="G288" t="s">
        <v>307</v>
      </c>
      <c r="H288" t="s">
        <v>3244</v>
      </c>
      <c r="I288">
        <v>7</v>
      </c>
      <c r="J288">
        <v>0</v>
      </c>
      <c r="K288">
        <v>0</v>
      </c>
      <c r="L288">
        <v>7</v>
      </c>
      <c r="M288">
        <v>0</v>
      </c>
      <c r="N288">
        <v>0</v>
      </c>
      <c r="O288">
        <v>0</v>
      </c>
    </row>
    <row r="289" spans="1:15" x14ac:dyDescent="0.25">
      <c r="A289" t="s">
        <v>11720</v>
      </c>
      <c r="B289" t="s">
        <v>10718</v>
      </c>
      <c r="C289" t="s">
        <v>927</v>
      </c>
      <c r="D289" t="s">
        <v>3052</v>
      </c>
      <c r="E289" t="s">
        <v>3053</v>
      </c>
      <c r="F289" t="s">
        <v>306</v>
      </c>
      <c r="G289" t="s">
        <v>307</v>
      </c>
      <c r="H289" t="s">
        <v>14447</v>
      </c>
      <c r="I289">
        <v>3</v>
      </c>
      <c r="J289">
        <v>0</v>
      </c>
      <c r="K289">
        <v>0</v>
      </c>
      <c r="L289">
        <v>0</v>
      </c>
      <c r="M289">
        <v>0</v>
      </c>
      <c r="N289">
        <v>0</v>
      </c>
      <c r="O289">
        <v>3</v>
      </c>
    </row>
    <row r="290" spans="1:15" x14ac:dyDescent="0.25">
      <c r="A290" t="s">
        <v>1057</v>
      </c>
      <c r="B290" t="s">
        <v>1972</v>
      </c>
      <c r="C290" t="s">
        <v>927</v>
      </c>
      <c r="D290" t="s">
        <v>3052</v>
      </c>
      <c r="E290" t="s">
        <v>3053</v>
      </c>
      <c r="F290" t="s">
        <v>306</v>
      </c>
      <c r="G290" t="s">
        <v>307</v>
      </c>
      <c r="H290" t="s">
        <v>3245</v>
      </c>
      <c r="I290">
        <v>56</v>
      </c>
      <c r="J290">
        <v>56</v>
      </c>
      <c r="K290">
        <v>0</v>
      </c>
      <c r="L290">
        <v>0</v>
      </c>
      <c r="M290">
        <v>0</v>
      </c>
      <c r="N290">
        <v>0</v>
      </c>
      <c r="O290">
        <v>0</v>
      </c>
    </row>
    <row r="291" spans="1:15" x14ac:dyDescent="0.25">
      <c r="A291" t="s">
        <v>955</v>
      </c>
      <c r="B291" t="s">
        <v>2660</v>
      </c>
      <c r="C291" t="s">
        <v>927</v>
      </c>
      <c r="D291" t="s">
        <v>3052</v>
      </c>
      <c r="E291" t="s">
        <v>3053</v>
      </c>
      <c r="F291" t="s">
        <v>306</v>
      </c>
      <c r="G291" t="s">
        <v>307</v>
      </c>
      <c r="H291" t="s">
        <v>3246</v>
      </c>
      <c r="I291">
        <v>44</v>
      </c>
      <c r="J291">
        <v>35</v>
      </c>
      <c r="K291">
        <v>0</v>
      </c>
      <c r="L291">
        <v>9</v>
      </c>
      <c r="M291">
        <v>0</v>
      </c>
      <c r="N291">
        <v>0</v>
      </c>
      <c r="O291">
        <v>0</v>
      </c>
    </row>
    <row r="292" spans="1:15" x14ac:dyDescent="0.25">
      <c r="A292" t="s">
        <v>1060</v>
      </c>
      <c r="B292" t="s">
        <v>2651</v>
      </c>
      <c r="C292" t="s">
        <v>927</v>
      </c>
      <c r="D292" t="s">
        <v>3052</v>
      </c>
      <c r="E292" t="s">
        <v>3053</v>
      </c>
      <c r="F292" t="s">
        <v>306</v>
      </c>
      <c r="G292" t="s">
        <v>307</v>
      </c>
      <c r="H292" t="s">
        <v>3247</v>
      </c>
      <c r="I292">
        <v>419</v>
      </c>
      <c r="J292">
        <v>223</v>
      </c>
      <c r="K292">
        <v>0</v>
      </c>
      <c r="L292">
        <v>55</v>
      </c>
      <c r="M292">
        <v>99</v>
      </c>
      <c r="N292">
        <v>0</v>
      </c>
      <c r="O292">
        <v>42</v>
      </c>
    </row>
    <row r="293" spans="1:15" x14ac:dyDescent="0.25">
      <c r="A293" t="s">
        <v>1911</v>
      </c>
      <c r="B293" t="s">
        <v>1968</v>
      </c>
      <c r="C293" t="s">
        <v>923</v>
      </c>
      <c r="D293" t="s">
        <v>3063</v>
      </c>
      <c r="E293" t="s">
        <v>3053</v>
      </c>
      <c r="F293" t="s">
        <v>306</v>
      </c>
      <c r="G293" t="s">
        <v>307</v>
      </c>
      <c r="H293" t="s">
        <v>14448</v>
      </c>
      <c r="I293">
        <v>7</v>
      </c>
      <c r="J293">
        <v>0</v>
      </c>
      <c r="K293">
        <v>0</v>
      </c>
      <c r="L293">
        <v>7</v>
      </c>
      <c r="M293">
        <v>0</v>
      </c>
      <c r="N293">
        <v>0</v>
      </c>
      <c r="O293">
        <v>0</v>
      </c>
    </row>
    <row r="294" spans="1:15" x14ac:dyDescent="0.25">
      <c r="A294" t="s">
        <v>1069</v>
      </c>
      <c r="B294" t="s">
        <v>2001</v>
      </c>
      <c r="C294" t="s">
        <v>927</v>
      </c>
      <c r="D294" t="s">
        <v>3052</v>
      </c>
      <c r="E294" t="s">
        <v>3053</v>
      </c>
      <c r="F294" t="s">
        <v>306</v>
      </c>
      <c r="G294" t="s">
        <v>307</v>
      </c>
      <c r="H294" t="s">
        <v>3248</v>
      </c>
      <c r="I294">
        <v>559</v>
      </c>
      <c r="J294">
        <v>184</v>
      </c>
      <c r="K294">
        <v>0</v>
      </c>
      <c r="L294">
        <v>48</v>
      </c>
      <c r="M294">
        <v>273</v>
      </c>
      <c r="N294">
        <v>0</v>
      </c>
      <c r="O294">
        <v>54</v>
      </c>
    </row>
    <row r="295" spans="1:15" x14ac:dyDescent="0.25">
      <c r="A295" t="s">
        <v>1072</v>
      </c>
      <c r="B295" t="s">
        <v>2907</v>
      </c>
      <c r="C295" t="s">
        <v>927</v>
      </c>
      <c r="D295" t="s">
        <v>3052</v>
      </c>
      <c r="E295" t="s">
        <v>3053</v>
      </c>
      <c r="F295" t="s">
        <v>306</v>
      </c>
      <c r="G295" t="s">
        <v>307</v>
      </c>
      <c r="H295" t="s">
        <v>3249</v>
      </c>
      <c r="I295">
        <v>74</v>
      </c>
      <c r="J295">
        <v>0</v>
      </c>
      <c r="K295">
        <v>0</v>
      </c>
      <c r="L295">
        <v>74</v>
      </c>
      <c r="M295">
        <v>0</v>
      </c>
      <c r="N295">
        <v>0</v>
      </c>
      <c r="O295">
        <v>0</v>
      </c>
    </row>
    <row r="296" spans="1:15" x14ac:dyDescent="0.25">
      <c r="A296" t="s">
        <v>1075</v>
      </c>
      <c r="B296" t="s">
        <v>2830</v>
      </c>
      <c r="C296" t="s">
        <v>927</v>
      </c>
      <c r="D296" t="s">
        <v>3052</v>
      </c>
      <c r="E296" t="s">
        <v>3053</v>
      </c>
      <c r="F296" t="s">
        <v>306</v>
      </c>
      <c r="G296" t="s">
        <v>307</v>
      </c>
      <c r="H296" t="s">
        <v>3250</v>
      </c>
      <c r="I296">
        <v>1220</v>
      </c>
      <c r="J296">
        <v>983</v>
      </c>
      <c r="K296">
        <v>0</v>
      </c>
      <c r="L296">
        <v>0</v>
      </c>
      <c r="M296">
        <v>112</v>
      </c>
      <c r="N296">
        <v>0</v>
      </c>
      <c r="O296">
        <v>125</v>
      </c>
    </row>
    <row r="297" spans="1:15" x14ac:dyDescent="0.25">
      <c r="A297" t="s">
        <v>1920</v>
      </c>
      <c r="B297" t="s">
        <v>2871</v>
      </c>
      <c r="C297" t="s">
        <v>927</v>
      </c>
      <c r="D297" t="s">
        <v>3052</v>
      </c>
      <c r="E297" t="s">
        <v>3053</v>
      </c>
      <c r="F297" t="s">
        <v>306</v>
      </c>
      <c r="G297" t="s">
        <v>307</v>
      </c>
      <c r="H297" t="s">
        <v>3251</v>
      </c>
      <c r="I297">
        <v>138</v>
      </c>
      <c r="J297">
        <v>80</v>
      </c>
      <c r="K297">
        <v>0</v>
      </c>
      <c r="L297">
        <v>0</v>
      </c>
      <c r="M297">
        <v>0</v>
      </c>
      <c r="N297">
        <v>0</v>
      </c>
      <c r="O297">
        <v>58</v>
      </c>
    </row>
    <row r="298" spans="1:15" x14ac:dyDescent="0.25">
      <c r="A298" t="s">
        <v>1563</v>
      </c>
      <c r="B298" t="s">
        <v>2895</v>
      </c>
      <c r="C298" t="s">
        <v>927</v>
      </c>
      <c r="D298" t="s">
        <v>3052</v>
      </c>
      <c r="E298" t="s">
        <v>3053</v>
      </c>
      <c r="F298" t="s">
        <v>306</v>
      </c>
      <c r="G298" t="s">
        <v>307</v>
      </c>
      <c r="H298" t="s">
        <v>3252</v>
      </c>
      <c r="I298">
        <v>1292</v>
      </c>
      <c r="J298">
        <v>1099</v>
      </c>
      <c r="K298">
        <v>0</v>
      </c>
      <c r="L298">
        <v>28</v>
      </c>
      <c r="M298">
        <v>127</v>
      </c>
      <c r="N298">
        <v>0</v>
      </c>
      <c r="O298">
        <v>38</v>
      </c>
    </row>
    <row r="299" spans="1:15" x14ac:dyDescent="0.25">
      <c r="A299" t="s">
        <v>926</v>
      </c>
      <c r="B299" t="s">
        <v>2923</v>
      </c>
      <c r="C299" t="s">
        <v>927</v>
      </c>
      <c r="D299" t="s">
        <v>3052</v>
      </c>
      <c r="E299" t="s">
        <v>3053</v>
      </c>
      <c r="F299" t="s">
        <v>308</v>
      </c>
      <c r="G299" t="s">
        <v>309</v>
      </c>
      <c r="H299" t="s">
        <v>3253</v>
      </c>
      <c r="I299">
        <v>3</v>
      </c>
      <c r="J299">
        <v>0</v>
      </c>
      <c r="K299">
        <v>0</v>
      </c>
      <c r="L299">
        <v>0</v>
      </c>
      <c r="M299">
        <v>0</v>
      </c>
      <c r="N299">
        <v>0</v>
      </c>
      <c r="O299">
        <v>3</v>
      </c>
    </row>
    <row r="300" spans="1:15" x14ac:dyDescent="0.25">
      <c r="A300" t="s">
        <v>929</v>
      </c>
      <c r="B300" t="s">
        <v>2999</v>
      </c>
      <c r="C300" t="s">
        <v>927</v>
      </c>
      <c r="D300" t="s">
        <v>3052</v>
      </c>
      <c r="E300" t="s">
        <v>3053</v>
      </c>
      <c r="F300" t="s">
        <v>308</v>
      </c>
      <c r="G300" t="s">
        <v>309</v>
      </c>
      <c r="H300" t="s">
        <v>3254</v>
      </c>
      <c r="I300">
        <v>94</v>
      </c>
      <c r="J300">
        <v>15</v>
      </c>
      <c r="K300">
        <v>0</v>
      </c>
      <c r="L300">
        <v>0</v>
      </c>
      <c r="M300">
        <v>79</v>
      </c>
      <c r="N300">
        <v>0</v>
      </c>
      <c r="O300">
        <v>0</v>
      </c>
    </row>
    <row r="301" spans="1:15" x14ac:dyDescent="0.25">
      <c r="A301" t="s">
        <v>1093</v>
      </c>
      <c r="B301" t="s">
        <v>2737</v>
      </c>
      <c r="C301" t="s">
        <v>923</v>
      </c>
      <c r="D301" t="s">
        <v>3063</v>
      </c>
      <c r="E301" t="s">
        <v>3053</v>
      </c>
      <c r="F301" t="s">
        <v>308</v>
      </c>
      <c r="G301" t="s">
        <v>309</v>
      </c>
      <c r="H301" t="s">
        <v>3255</v>
      </c>
      <c r="I301">
        <v>38</v>
      </c>
      <c r="J301">
        <v>0</v>
      </c>
      <c r="K301">
        <v>0</v>
      </c>
      <c r="L301">
        <v>0</v>
      </c>
      <c r="M301">
        <v>38</v>
      </c>
      <c r="N301">
        <v>0</v>
      </c>
      <c r="O301">
        <v>0</v>
      </c>
    </row>
    <row r="302" spans="1:15" x14ac:dyDescent="0.25">
      <c r="A302" t="s">
        <v>1100</v>
      </c>
      <c r="B302" t="s">
        <v>2855</v>
      </c>
      <c r="C302" t="s">
        <v>927</v>
      </c>
      <c r="D302" t="s">
        <v>3052</v>
      </c>
      <c r="E302" t="s">
        <v>3053</v>
      </c>
      <c r="F302" t="s">
        <v>308</v>
      </c>
      <c r="G302" t="s">
        <v>309</v>
      </c>
      <c r="H302" t="s">
        <v>3256</v>
      </c>
      <c r="I302">
        <v>68</v>
      </c>
      <c r="J302">
        <v>67</v>
      </c>
      <c r="K302">
        <v>0</v>
      </c>
      <c r="L302">
        <v>0</v>
      </c>
      <c r="M302">
        <v>0</v>
      </c>
      <c r="N302">
        <v>0</v>
      </c>
      <c r="O302">
        <v>1</v>
      </c>
    </row>
    <row r="303" spans="1:15" x14ac:dyDescent="0.25">
      <c r="A303" t="s">
        <v>989</v>
      </c>
      <c r="B303" t="s">
        <v>2016</v>
      </c>
      <c r="C303" t="s">
        <v>923</v>
      </c>
      <c r="D303" t="s">
        <v>3063</v>
      </c>
      <c r="E303" t="s">
        <v>3053</v>
      </c>
      <c r="F303" t="s">
        <v>308</v>
      </c>
      <c r="G303" t="s">
        <v>309</v>
      </c>
      <c r="H303" t="s">
        <v>3257</v>
      </c>
      <c r="I303">
        <v>7</v>
      </c>
      <c r="J303">
        <v>0</v>
      </c>
      <c r="K303">
        <v>0</v>
      </c>
      <c r="L303">
        <v>7</v>
      </c>
      <c r="M303">
        <v>0</v>
      </c>
      <c r="N303">
        <v>0</v>
      </c>
      <c r="O303">
        <v>0</v>
      </c>
    </row>
    <row r="304" spans="1:15" x14ac:dyDescent="0.25">
      <c r="A304" t="s">
        <v>933</v>
      </c>
      <c r="B304" t="s">
        <v>2106</v>
      </c>
      <c r="C304" t="s">
        <v>927</v>
      </c>
      <c r="D304" t="s">
        <v>3052</v>
      </c>
      <c r="E304" t="s">
        <v>3053</v>
      </c>
      <c r="F304" t="s">
        <v>308</v>
      </c>
      <c r="G304" t="s">
        <v>309</v>
      </c>
      <c r="H304" t="s">
        <v>3258</v>
      </c>
      <c r="I304">
        <v>780</v>
      </c>
      <c r="J304">
        <v>705</v>
      </c>
      <c r="K304">
        <v>0</v>
      </c>
      <c r="L304">
        <v>0</v>
      </c>
      <c r="M304">
        <v>0</v>
      </c>
      <c r="N304">
        <v>0</v>
      </c>
      <c r="O304">
        <v>75</v>
      </c>
    </row>
    <row r="305" spans="1:15" x14ac:dyDescent="0.25">
      <c r="A305" t="s">
        <v>935</v>
      </c>
      <c r="B305" t="s">
        <v>1960</v>
      </c>
      <c r="C305" t="s">
        <v>923</v>
      </c>
      <c r="D305" t="s">
        <v>3063</v>
      </c>
      <c r="E305" t="s">
        <v>3053</v>
      </c>
      <c r="F305" t="s">
        <v>308</v>
      </c>
      <c r="G305" t="s">
        <v>309</v>
      </c>
      <c r="H305" t="s">
        <v>10061</v>
      </c>
      <c r="I305">
        <v>4</v>
      </c>
      <c r="J305">
        <v>0</v>
      </c>
      <c r="K305">
        <v>0</v>
      </c>
      <c r="L305">
        <v>4</v>
      </c>
      <c r="M305">
        <v>0</v>
      </c>
      <c r="N305">
        <v>0</v>
      </c>
      <c r="O305">
        <v>0</v>
      </c>
    </row>
    <row r="306" spans="1:15" x14ac:dyDescent="0.25">
      <c r="A306" t="s">
        <v>1111</v>
      </c>
      <c r="B306" t="s">
        <v>2795</v>
      </c>
      <c r="C306" t="s">
        <v>927</v>
      </c>
      <c r="D306" t="s">
        <v>3052</v>
      </c>
      <c r="E306" t="s">
        <v>3053</v>
      </c>
      <c r="F306" t="s">
        <v>308</v>
      </c>
      <c r="G306" t="s">
        <v>309</v>
      </c>
      <c r="H306" t="s">
        <v>3259</v>
      </c>
      <c r="I306">
        <v>154</v>
      </c>
      <c r="J306">
        <v>138</v>
      </c>
      <c r="K306">
        <v>0</v>
      </c>
      <c r="L306">
        <v>15</v>
      </c>
      <c r="M306">
        <v>0</v>
      </c>
      <c r="N306">
        <v>0</v>
      </c>
      <c r="O306">
        <v>1</v>
      </c>
    </row>
    <row r="307" spans="1:15" x14ac:dyDescent="0.25">
      <c r="A307" t="s">
        <v>1011</v>
      </c>
      <c r="B307" t="s">
        <v>2020</v>
      </c>
      <c r="C307" t="s">
        <v>927</v>
      </c>
      <c r="D307" t="s">
        <v>3052</v>
      </c>
      <c r="E307" t="s">
        <v>3053</v>
      </c>
      <c r="F307" t="s">
        <v>308</v>
      </c>
      <c r="G307" t="s">
        <v>309</v>
      </c>
      <c r="H307" t="s">
        <v>10107</v>
      </c>
      <c r="I307">
        <v>17</v>
      </c>
      <c r="J307">
        <v>0</v>
      </c>
      <c r="K307">
        <v>0</v>
      </c>
      <c r="L307">
        <v>17</v>
      </c>
      <c r="M307">
        <v>0</v>
      </c>
      <c r="N307">
        <v>0</v>
      </c>
      <c r="O307">
        <v>0</v>
      </c>
    </row>
    <row r="308" spans="1:15" x14ac:dyDescent="0.25">
      <c r="A308" t="s">
        <v>938</v>
      </c>
      <c r="B308" t="s">
        <v>2791</v>
      </c>
      <c r="C308" t="s">
        <v>927</v>
      </c>
      <c r="D308" t="s">
        <v>3052</v>
      </c>
      <c r="E308" t="s">
        <v>3053</v>
      </c>
      <c r="F308" t="s">
        <v>308</v>
      </c>
      <c r="G308" t="s">
        <v>309</v>
      </c>
      <c r="H308" t="s">
        <v>3260</v>
      </c>
      <c r="I308">
        <v>4</v>
      </c>
      <c r="J308">
        <v>0</v>
      </c>
      <c r="K308">
        <v>0</v>
      </c>
      <c r="L308">
        <v>4</v>
      </c>
      <c r="M308">
        <v>0</v>
      </c>
      <c r="N308">
        <v>0</v>
      </c>
      <c r="O308">
        <v>0</v>
      </c>
    </row>
    <row r="309" spans="1:15" x14ac:dyDescent="0.25">
      <c r="A309" t="s">
        <v>940</v>
      </c>
      <c r="B309" t="s">
        <v>2647</v>
      </c>
      <c r="C309" t="s">
        <v>927</v>
      </c>
      <c r="D309" t="s">
        <v>3052</v>
      </c>
      <c r="E309" t="s">
        <v>3053</v>
      </c>
      <c r="F309" t="s">
        <v>308</v>
      </c>
      <c r="G309" t="s">
        <v>309</v>
      </c>
      <c r="H309" t="s">
        <v>3261</v>
      </c>
      <c r="I309">
        <v>84</v>
      </c>
      <c r="J309">
        <v>0</v>
      </c>
      <c r="K309">
        <v>0</v>
      </c>
      <c r="L309">
        <v>0</v>
      </c>
      <c r="M309">
        <v>84</v>
      </c>
      <c r="N309">
        <v>0</v>
      </c>
      <c r="O309">
        <v>0</v>
      </c>
    </row>
    <row r="310" spans="1:15" x14ac:dyDescent="0.25">
      <c r="A310" t="s">
        <v>1127</v>
      </c>
      <c r="B310" t="s">
        <v>3034</v>
      </c>
      <c r="C310" t="s">
        <v>927</v>
      </c>
      <c r="D310" t="s">
        <v>3052</v>
      </c>
      <c r="E310" t="s">
        <v>3053</v>
      </c>
      <c r="F310" t="s">
        <v>308</v>
      </c>
      <c r="G310" t="s">
        <v>309</v>
      </c>
      <c r="H310" t="s">
        <v>3262</v>
      </c>
      <c r="I310">
        <v>73</v>
      </c>
      <c r="J310">
        <v>73</v>
      </c>
      <c r="K310">
        <v>0</v>
      </c>
      <c r="L310">
        <v>0</v>
      </c>
      <c r="M310">
        <v>0</v>
      </c>
      <c r="N310">
        <v>0</v>
      </c>
      <c r="O310">
        <v>0</v>
      </c>
    </row>
    <row r="311" spans="1:15" x14ac:dyDescent="0.25">
      <c r="A311" t="s">
        <v>1025</v>
      </c>
      <c r="B311" t="s">
        <v>2893</v>
      </c>
      <c r="C311" t="s">
        <v>927</v>
      </c>
      <c r="D311" t="s">
        <v>3052</v>
      </c>
      <c r="E311" t="s">
        <v>3053</v>
      </c>
      <c r="F311" t="s">
        <v>308</v>
      </c>
      <c r="G311" t="s">
        <v>309</v>
      </c>
      <c r="H311" t="s">
        <v>3263</v>
      </c>
      <c r="I311">
        <v>354</v>
      </c>
      <c r="J311">
        <v>310</v>
      </c>
      <c r="K311">
        <v>0</v>
      </c>
      <c r="L311">
        <v>0</v>
      </c>
      <c r="M311">
        <v>0</v>
      </c>
      <c r="N311">
        <v>8</v>
      </c>
      <c r="O311">
        <v>44</v>
      </c>
    </row>
    <row r="312" spans="1:15" x14ac:dyDescent="0.25">
      <c r="A312" t="s">
        <v>10681</v>
      </c>
      <c r="B312" t="s">
        <v>10680</v>
      </c>
      <c r="C312" t="s">
        <v>927</v>
      </c>
      <c r="D312" t="s">
        <v>3052</v>
      </c>
      <c r="E312" t="s">
        <v>3053</v>
      </c>
      <c r="F312" t="s">
        <v>308</v>
      </c>
      <c r="G312" t="s">
        <v>309</v>
      </c>
      <c r="H312" t="s">
        <v>14449</v>
      </c>
      <c r="I312">
        <v>18</v>
      </c>
      <c r="J312">
        <v>0</v>
      </c>
      <c r="K312">
        <v>0</v>
      </c>
      <c r="L312">
        <v>0</v>
      </c>
      <c r="M312">
        <v>0</v>
      </c>
      <c r="N312">
        <v>0</v>
      </c>
      <c r="O312">
        <v>18</v>
      </c>
    </row>
    <row r="313" spans="1:15" x14ac:dyDescent="0.25">
      <c r="A313" t="s">
        <v>943</v>
      </c>
      <c r="B313" t="s">
        <v>2694</v>
      </c>
      <c r="C313" t="s">
        <v>927</v>
      </c>
      <c r="D313" t="s">
        <v>3052</v>
      </c>
      <c r="E313" t="s">
        <v>3053</v>
      </c>
      <c r="F313" t="s">
        <v>308</v>
      </c>
      <c r="G313" t="s">
        <v>309</v>
      </c>
      <c r="H313" t="s">
        <v>3264</v>
      </c>
      <c r="I313">
        <v>28</v>
      </c>
      <c r="J313">
        <v>1</v>
      </c>
      <c r="K313">
        <v>0</v>
      </c>
      <c r="L313">
        <v>26</v>
      </c>
      <c r="M313">
        <v>0</v>
      </c>
      <c r="N313">
        <v>0</v>
      </c>
      <c r="O313">
        <v>1</v>
      </c>
    </row>
    <row r="314" spans="1:15" x14ac:dyDescent="0.25">
      <c r="A314" t="s">
        <v>945</v>
      </c>
      <c r="B314" t="s">
        <v>2668</v>
      </c>
      <c r="C314" t="s">
        <v>927</v>
      </c>
      <c r="D314" t="s">
        <v>3052</v>
      </c>
      <c r="E314" t="s">
        <v>3053</v>
      </c>
      <c r="F314" t="s">
        <v>308</v>
      </c>
      <c r="G314" t="s">
        <v>309</v>
      </c>
      <c r="H314" t="s">
        <v>3265</v>
      </c>
      <c r="I314">
        <v>367</v>
      </c>
      <c r="J314">
        <v>225</v>
      </c>
      <c r="K314">
        <v>0</v>
      </c>
      <c r="L314">
        <v>4</v>
      </c>
      <c r="M314">
        <v>0</v>
      </c>
      <c r="N314">
        <v>0</v>
      </c>
      <c r="O314">
        <v>138</v>
      </c>
    </row>
    <row r="315" spans="1:15" x14ac:dyDescent="0.25">
      <c r="A315" t="s">
        <v>1033</v>
      </c>
      <c r="B315" t="s">
        <v>2039</v>
      </c>
      <c r="C315" t="s">
        <v>923</v>
      </c>
      <c r="D315" t="s">
        <v>3063</v>
      </c>
      <c r="E315" t="s">
        <v>3053</v>
      </c>
      <c r="F315" t="s">
        <v>308</v>
      </c>
      <c r="G315" t="s">
        <v>309</v>
      </c>
      <c r="H315" t="s">
        <v>3266</v>
      </c>
      <c r="I315">
        <v>3</v>
      </c>
      <c r="J315">
        <v>0</v>
      </c>
      <c r="K315">
        <v>0</v>
      </c>
      <c r="L315">
        <v>3</v>
      </c>
      <c r="M315">
        <v>0</v>
      </c>
      <c r="N315">
        <v>0</v>
      </c>
      <c r="O315">
        <v>0</v>
      </c>
    </row>
    <row r="316" spans="1:15" x14ac:dyDescent="0.25">
      <c r="A316" t="s">
        <v>1134</v>
      </c>
      <c r="B316" t="s">
        <v>2118</v>
      </c>
      <c r="C316" t="s">
        <v>927</v>
      </c>
      <c r="D316" t="s">
        <v>3052</v>
      </c>
      <c r="E316" t="s">
        <v>3053</v>
      </c>
      <c r="F316" t="s">
        <v>308</v>
      </c>
      <c r="G316" t="s">
        <v>309</v>
      </c>
      <c r="H316" t="s">
        <v>3267</v>
      </c>
      <c r="I316">
        <v>369</v>
      </c>
      <c r="J316">
        <v>153</v>
      </c>
      <c r="K316">
        <v>0</v>
      </c>
      <c r="L316">
        <v>0</v>
      </c>
      <c r="M316">
        <v>32</v>
      </c>
      <c r="N316">
        <v>0</v>
      </c>
      <c r="O316">
        <v>184</v>
      </c>
    </row>
    <row r="317" spans="1:15" x14ac:dyDescent="0.25">
      <c r="A317" t="s">
        <v>1041</v>
      </c>
      <c r="B317" t="s">
        <v>2826</v>
      </c>
      <c r="C317" t="s">
        <v>927</v>
      </c>
      <c r="D317" t="s">
        <v>3052</v>
      </c>
      <c r="E317" t="s">
        <v>3053</v>
      </c>
      <c r="F317" t="s">
        <v>308</v>
      </c>
      <c r="G317" t="s">
        <v>309</v>
      </c>
      <c r="H317" t="s">
        <v>10836</v>
      </c>
      <c r="I317">
        <v>145</v>
      </c>
      <c r="J317">
        <v>0</v>
      </c>
      <c r="K317">
        <v>0</v>
      </c>
      <c r="L317">
        <v>0</v>
      </c>
      <c r="M317">
        <v>0</v>
      </c>
      <c r="N317">
        <v>0</v>
      </c>
      <c r="O317">
        <v>145</v>
      </c>
    </row>
    <row r="318" spans="1:15" x14ac:dyDescent="0.25">
      <c r="A318" t="s">
        <v>1146</v>
      </c>
      <c r="B318" t="s">
        <v>2117</v>
      </c>
      <c r="C318" t="s">
        <v>927</v>
      </c>
      <c r="D318" t="s">
        <v>3052</v>
      </c>
      <c r="E318" t="s">
        <v>3053</v>
      </c>
      <c r="F318" t="s">
        <v>308</v>
      </c>
      <c r="G318" t="s">
        <v>309</v>
      </c>
      <c r="H318" t="s">
        <v>10837</v>
      </c>
      <c r="I318">
        <v>628</v>
      </c>
      <c r="J318">
        <v>518</v>
      </c>
      <c r="K318">
        <v>0</v>
      </c>
      <c r="L318">
        <v>51</v>
      </c>
      <c r="M318">
        <v>0</v>
      </c>
      <c r="N318">
        <v>0</v>
      </c>
      <c r="O318">
        <v>59</v>
      </c>
    </row>
    <row r="319" spans="1:15" x14ac:dyDescent="0.25">
      <c r="A319" t="s">
        <v>951</v>
      </c>
      <c r="B319" t="s">
        <v>2680</v>
      </c>
      <c r="C319" t="s">
        <v>927</v>
      </c>
      <c r="D319" t="s">
        <v>3052</v>
      </c>
      <c r="E319" t="s">
        <v>3053</v>
      </c>
      <c r="F319" t="s">
        <v>308</v>
      </c>
      <c r="G319" t="s">
        <v>309</v>
      </c>
      <c r="H319" t="s">
        <v>3268</v>
      </c>
      <c r="I319">
        <v>2</v>
      </c>
      <c r="J319">
        <v>2</v>
      </c>
      <c r="K319">
        <v>0</v>
      </c>
      <c r="L319">
        <v>0</v>
      </c>
      <c r="M319">
        <v>0</v>
      </c>
      <c r="N319">
        <v>0</v>
      </c>
      <c r="O319">
        <v>0</v>
      </c>
    </row>
    <row r="320" spans="1:15" x14ac:dyDescent="0.25">
      <c r="A320" t="s">
        <v>1056</v>
      </c>
      <c r="B320" t="s">
        <v>2966</v>
      </c>
      <c r="C320" t="s">
        <v>927</v>
      </c>
      <c r="D320" t="s">
        <v>3052</v>
      </c>
      <c r="E320" t="s">
        <v>3053</v>
      </c>
      <c r="F320" t="s">
        <v>308</v>
      </c>
      <c r="G320" t="s">
        <v>309</v>
      </c>
      <c r="H320" t="s">
        <v>3269</v>
      </c>
      <c r="I320">
        <v>17</v>
      </c>
      <c r="J320">
        <v>17</v>
      </c>
      <c r="K320">
        <v>0</v>
      </c>
      <c r="L320">
        <v>0</v>
      </c>
      <c r="M320">
        <v>0</v>
      </c>
      <c r="N320">
        <v>0</v>
      </c>
      <c r="O320">
        <v>0</v>
      </c>
    </row>
    <row r="321" spans="1:15" x14ac:dyDescent="0.25">
      <c r="A321" t="s">
        <v>955</v>
      </c>
      <c r="B321" t="s">
        <v>2660</v>
      </c>
      <c r="C321" t="s">
        <v>927</v>
      </c>
      <c r="D321" t="s">
        <v>3052</v>
      </c>
      <c r="E321" t="s">
        <v>3053</v>
      </c>
      <c r="F321" t="s">
        <v>308</v>
      </c>
      <c r="G321" t="s">
        <v>309</v>
      </c>
      <c r="H321" t="s">
        <v>3270</v>
      </c>
      <c r="I321">
        <v>65</v>
      </c>
      <c r="J321">
        <v>0</v>
      </c>
      <c r="K321">
        <v>0</v>
      </c>
      <c r="L321">
        <v>0</v>
      </c>
      <c r="M321">
        <v>50</v>
      </c>
      <c r="N321">
        <v>0</v>
      </c>
      <c r="O321">
        <v>15</v>
      </c>
    </row>
    <row r="322" spans="1:15" x14ac:dyDescent="0.25">
      <c r="A322" t="s">
        <v>1159</v>
      </c>
      <c r="B322" t="s">
        <v>2829</v>
      </c>
      <c r="C322" t="s">
        <v>927</v>
      </c>
      <c r="D322" t="s">
        <v>3052</v>
      </c>
      <c r="E322" t="s">
        <v>3053</v>
      </c>
      <c r="F322" t="s">
        <v>308</v>
      </c>
      <c r="G322" t="s">
        <v>309</v>
      </c>
      <c r="H322" t="s">
        <v>3271</v>
      </c>
      <c r="I322">
        <v>3070</v>
      </c>
      <c r="J322">
        <v>2945</v>
      </c>
      <c r="K322">
        <v>0</v>
      </c>
      <c r="L322">
        <v>101</v>
      </c>
      <c r="M322">
        <v>0</v>
      </c>
      <c r="N322">
        <v>40</v>
      </c>
      <c r="O322">
        <v>24</v>
      </c>
    </row>
    <row r="323" spans="1:15" x14ac:dyDescent="0.25">
      <c r="A323" t="s">
        <v>1162</v>
      </c>
      <c r="B323" t="s">
        <v>2547</v>
      </c>
      <c r="C323" t="s">
        <v>923</v>
      </c>
      <c r="D323" t="s">
        <v>3063</v>
      </c>
      <c r="E323" t="s">
        <v>3053</v>
      </c>
      <c r="F323" t="s">
        <v>308</v>
      </c>
      <c r="G323" t="s">
        <v>309</v>
      </c>
      <c r="H323" t="s">
        <v>3272</v>
      </c>
      <c r="I323">
        <v>23</v>
      </c>
      <c r="J323">
        <v>0</v>
      </c>
      <c r="K323">
        <v>0</v>
      </c>
      <c r="L323">
        <v>23</v>
      </c>
      <c r="M323">
        <v>0</v>
      </c>
      <c r="N323">
        <v>0</v>
      </c>
      <c r="O323">
        <v>0</v>
      </c>
    </row>
    <row r="324" spans="1:15" x14ac:dyDescent="0.25">
      <c r="A324" t="s">
        <v>14381</v>
      </c>
      <c r="B324" t="s">
        <v>14450</v>
      </c>
      <c r="C324" t="s">
        <v>923</v>
      </c>
      <c r="D324" t="s">
        <v>3063</v>
      </c>
      <c r="E324" t="s">
        <v>3053</v>
      </c>
      <c r="F324" t="s">
        <v>308</v>
      </c>
      <c r="G324" t="s">
        <v>309</v>
      </c>
      <c r="H324" t="s">
        <v>14451</v>
      </c>
      <c r="I324">
        <v>10</v>
      </c>
      <c r="J324">
        <v>0</v>
      </c>
      <c r="K324">
        <v>0</v>
      </c>
      <c r="L324">
        <v>0</v>
      </c>
      <c r="M324">
        <v>10</v>
      </c>
      <c r="N324">
        <v>0</v>
      </c>
      <c r="O324">
        <v>0</v>
      </c>
    </row>
    <row r="325" spans="1:15" x14ac:dyDescent="0.25">
      <c r="A325" t="s">
        <v>1069</v>
      </c>
      <c r="B325" t="s">
        <v>2001</v>
      </c>
      <c r="C325" t="s">
        <v>927</v>
      </c>
      <c r="D325" t="s">
        <v>3052</v>
      </c>
      <c r="E325" t="s">
        <v>3053</v>
      </c>
      <c r="F325" t="s">
        <v>308</v>
      </c>
      <c r="G325" t="s">
        <v>309</v>
      </c>
      <c r="H325" t="s">
        <v>3273</v>
      </c>
      <c r="I325">
        <v>233</v>
      </c>
      <c r="J325">
        <v>185</v>
      </c>
      <c r="K325">
        <v>0</v>
      </c>
      <c r="L325">
        <v>0</v>
      </c>
      <c r="M325">
        <v>48</v>
      </c>
      <c r="N325">
        <v>0</v>
      </c>
      <c r="O325">
        <v>0</v>
      </c>
    </row>
    <row r="326" spans="1:15" x14ac:dyDescent="0.25">
      <c r="A326" t="s">
        <v>1176</v>
      </c>
      <c r="B326" t="s">
        <v>2952</v>
      </c>
      <c r="C326" t="s">
        <v>923</v>
      </c>
      <c r="D326" t="s">
        <v>3063</v>
      </c>
      <c r="E326" t="s">
        <v>3053</v>
      </c>
      <c r="F326" t="s">
        <v>308</v>
      </c>
      <c r="G326" t="s">
        <v>309</v>
      </c>
      <c r="H326" t="s">
        <v>3274</v>
      </c>
      <c r="I326">
        <v>4</v>
      </c>
      <c r="J326">
        <v>0</v>
      </c>
      <c r="K326">
        <v>0</v>
      </c>
      <c r="L326">
        <v>4</v>
      </c>
      <c r="M326">
        <v>0</v>
      </c>
      <c r="N326">
        <v>0</v>
      </c>
      <c r="O326">
        <v>0</v>
      </c>
    </row>
    <row r="327" spans="1:15" x14ac:dyDescent="0.25">
      <c r="A327" t="s">
        <v>1196</v>
      </c>
      <c r="B327" t="s">
        <v>3004</v>
      </c>
      <c r="C327" t="s">
        <v>927</v>
      </c>
      <c r="D327" t="s">
        <v>3052</v>
      </c>
      <c r="E327" t="s">
        <v>3053</v>
      </c>
      <c r="F327" t="s">
        <v>310</v>
      </c>
      <c r="G327" t="s">
        <v>311</v>
      </c>
      <c r="H327" t="s">
        <v>3275</v>
      </c>
      <c r="I327">
        <v>37</v>
      </c>
      <c r="J327">
        <v>37</v>
      </c>
      <c r="K327">
        <v>0</v>
      </c>
      <c r="L327">
        <v>0</v>
      </c>
      <c r="M327">
        <v>0</v>
      </c>
      <c r="N327">
        <v>0</v>
      </c>
      <c r="O327">
        <v>0</v>
      </c>
    </row>
    <row r="328" spans="1:15" x14ac:dyDescent="0.25">
      <c r="A328" t="s">
        <v>924</v>
      </c>
      <c r="B328" t="s">
        <v>2963</v>
      </c>
      <c r="C328" t="s">
        <v>923</v>
      </c>
      <c r="D328" t="s">
        <v>3063</v>
      </c>
      <c r="E328" t="s">
        <v>3053</v>
      </c>
      <c r="F328" t="s">
        <v>310</v>
      </c>
      <c r="G328" t="s">
        <v>311</v>
      </c>
      <c r="H328" t="s">
        <v>3276</v>
      </c>
      <c r="I328">
        <v>2</v>
      </c>
      <c r="J328">
        <v>0</v>
      </c>
      <c r="K328">
        <v>0</v>
      </c>
      <c r="L328">
        <v>2</v>
      </c>
      <c r="M328">
        <v>0</v>
      </c>
      <c r="N328">
        <v>0</v>
      </c>
      <c r="O328">
        <v>0</v>
      </c>
    </row>
    <row r="329" spans="1:15" x14ac:dyDescent="0.25">
      <c r="A329" t="s">
        <v>10568</v>
      </c>
      <c r="B329" t="s">
        <v>10567</v>
      </c>
      <c r="C329" t="s">
        <v>927</v>
      </c>
      <c r="D329" t="s">
        <v>3052</v>
      </c>
      <c r="E329" t="s">
        <v>3053</v>
      </c>
      <c r="F329" t="s">
        <v>310</v>
      </c>
      <c r="G329" t="s">
        <v>311</v>
      </c>
      <c r="H329" t="s">
        <v>10838</v>
      </c>
      <c r="I329">
        <v>43</v>
      </c>
      <c r="J329">
        <v>43</v>
      </c>
      <c r="K329">
        <v>0</v>
      </c>
      <c r="L329">
        <v>0</v>
      </c>
      <c r="M329">
        <v>0</v>
      </c>
      <c r="N329">
        <v>0</v>
      </c>
      <c r="O329">
        <v>0</v>
      </c>
    </row>
    <row r="330" spans="1:15" x14ac:dyDescent="0.25">
      <c r="A330" t="s">
        <v>926</v>
      </c>
      <c r="B330" t="s">
        <v>2923</v>
      </c>
      <c r="C330" t="s">
        <v>927</v>
      </c>
      <c r="D330" t="s">
        <v>3052</v>
      </c>
      <c r="E330" t="s">
        <v>3053</v>
      </c>
      <c r="F330" t="s">
        <v>310</v>
      </c>
      <c r="G330" t="s">
        <v>311</v>
      </c>
      <c r="H330" t="s">
        <v>3277</v>
      </c>
      <c r="I330">
        <v>22</v>
      </c>
      <c r="J330">
        <v>3</v>
      </c>
      <c r="K330">
        <v>0</v>
      </c>
      <c r="L330">
        <v>10</v>
      </c>
      <c r="M330">
        <v>0</v>
      </c>
      <c r="N330">
        <v>0</v>
      </c>
      <c r="O330">
        <v>9</v>
      </c>
    </row>
    <row r="331" spans="1:15" x14ac:dyDescent="0.25">
      <c r="A331" t="s">
        <v>929</v>
      </c>
      <c r="B331" t="s">
        <v>2999</v>
      </c>
      <c r="C331" t="s">
        <v>927</v>
      </c>
      <c r="D331" t="s">
        <v>3052</v>
      </c>
      <c r="E331" t="s">
        <v>3053</v>
      </c>
      <c r="F331" t="s">
        <v>310</v>
      </c>
      <c r="G331" t="s">
        <v>311</v>
      </c>
      <c r="H331" t="s">
        <v>3278</v>
      </c>
      <c r="I331">
        <v>143</v>
      </c>
      <c r="J331">
        <v>0</v>
      </c>
      <c r="K331">
        <v>0</v>
      </c>
      <c r="L331">
        <v>0</v>
      </c>
      <c r="M331">
        <v>143</v>
      </c>
      <c r="N331">
        <v>0</v>
      </c>
      <c r="O331">
        <v>0</v>
      </c>
    </row>
    <row r="332" spans="1:15" x14ac:dyDescent="0.25">
      <c r="A332" t="s">
        <v>931</v>
      </c>
      <c r="B332" t="s">
        <v>1978</v>
      </c>
      <c r="C332" t="s">
        <v>927</v>
      </c>
      <c r="D332" t="s">
        <v>3052</v>
      </c>
      <c r="E332" t="s">
        <v>3053</v>
      </c>
      <c r="F332" t="s">
        <v>310</v>
      </c>
      <c r="G332" t="s">
        <v>311</v>
      </c>
      <c r="H332" t="s">
        <v>3279</v>
      </c>
      <c r="I332">
        <v>169</v>
      </c>
      <c r="J332">
        <v>97</v>
      </c>
      <c r="K332">
        <v>0</v>
      </c>
      <c r="L332">
        <v>0</v>
      </c>
      <c r="M332">
        <v>0</v>
      </c>
      <c r="N332">
        <v>0</v>
      </c>
      <c r="O332">
        <v>72</v>
      </c>
    </row>
    <row r="333" spans="1:15" x14ac:dyDescent="0.25">
      <c r="A333" t="s">
        <v>933</v>
      </c>
      <c r="B333" t="s">
        <v>2106</v>
      </c>
      <c r="C333" t="s">
        <v>927</v>
      </c>
      <c r="D333" t="s">
        <v>3052</v>
      </c>
      <c r="E333" t="s">
        <v>3053</v>
      </c>
      <c r="F333" t="s">
        <v>310</v>
      </c>
      <c r="G333" t="s">
        <v>311</v>
      </c>
      <c r="H333" t="s">
        <v>3280</v>
      </c>
      <c r="I333">
        <v>1039</v>
      </c>
      <c r="J333">
        <v>902</v>
      </c>
      <c r="K333">
        <v>0</v>
      </c>
      <c r="L333">
        <v>23</v>
      </c>
      <c r="M333">
        <v>31</v>
      </c>
      <c r="N333">
        <v>0</v>
      </c>
      <c r="O333">
        <v>83</v>
      </c>
    </row>
    <row r="334" spans="1:15" x14ac:dyDescent="0.25">
      <c r="A334" t="s">
        <v>998</v>
      </c>
      <c r="B334" t="s">
        <v>2820</v>
      </c>
      <c r="C334" t="s">
        <v>927</v>
      </c>
      <c r="D334" t="s">
        <v>3052</v>
      </c>
      <c r="E334" t="s">
        <v>3053</v>
      </c>
      <c r="F334" t="s">
        <v>310</v>
      </c>
      <c r="G334" t="s">
        <v>311</v>
      </c>
      <c r="H334" t="s">
        <v>3281</v>
      </c>
      <c r="I334">
        <v>32</v>
      </c>
      <c r="J334">
        <v>16</v>
      </c>
      <c r="K334">
        <v>0</v>
      </c>
      <c r="L334">
        <v>0</v>
      </c>
      <c r="M334">
        <v>0</v>
      </c>
      <c r="N334">
        <v>0</v>
      </c>
      <c r="O334">
        <v>16</v>
      </c>
    </row>
    <row r="335" spans="1:15" x14ac:dyDescent="0.25">
      <c r="A335" t="s">
        <v>1000</v>
      </c>
      <c r="B335" t="s">
        <v>1984</v>
      </c>
      <c r="C335" t="s">
        <v>923</v>
      </c>
      <c r="D335" t="s">
        <v>3063</v>
      </c>
      <c r="E335" t="s">
        <v>3053</v>
      </c>
      <c r="F335" t="s">
        <v>310</v>
      </c>
      <c r="G335" t="s">
        <v>311</v>
      </c>
      <c r="H335" t="s">
        <v>3282</v>
      </c>
      <c r="I335">
        <v>1</v>
      </c>
      <c r="J335">
        <v>0</v>
      </c>
      <c r="K335">
        <v>0</v>
      </c>
      <c r="L335">
        <v>1</v>
      </c>
      <c r="M335">
        <v>0</v>
      </c>
      <c r="N335">
        <v>0</v>
      </c>
      <c r="O335">
        <v>0</v>
      </c>
    </row>
    <row r="336" spans="1:15" x14ac:dyDescent="0.25">
      <c r="A336" t="s">
        <v>10638</v>
      </c>
      <c r="B336" t="s">
        <v>2057</v>
      </c>
      <c r="C336" t="s">
        <v>927</v>
      </c>
      <c r="D336" t="s">
        <v>3052</v>
      </c>
      <c r="E336" t="s">
        <v>3053</v>
      </c>
      <c r="F336" t="s">
        <v>310</v>
      </c>
      <c r="G336" t="s">
        <v>311</v>
      </c>
      <c r="H336" t="s">
        <v>10839</v>
      </c>
      <c r="I336">
        <v>43</v>
      </c>
      <c r="J336">
        <v>0</v>
      </c>
      <c r="K336">
        <v>0</v>
      </c>
      <c r="L336">
        <v>43</v>
      </c>
      <c r="M336">
        <v>0</v>
      </c>
      <c r="N336">
        <v>0</v>
      </c>
      <c r="O336">
        <v>0</v>
      </c>
    </row>
    <row r="337" spans="1:15" x14ac:dyDescent="0.25">
      <c r="A337" t="s">
        <v>1010</v>
      </c>
      <c r="B337" t="s">
        <v>2639</v>
      </c>
      <c r="C337" t="s">
        <v>927</v>
      </c>
      <c r="D337" t="s">
        <v>3052</v>
      </c>
      <c r="E337" t="s">
        <v>3053</v>
      </c>
      <c r="F337" t="s">
        <v>310</v>
      </c>
      <c r="G337" t="s">
        <v>311</v>
      </c>
      <c r="H337" t="s">
        <v>3283</v>
      </c>
      <c r="I337">
        <v>18</v>
      </c>
      <c r="J337">
        <v>13</v>
      </c>
      <c r="K337">
        <v>0</v>
      </c>
      <c r="L337">
        <v>0</v>
      </c>
      <c r="M337">
        <v>0</v>
      </c>
      <c r="N337">
        <v>0</v>
      </c>
      <c r="O337">
        <v>5</v>
      </c>
    </row>
    <row r="338" spans="1:15" x14ac:dyDescent="0.25">
      <c r="A338" t="s">
        <v>937</v>
      </c>
      <c r="B338" t="s">
        <v>1962</v>
      </c>
      <c r="C338" t="s">
        <v>927</v>
      </c>
      <c r="D338" t="s">
        <v>3052</v>
      </c>
      <c r="E338" t="s">
        <v>3053</v>
      </c>
      <c r="F338" t="s">
        <v>310</v>
      </c>
      <c r="G338" t="s">
        <v>311</v>
      </c>
      <c r="H338" t="s">
        <v>3284</v>
      </c>
      <c r="I338">
        <v>21</v>
      </c>
      <c r="J338">
        <v>0</v>
      </c>
      <c r="K338">
        <v>0</v>
      </c>
      <c r="L338">
        <v>0</v>
      </c>
      <c r="M338">
        <v>0</v>
      </c>
      <c r="N338">
        <v>0</v>
      </c>
      <c r="O338">
        <v>21</v>
      </c>
    </row>
    <row r="339" spans="1:15" x14ac:dyDescent="0.25">
      <c r="A339" t="s">
        <v>938</v>
      </c>
      <c r="B339" t="s">
        <v>2791</v>
      </c>
      <c r="C339" t="s">
        <v>927</v>
      </c>
      <c r="D339" t="s">
        <v>3052</v>
      </c>
      <c r="E339" t="s">
        <v>3053</v>
      </c>
      <c r="F339" t="s">
        <v>310</v>
      </c>
      <c r="G339" t="s">
        <v>311</v>
      </c>
      <c r="H339" t="s">
        <v>3285</v>
      </c>
      <c r="I339">
        <v>255</v>
      </c>
      <c r="J339">
        <v>151</v>
      </c>
      <c r="K339">
        <v>0</v>
      </c>
      <c r="L339">
        <v>84</v>
      </c>
      <c r="M339">
        <v>0</v>
      </c>
      <c r="N339">
        <v>0</v>
      </c>
      <c r="O339">
        <v>20</v>
      </c>
    </row>
    <row r="340" spans="1:15" x14ac:dyDescent="0.25">
      <c r="A340" t="s">
        <v>940</v>
      </c>
      <c r="B340" t="s">
        <v>2647</v>
      </c>
      <c r="C340" t="s">
        <v>927</v>
      </c>
      <c r="D340" t="s">
        <v>3052</v>
      </c>
      <c r="E340" t="s">
        <v>3053</v>
      </c>
      <c r="F340" t="s">
        <v>310</v>
      </c>
      <c r="G340" t="s">
        <v>311</v>
      </c>
      <c r="H340" t="s">
        <v>3286</v>
      </c>
      <c r="I340">
        <v>42</v>
      </c>
      <c r="J340">
        <v>0</v>
      </c>
      <c r="K340">
        <v>0</v>
      </c>
      <c r="L340">
        <v>0</v>
      </c>
      <c r="M340">
        <v>42</v>
      </c>
      <c r="N340">
        <v>0</v>
      </c>
      <c r="O340">
        <v>0</v>
      </c>
    </row>
    <row r="341" spans="1:15" x14ac:dyDescent="0.25">
      <c r="A341" t="s">
        <v>1122</v>
      </c>
      <c r="B341" t="s">
        <v>2823</v>
      </c>
      <c r="C341" t="s">
        <v>927</v>
      </c>
      <c r="D341" t="s">
        <v>3052</v>
      </c>
      <c r="E341" t="s">
        <v>3053</v>
      </c>
      <c r="F341" t="s">
        <v>310</v>
      </c>
      <c r="G341" t="s">
        <v>311</v>
      </c>
      <c r="H341" t="s">
        <v>3287</v>
      </c>
      <c r="I341">
        <v>41</v>
      </c>
      <c r="J341">
        <v>29</v>
      </c>
      <c r="K341">
        <v>0</v>
      </c>
      <c r="L341">
        <v>0</v>
      </c>
      <c r="M341">
        <v>0</v>
      </c>
      <c r="N341">
        <v>0</v>
      </c>
      <c r="O341">
        <v>12</v>
      </c>
    </row>
    <row r="342" spans="1:15" x14ac:dyDescent="0.25">
      <c r="A342" t="s">
        <v>1740</v>
      </c>
      <c r="B342" t="s">
        <v>2904</v>
      </c>
      <c r="C342" t="s">
        <v>923</v>
      </c>
      <c r="D342" t="s">
        <v>3063</v>
      </c>
      <c r="E342" t="s">
        <v>3053</v>
      </c>
      <c r="F342" t="s">
        <v>310</v>
      </c>
      <c r="G342" t="s">
        <v>311</v>
      </c>
      <c r="H342" t="s">
        <v>11803</v>
      </c>
      <c r="I342">
        <v>4</v>
      </c>
      <c r="J342">
        <v>0</v>
      </c>
      <c r="K342">
        <v>0</v>
      </c>
      <c r="L342">
        <v>4</v>
      </c>
      <c r="M342">
        <v>0</v>
      </c>
      <c r="N342">
        <v>0</v>
      </c>
      <c r="O342">
        <v>0</v>
      </c>
    </row>
    <row r="343" spans="1:15" x14ac:dyDescent="0.25">
      <c r="A343" t="s">
        <v>1623</v>
      </c>
      <c r="B343" t="s">
        <v>2164</v>
      </c>
      <c r="C343" t="s">
        <v>923</v>
      </c>
      <c r="D343" t="s">
        <v>3063</v>
      </c>
      <c r="E343" t="s">
        <v>3053</v>
      </c>
      <c r="F343" t="s">
        <v>310</v>
      </c>
      <c r="G343" t="s">
        <v>311</v>
      </c>
      <c r="H343" t="s">
        <v>3288</v>
      </c>
      <c r="I343">
        <v>12</v>
      </c>
      <c r="J343">
        <v>0</v>
      </c>
      <c r="K343">
        <v>0</v>
      </c>
      <c r="L343">
        <v>0</v>
      </c>
      <c r="M343">
        <v>12</v>
      </c>
      <c r="N343">
        <v>0</v>
      </c>
      <c r="O343">
        <v>0</v>
      </c>
    </row>
    <row r="344" spans="1:15" x14ac:dyDescent="0.25">
      <c r="A344" t="s">
        <v>1025</v>
      </c>
      <c r="B344" t="s">
        <v>2893</v>
      </c>
      <c r="C344" t="s">
        <v>927</v>
      </c>
      <c r="D344" t="s">
        <v>3052</v>
      </c>
      <c r="E344" t="s">
        <v>3053</v>
      </c>
      <c r="F344" t="s">
        <v>310</v>
      </c>
      <c r="G344" t="s">
        <v>311</v>
      </c>
      <c r="H344" t="s">
        <v>3289</v>
      </c>
      <c r="I344">
        <v>320</v>
      </c>
      <c r="J344">
        <v>270</v>
      </c>
      <c r="K344">
        <v>0</v>
      </c>
      <c r="L344">
        <v>40</v>
      </c>
      <c r="M344">
        <v>0</v>
      </c>
      <c r="N344">
        <v>4</v>
      </c>
      <c r="O344">
        <v>10</v>
      </c>
    </row>
    <row r="345" spans="1:15" x14ac:dyDescent="0.25">
      <c r="A345" t="s">
        <v>943</v>
      </c>
      <c r="B345" t="s">
        <v>2694</v>
      </c>
      <c r="C345" t="s">
        <v>927</v>
      </c>
      <c r="D345" t="s">
        <v>3052</v>
      </c>
      <c r="E345" t="s">
        <v>3053</v>
      </c>
      <c r="F345" t="s">
        <v>310</v>
      </c>
      <c r="G345" t="s">
        <v>311</v>
      </c>
      <c r="H345" t="s">
        <v>3290</v>
      </c>
      <c r="I345">
        <v>28</v>
      </c>
      <c r="J345">
        <v>19</v>
      </c>
      <c r="K345">
        <v>0</v>
      </c>
      <c r="L345">
        <v>0</v>
      </c>
      <c r="M345">
        <v>0</v>
      </c>
      <c r="N345">
        <v>0</v>
      </c>
      <c r="O345">
        <v>9</v>
      </c>
    </row>
    <row r="346" spans="1:15" x14ac:dyDescent="0.25">
      <c r="A346" t="s">
        <v>945</v>
      </c>
      <c r="B346" t="s">
        <v>2668</v>
      </c>
      <c r="C346" t="s">
        <v>927</v>
      </c>
      <c r="D346" t="s">
        <v>3052</v>
      </c>
      <c r="E346" t="s">
        <v>3053</v>
      </c>
      <c r="F346" t="s">
        <v>310</v>
      </c>
      <c r="G346" t="s">
        <v>311</v>
      </c>
      <c r="H346" t="s">
        <v>3291</v>
      </c>
      <c r="I346">
        <v>6</v>
      </c>
      <c r="J346">
        <v>0</v>
      </c>
      <c r="K346">
        <v>0</v>
      </c>
      <c r="L346">
        <v>0</v>
      </c>
      <c r="M346">
        <v>0</v>
      </c>
      <c r="N346">
        <v>0</v>
      </c>
      <c r="O346">
        <v>6</v>
      </c>
    </row>
    <row r="347" spans="1:15" x14ac:dyDescent="0.25">
      <c r="A347" t="s">
        <v>951</v>
      </c>
      <c r="B347" t="s">
        <v>2680</v>
      </c>
      <c r="C347" t="s">
        <v>927</v>
      </c>
      <c r="D347" t="s">
        <v>3052</v>
      </c>
      <c r="E347" t="s">
        <v>3053</v>
      </c>
      <c r="F347" t="s">
        <v>310</v>
      </c>
      <c r="G347" t="s">
        <v>311</v>
      </c>
      <c r="H347" t="s">
        <v>3292</v>
      </c>
      <c r="I347">
        <v>41</v>
      </c>
      <c r="J347">
        <v>41</v>
      </c>
      <c r="K347">
        <v>0</v>
      </c>
      <c r="L347">
        <v>0</v>
      </c>
      <c r="M347">
        <v>0</v>
      </c>
      <c r="N347">
        <v>2</v>
      </c>
      <c r="O347">
        <v>0</v>
      </c>
    </row>
    <row r="348" spans="1:15" x14ac:dyDescent="0.25">
      <c r="A348" t="s">
        <v>1050</v>
      </c>
      <c r="B348" t="s">
        <v>2018</v>
      </c>
      <c r="C348" t="s">
        <v>923</v>
      </c>
      <c r="D348" t="s">
        <v>3063</v>
      </c>
      <c r="E348" t="s">
        <v>3053</v>
      </c>
      <c r="F348" t="s">
        <v>310</v>
      </c>
      <c r="G348" t="s">
        <v>311</v>
      </c>
      <c r="H348" t="s">
        <v>3293</v>
      </c>
      <c r="I348">
        <v>10</v>
      </c>
      <c r="J348">
        <v>10</v>
      </c>
      <c r="K348">
        <v>0</v>
      </c>
      <c r="L348">
        <v>0</v>
      </c>
      <c r="M348">
        <v>0</v>
      </c>
      <c r="N348">
        <v>0</v>
      </c>
      <c r="O348">
        <v>0</v>
      </c>
    </row>
    <row r="349" spans="1:15" x14ac:dyDescent="0.25">
      <c r="A349" t="s">
        <v>11720</v>
      </c>
      <c r="B349" t="s">
        <v>10718</v>
      </c>
      <c r="C349" t="s">
        <v>927</v>
      </c>
      <c r="D349" t="s">
        <v>3052</v>
      </c>
      <c r="E349" t="s">
        <v>3053</v>
      </c>
      <c r="F349" t="s">
        <v>310</v>
      </c>
      <c r="G349" t="s">
        <v>311</v>
      </c>
      <c r="H349" t="s">
        <v>14452</v>
      </c>
      <c r="I349">
        <v>17</v>
      </c>
      <c r="J349">
        <v>8</v>
      </c>
      <c r="K349">
        <v>0</v>
      </c>
      <c r="L349">
        <v>0</v>
      </c>
      <c r="M349">
        <v>0</v>
      </c>
      <c r="N349">
        <v>0</v>
      </c>
      <c r="O349">
        <v>9</v>
      </c>
    </row>
    <row r="350" spans="1:15" x14ac:dyDescent="0.25">
      <c r="A350" t="s">
        <v>9788</v>
      </c>
      <c r="B350" t="s">
        <v>9871</v>
      </c>
      <c r="C350" t="s">
        <v>927</v>
      </c>
      <c r="D350" t="s">
        <v>3052</v>
      </c>
      <c r="E350" t="s">
        <v>3053</v>
      </c>
      <c r="F350" t="s">
        <v>310</v>
      </c>
      <c r="G350" t="s">
        <v>311</v>
      </c>
      <c r="H350" t="s">
        <v>10329</v>
      </c>
      <c r="I350">
        <v>79</v>
      </c>
      <c r="J350">
        <v>79</v>
      </c>
      <c r="K350">
        <v>0</v>
      </c>
      <c r="L350">
        <v>0</v>
      </c>
      <c r="M350">
        <v>0</v>
      </c>
      <c r="N350">
        <v>0</v>
      </c>
      <c r="O350">
        <v>0</v>
      </c>
    </row>
    <row r="351" spans="1:15" x14ac:dyDescent="0.25">
      <c r="A351" t="s">
        <v>955</v>
      </c>
      <c r="B351" t="s">
        <v>2660</v>
      </c>
      <c r="C351" t="s">
        <v>927</v>
      </c>
      <c r="D351" t="s">
        <v>3052</v>
      </c>
      <c r="E351" t="s">
        <v>3053</v>
      </c>
      <c r="F351" t="s">
        <v>310</v>
      </c>
      <c r="G351" t="s">
        <v>311</v>
      </c>
      <c r="H351" t="s">
        <v>3294</v>
      </c>
      <c r="I351">
        <v>141</v>
      </c>
      <c r="J351">
        <v>127</v>
      </c>
      <c r="K351">
        <v>0</v>
      </c>
      <c r="L351">
        <v>4</v>
      </c>
      <c r="M351">
        <v>0</v>
      </c>
      <c r="N351">
        <v>0</v>
      </c>
      <c r="O351">
        <v>10</v>
      </c>
    </row>
    <row r="352" spans="1:15" x14ac:dyDescent="0.25">
      <c r="A352" t="s">
        <v>1654</v>
      </c>
      <c r="B352" t="s">
        <v>2850</v>
      </c>
      <c r="C352" t="s">
        <v>927</v>
      </c>
      <c r="D352" t="s">
        <v>3052</v>
      </c>
      <c r="E352" t="s">
        <v>3053</v>
      </c>
      <c r="F352" t="s">
        <v>310</v>
      </c>
      <c r="G352" t="s">
        <v>311</v>
      </c>
      <c r="H352" t="s">
        <v>3295</v>
      </c>
      <c r="I352">
        <v>64</v>
      </c>
      <c r="J352">
        <v>0</v>
      </c>
      <c r="K352">
        <v>0</v>
      </c>
      <c r="L352">
        <v>0</v>
      </c>
      <c r="M352">
        <v>34</v>
      </c>
      <c r="N352">
        <v>0</v>
      </c>
      <c r="O352">
        <v>30</v>
      </c>
    </row>
    <row r="353" spans="1:15" x14ac:dyDescent="0.25">
      <c r="A353" t="s">
        <v>1659</v>
      </c>
      <c r="B353" t="s">
        <v>2215</v>
      </c>
      <c r="C353" t="s">
        <v>923</v>
      </c>
      <c r="D353" t="s">
        <v>3063</v>
      </c>
      <c r="E353" t="s">
        <v>3053</v>
      </c>
      <c r="F353" t="s">
        <v>310</v>
      </c>
      <c r="G353" t="s">
        <v>311</v>
      </c>
      <c r="H353" t="s">
        <v>3296</v>
      </c>
      <c r="I353">
        <v>52</v>
      </c>
      <c r="J353">
        <v>0</v>
      </c>
      <c r="K353">
        <v>0</v>
      </c>
      <c r="L353">
        <v>0</v>
      </c>
      <c r="M353">
        <v>52</v>
      </c>
      <c r="N353">
        <v>0</v>
      </c>
      <c r="O353">
        <v>0</v>
      </c>
    </row>
    <row r="354" spans="1:15" x14ac:dyDescent="0.25">
      <c r="A354" t="s">
        <v>11663</v>
      </c>
      <c r="B354" t="s">
        <v>11768</v>
      </c>
      <c r="C354" t="s">
        <v>927</v>
      </c>
      <c r="D354" t="s">
        <v>3052</v>
      </c>
      <c r="E354" t="s">
        <v>3053</v>
      </c>
      <c r="F354" t="s">
        <v>310</v>
      </c>
      <c r="G354" t="s">
        <v>311</v>
      </c>
      <c r="H354" t="s">
        <v>11804</v>
      </c>
      <c r="I354">
        <v>452</v>
      </c>
      <c r="J354">
        <v>139</v>
      </c>
      <c r="K354">
        <v>312</v>
      </c>
      <c r="L354">
        <v>0</v>
      </c>
      <c r="M354">
        <v>0</v>
      </c>
      <c r="N354">
        <v>0</v>
      </c>
      <c r="O354">
        <v>1</v>
      </c>
    </row>
    <row r="355" spans="1:15" x14ac:dyDescent="0.25">
      <c r="A355" t="s">
        <v>960</v>
      </c>
      <c r="B355" t="s">
        <v>2080</v>
      </c>
      <c r="C355" t="s">
        <v>927</v>
      </c>
      <c r="D355" t="s">
        <v>3052</v>
      </c>
      <c r="E355" t="s">
        <v>3053</v>
      </c>
      <c r="F355" t="s">
        <v>310</v>
      </c>
      <c r="G355" t="s">
        <v>311</v>
      </c>
      <c r="H355" t="s">
        <v>3297</v>
      </c>
      <c r="I355">
        <v>6149</v>
      </c>
      <c r="J355">
        <v>5220</v>
      </c>
      <c r="K355">
        <v>0</v>
      </c>
      <c r="L355">
        <v>104</v>
      </c>
      <c r="M355">
        <v>280</v>
      </c>
      <c r="N355">
        <v>11</v>
      </c>
      <c r="O355">
        <v>545</v>
      </c>
    </row>
    <row r="356" spans="1:15" x14ac:dyDescent="0.25">
      <c r="A356" t="s">
        <v>14374</v>
      </c>
      <c r="B356" t="s">
        <v>1943</v>
      </c>
      <c r="C356" t="s">
        <v>927</v>
      </c>
      <c r="D356" t="s">
        <v>3052</v>
      </c>
      <c r="E356" t="s">
        <v>3053</v>
      </c>
      <c r="F356" t="s">
        <v>310</v>
      </c>
      <c r="G356" t="s">
        <v>311</v>
      </c>
      <c r="H356" t="s">
        <v>14453</v>
      </c>
      <c r="I356">
        <v>32</v>
      </c>
      <c r="J356">
        <v>0</v>
      </c>
      <c r="K356">
        <v>0</v>
      </c>
      <c r="L356">
        <v>0</v>
      </c>
      <c r="M356">
        <v>0</v>
      </c>
      <c r="N356">
        <v>0</v>
      </c>
      <c r="O356">
        <v>32</v>
      </c>
    </row>
    <row r="357" spans="1:15" x14ac:dyDescent="0.25">
      <c r="A357" t="s">
        <v>962</v>
      </c>
      <c r="B357" t="s">
        <v>2752</v>
      </c>
      <c r="C357" t="s">
        <v>927</v>
      </c>
      <c r="D357" t="s">
        <v>3052</v>
      </c>
      <c r="E357" t="s">
        <v>3053</v>
      </c>
      <c r="F357" t="s">
        <v>310</v>
      </c>
      <c r="G357" t="s">
        <v>311</v>
      </c>
      <c r="H357" t="s">
        <v>3298</v>
      </c>
      <c r="I357">
        <v>390</v>
      </c>
      <c r="J357">
        <v>350</v>
      </c>
      <c r="K357">
        <v>0</v>
      </c>
      <c r="L357">
        <v>0</v>
      </c>
      <c r="M357">
        <v>38</v>
      </c>
      <c r="N357">
        <v>0</v>
      </c>
      <c r="O357">
        <v>2</v>
      </c>
    </row>
    <row r="358" spans="1:15" x14ac:dyDescent="0.25">
      <c r="A358" t="s">
        <v>1066</v>
      </c>
      <c r="B358" t="s">
        <v>2557</v>
      </c>
      <c r="C358" t="s">
        <v>927</v>
      </c>
      <c r="D358" t="s">
        <v>3052</v>
      </c>
      <c r="E358" t="s">
        <v>3053</v>
      </c>
      <c r="F358" t="s">
        <v>310</v>
      </c>
      <c r="G358" t="s">
        <v>311</v>
      </c>
      <c r="H358" t="s">
        <v>3299</v>
      </c>
      <c r="I358">
        <v>10</v>
      </c>
      <c r="J358">
        <v>0</v>
      </c>
      <c r="K358">
        <v>0</v>
      </c>
      <c r="L358">
        <v>0</v>
      </c>
      <c r="M358">
        <v>10</v>
      </c>
      <c r="N358">
        <v>0</v>
      </c>
      <c r="O358">
        <v>0</v>
      </c>
    </row>
    <row r="359" spans="1:15" x14ac:dyDescent="0.25">
      <c r="A359" t="s">
        <v>1069</v>
      </c>
      <c r="B359" t="s">
        <v>2001</v>
      </c>
      <c r="C359" t="s">
        <v>927</v>
      </c>
      <c r="D359" t="s">
        <v>3052</v>
      </c>
      <c r="E359" t="s">
        <v>3053</v>
      </c>
      <c r="F359" t="s">
        <v>310</v>
      </c>
      <c r="G359" t="s">
        <v>311</v>
      </c>
      <c r="H359" t="s">
        <v>3300</v>
      </c>
      <c r="I359">
        <v>456</v>
      </c>
      <c r="J359">
        <v>389</v>
      </c>
      <c r="K359">
        <v>0</v>
      </c>
      <c r="L359">
        <v>6</v>
      </c>
      <c r="M359">
        <v>0</v>
      </c>
      <c r="N359">
        <v>0</v>
      </c>
      <c r="O359">
        <v>61</v>
      </c>
    </row>
    <row r="360" spans="1:15" x14ac:dyDescent="0.25">
      <c r="A360" t="s">
        <v>1681</v>
      </c>
      <c r="B360" t="s">
        <v>3021</v>
      </c>
      <c r="C360" t="s">
        <v>923</v>
      </c>
      <c r="D360" t="s">
        <v>3063</v>
      </c>
      <c r="E360" t="s">
        <v>3053</v>
      </c>
      <c r="F360" t="s">
        <v>310</v>
      </c>
      <c r="G360" t="s">
        <v>311</v>
      </c>
      <c r="H360" t="s">
        <v>14454</v>
      </c>
      <c r="I360">
        <v>7</v>
      </c>
      <c r="J360">
        <v>0</v>
      </c>
      <c r="K360">
        <v>0</v>
      </c>
      <c r="L360">
        <v>7</v>
      </c>
      <c r="M360">
        <v>0</v>
      </c>
      <c r="N360">
        <v>0</v>
      </c>
      <c r="O360">
        <v>0</v>
      </c>
    </row>
    <row r="361" spans="1:15" x14ac:dyDescent="0.25">
      <c r="A361" t="s">
        <v>966</v>
      </c>
      <c r="B361" t="s">
        <v>2684</v>
      </c>
      <c r="C361" t="s">
        <v>927</v>
      </c>
      <c r="D361" t="s">
        <v>3052</v>
      </c>
      <c r="E361" t="s">
        <v>3053</v>
      </c>
      <c r="F361" t="s">
        <v>310</v>
      </c>
      <c r="G361" t="s">
        <v>311</v>
      </c>
      <c r="H361" t="s">
        <v>3301</v>
      </c>
      <c r="I361">
        <v>229</v>
      </c>
      <c r="J361">
        <v>161</v>
      </c>
      <c r="K361">
        <v>0</v>
      </c>
      <c r="L361">
        <v>5</v>
      </c>
      <c r="M361">
        <v>0</v>
      </c>
      <c r="N361">
        <v>0</v>
      </c>
      <c r="O361">
        <v>63</v>
      </c>
    </row>
    <row r="362" spans="1:15" x14ac:dyDescent="0.25">
      <c r="A362" t="s">
        <v>1686</v>
      </c>
      <c r="B362" t="s">
        <v>2988</v>
      </c>
      <c r="C362" t="s">
        <v>923</v>
      </c>
      <c r="D362" t="s">
        <v>3063</v>
      </c>
      <c r="E362" t="s">
        <v>3053</v>
      </c>
      <c r="F362" t="s">
        <v>310</v>
      </c>
      <c r="G362" t="s">
        <v>311</v>
      </c>
      <c r="H362" t="s">
        <v>11805</v>
      </c>
      <c r="I362">
        <v>5</v>
      </c>
      <c r="J362">
        <v>0</v>
      </c>
      <c r="K362">
        <v>0</v>
      </c>
      <c r="L362">
        <v>5</v>
      </c>
      <c r="M362">
        <v>0</v>
      </c>
      <c r="N362">
        <v>0</v>
      </c>
      <c r="O362">
        <v>0</v>
      </c>
    </row>
    <row r="363" spans="1:15" x14ac:dyDescent="0.25">
      <c r="A363" t="s">
        <v>968</v>
      </c>
      <c r="B363" t="s">
        <v>2091</v>
      </c>
      <c r="C363" t="s">
        <v>927</v>
      </c>
      <c r="D363" t="s">
        <v>3052</v>
      </c>
      <c r="E363" t="s">
        <v>3053</v>
      </c>
      <c r="F363" t="s">
        <v>310</v>
      </c>
      <c r="G363" t="s">
        <v>311</v>
      </c>
      <c r="H363" t="s">
        <v>3302</v>
      </c>
      <c r="I363">
        <v>6209</v>
      </c>
      <c r="J363">
        <v>5304</v>
      </c>
      <c r="K363">
        <v>0</v>
      </c>
      <c r="L363">
        <v>5</v>
      </c>
      <c r="M363">
        <v>223</v>
      </c>
      <c r="N363">
        <v>0</v>
      </c>
      <c r="O363">
        <v>677</v>
      </c>
    </row>
    <row r="364" spans="1:15" x14ac:dyDescent="0.25">
      <c r="A364" t="s">
        <v>1701</v>
      </c>
      <c r="B364" t="s">
        <v>2114</v>
      </c>
      <c r="C364" t="s">
        <v>923</v>
      </c>
      <c r="D364" t="s">
        <v>3063</v>
      </c>
      <c r="E364" t="s">
        <v>3053</v>
      </c>
      <c r="F364" t="s">
        <v>310</v>
      </c>
      <c r="G364" t="s">
        <v>311</v>
      </c>
      <c r="H364" t="s">
        <v>3303</v>
      </c>
      <c r="I364">
        <v>83</v>
      </c>
      <c r="J364">
        <v>0</v>
      </c>
      <c r="K364">
        <v>3</v>
      </c>
      <c r="L364">
        <v>80</v>
      </c>
      <c r="M364">
        <v>0</v>
      </c>
      <c r="N364">
        <v>0</v>
      </c>
      <c r="O364">
        <v>0</v>
      </c>
    </row>
    <row r="365" spans="1:15" x14ac:dyDescent="0.25">
      <c r="A365" t="s">
        <v>1016</v>
      </c>
      <c r="B365" t="s">
        <v>2725</v>
      </c>
      <c r="C365" t="s">
        <v>927</v>
      </c>
      <c r="D365" t="s">
        <v>3052</v>
      </c>
      <c r="E365" t="s">
        <v>3053</v>
      </c>
      <c r="F365" t="s">
        <v>312</v>
      </c>
      <c r="G365" t="s">
        <v>313</v>
      </c>
      <c r="H365" t="s">
        <v>3310</v>
      </c>
      <c r="I365">
        <v>11</v>
      </c>
      <c r="J365">
        <v>11</v>
      </c>
      <c r="K365">
        <v>0</v>
      </c>
      <c r="L365">
        <v>0</v>
      </c>
      <c r="M365">
        <v>0</v>
      </c>
      <c r="N365">
        <v>0</v>
      </c>
      <c r="O365">
        <v>0</v>
      </c>
    </row>
    <row r="366" spans="1:15" x14ac:dyDescent="0.25">
      <c r="A366" t="s">
        <v>972</v>
      </c>
      <c r="B366" t="s">
        <v>2842</v>
      </c>
      <c r="C366" t="s">
        <v>927</v>
      </c>
      <c r="D366" t="s">
        <v>3052</v>
      </c>
      <c r="E366" t="s">
        <v>3053</v>
      </c>
      <c r="F366" t="s">
        <v>312</v>
      </c>
      <c r="G366" t="s">
        <v>313</v>
      </c>
      <c r="H366" t="s">
        <v>3304</v>
      </c>
      <c r="I366">
        <v>248</v>
      </c>
      <c r="J366">
        <v>191</v>
      </c>
      <c r="K366">
        <v>0</v>
      </c>
      <c r="L366">
        <v>0</v>
      </c>
      <c r="M366">
        <v>0</v>
      </c>
      <c r="N366">
        <v>0</v>
      </c>
      <c r="O366">
        <v>57</v>
      </c>
    </row>
    <row r="367" spans="1:15" x14ac:dyDescent="0.25">
      <c r="A367" t="s">
        <v>926</v>
      </c>
      <c r="B367" t="s">
        <v>2923</v>
      </c>
      <c r="C367" t="s">
        <v>927</v>
      </c>
      <c r="D367" t="s">
        <v>3052</v>
      </c>
      <c r="E367" t="s">
        <v>3053</v>
      </c>
      <c r="F367" t="s">
        <v>312</v>
      </c>
      <c r="G367" t="s">
        <v>313</v>
      </c>
      <c r="H367" t="s">
        <v>3305</v>
      </c>
      <c r="I367">
        <v>5</v>
      </c>
      <c r="J367">
        <v>0</v>
      </c>
      <c r="K367">
        <v>0</v>
      </c>
      <c r="L367">
        <v>4</v>
      </c>
      <c r="M367">
        <v>0</v>
      </c>
      <c r="N367">
        <v>0</v>
      </c>
      <c r="O367">
        <v>1</v>
      </c>
    </row>
    <row r="368" spans="1:15" x14ac:dyDescent="0.25">
      <c r="A368" t="s">
        <v>929</v>
      </c>
      <c r="B368" t="s">
        <v>2999</v>
      </c>
      <c r="C368" t="s">
        <v>927</v>
      </c>
      <c r="D368" t="s">
        <v>3052</v>
      </c>
      <c r="E368" t="s">
        <v>3053</v>
      </c>
      <c r="F368" t="s">
        <v>312</v>
      </c>
      <c r="G368" t="s">
        <v>313</v>
      </c>
      <c r="H368" t="s">
        <v>3306</v>
      </c>
      <c r="I368">
        <v>100</v>
      </c>
      <c r="J368">
        <v>0</v>
      </c>
      <c r="K368">
        <v>0</v>
      </c>
      <c r="L368">
        <v>0</v>
      </c>
      <c r="M368">
        <v>100</v>
      </c>
      <c r="N368">
        <v>0</v>
      </c>
      <c r="O368">
        <v>0</v>
      </c>
    </row>
    <row r="369" spans="1:15" x14ac:dyDescent="0.25">
      <c r="A369" t="s">
        <v>1458</v>
      </c>
      <c r="B369" t="s">
        <v>2024</v>
      </c>
      <c r="C369" t="s">
        <v>923</v>
      </c>
      <c r="D369" t="s">
        <v>3063</v>
      </c>
      <c r="E369" t="s">
        <v>3053</v>
      </c>
      <c r="F369" t="s">
        <v>312</v>
      </c>
      <c r="G369" t="s">
        <v>313</v>
      </c>
      <c r="H369" t="s">
        <v>11806</v>
      </c>
      <c r="I369">
        <v>7</v>
      </c>
      <c r="J369">
        <v>7</v>
      </c>
      <c r="K369">
        <v>0</v>
      </c>
      <c r="L369">
        <v>0</v>
      </c>
      <c r="M369">
        <v>0</v>
      </c>
      <c r="N369">
        <v>0</v>
      </c>
      <c r="O369">
        <v>0</v>
      </c>
    </row>
    <row r="370" spans="1:15" x14ac:dyDescent="0.25">
      <c r="A370" t="s">
        <v>9784</v>
      </c>
      <c r="B370" t="s">
        <v>1994</v>
      </c>
      <c r="C370" t="s">
        <v>927</v>
      </c>
      <c r="D370" t="s">
        <v>3052</v>
      </c>
      <c r="E370" t="s">
        <v>3053</v>
      </c>
      <c r="F370" t="s">
        <v>312</v>
      </c>
      <c r="G370" t="s">
        <v>313</v>
      </c>
      <c r="H370" t="s">
        <v>9917</v>
      </c>
      <c r="I370">
        <v>6</v>
      </c>
      <c r="J370">
        <v>0</v>
      </c>
      <c r="K370">
        <v>0</v>
      </c>
      <c r="L370">
        <v>6</v>
      </c>
      <c r="M370">
        <v>0</v>
      </c>
      <c r="N370">
        <v>0</v>
      </c>
      <c r="O370">
        <v>0</v>
      </c>
    </row>
    <row r="371" spans="1:15" x14ac:dyDescent="0.25">
      <c r="A371" t="s">
        <v>997</v>
      </c>
      <c r="B371" t="s">
        <v>2033</v>
      </c>
      <c r="C371" t="s">
        <v>927</v>
      </c>
      <c r="D371" t="s">
        <v>3052</v>
      </c>
      <c r="E371" t="s">
        <v>3053</v>
      </c>
      <c r="F371" t="s">
        <v>312</v>
      </c>
      <c r="G371" t="s">
        <v>313</v>
      </c>
      <c r="H371" t="s">
        <v>3307</v>
      </c>
      <c r="I371">
        <v>29</v>
      </c>
      <c r="J371">
        <v>21</v>
      </c>
      <c r="K371">
        <v>0</v>
      </c>
      <c r="L371">
        <v>0</v>
      </c>
      <c r="M371">
        <v>0</v>
      </c>
      <c r="N371">
        <v>0</v>
      </c>
      <c r="O371">
        <v>8</v>
      </c>
    </row>
    <row r="372" spans="1:15" x14ac:dyDescent="0.25">
      <c r="A372" t="s">
        <v>1001</v>
      </c>
      <c r="B372" t="s">
        <v>3007</v>
      </c>
      <c r="C372" t="s">
        <v>927</v>
      </c>
      <c r="D372" t="s">
        <v>3052</v>
      </c>
      <c r="E372" t="s">
        <v>3053</v>
      </c>
      <c r="F372" t="s">
        <v>312</v>
      </c>
      <c r="G372" t="s">
        <v>313</v>
      </c>
      <c r="H372" t="s">
        <v>3308</v>
      </c>
      <c r="I372">
        <v>52</v>
      </c>
      <c r="J372">
        <v>0</v>
      </c>
      <c r="K372">
        <v>0</v>
      </c>
      <c r="L372">
        <v>52</v>
      </c>
      <c r="M372">
        <v>0</v>
      </c>
      <c r="N372">
        <v>0</v>
      </c>
      <c r="O372">
        <v>0</v>
      </c>
    </row>
    <row r="373" spans="1:15" x14ac:dyDescent="0.25">
      <c r="A373" t="s">
        <v>10638</v>
      </c>
      <c r="B373" t="s">
        <v>2057</v>
      </c>
      <c r="C373" t="s">
        <v>927</v>
      </c>
      <c r="D373" t="s">
        <v>3052</v>
      </c>
      <c r="E373" t="s">
        <v>3053</v>
      </c>
      <c r="F373" t="s">
        <v>312</v>
      </c>
      <c r="G373" t="s">
        <v>313</v>
      </c>
      <c r="H373" t="s">
        <v>10840</v>
      </c>
      <c r="I373">
        <v>22</v>
      </c>
      <c r="J373">
        <v>0</v>
      </c>
      <c r="K373">
        <v>0</v>
      </c>
      <c r="L373">
        <v>22</v>
      </c>
      <c r="M373">
        <v>0</v>
      </c>
      <c r="N373">
        <v>0</v>
      </c>
      <c r="O373">
        <v>0</v>
      </c>
    </row>
    <row r="374" spans="1:15" x14ac:dyDescent="0.25">
      <c r="A374" t="s">
        <v>937</v>
      </c>
      <c r="B374" t="s">
        <v>1962</v>
      </c>
      <c r="C374" t="s">
        <v>927</v>
      </c>
      <c r="D374" t="s">
        <v>3052</v>
      </c>
      <c r="E374" t="s">
        <v>3053</v>
      </c>
      <c r="F374" t="s">
        <v>312</v>
      </c>
      <c r="G374" t="s">
        <v>313</v>
      </c>
      <c r="H374" t="s">
        <v>3309</v>
      </c>
      <c r="I374">
        <v>43</v>
      </c>
      <c r="J374">
        <v>0</v>
      </c>
      <c r="K374">
        <v>0</v>
      </c>
      <c r="L374">
        <v>0</v>
      </c>
      <c r="M374">
        <v>0</v>
      </c>
      <c r="N374">
        <v>0</v>
      </c>
      <c r="O374">
        <v>43</v>
      </c>
    </row>
    <row r="375" spans="1:15" x14ac:dyDescent="0.25">
      <c r="A375" t="s">
        <v>1126</v>
      </c>
      <c r="B375" t="s">
        <v>2130</v>
      </c>
      <c r="C375" t="s">
        <v>927</v>
      </c>
      <c r="D375" t="s">
        <v>3052</v>
      </c>
      <c r="E375" t="s">
        <v>3053</v>
      </c>
      <c r="F375" t="s">
        <v>312</v>
      </c>
      <c r="G375" t="s">
        <v>313</v>
      </c>
      <c r="H375" t="s">
        <v>10841</v>
      </c>
      <c r="I375">
        <v>9</v>
      </c>
      <c r="J375">
        <v>4</v>
      </c>
      <c r="K375">
        <v>0</v>
      </c>
      <c r="L375">
        <v>0</v>
      </c>
      <c r="M375">
        <v>0</v>
      </c>
      <c r="N375">
        <v>0</v>
      </c>
      <c r="O375">
        <v>5</v>
      </c>
    </row>
    <row r="376" spans="1:15" x14ac:dyDescent="0.25">
      <c r="A376" t="s">
        <v>1026</v>
      </c>
      <c r="B376" t="s">
        <v>2848</v>
      </c>
      <c r="C376" t="s">
        <v>927</v>
      </c>
      <c r="D376" t="s">
        <v>3052</v>
      </c>
      <c r="E376" t="s">
        <v>3053</v>
      </c>
      <c r="F376" t="s">
        <v>312</v>
      </c>
      <c r="G376" t="s">
        <v>313</v>
      </c>
      <c r="H376" t="s">
        <v>3311</v>
      </c>
      <c r="I376">
        <v>282</v>
      </c>
      <c r="J376">
        <v>278</v>
      </c>
      <c r="K376">
        <v>0</v>
      </c>
      <c r="L376">
        <v>0</v>
      </c>
      <c r="M376">
        <v>0</v>
      </c>
      <c r="N376">
        <v>0</v>
      </c>
      <c r="O376">
        <v>4</v>
      </c>
    </row>
    <row r="377" spans="1:15" x14ac:dyDescent="0.25">
      <c r="A377" t="s">
        <v>10681</v>
      </c>
      <c r="B377" t="s">
        <v>10680</v>
      </c>
      <c r="C377" t="s">
        <v>927</v>
      </c>
      <c r="D377" t="s">
        <v>3052</v>
      </c>
      <c r="E377" t="s">
        <v>3053</v>
      </c>
      <c r="F377" t="s">
        <v>312</v>
      </c>
      <c r="G377" t="s">
        <v>313</v>
      </c>
      <c r="H377" t="s">
        <v>14455</v>
      </c>
      <c r="I377">
        <v>22</v>
      </c>
      <c r="J377">
        <v>0</v>
      </c>
      <c r="K377">
        <v>0</v>
      </c>
      <c r="L377">
        <v>0</v>
      </c>
      <c r="M377">
        <v>0</v>
      </c>
      <c r="N377">
        <v>0</v>
      </c>
      <c r="O377">
        <v>22</v>
      </c>
    </row>
    <row r="378" spans="1:15" x14ac:dyDescent="0.25">
      <c r="A378" t="s">
        <v>943</v>
      </c>
      <c r="B378" t="s">
        <v>2694</v>
      </c>
      <c r="C378" t="s">
        <v>927</v>
      </c>
      <c r="D378" t="s">
        <v>3052</v>
      </c>
      <c r="E378" t="s">
        <v>3053</v>
      </c>
      <c r="F378" t="s">
        <v>312</v>
      </c>
      <c r="G378" t="s">
        <v>313</v>
      </c>
      <c r="H378" t="s">
        <v>3312</v>
      </c>
      <c r="I378">
        <v>21</v>
      </c>
      <c r="J378">
        <v>5</v>
      </c>
      <c r="K378">
        <v>0</v>
      </c>
      <c r="L378">
        <v>16</v>
      </c>
      <c r="M378">
        <v>0</v>
      </c>
      <c r="N378">
        <v>0</v>
      </c>
      <c r="O378">
        <v>0</v>
      </c>
    </row>
    <row r="379" spans="1:15" x14ac:dyDescent="0.25">
      <c r="A379" t="s">
        <v>1033</v>
      </c>
      <c r="B379" t="s">
        <v>2039</v>
      </c>
      <c r="C379" t="s">
        <v>923</v>
      </c>
      <c r="D379" t="s">
        <v>3063</v>
      </c>
      <c r="E379" t="s">
        <v>3053</v>
      </c>
      <c r="F379" t="s">
        <v>312</v>
      </c>
      <c r="G379" t="s">
        <v>313</v>
      </c>
      <c r="H379" t="s">
        <v>3313</v>
      </c>
      <c r="I379">
        <v>1</v>
      </c>
      <c r="J379">
        <v>0</v>
      </c>
      <c r="K379">
        <v>0</v>
      </c>
      <c r="L379">
        <v>1</v>
      </c>
      <c r="M379">
        <v>0</v>
      </c>
      <c r="N379">
        <v>0</v>
      </c>
      <c r="O379">
        <v>0</v>
      </c>
    </row>
    <row r="380" spans="1:15" x14ac:dyDescent="0.25">
      <c r="A380" t="s">
        <v>1038</v>
      </c>
      <c r="B380" t="s">
        <v>2068</v>
      </c>
      <c r="C380" t="s">
        <v>927</v>
      </c>
      <c r="D380" t="s">
        <v>3052</v>
      </c>
      <c r="E380" t="s">
        <v>3053</v>
      </c>
      <c r="F380" t="s">
        <v>312</v>
      </c>
      <c r="G380" t="s">
        <v>313</v>
      </c>
      <c r="H380" t="s">
        <v>3314</v>
      </c>
      <c r="I380">
        <v>351</v>
      </c>
      <c r="J380">
        <v>297</v>
      </c>
      <c r="K380">
        <v>0</v>
      </c>
      <c r="L380">
        <v>36</v>
      </c>
      <c r="M380">
        <v>17</v>
      </c>
      <c r="N380">
        <v>0</v>
      </c>
      <c r="O380">
        <v>1</v>
      </c>
    </row>
    <row r="381" spans="1:15" x14ac:dyDescent="0.25">
      <c r="A381" t="s">
        <v>1039</v>
      </c>
      <c r="B381" t="s">
        <v>2885</v>
      </c>
      <c r="C381" t="s">
        <v>927</v>
      </c>
      <c r="D381" t="s">
        <v>3052</v>
      </c>
      <c r="E381" t="s">
        <v>3053</v>
      </c>
      <c r="F381" t="s">
        <v>312</v>
      </c>
      <c r="G381" t="s">
        <v>313</v>
      </c>
      <c r="H381" t="s">
        <v>3315</v>
      </c>
      <c r="I381">
        <v>44</v>
      </c>
      <c r="J381">
        <v>44</v>
      </c>
      <c r="K381">
        <v>0</v>
      </c>
      <c r="L381">
        <v>0</v>
      </c>
      <c r="M381">
        <v>0</v>
      </c>
      <c r="N381">
        <v>0</v>
      </c>
      <c r="O381">
        <v>0</v>
      </c>
    </row>
    <row r="382" spans="1:15" x14ac:dyDescent="0.25">
      <c r="A382" t="s">
        <v>951</v>
      </c>
      <c r="B382" t="s">
        <v>2680</v>
      </c>
      <c r="C382" t="s">
        <v>927</v>
      </c>
      <c r="D382" t="s">
        <v>3052</v>
      </c>
      <c r="E382" t="s">
        <v>3053</v>
      </c>
      <c r="F382" t="s">
        <v>312</v>
      </c>
      <c r="G382" t="s">
        <v>313</v>
      </c>
      <c r="H382" t="s">
        <v>3316</v>
      </c>
      <c r="I382">
        <v>39</v>
      </c>
      <c r="J382">
        <v>39</v>
      </c>
      <c r="K382">
        <v>0</v>
      </c>
      <c r="L382">
        <v>0</v>
      </c>
      <c r="M382">
        <v>0</v>
      </c>
      <c r="N382">
        <v>0</v>
      </c>
      <c r="O382">
        <v>0</v>
      </c>
    </row>
    <row r="383" spans="1:15" x14ac:dyDescent="0.25">
      <c r="A383" t="s">
        <v>1048</v>
      </c>
      <c r="B383" t="s">
        <v>2989</v>
      </c>
      <c r="C383" t="s">
        <v>927</v>
      </c>
      <c r="D383" t="s">
        <v>3052</v>
      </c>
      <c r="E383" t="s">
        <v>3053</v>
      </c>
      <c r="F383" t="s">
        <v>312</v>
      </c>
      <c r="G383" t="s">
        <v>313</v>
      </c>
      <c r="H383" t="s">
        <v>11807</v>
      </c>
      <c r="I383">
        <v>124</v>
      </c>
      <c r="J383">
        <v>112</v>
      </c>
      <c r="K383">
        <v>0</v>
      </c>
      <c r="L383">
        <v>0</v>
      </c>
      <c r="M383">
        <v>0</v>
      </c>
      <c r="N383">
        <v>0</v>
      </c>
      <c r="O383">
        <v>12</v>
      </c>
    </row>
    <row r="384" spans="1:15" x14ac:dyDescent="0.25">
      <c r="A384" t="s">
        <v>1049</v>
      </c>
      <c r="B384" t="s">
        <v>2138</v>
      </c>
      <c r="C384" t="s">
        <v>927</v>
      </c>
      <c r="D384" t="s">
        <v>3052</v>
      </c>
      <c r="E384" t="s">
        <v>3053</v>
      </c>
      <c r="F384" t="s">
        <v>312</v>
      </c>
      <c r="G384" t="s">
        <v>313</v>
      </c>
      <c r="H384" t="s">
        <v>3317</v>
      </c>
      <c r="I384">
        <v>83</v>
      </c>
      <c r="J384">
        <v>55</v>
      </c>
      <c r="K384">
        <v>0</v>
      </c>
      <c r="L384">
        <v>0</v>
      </c>
      <c r="M384">
        <v>0</v>
      </c>
      <c r="N384">
        <v>0</v>
      </c>
      <c r="O384">
        <v>28</v>
      </c>
    </row>
    <row r="385" spans="1:15" x14ac:dyDescent="0.25">
      <c r="A385" t="s">
        <v>1051</v>
      </c>
      <c r="B385" t="s">
        <v>2995</v>
      </c>
      <c r="C385" t="s">
        <v>927</v>
      </c>
      <c r="D385" t="s">
        <v>3052</v>
      </c>
      <c r="E385" t="s">
        <v>3053</v>
      </c>
      <c r="F385" t="s">
        <v>312</v>
      </c>
      <c r="G385" t="s">
        <v>313</v>
      </c>
      <c r="H385" t="s">
        <v>3318</v>
      </c>
      <c r="I385">
        <v>104</v>
      </c>
      <c r="J385">
        <v>0</v>
      </c>
      <c r="K385">
        <v>0</v>
      </c>
      <c r="L385">
        <v>104</v>
      </c>
      <c r="M385">
        <v>0</v>
      </c>
      <c r="N385">
        <v>0</v>
      </c>
      <c r="O385">
        <v>0</v>
      </c>
    </row>
    <row r="386" spans="1:15" x14ac:dyDescent="0.25">
      <c r="A386" t="s">
        <v>11720</v>
      </c>
      <c r="B386" t="s">
        <v>10718</v>
      </c>
      <c r="C386" t="s">
        <v>927</v>
      </c>
      <c r="D386" t="s">
        <v>3052</v>
      </c>
      <c r="E386" t="s">
        <v>3053</v>
      </c>
      <c r="F386" t="s">
        <v>312</v>
      </c>
      <c r="G386" t="s">
        <v>313</v>
      </c>
      <c r="H386" t="s">
        <v>14456</v>
      </c>
      <c r="I386">
        <v>10</v>
      </c>
      <c r="J386">
        <v>4</v>
      </c>
      <c r="K386">
        <v>0</v>
      </c>
      <c r="L386">
        <v>0</v>
      </c>
      <c r="M386">
        <v>0</v>
      </c>
      <c r="N386">
        <v>0</v>
      </c>
      <c r="O386">
        <v>6</v>
      </c>
    </row>
    <row r="387" spans="1:15" x14ac:dyDescent="0.25">
      <c r="A387" t="s">
        <v>9788</v>
      </c>
      <c r="B387" t="s">
        <v>9871</v>
      </c>
      <c r="C387" t="s">
        <v>927</v>
      </c>
      <c r="D387" t="s">
        <v>3052</v>
      </c>
      <c r="E387" t="s">
        <v>3053</v>
      </c>
      <c r="F387" t="s">
        <v>312</v>
      </c>
      <c r="G387" t="s">
        <v>313</v>
      </c>
      <c r="H387" t="s">
        <v>14457</v>
      </c>
      <c r="I387">
        <v>5</v>
      </c>
      <c r="J387">
        <v>5</v>
      </c>
      <c r="K387">
        <v>0</v>
      </c>
      <c r="L387">
        <v>0</v>
      </c>
      <c r="M387">
        <v>0</v>
      </c>
      <c r="N387">
        <v>0</v>
      </c>
      <c r="O387">
        <v>0</v>
      </c>
    </row>
    <row r="388" spans="1:15" x14ac:dyDescent="0.25">
      <c r="A388" t="s">
        <v>1057</v>
      </c>
      <c r="B388" t="s">
        <v>1972</v>
      </c>
      <c r="C388" t="s">
        <v>927</v>
      </c>
      <c r="D388" t="s">
        <v>3052</v>
      </c>
      <c r="E388" t="s">
        <v>3053</v>
      </c>
      <c r="F388" t="s">
        <v>312</v>
      </c>
      <c r="G388" t="s">
        <v>313</v>
      </c>
      <c r="H388" t="s">
        <v>10842</v>
      </c>
      <c r="I388">
        <v>29</v>
      </c>
      <c r="J388">
        <v>8</v>
      </c>
      <c r="K388">
        <v>0</v>
      </c>
      <c r="L388">
        <v>0</v>
      </c>
      <c r="M388">
        <v>0</v>
      </c>
      <c r="N388">
        <v>0</v>
      </c>
      <c r="O388">
        <v>21</v>
      </c>
    </row>
    <row r="389" spans="1:15" x14ac:dyDescent="0.25">
      <c r="A389" t="s">
        <v>11662</v>
      </c>
      <c r="B389" t="s">
        <v>11767</v>
      </c>
      <c r="C389" t="s">
        <v>923</v>
      </c>
      <c r="D389" t="s">
        <v>3063</v>
      </c>
      <c r="E389" t="s">
        <v>3053</v>
      </c>
      <c r="F389" t="s">
        <v>312</v>
      </c>
      <c r="G389" t="s">
        <v>313</v>
      </c>
      <c r="H389" t="s">
        <v>11808</v>
      </c>
      <c r="I389">
        <v>46</v>
      </c>
      <c r="J389">
        <v>0</v>
      </c>
      <c r="K389">
        <v>0</v>
      </c>
      <c r="L389">
        <v>0</v>
      </c>
      <c r="M389">
        <v>46</v>
      </c>
      <c r="N389">
        <v>0</v>
      </c>
      <c r="O389">
        <v>0</v>
      </c>
    </row>
    <row r="390" spans="1:15" x14ac:dyDescent="0.25">
      <c r="A390" t="s">
        <v>1060</v>
      </c>
      <c r="B390" t="s">
        <v>2651</v>
      </c>
      <c r="C390" t="s">
        <v>927</v>
      </c>
      <c r="D390" t="s">
        <v>3052</v>
      </c>
      <c r="E390" t="s">
        <v>3053</v>
      </c>
      <c r="F390" t="s">
        <v>312</v>
      </c>
      <c r="G390" t="s">
        <v>313</v>
      </c>
      <c r="H390" t="s">
        <v>3319</v>
      </c>
      <c r="I390">
        <v>16</v>
      </c>
      <c r="J390">
        <v>14</v>
      </c>
      <c r="K390">
        <v>0</v>
      </c>
      <c r="L390">
        <v>0</v>
      </c>
      <c r="M390">
        <v>0</v>
      </c>
      <c r="N390">
        <v>0</v>
      </c>
      <c r="O390">
        <v>2</v>
      </c>
    </row>
    <row r="391" spans="1:15" x14ac:dyDescent="0.25">
      <c r="A391" t="s">
        <v>962</v>
      </c>
      <c r="B391" t="s">
        <v>2752</v>
      </c>
      <c r="C391" t="s">
        <v>927</v>
      </c>
      <c r="D391" t="s">
        <v>3052</v>
      </c>
      <c r="E391" t="s">
        <v>3053</v>
      </c>
      <c r="F391" t="s">
        <v>312</v>
      </c>
      <c r="G391" t="s">
        <v>313</v>
      </c>
      <c r="H391" t="s">
        <v>11809</v>
      </c>
      <c r="I391">
        <v>19</v>
      </c>
      <c r="J391">
        <v>19</v>
      </c>
      <c r="K391">
        <v>0</v>
      </c>
      <c r="L391">
        <v>0</v>
      </c>
      <c r="M391">
        <v>0</v>
      </c>
      <c r="N391">
        <v>0</v>
      </c>
      <c r="O391">
        <v>0</v>
      </c>
    </row>
    <row r="392" spans="1:15" x14ac:dyDescent="0.25">
      <c r="A392" t="s">
        <v>1069</v>
      </c>
      <c r="B392" t="s">
        <v>2001</v>
      </c>
      <c r="C392" t="s">
        <v>927</v>
      </c>
      <c r="D392" t="s">
        <v>3052</v>
      </c>
      <c r="E392" t="s">
        <v>3053</v>
      </c>
      <c r="F392" t="s">
        <v>312</v>
      </c>
      <c r="G392" t="s">
        <v>313</v>
      </c>
      <c r="H392" t="s">
        <v>3320</v>
      </c>
      <c r="I392">
        <v>72</v>
      </c>
      <c r="J392">
        <v>72</v>
      </c>
      <c r="K392">
        <v>0</v>
      </c>
      <c r="L392">
        <v>0</v>
      </c>
      <c r="M392">
        <v>0</v>
      </c>
      <c r="N392">
        <v>0</v>
      </c>
      <c r="O392">
        <v>0</v>
      </c>
    </row>
    <row r="393" spans="1:15" x14ac:dyDescent="0.25">
      <c r="A393" t="s">
        <v>1075</v>
      </c>
      <c r="B393" t="s">
        <v>2830</v>
      </c>
      <c r="C393" t="s">
        <v>927</v>
      </c>
      <c r="D393" t="s">
        <v>3052</v>
      </c>
      <c r="E393" t="s">
        <v>3053</v>
      </c>
      <c r="F393" t="s">
        <v>312</v>
      </c>
      <c r="G393" t="s">
        <v>313</v>
      </c>
      <c r="H393" t="s">
        <v>3321</v>
      </c>
      <c r="I393">
        <v>212</v>
      </c>
      <c r="J393">
        <v>146</v>
      </c>
      <c r="K393">
        <v>0</v>
      </c>
      <c r="L393">
        <v>11</v>
      </c>
      <c r="M393">
        <v>0</v>
      </c>
      <c r="N393">
        <v>0</v>
      </c>
      <c r="O393">
        <v>55</v>
      </c>
    </row>
    <row r="394" spans="1:15" x14ac:dyDescent="0.25">
      <c r="A394" t="s">
        <v>1920</v>
      </c>
      <c r="B394" t="s">
        <v>2871</v>
      </c>
      <c r="C394" t="s">
        <v>927</v>
      </c>
      <c r="D394" t="s">
        <v>3052</v>
      </c>
      <c r="E394" t="s">
        <v>3053</v>
      </c>
      <c r="F394" t="s">
        <v>312</v>
      </c>
      <c r="G394" t="s">
        <v>313</v>
      </c>
      <c r="H394" t="s">
        <v>14458</v>
      </c>
      <c r="I394">
        <v>6</v>
      </c>
      <c r="J394">
        <v>4</v>
      </c>
      <c r="K394">
        <v>0</v>
      </c>
      <c r="L394">
        <v>0</v>
      </c>
      <c r="M394">
        <v>0</v>
      </c>
      <c r="N394">
        <v>0</v>
      </c>
      <c r="O394">
        <v>2</v>
      </c>
    </row>
    <row r="395" spans="1:15" x14ac:dyDescent="0.25">
      <c r="A395" t="s">
        <v>1702</v>
      </c>
      <c r="B395" t="s">
        <v>2538</v>
      </c>
      <c r="C395" t="s">
        <v>923</v>
      </c>
      <c r="D395" t="s">
        <v>3063</v>
      </c>
      <c r="E395" t="s">
        <v>3053</v>
      </c>
      <c r="F395" t="s">
        <v>314</v>
      </c>
      <c r="G395" t="s">
        <v>315</v>
      </c>
      <c r="H395" t="s">
        <v>3322</v>
      </c>
      <c r="I395">
        <v>14</v>
      </c>
      <c r="J395">
        <v>0</v>
      </c>
      <c r="K395">
        <v>0</v>
      </c>
      <c r="L395">
        <v>0</v>
      </c>
      <c r="M395">
        <v>14</v>
      </c>
      <c r="N395">
        <v>0</v>
      </c>
      <c r="O395">
        <v>0</v>
      </c>
    </row>
    <row r="396" spans="1:15" x14ac:dyDescent="0.25">
      <c r="A396" t="s">
        <v>926</v>
      </c>
      <c r="B396" t="s">
        <v>2923</v>
      </c>
      <c r="C396" t="s">
        <v>927</v>
      </c>
      <c r="D396" t="s">
        <v>3052</v>
      </c>
      <c r="E396" t="s">
        <v>3053</v>
      </c>
      <c r="F396" t="s">
        <v>314</v>
      </c>
      <c r="G396" t="s">
        <v>315</v>
      </c>
      <c r="H396" t="s">
        <v>3323</v>
      </c>
      <c r="I396">
        <v>21</v>
      </c>
      <c r="J396">
        <v>0</v>
      </c>
      <c r="K396">
        <v>0</v>
      </c>
      <c r="L396">
        <v>6</v>
      </c>
      <c r="M396">
        <v>0</v>
      </c>
      <c r="N396">
        <v>0</v>
      </c>
      <c r="O396">
        <v>15</v>
      </c>
    </row>
    <row r="397" spans="1:15" x14ac:dyDescent="0.25">
      <c r="A397" t="s">
        <v>929</v>
      </c>
      <c r="B397" t="s">
        <v>2999</v>
      </c>
      <c r="C397" t="s">
        <v>927</v>
      </c>
      <c r="D397" t="s">
        <v>3052</v>
      </c>
      <c r="E397" t="s">
        <v>3053</v>
      </c>
      <c r="F397" t="s">
        <v>314</v>
      </c>
      <c r="G397" t="s">
        <v>315</v>
      </c>
      <c r="H397" t="s">
        <v>3324</v>
      </c>
      <c r="I397">
        <v>139</v>
      </c>
      <c r="J397">
        <v>0</v>
      </c>
      <c r="K397">
        <v>0</v>
      </c>
      <c r="L397">
        <v>0</v>
      </c>
      <c r="M397">
        <v>96</v>
      </c>
      <c r="N397">
        <v>0</v>
      </c>
      <c r="O397">
        <v>43</v>
      </c>
    </row>
    <row r="398" spans="1:15" x14ac:dyDescent="0.25">
      <c r="A398" t="s">
        <v>931</v>
      </c>
      <c r="B398" t="s">
        <v>1978</v>
      </c>
      <c r="C398" t="s">
        <v>927</v>
      </c>
      <c r="D398" t="s">
        <v>3052</v>
      </c>
      <c r="E398" t="s">
        <v>3053</v>
      </c>
      <c r="F398" t="s">
        <v>314</v>
      </c>
      <c r="G398" t="s">
        <v>315</v>
      </c>
      <c r="H398" t="s">
        <v>3325</v>
      </c>
      <c r="I398">
        <v>195</v>
      </c>
      <c r="J398">
        <v>136</v>
      </c>
      <c r="K398">
        <v>0</v>
      </c>
      <c r="L398">
        <v>18</v>
      </c>
      <c r="M398">
        <v>0</v>
      </c>
      <c r="N398">
        <v>0</v>
      </c>
      <c r="O398">
        <v>41</v>
      </c>
    </row>
    <row r="399" spans="1:15" x14ac:dyDescent="0.25">
      <c r="A399" t="s">
        <v>9835</v>
      </c>
      <c r="B399" t="s">
        <v>2628</v>
      </c>
      <c r="C399" t="s">
        <v>923</v>
      </c>
      <c r="D399" t="s">
        <v>3063</v>
      </c>
      <c r="E399" t="s">
        <v>3053</v>
      </c>
      <c r="F399" t="s">
        <v>314</v>
      </c>
      <c r="G399" t="s">
        <v>315</v>
      </c>
      <c r="H399" t="s">
        <v>10013</v>
      </c>
      <c r="I399">
        <v>12</v>
      </c>
      <c r="J399">
        <v>0</v>
      </c>
      <c r="K399">
        <v>0</v>
      </c>
      <c r="L399">
        <v>12</v>
      </c>
      <c r="M399">
        <v>0</v>
      </c>
      <c r="N399">
        <v>0</v>
      </c>
      <c r="O399">
        <v>0</v>
      </c>
    </row>
    <row r="400" spans="1:15" x14ac:dyDescent="0.25">
      <c r="A400" t="s">
        <v>9836</v>
      </c>
      <c r="B400" t="s">
        <v>2808</v>
      </c>
      <c r="C400" t="s">
        <v>927</v>
      </c>
      <c r="D400" t="s">
        <v>3052</v>
      </c>
      <c r="E400" t="s">
        <v>3053</v>
      </c>
      <c r="F400" t="s">
        <v>314</v>
      </c>
      <c r="G400" t="s">
        <v>315</v>
      </c>
      <c r="H400" t="s">
        <v>10015</v>
      </c>
      <c r="I400">
        <v>34</v>
      </c>
      <c r="J400">
        <v>14</v>
      </c>
      <c r="K400">
        <v>0</v>
      </c>
      <c r="L400">
        <v>20</v>
      </c>
      <c r="M400">
        <v>0</v>
      </c>
      <c r="N400">
        <v>0</v>
      </c>
      <c r="O400">
        <v>0</v>
      </c>
    </row>
    <row r="401" spans="1:15" x14ac:dyDescent="0.25">
      <c r="A401" t="s">
        <v>1725</v>
      </c>
      <c r="B401" t="s">
        <v>3010</v>
      </c>
      <c r="C401" t="s">
        <v>927</v>
      </c>
      <c r="D401" t="s">
        <v>3052</v>
      </c>
      <c r="E401" t="s">
        <v>3053</v>
      </c>
      <c r="F401" t="s">
        <v>314</v>
      </c>
      <c r="G401" t="s">
        <v>315</v>
      </c>
      <c r="H401" t="s">
        <v>3326</v>
      </c>
      <c r="I401">
        <v>9767</v>
      </c>
      <c r="J401">
        <v>7569</v>
      </c>
      <c r="K401">
        <v>0</v>
      </c>
      <c r="L401">
        <v>152</v>
      </c>
      <c r="M401">
        <v>1700</v>
      </c>
      <c r="N401">
        <v>19</v>
      </c>
      <c r="O401">
        <v>346</v>
      </c>
    </row>
    <row r="402" spans="1:15" x14ac:dyDescent="0.25">
      <c r="A402" t="s">
        <v>996</v>
      </c>
      <c r="B402" t="s">
        <v>1952</v>
      </c>
      <c r="C402" t="s">
        <v>923</v>
      </c>
      <c r="D402" t="s">
        <v>3063</v>
      </c>
      <c r="E402" t="s">
        <v>3053</v>
      </c>
      <c r="F402" t="s">
        <v>314</v>
      </c>
      <c r="G402" t="s">
        <v>315</v>
      </c>
      <c r="H402" t="s">
        <v>3327</v>
      </c>
      <c r="I402">
        <v>26</v>
      </c>
      <c r="J402">
        <v>0</v>
      </c>
      <c r="K402">
        <v>0</v>
      </c>
      <c r="L402">
        <v>26</v>
      </c>
      <c r="M402">
        <v>0</v>
      </c>
      <c r="N402">
        <v>0</v>
      </c>
      <c r="O402">
        <v>0</v>
      </c>
    </row>
    <row r="403" spans="1:15" x14ac:dyDescent="0.25">
      <c r="A403" t="s">
        <v>1729</v>
      </c>
      <c r="B403" t="s">
        <v>2943</v>
      </c>
      <c r="C403" t="s">
        <v>923</v>
      </c>
      <c r="D403" t="s">
        <v>3063</v>
      </c>
      <c r="E403" t="s">
        <v>3053</v>
      </c>
      <c r="F403" t="s">
        <v>314</v>
      </c>
      <c r="G403" t="s">
        <v>315</v>
      </c>
      <c r="H403" t="s">
        <v>3328</v>
      </c>
      <c r="I403">
        <v>13</v>
      </c>
      <c r="J403">
        <v>13</v>
      </c>
      <c r="K403">
        <v>0</v>
      </c>
      <c r="L403">
        <v>0</v>
      </c>
      <c r="M403">
        <v>0</v>
      </c>
      <c r="N403">
        <v>0</v>
      </c>
      <c r="O403">
        <v>0</v>
      </c>
    </row>
    <row r="404" spans="1:15" x14ac:dyDescent="0.25">
      <c r="A404" t="s">
        <v>998</v>
      </c>
      <c r="B404" t="s">
        <v>2820</v>
      </c>
      <c r="C404" t="s">
        <v>927</v>
      </c>
      <c r="D404" t="s">
        <v>3052</v>
      </c>
      <c r="E404" t="s">
        <v>3053</v>
      </c>
      <c r="F404" t="s">
        <v>314</v>
      </c>
      <c r="G404" t="s">
        <v>315</v>
      </c>
      <c r="H404" t="s">
        <v>3329</v>
      </c>
      <c r="I404">
        <v>24</v>
      </c>
      <c r="J404">
        <v>17</v>
      </c>
      <c r="K404">
        <v>0</v>
      </c>
      <c r="L404">
        <v>0</v>
      </c>
      <c r="M404">
        <v>0</v>
      </c>
      <c r="N404">
        <v>0</v>
      </c>
      <c r="O404">
        <v>7</v>
      </c>
    </row>
    <row r="405" spans="1:15" x14ac:dyDescent="0.25">
      <c r="A405" t="s">
        <v>1736</v>
      </c>
      <c r="B405" t="s">
        <v>2797</v>
      </c>
      <c r="C405" t="s">
        <v>923</v>
      </c>
      <c r="D405" t="s">
        <v>3063</v>
      </c>
      <c r="E405" t="s">
        <v>3053</v>
      </c>
      <c r="F405" t="s">
        <v>314</v>
      </c>
      <c r="G405" t="s">
        <v>315</v>
      </c>
      <c r="H405" t="s">
        <v>3330</v>
      </c>
      <c r="I405">
        <v>6</v>
      </c>
      <c r="J405">
        <v>0</v>
      </c>
      <c r="K405">
        <v>0</v>
      </c>
      <c r="L405">
        <v>0</v>
      </c>
      <c r="M405">
        <v>6</v>
      </c>
      <c r="N405">
        <v>0</v>
      </c>
      <c r="O405">
        <v>0</v>
      </c>
    </row>
    <row r="406" spans="1:15" x14ac:dyDescent="0.25">
      <c r="A406" t="s">
        <v>10638</v>
      </c>
      <c r="B406" t="s">
        <v>2057</v>
      </c>
      <c r="C406" t="s">
        <v>927</v>
      </c>
      <c r="D406" t="s">
        <v>3052</v>
      </c>
      <c r="E406" t="s">
        <v>3053</v>
      </c>
      <c r="F406" t="s">
        <v>314</v>
      </c>
      <c r="G406" t="s">
        <v>315</v>
      </c>
      <c r="H406" t="s">
        <v>10843</v>
      </c>
      <c r="I406">
        <v>7</v>
      </c>
      <c r="J406">
        <v>0</v>
      </c>
      <c r="K406">
        <v>0</v>
      </c>
      <c r="L406">
        <v>7</v>
      </c>
      <c r="M406">
        <v>0</v>
      </c>
      <c r="N406">
        <v>0</v>
      </c>
      <c r="O406">
        <v>0</v>
      </c>
    </row>
    <row r="407" spans="1:15" x14ac:dyDescent="0.25">
      <c r="A407" t="s">
        <v>1739</v>
      </c>
      <c r="B407" t="s">
        <v>2786</v>
      </c>
      <c r="C407" t="s">
        <v>923</v>
      </c>
      <c r="D407" t="s">
        <v>3063</v>
      </c>
      <c r="E407" t="s">
        <v>3053</v>
      </c>
      <c r="F407" t="s">
        <v>314</v>
      </c>
      <c r="G407" t="s">
        <v>315</v>
      </c>
      <c r="H407" t="s">
        <v>3331</v>
      </c>
      <c r="I407">
        <v>143</v>
      </c>
      <c r="J407">
        <v>36</v>
      </c>
      <c r="K407">
        <v>0</v>
      </c>
      <c r="L407">
        <v>0</v>
      </c>
      <c r="M407">
        <v>107</v>
      </c>
      <c r="N407">
        <v>0</v>
      </c>
      <c r="O407">
        <v>0</v>
      </c>
    </row>
    <row r="408" spans="1:15" x14ac:dyDescent="0.25">
      <c r="A408" t="s">
        <v>937</v>
      </c>
      <c r="B408" t="s">
        <v>1962</v>
      </c>
      <c r="C408" t="s">
        <v>927</v>
      </c>
      <c r="D408" t="s">
        <v>3052</v>
      </c>
      <c r="E408" t="s">
        <v>3053</v>
      </c>
      <c r="F408" t="s">
        <v>314</v>
      </c>
      <c r="G408" t="s">
        <v>315</v>
      </c>
      <c r="H408" t="s">
        <v>3332</v>
      </c>
      <c r="I408">
        <v>36</v>
      </c>
      <c r="J408">
        <v>0</v>
      </c>
      <c r="K408">
        <v>0</v>
      </c>
      <c r="L408">
        <v>0</v>
      </c>
      <c r="M408">
        <v>0</v>
      </c>
      <c r="N408">
        <v>0</v>
      </c>
      <c r="O408">
        <v>36</v>
      </c>
    </row>
    <row r="409" spans="1:15" x14ac:dyDescent="0.25">
      <c r="A409" t="s">
        <v>938</v>
      </c>
      <c r="B409" t="s">
        <v>2791</v>
      </c>
      <c r="C409" t="s">
        <v>927</v>
      </c>
      <c r="D409" t="s">
        <v>3052</v>
      </c>
      <c r="E409" t="s">
        <v>3053</v>
      </c>
      <c r="F409" t="s">
        <v>314</v>
      </c>
      <c r="G409" t="s">
        <v>315</v>
      </c>
      <c r="H409" t="s">
        <v>3333</v>
      </c>
      <c r="I409">
        <v>19</v>
      </c>
      <c r="J409">
        <v>0</v>
      </c>
      <c r="K409">
        <v>0</v>
      </c>
      <c r="L409">
        <v>19</v>
      </c>
      <c r="M409">
        <v>0</v>
      </c>
      <c r="N409">
        <v>0</v>
      </c>
      <c r="O409">
        <v>0</v>
      </c>
    </row>
    <row r="410" spans="1:15" x14ac:dyDescent="0.25">
      <c r="A410" t="s">
        <v>1740</v>
      </c>
      <c r="B410" t="s">
        <v>2904</v>
      </c>
      <c r="C410" t="s">
        <v>923</v>
      </c>
      <c r="D410" t="s">
        <v>3063</v>
      </c>
      <c r="E410" t="s">
        <v>3053</v>
      </c>
      <c r="F410" t="s">
        <v>314</v>
      </c>
      <c r="G410" t="s">
        <v>315</v>
      </c>
      <c r="H410" t="s">
        <v>3334</v>
      </c>
      <c r="I410">
        <v>98</v>
      </c>
      <c r="J410">
        <v>0</v>
      </c>
      <c r="K410">
        <v>0</v>
      </c>
      <c r="L410">
        <v>98</v>
      </c>
      <c r="M410">
        <v>0</v>
      </c>
      <c r="N410">
        <v>0</v>
      </c>
      <c r="O410">
        <v>0</v>
      </c>
    </row>
    <row r="411" spans="1:15" x14ac:dyDescent="0.25">
      <c r="A411" t="s">
        <v>942</v>
      </c>
      <c r="B411" t="s">
        <v>2113</v>
      </c>
      <c r="C411" t="s">
        <v>927</v>
      </c>
      <c r="D411" t="s">
        <v>3052</v>
      </c>
      <c r="E411" t="s">
        <v>3053</v>
      </c>
      <c r="F411" t="s">
        <v>314</v>
      </c>
      <c r="G411" t="s">
        <v>315</v>
      </c>
      <c r="H411" t="s">
        <v>3335</v>
      </c>
      <c r="I411">
        <v>909</v>
      </c>
      <c r="J411">
        <v>711</v>
      </c>
      <c r="K411">
        <v>0</v>
      </c>
      <c r="L411">
        <v>60</v>
      </c>
      <c r="M411">
        <v>48</v>
      </c>
      <c r="N411">
        <v>0</v>
      </c>
      <c r="O411">
        <v>90</v>
      </c>
    </row>
    <row r="412" spans="1:15" x14ac:dyDescent="0.25">
      <c r="A412" t="s">
        <v>1745</v>
      </c>
      <c r="B412" t="s">
        <v>2884</v>
      </c>
      <c r="C412" t="s">
        <v>927</v>
      </c>
      <c r="D412" t="s">
        <v>3052</v>
      </c>
      <c r="E412" t="s">
        <v>3053</v>
      </c>
      <c r="F412" t="s">
        <v>314</v>
      </c>
      <c r="G412" t="s">
        <v>315</v>
      </c>
      <c r="H412" t="s">
        <v>3336</v>
      </c>
      <c r="I412">
        <v>190</v>
      </c>
      <c r="J412">
        <v>147</v>
      </c>
      <c r="K412">
        <v>0</v>
      </c>
      <c r="L412">
        <v>0</v>
      </c>
      <c r="M412">
        <v>0</v>
      </c>
      <c r="N412">
        <v>0</v>
      </c>
      <c r="O412">
        <v>43</v>
      </c>
    </row>
    <row r="413" spans="1:15" x14ac:dyDescent="0.25">
      <c r="A413" t="s">
        <v>1296</v>
      </c>
      <c r="B413" t="s">
        <v>2965</v>
      </c>
      <c r="C413" t="s">
        <v>923</v>
      </c>
      <c r="D413" t="s">
        <v>3063</v>
      </c>
      <c r="E413" t="s">
        <v>3053</v>
      </c>
      <c r="F413" t="s">
        <v>314</v>
      </c>
      <c r="G413" t="s">
        <v>315</v>
      </c>
      <c r="H413" t="s">
        <v>3337</v>
      </c>
      <c r="I413">
        <v>37</v>
      </c>
      <c r="J413">
        <v>0</v>
      </c>
      <c r="K413">
        <v>0</v>
      </c>
      <c r="L413">
        <v>0</v>
      </c>
      <c r="M413">
        <v>37</v>
      </c>
      <c r="N413">
        <v>0</v>
      </c>
      <c r="O413">
        <v>0</v>
      </c>
    </row>
    <row r="414" spans="1:15" x14ac:dyDescent="0.25">
      <c r="A414" t="s">
        <v>1749</v>
      </c>
      <c r="B414" t="s">
        <v>2878</v>
      </c>
      <c r="C414" t="s">
        <v>927</v>
      </c>
      <c r="D414" t="s">
        <v>3052</v>
      </c>
      <c r="E414" t="s">
        <v>3053</v>
      </c>
      <c r="F414" t="s">
        <v>314</v>
      </c>
      <c r="G414" t="s">
        <v>315</v>
      </c>
      <c r="H414" t="s">
        <v>3338</v>
      </c>
      <c r="I414">
        <v>69</v>
      </c>
      <c r="J414">
        <v>37</v>
      </c>
      <c r="K414">
        <v>0</v>
      </c>
      <c r="L414">
        <v>0</v>
      </c>
      <c r="M414">
        <v>0</v>
      </c>
      <c r="N414">
        <v>0</v>
      </c>
      <c r="O414">
        <v>32</v>
      </c>
    </row>
    <row r="415" spans="1:15" x14ac:dyDescent="0.25">
      <c r="A415" t="s">
        <v>951</v>
      </c>
      <c r="B415" t="s">
        <v>2680</v>
      </c>
      <c r="C415" t="s">
        <v>927</v>
      </c>
      <c r="D415" t="s">
        <v>3052</v>
      </c>
      <c r="E415" t="s">
        <v>3053</v>
      </c>
      <c r="F415" t="s">
        <v>314</v>
      </c>
      <c r="G415" t="s">
        <v>315</v>
      </c>
      <c r="H415" t="s">
        <v>3339</v>
      </c>
      <c r="I415">
        <v>1</v>
      </c>
      <c r="J415">
        <v>1</v>
      </c>
      <c r="K415">
        <v>0</v>
      </c>
      <c r="L415">
        <v>0</v>
      </c>
      <c r="M415">
        <v>0</v>
      </c>
      <c r="N415">
        <v>0</v>
      </c>
      <c r="O415">
        <v>0</v>
      </c>
    </row>
    <row r="416" spans="1:15" x14ac:dyDescent="0.25">
      <c r="A416" t="s">
        <v>1048</v>
      </c>
      <c r="B416" t="s">
        <v>2989</v>
      </c>
      <c r="C416" t="s">
        <v>927</v>
      </c>
      <c r="D416" t="s">
        <v>3052</v>
      </c>
      <c r="E416" t="s">
        <v>3053</v>
      </c>
      <c r="F416" t="s">
        <v>314</v>
      </c>
      <c r="G416" t="s">
        <v>315</v>
      </c>
      <c r="H416" t="s">
        <v>3340</v>
      </c>
      <c r="I416">
        <v>84</v>
      </c>
      <c r="J416">
        <v>39</v>
      </c>
      <c r="K416">
        <v>0</v>
      </c>
      <c r="L416">
        <v>43</v>
      </c>
      <c r="M416">
        <v>2</v>
      </c>
      <c r="N416">
        <v>0</v>
      </c>
      <c r="O416">
        <v>0</v>
      </c>
    </row>
    <row r="417" spans="1:15" x14ac:dyDescent="0.25">
      <c r="A417" t="s">
        <v>11720</v>
      </c>
      <c r="B417" t="s">
        <v>10718</v>
      </c>
      <c r="C417" t="s">
        <v>927</v>
      </c>
      <c r="D417" t="s">
        <v>3052</v>
      </c>
      <c r="E417" t="s">
        <v>3053</v>
      </c>
      <c r="F417" t="s">
        <v>314</v>
      </c>
      <c r="G417" t="s">
        <v>315</v>
      </c>
      <c r="H417" t="s">
        <v>14459</v>
      </c>
      <c r="I417">
        <v>19</v>
      </c>
      <c r="J417">
        <v>0</v>
      </c>
      <c r="K417">
        <v>0</v>
      </c>
      <c r="L417">
        <v>0</v>
      </c>
      <c r="M417">
        <v>0</v>
      </c>
      <c r="N417">
        <v>0</v>
      </c>
      <c r="O417">
        <v>19</v>
      </c>
    </row>
    <row r="418" spans="1:15" x14ac:dyDescent="0.25">
      <c r="A418" t="s">
        <v>955</v>
      </c>
      <c r="B418" t="s">
        <v>2660</v>
      </c>
      <c r="C418" t="s">
        <v>927</v>
      </c>
      <c r="D418" t="s">
        <v>3052</v>
      </c>
      <c r="E418" t="s">
        <v>3053</v>
      </c>
      <c r="F418" t="s">
        <v>314</v>
      </c>
      <c r="G418" t="s">
        <v>315</v>
      </c>
      <c r="H418" t="s">
        <v>3341</v>
      </c>
      <c r="I418">
        <v>92</v>
      </c>
      <c r="J418">
        <v>70</v>
      </c>
      <c r="K418">
        <v>0</v>
      </c>
      <c r="L418">
        <v>13</v>
      </c>
      <c r="M418">
        <v>9</v>
      </c>
      <c r="N418">
        <v>1</v>
      </c>
      <c r="O418">
        <v>0</v>
      </c>
    </row>
    <row r="419" spans="1:15" x14ac:dyDescent="0.25">
      <c r="A419" t="s">
        <v>1760</v>
      </c>
      <c r="B419" t="s">
        <v>3000</v>
      </c>
      <c r="C419" t="s">
        <v>927</v>
      </c>
      <c r="D419" t="s">
        <v>3052</v>
      </c>
      <c r="E419" t="s">
        <v>3053</v>
      </c>
      <c r="F419" t="s">
        <v>314</v>
      </c>
      <c r="G419" t="s">
        <v>315</v>
      </c>
      <c r="H419" t="s">
        <v>3342</v>
      </c>
      <c r="I419">
        <v>107</v>
      </c>
      <c r="J419">
        <v>79</v>
      </c>
      <c r="K419">
        <v>0</v>
      </c>
      <c r="L419">
        <v>0</v>
      </c>
      <c r="M419">
        <v>0</v>
      </c>
      <c r="N419">
        <v>0</v>
      </c>
      <c r="O419">
        <v>28</v>
      </c>
    </row>
    <row r="420" spans="1:15" x14ac:dyDescent="0.25">
      <c r="A420" t="s">
        <v>1155</v>
      </c>
      <c r="B420" t="s">
        <v>2912</v>
      </c>
      <c r="C420" t="s">
        <v>927</v>
      </c>
      <c r="D420" t="s">
        <v>3052</v>
      </c>
      <c r="E420" t="s">
        <v>3053</v>
      </c>
      <c r="F420" t="s">
        <v>314</v>
      </c>
      <c r="G420" t="s">
        <v>315</v>
      </c>
      <c r="H420" t="s">
        <v>3343</v>
      </c>
      <c r="I420">
        <v>1</v>
      </c>
      <c r="J420">
        <v>0</v>
      </c>
      <c r="K420">
        <v>0</v>
      </c>
      <c r="L420">
        <v>0</v>
      </c>
      <c r="M420">
        <v>0</v>
      </c>
      <c r="N420">
        <v>0</v>
      </c>
      <c r="O420">
        <v>1</v>
      </c>
    </row>
    <row r="421" spans="1:15" x14ac:dyDescent="0.25">
      <c r="A421" t="s">
        <v>960</v>
      </c>
      <c r="B421" t="s">
        <v>2080</v>
      </c>
      <c r="C421" t="s">
        <v>927</v>
      </c>
      <c r="D421" t="s">
        <v>3052</v>
      </c>
      <c r="E421" t="s">
        <v>3053</v>
      </c>
      <c r="F421" t="s">
        <v>314</v>
      </c>
      <c r="G421" t="s">
        <v>315</v>
      </c>
      <c r="H421" t="s">
        <v>3344</v>
      </c>
      <c r="I421">
        <v>360</v>
      </c>
      <c r="J421">
        <v>284</v>
      </c>
      <c r="K421">
        <v>0</v>
      </c>
      <c r="L421">
        <v>0</v>
      </c>
      <c r="M421">
        <v>0</v>
      </c>
      <c r="N421">
        <v>0</v>
      </c>
      <c r="O421">
        <v>76</v>
      </c>
    </row>
    <row r="422" spans="1:15" x14ac:dyDescent="0.25">
      <c r="A422" t="s">
        <v>962</v>
      </c>
      <c r="B422" t="s">
        <v>2752</v>
      </c>
      <c r="C422" t="s">
        <v>927</v>
      </c>
      <c r="D422" t="s">
        <v>3052</v>
      </c>
      <c r="E422" t="s">
        <v>3053</v>
      </c>
      <c r="F422" t="s">
        <v>314</v>
      </c>
      <c r="G422" t="s">
        <v>315</v>
      </c>
      <c r="H422" t="s">
        <v>14460</v>
      </c>
      <c r="I422">
        <v>1</v>
      </c>
      <c r="J422">
        <v>0</v>
      </c>
      <c r="K422">
        <v>0</v>
      </c>
      <c r="L422">
        <v>0</v>
      </c>
      <c r="M422">
        <v>0</v>
      </c>
      <c r="N422">
        <v>0</v>
      </c>
      <c r="O422">
        <v>1</v>
      </c>
    </row>
    <row r="423" spans="1:15" x14ac:dyDescent="0.25">
      <c r="A423" t="s">
        <v>1069</v>
      </c>
      <c r="B423" t="s">
        <v>2001</v>
      </c>
      <c r="C423" t="s">
        <v>927</v>
      </c>
      <c r="D423" t="s">
        <v>3052</v>
      </c>
      <c r="E423" t="s">
        <v>3053</v>
      </c>
      <c r="F423" t="s">
        <v>314</v>
      </c>
      <c r="G423" t="s">
        <v>315</v>
      </c>
      <c r="H423" t="s">
        <v>3345</v>
      </c>
      <c r="I423">
        <v>304</v>
      </c>
      <c r="J423">
        <v>179</v>
      </c>
      <c r="K423">
        <v>0</v>
      </c>
      <c r="L423">
        <v>0</v>
      </c>
      <c r="M423">
        <v>107</v>
      </c>
      <c r="N423">
        <v>0</v>
      </c>
      <c r="O423">
        <v>18</v>
      </c>
    </row>
    <row r="424" spans="1:15" x14ac:dyDescent="0.25">
      <c r="A424" t="s">
        <v>1072</v>
      </c>
      <c r="B424" t="s">
        <v>2907</v>
      </c>
      <c r="C424" t="s">
        <v>927</v>
      </c>
      <c r="D424" t="s">
        <v>3052</v>
      </c>
      <c r="E424" t="s">
        <v>3053</v>
      </c>
      <c r="F424" t="s">
        <v>314</v>
      </c>
      <c r="G424" t="s">
        <v>315</v>
      </c>
      <c r="H424" t="s">
        <v>3346</v>
      </c>
      <c r="I424">
        <v>19</v>
      </c>
      <c r="J424">
        <v>0</v>
      </c>
      <c r="K424">
        <v>0</v>
      </c>
      <c r="L424">
        <v>11</v>
      </c>
      <c r="M424">
        <v>8</v>
      </c>
      <c r="N424">
        <v>0</v>
      </c>
      <c r="O424">
        <v>0</v>
      </c>
    </row>
    <row r="425" spans="1:15" x14ac:dyDescent="0.25">
      <c r="A425" t="s">
        <v>1684</v>
      </c>
      <c r="B425" t="s">
        <v>2845</v>
      </c>
      <c r="C425" t="s">
        <v>927</v>
      </c>
      <c r="D425" t="s">
        <v>3052</v>
      </c>
      <c r="E425" t="s">
        <v>3053</v>
      </c>
      <c r="F425" t="s">
        <v>314</v>
      </c>
      <c r="G425" t="s">
        <v>315</v>
      </c>
      <c r="H425" t="s">
        <v>11810</v>
      </c>
      <c r="I425">
        <v>1</v>
      </c>
      <c r="J425">
        <v>0</v>
      </c>
      <c r="K425">
        <v>0</v>
      </c>
      <c r="L425">
        <v>0</v>
      </c>
      <c r="M425">
        <v>0</v>
      </c>
      <c r="N425">
        <v>0</v>
      </c>
      <c r="O425">
        <v>1</v>
      </c>
    </row>
    <row r="426" spans="1:15" x14ac:dyDescent="0.25">
      <c r="A426" t="s">
        <v>1794</v>
      </c>
      <c r="B426" t="s">
        <v>2796</v>
      </c>
      <c r="C426" t="s">
        <v>923</v>
      </c>
      <c r="D426" t="s">
        <v>3063</v>
      </c>
      <c r="E426" t="s">
        <v>3053</v>
      </c>
      <c r="F426" t="s">
        <v>314</v>
      </c>
      <c r="G426" t="s">
        <v>315</v>
      </c>
      <c r="H426" t="s">
        <v>3347</v>
      </c>
      <c r="I426">
        <v>17</v>
      </c>
      <c r="J426">
        <v>17</v>
      </c>
      <c r="K426">
        <v>0</v>
      </c>
      <c r="L426">
        <v>0</v>
      </c>
      <c r="M426">
        <v>0</v>
      </c>
      <c r="N426">
        <v>0</v>
      </c>
      <c r="O426">
        <v>0</v>
      </c>
    </row>
    <row r="427" spans="1:15" x14ac:dyDescent="0.25">
      <c r="A427" t="s">
        <v>971</v>
      </c>
      <c r="B427" t="s">
        <v>2956</v>
      </c>
      <c r="C427" t="s">
        <v>927</v>
      </c>
      <c r="D427" t="s">
        <v>3052</v>
      </c>
      <c r="E427" t="s">
        <v>3053</v>
      </c>
      <c r="F427" t="s">
        <v>316</v>
      </c>
      <c r="G427" t="s">
        <v>317</v>
      </c>
      <c r="H427" t="s">
        <v>3348</v>
      </c>
      <c r="I427">
        <v>202</v>
      </c>
      <c r="J427">
        <v>115</v>
      </c>
      <c r="K427">
        <v>0</v>
      </c>
      <c r="L427">
        <v>0</v>
      </c>
      <c r="M427">
        <v>0</v>
      </c>
      <c r="N427">
        <v>0</v>
      </c>
      <c r="O427">
        <v>87</v>
      </c>
    </row>
    <row r="428" spans="1:15" x14ac:dyDescent="0.25">
      <c r="A428" t="s">
        <v>929</v>
      </c>
      <c r="B428" t="s">
        <v>2999</v>
      </c>
      <c r="C428" t="s">
        <v>927</v>
      </c>
      <c r="D428" t="s">
        <v>3052</v>
      </c>
      <c r="E428" t="s">
        <v>3053</v>
      </c>
      <c r="F428" t="s">
        <v>316</v>
      </c>
      <c r="G428" t="s">
        <v>317</v>
      </c>
      <c r="H428" t="s">
        <v>3349</v>
      </c>
      <c r="I428">
        <v>146</v>
      </c>
      <c r="J428">
        <v>0</v>
      </c>
      <c r="K428">
        <v>0</v>
      </c>
      <c r="L428">
        <v>0</v>
      </c>
      <c r="M428">
        <v>146</v>
      </c>
      <c r="N428">
        <v>0</v>
      </c>
      <c r="O428">
        <v>0</v>
      </c>
    </row>
    <row r="429" spans="1:15" x14ac:dyDescent="0.25">
      <c r="A429" t="s">
        <v>9790</v>
      </c>
      <c r="B429" t="s">
        <v>1977</v>
      </c>
      <c r="C429" t="s">
        <v>923</v>
      </c>
      <c r="D429" t="s">
        <v>3063</v>
      </c>
      <c r="E429" t="s">
        <v>3053</v>
      </c>
      <c r="F429" t="s">
        <v>316</v>
      </c>
      <c r="G429" t="s">
        <v>317</v>
      </c>
      <c r="H429" t="s">
        <v>11811</v>
      </c>
      <c r="I429">
        <v>19</v>
      </c>
      <c r="J429">
        <v>0</v>
      </c>
      <c r="K429">
        <v>0</v>
      </c>
      <c r="L429">
        <v>19</v>
      </c>
      <c r="M429">
        <v>0</v>
      </c>
      <c r="N429">
        <v>0</v>
      </c>
      <c r="O429">
        <v>0</v>
      </c>
    </row>
    <row r="430" spans="1:15" x14ac:dyDescent="0.25">
      <c r="A430" t="s">
        <v>1092</v>
      </c>
      <c r="B430" t="s">
        <v>2953</v>
      </c>
      <c r="C430" t="s">
        <v>923</v>
      </c>
      <c r="D430" t="s">
        <v>3063</v>
      </c>
      <c r="E430" t="s">
        <v>3053</v>
      </c>
      <c r="F430" t="s">
        <v>316</v>
      </c>
      <c r="G430" t="s">
        <v>317</v>
      </c>
      <c r="H430" t="s">
        <v>3350</v>
      </c>
      <c r="I430">
        <v>166</v>
      </c>
      <c r="J430">
        <v>63</v>
      </c>
      <c r="K430">
        <v>0</v>
      </c>
      <c r="L430">
        <v>0</v>
      </c>
      <c r="M430">
        <v>103</v>
      </c>
      <c r="N430">
        <v>0</v>
      </c>
      <c r="O430">
        <v>0</v>
      </c>
    </row>
    <row r="431" spans="1:15" x14ac:dyDescent="0.25">
      <c r="A431" t="s">
        <v>933</v>
      </c>
      <c r="B431" t="s">
        <v>2106</v>
      </c>
      <c r="C431" t="s">
        <v>927</v>
      </c>
      <c r="D431" t="s">
        <v>3052</v>
      </c>
      <c r="E431" t="s">
        <v>3053</v>
      </c>
      <c r="F431" t="s">
        <v>316</v>
      </c>
      <c r="G431" t="s">
        <v>317</v>
      </c>
      <c r="H431" t="s">
        <v>3352</v>
      </c>
      <c r="I431">
        <v>167</v>
      </c>
      <c r="J431">
        <v>166</v>
      </c>
      <c r="K431">
        <v>0</v>
      </c>
      <c r="L431">
        <v>0</v>
      </c>
      <c r="M431">
        <v>0</v>
      </c>
      <c r="N431">
        <v>1</v>
      </c>
      <c r="O431">
        <v>1</v>
      </c>
    </row>
    <row r="432" spans="1:15" x14ac:dyDescent="0.25">
      <c r="A432" t="s">
        <v>992</v>
      </c>
      <c r="B432" t="s">
        <v>3033</v>
      </c>
      <c r="C432" t="s">
        <v>927</v>
      </c>
      <c r="D432" t="s">
        <v>3052</v>
      </c>
      <c r="E432" t="s">
        <v>3053</v>
      </c>
      <c r="F432" t="s">
        <v>316</v>
      </c>
      <c r="G432" t="s">
        <v>317</v>
      </c>
      <c r="H432" t="s">
        <v>3353</v>
      </c>
      <c r="I432">
        <v>252</v>
      </c>
      <c r="J432">
        <v>168</v>
      </c>
      <c r="K432">
        <v>0</v>
      </c>
      <c r="L432">
        <v>0</v>
      </c>
      <c r="M432">
        <v>0</v>
      </c>
      <c r="N432">
        <v>0</v>
      </c>
      <c r="O432">
        <v>84</v>
      </c>
    </row>
    <row r="433" spans="1:15" x14ac:dyDescent="0.25">
      <c r="A433" t="s">
        <v>996</v>
      </c>
      <c r="B433" t="s">
        <v>1952</v>
      </c>
      <c r="C433" t="s">
        <v>923</v>
      </c>
      <c r="D433" t="s">
        <v>3063</v>
      </c>
      <c r="E433" t="s">
        <v>3053</v>
      </c>
      <c r="F433" t="s">
        <v>316</v>
      </c>
      <c r="G433" t="s">
        <v>317</v>
      </c>
      <c r="H433" t="s">
        <v>3354</v>
      </c>
      <c r="I433">
        <v>21</v>
      </c>
      <c r="J433">
        <v>0</v>
      </c>
      <c r="K433">
        <v>0</v>
      </c>
      <c r="L433">
        <v>21</v>
      </c>
      <c r="M433">
        <v>0</v>
      </c>
      <c r="N433">
        <v>0</v>
      </c>
      <c r="O433">
        <v>0</v>
      </c>
    </row>
    <row r="434" spans="1:15" x14ac:dyDescent="0.25">
      <c r="A434" t="s">
        <v>1416</v>
      </c>
      <c r="B434" t="s">
        <v>2029</v>
      </c>
      <c r="C434" t="s">
        <v>923</v>
      </c>
      <c r="D434" t="s">
        <v>3063</v>
      </c>
      <c r="E434" t="s">
        <v>3053</v>
      </c>
      <c r="F434" t="s">
        <v>316</v>
      </c>
      <c r="G434" t="s">
        <v>317</v>
      </c>
      <c r="H434" t="s">
        <v>11812</v>
      </c>
      <c r="I434">
        <v>8</v>
      </c>
      <c r="J434">
        <v>0</v>
      </c>
      <c r="K434">
        <v>0</v>
      </c>
      <c r="L434">
        <v>8</v>
      </c>
      <c r="M434">
        <v>0</v>
      </c>
      <c r="N434">
        <v>0</v>
      </c>
      <c r="O434">
        <v>0</v>
      </c>
    </row>
    <row r="435" spans="1:15" x14ac:dyDescent="0.25">
      <c r="A435" t="s">
        <v>10638</v>
      </c>
      <c r="B435" t="s">
        <v>2057</v>
      </c>
      <c r="C435" t="s">
        <v>927</v>
      </c>
      <c r="D435" t="s">
        <v>3052</v>
      </c>
      <c r="E435" t="s">
        <v>3053</v>
      </c>
      <c r="F435" t="s">
        <v>316</v>
      </c>
      <c r="G435" t="s">
        <v>317</v>
      </c>
      <c r="H435" t="s">
        <v>10844</v>
      </c>
      <c r="I435">
        <v>14</v>
      </c>
      <c r="J435">
        <v>0</v>
      </c>
      <c r="K435">
        <v>0</v>
      </c>
      <c r="L435">
        <v>14</v>
      </c>
      <c r="M435">
        <v>0</v>
      </c>
      <c r="N435">
        <v>0</v>
      </c>
      <c r="O435">
        <v>0</v>
      </c>
    </row>
    <row r="436" spans="1:15" x14ac:dyDescent="0.25">
      <c r="A436" t="s">
        <v>1005</v>
      </c>
      <c r="B436" t="s">
        <v>2128</v>
      </c>
      <c r="C436" t="s">
        <v>927</v>
      </c>
      <c r="D436" t="s">
        <v>3052</v>
      </c>
      <c r="E436" t="s">
        <v>3053</v>
      </c>
      <c r="F436" t="s">
        <v>316</v>
      </c>
      <c r="G436" t="s">
        <v>317</v>
      </c>
      <c r="H436" t="s">
        <v>3355</v>
      </c>
      <c r="I436">
        <v>219</v>
      </c>
      <c r="J436">
        <v>84</v>
      </c>
      <c r="K436">
        <v>0</v>
      </c>
      <c r="L436">
        <v>56</v>
      </c>
      <c r="M436">
        <v>0</v>
      </c>
      <c r="N436">
        <v>0</v>
      </c>
      <c r="O436">
        <v>79</v>
      </c>
    </row>
    <row r="437" spans="1:15" x14ac:dyDescent="0.25">
      <c r="A437" t="s">
        <v>1010</v>
      </c>
      <c r="B437" t="s">
        <v>2639</v>
      </c>
      <c r="C437" t="s">
        <v>927</v>
      </c>
      <c r="D437" t="s">
        <v>3052</v>
      </c>
      <c r="E437" t="s">
        <v>3053</v>
      </c>
      <c r="F437" t="s">
        <v>316</v>
      </c>
      <c r="G437" t="s">
        <v>317</v>
      </c>
      <c r="H437" t="s">
        <v>3356</v>
      </c>
      <c r="I437">
        <v>58</v>
      </c>
      <c r="J437">
        <v>53</v>
      </c>
      <c r="K437">
        <v>0</v>
      </c>
      <c r="L437">
        <v>0</v>
      </c>
      <c r="M437">
        <v>0</v>
      </c>
      <c r="N437">
        <v>2</v>
      </c>
      <c r="O437">
        <v>5</v>
      </c>
    </row>
    <row r="438" spans="1:15" x14ac:dyDescent="0.25">
      <c r="A438" t="s">
        <v>937</v>
      </c>
      <c r="B438" t="s">
        <v>1962</v>
      </c>
      <c r="C438" t="s">
        <v>927</v>
      </c>
      <c r="D438" t="s">
        <v>3052</v>
      </c>
      <c r="E438" t="s">
        <v>3053</v>
      </c>
      <c r="F438" t="s">
        <v>316</v>
      </c>
      <c r="G438" t="s">
        <v>317</v>
      </c>
      <c r="H438" t="s">
        <v>3357</v>
      </c>
      <c r="I438">
        <v>39</v>
      </c>
      <c r="J438">
        <v>0</v>
      </c>
      <c r="K438">
        <v>0</v>
      </c>
      <c r="L438">
        <v>0</v>
      </c>
      <c r="M438">
        <v>0</v>
      </c>
      <c r="N438">
        <v>0</v>
      </c>
      <c r="O438">
        <v>39</v>
      </c>
    </row>
    <row r="439" spans="1:15" x14ac:dyDescent="0.25">
      <c r="A439" t="s">
        <v>1119</v>
      </c>
      <c r="B439" t="s">
        <v>2777</v>
      </c>
      <c r="C439" t="s">
        <v>927</v>
      </c>
      <c r="D439" t="s">
        <v>3052</v>
      </c>
      <c r="E439" t="s">
        <v>3053</v>
      </c>
      <c r="F439" t="s">
        <v>316</v>
      </c>
      <c r="G439" t="s">
        <v>317</v>
      </c>
      <c r="H439" t="s">
        <v>11813</v>
      </c>
      <c r="I439">
        <v>36</v>
      </c>
      <c r="J439">
        <v>28</v>
      </c>
      <c r="K439">
        <v>0</v>
      </c>
      <c r="L439">
        <v>0</v>
      </c>
      <c r="M439">
        <v>0</v>
      </c>
      <c r="N439">
        <v>0</v>
      </c>
      <c r="O439">
        <v>8</v>
      </c>
    </row>
    <row r="440" spans="1:15" x14ac:dyDescent="0.25">
      <c r="A440" t="s">
        <v>940</v>
      </c>
      <c r="B440" t="s">
        <v>2647</v>
      </c>
      <c r="C440" t="s">
        <v>927</v>
      </c>
      <c r="D440" t="s">
        <v>3052</v>
      </c>
      <c r="E440" t="s">
        <v>3053</v>
      </c>
      <c r="F440" t="s">
        <v>316</v>
      </c>
      <c r="G440" t="s">
        <v>317</v>
      </c>
      <c r="H440" t="s">
        <v>3358</v>
      </c>
      <c r="I440">
        <v>62</v>
      </c>
      <c r="J440">
        <v>0</v>
      </c>
      <c r="K440">
        <v>0</v>
      </c>
      <c r="L440">
        <v>0</v>
      </c>
      <c r="M440">
        <v>62</v>
      </c>
      <c r="N440">
        <v>0</v>
      </c>
      <c r="O440">
        <v>0</v>
      </c>
    </row>
    <row r="441" spans="1:15" x14ac:dyDescent="0.25">
      <c r="A441" t="s">
        <v>9793</v>
      </c>
      <c r="B441" t="s">
        <v>2615</v>
      </c>
      <c r="C441" t="s">
        <v>923</v>
      </c>
      <c r="D441" t="s">
        <v>3063</v>
      </c>
      <c r="E441" t="s">
        <v>3053</v>
      </c>
      <c r="F441" t="s">
        <v>316</v>
      </c>
      <c r="G441" t="s">
        <v>317</v>
      </c>
      <c r="H441" t="s">
        <v>10122</v>
      </c>
      <c r="I441">
        <v>51</v>
      </c>
      <c r="J441">
        <v>0</v>
      </c>
      <c r="K441">
        <v>0</v>
      </c>
      <c r="L441">
        <v>51</v>
      </c>
      <c r="M441">
        <v>0</v>
      </c>
      <c r="N441">
        <v>0</v>
      </c>
      <c r="O441">
        <v>0</v>
      </c>
    </row>
    <row r="442" spans="1:15" x14ac:dyDescent="0.25">
      <c r="A442" t="s">
        <v>1013</v>
      </c>
      <c r="B442" t="s">
        <v>1959</v>
      </c>
      <c r="C442" t="s">
        <v>927</v>
      </c>
      <c r="D442" t="s">
        <v>3052</v>
      </c>
      <c r="E442" t="s">
        <v>3053</v>
      </c>
      <c r="F442" t="s">
        <v>316</v>
      </c>
      <c r="G442" t="s">
        <v>317</v>
      </c>
      <c r="H442" t="s">
        <v>3359</v>
      </c>
      <c r="I442">
        <v>35</v>
      </c>
      <c r="J442">
        <v>0</v>
      </c>
      <c r="K442">
        <v>0</v>
      </c>
      <c r="L442">
        <v>35</v>
      </c>
      <c r="M442">
        <v>0</v>
      </c>
      <c r="N442">
        <v>0</v>
      </c>
      <c r="O442">
        <v>0</v>
      </c>
    </row>
    <row r="443" spans="1:15" x14ac:dyDescent="0.25">
      <c r="A443" t="s">
        <v>1018</v>
      </c>
      <c r="B443" t="s">
        <v>1980</v>
      </c>
      <c r="C443" t="s">
        <v>923</v>
      </c>
      <c r="D443" t="s">
        <v>3063</v>
      </c>
      <c r="E443" t="s">
        <v>3053</v>
      </c>
      <c r="F443" t="s">
        <v>316</v>
      </c>
      <c r="G443" t="s">
        <v>317</v>
      </c>
      <c r="H443" t="s">
        <v>3360</v>
      </c>
      <c r="I443">
        <v>12</v>
      </c>
      <c r="J443">
        <v>0</v>
      </c>
      <c r="K443">
        <v>0</v>
      </c>
      <c r="L443">
        <v>12</v>
      </c>
      <c r="M443">
        <v>0</v>
      </c>
      <c r="N443">
        <v>0</v>
      </c>
      <c r="O443">
        <v>0</v>
      </c>
    </row>
    <row r="444" spans="1:15" x14ac:dyDescent="0.25">
      <c r="A444" t="s">
        <v>1025</v>
      </c>
      <c r="B444" t="s">
        <v>2893</v>
      </c>
      <c r="C444" t="s">
        <v>927</v>
      </c>
      <c r="D444" t="s">
        <v>3052</v>
      </c>
      <c r="E444" t="s">
        <v>3053</v>
      </c>
      <c r="F444" t="s">
        <v>316</v>
      </c>
      <c r="G444" t="s">
        <v>317</v>
      </c>
      <c r="H444" t="s">
        <v>3361</v>
      </c>
      <c r="I444">
        <v>277</v>
      </c>
      <c r="J444">
        <v>168</v>
      </c>
      <c r="K444">
        <v>0</v>
      </c>
      <c r="L444">
        <v>0</v>
      </c>
      <c r="M444">
        <v>0</v>
      </c>
      <c r="N444">
        <v>0</v>
      </c>
      <c r="O444">
        <v>109</v>
      </c>
    </row>
    <row r="445" spans="1:15" x14ac:dyDescent="0.25">
      <c r="A445" t="s">
        <v>943</v>
      </c>
      <c r="B445" t="s">
        <v>2694</v>
      </c>
      <c r="C445" t="s">
        <v>927</v>
      </c>
      <c r="D445" t="s">
        <v>3052</v>
      </c>
      <c r="E445" t="s">
        <v>3053</v>
      </c>
      <c r="F445" t="s">
        <v>316</v>
      </c>
      <c r="G445" t="s">
        <v>317</v>
      </c>
      <c r="H445" t="s">
        <v>3362</v>
      </c>
      <c r="I445">
        <v>24</v>
      </c>
      <c r="J445">
        <v>24</v>
      </c>
      <c r="K445">
        <v>0</v>
      </c>
      <c r="L445">
        <v>0</v>
      </c>
      <c r="M445">
        <v>0</v>
      </c>
      <c r="N445">
        <v>0</v>
      </c>
      <c r="O445">
        <v>0</v>
      </c>
    </row>
    <row r="446" spans="1:15" x14ac:dyDescent="0.25">
      <c r="A446" t="s">
        <v>945</v>
      </c>
      <c r="B446" t="s">
        <v>2668</v>
      </c>
      <c r="C446" t="s">
        <v>927</v>
      </c>
      <c r="D446" t="s">
        <v>3052</v>
      </c>
      <c r="E446" t="s">
        <v>3053</v>
      </c>
      <c r="F446" t="s">
        <v>316</v>
      </c>
      <c r="G446" t="s">
        <v>317</v>
      </c>
      <c r="H446" t="s">
        <v>3363</v>
      </c>
      <c r="I446">
        <v>1</v>
      </c>
      <c r="J446">
        <v>0</v>
      </c>
      <c r="K446">
        <v>0</v>
      </c>
      <c r="L446">
        <v>0</v>
      </c>
      <c r="M446">
        <v>0</v>
      </c>
      <c r="N446">
        <v>0</v>
      </c>
      <c r="O446">
        <v>1</v>
      </c>
    </row>
    <row r="447" spans="1:15" x14ac:dyDescent="0.25">
      <c r="A447" t="s">
        <v>1134</v>
      </c>
      <c r="B447" t="s">
        <v>2118</v>
      </c>
      <c r="C447" t="s">
        <v>927</v>
      </c>
      <c r="D447" t="s">
        <v>3052</v>
      </c>
      <c r="E447" t="s">
        <v>3053</v>
      </c>
      <c r="F447" t="s">
        <v>316</v>
      </c>
      <c r="G447" t="s">
        <v>317</v>
      </c>
      <c r="H447" t="s">
        <v>10845</v>
      </c>
      <c r="I447">
        <v>116</v>
      </c>
      <c r="J447">
        <v>93</v>
      </c>
      <c r="K447">
        <v>0</v>
      </c>
      <c r="L447">
        <v>0</v>
      </c>
      <c r="M447">
        <v>0</v>
      </c>
      <c r="N447">
        <v>0</v>
      </c>
      <c r="O447">
        <v>23</v>
      </c>
    </row>
    <row r="448" spans="1:15" x14ac:dyDescent="0.25">
      <c r="A448" t="s">
        <v>1138</v>
      </c>
      <c r="B448" t="s">
        <v>2635</v>
      </c>
      <c r="C448" t="s">
        <v>923</v>
      </c>
      <c r="D448" t="s">
        <v>3063</v>
      </c>
      <c r="E448" t="s">
        <v>3053</v>
      </c>
      <c r="F448" t="s">
        <v>316</v>
      </c>
      <c r="G448" t="s">
        <v>317</v>
      </c>
      <c r="H448" t="s">
        <v>14461</v>
      </c>
      <c r="I448">
        <v>6</v>
      </c>
      <c r="J448">
        <v>0</v>
      </c>
      <c r="K448">
        <v>0</v>
      </c>
      <c r="L448">
        <v>6</v>
      </c>
      <c r="M448">
        <v>0</v>
      </c>
      <c r="N448">
        <v>0</v>
      </c>
      <c r="O448">
        <v>0</v>
      </c>
    </row>
    <row r="449" spans="1:15" x14ac:dyDescent="0.25">
      <c r="A449" t="s">
        <v>1041</v>
      </c>
      <c r="B449" t="s">
        <v>2826</v>
      </c>
      <c r="C449" t="s">
        <v>927</v>
      </c>
      <c r="D449" t="s">
        <v>3052</v>
      </c>
      <c r="E449" t="s">
        <v>3053</v>
      </c>
      <c r="F449" t="s">
        <v>316</v>
      </c>
      <c r="G449" t="s">
        <v>317</v>
      </c>
      <c r="H449" t="s">
        <v>3364</v>
      </c>
      <c r="I449">
        <v>92</v>
      </c>
      <c r="J449">
        <v>0</v>
      </c>
      <c r="K449">
        <v>0</v>
      </c>
      <c r="L449">
        <v>0</v>
      </c>
      <c r="M449">
        <v>0</v>
      </c>
      <c r="N449">
        <v>0</v>
      </c>
      <c r="O449">
        <v>92</v>
      </c>
    </row>
    <row r="450" spans="1:15" x14ac:dyDescent="0.25">
      <c r="A450" t="s">
        <v>9787</v>
      </c>
      <c r="B450" t="s">
        <v>2822</v>
      </c>
      <c r="C450" t="s">
        <v>927</v>
      </c>
      <c r="D450" t="s">
        <v>3052</v>
      </c>
      <c r="E450" t="s">
        <v>3053</v>
      </c>
      <c r="F450" t="s">
        <v>316</v>
      </c>
      <c r="G450" t="s">
        <v>317</v>
      </c>
      <c r="H450" t="s">
        <v>10235</v>
      </c>
      <c r="I450">
        <v>228</v>
      </c>
      <c r="J450">
        <v>177</v>
      </c>
      <c r="K450">
        <v>0</v>
      </c>
      <c r="L450">
        <v>0</v>
      </c>
      <c r="M450">
        <v>51</v>
      </c>
      <c r="N450">
        <v>0</v>
      </c>
      <c r="O450">
        <v>0</v>
      </c>
    </row>
    <row r="451" spans="1:15" x14ac:dyDescent="0.25">
      <c r="A451" t="s">
        <v>1142</v>
      </c>
      <c r="B451" t="s">
        <v>3003</v>
      </c>
      <c r="C451" t="s">
        <v>927</v>
      </c>
      <c r="D451" t="s">
        <v>3052</v>
      </c>
      <c r="E451" t="s">
        <v>3053</v>
      </c>
      <c r="F451" t="s">
        <v>316</v>
      </c>
      <c r="G451" t="s">
        <v>317</v>
      </c>
      <c r="H451" t="s">
        <v>3365</v>
      </c>
      <c r="I451">
        <v>252</v>
      </c>
      <c r="J451">
        <v>153</v>
      </c>
      <c r="K451">
        <v>0</v>
      </c>
      <c r="L451">
        <v>0</v>
      </c>
      <c r="M451">
        <v>0</v>
      </c>
      <c r="N451">
        <v>0</v>
      </c>
      <c r="O451">
        <v>99</v>
      </c>
    </row>
    <row r="452" spans="1:15" x14ac:dyDescent="0.25">
      <c r="A452" t="s">
        <v>1144</v>
      </c>
      <c r="B452" t="s">
        <v>2124</v>
      </c>
      <c r="C452" t="s">
        <v>923</v>
      </c>
      <c r="D452" t="s">
        <v>3063</v>
      </c>
      <c r="E452" t="s">
        <v>3053</v>
      </c>
      <c r="F452" t="s">
        <v>316</v>
      </c>
      <c r="G452" t="s">
        <v>317</v>
      </c>
      <c r="H452" t="s">
        <v>11814</v>
      </c>
      <c r="I452">
        <v>4</v>
      </c>
      <c r="J452">
        <v>4</v>
      </c>
      <c r="K452">
        <v>0</v>
      </c>
      <c r="L452">
        <v>0</v>
      </c>
      <c r="M452">
        <v>0</v>
      </c>
      <c r="N452">
        <v>0</v>
      </c>
      <c r="O452">
        <v>0</v>
      </c>
    </row>
    <row r="453" spans="1:15" x14ac:dyDescent="0.25">
      <c r="A453" t="s">
        <v>1146</v>
      </c>
      <c r="B453" t="s">
        <v>2117</v>
      </c>
      <c r="C453" t="s">
        <v>927</v>
      </c>
      <c r="D453" t="s">
        <v>3052</v>
      </c>
      <c r="E453" t="s">
        <v>3053</v>
      </c>
      <c r="F453" t="s">
        <v>316</v>
      </c>
      <c r="G453" t="s">
        <v>317</v>
      </c>
      <c r="H453" t="s">
        <v>14462</v>
      </c>
      <c r="I453">
        <v>924</v>
      </c>
      <c r="J453">
        <v>652</v>
      </c>
      <c r="K453">
        <v>0</v>
      </c>
      <c r="L453">
        <v>41</v>
      </c>
      <c r="M453">
        <v>59</v>
      </c>
      <c r="N453">
        <v>5</v>
      </c>
      <c r="O453">
        <v>172</v>
      </c>
    </row>
    <row r="454" spans="1:15" x14ac:dyDescent="0.25">
      <c r="A454" t="s">
        <v>951</v>
      </c>
      <c r="B454" t="s">
        <v>2680</v>
      </c>
      <c r="C454" t="s">
        <v>927</v>
      </c>
      <c r="D454" t="s">
        <v>3052</v>
      </c>
      <c r="E454" t="s">
        <v>3053</v>
      </c>
      <c r="F454" t="s">
        <v>316</v>
      </c>
      <c r="G454" t="s">
        <v>317</v>
      </c>
      <c r="H454" t="s">
        <v>3366</v>
      </c>
      <c r="I454">
        <v>479</v>
      </c>
      <c r="J454">
        <v>470</v>
      </c>
      <c r="K454">
        <v>0</v>
      </c>
      <c r="L454">
        <v>9</v>
      </c>
      <c r="M454">
        <v>0</v>
      </c>
      <c r="N454">
        <v>0</v>
      </c>
      <c r="O454">
        <v>0</v>
      </c>
    </row>
    <row r="455" spans="1:15" x14ac:dyDescent="0.25">
      <c r="A455" t="s">
        <v>1048</v>
      </c>
      <c r="B455" t="s">
        <v>2989</v>
      </c>
      <c r="C455" t="s">
        <v>927</v>
      </c>
      <c r="D455" t="s">
        <v>3052</v>
      </c>
      <c r="E455" t="s">
        <v>3053</v>
      </c>
      <c r="F455" t="s">
        <v>316</v>
      </c>
      <c r="G455" t="s">
        <v>317</v>
      </c>
      <c r="H455" t="s">
        <v>3367</v>
      </c>
      <c r="I455">
        <v>14</v>
      </c>
      <c r="J455">
        <v>0</v>
      </c>
      <c r="K455">
        <v>0</v>
      </c>
      <c r="L455">
        <v>14</v>
      </c>
      <c r="M455">
        <v>0</v>
      </c>
      <c r="N455">
        <v>0</v>
      </c>
      <c r="O455">
        <v>0</v>
      </c>
    </row>
    <row r="456" spans="1:15" x14ac:dyDescent="0.25">
      <c r="A456" t="s">
        <v>9788</v>
      </c>
      <c r="B456" t="s">
        <v>9871</v>
      </c>
      <c r="C456" t="s">
        <v>927</v>
      </c>
      <c r="D456" t="s">
        <v>3052</v>
      </c>
      <c r="E456" t="s">
        <v>3053</v>
      </c>
      <c r="F456" t="s">
        <v>316</v>
      </c>
      <c r="G456" t="s">
        <v>317</v>
      </c>
      <c r="H456" t="s">
        <v>10330</v>
      </c>
      <c r="I456">
        <v>32</v>
      </c>
      <c r="J456">
        <v>32</v>
      </c>
      <c r="K456">
        <v>0</v>
      </c>
      <c r="L456">
        <v>0</v>
      </c>
      <c r="M456">
        <v>0</v>
      </c>
      <c r="N456">
        <v>0</v>
      </c>
      <c r="O456">
        <v>0</v>
      </c>
    </row>
    <row r="457" spans="1:15" x14ac:dyDescent="0.25">
      <c r="A457" t="s">
        <v>1154</v>
      </c>
      <c r="B457" t="s">
        <v>2861</v>
      </c>
      <c r="C457" t="s">
        <v>927</v>
      </c>
      <c r="D457" t="s">
        <v>3052</v>
      </c>
      <c r="E457" t="s">
        <v>3053</v>
      </c>
      <c r="F457" t="s">
        <v>316</v>
      </c>
      <c r="G457" t="s">
        <v>317</v>
      </c>
      <c r="H457" t="s">
        <v>3368</v>
      </c>
      <c r="I457">
        <v>79</v>
      </c>
      <c r="J457">
        <v>56</v>
      </c>
      <c r="K457">
        <v>0</v>
      </c>
      <c r="L457">
        <v>0</v>
      </c>
      <c r="M457">
        <v>0</v>
      </c>
      <c r="N457">
        <v>0</v>
      </c>
      <c r="O457">
        <v>23</v>
      </c>
    </row>
    <row r="458" spans="1:15" x14ac:dyDescent="0.25">
      <c r="A458" t="s">
        <v>14374</v>
      </c>
      <c r="B458" t="s">
        <v>1943</v>
      </c>
      <c r="C458" t="s">
        <v>927</v>
      </c>
      <c r="D458" t="s">
        <v>3052</v>
      </c>
      <c r="E458" t="s">
        <v>3053</v>
      </c>
      <c r="F458" t="s">
        <v>316</v>
      </c>
      <c r="G458" t="s">
        <v>317</v>
      </c>
      <c r="H458" t="s">
        <v>14463</v>
      </c>
      <c r="I458">
        <v>40</v>
      </c>
      <c r="J458">
        <v>0</v>
      </c>
      <c r="K458">
        <v>0</v>
      </c>
      <c r="L458">
        <v>0</v>
      </c>
      <c r="M458">
        <v>0</v>
      </c>
      <c r="N458">
        <v>0</v>
      </c>
      <c r="O458">
        <v>40</v>
      </c>
    </row>
    <row r="459" spans="1:15" x14ac:dyDescent="0.25">
      <c r="A459" t="s">
        <v>1157</v>
      </c>
      <c r="B459" t="s">
        <v>2259</v>
      </c>
      <c r="C459" t="s">
        <v>923</v>
      </c>
      <c r="D459" t="s">
        <v>3063</v>
      </c>
      <c r="E459" t="s">
        <v>3053</v>
      </c>
      <c r="F459" t="s">
        <v>316</v>
      </c>
      <c r="G459" t="s">
        <v>317</v>
      </c>
      <c r="H459" t="s">
        <v>3369</v>
      </c>
      <c r="I459">
        <v>20</v>
      </c>
      <c r="J459">
        <v>20</v>
      </c>
      <c r="K459">
        <v>0</v>
      </c>
      <c r="L459">
        <v>0</v>
      </c>
      <c r="M459">
        <v>0</v>
      </c>
      <c r="N459">
        <v>0</v>
      </c>
      <c r="O459">
        <v>0</v>
      </c>
    </row>
    <row r="460" spans="1:15" x14ac:dyDescent="0.25">
      <c r="A460" t="s">
        <v>1062</v>
      </c>
      <c r="B460" t="s">
        <v>1993</v>
      </c>
      <c r="C460" t="s">
        <v>927</v>
      </c>
      <c r="D460" t="s">
        <v>3052</v>
      </c>
      <c r="E460" t="s">
        <v>3053</v>
      </c>
      <c r="F460" t="s">
        <v>316</v>
      </c>
      <c r="G460" t="s">
        <v>317</v>
      </c>
      <c r="H460" t="s">
        <v>3370</v>
      </c>
      <c r="I460">
        <v>80</v>
      </c>
      <c r="J460">
        <v>76</v>
      </c>
      <c r="K460">
        <v>0</v>
      </c>
      <c r="L460">
        <v>0</v>
      </c>
      <c r="M460">
        <v>0</v>
      </c>
      <c r="N460">
        <v>0</v>
      </c>
      <c r="O460">
        <v>4</v>
      </c>
    </row>
    <row r="461" spans="1:15" x14ac:dyDescent="0.25">
      <c r="A461" t="s">
        <v>962</v>
      </c>
      <c r="B461" t="s">
        <v>2752</v>
      </c>
      <c r="C461" t="s">
        <v>927</v>
      </c>
      <c r="D461" t="s">
        <v>3052</v>
      </c>
      <c r="E461" t="s">
        <v>3053</v>
      </c>
      <c r="F461" t="s">
        <v>316</v>
      </c>
      <c r="G461" t="s">
        <v>317</v>
      </c>
      <c r="H461" t="s">
        <v>3371</v>
      </c>
      <c r="I461">
        <v>1389</v>
      </c>
      <c r="J461">
        <v>1116</v>
      </c>
      <c r="K461">
        <v>0</v>
      </c>
      <c r="L461">
        <v>66</v>
      </c>
      <c r="M461">
        <v>142</v>
      </c>
      <c r="N461">
        <v>0</v>
      </c>
      <c r="O461">
        <v>65</v>
      </c>
    </row>
    <row r="462" spans="1:15" x14ac:dyDescent="0.25">
      <c r="A462" t="s">
        <v>1352</v>
      </c>
      <c r="B462" t="s">
        <v>2085</v>
      </c>
      <c r="C462" t="s">
        <v>923</v>
      </c>
      <c r="D462" t="s">
        <v>3063</v>
      </c>
      <c r="E462" t="s">
        <v>3053</v>
      </c>
      <c r="F462" t="s">
        <v>316</v>
      </c>
      <c r="G462" t="s">
        <v>317</v>
      </c>
      <c r="H462" t="s">
        <v>10846</v>
      </c>
      <c r="I462">
        <v>24</v>
      </c>
      <c r="J462">
        <v>24</v>
      </c>
      <c r="K462">
        <v>0</v>
      </c>
      <c r="L462">
        <v>0</v>
      </c>
      <c r="M462">
        <v>0</v>
      </c>
      <c r="N462">
        <v>0</v>
      </c>
      <c r="O462">
        <v>0</v>
      </c>
    </row>
    <row r="463" spans="1:15" x14ac:dyDescent="0.25">
      <c r="A463" t="s">
        <v>11667</v>
      </c>
      <c r="B463" t="s">
        <v>1986</v>
      </c>
      <c r="C463" t="s">
        <v>923</v>
      </c>
      <c r="D463" t="s">
        <v>3063</v>
      </c>
      <c r="E463" t="s">
        <v>3053</v>
      </c>
      <c r="F463" t="s">
        <v>316</v>
      </c>
      <c r="G463" t="s">
        <v>317</v>
      </c>
      <c r="H463" t="s">
        <v>11815</v>
      </c>
      <c r="I463">
        <v>46</v>
      </c>
      <c r="J463">
        <v>0</v>
      </c>
      <c r="K463">
        <v>0</v>
      </c>
      <c r="L463">
        <v>0</v>
      </c>
      <c r="M463">
        <v>46</v>
      </c>
      <c r="N463">
        <v>0</v>
      </c>
      <c r="O463">
        <v>0</v>
      </c>
    </row>
    <row r="464" spans="1:15" x14ac:dyDescent="0.25">
      <c r="A464" t="s">
        <v>1069</v>
      </c>
      <c r="B464" t="s">
        <v>2001</v>
      </c>
      <c r="C464" t="s">
        <v>927</v>
      </c>
      <c r="D464" t="s">
        <v>3052</v>
      </c>
      <c r="E464" t="s">
        <v>3053</v>
      </c>
      <c r="F464" t="s">
        <v>316</v>
      </c>
      <c r="G464" t="s">
        <v>317</v>
      </c>
      <c r="H464" t="s">
        <v>3372</v>
      </c>
      <c r="I464">
        <v>211</v>
      </c>
      <c r="J464">
        <v>173</v>
      </c>
      <c r="K464">
        <v>0</v>
      </c>
      <c r="L464">
        <v>0</v>
      </c>
      <c r="M464">
        <v>0</v>
      </c>
      <c r="N464">
        <v>0</v>
      </c>
      <c r="O464">
        <v>38</v>
      </c>
    </row>
    <row r="465" spans="1:15" x14ac:dyDescent="0.25">
      <c r="A465" t="s">
        <v>1176</v>
      </c>
      <c r="B465" t="s">
        <v>2952</v>
      </c>
      <c r="C465" t="s">
        <v>923</v>
      </c>
      <c r="D465" t="s">
        <v>3063</v>
      </c>
      <c r="E465" t="s">
        <v>3053</v>
      </c>
      <c r="F465" t="s">
        <v>316</v>
      </c>
      <c r="G465" t="s">
        <v>317</v>
      </c>
      <c r="H465" t="s">
        <v>3373</v>
      </c>
      <c r="I465">
        <v>14</v>
      </c>
      <c r="J465">
        <v>0</v>
      </c>
      <c r="K465">
        <v>0</v>
      </c>
      <c r="L465">
        <v>14</v>
      </c>
      <c r="M465">
        <v>0</v>
      </c>
      <c r="N465">
        <v>0</v>
      </c>
      <c r="O465">
        <v>0</v>
      </c>
    </row>
    <row r="466" spans="1:15" x14ac:dyDescent="0.25">
      <c r="A466" t="s">
        <v>1072</v>
      </c>
      <c r="B466" t="s">
        <v>2907</v>
      </c>
      <c r="C466" t="s">
        <v>927</v>
      </c>
      <c r="D466" t="s">
        <v>3052</v>
      </c>
      <c r="E466" t="s">
        <v>3053</v>
      </c>
      <c r="F466" t="s">
        <v>316</v>
      </c>
      <c r="G466" t="s">
        <v>317</v>
      </c>
      <c r="H466" t="s">
        <v>14464</v>
      </c>
      <c r="I466">
        <v>29</v>
      </c>
      <c r="J466">
        <v>0</v>
      </c>
      <c r="K466">
        <v>0</v>
      </c>
      <c r="L466">
        <v>29</v>
      </c>
      <c r="M466">
        <v>0</v>
      </c>
      <c r="N466">
        <v>0</v>
      </c>
      <c r="O466">
        <v>0</v>
      </c>
    </row>
    <row r="467" spans="1:15" x14ac:dyDescent="0.25">
      <c r="A467" t="s">
        <v>981</v>
      </c>
      <c r="B467" t="s">
        <v>2985</v>
      </c>
      <c r="C467" t="s">
        <v>927</v>
      </c>
      <c r="D467" t="s">
        <v>3052</v>
      </c>
      <c r="E467" t="s">
        <v>3053</v>
      </c>
      <c r="F467" t="s">
        <v>316</v>
      </c>
      <c r="G467" t="s">
        <v>317</v>
      </c>
      <c r="H467" t="s">
        <v>3351</v>
      </c>
      <c r="I467">
        <v>8598</v>
      </c>
      <c r="J467">
        <v>7389</v>
      </c>
      <c r="K467">
        <v>66</v>
      </c>
      <c r="L467">
        <v>70</v>
      </c>
      <c r="M467">
        <v>491</v>
      </c>
      <c r="N467">
        <v>0</v>
      </c>
      <c r="O467">
        <v>582</v>
      </c>
    </row>
    <row r="468" spans="1:15" x14ac:dyDescent="0.25">
      <c r="A468" t="s">
        <v>1195</v>
      </c>
      <c r="B468" t="s">
        <v>2924</v>
      </c>
      <c r="C468" t="s">
        <v>927</v>
      </c>
      <c r="D468" t="s">
        <v>3052</v>
      </c>
      <c r="E468" t="s">
        <v>3053</v>
      </c>
      <c r="F468" t="s">
        <v>318</v>
      </c>
      <c r="G468" t="s">
        <v>319</v>
      </c>
      <c r="H468" t="s">
        <v>3374</v>
      </c>
      <c r="I468">
        <v>73</v>
      </c>
      <c r="J468">
        <v>43</v>
      </c>
      <c r="K468">
        <v>0</v>
      </c>
      <c r="L468">
        <v>12</v>
      </c>
      <c r="M468">
        <v>0</v>
      </c>
      <c r="N468">
        <v>0</v>
      </c>
      <c r="O468">
        <v>18</v>
      </c>
    </row>
    <row r="469" spans="1:15" x14ac:dyDescent="0.25">
      <c r="A469" t="s">
        <v>926</v>
      </c>
      <c r="B469" t="s">
        <v>2923</v>
      </c>
      <c r="C469" t="s">
        <v>927</v>
      </c>
      <c r="D469" t="s">
        <v>3052</v>
      </c>
      <c r="E469" t="s">
        <v>3053</v>
      </c>
      <c r="F469" t="s">
        <v>318</v>
      </c>
      <c r="G469" t="s">
        <v>319</v>
      </c>
      <c r="H469" t="s">
        <v>3375</v>
      </c>
      <c r="I469">
        <v>2</v>
      </c>
      <c r="J469">
        <v>0</v>
      </c>
      <c r="K469">
        <v>0</v>
      </c>
      <c r="L469">
        <v>2</v>
      </c>
      <c r="M469">
        <v>0</v>
      </c>
      <c r="N469">
        <v>0</v>
      </c>
      <c r="O469">
        <v>0</v>
      </c>
    </row>
    <row r="470" spans="1:15" x14ac:dyDescent="0.25">
      <c r="A470" t="s">
        <v>929</v>
      </c>
      <c r="B470" t="s">
        <v>2999</v>
      </c>
      <c r="C470" t="s">
        <v>927</v>
      </c>
      <c r="D470" t="s">
        <v>3052</v>
      </c>
      <c r="E470" t="s">
        <v>3053</v>
      </c>
      <c r="F470" t="s">
        <v>318</v>
      </c>
      <c r="G470" t="s">
        <v>319</v>
      </c>
      <c r="H470" t="s">
        <v>3376</v>
      </c>
      <c r="I470">
        <v>96</v>
      </c>
      <c r="J470">
        <v>0</v>
      </c>
      <c r="K470">
        <v>0</v>
      </c>
      <c r="L470">
        <v>0</v>
      </c>
      <c r="M470">
        <v>96</v>
      </c>
      <c r="N470">
        <v>0</v>
      </c>
      <c r="O470">
        <v>0</v>
      </c>
    </row>
    <row r="471" spans="1:15" x14ac:dyDescent="0.25">
      <c r="A471" t="s">
        <v>1211</v>
      </c>
      <c r="B471" t="s">
        <v>2270</v>
      </c>
      <c r="C471" t="s">
        <v>923</v>
      </c>
      <c r="D471" t="s">
        <v>3063</v>
      </c>
      <c r="E471" t="s">
        <v>3053</v>
      </c>
      <c r="F471" t="s">
        <v>318</v>
      </c>
      <c r="G471" t="s">
        <v>319</v>
      </c>
      <c r="H471" t="s">
        <v>3377</v>
      </c>
      <c r="I471">
        <v>12</v>
      </c>
      <c r="J471">
        <v>12</v>
      </c>
      <c r="K471">
        <v>0</v>
      </c>
      <c r="L471">
        <v>0</v>
      </c>
      <c r="M471">
        <v>0</v>
      </c>
      <c r="N471">
        <v>0</v>
      </c>
      <c r="O471">
        <v>0</v>
      </c>
    </row>
    <row r="472" spans="1:15" x14ac:dyDescent="0.25">
      <c r="A472" t="s">
        <v>1220</v>
      </c>
      <c r="B472" t="s">
        <v>1948</v>
      </c>
      <c r="C472" t="s">
        <v>923</v>
      </c>
      <c r="D472" t="s">
        <v>3063</v>
      </c>
      <c r="E472" t="s">
        <v>3053</v>
      </c>
      <c r="F472" t="s">
        <v>318</v>
      </c>
      <c r="G472" t="s">
        <v>319</v>
      </c>
      <c r="H472" t="s">
        <v>3378</v>
      </c>
      <c r="I472">
        <v>63</v>
      </c>
      <c r="J472">
        <v>0</v>
      </c>
      <c r="K472">
        <v>63</v>
      </c>
      <c r="L472">
        <v>0</v>
      </c>
      <c r="M472">
        <v>0</v>
      </c>
      <c r="N472">
        <v>0</v>
      </c>
      <c r="O472">
        <v>0</v>
      </c>
    </row>
    <row r="473" spans="1:15" x14ac:dyDescent="0.25">
      <c r="A473" t="s">
        <v>1223</v>
      </c>
      <c r="B473" t="s">
        <v>2756</v>
      </c>
      <c r="C473" t="s">
        <v>923</v>
      </c>
      <c r="D473" t="s">
        <v>3063</v>
      </c>
      <c r="E473" t="s">
        <v>3053</v>
      </c>
      <c r="F473" t="s">
        <v>318</v>
      </c>
      <c r="G473" t="s">
        <v>319</v>
      </c>
      <c r="H473" t="s">
        <v>3379</v>
      </c>
      <c r="I473">
        <v>103</v>
      </c>
      <c r="J473">
        <v>1</v>
      </c>
      <c r="K473">
        <v>0</v>
      </c>
      <c r="L473">
        <v>0</v>
      </c>
      <c r="M473">
        <v>102</v>
      </c>
      <c r="N473">
        <v>0</v>
      </c>
      <c r="O473">
        <v>0</v>
      </c>
    </row>
    <row r="474" spans="1:15" x14ac:dyDescent="0.25">
      <c r="A474" t="s">
        <v>989</v>
      </c>
      <c r="B474" t="s">
        <v>2016</v>
      </c>
      <c r="C474" t="s">
        <v>923</v>
      </c>
      <c r="D474" t="s">
        <v>3063</v>
      </c>
      <c r="E474" t="s">
        <v>3053</v>
      </c>
      <c r="F474" t="s">
        <v>318</v>
      </c>
      <c r="G474" t="s">
        <v>319</v>
      </c>
      <c r="H474" t="s">
        <v>3380</v>
      </c>
      <c r="I474">
        <v>5</v>
      </c>
      <c r="J474">
        <v>0</v>
      </c>
      <c r="K474">
        <v>0</v>
      </c>
      <c r="L474">
        <v>5</v>
      </c>
      <c r="M474">
        <v>0</v>
      </c>
      <c r="N474">
        <v>0</v>
      </c>
      <c r="O474">
        <v>0</v>
      </c>
    </row>
    <row r="475" spans="1:15" x14ac:dyDescent="0.25">
      <c r="A475" t="s">
        <v>933</v>
      </c>
      <c r="B475" t="s">
        <v>2106</v>
      </c>
      <c r="C475" t="s">
        <v>927</v>
      </c>
      <c r="D475" t="s">
        <v>3052</v>
      </c>
      <c r="E475" t="s">
        <v>3053</v>
      </c>
      <c r="F475" t="s">
        <v>318</v>
      </c>
      <c r="G475" t="s">
        <v>319</v>
      </c>
      <c r="H475" t="s">
        <v>3381</v>
      </c>
      <c r="I475">
        <v>12</v>
      </c>
      <c r="J475">
        <v>12</v>
      </c>
      <c r="K475">
        <v>0</v>
      </c>
      <c r="L475">
        <v>0</v>
      </c>
      <c r="M475">
        <v>0</v>
      </c>
      <c r="N475">
        <v>0</v>
      </c>
      <c r="O475">
        <v>0</v>
      </c>
    </row>
    <row r="476" spans="1:15" x14ac:dyDescent="0.25">
      <c r="A476" t="s">
        <v>1105</v>
      </c>
      <c r="B476" t="s">
        <v>2918</v>
      </c>
      <c r="C476" t="s">
        <v>923</v>
      </c>
      <c r="D476" t="s">
        <v>3063</v>
      </c>
      <c r="E476" t="s">
        <v>3053</v>
      </c>
      <c r="F476" t="s">
        <v>318</v>
      </c>
      <c r="G476" t="s">
        <v>319</v>
      </c>
      <c r="H476" t="s">
        <v>3382</v>
      </c>
      <c r="I476">
        <v>138</v>
      </c>
      <c r="J476">
        <v>138</v>
      </c>
      <c r="K476">
        <v>0</v>
      </c>
      <c r="L476">
        <v>0</v>
      </c>
      <c r="M476">
        <v>0</v>
      </c>
      <c r="N476">
        <v>2</v>
      </c>
      <c r="O476">
        <v>0</v>
      </c>
    </row>
    <row r="477" spans="1:15" x14ac:dyDescent="0.25">
      <c r="A477" t="s">
        <v>1226</v>
      </c>
      <c r="B477" t="s">
        <v>2420</v>
      </c>
      <c r="C477" t="s">
        <v>923</v>
      </c>
      <c r="D477" t="s">
        <v>3063</v>
      </c>
      <c r="E477" t="s">
        <v>3053</v>
      </c>
      <c r="F477" t="s">
        <v>318</v>
      </c>
      <c r="G477" t="s">
        <v>319</v>
      </c>
      <c r="H477" t="s">
        <v>3383</v>
      </c>
      <c r="I477">
        <v>90</v>
      </c>
      <c r="J477">
        <v>90</v>
      </c>
      <c r="K477">
        <v>0</v>
      </c>
      <c r="L477">
        <v>0</v>
      </c>
      <c r="M477">
        <v>0</v>
      </c>
      <c r="N477">
        <v>0</v>
      </c>
      <c r="O477">
        <v>0</v>
      </c>
    </row>
    <row r="478" spans="1:15" x14ac:dyDescent="0.25">
      <c r="A478" t="s">
        <v>1227</v>
      </c>
      <c r="B478" t="s">
        <v>2023</v>
      </c>
      <c r="C478" t="s">
        <v>923</v>
      </c>
      <c r="D478" t="s">
        <v>3063</v>
      </c>
      <c r="E478" t="s">
        <v>3053</v>
      </c>
      <c r="F478" t="s">
        <v>318</v>
      </c>
      <c r="G478" t="s">
        <v>319</v>
      </c>
      <c r="H478" t="s">
        <v>3384</v>
      </c>
      <c r="I478">
        <v>62</v>
      </c>
      <c r="J478">
        <v>62</v>
      </c>
      <c r="K478">
        <v>0</v>
      </c>
      <c r="L478">
        <v>0</v>
      </c>
      <c r="M478">
        <v>0</v>
      </c>
      <c r="N478">
        <v>0</v>
      </c>
      <c r="O478">
        <v>0</v>
      </c>
    </row>
    <row r="479" spans="1:15" x14ac:dyDescent="0.25">
      <c r="A479" t="s">
        <v>9804</v>
      </c>
      <c r="B479" t="s">
        <v>2043</v>
      </c>
      <c r="C479" t="s">
        <v>923</v>
      </c>
      <c r="D479" t="s">
        <v>3063</v>
      </c>
      <c r="E479" t="s">
        <v>3053</v>
      </c>
      <c r="F479" t="s">
        <v>318</v>
      </c>
      <c r="G479" t="s">
        <v>319</v>
      </c>
      <c r="H479" t="s">
        <v>10047</v>
      </c>
      <c r="I479">
        <v>70</v>
      </c>
      <c r="J479">
        <v>70</v>
      </c>
      <c r="K479">
        <v>0</v>
      </c>
      <c r="L479">
        <v>0</v>
      </c>
      <c r="M479">
        <v>0</v>
      </c>
      <c r="N479">
        <v>0</v>
      </c>
      <c r="O479">
        <v>0</v>
      </c>
    </row>
    <row r="480" spans="1:15" x14ac:dyDescent="0.25">
      <c r="A480" t="s">
        <v>10638</v>
      </c>
      <c r="B480" t="s">
        <v>2057</v>
      </c>
      <c r="C480" t="s">
        <v>927</v>
      </c>
      <c r="D480" t="s">
        <v>3052</v>
      </c>
      <c r="E480" t="s">
        <v>3053</v>
      </c>
      <c r="F480" t="s">
        <v>318</v>
      </c>
      <c r="G480" t="s">
        <v>319</v>
      </c>
      <c r="H480" t="s">
        <v>10847</v>
      </c>
      <c r="I480">
        <v>1</v>
      </c>
      <c r="J480">
        <v>0</v>
      </c>
      <c r="K480">
        <v>0</v>
      </c>
      <c r="L480">
        <v>1</v>
      </c>
      <c r="M480">
        <v>0</v>
      </c>
      <c r="N480">
        <v>0</v>
      </c>
      <c r="O480">
        <v>0</v>
      </c>
    </row>
    <row r="481" spans="1:15" x14ac:dyDescent="0.25">
      <c r="A481" t="s">
        <v>1249</v>
      </c>
      <c r="B481" t="s">
        <v>3029</v>
      </c>
      <c r="C481" t="s">
        <v>927</v>
      </c>
      <c r="D481" t="s">
        <v>3052</v>
      </c>
      <c r="E481" t="s">
        <v>3053</v>
      </c>
      <c r="F481" t="s">
        <v>318</v>
      </c>
      <c r="G481" t="s">
        <v>319</v>
      </c>
      <c r="H481" t="s">
        <v>3385</v>
      </c>
      <c r="I481">
        <v>28</v>
      </c>
      <c r="J481">
        <v>23</v>
      </c>
      <c r="K481">
        <v>0</v>
      </c>
      <c r="L481">
        <v>0</v>
      </c>
      <c r="M481">
        <v>0</v>
      </c>
      <c r="N481">
        <v>0</v>
      </c>
      <c r="O481">
        <v>5</v>
      </c>
    </row>
    <row r="482" spans="1:15" x14ac:dyDescent="0.25">
      <c r="A482" t="s">
        <v>1008</v>
      </c>
      <c r="B482" t="s">
        <v>2928</v>
      </c>
      <c r="C482" t="s">
        <v>927</v>
      </c>
      <c r="D482" t="s">
        <v>3052</v>
      </c>
      <c r="E482" t="s">
        <v>3053</v>
      </c>
      <c r="F482" t="s">
        <v>318</v>
      </c>
      <c r="G482" t="s">
        <v>319</v>
      </c>
      <c r="H482" t="s">
        <v>3386</v>
      </c>
      <c r="I482">
        <v>5</v>
      </c>
      <c r="J482">
        <v>5</v>
      </c>
      <c r="K482">
        <v>0</v>
      </c>
      <c r="L482">
        <v>0</v>
      </c>
      <c r="M482">
        <v>0</v>
      </c>
      <c r="N482">
        <v>0</v>
      </c>
      <c r="O482">
        <v>0</v>
      </c>
    </row>
    <row r="483" spans="1:15" x14ac:dyDescent="0.25">
      <c r="A483" t="s">
        <v>1260</v>
      </c>
      <c r="B483" t="s">
        <v>2509</v>
      </c>
      <c r="C483" t="s">
        <v>923</v>
      </c>
      <c r="D483" t="s">
        <v>3063</v>
      </c>
      <c r="E483" t="s">
        <v>3053</v>
      </c>
      <c r="F483" t="s">
        <v>318</v>
      </c>
      <c r="G483" t="s">
        <v>319</v>
      </c>
      <c r="H483" t="s">
        <v>3387</v>
      </c>
      <c r="I483">
        <v>76</v>
      </c>
      <c r="J483">
        <v>76</v>
      </c>
      <c r="K483">
        <v>0</v>
      </c>
      <c r="L483">
        <v>0</v>
      </c>
      <c r="M483">
        <v>0</v>
      </c>
      <c r="N483">
        <v>0</v>
      </c>
      <c r="O483">
        <v>0</v>
      </c>
    </row>
    <row r="484" spans="1:15" x14ac:dyDescent="0.25">
      <c r="A484" t="s">
        <v>1264</v>
      </c>
      <c r="B484" t="s">
        <v>2749</v>
      </c>
      <c r="C484" t="s">
        <v>927</v>
      </c>
      <c r="D484" t="s">
        <v>3052</v>
      </c>
      <c r="E484" t="s">
        <v>3053</v>
      </c>
      <c r="F484" t="s">
        <v>318</v>
      </c>
      <c r="G484" t="s">
        <v>319</v>
      </c>
      <c r="H484" t="s">
        <v>3388</v>
      </c>
      <c r="I484">
        <v>443</v>
      </c>
      <c r="J484">
        <v>353</v>
      </c>
      <c r="K484">
        <v>0</v>
      </c>
      <c r="L484">
        <v>12</v>
      </c>
      <c r="M484">
        <v>0</v>
      </c>
      <c r="N484">
        <v>0</v>
      </c>
      <c r="O484">
        <v>78</v>
      </c>
    </row>
    <row r="485" spans="1:15" x14ac:dyDescent="0.25">
      <c r="A485" t="s">
        <v>940</v>
      </c>
      <c r="B485" t="s">
        <v>2647</v>
      </c>
      <c r="C485" t="s">
        <v>927</v>
      </c>
      <c r="D485" t="s">
        <v>3052</v>
      </c>
      <c r="E485" t="s">
        <v>3053</v>
      </c>
      <c r="F485" t="s">
        <v>318</v>
      </c>
      <c r="G485" t="s">
        <v>319</v>
      </c>
      <c r="H485" t="s">
        <v>3389</v>
      </c>
      <c r="I485">
        <v>139</v>
      </c>
      <c r="J485">
        <v>0</v>
      </c>
      <c r="K485">
        <v>0</v>
      </c>
      <c r="L485">
        <v>0</v>
      </c>
      <c r="M485">
        <v>139</v>
      </c>
      <c r="N485">
        <v>0</v>
      </c>
      <c r="O485">
        <v>0</v>
      </c>
    </row>
    <row r="486" spans="1:15" x14ac:dyDescent="0.25">
      <c r="A486" t="s">
        <v>1012</v>
      </c>
      <c r="B486" t="s">
        <v>2911</v>
      </c>
      <c r="C486" t="s">
        <v>927</v>
      </c>
      <c r="D486" t="s">
        <v>3052</v>
      </c>
      <c r="E486" t="s">
        <v>3053</v>
      </c>
      <c r="F486" t="s">
        <v>318</v>
      </c>
      <c r="G486" t="s">
        <v>319</v>
      </c>
      <c r="H486" t="s">
        <v>3390</v>
      </c>
      <c r="I486">
        <v>649</v>
      </c>
      <c r="J486">
        <v>461</v>
      </c>
      <c r="K486">
        <v>3</v>
      </c>
      <c r="L486">
        <v>22</v>
      </c>
      <c r="M486">
        <v>46</v>
      </c>
      <c r="N486">
        <v>9</v>
      </c>
      <c r="O486">
        <v>117</v>
      </c>
    </row>
    <row r="487" spans="1:15" x14ac:dyDescent="0.25">
      <c r="A487" t="s">
        <v>1283</v>
      </c>
      <c r="B487" t="s">
        <v>2768</v>
      </c>
      <c r="C487" t="s">
        <v>923</v>
      </c>
      <c r="D487" t="s">
        <v>3063</v>
      </c>
      <c r="E487" t="s">
        <v>3053</v>
      </c>
      <c r="F487" t="s">
        <v>318</v>
      </c>
      <c r="G487" t="s">
        <v>319</v>
      </c>
      <c r="H487" t="s">
        <v>3391</v>
      </c>
      <c r="I487">
        <v>99</v>
      </c>
      <c r="J487">
        <v>48</v>
      </c>
      <c r="K487">
        <v>0</v>
      </c>
      <c r="L487">
        <v>0</v>
      </c>
      <c r="M487">
        <v>51</v>
      </c>
      <c r="N487">
        <v>0</v>
      </c>
      <c r="O487">
        <v>0</v>
      </c>
    </row>
    <row r="488" spans="1:15" x14ac:dyDescent="0.25">
      <c r="A488" t="s">
        <v>1126</v>
      </c>
      <c r="B488" t="s">
        <v>2130</v>
      </c>
      <c r="C488" t="s">
        <v>927</v>
      </c>
      <c r="D488" t="s">
        <v>3052</v>
      </c>
      <c r="E488" t="s">
        <v>3053</v>
      </c>
      <c r="F488" t="s">
        <v>318</v>
      </c>
      <c r="G488" t="s">
        <v>319</v>
      </c>
      <c r="H488" t="s">
        <v>14465</v>
      </c>
      <c r="I488">
        <v>2</v>
      </c>
      <c r="J488">
        <v>0</v>
      </c>
      <c r="K488">
        <v>0</v>
      </c>
      <c r="L488">
        <v>0</v>
      </c>
      <c r="M488">
        <v>0</v>
      </c>
      <c r="N488">
        <v>0</v>
      </c>
      <c r="O488">
        <v>2</v>
      </c>
    </row>
    <row r="489" spans="1:15" x14ac:dyDescent="0.25">
      <c r="A489" t="s">
        <v>1025</v>
      </c>
      <c r="B489" t="s">
        <v>2893</v>
      </c>
      <c r="C489" t="s">
        <v>927</v>
      </c>
      <c r="D489" t="s">
        <v>3052</v>
      </c>
      <c r="E489" t="s">
        <v>3053</v>
      </c>
      <c r="F489" t="s">
        <v>318</v>
      </c>
      <c r="G489" t="s">
        <v>319</v>
      </c>
      <c r="H489" t="s">
        <v>3392</v>
      </c>
      <c r="I489">
        <v>5016</v>
      </c>
      <c r="J489">
        <v>4010</v>
      </c>
      <c r="K489">
        <v>2</v>
      </c>
      <c r="L489">
        <v>32</v>
      </c>
      <c r="M489">
        <v>458</v>
      </c>
      <c r="N489">
        <v>45</v>
      </c>
      <c r="O489">
        <v>514</v>
      </c>
    </row>
    <row r="490" spans="1:15" x14ac:dyDescent="0.25">
      <c r="A490" t="s">
        <v>10681</v>
      </c>
      <c r="B490" t="s">
        <v>10680</v>
      </c>
      <c r="C490" t="s">
        <v>927</v>
      </c>
      <c r="D490" t="s">
        <v>3052</v>
      </c>
      <c r="E490" t="s">
        <v>3053</v>
      </c>
      <c r="F490" t="s">
        <v>318</v>
      </c>
      <c r="G490" t="s">
        <v>319</v>
      </c>
      <c r="H490" t="s">
        <v>14466</v>
      </c>
      <c r="I490">
        <v>21</v>
      </c>
      <c r="J490">
        <v>0</v>
      </c>
      <c r="K490">
        <v>0</v>
      </c>
      <c r="L490">
        <v>0</v>
      </c>
      <c r="M490">
        <v>0</v>
      </c>
      <c r="N490">
        <v>0</v>
      </c>
      <c r="O490">
        <v>21</v>
      </c>
    </row>
    <row r="491" spans="1:15" x14ac:dyDescent="0.25">
      <c r="A491" t="s">
        <v>945</v>
      </c>
      <c r="B491" t="s">
        <v>2668</v>
      </c>
      <c r="C491" t="s">
        <v>927</v>
      </c>
      <c r="D491" t="s">
        <v>3052</v>
      </c>
      <c r="E491" t="s">
        <v>3053</v>
      </c>
      <c r="F491" t="s">
        <v>318</v>
      </c>
      <c r="G491" t="s">
        <v>319</v>
      </c>
      <c r="H491" t="s">
        <v>3393</v>
      </c>
      <c r="I491">
        <v>626</v>
      </c>
      <c r="J491">
        <v>240</v>
      </c>
      <c r="K491">
        <v>0</v>
      </c>
      <c r="L491">
        <v>23</v>
      </c>
      <c r="M491">
        <v>217</v>
      </c>
      <c r="N491">
        <v>0</v>
      </c>
      <c r="O491">
        <v>146</v>
      </c>
    </row>
    <row r="492" spans="1:15" x14ac:dyDescent="0.25">
      <c r="A492" t="s">
        <v>1134</v>
      </c>
      <c r="B492" t="s">
        <v>2118</v>
      </c>
      <c r="C492" t="s">
        <v>927</v>
      </c>
      <c r="D492" t="s">
        <v>3052</v>
      </c>
      <c r="E492" t="s">
        <v>3053</v>
      </c>
      <c r="F492" t="s">
        <v>318</v>
      </c>
      <c r="G492" t="s">
        <v>319</v>
      </c>
      <c r="H492" t="s">
        <v>3394</v>
      </c>
      <c r="I492">
        <v>63</v>
      </c>
      <c r="J492">
        <v>63</v>
      </c>
      <c r="K492">
        <v>0</v>
      </c>
      <c r="L492">
        <v>0</v>
      </c>
      <c r="M492">
        <v>0</v>
      </c>
      <c r="N492">
        <v>0</v>
      </c>
      <c r="O492">
        <v>0</v>
      </c>
    </row>
    <row r="493" spans="1:15" x14ac:dyDescent="0.25">
      <c r="A493" t="s">
        <v>1041</v>
      </c>
      <c r="B493" t="s">
        <v>2826</v>
      </c>
      <c r="C493" t="s">
        <v>927</v>
      </c>
      <c r="D493" t="s">
        <v>3052</v>
      </c>
      <c r="E493" t="s">
        <v>3053</v>
      </c>
      <c r="F493" t="s">
        <v>318</v>
      </c>
      <c r="G493" t="s">
        <v>319</v>
      </c>
      <c r="H493" t="s">
        <v>3395</v>
      </c>
      <c r="I493">
        <v>330</v>
      </c>
      <c r="J493">
        <v>0</v>
      </c>
      <c r="K493">
        <v>0</v>
      </c>
      <c r="L493">
        <v>0</v>
      </c>
      <c r="M493">
        <v>0</v>
      </c>
      <c r="N493">
        <v>0</v>
      </c>
      <c r="O493">
        <v>330</v>
      </c>
    </row>
    <row r="494" spans="1:15" x14ac:dyDescent="0.25">
      <c r="A494" t="s">
        <v>9787</v>
      </c>
      <c r="B494" t="s">
        <v>2822</v>
      </c>
      <c r="C494" t="s">
        <v>927</v>
      </c>
      <c r="D494" t="s">
        <v>3052</v>
      </c>
      <c r="E494" t="s">
        <v>3053</v>
      </c>
      <c r="F494" t="s">
        <v>318</v>
      </c>
      <c r="G494" t="s">
        <v>319</v>
      </c>
      <c r="H494" t="s">
        <v>10236</v>
      </c>
      <c r="I494">
        <v>3972</v>
      </c>
      <c r="J494">
        <v>3718</v>
      </c>
      <c r="K494">
        <v>0</v>
      </c>
      <c r="L494">
        <v>19</v>
      </c>
      <c r="M494">
        <v>231</v>
      </c>
      <c r="N494">
        <v>8</v>
      </c>
      <c r="O494">
        <v>4</v>
      </c>
    </row>
    <row r="495" spans="1:15" x14ac:dyDescent="0.25">
      <c r="A495" t="s">
        <v>1043</v>
      </c>
      <c r="B495" t="s">
        <v>2090</v>
      </c>
      <c r="C495" t="s">
        <v>927</v>
      </c>
      <c r="D495" t="s">
        <v>3052</v>
      </c>
      <c r="E495" t="s">
        <v>3053</v>
      </c>
      <c r="F495" t="s">
        <v>318</v>
      </c>
      <c r="G495" t="s">
        <v>319</v>
      </c>
      <c r="H495" t="s">
        <v>3396</v>
      </c>
      <c r="I495">
        <v>12</v>
      </c>
      <c r="J495">
        <v>7</v>
      </c>
      <c r="K495">
        <v>0</v>
      </c>
      <c r="L495">
        <v>0</v>
      </c>
      <c r="M495">
        <v>0</v>
      </c>
      <c r="N495">
        <v>0</v>
      </c>
      <c r="O495">
        <v>5</v>
      </c>
    </row>
    <row r="496" spans="1:15" x14ac:dyDescent="0.25">
      <c r="A496" t="s">
        <v>1146</v>
      </c>
      <c r="B496" t="s">
        <v>2117</v>
      </c>
      <c r="C496" t="s">
        <v>927</v>
      </c>
      <c r="D496" t="s">
        <v>3052</v>
      </c>
      <c r="E496" t="s">
        <v>3053</v>
      </c>
      <c r="F496" t="s">
        <v>318</v>
      </c>
      <c r="G496" t="s">
        <v>319</v>
      </c>
      <c r="H496" t="s">
        <v>3397</v>
      </c>
      <c r="I496">
        <v>2872</v>
      </c>
      <c r="J496">
        <v>2623</v>
      </c>
      <c r="K496">
        <v>0</v>
      </c>
      <c r="L496">
        <v>0</v>
      </c>
      <c r="M496">
        <v>0</v>
      </c>
      <c r="N496">
        <v>0</v>
      </c>
      <c r="O496">
        <v>249</v>
      </c>
    </row>
    <row r="497" spans="1:15" x14ac:dyDescent="0.25">
      <c r="A497" t="s">
        <v>1318</v>
      </c>
      <c r="B497" t="s">
        <v>2727</v>
      </c>
      <c r="C497" t="s">
        <v>923</v>
      </c>
      <c r="D497" t="s">
        <v>3063</v>
      </c>
      <c r="E497" t="s">
        <v>3053</v>
      </c>
      <c r="F497" t="s">
        <v>318</v>
      </c>
      <c r="G497" t="s">
        <v>319</v>
      </c>
      <c r="H497" t="s">
        <v>11816</v>
      </c>
      <c r="I497">
        <v>143</v>
      </c>
      <c r="J497">
        <v>138</v>
      </c>
      <c r="K497">
        <v>0</v>
      </c>
      <c r="L497">
        <v>5</v>
      </c>
      <c r="M497">
        <v>0</v>
      </c>
      <c r="N497">
        <v>1</v>
      </c>
      <c r="O497">
        <v>0</v>
      </c>
    </row>
    <row r="498" spans="1:15" x14ac:dyDescent="0.25">
      <c r="A498" t="s">
        <v>14388</v>
      </c>
      <c r="B498" t="s">
        <v>2495</v>
      </c>
      <c r="C498" t="s">
        <v>923</v>
      </c>
      <c r="D498" t="s">
        <v>3063</v>
      </c>
      <c r="E498" t="s">
        <v>3053</v>
      </c>
      <c r="F498" t="s">
        <v>318</v>
      </c>
      <c r="G498" t="s">
        <v>319</v>
      </c>
      <c r="H498" t="s">
        <v>14467</v>
      </c>
      <c r="I498">
        <v>24</v>
      </c>
      <c r="J498">
        <v>24</v>
      </c>
      <c r="K498">
        <v>0</v>
      </c>
      <c r="L498">
        <v>0</v>
      </c>
      <c r="M498">
        <v>0</v>
      </c>
      <c r="N498">
        <v>0</v>
      </c>
      <c r="O498">
        <v>0</v>
      </c>
    </row>
    <row r="499" spans="1:15" x14ac:dyDescent="0.25">
      <c r="A499" t="s">
        <v>951</v>
      </c>
      <c r="B499" t="s">
        <v>2680</v>
      </c>
      <c r="C499" t="s">
        <v>927</v>
      </c>
      <c r="D499" t="s">
        <v>3052</v>
      </c>
      <c r="E499" t="s">
        <v>3053</v>
      </c>
      <c r="F499" t="s">
        <v>318</v>
      </c>
      <c r="G499" t="s">
        <v>319</v>
      </c>
      <c r="H499" t="s">
        <v>3398</v>
      </c>
      <c r="I499">
        <v>1</v>
      </c>
      <c r="J499">
        <v>1</v>
      </c>
      <c r="K499">
        <v>0</v>
      </c>
      <c r="L499">
        <v>0</v>
      </c>
      <c r="M499">
        <v>0</v>
      </c>
      <c r="N499">
        <v>0</v>
      </c>
      <c r="O499">
        <v>0</v>
      </c>
    </row>
    <row r="500" spans="1:15" x14ac:dyDescent="0.25">
      <c r="A500" t="s">
        <v>953</v>
      </c>
      <c r="B500" t="s">
        <v>2014</v>
      </c>
      <c r="C500" t="s">
        <v>927</v>
      </c>
      <c r="D500" t="s">
        <v>3052</v>
      </c>
      <c r="E500" t="s">
        <v>3053</v>
      </c>
      <c r="F500" t="s">
        <v>318</v>
      </c>
      <c r="G500" t="s">
        <v>319</v>
      </c>
      <c r="H500" t="s">
        <v>3399</v>
      </c>
      <c r="I500">
        <v>10</v>
      </c>
      <c r="J500">
        <v>0</v>
      </c>
      <c r="K500">
        <v>0</v>
      </c>
      <c r="L500">
        <v>10</v>
      </c>
      <c r="M500">
        <v>0</v>
      </c>
      <c r="N500">
        <v>0</v>
      </c>
      <c r="O500">
        <v>0</v>
      </c>
    </row>
    <row r="501" spans="1:15" x14ac:dyDescent="0.25">
      <c r="A501" t="s">
        <v>955</v>
      </c>
      <c r="B501" t="s">
        <v>2660</v>
      </c>
      <c r="C501" t="s">
        <v>927</v>
      </c>
      <c r="D501" t="s">
        <v>3052</v>
      </c>
      <c r="E501" t="s">
        <v>3053</v>
      </c>
      <c r="F501" t="s">
        <v>318</v>
      </c>
      <c r="G501" t="s">
        <v>319</v>
      </c>
      <c r="H501" t="s">
        <v>3400</v>
      </c>
      <c r="I501">
        <v>1</v>
      </c>
      <c r="J501">
        <v>0</v>
      </c>
      <c r="K501">
        <v>0</v>
      </c>
      <c r="L501">
        <v>0</v>
      </c>
      <c r="M501">
        <v>0</v>
      </c>
      <c r="N501">
        <v>0</v>
      </c>
      <c r="O501">
        <v>1</v>
      </c>
    </row>
    <row r="502" spans="1:15" x14ac:dyDescent="0.25">
      <c r="A502" t="s">
        <v>10728</v>
      </c>
      <c r="B502" t="s">
        <v>10727</v>
      </c>
      <c r="C502" t="s">
        <v>923</v>
      </c>
      <c r="D502" t="s">
        <v>3063</v>
      </c>
      <c r="E502" t="s">
        <v>3053</v>
      </c>
      <c r="F502" t="s">
        <v>318</v>
      </c>
      <c r="G502" t="s">
        <v>319</v>
      </c>
      <c r="H502" t="s">
        <v>11817</v>
      </c>
      <c r="I502">
        <v>111</v>
      </c>
      <c r="J502">
        <v>111</v>
      </c>
      <c r="K502">
        <v>0</v>
      </c>
      <c r="L502">
        <v>0</v>
      </c>
      <c r="M502">
        <v>0</v>
      </c>
      <c r="N502">
        <v>0</v>
      </c>
      <c r="O502">
        <v>0</v>
      </c>
    </row>
    <row r="503" spans="1:15" x14ac:dyDescent="0.25">
      <c r="A503" t="s">
        <v>11663</v>
      </c>
      <c r="B503" t="s">
        <v>11768</v>
      </c>
      <c r="C503" t="s">
        <v>927</v>
      </c>
      <c r="D503" t="s">
        <v>3052</v>
      </c>
      <c r="E503" t="s">
        <v>3053</v>
      </c>
      <c r="F503" t="s">
        <v>318</v>
      </c>
      <c r="G503" t="s">
        <v>319</v>
      </c>
      <c r="H503" t="s">
        <v>11818</v>
      </c>
      <c r="I503">
        <v>20</v>
      </c>
      <c r="J503">
        <v>5</v>
      </c>
      <c r="K503">
        <v>0</v>
      </c>
      <c r="L503">
        <v>6</v>
      </c>
      <c r="M503">
        <v>0</v>
      </c>
      <c r="N503">
        <v>0</v>
      </c>
      <c r="O503">
        <v>9</v>
      </c>
    </row>
    <row r="504" spans="1:15" x14ac:dyDescent="0.25">
      <c r="A504" t="s">
        <v>1353</v>
      </c>
      <c r="B504" t="s">
        <v>2927</v>
      </c>
      <c r="C504" t="s">
        <v>923</v>
      </c>
      <c r="D504" t="s">
        <v>3063</v>
      </c>
      <c r="E504" t="s">
        <v>3053</v>
      </c>
      <c r="F504" t="s">
        <v>318</v>
      </c>
      <c r="G504" t="s">
        <v>319</v>
      </c>
      <c r="H504" t="s">
        <v>3401</v>
      </c>
      <c r="I504">
        <v>22</v>
      </c>
      <c r="J504">
        <v>22</v>
      </c>
      <c r="K504">
        <v>0</v>
      </c>
      <c r="L504">
        <v>0</v>
      </c>
      <c r="M504">
        <v>0</v>
      </c>
      <c r="N504">
        <v>0</v>
      </c>
      <c r="O504">
        <v>0</v>
      </c>
    </row>
    <row r="505" spans="1:15" x14ac:dyDescent="0.25">
      <c r="A505" t="s">
        <v>1072</v>
      </c>
      <c r="B505" t="s">
        <v>2907</v>
      </c>
      <c r="C505" t="s">
        <v>927</v>
      </c>
      <c r="D505" t="s">
        <v>3052</v>
      </c>
      <c r="E505" t="s">
        <v>3053</v>
      </c>
      <c r="F505" t="s">
        <v>318</v>
      </c>
      <c r="G505" t="s">
        <v>319</v>
      </c>
      <c r="H505" t="s">
        <v>3402</v>
      </c>
      <c r="I505">
        <v>137</v>
      </c>
      <c r="J505">
        <v>136</v>
      </c>
      <c r="K505">
        <v>0</v>
      </c>
      <c r="L505">
        <v>0</v>
      </c>
      <c r="M505">
        <v>0</v>
      </c>
      <c r="N505">
        <v>0</v>
      </c>
      <c r="O505">
        <v>1</v>
      </c>
    </row>
    <row r="506" spans="1:15" x14ac:dyDescent="0.25">
      <c r="A506" t="s">
        <v>1373</v>
      </c>
      <c r="B506" t="s">
        <v>2510</v>
      </c>
      <c r="C506" t="s">
        <v>923</v>
      </c>
      <c r="D506" t="s">
        <v>3063</v>
      </c>
      <c r="E506" t="s">
        <v>3053</v>
      </c>
      <c r="F506" t="s">
        <v>318</v>
      </c>
      <c r="G506" t="s">
        <v>319</v>
      </c>
      <c r="H506" t="s">
        <v>3403</v>
      </c>
      <c r="I506">
        <v>32</v>
      </c>
      <c r="J506">
        <v>32</v>
      </c>
      <c r="K506">
        <v>0</v>
      </c>
      <c r="L506">
        <v>0</v>
      </c>
      <c r="M506">
        <v>0</v>
      </c>
      <c r="N506">
        <v>0</v>
      </c>
      <c r="O506">
        <v>0</v>
      </c>
    </row>
    <row r="507" spans="1:15" x14ac:dyDescent="0.25">
      <c r="A507" t="s">
        <v>1078</v>
      </c>
      <c r="B507" t="s">
        <v>1950</v>
      </c>
      <c r="C507" t="s">
        <v>923</v>
      </c>
      <c r="D507" t="s">
        <v>3063</v>
      </c>
      <c r="E507" t="s">
        <v>3053</v>
      </c>
      <c r="F507" t="s">
        <v>318</v>
      </c>
      <c r="G507" t="s">
        <v>319</v>
      </c>
      <c r="H507" t="s">
        <v>3404</v>
      </c>
      <c r="I507">
        <v>11</v>
      </c>
      <c r="J507">
        <v>0</v>
      </c>
      <c r="K507">
        <v>0</v>
      </c>
      <c r="L507">
        <v>11</v>
      </c>
      <c r="M507">
        <v>0</v>
      </c>
      <c r="N507">
        <v>0</v>
      </c>
      <c r="O507">
        <v>0</v>
      </c>
    </row>
    <row r="508" spans="1:15" x14ac:dyDescent="0.25">
      <c r="A508" t="s">
        <v>1380</v>
      </c>
      <c r="B508" t="s">
        <v>2664</v>
      </c>
      <c r="C508" t="s">
        <v>927</v>
      </c>
      <c r="D508" t="s">
        <v>3052</v>
      </c>
      <c r="E508" t="s">
        <v>3053</v>
      </c>
      <c r="F508" t="s">
        <v>318</v>
      </c>
      <c r="G508" t="s">
        <v>319</v>
      </c>
      <c r="H508" t="s">
        <v>3405</v>
      </c>
      <c r="I508">
        <v>1</v>
      </c>
      <c r="J508">
        <v>0</v>
      </c>
      <c r="K508">
        <v>0</v>
      </c>
      <c r="L508">
        <v>0</v>
      </c>
      <c r="M508">
        <v>0</v>
      </c>
      <c r="N508">
        <v>0</v>
      </c>
      <c r="O508">
        <v>1</v>
      </c>
    </row>
    <row r="509" spans="1:15" x14ac:dyDescent="0.25">
      <c r="A509" t="s">
        <v>1391</v>
      </c>
      <c r="B509" t="s">
        <v>2421</v>
      </c>
      <c r="C509" t="s">
        <v>923</v>
      </c>
      <c r="D509" t="s">
        <v>3063</v>
      </c>
      <c r="E509" t="s">
        <v>3053</v>
      </c>
      <c r="F509" t="s">
        <v>318</v>
      </c>
      <c r="G509" t="s">
        <v>319</v>
      </c>
      <c r="H509" t="s">
        <v>3406</v>
      </c>
      <c r="I509">
        <v>83</v>
      </c>
      <c r="J509">
        <v>83</v>
      </c>
      <c r="K509">
        <v>0</v>
      </c>
      <c r="L509">
        <v>0</v>
      </c>
      <c r="M509">
        <v>0</v>
      </c>
      <c r="N509">
        <v>0</v>
      </c>
      <c r="O509">
        <v>0</v>
      </c>
    </row>
    <row r="510" spans="1:15" x14ac:dyDescent="0.25">
      <c r="A510" t="s">
        <v>1797</v>
      </c>
      <c r="B510" t="s">
        <v>2457</v>
      </c>
      <c r="C510" t="s">
        <v>923</v>
      </c>
      <c r="D510" t="s">
        <v>3063</v>
      </c>
      <c r="E510" t="s">
        <v>3053</v>
      </c>
      <c r="F510" t="s">
        <v>320</v>
      </c>
      <c r="G510" t="s">
        <v>321</v>
      </c>
      <c r="H510" t="s">
        <v>3407</v>
      </c>
      <c r="I510">
        <v>49</v>
      </c>
      <c r="J510">
        <v>49</v>
      </c>
      <c r="K510">
        <v>0</v>
      </c>
      <c r="L510">
        <v>0</v>
      </c>
      <c r="M510">
        <v>0</v>
      </c>
      <c r="N510">
        <v>0</v>
      </c>
      <c r="O510">
        <v>0</v>
      </c>
    </row>
    <row r="511" spans="1:15" x14ac:dyDescent="0.25">
      <c r="A511" t="s">
        <v>974</v>
      </c>
      <c r="B511" t="s">
        <v>2949</v>
      </c>
      <c r="C511" t="s">
        <v>923</v>
      </c>
      <c r="D511" t="s">
        <v>3063</v>
      </c>
      <c r="E511" t="s">
        <v>3053</v>
      </c>
      <c r="F511" t="s">
        <v>320</v>
      </c>
      <c r="G511" t="s">
        <v>321</v>
      </c>
      <c r="H511" t="s">
        <v>3408</v>
      </c>
      <c r="I511">
        <v>246</v>
      </c>
      <c r="J511">
        <v>0</v>
      </c>
      <c r="K511">
        <v>1</v>
      </c>
      <c r="L511">
        <v>245</v>
      </c>
      <c r="M511">
        <v>0</v>
      </c>
      <c r="N511">
        <v>0</v>
      </c>
      <c r="O511">
        <v>0</v>
      </c>
    </row>
    <row r="512" spans="1:15" x14ac:dyDescent="0.25">
      <c r="A512" t="s">
        <v>926</v>
      </c>
      <c r="B512" t="s">
        <v>2923</v>
      </c>
      <c r="C512" t="s">
        <v>927</v>
      </c>
      <c r="D512" t="s">
        <v>3052</v>
      </c>
      <c r="E512" t="s">
        <v>3053</v>
      </c>
      <c r="F512" t="s">
        <v>320</v>
      </c>
      <c r="G512" t="s">
        <v>321</v>
      </c>
      <c r="H512" t="s">
        <v>3409</v>
      </c>
      <c r="I512">
        <v>36</v>
      </c>
      <c r="J512">
        <v>0</v>
      </c>
      <c r="K512">
        <v>0</v>
      </c>
      <c r="L512">
        <v>22</v>
      </c>
      <c r="M512">
        <v>0</v>
      </c>
      <c r="N512">
        <v>0</v>
      </c>
      <c r="O512">
        <v>14</v>
      </c>
    </row>
    <row r="513" spans="1:15" x14ac:dyDescent="0.25">
      <c r="A513" t="s">
        <v>1798</v>
      </c>
      <c r="B513" t="s">
        <v>2429</v>
      </c>
      <c r="C513" t="s">
        <v>923</v>
      </c>
      <c r="D513" t="s">
        <v>3063</v>
      </c>
      <c r="E513" t="s">
        <v>3053</v>
      </c>
      <c r="F513" t="s">
        <v>320</v>
      </c>
      <c r="G513" t="s">
        <v>321</v>
      </c>
      <c r="H513" t="s">
        <v>3410</v>
      </c>
      <c r="I513">
        <v>33</v>
      </c>
      <c r="J513">
        <v>33</v>
      </c>
      <c r="K513">
        <v>0</v>
      </c>
      <c r="L513">
        <v>0</v>
      </c>
      <c r="M513">
        <v>0</v>
      </c>
      <c r="N513">
        <v>0</v>
      </c>
      <c r="O513">
        <v>0</v>
      </c>
    </row>
    <row r="514" spans="1:15" x14ac:dyDescent="0.25">
      <c r="A514" t="s">
        <v>929</v>
      </c>
      <c r="B514" t="s">
        <v>2999</v>
      </c>
      <c r="C514" t="s">
        <v>927</v>
      </c>
      <c r="D514" t="s">
        <v>3052</v>
      </c>
      <c r="E514" t="s">
        <v>3053</v>
      </c>
      <c r="F514" t="s">
        <v>320</v>
      </c>
      <c r="G514" t="s">
        <v>321</v>
      </c>
      <c r="H514" t="s">
        <v>3411</v>
      </c>
      <c r="I514">
        <v>1005</v>
      </c>
      <c r="J514">
        <v>0</v>
      </c>
      <c r="K514">
        <v>0</v>
      </c>
      <c r="L514">
        <v>0</v>
      </c>
      <c r="M514">
        <v>898</v>
      </c>
      <c r="N514">
        <v>0</v>
      </c>
      <c r="O514">
        <v>107</v>
      </c>
    </row>
    <row r="515" spans="1:15" x14ac:dyDescent="0.25">
      <c r="A515" t="s">
        <v>978</v>
      </c>
      <c r="B515" t="s">
        <v>1999</v>
      </c>
      <c r="C515" t="s">
        <v>923</v>
      </c>
      <c r="D515" t="s">
        <v>3063</v>
      </c>
      <c r="E515" t="s">
        <v>3053</v>
      </c>
      <c r="F515" t="s">
        <v>320</v>
      </c>
      <c r="G515" t="s">
        <v>321</v>
      </c>
      <c r="H515" t="s">
        <v>10848</v>
      </c>
      <c r="I515">
        <v>64</v>
      </c>
      <c r="J515">
        <v>0</v>
      </c>
      <c r="K515">
        <v>0</v>
      </c>
      <c r="L515">
        <v>64</v>
      </c>
      <c r="M515">
        <v>0</v>
      </c>
      <c r="N515">
        <v>0</v>
      </c>
      <c r="O515">
        <v>0</v>
      </c>
    </row>
    <row r="516" spans="1:15" x14ac:dyDescent="0.25">
      <c r="A516" t="s">
        <v>1703</v>
      </c>
      <c r="B516" t="s">
        <v>1992</v>
      </c>
      <c r="C516" t="s">
        <v>923</v>
      </c>
      <c r="D516" t="s">
        <v>3063</v>
      </c>
      <c r="E516" t="s">
        <v>3053</v>
      </c>
      <c r="F516" t="s">
        <v>320</v>
      </c>
      <c r="G516" t="s">
        <v>321</v>
      </c>
      <c r="H516" t="s">
        <v>3412</v>
      </c>
      <c r="I516">
        <v>272</v>
      </c>
      <c r="J516">
        <v>0</v>
      </c>
      <c r="K516">
        <v>0</v>
      </c>
      <c r="L516">
        <v>272</v>
      </c>
      <c r="M516">
        <v>0</v>
      </c>
      <c r="N516">
        <v>0</v>
      </c>
      <c r="O516">
        <v>0</v>
      </c>
    </row>
    <row r="517" spans="1:15" x14ac:dyDescent="0.25">
      <c r="A517" t="s">
        <v>9790</v>
      </c>
      <c r="B517" t="s">
        <v>1977</v>
      </c>
      <c r="C517" t="s">
        <v>923</v>
      </c>
      <c r="D517" t="s">
        <v>3063</v>
      </c>
      <c r="E517" t="s">
        <v>3053</v>
      </c>
      <c r="F517" t="s">
        <v>320</v>
      </c>
      <c r="G517" t="s">
        <v>321</v>
      </c>
      <c r="H517" t="s">
        <v>11819</v>
      </c>
      <c r="I517">
        <v>29</v>
      </c>
      <c r="J517">
        <v>0</v>
      </c>
      <c r="K517">
        <v>0</v>
      </c>
      <c r="L517">
        <v>29</v>
      </c>
      <c r="M517">
        <v>0</v>
      </c>
      <c r="N517">
        <v>1</v>
      </c>
      <c r="O517">
        <v>0</v>
      </c>
    </row>
    <row r="518" spans="1:15" x14ac:dyDescent="0.25">
      <c r="A518" t="s">
        <v>1799</v>
      </c>
      <c r="B518" t="s">
        <v>2374</v>
      </c>
      <c r="C518" t="s">
        <v>923</v>
      </c>
      <c r="D518" t="s">
        <v>3063</v>
      </c>
      <c r="E518" t="s">
        <v>3053</v>
      </c>
      <c r="F518" t="s">
        <v>320</v>
      </c>
      <c r="G518" t="s">
        <v>321</v>
      </c>
      <c r="H518" t="s">
        <v>3413</v>
      </c>
      <c r="I518">
        <v>77</v>
      </c>
      <c r="J518">
        <v>77</v>
      </c>
      <c r="K518">
        <v>0</v>
      </c>
      <c r="L518">
        <v>0</v>
      </c>
      <c r="M518">
        <v>0</v>
      </c>
      <c r="N518">
        <v>0</v>
      </c>
      <c r="O518">
        <v>0</v>
      </c>
    </row>
    <row r="519" spans="1:15" x14ac:dyDescent="0.25">
      <c r="A519" t="s">
        <v>1800</v>
      </c>
      <c r="B519" t="s">
        <v>2735</v>
      </c>
      <c r="C519" t="s">
        <v>923</v>
      </c>
      <c r="D519" t="s">
        <v>3063</v>
      </c>
      <c r="E519" t="s">
        <v>3053</v>
      </c>
      <c r="F519" t="s">
        <v>320</v>
      </c>
      <c r="G519" t="s">
        <v>321</v>
      </c>
      <c r="H519" t="s">
        <v>3414</v>
      </c>
      <c r="I519">
        <v>217</v>
      </c>
      <c r="J519">
        <v>217</v>
      </c>
      <c r="K519">
        <v>0</v>
      </c>
      <c r="L519">
        <v>0</v>
      </c>
      <c r="M519">
        <v>0</v>
      </c>
      <c r="N519">
        <v>0</v>
      </c>
      <c r="O519">
        <v>0</v>
      </c>
    </row>
    <row r="520" spans="1:15" x14ac:dyDescent="0.25">
      <c r="A520" t="s">
        <v>1801</v>
      </c>
      <c r="B520" t="s">
        <v>2790</v>
      </c>
      <c r="C520" t="s">
        <v>923</v>
      </c>
      <c r="D520" t="s">
        <v>3063</v>
      </c>
      <c r="E520" t="s">
        <v>3053</v>
      </c>
      <c r="F520" t="s">
        <v>320</v>
      </c>
      <c r="G520" t="s">
        <v>321</v>
      </c>
      <c r="H520" t="s">
        <v>3415</v>
      </c>
      <c r="I520">
        <v>42</v>
      </c>
      <c r="J520">
        <v>8</v>
      </c>
      <c r="K520">
        <v>0</v>
      </c>
      <c r="L520">
        <v>0</v>
      </c>
      <c r="M520">
        <v>34</v>
      </c>
      <c r="N520">
        <v>0</v>
      </c>
      <c r="O520">
        <v>0</v>
      </c>
    </row>
    <row r="521" spans="1:15" x14ac:dyDescent="0.25">
      <c r="A521" t="s">
        <v>1094</v>
      </c>
      <c r="B521" t="s">
        <v>2742</v>
      </c>
      <c r="C521" t="s">
        <v>923</v>
      </c>
      <c r="D521" t="s">
        <v>3063</v>
      </c>
      <c r="E521" t="s">
        <v>3053</v>
      </c>
      <c r="F521" t="s">
        <v>320</v>
      </c>
      <c r="G521" t="s">
        <v>321</v>
      </c>
      <c r="H521" t="s">
        <v>3416</v>
      </c>
      <c r="I521">
        <v>15</v>
      </c>
      <c r="J521">
        <v>0</v>
      </c>
      <c r="K521">
        <v>0</v>
      </c>
      <c r="L521">
        <v>15</v>
      </c>
      <c r="M521">
        <v>0</v>
      </c>
      <c r="N521">
        <v>0</v>
      </c>
      <c r="O521">
        <v>0</v>
      </c>
    </row>
    <row r="522" spans="1:15" x14ac:dyDescent="0.25">
      <c r="A522" t="s">
        <v>1802</v>
      </c>
      <c r="B522" t="s">
        <v>2754</v>
      </c>
      <c r="C522" t="s">
        <v>927</v>
      </c>
      <c r="D522" t="s">
        <v>3052</v>
      </c>
      <c r="E522" t="s">
        <v>3053</v>
      </c>
      <c r="F522" t="s">
        <v>320</v>
      </c>
      <c r="G522" t="s">
        <v>321</v>
      </c>
      <c r="H522" t="s">
        <v>3417</v>
      </c>
      <c r="I522">
        <v>86</v>
      </c>
      <c r="J522">
        <v>55</v>
      </c>
      <c r="K522">
        <v>0</v>
      </c>
      <c r="L522">
        <v>0</v>
      </c>
      <c r="M522">
        <v>0</v>
      </c>
      <c r="N522">
        <v>0</v>
      </c>
      <c r="O522">
        <v>31</v>
      </c>
    </row>
    <row r="523" spans="1:15" x14ac:dyDescent="0.25">
      <c r="A523" t="s">
        <v>1803</v>
      </c>
      <c r="B523" t="s">
        <v>2453</v>
      </c>
      <c r="C523" t="s">
        <v>923</v>
      </c>
      <c r="D523" t="s">
        <v>3063</v>
      </c>
      <c r="E523" t="s">
        <v>3053</v>
      </c>
      <c r="F523" t="s">
        <v>320</v>
      </c>
      <c r="G523" t="s">
        <v>321</v>
      </c>
      <c r="H523" t="s">
        <v>3418</v>
      </c>
      <c r="I523">
        <v>34</v>
      </c>
      <c r="J523">
        <v>34</v>
      </c>
      <c r="K523">
        <v>0</v>
      </c>
      <c r="L523">
        <v>0</v>
      </c>
      <c r="M523">
        <v>0</v>
      </c>
      <c r="N523">
        <v>0</v>
      </c>
      <c r="O523">
        <v>0</v>
      </c>
    </row>
    <row r="524" spans="1:15" x14ac:dyDescent="0.25">
      <c r="A524" t="s">
        <v>1804</v>
      </c>
      <c r="B524" t="s">
        <v>2688</v>
      </c>
      <c r="C524" t="s">
        <v>927</v>
      </c>
      <c r="D524" t="s">
        <v>3052</v>
      </c>
      <c r="E524" t="s">
        <v>3053</v>
      </c>
      <c r="F524" t="s">
        <v>320</v>
      </c>
      <c r="G524" t="s">
        <v>321</v>
      </c>
      <c r="H524" t="s">
        <v>3419</v>
      </c>
      <c r="I524">
        <v>2627</v>
      </c>
      <c r="J524">
        <v>2336</v>
      </c>
      <c r="K524">
        <v>0</v>
      </c>
      <c r="L524">
        <v>9</v>
      </c>
      <c r="M524">
        <v>203</v>
      </c>
      <c r="N524">
        <v>14</v>
      </c>
      <c r="O524">
        <v>79</v>
      </c>
    </row>
    <row r="525" spans="1:15" x14ac:dyDescent="0.25">
      <c r="A525" t="s">
        <v>1805</v>
      </c>
      <c r="B525" t="s">
        <v>2357</v>
      </c>
      <c r="C525" t="s">
        <v>923</v>
      </c>
      <c r="D525" t="s">
        <v>3063</v>
      </c>
      <c r="E525" t="s">
        <v>3053</v>
      </c>
      <c r="F525" t="s">
        <v>320</v>
      </c>
      <c r="G525" t="s">
        <v>321</v>
      </c>
      <c r="H525" t="s">
        <v>3420</v>
      </c>
      <c r="I525">
        <v>313</v>
      </c>
      <c r="J525">
        <v>313</v>
      </c>
      <c r="K525">
        <v>0</v>
      </c>
      <c r="L525">
        <v>0</v>
      </c>
      <c r="M525">
        <v>0</v>
      </c>
      <c r="N525">
        <v>0</v>
      </c>
      <c r="O525">
        <v>0</v>
      </c>
    </row>
    <row r="526" spans="1:15" x14ac:dyDescent="0.25">
      <c r="A526" t="s">
        <v>1807</v>
      </c>
      <c r="B526" t="s">
        <v>2839</v>
      </c>
      <c r="C526" t="s">
        <v>923</v>
      </c>
      <c r="D526" t="s">
        <v>3063</v>
      </c>
      <c r="E526" t="s">
        <v>3053</v>
      </c>
      <c r="F526" t="s">
        <v>320</v>
      </c>
      <c r="G526" t="s">
        <v>321</v>
      </c>
      <c r="H526" t="s">
        <v>3421</v>
      </c>
      <c r="I526">
        <v>143</v>
      </c>
      <c r="J526">
        <v>0</v>
      </c>
      <c r="K526">
        <v>0</v>
      </c>
      <c r="L526">
        <v>0</v>
      </c>
      <c r="M526">
        <v>143</v>
      </c>
      <c r="N526">
        <v>0</v>
      </c>
      <c r="O526">
        <v>0</v>
      </c>
    </row>
    <row r="527" spans="1:15" x14ac:dyDescent="0.25">
      <c r="A527" t="s">
        <v>983</v>
      </c>
      <c r="B527" t="s">
        <v>2069</v>
      </c>
      <c r="C527" t="s">
        <v>927</v>
      </c>
      <c r="D527" t="s">
        <v>3052</v>
      </c>
      <c r="E527" t="s">
        <v>3053</v>
      </c>
      <c r="F527" t="s">
        <v>320</v>
      </c>
      <c r="G527" t="s">
        <v>321</v>
      </c>
      <c r="H527" t="s">
        <v>3422</v>
      </c>
      <c r="I527">
        <v>2251</v>
      </c>
      <c r="J527">
        <v>1865</v>
      </c>
      <c r="K527">
        <v>0</v>
      </c>
      <c r="L527">
        <v>17</v>
      </c>
      <c r="M527">
        <v>28</v>
      </c>
      <c r="N527">
        <v>1</v>
      </c>
      <c r="O527">
        <v>341</v>
      </c>
    </row>
    <row r="528" spans="1:15" x14ac:dyDescent="0.25">
      <c r="A528" t="s">
        <v>1808</v>
      </c>
      <c r="B528" t="s">
        <v>3032</v>
      </c>
      <c r="C528" t="s">
        <v>927</v>
      </c>
      <c r="D528" t="s">
        <v>3052</v>
      </c>
      <c r="E528" t="s">
        <v>3053</v>
      </c>
      <c r="F528" t="s">
        <v>320</v>
      </c>
      <c r="G528" t="s">
        <v>321</v>
      </c>
      <c r="H528" t="s">
        <v>3423</v>
      </c>
      <c r="I528">
        <v>14</v>
      </c>
      <c r="J528">
        <v>9</v>
      </c>
      <c r="K528">
        <v>0</v>
      </c>
      <c r="L528">
        <v>0</v>
      </c>
      <c r="M528">
        <v>0</v>
      </c>
      <c r="N528">
        <v>0</v>
      </c>
      <c r="O528">
        <v>5</v>
      </c>
    </row>
    <row r="529" spans="1:15" x14ac:dyDescent="0.25">
      <c r="A529" t="s">
        <v>1715</v>
      </c>
      <c r="B529" t="s">
        <v>2136</v>
      </c>
      <c r="C529" t="s">
        <v>927</v>
      </c>
      <c r="D529" t="s">
        <v>3052</v>
      </c>
      <c r="E529" t="s">
        <v>3053</v>
      </c>
      <c r="F529" t="s">
        <v>320</v>
      </c>
      <c r="G529" t="s">
        <v>321</v>
      </c>
      <c r="H529" t="s">
        <v>3424</v>
      </c>
      <c r="I529">
        <v>5666</v>
      </c>
      <c r="J529">
        <v>5042</v>
      </c>
      <c r="K529">
        <v>0</v>
      </c>
      <c r="L529">
        <v>102</v>
      </c>
      <c r="M529">
        <v>113</v>
      </c>
      <c r="N529">
        <v>46</v>
      </c>
      <c r="O529">
        <v>409</v>
      </c>
    </row>
    <row r="530" spans="1:15" x14ac:dyDescent="0.25">
      <c r="A530" t="s">
        <v>933</v>
      </c>
      <c r="B530" t="s">
        <v>2106</v>
      </c>
      <c r="C530" t="s">
        <v>927</v>
      </c>
      <c r="D530" t="s">
        <v>3052</v>
      </c>
      <c r="E530" t="s">
        <v>3053</v>
      </c>
      <c r="F530" t="s">
        <v>320</v>
      </c>
      <c r="G530" t="s">
        <v>321</v>
      </c>
      <c r="H530" t="s">
        <v>3425</v>
      </c>
      <c r="I530">
        <v>2233</v>
      </c>
      <c r="J530">
        <v>1601</v>
      </c>
      <c r="K530">
        <v>0</v>
      </c>
      <c r="L530">
        <v>84</v>
      </c>
      <c r="M530">
        <v>178</v>
      </c>
      <c r="N530">
        <v>11</v>
      </c>
      <c r="O530">
        <v>370</v>
      </c>
    </row>
    <row r="531" spans="1:15" x14ac:dyDescent="0.25">
      <c r="A531" t="s">
        <v>991</v>
      </c>
      <c r="B531" t="s">
        <v>1976</v>
      </c>
      <c r="C531" t="s">
        <v>923</v>
      </c>
      <c r="D531" t="s">
        <v>3063</v>
      </c>
      <c r="E531" t="s">
        <v>3053</v>
      </c>
      <c r="F531" t="s">
        <v>320</v>
      </c>
      <c r="G531" t="s">
        <v>321</v>
      </c>
      <c r="H531" t="s">
        <v>3426</v>
      </c>
      <c r="I531">
        <v>12</v>
      </c>
      <c r="J531">
        <v>0</v>
      </c>
      <c r="K531">
        <v>0</v>
      </c>
      <c r="L531">
        <v>12</v>
      </c>
      <c r="M531">
        <v>0</v>
      </c>
      <c r="N531">
        <v>0</v>
      </c>
      <c r="O531">
        <v>0</v>
      </c>
    </row>
    <row r="532" spans="1:15" x14ac:dyDescent="0.25">
      <c r="A532" t="s">
        <v>996</v>
      </c>
      <c r="B532" t="s">
        <v>1952</v>
      </c>
      <c r="C532" t="s">
        <v>923</v>
      </c>
      <c r="D532" t="s">
        <v>3063</v>
      </c>
      <c r="E532" t="s">
        <v>3053</v>
      </c>
      <c r="F532" t="s">
        <v>320</v>
      </c>
      <c r="G532" t="s">
        <v>321</v>
      </c>
      <c r="H532" t="s">
        <v>3427</v>
      </c>
      <c r="I532">
        <v>6</v>
      </c>
      <c r="J532">
        <v>0</v>
      </c>
      <c r="K532">
        <v>0</v>
      </c>
      <c r="L532">
        <v>6</v>
      </c>
      <c r="M532">
        <v>0</v>
      </c>
      <c r="N532">
        <v>0</v>
      </c>
      <c r="O532">
        <v>0</v>
      </c>
    </row>
    <row r="533" spans="1:15" x14ac:dyDescent="0.25">
      <c r="A533" t="s">
        <v>10623</v>
      </c>
      <c r="B533" t="s">
        <v>1963</v>
      </c>
      <c r="C533" t="s">
        <v>923</v>
      </c>
      <c r="D533" t="s">
        <v>3063</v>
      </c>
      <c r="E533" t="s">
        <v>3053</v>
      </c>
      <c r="F533" t="s">
        <v>320</v>
      </c>
      <c r="G533" t="s">
        <v>321</v>
      </c>
      <c r="H533" t="s">
        <v>10849</v>
      </c>
      <c r="I533">
        <v>280</v>
      </c>
      <c r="J533">
        <v>0</v>
      </c>
      <c r="K533">
        <v>280</v>
      </c>
      <c r="L533">
        <v>0</v>
      </c>
      <c r="M533">
        <v>0</v>
      </c>
      <c r="N533">
        <v>0</v>
      </c>
      <c r="O533">
        <v>0</v>
      </c>
    </row>
    <row r="534" spans="1:15" x14ac:dyDescent="0.25">
      <c r="A534" t="s">
        <v>1729</v>
      </c>
      <c r="B534" t="s">
        <v>2943</v>
      </c>
      <c r="C534" t="s">
        <v>923</v>
      </c>
      <c r="D534" t="s">
        <v>3063</v>
      </c>
      <c r="E534" t="s">
        <v>3053</v>
      </c>
      <c r="F534" t="s">
        <v>320</v>
      </c>
      <c r="G534" t="s">
        <v>321</v>
      </c>
      <c r="H534" t="s">
        <v>3428</v>
      </c>
      <c r="I534">
        <v>48</v>
      </c>
      <c r="J534">
        <v>48</v>
      </c>
      <c r="K534">
        <v>0</v>
      </c>
      <c r="L534">
        <v>0</v>
      </c>
      <c r="M534">
        <v>0</v>
      </c>
      <c r="N534">
        <v>0</v>
      </c>
      <c r="O534">
        <v>0</v>
      </c>
    </row>
    <row r="535" spans="1:15" x14ac:dyDescent="0.25">
      <c r="A535" t="s">
        <v>1816</v>
      </c>
      <c r="B535" t="s">
        <v>2252</v>
      </c>
      <c r="C535" t="s">
        <v>923</v>
      </c>
      <c r="D535" t="s">
        <v>3063</v>
      </c>
      <c r="E535" t="s">
        <v>3053</v>
      </c>
      <c r="F535" t="s">
        <v>320</v>
      </c>
      <c r="G535" t="s">
        <v>321</v>
      </c>
      <c r="H535" t="s">
        <v>3429</v>
      </c>
      <c r="I535">
        <v>32</v>
      </c>
      <c r="J535">
        <v>0</v>
      </c>
      <c r="K535">
        <v>0</v>
      </c>
      <c r="L535">
        <v>0</v>
      </c>
      <c r="M535">
        <v>32</v>
      </c>
      <c r="N535">
        <v>0</v>
      </c>
      <c r="O535">
        <v>0</v>
      </c>
    </row>
    <row r="536" spans="1:15" x14ac:dyDescent="0.25">
      <c r="A536" t="s">
        <v>11660</v>
      </c>
      <c r="B536" t="s">
        <v>2041</v>
      </c>
      <c r="C536" t="s">
        <v>923</v>
      </c>
      <c r="D536" t="s">
        <v>3063</v>
      </c>
      <c r="E536" t="s">
        <v>3053</v>
      </c>
      <c r="F536" t="s">
        <v>320</v>
      </c>
      <c r="G536" t="s">
        <v>321</v>
      </c>
      <c r="H536" t="s">
        <v>11820</v>
      </c>
      <c r="I536">
        <v>6</v>
      </c>
      <c r="J536">
        <v>0</v>
      </c>
      <c r="K536">
        <v>0</v>
      </c>
      <c r="L536">
        <v>6</v>
      </c>
      <c r="M536">
        <v>0</v>
      </c>
      <c r="N536">
        <v>0</v>
      </c>
      <c r="O536">
        <v>0</v>
      </c>
    </row>
    <row r="537" spans="1:15" x14ac:dyDescent="0.25">
      <c r="A537" t="s">
        <v>1818</v>
      </c>
      <c r="B537" t="s">
        <v>2032</v>
      </c>
      <c r="C537" t="s">
        <v>923</v>
      </c>
      <c r="D537" t="s">
        <v>3063</v>
      </c>
      <c r="E537" t="s">
        <v>3053</v>
      </c>
      <c r="F537" t="s">
        <v>320</v>
      </c>
      <c r="G537" t="s">
        <v>321</v>
      </c>
      <c r="H537" t="s">
        <v>3430</v>
      </c>
      <c r="I537">
        <v>1</v>
      </c>
      <c r="J537">
        <v>1</v>
      </c>
      <c r="K537">
        <v>0</v>
      </c>
      <c r="L537">
        <v>0</v>
      </c>
      <c r="M537">
        <v>0</v>
      </c>
      <c r="N537">
        <v>0</v>
      </c>
      <c r="O537">
        <v>0</v>
      </c>
    </row>
    <row r="538" spans="1:15" x14ac:dyDescent="0.25">
      <c r="A538" t="s">
        <v>1416</v>
      </c>
      <c r="B538" t="s">
        <v>2029</v>
      </c>
      <c r="C538" t="s">
        <v>923</v>
      </c>
      <c r="D538" t="s">
        <v>3063</v>
      </c>
      <c r="E538" t="s">
        <v>3053</v>
      </c>
      <c r="F538" t="s">
        <v>320</v>
      </c>
      <c r="G538" t="s">
        <v>321</v>
      </c>
      <c r="H538" t="s">
        <v>11821</v>
      </c>
      <c r="I538">
        <v>7</v>
      </c>
      <c r="J538">
        <v>0</v>
      </c>
      <c r="K538">
        <v>0</v>
      </c>
      <c r="L538">
        <v>7</v>
      </c>
      <c r="M538">
        <v>0</v>
      </c>
      <c r="N538">
        <v>0</v>
      </c>
      <c r="O538">
        <v>0</v>
      </c>
    </row>
    <row r="539" spans="1:15" x14ac:dyDescent="0.25">
      <c r="A539" t="s">
        <v>1000</v>
      </c>
      <c r="B539" t="s">
        <v>1984</v>
      </c>
      <c r="C539" t="s">
        <v>923</v>
      </c>
      <c r="D539" t="s">
        <v>3063</v>
      </c>
      <c r="E539" t="s">
        <v>3053</v>
      </c>
      <c r="F539" t="s">
        <v>320</v>
      </c>
      <c r="G539" t="s">
        <v>321</v>
      </c>
      <c r="H539" t="s">
        <v>3431</v>
      </c>
      <c r="I539">
        <v>1</v>
      </c>
      <c r="J539">
        <v>0</v>
      </c>
      <c r="K539">
        <v>0</v>
      </c>
      <c r="L539">
        <v>1</v>
      </c>
      <c r="M539">
        <v>0</v>
      </c>
      <c r="N539">
        <v>0</v>
      </c>
      <c r="O539">
        <v>0</v>
      </c>
    </row>
    <row r="540" spans="1:15" x14ac:dyDescent="0.25">
      <c r="A540" t="s">
        <v>1819</v>
      </c>
      <c r="B540" t="s">
        <v>2275</v>
      </c>
      <c r="C540" t="s">
        <v>923</v>
      </c>
      <c r="D540" t="s">
        <v>3063</v>
      </c>
      <c r="E540" t="s">
        <v>3053</v>
      </c>
      <c r="F540" t="s">
        <v>320</v>
      </c>
      <c r="G540" t="s">
        <v>321</v>
      </c>
      <c r="H540" t="s">
        <v>3432</v>
      </c>
      <c r="I540">
        <v>33</v>
      </c>
      <c r="J540">
        <v>0</v>
      </c>
      <c r="K540">
        <v>0</v>
      </c>
      <c r="L540">
        <v>33</v>
      </c>
      <c r="M540">
        <v>0</v>
      </c>
      <c r="N540">
        <v>0</v>
      </c>
      <c r="O540">
        <v>0</v>
      </c>
    </row>
    <row r="541" spans="1:15" x14ac:dyDescent="0.25">
      <c r="A541" t="s">
        <v>10638</v>
      </c>
      <c r="B541" t="s">
        <v>2057</v>
      </c>
      <c r="C541" t="s">
        <v>927</v>
      </c>
      <c r="D541" t="s">
        <v>3052</v>
      </c>
      <c r="E541" t="s">
        <v>3053</v>
      </c>
      <c r="F541" t="s">
        <v>320</v>
      </c>
      <c r="G541" t="s">
        <v>321</v>
      </c>
      <c r="H541" t="s">
        <v>10850</v>
      </c>
      <c r="I541">
        <v>48</v>
      </c>
      <c r="J541">
        <v>0</v>
      </c>
      <c r="K541">
        <v>0</v>
      </c>
      <c r="L541">
        <v>48</v>
      </c>
      <c r="M541">
        <v>0</v>
      </c>
      <c r="N541">
        <v>0</v>
      </c>
      <c r="O541">
        <v>0</v>
      </c>
    </row>
    <row r="542" spans="1:15" x14ac:dyDescent="0.25">
      <c r="A542" t="s">
        <v>10643</v>
      </c>
      <c r="B542" t="s">
        <v>2987</v>
      </c>
      <c r="C542" t="s">
        <v>927</v>
      </c>
      <c r="D542" t="s">
        <v>3052</v>
      </c>
      <c r="E542" t="s">
        <v>3053</v>
      </c>
      <c r="F542" t="s">
        <v>320</v>
      </c>
      <c r="G542" t="s">
        <v>321</v>
      </c>
      <c r="H542" t="s">
        <v>10851</v>
      </c>
      <c r="I542">
        <v>2117</v>
      </c>
      <c r="J542">
        <v>1707</v>
      </c>
      <c r="K542">
        <v>0</v>
      </c>
      <c r="L542">
        <v>184</v>
      </c>
      <c r="M542">
        <v>157</v>
      </c>
      <c r="N542">
        <v>24</v>
      </c>
      <c r="O542">
        <v>69</v>
      </c>
    </row>
    <row r="543" spans="1:15" x14ac:dyDescent="0.25">
      <c r="A543" t="s">
        <v>1008</v>
      </c>
      <c r="B543" t="s">
        <v>2928</v>
      </c>
      <c r="C543" t="s">
        <v>927</v>
      </c>
      <c r="D543" t="s">
        <v>3052</v>
      </c>
      <c r="E543" t="s">
        <v>3053</v>
      </c>
      <c r="F543" t="s">
        <v>320</v>
      </c>
      <c r="G543" t="s">
        <v>321</v>
      </c>
      <c r="H543" t="s">
        <v>3433</v>
      </c>
      <c r="I543">
        <v>51</v>
      </c>
      <c r="J543">
        <v>24</v>
      </c>
      <c r="K543">
        <v>0</v>
      </c>
      <c r="L543">
        <v>27</v>
      </c>
      <c r="M543">
        <v>0</v>
      </c>
      <c r="N543">
        <v>3</v>
      </c>
      <c r="O543">
        <v>0</v>
      </c>
    </row>
    <row r="544" spans="1:15" x14ac:dyDescent="0.25">
      <c r="A544" t="s">
        <v>1009</v>
      </c>
      <c r="B544" t="s">
        <v>1958</v>
      </c>
      <c r="C544" t="s">
        <v>923</v>
      </c>
      <c r="D544" t="s">
        <v>3063</v>
      </c>
      <c r="E544" t="s">
        <v>3053</v>
      </c>
      <c r="F544" t="s">
        <v>320</v>
      </c>
      <c r="G544" t="s">
        <v>321</v>
      </c>
      <c r="H544" t="s">
        <v>10086</v>
      </c>
      <c r="I544">
        <v>11</v>
      </c>
      <c r="J544">
        <v>0</v>
      </c>
      <c r="K544">
        <v>0</v>
      </c>
      <c r="L544">
        <v>11</v>
      </c>
      <c r="M544">
        <v>0</v>
      </c>
      <c r="N544">
        <v>0</v>
      </c>
      <c r="O544">
        <v>0</v>
      </c>
    </row>
    <row r="545" spans="1:15" x14ac:dyDescent="0.25">
      <c r="A545" t="s">
        <v>1822</v>
      </c>
      <c r="B545" t="s">
        <v>2040</v>
      </c>
      <c r="C545" t="s">
        <v>923</v>
      </c>
      <c r="D545" t="s">
        <v>3063</v>
      </c>
      <c r="E545" t="s">
        <v>3053</v>
      </c>
      <c r="F545" t="s">
        <v>320</v>
      </c>
      <c r="G545" t="s">
        <v>321</v>
      </c>
      <c r="H545" t="s">
        <v>3434</v>
      </c>
      <c r="I545">
        <v>218</v>
      </c>
      <c r="J545">
        <v>85</v>
      </c>
      <c r="K545">
        <v>0</v>
      </c>
      <c r="L545">
        <v>133</v>
      </c>
      <c r="M545">
        <v>0</v>
      </c>
      <c r="N545">
        <v>0</v>
      </c>
      <c r="O545">
        <v>0</v>
      </c>
    </row>
    <row r="546" spans="1:15" x14ac:dyDescent="0.25">
      <c r="A546" t="s">
        <v>1823</v>
      </c>
      <c r="B546" t="s">
        <v>1955</v>
      </c>
      <c r="C546" t="s">
        <v>923</v>
      </c>
      <c r="D546" t="s">
        <v>3063</v>
      </c>
      <c r="E546" t="s">
        <v>3053</v>
      </c>
      <c r="F546" t="s">
        <v>320</v>
      </c>
      <c r="G546" t="s">
        <v>321</v>
      </c>
      <c r="H546" t="s">
        <v>3435</v>
      </c>
      <c r="I546">
        <v>585</v>
      </c>
      <c r="J546">
        <v>0</v>
      </c>
      <c r="K546">
        <v>4</v>
      </c>
      <c r="L546">
        <v>581</v>
      </c>
      <c r="M546">
        <v>0</v>
      </c>
      <c r="N546">
        <v>0</v>
      </c>
      <c r="O546">
        <v>0</v>
      </c>
    </row>
    <row r="547" spans="1:15" x14ac:dyDescent="0.25">
      <c r="A547" t="s">
        <v>937</v>
      </c>
      <c r="B547" t="s">
        <v>1962</v>
      </c>
      <c r="C547" t="s">
        <v>927</v>
      </c>
      <c r="D547" t="s">
        <v>3052</v>
      </c>
      <c r="E547" t="s">
        <v>3053</v>
      </c>
      <c r="F547" t="s">
        <v>320</v>
      </c>
      <c r="G547" t="s">
        <v>321</v>
      </c>
      <c r="H547" t="s">
        <v>3436</v>
      </c>
      <c r="I547">
        <v>35</v>
      </c>
      <c r="J547">
        <v>0</v>
      </c>
      <c r="K547">
        <v>0</v>
      </c>
      <c r="L547">
        <v>0</v>
      </c>
      <c r="M547">
        <v>0</v>
      </c>
      <c r="N547">
        <v>0</v>
      </c>
      <c r="O547">
        <v>35</v>
      </c>
    </row>
    <row r="548" spans="1:15" x14ac:dyDescent="0.25">
      <c r="A548" t="s">
        <v>1825</v>
      </c>
      <c r="B548" t="s">
        <v>2362</v>
      </c>
      <c r="C548" t="s">
        <v>923</v>
      </c>
      <c r="D548" t="s">
        <v>3063</v>
      </c>
      <c r="E548" t="s">
        <v>3053</v>
      </c>
      <c r="F548" t="s">
        <v>320</v>
      </c>
      <c r="G548" t="s">
        <v>321</v>
      </c>
      <c r="H548" t="s">
        <v>3437</v>
      </c>
      <c r="I548">
        <v>58</v>
      </c>
      <c r="J548">
        <v>58</v>
      </c>
      <c r="K548">
        <v>0</v>
      </c>
      <c r="L548">
        <v>0</v>
      </c>
      <c r="M548">
        <v>0</v>
      </c>
      <c r="N548">
        <v>0</v>
      </c>
      <c r="O548">
        <v>0</v>
      </c>
    </row>
    <row r="549" spans="1:15" x14ac:dyDescent="0.25">
      <c r="A549" t="s">
        <v>938</v>
      </c>
      <c r="B549" t="s">
        <v>2791</v>
      </c>
      <c r="C549" t="s">
        <v>927</v>
      </c>
      <c r="D549" t="s">
        <v>3052</v>
      </c>
      <c r="E549" t="s">
        <v>3053</v>
      </c>
      <c r="F549" t="s">
        <v>320</v>
      </c>
      <c r="G549" t="s">
        <v>321</v>
      </c>
      <c r="H549" t="s">
        <v>3438</v>
      </c>
      <c r="I549">
        <v>50</v>
      </c>
      <c r="J549">
        <v>0</v>
      </c>
      <c r="K549">
        <v>0</v>
      </c>
      <c r="L549">
        <v>50</v>
      </c>
      <c r="M549">
        <v>0</v>
      </c>
      <c r="N549">
        <v>1</v>
      </c>
      <c r="O549">
        <v>0</v>
      </c>
    </row>
    <row r="550" spans="1:15" x14ac:dyDescent="0.25">
      <c r="A550" t="s">
        <v>940</v>
      </c>
      <c r="B550" t="s">
        <v>2647</v>
      </c>
      <c r="C550" t="s">
        <v>927</v>
      </c>
      <c r="D550" t="s">
        <v>3052</v>
      </c>
      <c r="E550" t="s">
        <v>3053</v>
      </c>
      <c r="F550" t="s">
        <v>320</v>
      </c>
      <c r="G550" t="s">
        <v>321</v>
      </c>
      <c r="H550" t="s">
        <v>3439</v>
      </c>
      <c r="I550">
        <v>291</v>
      </c>
      <c r="J550">
        <v>0</v>
      </c>
      <c r="K550">
        <v>0</v>
      </c>
      <c r="L550">
        <v>0</v>
      </c>
      <c r="M550">
        <v>229</v>
      </c>
      <c r="N550">
        <v>0</v>
      </c>
      <c r="O550">
        <v>62</v>
      </c>
    </row>
    <row r="551" spans="1:15" x14ac:dyDescent="0.25">
      <c r="A551" t="s">
        <v>1013</v>
      </c>
      <c r="B551" t="s">
        <v>1959</v>
      </c>
      <c r="C551" t="s">
        <v>927</v>
      </c>
      <c r="D551" t="s">
        <v>3052</v>
      </c>
      <c r="E551" t="s">
        <v>3053</v>
      </c>
      <c r="F551" t="s">
        <v>320</v>
      </c>
      <c r="G551" t="s">
        <v>321</v>
      </c>
      <c r="H551" t="s">
        <v>3440</v>
      </c>
      <c r="I551">
        <v>101</v>
      </c>
      <c r="J551">
        <v>2</v>
      </c>
      <c r="K551">
        <v>0</v>
      </c>
      <c r="L551">
        <v>99</v>
      </c>
      <c r="M551">
        <v>0</v>
      </c>
      <c r="N551">
        <v>0</v>
      </c>
      <c r="O551">
        <v>0</v>
      </c>
    </row>
    <row r="552" spans="1:15" x14ac:dyDescent="0.25">
      <c r="A552" t="s">
        <v>1126</v>
      </c>
      <c r="B552" t="s">
        <v>2130</v>
      </c>
      <c r="C552" t="s">
        <v>927</v>
      </c>
      <c r="D552" t="s">
        <v>3052</v>
      </c>
      <c r="E552" t="s">
        <v>3053</v>
      </c>
      <c r="F552" t="s">
        <v>320</v>
      </c>
      <c r="G552" t="s">
        <v>321</v>
      </c>
      <c r="H552" t="s">
        <v>14468</v>
      </c>
      <c r="I552">
        <v>87</v>
      </c>
      <c r="J552">
        <v>43</v>
      </c>
      <c r="K552">
        <v>0</v>
      </c>
      <c r="L552">
        <v>0</v>
      </c>
      <c r="M552">
        <v>0</v>
      </c>
      <c r="N552">
        <v>0</v>
      </c>
      <c r="O552">
        <v>44</v>
      </c>
    </row>
    <row r="553" spans="1:15" x14ac:dyDescent="0.25">
      <c r="A553" t="s">
        <v>1826</v>
      </c>
      <c r="B553" t="s">
        <v>2217</v>
      </c>
      <c r="C553" t="s">
        <v>923</v>
      </c>
      <c r="D553" t="s">
        <v>3063</v>
      </c>
      <c r="E553" t="s">
        <v>3053</v>
      </c>
      <c r="F553" t="s">
        <v>320</v>
      </c>
      <c r="G553" t="s">
        <v>321</v>
      </c>
      <c r="H553" t="s">
        <v>3441</v>
      </c>
      <c r="I553">
        <v>183</v>
      </c>
      <c r="J553">
        <v>0</v>
      </c>
      <c r="K553">
        <v>0</v>
      </c>
      <c r="L553">
        <v>0</v>
      </c>
      <c r="M553">
        <v>183</v>
      </c>
      <c r="N553">
        <v>0</v>
      </c>
      <c r="O553">
        <v>0</v>
      </c>
    </row>
    <row r="554" spans="1:15" x14ac:dyDescent="0.25">
      <c r="A554" t="s">
        <v>1026</v>
      </c>
      <c r="B554" t="s">
        <v>2848</v>
      </c>
      <c r="C554" t="s">
        <v>927</v>
      </c>
      <c r="D554" t="s">
        <v>3052</v>
      </c>
      <c r="E554" t="s">
        <v>3053</v>
      </c>
      <c r="F554" t="s">
        <v>320</v>
      </c>
      <c r="G554" t="s">
        <v>321</v>
      </c>
      <c r="H554" t="s">
        <v>3442</v>
      </c>
      <c r="I554">
        <v>1409</v>
      </c>
      <c r="J554">
        <v>1270</v>
      </c>
      <c r="K554">
        <v>0</v>
      </c>
      <c r="L554">
        <v>71</v>
      </c>
      <c r="M554">
        <v>0</v>
      </c>
      <c r="N554">
        <v>4</v>
      </c>
      <c r="O554">
        <v>68</v>
      </c>
    </row>
    <row r="555" spans="1:15" x14ac:dyDescent="0.25">
      <c r="A555" t="s">
        <v>1030</v>
      </c>
      <c r="B555" t="s">
        <v>2880</v>
      </c>
      <c r="C555" t="s">
        <v>927</v>
      </c>
      <c r="D555" t="s">
        <v>3052</v>
      </c>
      <c r="E555" t="s">
        <v>3053</v>
      </c>
      <c r="F555" t="s">
        <v>320</v>
      </c>
      <c r="G555" t="s">
        <v>321</v>
      </c>
      <c r="H555" t="s">
        <v>3443</v>
      </c>
      <c r="I555">
        <v>11797</v>
      </c>
      <c r="J555">
        <v>10857</v>
      </c>
      <c r="K555">
        <v>0</v>
      </c>
      <c r="L555">
        <v>339</v>
      </c>
      <c r="M555">
        <v>143</v>
      </c>
      <c r="N555">
        <v>11</v>
      </c>
      <c r="O555">
        <v>458</v>
      </c>
    </row>
    <row r="556" spans="1:15" x14ac:dyDescent="0.25">
      <c r="A556" t="s">
        <v>1516</v>
      </c>
      <c r="B556" t="s">
        <v>2098</v>
      </c>
      <c r="C556" t="s">
        <v>927</v>
      </c>
      <c r="D556" t="s">
        <v>3052</v>
      </c>
      <c r="E556" t="s">
        <v>3053</v>
      </c>
      <c r="F556" t="s">
        <v>320</v>
      </c>
      <c r="G556" t="s">
        <v>321</v>
      </c>
      <c r="H556" t="s">
        <v>3444</v>
      </c>
      <c r="I556">
        <v>2</v>
      </c>
      <c r="J556">
        <v>2</v>
      </c>
      <c r="K556">
        <v>0</v>
      </c>
      <c r="L556">
        <v>0</v>
      </c>
      <c r="M556">
        <v>0</v>
      </c>
      <c r="N556">
        <v>0</v>
      </c>
      <c r="O556">
        <v>0</v>
      </c>
    </row>
    <row r="557" spans="1:15" x14ac:dyDescent="0.25">
      <c r="A557" t="s">
        <v>1829</v>
      </c>
      <c r="B557" t="s">
        <v>2811</v>
      </c>
      <c r="C557" t="s">
        <v>927</v>
      </c>
      <c r="D557" t="s">
        <v>3052</v>
      </c>
      <c r="E557" t="s">
        <v>3053</v>
      </c>
      <c r="F557" t="s">
        <v>320</v>
      </c>
      <c r="G557" t="s">
        <v>321</v>
      </c>
      <c r="H557" t="s">
        <v>3445</v>
      </c>
      <c r="I557">
        <v>543</v>
      </c>
      <c r="J557">
        <v>434</v>
      </c>
      <c r="K557">
        <v>0</v>
      </c>
      <c r="L557">
        <v>20</v>
      </c>
      <c r="M557">
        <v>86</v>
      </c>
      <c r="N557">
        <v>0</v>
      </c>
      <c r="O557">
        <v>3</v>
      </c>
    </row>
    <row r="558" spans="1:15" x14ac:dyDescent="0.25">
      <c r="A558" t="s">
        <v>1830</v>
      </c>
      <c r="B558" t="s">
        <v>2556</v>
      </c>
      <c r="C558" t="s">
        <v>923</v>
      </c>
      <c r="D558" t="s">
        <v>3063</v>
      </c>
      <c r="E558" t="s">
        <v>3053</v>
      </c>
      <c r="F558" t="s">
        <v>320</v>
      </c>
      <c r="G558" t="s">
        <v>321</v>
      </c>
      <c r="H558" t="s">
        <v>3446</v>
      </c>
      <c r="I558">
        <v>55</v>
      </c>
      <c r="J558">
        <v>1</v>
      </c>
      <c r="K558">
        <v>0</v>
      </c>
      <c r="L558">
        <v>4</v>
      </c>
      <c r="M558">
        <v>50</v>
      </c>
      <c r="N558">
        <v>0</v>
      </c>
      <c r="O558">
        <v>0</v>
      </c>
    </row>
    <row r="559" spans="1:15" x14ac:dyDescent="0.25">
      <c r="A559" t="s">
        <v>1136</v>
      </c>
      <c r="B559" t="s">
        <v>1942</v>
      </c>
      <c r="C559" t="s">
        <v>923</v>
      </c>
      <c r="D559" t="s">
        <v>3063</v>
      </c>
      <c r="E559" t="s">
        <v>3053</v>
      </c>
      <c r="F559" t="s">
        <v>320</v>
      </c>
      <c r="G559" t="s">
        <v>321</v>
      </c>
      <c r="H559" t="s">
        <v>10852</v>
      </c>
      <c r="I559">
        <v>6</v>
      </c>
      <c r="J559">
        <v>6</v>
      </c>
      <c r="K559">
        <v>0</v>
      </c>
      <c r="L559">
        <v>0</v>
      </c>
      <c r="M559">
        <v>0</v>
      </c>
      <c r="N559">
        <v>0</v>
      </c>
      <c r="O559">
        <v>0</v>
      </c>
    </row>
    <row r="560" spans="1:15" x14ac:dyDescent="0.25">
      <c r="A560" t="s">
        <v>951</v>
      </c>
      <c r="B560" t="s">
        <v>2680</v>
      </c>
      <c r="C560" t="s">
        <v>927</v>
      </c>
      <c r="D560" t="s">
        <v>3052</v>
      </c>
      <c r="E560" t="s">
        <v>3053</v>
      </c>
      <c r="F560" t="s">
        <v>320</v>
      </c>
      <c r="G560" t="s">
        <v>321</v>
      </c>
      <c r="H560" t="s">
        <v>3447</v>
      </c>
      <c r="I560">
        <v>76</v>
      </c>
      <c r="J560">
        <v>72</v>
      </c>
      <c r="K560">
        <v>0</v>
      </c>
      <c r="L560">
        <v>0</v>
      </c>
      <c r="M560">
        <v>0</v>
      </c>
      <c r="N560">
        <v>0</v>
      </c>
      <c r="O560">
        <v>4</v>
      </c>
    </row>
    <row r="561" spans="1:15" x14ac:dyDescent="0.25">
      <c r="A561" t="s">
        <v>1049</v>
      </c>
      <c r="B561" t="s">
        <v>2138</v>
      </c>
      <c r="C561" t="s">
        <v>927</v>
      </c>
      <c r="D561" t="s">
        <v>3052</v>
      </c>
      <c r="E561" t="s">
        <v>3053</v>
      </c>
      <c r="F561" t="s">
        <v>320</v>
      </c>
      <c r="G561" t="s">
        <v>321</v>
      </c>
      <c r="H561" t="s">
        <v>3448</v>
      </c>
      <c r="I561">
        <v>2710</v>
      </c>
      <c r="J561">
        <v>1906</v>
      </c>
      <c r="K561">
        <v>0</v>
      </c>
      <c r="L561">
        <v>40</v>
      </c>
      <c r="M561">
        <v>177</v>
      </c>
      <c r="N561">
        <v>0</v>
      </c>
      <c r="O561">
        <v>587</v>
      </c>
    </row>
    <row r="562" spans="1:15" x14ac:dyDescent="0.25">
      <c r="A562" t="s">
        <v>1051</v>
      </c>
      <c r="B562" t="s">
        <v>2995</v>
      </c>
      <c r="C562" t="s">
        <v>927</v>
      </c>
      <c r="D562" t="s">
        <v>3052</v>
      </c>
      <c r="E562" t="s">
        <v>3053</v>
      </c>
      <c r="F562" t="s">
        <v>320</v>
      </c>
      <c r="G562" t="s">
        <v>321</v>
      </c>
      <c r="H562" t="s">
        <v>3449</v>
      </c>
      <c r="I562">
        <v>10</v>
      </c>
      <c r="J562">
        <v>0</v>
      </c>
      <c r="K562">
        <v>0</v>
      </c>
      <c r="L562">
        <v>9</v>
      </c>
      <c r="M562">
        <v>0</v>
      </c>
      <c r="N562">
        <v>0</v>
      </c>
      <c r="O562">
        <v>1</v>
      </c>
    </row>
    <row r="563" spans="1:15" x14ac:dyDescent="0.25">
      <c r="A563" t="s">
        <v>1834</v>
      </c>
      <c r="B563" t="s">
        <v>2036</v>
      </c>
      <c r="C563" t="s">
        <v>923</v>
      </c>
      <c r="D563" t="s">
        <v>3063</v>
      </c>
      <c r="E563" t="s">
        <v>3053</v>
      </c>
      <c r="F563" t="s">
        <v>320</v>
      </c>
      <c r="G563" t="s">
        <v>321</v>
      </c>
      <c r="H563" t="s">
        <v>3450</v>
      </c>
      <c r="I563">
        <v>13</v>
      </c>
      <c r="J563">
        <v>0</v>
      </c>
      <c r="K563">
        <v>13</v>
      </c>
      <c r="L563">
        <v>0</v>
      </c>
      <c r="M563">
        <v>0</v>
      </c>
      <c r="N563">
        <v>0</v>
      </c>
      <c r="O563">
        <v>0</v>
      </c>
    </row>
    <row r="564" spans="1:15" x14ac:dyDescent="0.25">
      <c r="A564" t="s">
        <v>11720</v>
      </c>
      <c r="B564" t="s">
        <v>10718</v>
      </c>
      <c r="C564" t="s">
        <v>927</v>
      </c>
      <c r="D564" t="s">
        <v>3052</v>
      </c>
      <c r="E564" t="s">
        <v>3053</v>
      </c>
      <c r="F564" t="s">
        <v>320</v>
      </c>
      <c r="G564" t="s">
        <v>321</v>
      </c>
      <c r="H564" t="s">
        <v>14469</v>
      </c>
      <c r="I564">
        <v>5</v>
      </c>
      <c r="J564">
        <v>0</v>
      </c>
      <c r="K564">
        <v>0</v>
      </c>
      <c r="L564">
        <v>0</v>
      </c>
      <c r="M564">
        <v>0</v>
      </c>
      <c r="N564">
        <v>0</v>
      </c>
      <c r="O564">
        <v>5</v>
      </c>
    </row>
    <row r="565" spans="1:15" x14ac:dyDescent="0.25">
      <c r="A565" t="s">
        <v>9788</v>
      </c>
      <c r="B565" t="s">
        <v>9871</v>
      </c>
      <c r="C565" t="s">
        <v>927</v>
      </c>
      <c r="D565" t="s">
        <v>3052</v>
      </c>
      <c r="E565" t="s">
        <v>3053</v>
      </c>
      <c r="F565" t="s">
        <v>320</v>
      </c>
      <c r="G565" t="s">
        <v>321</v>
      </c>
      <c r="H565" t="s">
        <v>14470</v>
      </c>
      <c r="I565">
        <v>28</v>
      </c>
      <c r="J565">
        <v>28</v>
      </c>
      <c r="K565">
        <v>0</v>
      </c>
      <c r="L565">
        <v>0</v>
      </c>
      <c r="M565">
        <v>0</v>
      </c>
      <c r="N565">
        <v>0</v>
      </c>
      <c r="O565">
        <v>0</v>
      </c>
    </row>
    <row r="566" spans="1:15" x14ac:dyDescent="0.25">
      <c r="A566" t="s">
        <v>1056</v>
      </c>
      <c r="B566" t="s">
        <v>2966</v>
      </c>
      <c r="C566" t="s">
        <v>927</v>
      </c>
      <c r="D566" t="s">
        <v>3052</v>
      </c>
      <c r="E566" t="s">
        <v>3053</v>
      </c>
      <c r="F566" t="s">
        <v>320</v>
      </c>
      <c r="G566" t="s">
        <v>321</v>
      </c>
      <c r="H566" t="s">
        <v>3451</v>
      </c>
      <c r="I566">
        <v>93</v>
      </c>
      <c r="J566">
        <v>0</v>
      </c>
      <c r="K566">
        <v>0</v>
      </c>
      <c r="L566">
        <v>93</v>
      </c>
      <c r="M566">
        <v>0</v>
      </c>
      <c r="N566">
        <v>0</v>
      </c>
      <c r="O566">
        <v>0</v>
      </c>
    </row>
    <row r="567" spans="1:15" x14ac:dyDescent="0.25">
      <c r="A567" t="s">
        <v>1057</v>
      </c>
      <c r="B567" t="s">
        <v>1972</v>
      </c>
      <c r="C567" t="s">
        <v>927</v>
      </c>
      <c r="D567" t="s">
        <v>3052</v>
      </c>
      <c r="E567" t="s">
        <v>3053</v>
      </c>
      <c r="F567" t="s">
        <v>320</v>
      </c>
      <c r="G567" t="s">
        <v>321</v>
      </c>
      <c r="H567" t="s">
        <v>3452</v>
      </c>
      <c r="I567">
        <v>56</v>
      </c>
      <c r="J567">
        <v>39</v>
      </c>
      <c r="K567">
        <v>0</v>
      </c>
      <c r="L567">
        <v>0</v>
      </c>
      <c r="M567">
        <v>0</v>
      </c>
      <c r="N567">
        <v>0</v>
      </c>
      <c r="O567">
        <v>17</v>
      </c>
    </row>
    <row r="568" spans="1:15" x14ac:dyDescent="0.25">
      <c r="A568" t="s">
        <v>955</v>
      </c>
      <c r="B568" t="s">
        <v>2660</v>
      </c>
      <c r="C568" t="s">
        <v>927</v>
      </c>
      <c r="D568" t="s">
        <v>3052</v>
      </c>
      <c r="E568" t="s">
        <v>3053</v>
      </c>
      <c r="F568" t="s">
        <v>320</v>
      </c>
      <c r="G568" t="s">
        <v>321</v>
      </c>
      <c r="H568" t="s">
        <v>3453</v>
      </c>
      <c r="I568">
        <v>1829</v>
      </c>
      <c r="J568">
        <v>1167</v>
      </c>
      <c r="K568">
        <v>0</v>
      </c>
      <c r="L568">
        <v>151</v>
      </c>
      <c r="M568">
        <v>189</v>
      </c>
      <c r="N568">
        <v>2</v>
      </c>
      <c r="O568">
        <v>322</v>
      </c>
    </row>
    <row r="569" spans="1:15" x14ac:dyDescent="0.25">
      <c r="A569" t="s">
        <v>1838</v>
      </c>
      <c r="B569" t="s">
        <v>2401</v>
      </c>
      <c r="C569" t="s">
        <v>923</v>
      </c>
      <c r="D569" t="s">
        <v>3063</v>
      </c>
      <c r="E569" t="s">
        <v>3053</v>
      </c>
      <c r="F569" t="s">
        <v>320</v>
      </c>
      <c r="G569" t="s">
        <v>321</v>
      </c>
      <c r="H569" t="s">
        <v>3454</v>
      </c>
      <c r="I569">
        <v>74</v>
      </c>
      <c r="J569">
        <v>74</v>
      </c>
      <c r="K569">
        <v>0</v>
      </c>
      <c r="L569">
        <v>0</v>
      </c>
      <c r="M569">
        <v>0</v>
      </c>
      <c r="N569">
        <v>0</v>
      </c>
      <c r="O569">
        <v>0</v>
      </c>
    </row>
    <row r="570" spans="1:15" x14ac:dyDescent="0.25">
      <c r="A570" t="s">
        <v>1842</v>
      </c>
      <c r="B570" t="s">
        <v>2176</v>
      </c>
      <c r="C570" t="s">
        <v>923</v>
      </c>
      <c r="D570" t="s">
        <v>3063</v>
      </c>
      <c r="E570" t="s">
        <v>3053</v>
      </c>
      <c r="F570" t="s">
        <v>320</v>
      </c>
      <c r="G570" t="s">
        <v>321</v>
      </c>
      <c r="H570" t="s">
        <v>3455</v>
      </c>
      <c r="I570">
        <v>36</v>
      </c>
      <c r="J570">
        <v>0</v>
      </c>
      <c r="K570">
        <v>0</v>
      </c>
      <c r="L570">
        <v>0</v>
      </c>
      <c r="M570">
        <v>36</v>
      </c>
      <c r="N570">
        <v>0</v>
      </c>
      <c r="O570">
        <v>0</v>
      </c>
    </row>
    <row r="571" spans="1:15" x14ac:dyDescent="0.25">
      <c r="A571" t="s">
        <v>1844</v>
      </c>
      <c r="B571" t="s">
        <v>2380</v>
      </c>
      <c r="C571" t="s">
        <v>923</v>
      </c>
      <c r="D571" t="s">
        <v>3063</v>
      </c>
      <c r="E571" t="s">
        <v>3053</v>
      </c>
      <c r="F571" t="s">
        <v>320</v>
      </c>
      <c r="G571" t="s">
        <v>321</v>
      </c>
      <c r="H571" t="s">
        <v>3456</v>
      </c>
      <c r="I571">
        <v>47</v>
      </c>
      <c r="J571">
        <v>47</v>
      </c>
      <c r="K571">
        <v>0</v>
      </c>
      <c r="L571">
        <v>0</v>
      </c>
      <c r="M571">
        <v>0</v>
      </c>
      <c r="N571">
        <v>0</v>
      </c>
      <c r="O571">
        <v>0</v>
      </c>
    </row>
    <row r="572" spans="1:15" x14ac:dyDescent="0.25">
      <c r="A572" t="s">
        <v>1846</v>
      </c>
      <c r="B572" t="s">
        <v>2427</v>
      </c>
      <c r="C572" t="s">
        <v>923</v>
      </c>
      <c r="D572" t="s">
        <v>3063</v>
      </c>
      <c r="E572" t="s">
        <v>3053</v>
      </c>
      <c r="F572" t="s">
        <v>320</v>
      </c>
      <c r="G572" t="s">
        <v>321</v>
      </c>
      <c r="H572" t="s">
        <v>3457</v>
      </c>
      <c r="I572">
        <v>33</v>
      </c>
      <c r="J572">
        <v>33</v>
      </c>
      <c r="K572">
        <v>0</v>
      </c>
      <c r="L572">
        <v>0</v>
      </c>
      <c r="M572">
        <v>0</v>
      </c>
      <c r="N572">
        <v>0</v>
      </c>
      <c r="O572">
        <v>0</v>
      </c>
    </row>
    <row r="573" spans="1:15" x14ac:dyDescent="0.25">
      <c r="A573" t="s">
        <v>11663</v>
      </c>
      <c r="B573" t="s">
        <v>11768</v>
      </c>
      <c r="C573" t="s">
        <v>927</v>
      </c>
      <c r="D573" t="s">
        <v>3052</v>
      </c>
      <c r="E573" t="s">
        <v>3053</v>
      </c>
      <c r="F573" t="s">
        <v>320</v>
      </c>
      <c r="G573" t="s">
        <v>321</v>
      </c>
      <c r="H573" t="s">
        <v>11822</v>
      </c>
      <c r="I573">
        <v>1114</v>
      </c>
      <c r="J573">
        <v>394</v>
      </c>
      <c r="K573">
        <v>0</v>
      </c>
      <c r="L573">
        <v>0</v>
      </c>
      <c r="M573">
        <v>694</v>
      </c>
      <c r="N573">
        <v>0</v>
      </c>
      <c r="O573">
        <v>26</v>
      </c>
    </row>
    <row r="574" spans="1:15" x14ac:dyDescent="0.25">
      <c r="A574" t="s">
        <v>1847</v>
      </c>
      <c r="B574" t="s">
        <v>2631</v>
      </c>
      <c r="C574" t="s">
        <v>923</v>
      </c>
      <c r="D574" t="s">
        <v>3063</v>
      </c>
      <c r="E574" t="s">
        <v>3053</v>
      </c>
      <c r="F574" t="s">
        <v>320</v>
      </c>
      <c r="G574" t="s">
        <v>321</v>
      </c>
      <c r="H574" t="s">
        <v>3458</v>
      </c>
      <c r="I574">
        <v>51</v>
      </c>
      <c r="J574">
        <v>0</v>
      </c>
      <c r="K574">
        <v>0</v>
      </c>
      <c r="L574">
        <v>51</v>
      </c>
      <c r="M574">
        <v>0</v>
      </c>
      <c r="N574">
        <v>0</v>
      </c>
      <c r="O574">
        <v>0</v>
      </c>
    </row>
    <row r="575" spans="1:15" x14ac:dyDescent="0.25">
      <c r="A575" t="s">
        <v>1848</v>
      </c>
      <c r="B575" t="s">
        <v>2620</v>
      </c>
      <c r="C575" t="s">
        <v>923</v>
      </c>
      <c r="D575" t="s">
        <v>3063</v>
      </c>
      <c r="E575" t="s">
        <v>3053</v>
      </c>
      <c r="F575" t="s">
        <v>320</v>
      </c>
      <c r="G575" t="s">
        <v>321</v>
      </c>
      <c r="H575" t="s">
        <v>3459</v>
      </c>
      <c r="I575">
        <v>362</v>
      </c>
      <c r="J575">
        <v>8</v>
      </c>
      <c r="K575">
        <v>12</v>
      </c>
      <c r="L575">
        <v>342</v>
      </c>
      <c r="M575">
        <v>0</v>
      </c>
      <c r="N575">
        <v>0</v>
      </c>
      <c r="O575">
        <v>0</v>
      </c>
    </row>
    <row r="576" spans="1:15" x14ac:dyDescent="0.25">
      <c r="A576" t="s">
        <v>1849</v>
      </c>
      <c r="B576" t="s">
        <v>2794</v>
      </c>
      <c r="C576" t="s">
        <v>923</v>
      </c>
      <c r="D576" t="s">
        <v>3063</v>
      </c>
      <c r="E576" t="s">
        <v>3053</v>
      </c>
      <c r="F576" t="s">
        <v>320</v>
      </c>
      <c r="G576" t="s">
        <v>321</v>
      </c>
      <c r="H576" t="s">
        <v>3460</v>
      </c>
      <c r="I576">
        <v>568</v>
      </c>
      <c r="J576">
        <v>64</v>
      </c>
      <c r="K576">
        <v>0</v>
      </c>
      <c r="L576">
        <v>463</v>
      </c>
      <c r="M576">
        <v>41</v>
      </c>
      <c r="N576">
        <v>0</v>
      </c>
      <c r="O576">
        <v>0</v>
      </c>
    </row>
    <row r="577" spans="1:15" x14ac:dyDescent="0.25">
      <c r="A577" t="s">
        <v>962</v>
      </c>
      <c r="B577" t="s">
        <v>2752</v>
      </c>
      <c r="C577" t="s">
        <v>927</v>
      </c>
      <c r="D577" t="s">
        <v>3052</v>
      </c>
      <c r="E577" t="s">
        <v>3053</v>
      </c>
      <c r="F577" t="s">
        <v>320</v>
      </c>
      <c r="G577" t="s">
        <v>321</v>
      </c>
      <c r="H577" t="s">
        <v>14471</v>
      </c>
      <c r="I577">
        <v>2</v>
      </c>
      <c r="J577">
        <v>1</v>
      </c>
      <c r="K577">
        <v>0</v>
      </c>
      <c r="L577">
        <v>0</v>
      </c>
      <c r="M577">
        <v>0</v>
      </c>
      <c r="N577">
        <v>0</v>
      </c>
      <c r="O577">
        <v>1</v>
      </c>
    </row>
    <row r="578" spans="1:15" x14ac:dyDescent="0.25">
      <c r="A578" t="s">
        <v>1063</v>
      </c>
      <c r="B578" t="s">
        <v>1974</v>
      </c>
      <c r="C578" t="s">
        <v>927</v>
      </c>
      <c r="D578" t="s">
        <v>3052</v>
      </c>
      <c r="E578" t="s">
        <v>3053</v>
      </c>
      <c r="F578" t="s">
        <v>320</v>
      </c>
      <c r="G578" t="s">
        <v>321</v>
      </c>
      <c r="H578" t="s">
        <v>3461</v>
      </c>
      <c r="I578">
        <v>1852</v>
      </c>
      <c r="J578">
        <v>0</v>
      </c>
      <c r="K578">
        <v>0</v>
      </c>
      <c r="L578">
        <v>1852</v>
      </c>
      <c r="M578">
        <v>0</v>
      </c>
      <c r="N578">
        <v>0</v>
      </c>
      <c r="O578">
        <v>0</v>
      </c>
    </row>
    <row r="579" spans="1:15" x14ac:dyDescent="0.25">
      <c r="A579" t="s">
        <v>1353</v>
      </c>
      <c r="B579" t="s">
        <v>2927</v>
      </c>
      <c r="C579" t="s">
        <v>923</v>
      </c>
      <c r="D579" t="s">
        <v>3063</v>
      </c>
      <c r="E579" t="s">
        <v>3053</v>
      </c>
      <c r="F579" t="s">
        <v>320</v>
      </c>
      <c r="G579" t="s">
        <v>321</v>
      </c>
      <c r="H579" t="s">
        <v>3462</v>
      </c>
      <c r="I579">
        <v>41</v>
      </c>
      <c r="J579">
        <v>0</v>
      </c>
      <c r="K579">
        <v>0</v>
      </c>
      <c r="L579">
        <v>0</v>
      </c>
      <c r="M579">
        <v>41</v>
      </c>
      <c r="N579">
        <v>0</v>
      </c>
      <c r="O579">
        <v>0</v>
      </c>
    </row>
    <row r="580" spans="1:15" x14ac:dyDescent="0.25">
      <c r="A580" t="s">
        <v>11667</v>
      </c>
      <c r="B580" t="s">
        <v>1986</v>
      </c>
      <c r="C580" t="s">
        <v>923</v>
      </c>
      <c r="D580" t="s">
        <v>3063</v>
      </c>
      <c r="E580" t="s">
        <v>3053</v>
      </c>
      <c r="F580" t="s">
        <v>320</v>
      </c>
      <c r="G580" t="s">
        <v>321</v>
      </c>
      <c r="H580" t="s">
        <v>11823</v>
      </c>
      <c r="I580">
        <v>348</v>
      </c>
      <c r="J580">
        <v>0</v>
      </c>
      <c r="K580">
        <v>0</v>
      </c>
      <c r="L580">
        <v>0</v>
      </c>
      <c r="M580">
        <v>348</v>
      </c>
      <c r="N580">
        <v>0</v>
      </c>
      <c r="O580">
        <v>0</v>
      </c>
    </row>
    <row r="581" spans="1:15" x14ac:dyDescent="0.25">
      <c r="A581" t="s">
        <v>1858</v>
      </c>
      <c r="B581" t="s">
        <v>2268</v>
      </c>
      <c r="C581" t="s">
        <v>923</v>
      </c>
      <c r="D581" t="s">
        <v>3063</v>
      </c>
      <c r="E581" t="s">
        <v>3053</v>
      </c>
      <c r="F581" t="s">
        <v>320</v>
      </c>
      <c r="G581" t="s">
        <v>321</v>
      </c>
      <c r="H581" t="s">
        <v>3463</v>
      </c>
      <c r="I581">
        <v>38</v>
      </c>
      <c r="J581">
        <v>0</v>
      </c>
      <c r="K581">
        <v>0</v>
      </c>
      <c r="L581">
        <v>0</v>
      </c>
      <c r="M581">
        <v>38</v>
      </c>
      <c r="N581">
        <v>0</v>
      </c>
      <c r="O581">
        <v>0</v>
      </c>
    </row>
    <row r="582" spans="1:15" x14ac:dyDescent="0.25">
      <c r="A582" t="s">
        <v>1859</v>
      </c>
      <c r="B582" t="s">
        <v>2221</v>
      </c>
      <c r="C582" t="s">
        <v>923</v>
      </c>
      <c r="D582" t="s">
        <v>3063</v>
      </c>
      <c r="E582" t="s">
        <v>3053</v>
      </c>
      <c r="F582" t="s">
        <v>320</v>
      </c>
      <c r="G582" t="s">
        <v>321</v>
      </c>
      <c r="H582" t="s">
        <v>3464</v>
      </c>
      <c r="I582">
        <v>31</v>
      </c>
      <c r="J582">
        <v>0</v>
      </c>
      <c r="K582">
        <v>0</v>
      </c>
      <c r="L582">
        <v>0</v>
      </c>
      <c r="M582">
        <v>31</v>
      </c>
      <c r="N582">
        <v>0</v>
      </c>
      <c r="O582">
        <v>0</v>
      </c>
    </row>
    <row r="583" spans="1:15" x14ac:dyDescent="0.25">
      <c r="A583" t="s">
        <v>1860</v>
      </c>
      <c r="B583" t="s">
        <v>2825</v>
      </c>
      <c r="C583" t="s">
        <v>927</v>
      </c>
      <c r="D583" t="s">
        <v>3052</v>
      </c>
      <c r="E583" t="s">
        <v>3053</v>
      </c>
      <c r="F583" t="s">
        <v>320</v>
      </c>
      <c r="G583" t="s">
        <v>321</v>
      </c>
      <c r="H583" t="s">
        <v>3465</v>
      </c>
      <c r="I583">
        <v>2437</v>
      </c>
      <c r="J583">
        <v>2269</v>
      </c>
      <c r="K583">
        <v>0</v>
      </c>
      <c r="L583">
        <v>0</v>
      </c>
      <c r="M583">
        <v>128</v>
      </c>
      <c r="N583">
        <v>6</v>
      </c>
      <c r="O583">
        <v>40</v>
      </c>
    </row>
    <row r="584" spans="1:15" x14ac:dyDescent="0.25">
      <c r="A584" t="s">
        <v>1072</v>
      </c>
      <c r="B584" t="s">
        <v>2907</v>
      </c>
      <c r="C584" t="s">
        <v>927</v>
      </c>
      <c r="D584" t="s">
        <v>3052</v>
      </c>
      <c r="E584" t="s">
        <v>3053</v>
      </c>
      <c r="F584" t="s">
        <v>320</v>
      </c>
      <c r="G584" t="s">
        <v>321</v>
      </c>
      <c r="H584" t="s">
        <v>3466</v>
      </c>
      <c r="I584">
        <v>98</v>
      </c>
      <c r="J584">
        <v>0</v>
      </c>
      <c r="K584">
        <v>0</v>
      </c>
      <c r="L584">
        <v>47</v>
      </c>
      <c r="M584">
        <v>51</v>
      </c>
      <c r="N584">
        <v>0</v>
      </c>
      <c r="O584">
        <v>0</v>
      </c>
    </row>
    <row r="585" spans="1:15" x14ac:dyDescent="0.25">
      <c r="A585" t="s">
        <v>1862</v>
      </c>
      <c r="B585" t="s">
        <v>2386</v>
      </c>
      <c r="C585" t="s">
        <v>923</v>
      </c>
      <c r="D585" t="s">
        <v>3063</v>
      </c>
      <c r="E585" t="s">
        <v>3053</v>
      </c>
      <c r="F585" t="s">
        <v>320</v>
      </c>
      <c r="G585" t="s">
        <v>321</v>
      </c>
      <c r="H585" t="s">
        <v>3467</v>
      </c>
      <c r="I585">
        <v>90</v>
      </c>
      <c r="J585">
        <v>90</v>
      </c>
      <c r="K585">
        <v>0</v>
      </c>
      <c r="L585">
        <v>0</v>
      </c>
      <c r="M585">
        <v>0</v>
      </c>
      <c r="N585">
        <v>0</v>
      </c>
      <c r="O585">
        <v>0</v>
      </c>
    </row>
    <row r="586" spans="1:15" x14ac:dyDescent="0.25">
      <c r="A586" t="s">
        <v>1077</v>
      </c>
      <c r="B586" t="s">
        <v>2711</v>
      </c>
      <c r="C586" t="s">
        <v>927</v>
      </c>
      <c r="D586" t="s">
        <v>3052</v>
      </c>
      <c r="E586" t="s">
        <v>3053</v>
      </c>
      <c r="F586" t="s">
        <v>320</v>
      </c>
      <c r="G586" t="s">
        <v>321</v>
      </c>
      <c r="H586" t="s">
        <v>3468</v>
      </c>
      <c r="I586">
        <v>2127</v>
      </c>
      <c r="J586">
        <v>1186</v>
      </c>
      <c r="K586">
        <v>0</v>
      </c>
      <c r="L586">
        <v>521</v>
      </c>
      <c r="M586">
        <v>369</v>
      </c>
      <c r="N586">
        <v>0</v>
      </c>
      <c r="O586">
        <v>51</v>
      </c>
    </row>
    <row r="587" spans="1:15" x14ac:dyDescent="0.25">
      <c r="A587" t="s">
        <v>1078</v>
      </c>
      <c r="B587" t="s">
        <v>1950</v>
      </c>
      <c r="C587" t="s">
        <v>923</v>
      </c>
      <c r="D587" t="s">
        <v>3063</v>
      </c>
      <c r="E587" t="s">
        <v>3053</v>
      </c>
      <c r="F587" t="s">
        <v>320</v>
      </c>
      <c r="G587" t="s">
        <v>321</v>
      </c>
      <c r="H587" t="s">
        <v>3469</v>
      </c>
      <c r="I587">
        <v>25</v>
      </c>
      <c r="J587">
        <v>0</v>
      </c>
      <c r="K587">
        <v>0</v>
      </c>
      <c r="L587">
        <v>25</v>
      </c>
      <c r="M587">
        <v>0</v>
      </c>
      <c r="N587">
        <v>0</v>
      </c>
      <c r="O587">
        <v>0</v>
      </c>
    </row>
    <row r="588" spans="1:15" x14ac:dyDescent="0.25">
      <c r="A588" t="s">
        <v>14389</v>
      </c>
      <c r="B588" t="s">
        <v>14472</v>
      </c>
      <c r="C588" t="s">
        <v>923</v>
      </c>
      <c r="D588" t="s">
        <v>3063</v>
      </c>
      <c r="E588" t="s">
        <v>3053</v>
      </c>
      <c r="F588" t="s">
        <v>320</v>
      </c>
      <c r="G588" t="s">
        <v>321</v>
      </c>
      <c r="H588" t="s">
        <v>14473</v>
      </c>
      <c r="I588">
        <v>369</v>
      </c>
      <c r="J588">
        <v>0</v>
      </c>
      <c r="K588">
        <v>0</v>
      </c>
      <c r="L588">
        <v>369</v>
      </c>
      <c r="M588">
        <v>0</v>
      </c>
      <c r="N588">
        <v>0</v>
      </c>
      <c r="O588">
        <v>0</v>
      </c>
    </row>
    <row r="589" spans="1:15" x14ac:dyDescent="0.25">
      <c r="A589" t="s">
        <v>1864</v>
      </c>
      <c r="B589" t="s">
        <v>2379</v>
      </c>
      <c r="C589" t="s">
        <v>923</v>
      </c>
      <c r="D589" t="s">
        <v>3063</v>
      </c>
      <c r="E589" t="s">
        <v>3053</v>
      </c>
      <c r="F589" t="s">
        <v>320</v>
      </c>
      <c r="G589" t="s">
        <v>321</v>
      </c>
      <c r="H589" t="s">
        <v>3470</v>
      </c>
      <c r="I589">
        <v>136</v>
      </c>
      <c r="J589">
        <v>136</v>
      </c>
      <c r="K589">
        <v>0</v>
      </c>
      <c r="L589">
        <v>0</v>
      </c>
      <c r="M589">
        <v>0</v>
      </c>
      <c r="N589">
        <v>0</v>
      </c>
      <c r="O589">
        <v>0</v>
      </c>
    </row>
    <row r="590" spans="1:15" x14ac:dyDescent="0.25">
      <c r="A590" t="s">
        <v>1865</v>
      </c>
      <c r="B590" t="s">
        <v>2866</v>
      </c>
      <c r="C590" t="s">
        <v>927</v>
      </c>
      <c r="D590" t="s">
        <v>3052</v>
      </c>
      <c r="E590" t="s">
        <v>3053</v>
      </c>
      <c r="F590" t="s">
        <v>320</v>
      </c>
      <c r="G590" t="s">
        <v>321</v>
      </c>
      <c r="H590" t="s">
        <v>3471</v>
      </c>
      <c r="I590">
        <v>57</v>
      </c>
      <c r="J590">
        <v>36</v>
      </c>
      <c r="K590">
        <v>0</v>
      </c>
      <c r="L590">
        <v>0</v>
      </c>
      <c r="M590">
        <v>0</v>
      </c>
      <c r="N590">
        <v>0</v>
      </c>
      <c r="O590">
        <v>21</v>
      </c>
    </row>
    <row r="591" spans="1:15" x14ac:dyDescent="0.25">
      <c r="A591" t="s">
        <v>1080</v>
      </c>
      <c r="B591" t="s">
        <v>2030</v>
      </c>
      <c r="C591" t="s">
        <v>923</v>
      </c>
      <c r="D591" t="s">
        <v>3063</v>
      </c>
      <c r="E591" t="s">
        <v>3053</v>
      </c>
      <c r="F591" t="s">
        <v>320</v>
      </c>
      <c r="G591" t="s">
        <v>321</v>
      </c>
      <c r="H591" t="s">
        <v>3472</v>
      </c>
      <c r="I591">
        <v>9</v>
      </c>
      <c r="J591">
        <v>0</v>
      </c>
      <c r="K591">
        <v>0</v>
      </c>
      <c r="L591">
        <v>9</v>
      </c>
      <c r="M591">
        <v>0</v>
      </c>
      <c r="N591">
        <v>0</v>
      </c>
      <c r="O591">
        <v>0</v>
      </c>
    </row>
    <row r="592" spans="1:15" x14ac:dyDescent="0.25">
      <c r="A592" t="s">
        <v>14377</v>
      </c>
      <c r="B592" t="s">
        <v>14444</v>
      </c>
      <c r="C592" t="s">
        <v>923</v>
      </c>
      <c r="D592" t="s">
        <v>3063</v>
      </c>
      <c r="E592" t="s">
        <v>3053</v>
      </c>
      <c r="F592" t="s">
        <v>320</v>
      </c>
      <c r="G592" t="s">
        <v>321</v>
      </c>
      <c r="H592" t="s">
        <v>14474</v>
      </c>
      <c r="I592">
        <v>3</v>
      </c>
      <c r="J592">
        <v>0</v>
      </c>
      <c r="K592">
        <v>0</v>
      </c>
      <c r="L592">
        <v>3</v>
      </c>
      <c r="M592">
        <v>0</v>
      </c>
      <c r="N592">
        <v>0</v>
      </c>
      <c r="O592">
        <v>0</v>
      </c>
    </row>
    <row r="593" spans="1:15" x14ac:dyDescent="0.25">
      <c r="A593" t="s">
        <v>10784</v>
      </c>
      <c r="B593" t="s">
        <v>10783</v>
      </c>
      <c r="C593" t="s">
        <v>923</v>
      </c>
      <c r="D593" t="s">
        <v>3063</v>
      </c>
      <c r="E593" t="s">
        <v>3053</v>
      </c>
      <c r="F593" t="s">
        <v>320</v>
      </c>
      <c r="G593" t="s">
        <v>321</v>
      </c>
      <c r="H593" t="s">
        <v>10853</v>
      </c>
      <c r="I593">
        <v>8</v>
      </c>
      <c r="J593">
        <v>8</v>
      </c>
      <c r="K593">
        <v>0</v>
      </c>
      <c r="L593">
        <v>0</v>
      </c>
      <c r="M593">
        <v>0</v>
      </c>
      <c r="N593">
        <v>0</v>
      </c>
      <c r="O593">
        <v>0</v>
      </c>
    </row>
    <row r="594" spans="1:15" x14ac:dyDescent="0.25">
      <c r="A594" t="s">
        <v>1870</v>
      </c>
      <c r="B594" t="s">
        <v>2224</v>
      </c>
      <c r="C594" t="s">
        <v>923</v>
      </c>
      <c r="D594" t="s">
        <v>3063</v>
      </c>
      <c r="E594" t="s">
        <v>3053</v>
      </c>
      <c r="F594" t="s">
        <v>320</v>
      </c>
      <c r="G594" t="s">
        <v>321</v>
      </c>
      <c r="H594" t="s">
        <v>3473</v>
      </c>
      <c r="I594">
        <v>195</v>
      </c>
      <c r="J594">
        <v>0</v>
      </c>
      <c r="K594">
        <v>0</v>
      </c>
      <c r="L594">
        <v>0</v>
      </c>
      <c r="M594">
        <v>195</v>
      </c>
      <c r="N594">
        <v>0</v>
      </c>
      <c r="O594">
        <v>0</v>
      </c>
    </row>
    <row r="595" spans="1:15" x14ac:dyDescent="0.25">
      <c r="A595" t="s">
        <v>926</v>
      </c>
      <c r="B595" t="s">
        <v>2923</v>
      </c>
      <c r="C595" t="s">
        <v>927</v>
      </c>
      <c r="D595" t="s">
        <v>3052</v>
      </c>
      <c r="E595" t="s">
        <v>3053</v>
      </c>
      <c r="F595" t="s">
        <v>322</v>
      </c>
      <c r="G595" t="s">
        <v>323</v>
      </c>
      <c r="H595" t="s">
        <v>3474</v>
      </c>
      <c r="I595">
        <v>42</v>
      </c>
      <c r="J595">
        <v>0</v>
      </c>
      <c r="K595">
        <v>0</v>
      </c>
      <c r="L595">
        <v>35</v>
      </c>
      <c r="M595">
        <v>0</v>
      </c>
      <c r="N595">
        <v>0</v>
      </c>
      <c r="O595">
        <v>7</v>
      </c>
    </row>
    <row r="596" spans="1:15" x14ac:dyDescent="0.25">
      <c r="A596" t="s">
        <v>929</v>
      </c>
      <c r="B596" t="s">
        <v>2999</v>
      </c>
      <c r="C596" t="s">
        <v>927</v>
      </c>
      <c r="D596" t="s">
        <v>3052</v>
      </c>
      <c r="E596" t="s">
        <v>3053</v>
      </c>
      <c r="F596" t="s">
        <v>322</v>
      </c>
      <c r="G596" t="s">
        <v>323</v>
      </c>
      <c r="H596" t="s">
        <v>3475</v>
      </c>
      <c r="I596">
        <v>90</v>
      </c>
      <c r="J596">
        <v>0</v>
      </c>
      <c r="K596">
        <v>0</v>
      </c>
      <c r="L596">
        <v>0</v>
      </c>
      <c r="M596">
        <v>90</v>
      </c>
      <c r="N596">
        <v>0</v>
      </c>
      <c r="O596">
        <v>0</v>
      </c>
    </row>
    <row r="597" spans="1:15" x14ac:dyDescent="0.25">
      <c r="A597" t="s">
        <v>991</v>
      </c>
      <c r="B597" t="s">
        <v>1976</v>
      </c>
      <c r="C597" t="s">
        <v>923</v>
      </c>
      <c r="D597" t="s">
        <v>3063</v>
      </c>
      <c r="E597" t="s">
        <v>3053</v>
      </c>
      <c r="F597" t="s">
        <v>322</v>
      </c>
      <c r="G597" t="s">
        <v>323</v>
      </c>
      <c r="H597" t="s">
        <v>3476</v>
      </c>
      <c r="I597">
        <v>5</v>
      </c>
      <c r="J597">
        <v>0</v>
      </c>
      <c r="K597">
        <v>0</v>
      </c>
      <c r="L597">
        <v>5</v>
      </c>
      <c r="M597">
        <v>0</v>
      </c>
      <c r="N597">
        <v>0</v>
      </c>
      <c r="O597">
        <v>0</v>
      </c>
    </row>
    <row r="598" spans="1:15" x14ac:dyDescent="0.25">
      <c r="A598" t="s">
        <v>997</v>
      </c>
      <c r="B598" t="s">
        <v>2033</v>
      </c>
      <c r="C598" t="s">
        <v>927</v>
      </c>
      <c r="D598" t="s">
        <v>3052</v>
      </c>
      <c r="E598" t="s">
        <v>3053</v>
      </c>
      <c r="F598" t="s">
        <v>322</v>
      </c>
      <c r="G598" t="s">
        <v>323</v>
      </c>
      <c r="H598" t="s">
        <v>3477</v>
      </c>
      <c r="I598">
        <v>2822</v>
      </c>
      <c r="J598">
        <v>1247</v>
      </c>
      <c r="K598">
        <v>0</v>
      </c>
      <c r="L598">
        <v>84</v>
      </c>
      <c r="M598">
        <v>1271</v>
      </c>
      <c r="N598">
        <v>11</v>
      </c>
      <c r="O598">
        <v>220</v>
      </c>
    </row>
    <row r="599" spans="1:15" x14ac:dyDescent="0.25">
      <c r="A599" t="s">
        <v>998</v>
      </c>
      <c r="B599" t="s">
        <v>2820</v>
      </c>
      <c r="C599" t="s">
        <v>927</v>
      </c>
      <c r="D599" t="s">
        <v>3052</v>
      </c>
      <c r="E599" t="s">
        <v>3053</v>
      </c>
      <c r="F599" t="s">
        <v>322</v>
      </c>
      <c r="G599" t="s">
        <v>323</v>
      </c>
      <c r="H599" t="s">
        <v>3478</v>
      </c>
      <c r="I599">
        <v>9</v>
      </c>
      <c r="J599">
        <v>9</v>
      </c>
      <c r="K599">
        <v>0</v>
      </c>
      <c r="L599">
        <v>0</v>
      </c>
      <c r="M599">
        <v>0</v>
      </c>
      <c r="N599">
        <v>0</v>
      </c>
      <c r="O599">
        <v>0</v>
      </c>
    </row>
    <row r="600" spans="1:15" x14ac:dyDescent="0.25">
      <c r="A600" t="s">
        <v>1003</v>
      </c>
      <c r="B600" t="s">
        <v>2862</v>
      </c>
      <c r="C600" t="s">
        <v>927</v>
      </c>
      <c r="D600" t="s">
        <v>3052</v>
      </c>
      <c r="E600" t="s">
        <v>3053</v>
      </c>
      <c r="F600" t="s">
        <v>322</v>
      </c>
      <c r="G600" t="s">
        <v>323</v>
      </c>
      <c r="H600" t="s">
        <v>3479</v>
      </c>
      <c r="I600">
        <v>7</v>
      </c>
      <c r="J600">
        <v>5</v>
      </c>
      <c r="K600">
        <v>0</v>
      </c>
      <c r="L600">
        <v>0</v>
      </c>
      <c r="M600">
        <v>0</v>
      </c>
      <c r="N600">
        <v>0</v>
      </c>
      <c r="O600">
        <v>2</v>
      </c>
    </row>
    <row r="601" spans="1:15" x14ac:dyDescent="0.25">
      <c r="A601" t="s">
        <v>1004</v>
      </c>
      <c r="B601" t="s">
        <v>2887</v>
      </c>
      <c r="C601" t="s">
        <v>927</v>
      </c>
      <c r="D601" t="s">
        <v>3052</v>
      </c>
      <c r="E601" t="s">
        <v>3053</v>
      </c>
      <c r="F601" t="s">
        <v>322</v>
      </c>
      <c r="G601" t="s">
        <v>323</v>
      </c>
      <c r="H601" t="s">
        <v>14475</v>
      </c>
      <c r="I601">
        <v>5</v>
      </c>
      <c r="J601">
        <v>5</v>
      </c>
      <c r="K601">
        <v>0</v>
      </c>
      <c r="L601">
        <v>0</v>
      </c>
      <c r="M601">
        <v>0</v>
      </c>
      <c r="N601">
        <v>0</v>
      </c>
      <c r="O601">
        <v>0</v>
      </c>
    </row>
    <row r="602" spans="1:15" x14ac:dyDescent="0.25">
      <c r="A602" t="s">
        <v>1009</v>
      </c>
      <c r="B602" t="s">
        <v>1958</v>
      </c>
      <c r="C602" t="s">
        <v>923</v>
      </c>
      <c r="D602" t="s">
        <v>3063</v>
      </c>
      <c r="E602" t="s">
        <v>3053</v>
      </c>
      <c r="F602" t="s">
        <v>322</v>
      </c>
      <c r="G602" t="s">
        <v>323</v>
      </c>
      <c r="H602" t="s">
        <v>11824</v>
      </c>
      <c r="I602">
        <v>5</v>
      </c>
      <c r="J602">
        <v>0</v>
      </c>
      <c r="K602">
        <v>0</v>
      </c>
      <c r="L602">
        <v>5</v>
      </c>
      <c r="M602">
        <v>0</v>
      </c>
      <c r="N602">
        <v>0</v>
      </c>
      <c r="O602">
        <v>0</v>
      </c>
    </row>
    <row r="603" spans="1:15" x14ac:dyDescent="0.25">
      <c r="A603" t="s">
        <v>1026</v>
      </c>
      <c r="B603" t="s">
        <v>2848</v>
      </c>
      <c r="C603" t="s">
        <v>927</v>
      </c>
      <c r="D603" t="s">
        <v>3052</v>
      </c>
      <c r="E603" t="s">
        <v>3053</v>
      </c>
      <c r="F603" t="s">
        <v>322</v>
      </c>
      <c r="G603" t="s">
        <v>323</v>
      </c>
      <c r="H603" t="s">
        <v>3480</v>
      </c>
      <c r="I603">
        <v>53</v>
      </c>
      <c r="J603">
        <v>51</v>
      </c>
      <c r="K603">
        <v>0</v>
      </c>
      <c r="L603">
        <v>0</v>
      </c>
      <c r="M603">
        <v>0</v>
      </c>
      <c r="N603">
        <v>0</v>
      </c>
      <c r="O603">
        <v>2</v>
      </c>
    </row>
    <row r="604" spans="1:15" x14ac:dyDescent="0.25">
      <c r="A604" t="s">
        <v>10681</v>
      </c>
      <c r="B604" t="s">
        <v>10680</v>
      </c>
      <c r="C604" t="s">
        <v>927</v>
      </c>
      <c r="D604" t="s">
        <v>3052</v>
      </c>
      <c r="E604" t="s">
        <v>3053</v>
      </c>
      <c r="F604" t="s">
        <v>322</v>
      </c>
      <c r="G604" t="s">
        <v>323</v>
      </c>
      <c r="H604" t="s">
        <v>14476</v>
      </c>
      <c r="I604">
        <v>4</v>
      </c>
      <c r="J604">
        <v>0</v>
      </c>
      <c r="K604">
        <v>0</v>
      </c>
      <c r="L604">
        <v>0</v>
      </c>
      <c r="M604">
        <v>0</v>
      </c>
      <c r="N604">
        <v>0</v>
      </c>
      <c r="O604">
        <v>4</v>
      </c>
    </row>
    <row r="605" spans="1:15" x14ac:dyDescent="0.25">
      <c r="A605" t="s">
        <v>1030</v>
      </c>
      <c r="B605" t="s">
        <v>2880</v>
      </c>
      <c r="C605" t="s">
        <v>927</v>
      </c>
      <c r="D605" t="s">
        <v>3052</v>
      </c>
      <c r="E605" t="s">
        <v>3053</v>
      </c>
      <c r="F605" t="s">
        <v>322</v>
      </c>
      <c r="G605" t="s">
        <v>323</v>
      </c>
      <c r="H605" t="s">
        <v>3481</v>
      </c>
      <c r="I605">
        <v>203</v>
      </c>
      <c r="J605">
        <v>148</v>
      </c>
      <c r="K605">
        <v>0</v>
      </c>
      <c r="L605">
        <v>0</v>
      </c>
      <c r="M605">
        <v>0</v>
      </c>
      <c r="N605">
        <v>0</v>
      </c>
      <c r="O605">
        <v>55</v>
      </c>
    </row>
    <row r="606" spans="1:15" x14ac:dyDescent="0.25">
      <c r="A606" t="s">
        <v>1038</v>
      </c>
      <c r="B606" t="s">
        <v>2068</v>
      </c>
      <c r="C606" t="s">
        <v>927</v>
      </c>
      <c r="D606" t="s">
        <v>3052</v>
      </c>
      <c r="E606" t="s">
        <v>3053</v>
      </c>
      <c r="F606" t="s">
        <v>322</v>
      </c>
      <c r="G606" t="s">
        <v>323</v>
      </c>
      <c r="H606" t="s">
        <v>3482</v>
      </c>
      <c r="I606">
        <v>144</v>
      </c>
      <c r="J606">
        <v>119</v>
      </c>
      <c r="K606">
        <v>0</v>
      </c>
      <c r="L606">
        <v>0</v>
      </c>
      <c r="M606">
        <v>0</v>
      </c>
      <c r="N606">
        <v>0</v>
      </c>
      <c r="O606">
        <v>25</v>
      </c>
    </row>
    <row r="607" spans="1:15" x14ac:dyDescent="0.25">
      <c r="A607" t="s">
        <v>9787</v>
      </c>
      <c r="B607" t="s">
        <v>2822</v>
      </c>
      <c r="C607" t="s">
        <v>927</v>
      </c>
      <c r="D607" t="s">
        <v>3052</v>
      </c>
      <c r="E607" t="s">
        <v>3053</v>
      </c>
      <c r="F607" t="s">
        <v>322</v>
      </c>
      <c r="G607" t="s">
        <v>323</v>
      </c>
      <c r="H607" t="s">
        <v>10237</v>
      </c>
      <c r="I607">
        <v>145</v>
      </c>
      <c r="J607">
        <v>145</v>
      </c>
      <c r="K607">
        <v>0</v>
      </c>
      <c r="L607">
        <v>0</v>
      </c>
      <c r="M607">
        <v>0</v>
      </c>
      <c r="N607">
        <v>0</v>
      </c>
      <c r="O607">
        <v>0</v>
      </c>
    </row>
    <row r="608" spans="1:15" x14ac:dyDescent="0.25">
      <c r="A608" t="s">
        <v>1043</v>
      </c>
      <c r="B608" t="s">
        <v>2090</v>
      </c>
      <c r="C608" t="s">
        <v>927</v>
      </c>
      <c r="D608" t="s">
        <v>3052</v>
      </c>
      <c r="E608" t="s">
        <v>3053</v>
      </c>
      <c r="F608" t="s">
        <v>322</v>
      </c>
      <c r="G608" t="s">
        <v>323</v>
      </c>
      <c r="H608" t="s">
        <v>3483</v>
      </c>
      <c r="I608">
        <v>89</v>
      </c>
      <c r="J608">
        <v>82</v>
      </c>
      <c r="K608">
        <v>0</v>
      </c>
      <c r="L608">
        <v>0</v>
      </c>
      <c r="M608">
        <v>0</v>
      </c>
      <c r="N608">
        <v>0</v>
      </c>
      <c r="O608">
        <v>7</v>
      </c>
    </row>
    <row r="609" spans="1:15" x14ac:dyDescent="0.25">
      <c r="A609" t="s">
        <v>951</v>
      </c>
      <c r="B609" t="s">
        <v>2680</v>
      </c>
      <c r="C609" t="s">
        <v>927</v>
      </c>
      <c r="D609" t="s">
        <v>3052</v>
      </c>
      <c r="E609" t="s">
        <v>3053</v>
      </c>
      <c r="F609" t="s">
        <v>322</v>
      </c>
      <c r="G609" t="s">
        <v>323</v>
      </c>
      <c r="H609" t="s">
        <v>3484</v>
      </c>
      <c r="I609">
        <v>1</v>
      </c>
      <c r="J609">
        <v>1</v>
      </c>
      <c r="K609">
        <v>0</v>
      </c>
      <c r="L609">
        <v>0</v>
      </c>
      <c r="M609">
        <v>0</v>
      </c>
      <c r="N609">
        <v>0</v>
      </c>
      <c r="O609">
        <v>0</v>
      </c>
    </row>
    <row r="610" spans="1:15" x14ac:dyDescent="0.25">
      <c r="A610" t="s">
        <v>1048</v>
      </c>
      <c r="B610" t="s">
        <v>2989</v>
      </c>
      <c r="C610" t="s">
        <v>927</v>
      </c>
      <c r="D610" t="s">
        <v>3052</v>
      </c>
      <c r="E610" t="s">
        <v>3053</v>
      </c>
      <c r="F610" t="s">
        <v>322</v>
      </c>
      <c r="G610" t="s">
        <v>323</v>
      </c>
      <c r="H610" t="s">
        <v>11825</v>
      </c>
      <c r="I610">
        <v>82</v>
      </c>
      <c r="J610">
        <v>67</v>
      </c>
      <c r="K610">
        <v>0</v>
      </c>
      <c r="L610">
        <v>0</v>
      </c>
      <c r="M610">
        <v>0</v>
      </c>
      <c r="N610">
        <v>0</v>
      </c>
      <c r="O610">
        <v>15</v>
      </c>
    </row>
    <row r="611" spans="1:15" x14ac:dyDescent="0.25">
      <c r="A611" t="s">
        <v>1049</v>
      </c>
      <c r="B611" t="s">
        <v>2138</v>
      </c>
      <c r="C611" t="s">
        <v>927</v>
      </c>
      <c r="D611" t="s">
        <v>3052</v>
      </c>
      <c r="E611" t="s">
        <v>3053</v>
      </c>
      <c r="F611" t="s">
        <v>322</v>
      </c>
      <c r="G611" t="s">
        <v>323</v>
      </c>
      <c r="H611" t="s">
        <v>3485</v>
      </c>
      <c r="I611">
        <v>440</v>
      </c>
      <c r="J611">
        <v>349</v>
      </c>
      <c r="K611">
        <v>0</v>
      </c>
      <c r="L611">
        <v>0</v>
      </c>
      <c r="M611">
        <v>0</v>
      </c>
      <c r="N611">
        <v>0</v>
      </c>
      <c r="O611">
        <v>91</v>
      </c>
    </row>
    <row r="612" spans="1:15" x14ac:dyDescent="0.25">
      <c r="A612" t="s">
        <v>1051</v>
      </c>
      <c r="B612" t="s">
        <v>2995</v>
      </c>
      <c r="C612" t="s">
        <v>927</v>
      </c>
      <c r="D612" t="s">
        <v>3052</v>
      </c>
      <c r="E612" t="s">
        <v>3053</v>
      </c>
      <c r="F612" t="s">
        <v>322</v>
      </c>
      <c r="G612" t="s">
        <v>323</v>
      </c>
      <c r="H612" t="s">
        <v>3486</v>
      </c>
      <c r="I612">
        <v>7</v>
      </c>
      <c r="J612">
        <v>0</v>
      </c>
      <c r="K612">
        <v>0</v>
      </c>
      <c r="L612">
        <v>7</v>
      </c>
      <c r="M612">
        <v>0</v>
      </c>
      <c r="N612">
        <v>0</v>
      </c>
      <c r="O612">
        <v>0</v>
      </c>
    </row>
    <row r="613" spans="1:15" x14ac:dyDescent="0.25">
      <c r="A613" t="s">
        <v>955</v>
      </c>
      <c r="B613" t="s">
        <v>2660</v>
      </c>
      <c r="C613" t="s">
        <v>927</v>
      </c>
      <c r="D613" t="s">
        <v>3052</v>
      </c>
      <c r="E613" t="s">
        <v>3053</v>
      </c>
      <c r="F613" t="s">
        <v>322</v>
      </c>
      <c r="G613" t="s">
        <v>323</v>
      </c>
      <c r="H613" t="s">
        <v>3487</v>
      </c>
      <c r="I613">
        <v>3</v>
      </c>
      <c r="J613">
        <v>2</v>
      </c>
      <c r="K613">
        <v>0</v>
      </c>
      <c r="L613">
        <v>0</v>
      </c>
      <c r="M613">
        <v>0</v>
      </c>
      <c r="N613">
        <v>0</v>
      </c>
      <c r="O613">
        <v>1</v>
      </c>
    </row>
    <row r="614" spans="1:15" x14ac:dyDescent="0.25">
      <c r="A614" t="s">
        <v>962</v>
      </c>
      <c r="B614" t="s">
        <v>2752</v>
      </c>
      <c r="C614" t="s">
        <v>927</v>
      </c>
      <c r="D614" t="s">
        <v>3052</v>
      </c>
      <c r="E614" t="s">
        <v>3053</v>
      </c>
      <c r="F614" t="s">
        <v>322</v>
      </c>
      <c r="G614" t="s">
        <v>323</v>
      </c>
      <c r="H614" t="s">
        <v>3488</v>
      </c>
      <c r="I614">
        <v>166</v>
      </c>
      <c r="J614">
        <v>136</v>
      </c>
      <c r="K614">
        <v>0</v>
      </c>
      <c r="L614">
        <v>0</v>
      </c>
      <c r="M614">
        <v>0</v>
      </c>
      <c r="N614">
        <v>0</v>
      </c>
      <c r="O614">
        <v>30</v>
      </c>
    </row>
    <row r="615" spans="1:15" x14ac:dyDescent="0.25">
      <c r="A615" t="s">
        <v>1072</v>
      </c>
      <c r="B615" t="s">
        <v>2907</v>
      </c>
      <c r="C615" t="s">
        <v>927</v>
      </c>
      <c r="D615" t="s">
        <v>3052</v>
      </c>
      <c r="E615" t="s">
        <v>3053</v>
      </c>
      <c r="F615" t="s">
        <v>322</v>
      </c>
      <c r="G615" t="s">
        <v>323</v>
      </c>
      <c r="H615" t="s">
        <v>3489</v>
      </c>
      <c r="I615">
        <v>59</v>
      </c>
      <c r="J615">
        <v>39</v>
      </c>
      <c r="K615">
        <v>0</v>
      </c>
      <c r="L615">
        <v>0</v>
      </c>
      <c r="M615">
        <v>0</v>
      </c>
      <c r="N615">
        <v>0</v>
      </c>
      <c r="O615">
        <v>20</v>
      </c>
    </row>
    <row r="616" spans="1:15" x14ac:dyDescent="0.25">
      <c r="A616" t="s">
        <v>974</v>
      </c>
      <c r="B616" t="s">
        <v>2949</v>
      </c>
      <c r="C616" t="s">
        <v>923</v>
      </c>
      <c r="D616" t="s">
        <v>3063</v>
      </c>
      <c r="E616" t="s">
        <v>3053</v>
      </c>
      <c r="F616" t="s">
        <v>324</v>
      </c>
      <c r="G616" t="s">
        <v>325</v>
      </c>
      <c r="H616" t="s">
        <v>3490</v>
      </c>
      <c r="I616">
        <v>10</v>
      </c>
      <c r="J616">
        <v>0</v>
      </c>
      <c r="K616">
        <v>0</v>
      </c>
      <c r="L616">
        <v>10</v>
      </c>
      <c r="M616">
        <v>0</v>
      </c>
      <c r="N616">
        <v>0</v>
      </c>
      <c r="O616">
        <v>0</v>
      </c>
    </row>
    <row r="617" spans="1:15" x14ac:dyDescent="0.25">
      <c r="A617" t="s">
        <v>929</v>
      </c>
      <c r="B617" t="s">
        <v>2999</v>
      </c>
      <c r="C617" t="s">
        <v>927</v>
      </c>
      <c r="D617" t="s">
        <v>3052</v>
      </c>
      <c r="E617" t="s">
        <v>3053</v>
      </c>
      <c r="F617" t="s">
        <v>324</v>
      </c>
      <c r="G617" t="s">
        <v>325</v>
      </c>
      <c r="H617" t="s">
        <v>3491</v>
      </c>
      <c r="I617">
        <v>246</v>
      </c>
      <c r="J617">
        <v>0</v>
      </c>
      <c r="K617">
        <v>0</v>
      </c>
      <c r="L617">
        <v>0</v>
      </c>
      <c r="M617">
        <v>234</v>
      </c>
      <c r="N617">
        <v>0</v>
      </c>
      <c r="O617">
        <v>12</v>
      </c>
    </row>
    <row r="618" spans="1:15" x14ac:dyDescent="0.25">
      <c r="A618" t="s">
        <v>978</v>
      </c>
      <c r="B618" t="s">
        <v>1999</v>
      </c>
      <c r="C618" t="s">
        <v>923</v>
      </c>
      <c r="D618" t="s">
        <v>3063</v>
      </c>
      <c r="E618" t="s">
        <v>3053</v>
      </c>
      <c r="F618" t="s">
        <v>324</v>
      </c>
      <c r="G618" t="s">
        <v>325</v>
      </c>
      <c r="H618" t="s">
        <v>3492</v>
      </c>
      <c r="I618">
        <v>8</v>
      </c>
      <c r="J618">
        <v>8</v>
      </c>
      <c r="K618">
        <v>0</v>
      </c>
      <c r="L618">
        <v>0</v>
      </c>
      <c r="M618">
        <v>0</v>
      </c>
      <c r="N618">
        <v>0</v>
      </c>
      <c r="O618">
        <v>0</v>
      </c>
    </row>
    <row r="619" spans="1:15" x14ac:dyDescent="0.25">
      <c r="A619" t="s">
        <v>9790</v>
      </c>
      <c r="B619" t="s">
        <v>1977</v>
      </c>
      <c r="C619" t="s">
        <v>923</v>
      </c>
      <c r="D619" t="s">
        <v>3063</v>
      </c>
      <c r="E619" t="s">
        <v>3053</v>
      </c>
      <c r="F619" t="s">
        <v>324</v>
      </c>
      <c r="G619" t="s">
        <v>325</v>
      </c>
      <c r="H619" t="s">
        <v>14477</v>
      </c>
      <c r="I619">
        <v>100</v>
      </c>
      <c r="J619">
        <v>0</v>
      </c>
      <c r="K619">
        <v>0</v>
      </c>
      <c r="L619">
        <v>100</v>
      </c>
      <c r="M619">
        <v>0</v>
      </c>
      <c r="N619">
        <v>0</v>
      </c>
      <c r="O619">
        <v>0</v>
      </c>
    </row>
    <row r="620" spans="1:15" x14ac:dyDescent="0.25">
      <c r="A620" t="s">
        <v>1095</v>
      </c>
      <c r="B620" t="s">
        <v>1946</v>
      </c>
      <c r="C620" t="s">
        <v>923</v>
      </c>
      <c r="D620" t="s">
        <v>3063</v>
      </c>
      <c r="E620" t="s">
        <v>3053</v>
      </c>
      <c r="F620" t="s">
        <v>324</v>
      </c>
      <c r="G620" t="s">
        <v>325</v>
      </c>
      <c r="H620" t="s">
        <v>3493</v>
      </c>
      <c r="I620">
        <v>8</v>
      </c>
      <c r="J620">
        <v>0</v>
      </c>
      <c r="K620">
        <v>0</v>
      </c>
      <c r="L620">
        <v>8</v>
      </c>
      <c r="M620">
        <v>0</v>
      </c>
      <c r="N620">
        <v>0</v>
      </c>
      <c r="O620">
        <v>0</v>
      </c>
    </row>
    <row r="621" spans="1:15" x14ac:dyDescent="0.25">
      <c r="A621" t="s">
        <v>985</v>
      </c>
      <c r="B621" t="s">
        <v>1964</v>
      </c>
      <c r="C621" t="s">
        <v>923</v>
      </c>
      <c r="D621" t="s">
        <v>3063</v>
      </c>
      <c r="E621" t="s">
        <v>3053</v>
      </c>
      <c r="F621" t="s">
        <v>324</v>
      </c>
      <c r="G621" t="s">
        <v>325</v>
      </c>
      <c r="H621" t="s">
        <v>3494</v>
      </c>
      <c r="I621">
        <v>4</v>
      </c>
      <c r="J621">
        <v>0</v>
      </c>
      <c r="K621">
        <v>0</v>
      </c>
      <c r="L621">
        <v>4</v>
      </c>
      <c r="M621">
        <v>0</v>
      </c>
      <c r="N621">
        <v>0</v>
      </c>
      <c r="O621">
        <v>0</v>
      </c>
    </row>
    <row r="622" spans="1:15" x14ac:dyDescent="0.25">
      <c r="A622" t="s">
        <v>935</v>
      </c>
      <c r="B622" t="s">
        <v>1960</v>
      </c>
      <c r="C622" t="s">
        <v>923</v>
      </c>
      <c r="D622" t="s">
        <v>3063</v>
      </c>
      <c r="E622" t="s">
        <v>3053</v>
      </c>
      <c r="F622" t="s">
        <v>324</v>
      </c>
      <c r="G622" t="s">
        <v>325</v>
      </c>
      <c r="H622" t="s">
        <v>3495</v>
      </c>
      <c r="I622">
        <v>8</v>
      </c>
      <c r="J622">
        <v>0</v>
      </c>
      <c r="K622">
        <v>0</v>
      </c>
      <c r="L622">
        <v>8</v>
      </c>
      <c r="M622">
        <v>0</v>
      </c>
      <c r="N622">
        <v>0</v>
      </c>
      <c r="O622">
        <v>0</v>
      </c>
    </row>
    <row r="623" spans="1:15" x14ac:dyDescent="0.25">
      <c r="A623" t="s">
        <v>1006</v>
      </c>
      <c r="B623" t="s">
        <v>2724</v>
      </c>
      <c r="C623" t="s">
        <v>927</v>
      </c>
      <c r="D623" t="s">
        <v>3052</v>
      </c>
      <c r="E623" t="s">
        <v>3053</v>
      </c>
      <c r="F623" t="s">
        <v>324</v>
      </c>
      <c r="G623" t="s">
        <v>325</v>
      </c>
      <c r="H623" t="s">
        <v>3496</v>
      </c>
      <c r="I623">
        <v>1111</v>
      </c>
      <c r="J623">
        <v>1033</v>
      </c>
      <c r="K623">
        <v>0</v>
      </c>
      <c r="L623">
        <v>32</v>
      </c>
      <c r="M623">
        <v>0</v>
      </c>
      <c r="N623">
        <v>0</v>
      </c>
      <c r="O623">
        <v>46</v>
      </c>
    </row>
    <row r="624" spans="1:15" x14ac:dyDescent="0.25">
      <c r="A624" t="s">
        <v>1009</v>
      </c>
      <c r="B624" t="s">
        <v>1958</v>
      </c>
      <c r="C624" t="s">
        <v>923</v>
      </c>
      <c r="D624" t="s">
        <v>3063</v>
      </c>
      <c r="E624" t="s">
        <v>3053</v>
      </c>
      <c r="F624" t="s">
        <v>324</v>
      </c>
      <c r="G624" t="s">
        <v>325</v>
      </c>
      <c r="H624" t="s">
        <v>3497</v>
      </c>
      <c r="I624">
        <v>14</v>
      </c>
      <c r="J624">
        <v>0</v>
      </c>
      <c r="K624">
        <v>0</v>
      </c>
      <c r="L624">
        <v>14</v>
      </c>
      <c r="M624">
        <v>0</v>
      </c>
      <c r="N624">
        <v>0</v>
      </c>
      <c r="O624">
        <v>0</v>
      </c>
    </row>
    <row r="625" spans="1:15" x14ac:dyDescent="0.25">
      <c r="A625" t="s">
        <v>937</v>
      </c>
      <c r="B625" t="s">
        <v>1962</v>
      </c>
      <c r="C625" t="s">
        <v>927</v>
      </c>
      <c r="D625" t="s">
        <v>3052</v>
      </c>
      <c r="E625" t="s">
        <v>3053</v>
      </c>
      <c r="F625" t="s">
        <v>324</v>
      </c>
      <c r="G625" t="s">
        <v>325</v>
      </c>
      <c r="H625" t="s">
        <v>11826</v>
      </c>
      <c r="I625">
        <v>3</v>
      </c>
      <c r="J625">
        <v>0</v>
      </c>
      <c r="K625">
        <v>0</v>
      </c>
      <c r="L625">
        <v>0</v>
      </c>
      <c r="M625">
        <v>0</v>
      </c>
      <c r="N625">
        <v>0</v>
      </c>
      <c r="O625">
        <v>3</v>
      </c>
    </row>
    <row r="626" spans="1:15" x14ac:dyDescent="0.25">
      <c r="A626" t="s">
        <v>940</v>
      </c>
      <c r="B626" t="s">
        <v>2647</v>
      </c>
      <c r="C626" t="s">
        <v>927</v>
      </c>
      <c r="D626" t="s">
        <v>3052</v>
      </c>
      <c r="E626" t="s">
        <v>3053</v>
      </c>
      <c r="F626" t="s">
        <v>324</v>
      </c>
      <c r="G626" t="s">
        <v>325</v>
      </c>
      <c r="H626" t="s">
        <v>3498</v>
      </c>
      <c r="I626">
        <v>181</v>
      </c>
      <c r="J626">
        <v>0</v>
      </c>
      <c r="K626">
        <v>0</v>
      </c>
      <c r="L626">
        <v>0</v>
      </c>
      <c r="M626">
        <v>169</v>
      </c>
      <c r="N626">
        <v>0</v>
      </c>
      <c r="O626">
        <v>12</v>
      </c>
    </row>
    <row r="627" spans="1:15" x14ac:dyDescent="0.25">
      <c r="A627" t="s">
        <v>1013</v>
      </c>
      <c r="B627" t="s">
        <v>1959</v>
      </c>
      <c r="C627" t="s">
        <v>927</v>
      </c>
      <c r="D627" t="s">
        <v>3052</v>
      </c>
      <c r="E627" t="s">
        <v>3053</v>
      </c>
      <c r="F627" t="s">
        <v>324</v>
      </c>
      <c r="G627" t="s">
        <v>325</v>
      </c>
      <c r="H627" t="s">
        <v>3499</v>
      </c>
      <c r="I627">
        <v>106</v>
      </c>
      <c r="J627">
        <v>0</v>
      </c>
      <c r="K627">
        <v>0</v>
      </c>
      <c r="L627">
        <v>106</v>
      </c>
      <c r="M627">
        <v>0</v>
      </c>
      <c r="N627">
        <v>0</v>
      </c>
      <c r="O627">
        <v>0</v>
      </c>
    </row>
    <row r="628" spans="1:15" x14ac:dyDescent="0.25">
      <c r="A628" t="s">
        <v>1020</v>
      </c>
      <c r="B628" t="s">
        <v>2104</v>
      </c>
      <c r="C628" t="s">
        <v>923</v>
      </c>
      <c r="D628" t="s">
        <v>3063</v>
      </c>
      <c r="E628" t="s">
        <v>3053</v>
      </c>
      <c r="F628" t="s">
        <v>324</v>
      </c>
      <c r="G628" t="s">
        <v>325</v>
      </c>
      <c r="H628" t="s">
        <v>11827</v>
      </c>
      <c r="I628">
        <v>1</v>
      </c>
      <c r="J628">
        <v>0</v>
      </c>
      <c r="K628">
        <v>0</v>
      </c>
      <c r="L628">
        <v>1</v>
      </c>
      <c r="M628">
        <v>0</v>
      </c>
      <c r="N628">
        <v>0</v>
      </c>
      <c r="O628">
        <v>0</v>
      </c>
    </row>
    <row r="629" spans="1:15" x14ac:dyDescent="0.25">
      <c r="A629" t="s">
        <v>1505</v>
      </c>
      <c r="B629" t="s">
        <v>2277</v>
      </c>
      <c r="C629" t="s">
        <v>923</v>
      </c>
      <c r="D629" t="s">
        <v>3063</v>
      </c>
      <c r="E629" t="s">
        <v>3053</v>
      </c>
      <c r="F629" t="s">
        <v>324</v>
      </c>
      <c r="G629" t="s">
        <v>325</v>
      </c>
      <c r="H629" t="s">
        <v>3500</v>
      </c>
      <c r="I629">
        <v>8</v>
      </c>
      <c r="J629">
        <v>0</v>
      </c>
      <c r="K629">
        <v>0</v>
      </c>
      <c r="L629">
        <v>0</v>
      </c>
      <c r="M629">
        <v>8</v>
      </c>
      <c r="N629">
        <v>0</v>
      </c>
      <c r="O629">
        <v>0</v>
      </c>
    </row>
    <row r="630" spans="1:15" x14ac:dyDescent="0.25">
      <c r="A630" t="s">
        <v>10681</v>
      </c>
      <c r="B630" t="s">
        <v>10680</v>
      </c>
      <c r="C630" t="s">
        <v>927</v>
      </c>
      <c r="D630" t="s">
        <v>3052</v>
      </c>
      <c r="E630" t="s">
        <v>3053</v>
      </c>
      <c r="F630" t="s">
        <v>324</v>
      </c>
      <c r="G630" t="s">
        <v>325</v>
      </c>
      <c r="H630" t="s">
        <v>14478</v>
      </c>
      <c r="I630">
        <v>21</v>
      </c>
      <c r="J630">
        <v>0</v>
      </c>
      <c r="K630">
        <v>0</v>
      </c>
      <c r="L630">
        <v>0</v>
      </c>
      <c r="M630">
        <v>0</v>
      </c>
      <c r="N630">
        <v>0</v>
      </c>
      <c r="O630">
        <v>21</v>
      </c>
    </row>
    <row r="631" spans="1:15" x14ac:dyDescent="0.25">
      <c r="A631" t="s">
        <v>1516</v>
      </c>
      <c r="B631" t="s">
        <v>2098</v>
      </c>
      <c r="C631" t="s">
        <v>927</v>
      </c>
      <c r="D631" t="s">
        <v>3052</v>
      </c>
      <c r="E631" t="s">
        <v>3053</v>
      </c>
      <c r="F631" t="s">
        <v>324</v>
      </c>
      <c r="G631" t="s">
        <v>325</v>
      </c>
      <c r="H631" t="s">
        <v>3501</v>
      </c>
      <c r="I631">
        <v>64</v>
      </c>
      <c r="J631">
        <v>15</v>
      </c>
      <c r="K631">
        <v>0</v>
      </c>
      <c r="L631">
        <v>46</v>
      </c>
      <c r="M631">
        <v>0</v>
      </c>
      <c r="N631">
        <v>0</v>
      </c>
      <c r="O631">
        <v>3</v>
      </c>
    </row>
    <row r="632" spans="1:15" x14ac:dyDescent="0.25">
      <c r="A632" t="s">
        <v>1521</v>
      </c>
      <c r="B632" t="s">
        <v>2920</v>
      </c>
      <c r="C632" t="s">
        <v>927</v>
      </c>
      <c r="D632" t="s">
        <v>3052</v>
      </c>
      <c r="E632" t="s">
        <v>3053</v>
      </c>
      <c r="F632" t="s">
        <v>324</v>
      </c>
      <c r="G632" t="s">
        <v>325</v>
      </c>
      <c r="H632" t="s">
        <v>3502</v>
      </c>
      <c r="I632">
        <v>299</v>
      </c>
      <c r="J632">
        <v>222</v>
      </c>
      <c r="K632">
        <v>0</v>
      </c>
      <c r="L632">
        <v>29</v>
      </c>
      <c r="M632">
        <v>48</v>
      </c>
      <c r="N632">
        <v>0</v>
      </c>
      <c r="O632">
        <v>0</v>
      </c>
    </row>
    <row r="633" spans="1:15" x14ac:dyDescent="0.25">
      <c r="A633" t="s">
        <v>1046</v>
      </c>
      <c r="B633" t="s">
        <v>2027</v>
      </c>
      <c r="C633" t="s">
        <v>923</v>
      </c>
      <c r="D633" t="s">
        <v>3063</v>
      </c>
      <c r="E633" t="s">
        <v>3053</v>
      </c>
      <c r="F633" t="s">
        <v>324</v>
      </c>
      <c r="G633" t="s">
        <v>325</v>
      </c>
      <c r="H633" t="s">
        <v>3503</v>
      </c>
      <c r="I633">
        <v>4</v>
      </c>
      <c r="J633">
        <v>1</v>
      </c>
      <c r="K633">
        <v>0</v>
      </c>
      <c r="L633">
        <v>3</v>
      </c>
      <c r="M633">
        <v>0</v>
      </c>
      <c r="N633">
        <v>0</v>
      </c>
      <c r="O633">
        <v>0</v>
      </c>
    </row>
    <row r="634" spans="1:15" x14ac:dyDescent="0.25">
      <c r="A634" t="s">
        <v>951</v>
      </c>
      <c r="B634" t="s">
        <v>2680</v>
      </c>
      <c r="C634" t="s">
        <v>927</v>
      </c>
      <c r="D634" t="s">
        <v>3052</v>
      </c>
      <c r="E634" t="s">
        <v>3053</v>
      </c>
      <c r="F634" t="s">
        <v>324</v>
      </c>
      <c r="G634" t="s">
        <v>325</v>
      </c>
      <c r="H634" t="s">
        <v>3504</v>
      </c>
      <c r="I634">
        <v>1049</v>
      </c>
      <c r="J634">
        <v>734</v>
      </c>
      <c r="K634">
        <v>0</v>
      </c>
      <c r="L634">
        <v>4</v>
      </c>
      <c r="M634">
        <v>264</v>
      </c>
      <c r="N634">
        <v>1</v>
      </c>
      <c r="O634">
        <v>47</v>
      </c>
    </row>
    <row r="635" spans="1:15" x14ac:dyDescent="0.25">
      <c r="A635" t="s">
        <v>1048</v>
      </c>
      <c r="B635" t="s">
        <v>2989</v>
      </c>
      <c r="C635" t="s">
        <v>927</v>
      </c>
      <c r="D635" t="s">
        <v>3052</v>
      </c>
      <c r="E635" t="s">
        <v>3053</v>
      </c>
      <c r="F635" t="s">
        <v>324</v>
      </c>
      <c r="G635" t="s">
        <v>325</v>
      </c>
      <c r="H635" t="s">
        <v>3505</v>
      </c>
      <c r="I635">
        <v>80</v>
      </c>
      <c r="J635">
        <v>0</v>
      </c>
      <c r="K635">
        <v>0</v>
      </c>
      <c r="L635">
        <v>38</v>
      </c>
      <c r="M635">
        <v>42</v>
      </c>
      <c r="N635">
        <v>0</v>
      </c>
      <c r="O635">
        <v>0</v>
      </c>
    </row>
    <row r="636" spans="1:15" x14ac:dyDescent="0.25">
      <c r="A636" t="s">
        <v>1051</v>
      </c>
      <c r="B636" t="s">
        <v>2995</v>
      </c>
      <c r="C636" t="s">
        <v>927</v>
      </c>
      <c r="D636" t="s">
        <v>3052</v>
      </c>
      <c r="E636" t="s">
        <v>3053</v>
      </c>
      <c r="F636" t="s">
        <v>324</v>
      </c>
      <c r="G636" t="s">
        <v>325</v>
      </c>
      <c r="H636" t="s">
        <v>3506</v>
      </c>
      <c r="I636">
        <v>76</v>
      </c>
      <c r="J636">
        <v>0</v>
      </c>
      <c r="K636">
        <v>0</v>
      </c>
      <c r="L636">
        <v>76</v>
      </c>
      <c r="M636">
        <v>0</v>
      </c>
      <c r="N636">
        <v>0</v>
      </c>
      <c r="O636">
        <v>0</v>
      </c>
    </row>
    <row r="637" spans="1:15" x14ac:dyDescent="0.25">
      <c r="A637" t="s">
        <v>1529</v>
      </c>
      <c r="B637" t="s">
        <v>1954</v>
      </c>
      <c r="C637" t="s">
        <v>927</v>
      </c>
      <c r="D637" t="s">
        <v>3052</v>
      </c>
      <c r="E637" t="s">
        <v>3053</v>
      </c>
      <c r="F637" t="s">
        <v>324</v>
      </c>
      <c r="G637" t="s">
        <v>325</v>
      </c>
      <c r="H637" t="s">
        <v>3507</v>
      </c>
      <c r="I637">
        <v>9</v>
      </c>
      <c r="J637">
        <v>0</v>
      </c>
      <c r="K637">
        <v>0</v>
      </c>
      <c r="L637">
        <v>9</v>
      </c>
      <c r="M637">
        <v>0</v>
      </c>
      <c r="N637">
        <v>0</v>
      </c>
      <c r="O637">
        <v>0</v>
      </c>
    </row>
    <row r="638" spans="1:15" x14ac:dyDescent="0.25">
      <c r="A638" t="s">
        <v>1056</v>
      </c>
      <c r="B638" t="s">
        <v>2966</v>
      </c>
      <c r="C638" t="s">
        <v>927</v>
      </c>
      <c r="D638" t="s">
        <v>3052</v>
      </c>
      <c r="E638" t="s">
        <v>3053</v>
      </c>
      <c r="F638" t="s">
        <v>324</v>
      </c>
      <c r="G638" t="s">
        <v>325</v>
      </c>
      <c r="H638" t="s">
        <v>3508</v>
      </c>
      <c r="I638">
        <v>80</v>
      </c>
      <c r="J638">
        <v>25</v>
      </c>
      <c r="K638">
        <v>0</v>
      </c>
      <c r="L638">
        <v>55</v>
      </c>
      <c r="M638">
        <v>0</v>
      </c>
      <c r="N638">
        <v>0</v>
      </c>
      <c r="O638">
        <v>0</v>
      </c>
    </row>
    <row r="639" spans="1:15" x14ac:dyDescent="0.25">
      <c r="A639" t="s">
        <v>955</v>
      </c>
      <c r="B639" t="s">
        <v>2660</v>
      </c>
      <c r="C639" t="s">
        <v>927</v>
      </c>
      <c r="D639" t="s">
        <v>3052</v>
      </c>
      <c r="E639" t="s">
        <v>3053</v>
      </c>
      <c r="F639" t="s">
        <v>324</v>
      </c>
      <c r="G639" t="s">
        <v>325</v>
      </c>
      <c r="H639" t="s">
        <v>3509</v>
      </c>
      <c r="I639">
        <v>10</v>
      </c>
      <c r="J639">
        <v>0</v>
      </c>
      <c r="K639">
        <v>0</v>
      </c>
      <c r="L639">
        <v>10</v>
      </c>
      <c r="M639">
        <v>0</v>
      </c>
      <c r="N639">
        <v>0</v>
      </c>
      <c r="O639">
        <v>0</v>
      </c>
    </row>
    <row r="640" spans="1:15" x14ac:dyDescent="0.25">
      <c r="A640" t="s">
        <v>1069</v>
      </c>
      <c r="B640" t="s">
        <v>2001</v>
      </c>
      <c r="C640" t="s">
        <v>927</v>
      </c>
      <c r="D640" t="s">
        <v>3052</v>
      </c>
      <c r="E640" t="s">
        <v>3053</v>
      </c>
      <c r="F640" t="s">
        <v>324</v>
      </c>
      <c r="G640" t="s">
        <v>325</v>
      </c>
      <c r="H640" t="s">
        <v>3510</v>
      </c>
      <c r="I640">
        <v>750</v>
      </c>
      <c r="J640">
        <v>608</v>
      </c>
      <c r="K640">
        <v>0</v>
      </c>
      <c r="L640">
        <v>23</v>
      </c>
      <c r="M640">
        <v>101</v>
      </c>
      <c r="N640">
        <v>0</v>
      </c>
      <c r="O640">
        <v>18</v>
      </c>
    </row>
    <row r="641" spans="1:15" x14ac:dyDescent="0.25">
      <c r="A641" t="s">
        <v>1075</v>
      </c>
      <c r="B641" t="s">
        <v>2830</v>
      </c>
      <c r="C641" t="s">
        <v>927</v>
      </c>
      <c r="D641" t="s">
        <v>3052</v>
      </c>
      <c r="E641" t="s">
        <v>3053</v>
      </c>
      <c r="F641" t="s">
        <v>324</v>
      </c>
      <c r="G641" t="s">
        <v>325</v>
      </c>
      <c r="H641" t="s">
        <v>3511</v>
      </c>
      <c r="I641">
        <v>7665</v>
      </c>
      <c r="J641">
        <v>7439</v>
      </c>
      <c r="K641">
        <v>0</v>
      </c>
      <c r="L641">
        <v>40</v>
      </c>
      <c r="M641">
        <v>85</v>
      </c>
      <c r="N641">
        <v>1</v>
      </c>
      <c r="O641">
        <v>101</v>
      </c>
    </row>
    <row r="642" spans="1:15" x14ac:dyDescent="0.25">
      <c r="A642" t="s">
        <v>1078</v>
      </c>
      <c r="B642" t="s">
        <v>1950</v>
      </c>
      <c r="C642" t="s">
        <v>923</v>
      </c>
      <c r="D642" t="s">
        <v>3063</v>
      </c>
      <c r="E642" t="s">
        <v>3053</v>
      </c>
      <c r="F642" t="s">
        <v>324</v>
      </c>
      <c r="G642" t="s">
        <v>325</v>
      </c>
      <c r="H642" t="s">
        <v>3512</v>
      </c>
      <c r="I642">
        <v>6</v>
      </c>
      <c r="J642">
        <v>0</v>
      </c>
      <c r="K642">
        <v>0</v>
      </c>
      <c r="L642">
        <v>6</v>
      </c>
      <c r="M642">
        <v>0</v>
      </c>
      <c r="N642">
        <v>0</v>
      </c>
      <c r="O642">
        <v>0</v>
      </c>
    </row>
    <row r="643" spans="1:15" x14ac:dyDescent="0.25">
      <c r="A643" t="s">
        <v>929</v>
      </c>
      <c r="B643" t="s">
        <v>2999</v>
      </c>
      <c r="C643" t="s">
        <v>927</v>
      </c>
      <c r="D643" t="s">
        <v>3052</v>
      </c>
      <c r="E643" t="s">
        <v>3053</v>
      </c>
      <c r="F643" t="s">
        <v>326</v>
      </c>
      <c r="G643" t="s">
        <v>327</v>
      </c>
      <c r="H643" t="s">
        <v>3513</v>
      </c>
      <c r="I643">
        <v>32</v>
      </c>
      <c r="J643">
        <v>0</v>
      </c>
      <c r="K643">
        <v>0</v>
      </c>
      <c r="L643">
        <v>0</v>
      </c>
      <c r="M643">
        <v>32</v>
      </c>
      <c r="N643">
        <v>0</v>
      </c>
      <c r="O643">
        <v>0</v>
      </c>
    </row>
    <row r="644" spans="1:15" x14ac:dyDescent="0.25">
      <c r="A644" t="s">
        <v>978</v>
      </c>
      <c r="B644" t="s">
        <v>1999</v>
      </c>
      <c r="C644" t="s">
        <v>923</v>
      </c>
      <c r="D644" t="s">
        <v>3063</v>
      </c>
      <c r="E644" t="s">
        <v>3053</v>
      </c>
      <c r="F644" t="s">
        <v>326</v>
      </c>
      <c r="G644" t="s">
        <v>327</v>
      </c>
      <c r="H644" t="s">
        <v>3514</v>
      </c>
      <c r="I644">
        <v>6</v>
      </c>
      <c r="J644">
        <v>6</v>
      </c>
      <c r="K644">
        <v>0</v>
      </c>
      <c r="L644">
        <v>0</v>
      </c>
      <c r="M644">
        <v>0</v>
      </c>
      <c r="N644">
        <v>0</v>
      </c>
      <c r="O644">
        <v>0</v>
      </c>
    </row>
    <row r="645" spans="1:15" x14ac:dyDescent="0.25">
      <c r="A645" t="s">
        <v>1457</v>
      </c>
      <c r="B645" t="s">
        <v>2003</v>
      </c>
      <c r="C645" t="s">
        <v>923</v>
      </c>
      <c r="D645" t="s">
        <v>3063</v>
      </c>
      <c r="E645" t="s">
        <v>3053</v>
      </c>
      <c r="F645" t="s">
        <v>326</v>
      </c>
      <c r="G645" t="s">
        <v>327</v>
      </c>
      <c r="H645" t="s">
        <v>3515</v>
      </c>
      <c r="I645">
        <v>36</v>
      </c>
      <c r="J645">
        <v>0</v>
      </c>
      <c r="K645">
        <v>0</v>
      </c>
      <c r="L645">
        <v>36</v>
      </c>
      <c r="M645">
        <v>0</v>
      </c>
      <c r="N645">
        <v>0</v>
      </c>
      <c r="O645">
        <v>0</v>
      </c>
    </row>
    <row r="646" spans="1:15" x14ac:dyDescent="0.25">
      <c r="A646" t="s">
        <v>9784</v>
      </c>
      <c r="B646" t="s">
        <v>1994</v>
      </c>
      <c r="C646" t="s">
        <v>927</v>
      </c>
      <c r="D646" t="s">
        <v>3052</v>
      </c>
      <c r="E646" t="s">
        <v>3053</v>
      </c>
      <c r="F646" t="s">
        <v>326</v>
      </c>
      <c r="G646" t="s">
        <v>327</v>
      </c>
      <c r="H646" t="s">
        <v>9918</v>
      </c>
      <c r="I646">
        <v>31</v>
      </c>
      <c r="J646">
        <v>0</v>
      </c>
      <c r="K646">
        <v>0</v>
      </c>
      <c r="L646">
        <v>31</v>
      </c>
      <c r="M646">
        <v>0</v>
      </c>
      <c r="N646">
        <v>4</v>
      </c>
      <c r="O646">
        <v>0</v>
      </c>
    </row>
    <row r="647" spans="1:15" x14ac:dyDescent="0.25">
      <c r="A647" t="s">
        <v>1473</v>
      </c>
      <c r="B647" t="s">
        <v>2877</v>
      </c>
      <c r="C647" t="s">
        <v>927</v>
      </c>
      <c r="D647" t="s">
        <v>3052</v>
      </c>
      <c r="E647" t="s">
        <v>3053</v>
      </c>
      <c r="F647" t="s">
        <v>326</v>
      </c>
      <c r="G647" t="s">
        <v>327</v>
      </c>
      <c r="H647" t="s">
        <v>3516</v>
      </c>
      <c r="I647">
        <v>77</v>
      </c>
      <c r="J647">
        <v>71</v>
      </c>
      <c r="K647">
        <v>0</v>
      </c>
      <c r="L647">
        <v>6</v>
      </c>
      <c r="M647">
        <v>0</v>
      </c>
      <c r="N647">
        <v>0</v>
      </c>
      <c r="O647">
        <v>0</v>
      </c>
    </row>
    <row r="648" spans="1:15" x14ac:dyDescent="0.25">
      <c r="A648" t="s">
        <v>991</v>
      </c>
      <c r="B648" t="s">
        <v>1976</v>
      </c>
      <c r="C648" t="s">
        <v>923</v>
      </c>
      <c r="D648" t="s">
        <v>3063</v>
      </c>
      <c r="E648" t="s">
        <v>3053</v>
      </c>
      <c r="F648" t="s">
        <v>326</v>
      </c>
      <c r="G648" t="s">
        <v>327</v>
      </c>
      <c r="H648" t="s">
        <v>3517</v>
      </c>
      <c r="I648">
        <v>8</v>
      </c>
      <c r="J648">
        <v>0</v>
      </c>
      <c r="K648">
        <v>0</v>
      </c>
      <c r="L648">
        <v>8</v>
      </c>
      <c r="M648">
        <v>0</v>
      </c>
      <c r="N648">
        <v>0</v>
      </c>
      <c r="O648">
        <v>0</v>
      </c>
    </row>
    <row r="649" spans="1:15" x14ac:dyDescent="0.25">
      <c r="A649" t="s">
        <v>935</v>
      </c>
      <c r="B649" t="s">
        <v>1960</v>
      </c>
      <c r="C649" t="s">
        <v>923</v>
      </c>
      <c r="D649" t="s">
        <v>3063</v>
      </c>
      <c r="E649" t="s">
        <v>3053</v>
      </c>
      <c r="F649" t="s">
        <v>326</v>
      </c>
      <c r="G649" t="s">
        <v>327</v>
      </c>
      <c r="H649" t="s">
        <v>3518</v>
      </c>
      <c r="I649">
        <v>2</v>
      </c>
      <c r="J649">
        <v>0</v>
      </c>
      <c r="K649">
        <v>0</v>
      </c>
      <c r="L649">
        <v>2</v>
      </c>
      <c r="M649">
        <v>0</v>
      </c>
      <c r="N649">
        <v>0</v>
      </c>
      <c r="O649">
        <v>0</v>
      </c>
    </row>
    <row r="650" spans="1:15" x14ac:dyDescent="0.25">
      <c r="A650" t="s">
        <v>11660</v>
      </c>
      <c r="B650" t="s">
        <v>2041</v>
      </c>
      <c r="C650" t="s">
        <v>923</v>
      </c>
      <c r="D650" t="s">
        <v>3063</v>
      </c>
      <c r="E650" t="s">
        <v>3053</v>
      </c>
      <c r="F650" t="s">
        <v>326</v>
      </c>
      <c r="G650" t="s">
        <v>327</v>
      </c>
      <c r="H650" t="s">
        <v>14479</v>
      </c>
      <c r="I650">
        <v>1</v>
      </c>
      <c r="J650">
        <v>0</v>
      </c>
      <c r="K650">
        <v>0</v>
      </c>
      <c r="L650">
        <v>1</v>
      </c>
      <c r="M650">
        <v>0</v>
      </c>
      <c r="N650">
        <v>0</v>
      </c>
      <c r="O650">
        <v>0</v>
      </c>
    </row>
    <row r="651" spans="1:15" x14ac:dyDescent="0.25">
      <c r="A651" t="s">
        <v>11694</v>
      </c>
      <c r="B651" t="s">
        <v>11748</v>
      </c>
      <c r="C651" t="s">
        <v>923</v>
      </c>
      <c r="D651" t="s">
        <v>3063</v>
      </c>
      <c r="E651" t="s">
        <v>3053</v>
      </c>
      <c r="F651" t="s">
        <v>326</v>
      </c>
      <c r="G651" t="s">
        <v>327</v>
      </c>
      <c r="H651" t="s">
        <v>11828</v>
      </c>
      <c r="I651">
        <v>12</v>
      </c>
      <c r="J651">
        <v>12</v>
      </c>
      <c r="K651">
        <v>0</v>
      </c>
      <c r="L651">
        <v>0</v>
      </c>
      <c r="M651">
        <v>0</v>
      </c>
      <c r="N651">
        <v>0</v>
      </c>
      <c r="O651">
        <v>0</v>
      </c>
    </row>
    <row r="652" spans="1:15" x14ac:dyDescent="0.25">
      <c r="A652" t="s">
        <v>1006</v>
      </c>
      <c r="B652" t="s">
        <v>2724</v>
      </c>
      <c r="C652" t="s">
        <v>927</v>
      </c>
      <c r="D652" t="s">
        <v>3052</v>
      </c>
      <c r="E652" t="s">
        <v>3053</v>
      </c>
      <c r="F652" t="s">
        <v>326</v>
      </c>
      <c r="G652" t="s">
        <v>327</v>
      </c>
      <c r="H652" t="s">
        <v>3519</v>
      </c>
      <c r="I652">
        <v>1179</v>
      </c>
      <c r="J652">
        <v>866</v>
      </c>
      <c r="K652">
        <v>0</v>
      </c>
      <c r="L652">
        <v>144</v>
      </c>
      <c r="M652">
        <v>113</v>
      </c>
      <c r="N652">
        <v>4</v>
      </c>
      <c r="O652">
        <v>56</v>
      </c>
    </row>
    <row r="653" spans="1:15" x14ac:dyDescent="0.25">
      <c r="A653" t="s">
        <v>1009</v>
      </c>
      <c r="B653" t="s">
        <v>1958</v>
      </c>
      <c r="C653" t="s">
        <v>923</v>
      </c>
      <c r="D653" t="s">
        <v>3063</v>
      </c>
      <c r="E653" t="s">
        <v>3053</v>
      </c>
      <c r="F653" t="s">
        <v>326</v>
      </c>
      <c r="G653" t="s">
        <v>327</v>
      </c>
      <c r="H653" t="s">
        <v>3520</v>
      </c>
      <c r="I653">
        <v>38</v>
      </c>
      <c r="J653">
        <v>0</v>
      </c>
      <c r="K653">
        <v>0</v>
      </c>
      <c r="L653">
        <v>38</v>
      </c>
      <c r="M653">
        <v>0</v>
      </c>
      <c r="N653">
        <v>0</v>
      </c>
      <c r="O653">
        <v>0</v>
      </c>
    </row>
    <row r="654" spans="1:15" x14ac:dyDescent="0.25">
      <c r="A654" t="s">
        <v>937</v>
      </c>
      <c r="B654" t="s">
        <v>1962</v>
      </c>
      <c r="C654" t="s">
        <v>927</v>
      </c>
      <c r="D654" t="s">
        <v>3052</v>
      </c>
      <c r="E654" t="s">
        <v>3053</v>
      </c>
      <c r="F654" t="s">
        <v>326</v>
      </c>
      <c r="G654" t="s">
        <v>327</v>
      </c>
      <c r="H654" t="s">
        <v>3521</v>
      </c>
      <c r="I654">
        <v>29</v>
      </c>
      <c r="J654">
        <v>0</v>
      </c>
      <c r="K654">
        <v>0</v>
      </c>
      <c r="L654">
        <v>0</v>
      </c>
      <c r="M654">
        <v>0</v>
      </c>
      <c r="N654">
        <v>0</v>
      </c>
      <c r="O654">
        <v>29</v>
      </c>
    </row>
    <row r="655" spans="1:15" x14ac:dyDescent="0.25">
      <c r="A655" t="s">
        <v>938</v>
      </c>
      <c r="B655" t="s">
        <v>2791</v>
      </c>
      <c r="C655" t="s">
        <v>927</v>
      </c>
      <c r="D655" t="s">
        <v>3052</v>
      </c>
      <c r="E655" t="s">
        <v>3053</v>
      </c>
      <c r="F655" t="s">
        <v>326</v>
      </c>
      <c r="G655" t="s">
        <v>327</v>
      </c>
      <c r="H655" t="s">
        <v>3522</v>
      </c>
      <c r="I655">
        <v>12</v>
      </c>
      <c r="J655">
        <v>0</v>
      </c>
      <c r="K655">
        <v>0</v>
      </c>
      <c r="L655">
        <v>12</v>
      </c>
      <c r="M655">
        <v>0</v>
      </c>
      <c r="N655">
        <v>0</v>
      </c>
      <c r="O655">
        <v>0</v>
      </c>
    </row>
    <row r="656" spans="1:15" x14ac:dyDescent="0.25">
      <c r="A656" t="s">
        <v>940</v>
      </c>
      <c r="B656" t="s">
        <v>2647</v>
      </c>
      <c r="C656" t="s">
        <v>927</v>
      </c>
      <c r="D656" t="s">
        <v>3052</v>
      </c>
      <c r="E656" t="s">
        <v>3053</v>
      </c>
      <c r="F656" t="s">
        <v>326</v>
      </c>
      <c r="G656" t="s">
        <v>327</v>
      </c>
      <c r="H656" t="s">
        <v>3523</v>
      </c>
      <c r="I656">
        <v>34</v>
      </c>
      <c r="J656">
        <v>0</v>
      </c>
      <c r="K656">
        <v>0</v>
      </c>
      <c r="L656">
        <v>0</v>
      </c>
      <c r="M656">
        <v>34</v>
      </c>
      <c r="N656">
        <v>0</v>
      </c>
      <c r="O656">
        <v>0</v>
      </c>
    </row>
    <row r="657" spans="1:15" x14ac:dyDescent="0.25">
      <c r="A657" t="s">
        <v>1013</v>
      </c>
      <c r="B657" t="s">
        <v>1959</v>
      </c>
      <c r="C657" t="s">
        <v>927</v>
      </c>
      <c r="D657" t="s">
        <v>3052</v>
      </c>
      <c r="E657" t="s">
        <v>3053</v>
      </c>
      <c r="F657" t="s">
        <v>326</v>
      </c>
      <c r="G657" t="s">
        <v>327</v>
      </c>
      <c r="H657" t="s">
        <v>3524</v>
      </c>
      <c r="I657">
        <v>18</v>
      </c>
      <c r="J657">
        <v>0</v>
      </c>
      <c r="K657">
        <v>0</v>
      </c>
      <c r="L657">
        <v>18</v>
      </c>
      <c r="M657">
        <v>0</v>
      </c>
      <c r="N657">
        <v>0</v>
      </c>
      <c r="O657">
        <v>0</v>
      </c>
    </row>
    <row r="658" spans="1:15" x14ac:dyDescent="0.25">
      <c r="A658" t="s">
        <v>9822</v>
      </c>
      <c r="B658" t="s">
        <v>9865</v>
      </c>
      <c r="C658" t="s">
        <v>923</v>
      </c>
      <c r="D658" t="s">
        <v>3063</v>
      </c>
      <c r="E658" t="s">
        <v>3053</v>
      </c>
      <c r="F658" t="s">
        <v>326</v>
      </c>
      <c r="G658" t="s">
        <v>327</v>
      </c>
      <c r="H658" t="s">
        <v>10202</v>
      </c>
      <c r="I658">
        <v>63</v>
      </c>
      <c r="J658">
        <v>63</v>
      </c>
      <c r="K658">
        <v>0</v>
      </c>
      <c r="L658">
        <v>0</v>
      </c>
      <c r="M658">
        <v>0</v>
      </c>
      <c r="N658">
        <v>0</v>
      </c>
      <c r="O658">
        <v>0</v>
      </c>
    </row>
    <row r="659" spans="1:15" x14ac:dyDescent="0.25">
      <c r="A659" t="s">
        <v>1514</v>
      </c>
      <c r="B659" t="s">
        <v>2670</v>
      </c>
      <c r="C659" t="s">
        <v>923</v>
      </c>
      <c r="D659" t="s">
        <v>3063</v>
      </c>
      <c r="E659" t="s">
        <v>3053</v>
      </c>
      <c r="F659" t="s">
        <v>326</v>
      </c>
      <c r="G659" t="s">
        <v>327</v>
      </c>
      <c r="H659" t="s">
        <v>3525</v>
      </c>
      <c r="I659">
        <v>51</v>
      </c>
      <c r="J659">
        <v>51</v>
      </c>
      <c r="K659">
        <v>0</v>
      </c>
      <c r="L659">
        <v>0</v>
      </c>
      <c r="M659">
        <v>0</v>
      </c>
      <c r="N659">
        <v>0</v>
      </c>
      <c r="O659">
        <v>0</v>
      </c>
    </row>
    <row r="660" spans="1:15" x14ac:dyDescent="0.25">
      <c r="A660" t="s">
        <v>1031</v>
      </c>
      <c r="B660" t="s">
        <v>2779</v>
      </c>
      <c r="C660" t="s">
        <v>927</v>
      </c>
      <c r="D660" t="s">
        <v>3052</v>
      </c>
      <c r="E660" t="s">
        <v>3053</v>
      </c>
      <c r="F660" t="s">
        <v>326</v>
      </c>
      <c r="G660" t="s">
        <v>327</v>
      </c>
      <c r="H660" t="s">
        <v>3526</v>
      </c>
      <c r="I660">
        <v>430</v>
      </c>
      <c r="J660">
        <v>408</v>
      </c>
      <c r="K660">
        <v>0</v>
      </c>
      <c r="L660">
        <v>13</v>
      </c>
      <c r="M660">
        <v>0</v>
      </c>
      <c r="N660">
        <v>8</v>
      </c>
      <c r="O660">
        <v>9</v>
      </c>
    </row>
    <row r="661" spans="1:15" x14ac:dyDescent="0.25">
      <c r="A661" t="s">
        <v>951</v>
      </c>
      <c r="B661" t="s">
        <v>2680</v>
      </c>
      <c r="C661" t="s">
        <v>927</v>
      </c>
      <c r="D661" t="s">
        <v>3052</v>
      </c>
      <c r="E661" t="s">
        <v>3053</v>
      </c>
      <c r="F661" t="s">
        <v>326</v>
      </c>
      <c r="G661" t="s">
        <v>327</v>
      </c>
      <c r="H661" t="s">
        <v>3527</v>
      </c>
      <c r="I661">
        <v>327</v>
      </c>
      <c r="J661">
        <v>276</v>
      </c>
      <c r="K661">
        <v>0</v>
      </c>
      <c r="L661">
        <v>11</v>
      </c>
      <c r="M661">
        <v>0</v>
      </c>
      <c r="N661">
        <v>1</v>
      </c>
      <c r="O661">
        <v>40</v>
      </c>
    </row>
    <row r="662" spans="1:15" x14ac:dyDescent="0.25">
      <c r="A662" t="s">
        <v>1048</v>
      </c>
      <c r="B662" t="s">
        <v>2989</v>
      </c>
      <c r="C662" t="s">
        <v>927</v>
      </c>
      <c r="D662" t="s">
        <v>3052</v>
      </c>
      <c r="E662" t="s">
        <v>3053</v>
      </c>
      <c r="F662" t="s">
        <v>326</v>
      </c>
      <c r="G662" t="s">
        <v>327</v>
      </c>
      <c r="H662" t="s">
        <v>3528</v>
      </c>
      <c r="I662">
        <v>37</v>
      </c>
      <c r="J662">
        <v>0</v>
      </c>
      <c r="K662">
        <v>0</v>
      </c>
      <c r="L662">
        <v>37</v>
      </c>
      <c r="M662">
        <v>0</v>
      </c>
      <c r="N662">
        <v>0</v>
      </c>
      <c r="O662">
        <v>0</v>
      </c>
    </row>
    <row r="663" spans="1:15" x14ac:dyDescent="0.25">
      <c r="A663" t="s">
        <v>1051</v>
      </c>
      <c r="B663" t="s">
        <v>2995</v>
      </c>
      <c r="C663" t="s">
        <v>927</v>
      </c>
      <c r="D663" t="s">
        <v>3052</v>
      </c>
      <c r="E663" t="s">
        <v>3053</v>
      </c>
      <c r="F663" t="s">
        <v>326</v>
      </c>
      <c r="G663" t="s">
        <v>327</v>
      </c>
      <c r="H663" t="s">
        <v>3529</v>
      </c>
      <c r="I663">
        <v>100</v>
      </c>
      <c r="J663">
        <v>41</v>
      </c>
      <c r="K663">
        <v>0</v>
      </c>
      <c r="L663">
        <v>50</v>
      </c>
      <c r="M663">
        <v>0</v>
      </c>
      <c r="N663">
        <v>0</v>
      </c>
      <c r="O663">
        <v>9</v>
      </c>
    </row>
    <row r="664" spans="1:15" x14ac:dyDescent="0.25">
      <c r="A664" t="s">
        <v>1529</v>
      </c>
      <c r="B664" t="s">
        <v>1954</v>
      </c>
      <c r="C664" t="s">
        <v>927</v>
      </c>
      <c r="D664" t="s">
        <v>3052</v>
      </c>
      <c r="E664" t="s">
        <v>3053</v>
      </c>
      <c r="F664" t="s">
        <v>326</v>
      </c>
      <c r="G664" t="s">
        <v>327</v>
      </c>
      <c r="H664" t="s">
        <v>3530</v>
      </c>
      <c r="I664">
        <v>22</v>
      </c>
      <c r="J664">
        <v>0</v>
      </c>
      <c r="K664">
        <v>0</v>
      </c>
      <c r="L664">
        <v>22</v>
      </c>
      <c r="M664">
        <v>0</v>
      </c>
      <c r="N664">
        <v>0</v>
      </c>
      <c r="O664">
        <v>0</v>
      </c>
    </row>
    <row r="665" spans="1:15" x14ac:dyDescent="0.25">
      <c r="A665" t="s">
        <v>1056</v>
      </c>
      <c r="B665" t="s">
        <v>2966</v>
      </c>
      <c r="C665" t="s">
        <v>927</v>
      </c>
      <c r="D665" t="s">
        <v>3052</v>
      </c>
      <c r="E665" t="s">
        <v>3053</v>
      </c>
      <c r="F665" t="s">
        <v>326</v>
      </c>
      <c r="G665" t="s">
        <v>327</v>
      </c>
      <c r="H665" t="s">
        <v>3531</v>
      </c>
      <c r="I665">
        <v>24</v>
      </c>
      <c r="J665">
        <v>24</v>
      </c>
      <c r="K665">
        <v>0</v>
      </c>
      <c r="L665">
        <v>0</v>
      </c>
      <c r="M665">
        <v>0</v>
      </c>
      <c r="N665">
        <v>0</v>
      </c>
      <c r="O665">
        <v>0</v>
      </c>
    </row>
    <row r="666" spans="1:15" x14ac:dyDescent="0.25">
      <c r="A666" t="s">
        <v>1066</v>
      </c>
      <c r="B666" t="s">
        <v>2557</v>
      </c>
      <c r="C666" t="s">
        <v>927</v>
      </c>
      <c r="D666" t="s">
        <v>3052</v>
      </c>
      <c r="E666" t="s">
        <v>3053</v>
      </c>
      <c r="F666" t="s">
        <v>326</v>
      </c>
      <c r="G666" t="s">
        <v>327</v>
      </c>
      <c r="H666" t="s">
        <v>3532</v>
      </c>
      <c r="I666">
        <v>22</v>
      </c>
      <c r="J666">
        <v>0</v>
      </c>
      <c r="K666">
        <v>0</v>
      </c>
      <c r="L666">
        <v>0</v>
      </c>
      <c r="M666">
        <v>22</v>
      </c>
      <c r="N666">
        <v>0</v>
      </c>
      <c r="O666">
        <v>0</v>
      </c>
    </row>
    <row r="667" spans="1:15" x14ac:dyDescent="0.25">
      <c r="A667" t="s">
        <v>1069</v>
      </c>
      <c r="B667" t="s">
        <v>2001</v>
      </c>
      <c r="C667" t="s">
        <v>927</v>
      </c>
      <c r="D667" t="s">
        <v>3052</v>
      </c>
      <c r="E667" t="s">
        <v>3053</v>
      </c>
      <c r="F667" t="s">
        <v>326</v>
      </c>
      <c r="G667" t="s">
        <v>327</v>
      </c>
      <c r="H667" t="s">
        <v>3533</v>
      </c>
      <c r="I667">
        <v>1</v>
      </c>
      <c r="J667">
        <v>0</v>
      </c>
      <c r="K667">
        <v>0</v>
      </c>
      <c r="L667">
        <v>0</v>
      </c>
      <c r="M667">
        <v>0</v>
      </c>
      <c r="N667">
        <v>0</v>
      </c>
      <c r="O667">
        <v>1</v>
      </c>
    </row>
    <row r="668" spans="1:15" x14ac:dyDescent="0.25">
      <c r="A668" t="s">
        <v>1083</v>
      </c>
      <c r="B668" t="s">
        <v>2757</v>
      </c>
      <c r="C668" t="s">
        <v>927</v>
      </c>
      <c r="D668" t="s">
        <v>3052</v>
      </c>
      <c r="E668" t="s">
        <v>3053</v>
      </c>
      <c r="F668" t="s">
        <v>326</v>
      </c>
      <c r="G668" t="s">
        <v>327</v>
      </c>
      <c r="H668" t="s">
        <v>3534</v>
      </c>
      <c r="I668">
        <v>5</v>
      </c>
      <c r="J668">
        <v>0</v>
      </c>
      <c r="K668">
        <v>0</v>
      </c>
      <c r="L668">
        <v>5</v>
      </c>
      <c r="M668">
        <v>0</v>
      </c>
      <c r="N668">
        <v>0</v>
      </c>
      <c r="O668">
        <v>0</v>
      </c>
    </row>
    <row r="669" spans="1:15" x14ac:dyDescent="0.25">
      <c r="A669" t="s">
        <v>972</v>
      </c>
      <c r="B669" t="s">
        <v>2842</v>
      </c>
      <c r="C669" t="s">
        <v>927</v>
      </c>
      <c r="D669" t="s">
        <v>3052</v>
      </c>
      <c r="E669" t="s">
        <v>3053</v>
      </c>
      <c r="F669" t="s">
        <v>328</v>
      </c>
      <c r="G669" t="s">
        <v>329</v>
      </c>
      <c r="H669" t="s">
        <v>3535</v>
      </c>
      <c r="I669">
        <v>121</v>
      </c>
      <c r="J669">
        <v>118</v>
      </c>
      <c r="K669">
        <v>0</v>
      </c>
      <c r="L669">
        <v>0</v>
      </c>
      <c r="M669">
        <v>0</v>
      </c>
      <c r="N669">
        <v>0</v>
      </c>
      <c r="O669">
        <v>3</v>
      </c>
    </row>
    <row r="670" spans="1:15" x14ac:dyDescent="0.25">
      <c r="A670" t="s">
        <v>973</v>
      </c>
      <c r="B670" t="s">
        <v>1957</v>
      </c>
      <c r="C670" t="s">
        <v>923</v>
      </c>
      <c r="D670" t="s">
        <v>3063</v>
      </c>
      <c r="E670" t="s">
        <v>3053</v>
      </c>
      <c r="F670" t="s">
        <v>328</v>
      </c>
      <c r="G670" t="s">
        <v>329</v>
      </c>
      <c r="H670" t="s">
        <v>3536</v>
      </c>
      <c r="I670">
        <v>51</v>
      </c>
      <c r="J670">
        <v>51</v>
      </c>
      <c r="K670">
        <v>0</v>
      </c>
      <c r="L670">
        <v>0</v>
      </c>
      <c r="M670">
        <v>0</v>
      </c>
      <c r="N670">
        <v>0</v>
      </c>
      <c r="O670">
        <v>0</v>
      </c>
    </row>
    <row r="671" spans="1:15" x14ac:dyDescent="0.25">
      <c r="A671" t="s">
        <v>9784</v>
      </c>
      <c r="B671" t="s">
        <v>1994</v>
      </c>
      <c r="C671" t="s">
        <v>927</v>
      </c>
      <c r="D671" t="s">
        <v>3052</v>
      </c>
      <c r="E671" t="s">
        <v>3053</v>
      </c>
      <c r="F671" t="s">
        <v>328</v>
      </c>
      <c r="G671" t="s">
        <v>329</v>
      </c>
      <c r="H671" t="s">
        <v>9919</v>
      </c>
      <c r="I671">
        <v>17</v>
      </c>
      <c r="J671">
        <v>0</v>
      </c>
      <c r="K671">
        <v>0</v>
      </c>
      <c r="L671">
        <v>17</v>
      </c>
      <c r="M671">
        <v>0</v>
      </c>
      <c r="N671">
        <v>0</v>
      </c>
      <c r="O671">
        <v>0</v>
      </c>
    </row>
    <row r="672" spans="1:15" x14ac:dyDescent="0.25">
      <c r="A672" t="s">
        <v>985</v>
      </c>
      <c r="B672" t="s">
        <v>1964</v>
      </c>
      <c r="C672" t="s">
        <v>923</v>
      </c>
      <c r="D672" t="s">
        <v>3063</v>
      </c>
      <c r="E672" t="s">
        <v>3053</v>
      </c>
      <c r="F672" t="s">
        <v>328</v>
      </c>
      <c r="G672" t="s">
        <v>329</v>
      </c>
      <c r="H672" t="s">
        <v>3537</v>
      </c>
      <c r="I672">
        <v>16</v>
      </c>
      <c r="J672">
        <v>0</v>
      </c>
      <c r="K672">
        <v>0</v>
      </c>
      <c r="L672">
        <v>16</v>
      </c>
      <c r="M672">
        <v>0</v>
      </c>
      <c r="N672">
        <v>0</v>
      </c>
      <c r="O672">
        <v>0</v>
      </c>
    </row>
    <row r="673" spans="1:15" x14ac:dyDescent="0.25">
      <c r="A673" t="s">
        <v>997</v>
      </c>
      <c r="B673" t="s">
        <v>2033</v>
      </c>
      <c r="C673" t="s">
        <v>927</v>
      </c>
      <c r="D673" t="s">
        <v>3052</v>
      </c>
      <c r="E673" t="s">
        <v>3053</v>
      </c>
      <c r="F673" t="s">
        <v>328</v>
      </c>
      <c r="G673" t="s">
        <v>329</v>
      </c>
      <c r="H673" t="s">
        <v>3538</v>
      </c>
      <c r="I673">
        <v>51</v>
      </c>
      <c r="J673">
        <v>33</v>
      </c>
      <c r="K673">
        <v>0</v>
      </c>
      <c r="L673">
        <v>10</v>
      </c>
      <c r="M673">
        <v>0</v>
      </c>
      <c r="N673">
        <v>1</v>
      </c>
      <c r="O673">
        <v>8</v>
      </c>
    </row>
    <row r="674" spans="1:15" x14ac:dyDescent="0.25">
      <c r="A674" t="s">
        <v>11660</v>
      </c>
      <c r="B674" t="s">
        <v>2041</v>
      </c>
      <c r="C674" t="s">
        <v>923</v>
      </c>
      <c r="D674" t="s">
        <v>3063</v>
      </c>
      <c r="E674" t="s">
        <v>3053</v>
      </c>
      <c r="F674" t="s">
        <v>328</v>
      </c>
      <c r="G674" t="s">
        <v>329</v>
      </c>
      <c r="H674" t="s">
        <v>14480</v>
      </c>
      <c r="I674">
        <v>3</v>
      </c>
      <c r="J674">
        <v>0</v>
      </c>
      <c r="K674">
        <v>0</v>
      </c>
      <c r="L674">
        <v>3</v>
      </c>
      <c r="M674">
        <v>0</v>
      </c>
      <c r="N674">
        <v>0</v>
      </c>
      <c r="O674">
        <v>0</v>
      </c>
    </row>
    <row r="675" spans="1:15" x14ac:dyDescent="0.25">
      <c r="A675" t="s">
        <v>1001</v>
      </c>
      <c r="B675" t="s">
        <v>3007</v>
      </c>
      <c r="C675" t="s">
        <v>927</v>
      </c>
      <c r="D675" t="s">
        <v>3052</v>
      </c>
      <c r="E675" t="s">
        <v>3053</v>
      </c>
      <c r="F675" t="s">
        <v>328</v>
      </c>
      <c r="G675" t="s">
        <v>329</v>
      </c>
      <c r="H675" t="s">
        <v>10854</v>
      </c>
      <c r="I675">
        <v>2</v>
      </c>
      <c r="J675">
        <v>0</v>
      </c>
      <c r="K675">
        <v>0</v>
      </c>
      <c r="L675">
        <v>2</v>
      </c>
      <c r="M675">
        <v>0</v>
      </c>
      <c r="N675">
        <v>0</v>
      </c>
      <c r="O675">
        <v>0</v>
      </c>
    </row>
    <row r="676" spans="1:15" x14ac:dyDescent="0.25">
      <c r="A676" t="s">
        <v>1003</v>
      </c>
      <c r="B676" t="s">
        <v>2862</v>
      </c>
      <c r="C676" t="s">
        <v>927</v>
      </c>
      <c r="D676" t="s">
        <v>3052</v>
      </c>
      <c r="E676" t="s">
        <v>3053</v>
      </c>
      <c r="F676" t="s">
        <v>328</v>
      </c>
      <c r="G676" t="s">
        <v>329</v>
      </c>
      <c r="H676" t="s">
        <v>3539</v>
      </c>
      <c r="I676">
        <v>54</v>
      </c>
      <c r="J676">
        <v>46</v>
      </c>
      <c r="K676">
        <v>0</v>
      </c>
      <c r="L676">
        <v>5</v>
      </c>
      <c r="M676">
        <v>0</v>
      </c>
      <c r="N676">
        <v>0</v>
      </c>
      <c r="O676">
        <v>3</v>
      </c>
    </row>
    <row r="677" spans="1:15" x14ac:dyDescent="0.25">
      <c r="A677" t="s">
        <v>10638</v>
      </c>
      <c r="B677" t="s">
        <v>2057</v>
      </c>
      <c r="C677" t="s">
        <v>927</v>
      </c>
      <c r="D677" t="s">
        <v>3052</v>
      </c>
      <c r="E677" t="s">
        <v>3053</v>
      </c>
      <c r="F677" t="s">
        <v>328</v>
      </c>
      <c r="G677" t="s">
        <v>329</v>
      </c>
      <c r="H677" t="s">
        <v>10855</v>
      </c>
      <c r="I677">
        <v>3</v>
      </c>
      <c r="J677">
        <v>0</v>
      </c>
      <c r="K677">
        <v>0</v>
      </c>
      <c r="L677">
        <v>3</v>
      </c>
      <c r="M677">
        <v>0</v>
      </c>
      <c r="N677">
        <v>0</v>
      </c>
      <c r="O677">
        <v>0</v>
      </c>
    </row>
    <row r="678" spans="1:15" x14ac:dyDescent="0.25">
      <c r="A678" t="s">
        <v>937</v>
      </c>
      <c r="B678" t="s">
        <v>1962</v>
      </c>
      <c r="C678" t="s">
        <v>927</v>
      </c>
      <c r="D678" t="s">
        <v>3052</v>
      </c>
      <c r="E678" t="s">
        <v>3053</v>
      </c>
      <c r="F678" t="s">
        <v>328</v>
      </c>
      <c r="G678" t="s">
        <v>329</v>
      </c>
      <c r="H678" t="s">
        <v>3540</v>
      </c>
      <c r="I678">
        <v>34</v>
      </c>
      <c r="J678">
        <v>0</v>
      </c>
      <c r="K678">
        <v>0</v>
      </c>
      <c r="L678">
        <v>0</v>
      </c>
      <c r="M678">
        <v>0</v>
      </c>
      <c r="N678">
        <v>0</v>
      </c>
      <c r="O678">
        <v>34</v>
      </c>
    </row>
    <row r="679" spans="1:15" x14ac:dyDescent="0.25">
      <c r="A679" t="s">
        <v>938</v>
      </c>
      <c r="B679" t="s">
        <v>2791</v>
      </c>
      <c r="C679" t="s">
        <v>927</v>
      </c>
      <c r="D679" t="s">
        <v>3052</v>
      </c>
      <c r="E679" t="s">
        <v>3053</v>
      </c>
      <c r="F679" t="s">
        <v>328</v>
      </c>
      <c r="G679" t="s">
        <v>329</v>
      </c>
      <c r="H679" t="s">
        <v>3541</v>
      </c>
      <c r="I679">
        <v>13</v>
      </c>
      <c r="J679">
        <v>13</v>
      </c>
      <c r="K679">
        <v>0</v>
      </c>
      <c r="L679">
        <v>0</v>
      </c>
      <c r="M679">
        <v>0</v>
      </c>
      <c r="N679">
        <v>0</v>
      </c>
      <c r="O679">
        <v>0</v>
      </c>
    </row>
    <row r="680" spans="1:15" x14ac:dyDescent="0.25">
      <c r="A680" t="s">
        <v>940</v>
      </c>
      <c r="B680" t="s">
        <v>2647</v>
      </c>
      <c r="C680" t="s">
        <v>927</v>
      </c>
      <c r="D680" t="s">
        <v>3052</v>
      </c>
      <c r="E680" t="s">
        <v>3053</v>
      </c>
      <c r="F680" t="s">
        <v>328</v>
      </c>
      <c r="G680" t="s">
        <v>329</v>
      </c>
      <c r="H680" t="s">
        <v>3542</v>
      </c>
      <c r="I680">
        <v>40</v>
      </c>
      <c r="J680">
        <v>0</v>
      </c>
      <c r="K680">
        <v>0</v>
      </c>
      <c r="L680">
        <v>0</v>
      </c>
      <c r="M680">
        <v>40</v>
      </c>
      <c r="N680">
        <v>0</v>
      </c>
      <c r="O680">
        <v>0</v>
      </c>
    </row>
    <row r="681" spans="1:15" x14ac:dyDescent="0.25">
      <c r="A681" t="s">
        <v>1013</v>
      </c>
      <c r="B681" t="s">
        <v>1959</v>
      </c>
      <c r="C681" t="s">
        <v>927</v>
      </c>
      <c r="D681" t="s">
        <v>3052</v>
      </c>
      <c r="E681" t="s">
        <v>3053</v>
      </c>
      <c r="F681" t="s">
        <v>328</v>
      </c>
      <c r="G681" t="s">
        <v>329</v>
      </c>
      <c r="H681" t="s">
        <v>3543</v>
      </c>
      <c r="I681">
        <v>16</v>
      </c>
      <c r="J681">
        <v>0</v>
      </c>
      <c r="K681">
        <v>0</v>
      </c>
      <c r="L681">
        <v>16</v>
      </c>
      <c r="M681">
        <v>0</v>
      </c>
      <c r="N681">
        <v>0</v>
      </c>
      <c r="O681">
        <v>0</v>
      </c>
    </row>
    <row r="682" spans="1:15" x14ac:dyDescent="0.25">
      <c r="A682" t="s">
        <v>10681</v>
      </c>
      <c r="B682" t="s">
        <v>10680</v>
      </c>
      <c r="C682" t="s">
        <v>927</v>
      </c>
      <c r="D682" t="s">
        <v>3052</v>
      </c>
      <c r="E682" t="s">
        <v>3053</v>
      </c>
      <c r="F682" t="s">
        <v>328</v>
      </c>
      <c r="G682" t="s">
        <v>329</v>
      </c>
      <c r="H682" t="s">
        <v>14481</v>
      </c>
      <c r="I682">
        <v>13</v>
      </c>
      <c r="J682">
        <v>0</v>
      </c>
      <c r="K682">
        <v>0</v>
      </c>
      <c r="L682">
        <v>0</v>
      </c>
      <c r="M682">
        <v>0</v>
      </c>
      <c r="N682">
        <v>0</v>
      </c>
      <c r="O682">
        <v>13</v>
      </c>
    </row>
    <row r="683" spans="1:15" x14ac:dyDescent="0.25">
      <c r="A683" t="s">
        <v>1043</v>
      </c>
      <c r="B683" t="s">
        <v>2090</v>
      </c>
      <c r="C683" t="s">
        <v>927</v>
      </c>
      <c r="D683" t="s">
        <v>3052</v>
      </c>
      <c r="E683" t="s">
        <v>3053</v>
      </c>
      <c r="F683" t="s">
        <v>328</v>
      </c>
      <c r="G683" t="s">
        <v>329</v>
      </c>
      <c r="H683" t="s">
        <v>3544</v>
      </c>
      <c r="I683">
        <v>1</v>
      </c>
      <c r="J683">
        <v>1</v>
      </c>
      <c r="K683">
        <v>0</v>
      </c>
      <c r="L683">
        <v>0</v>
      </c>
      <c r="M683">
        <v>0</v>
      </c>
      <c r="N683">
        <v>0</v>
      </c>
      <c r="O683">
        <v>0</v>
      </c>
    </row>
    <row r="684" spans="1:15" x14ac:dyDescent="0.25">
      <c r="A684" t="s">
        <v>1144</v>
      </c>
      <c r="B684" t="s">
        <v>2124</v>
      </c>
      <c r="C684" t="s">
        <v>923</v>
      </c>
      <c r="D684" t="s">
        <v>3063</v>
      </c>
      <c r="E684" t="s">
        <v>3053</v>
      </c>
      <c r="F684" t="s">
        <v>328</v>
      </c>
      <c r="G684" t="s">
        <v>329</v>
      </c>
      <c r="H684" t="s">
        <v>14482</v>
      </c>
      <c r="I684">
        <v>6</v>
      </c>
      <c r="J684">
        <v>6</v>
      </c>
      <c r="K684">
        <v>0</v>
      </c>
      <c r="L684">
        <v>0</v>
      </c>
      <c r="M684">
        <v>0</v>
      </c>
      <c r="N684">
        <v>0</v>
      </c>
      <c r="O684">
        <v>0</v>
      </c>
    </row>
    <row r="685" spans="1:15" x14ac:dyDescent="0.25">
      <c r="A685" t="s">
        <v>951</v>
      </c>
      <c r="B685" t="s">
        <v>2680</v>
      </c>
      <c r="C685" t="s">
        <v>927</v>
      </c>
      <c r="D685" t="s">
        <v>3052</v>
      </c>
      <c r="E685" t="s">
        <v>3053</v>
      </c>
      <c r="F685" t="s">
        <v>328</v>
      </c>
      <c r="G685" t="s">
        <v>329</v>
      </c>
      <c r="H685" t="s">
        <v>11829</v>
      </c>
      <c r="I685">
        <v>14</v>
      </c>
      <c r="J685">
        <v>14</v>
      </c>
      <c r="K685">
        <v>0</v>
      </c>
      <c r="L685">
        <v>0</v>
      </c>
      <c r="M685">
        <v>0</v>
      </c>
      <c r="N685">
        <v>0</v>
      </c>
      <c r="O685">
        <v>0</v>
      </c>
    </row>
    <row r="686" spans="1:15" x14ac:dyDescent="0.25">
      <c r="A686" t="s">
        <v>1048</v>
      </c>
      <c r="B686" t="s">
        <v>2989</v>
      </c>
      <c r="C686" t="s">
        <v>927</v>
      </c>
      <c r="D686" t="s">
        <v>3052</v>
      </c>
      <c r="E686" t="s">
        <v>3053</v>
      </c>
      <c r="F686" t="s">
        <v>328</v>
      </c>
      <c r="G686" t="s">
        <v>329</v>
      </c>
      <c r="H686" t="s">
        <v>3545</v>
      </c>
      <c r="I686">
        <v>217</v>
      </c>
      <c r="J686">
        <v>146</v>
      </c>
      <c r="K686">
        <v>0</v>
      </c>
      <c r="L686">
        <v>2</v>
      </c>
      <c r="M686">
        <v>62</v>
      </c>
      <c r="N686">
        <v>0</v>
      </c>
      <c r="O686">
        <v>7</v>
      </c>
    </row>
    <row r="687" spans="1:15" x14ac:dyDescent="0.25">
      <c r="A687" t="s">
        <v>1049</v>
      </c>
      <c r="B687" t="s">
        <v>2138</v>
      </c>
      <c r="C687" t="s">
        <v>927</v>
      </c>
      <c r="D687" t="s">
        <v>3052</v>
      </c>
      <c r="E687" t="s">
        <v>3053</v>
      </c>
      <c r="F687" t="s">
        <v>328</v>
      </c>
      <c r="G687" t="s">
        <v>329</v>
      </c>
      <c r="H687" t="s">
        <v>11830</v>
      </c>
      <c r="I687">
        <v>20</v>
      </c>
      <c r="J687">
        <v>20</v>
      </c>
      <c r="K687">
        <v>0</v>
      </c>
      <c r="L687">
        <v>0</v>
      </c>
      <c r="M687">
        <v>0</v>
      </c>
      <c r="N687">
        <v>0</v>
      </c>
      <c r="O687">
        <v>0</v>
      </c>
    </row>
    <row r="688" spans="1:15" x14ac:dyDescent="0.25">
      <c r="A688" t="s">
        <v>1051</v>
      </c>
      <c r="B688" t="s">
        <v>2995</v>
      </c>
      <c r="C688" t="s">
        <v>927</v>
      </c>
      <c r="D688" t="s">
        <v>3052</v>
      </c>
      <c r="E688" t="s">
        <v>3053</v>
      </c>
      <c r="F688" t="s">
        <v>328</v>
      </c>
      <c r="G688" t="s">
        <v>329</v>
      </c>
      <c r="H688" t="s">
        <v>3546</v>
      </c>
      <c r="I688">
        <v>8</v>
      </c>
      <c r="J688">
        <v>0</v>
      </c>
      <c r="K688">
        <v>0</v>
      </c>
      <c r="L688">
        <v>8</v>
      </c>
      <c r="M688">
        <v>0</v>
      </c>
      <c r="N688">
        <v>0</v>
      </c>
      <c r="O688">
        <v>0</v>
      </c>
    </row>
    <row r="689" spans="1:15" x14ac:dyDescent="0.25">
      <c r="A689" t="s">
        <v>1060</v>
      </c>
      <c r="B689" t="s">
        <v>2651</v>
      </c>
      <c r="C689" t="s">
        <v>927</v>
      </c>
      <c r="D689" t="s">
        <v>3052</v>
      </c>
      <c r="E689" t="s">
        <v>3053</v>
      </c>
      <c r="F689" t="s">
        <v>328</v>
      </c>
      <c r="G689" t="s">
        <v>329</v>
      </c>
      <c r="H689" t="s">
        <v>3547</v>
      </c>
      <c r="I689">
        <v>20</v>
      </c>
      <c r="J689">
        <v>20</v>
      </c>
      <c r="K689">
        <v>0</v>
      </c>
      <c r="L689">
        <v>0</v>
      </c>
      <c r="M689">
        <v>0</v>
      </c>
      <c r="N689">
        <v>0</v>
      </c>
      <c r="O689">
        <v>0</v>
      </c>
    </row>
    <row r="690" spans="1:15" x14ac:dyDescent="0.25">
      <c r="A690" t="s">
        <v>1069</v>
      </c>
      <c r="B690" t="s">
        <v>2001</v>
      </c>
      <c r="C690" t="s">
        <v>927</v>
      </c>
      <c r="D690" t="s">
        <v>3052</v>
      </c>
      <c r="E690" t="s">
        <v>3053</v>
      </c>
      <c r="F690" t="s">
        <v>328</v>
      </c>
      <c r="G690" t="s">
        <v>329</v>
      </c>
      <c r="H690" t="s">
        <v>3548</v>
      </c>
      <c r="I690">
        <v>516</v>
      </c>
      <c r="J690">
        <v>315</v>
      </c>
      <c r="K690">
        <v>0</v>
      </c>
      <c r="L690">
        <v>1</v>
      </c>
      <c r="M690">
        <v>171</v>
      </c>
      <c r="N690">
        <v>0</v>
      </c>
      <c r="O690">
        <v>29</v>
      </c>
    </row>
    <row r="691" spans="1:15" x14ac:dyDescent="0.25">
      <c r="A691" t="s">
        <v>1072</v>
      </c>
      <c r="B691" t="s">
        <v>2907</v>
      </c>
      <c r="C691" t="s">
        <v>927</v>
      </c>
      <c r="D691" t="s">
        <v>3052</v>
      </c>
      <c r="E691" t="s">
        <v>3053</v>
      </c>
      <c r="F691" t="s">
        <v>328</v>
      </c>
      <c r="G691" t="s">
        <v>329</v>
      </c>
      <c r="H691" t="s">
        <v>3549</v>
      </c>
      <c r="I691">
        <v>13</v>
      </c>
      <c r="J691">
        <v>1</v>
      </c>
      <c r="K691">
        <v>0</v>
      </c>
      <c r="L691">
        <v>12</v>
      </c>
      <c r="M691">
        <v>0</v>
      </c>
      <c r="N691">
        <v>1</v>
      </c>
      <c r="O691">
        <v>0</v>
      </c>
    </row>
    <row r="692" spans="1:15" x14ac:dyDescent="0.25">
      <c r="A692" t="s">
        <v>1075</v>
      </c>
      <c r="B692" t="s">
        <v>2830</v>
      </c>
      <c r="C692" t="s">
        <v>927</v>
      </c>
      <c r="D692" t="s">
        <v>3052</v>
      </c>
      <c r="E692" t="s">
        <v>3053</v>
      </c>
      <c r="F692" t="s">
        <v>328</v>
      </c>
      <c r="G692" t="s">
        <v>329</v>
      </c>
      <c r="H692" t="s">
        <v>10499</v>
      </c>
      <c r="I692">
        <v>8</v>
      </c>
      <c r="J692">
        <v>8</v>
      </c>
      <c r="K692">
        <v>0</v>
      </c>
      <c r="L692">
        <v>0</v>
      </c>
      <c r="M692">
        <v>0</v>
      </c>
      <c r="N692">
        <v>0</v>
      </c>
      <c r="O692">
        <v>0</v>
      </c>
    </row>
    <row r="693" spans="1:15" x14ac:dyDescent="0.25">
      <c r="A693" t="s">
        <v>1077</v>
      </c>
      <c r="B693" t="s">
        <v>2711</v>
      </c>
      <c r="C693" t="s">
        <v>927</v>
      </c>
      <c r="D693" t="s">
        <v>3052</v>
      </c>
      <c r="E693" t="s">
        <v>3053</v>
      </c>
      <c r="F693" t="s">
        <v>328</v>
      </c>
      <c r="G693" t="s">
        <v>329</v>
      </c>
      <c r="H693" t="s">
        <v>3550</v>
      </c>
      <c r="I693">
        <v>39</v>
      </c>
      <c r="J693">
        <v>39</v>
      </c>
      <c r="K693">
        <v>0</v>
      </c>
      <c r="L693">
        <v>0</v>
      </c>
      <c r="M693">
        <v>0</v>
      </c>
      <c r="N693">
        <v>0</v>
      </c>
      <c r="O693">
        <v>0</v>
      </c>
    </row>
    <row r="694" spans="1:15" x14ac:dyDescent="0.25">
      <c r="A694" t="s">
        <v>974</v>
      </c>
      <c r="B694" t="s">
        <v>2949</v>
      </c>
      <c r="C694" t="s">
        <v>923</v>
      </c>
      <c r="D694" t="s">
        <v>3063</v>
      </c>
      <c r="E694" t="s">
        <v>3053</v>
      </c>
      <c r="F694" t="s">
        <v>330</v>
      </c>
      <c r="G694" t="s">
        <v>331</v>
      </c>
      <c r="H694" t="s">
        <v>9892</v>
      </c>
      <c r="I694">
        <v>16</v>
      </c>
      <c r="J694">
        <v>0</v>
      </c>
      <c r="K694">
        <v>0</v>
      </c>
      <c r="L694">
        <v>16</v>
      </c>
      <c r="M694">
        <v>0</v>
      </c>
      <c r="N694">
        <v>0</v>
      </c>
      <c r="O694">
        <v>0</v>
      </c>
    </row>
    <row r="695" spans="1:15" x14ac:dyDescent="0.25">
      <c r="A695" t="s">
        <v>929</v>
      </c>
      <c r="B695" t="s">
        <v>2999</v>
      </c>
      <c r="C695" t="s">
        <v>927</v>
      </c>
      <c r="D695" t="s">
        <v>3052</v>
      </c>
      <c r="E695" t="s">
        <v>3053</v>
      </c>
      <c r="F695" t="s">
        <v>330</v>
      </c>
      <c r="G695" t="s">
        <v>331</v>
      </c>
      <c r="H695" t="s">
        <v>3551</v>
      </c>
      <c r="I695">
        <v>732</v>
      </c>
      <c r="J695">
        <v>0</v>
      </c>
      <c r="K695">
        <v>0</v>
      </c>
      <c r="L695">
        <v>0</v>
      </c>
      <c r="M695">
        <v>726</v>
      </c>
      <c r="N695">
        <v>0</v>
      </c>
      <c r="O695">
        <v>6</v>
      </c>
    </row>
    <row r="696" spans="1:15" x14ac:dyDescent="0.25">
      <c r="A696" t="s">
        <v>978</v>
      </c>
      <c r="B696" t="s">
        <v>1999</v>
      </c>
      <c r="C696" t="s">
        <v>923</v>
      </c>
      <c r="D696" t="s">
        <v>3063</v>
      </c>
      <c r="E696" t="s">
        <v>3053</v>
      </c>
      <c r="F696" t="s">
        <v>330</v>
      </c>
      <c r="G696" t="s">
        <v>331</v>
      </c>
      <c r="H696" t="s">
        <v>3552</v>
      </c>
      <c r="I696">
        <v>7</v>
      </c>
      <c r="J696">
        <v>7</v>
      </c>
      <c r="K696">
        <v>0</v>
      </c>
      <c r="L696">
        <v>0</v>
      </c>
      <c r="M696">
        <v>0</v>
      </c>
      <c r="N696">
        <v>0</v>
      </c>
      <c r="O696">
        <v>0</v>
      </c>
    </row>
    <row r="697" spans="1:15" x14ac:dyDescent="0.25">
      <c r="A697" t="s">
        <v>1095</v>
      </c>
      <c r="B697" t="s">
        <v>1946</v>
      </c>
      <c r="C697" t="s">
        <v>923</v>
      </c>
      <c r="D697" t="s">
        <v>3063</v>
      </c>
      <c r="E697" t="s">
        <v>3053</v>
      </c>
      <c r="F697" t="s">
        <v>330</v>
      </c>
      <c r="G697" t="s">
        <v>331</v>
      </c>
      <c r="H697" t="s">
        <v>10856</v>
      </c>
      <c r="I697">
        <v>40</v>
      </c>
      <c r="J697">
        <v>40</v>
      </c>
      <c r="K697">
        <v>0</v>
      </c>
      <c r="L697">
        <v>0</v>
      </c>
      <c r="M697">
        <v>0</v>
      </c>
      <c r="N697">
        <v>0</v>
      </c>
      <c r="O697">
        <v>0</v>
      </c>
    </row>
    <row r="698" spans="1:15" x14ac:dyDescent="0.25">
      <c r="A698" t="s">
        <v>1461</v>
      </c>
      <c r="B698" t="s">
        <v>1927</v>
      </c>
      <c r="C698" t="s">
        <v>927</v>
      </c>
      <c r="D698" t="s">
        <v>3052</v>
      </c>
      <c r="E698" t="s">
        <v>3053</v>
      </c>
      <c r="F698" t="s">
        <v>330</v>
      </c>
      <c r="G698" t="s">
        <v>331</v>
      </c>
      <c r="H698" t="s">
        <v>3553</v>
      </c>
      <c r="I698">
        <v>17480</v>
      </c>
      <c r="J698">
        <v>15020</v>
      </c>
      <c r="K698">
        <v>10</v>
      </c>
      <c r="L698">
        <v>104</v>
      </c>
      <c r="M698">
        <v>2271</v>
      </c>
      <c r="N698">
        <v>313</v>
      </c>
      <c r="O698">
        <v>75</v>
      </c>
    </row>
    <row r="699" spans="1:15" x14ac:dyDescent="0.25">
      <c r="A699" t="s">
        <v>985</v>
      </c>
      <c r="B699" t="s">
        <v>1964</v>
      </c>
      <c r="C699" t="s">
        <v>923</v>
      </c>
      <c r="D699" t="s">
        <v>3063</v>
      </c>
      <c r="E699" t="s">
        <v>3053</v>
      </c>
      <c r="F699" t="s">
        <v>330</v>
      </c>
      <c r="G699" t="s">
        <v>331</v>
      </c>
      <c r="H699" t="s">
        <v>3554</v>
      </c>
      <c r="I699">
        <v>1</v>
      </c>
      <c r="J699">
        <v>0</v>
      </c>
      <c r="K699">
        <v>0</v>
      </c>
      <c r="L699">
        <v>1</v>
      </c>
      <c r="M699">
        <v>0</v>
      </c>
      <c r="N699">
        <v>0</v>
      </c>
      <c r="O699">
        <v>0</v>
      </c>
    </row>
    <row r="700" spans="1:15" x14ac:dyDescent="0.25">
      <c r="A700" t="s">
        <v>933</v>
      </c>
      <c r="B700" t="s">
        <v>2106</v>
      </c>
      <c r="C700" t="s">
        <v>927</v>
      </c>
      <c r="D700" t="s">
        <v>3052</v>
      </c>
      <c r="E700" t="s">
        <v>3053</v>
      </c>
      <c r="F700" t="s">
        <v>330</v>
      </c>
      <c r="G700" t="s">
        <v>331</v>
      </c>
      <c r="H700" t="s">
        <v>3555</v>
      </c>
      <c r="I700">
        <v>576</v>
      </c>
      <c r="J700">
        <v>576</v>
      </c>
      <c r="K700">
        <v>0</v>
      </c>
      <c r="L700">
        <v>0</v>
      </c>
      <c r="M700">
        <v>0</v>
      </c>
      <c r="N700">
        <v>11</v>
      </c>
      <c r="O700">
        <v>0</v>
      </c>
    </row>
    <row r="701" spans="1:15" x14ac:dyDescent="0.25">
      <c r="A701" t="s">
        <v>1006</v>
      </c>
      <c r="B701" t="s">
        <v>2724</v>
      </c>
      <c r="C701" t="s">
        <v>927</v>
      </c>
      <c r="D701" t="s">
        <v>3052</v>
      </c>
      <c r="E701" t="s">
        <v>3053</v>
      </c>
      <c r="F701" t="s">
        <v>330</v>
      </c>
      <c r="G701" t="s">
        <v>331</v>
      </c>
      <c r="H701" t="s">
        <v>3556</v>
      </c>
      <c r="I701">
        <v>838</v>
      </c>
      <c r="J701">
        <v>664</v>
      </c>
      <c r="K701">
        <v>0</v>
      </c>
      <c r="L701">
        <v>145</v>
      </c>
      <c r="M701">
        <v>0</v>
      </c>
      <c r="N701">
        <v>1</v>
      </c>
      <c r="O701">
        <v>29</v>
      </c>
    </row>
    <row r="702" spans="1:15" x14ac:dyDescent="0.25">
      <c r="A702" t="s">
        <v>1009</v>
      </c>
      <c r="B702" t="s">
        <v>1958</v>
      </c>
      <c r="C702" t="s">
        <v>923</v>
      </c>
      <c r="D702" t="s">
        <v>3063</v>
      </c>
      <c r="E702" t="s">
        <v>3053</v>
      </c>
      <c r="F702" t="s">
        <v>330</v>
      </c>
      <c r="G702" t="s">
        <v>331</v>
      </c>
      <c r="H702" t="s">
        <v>3557</v>
      </c>
      <c r="I702">
        <v>18</v>
      </c>
      <c r="J702">
        <v>0</v>
      </c>
      <c r="K702">
        <v>0</v>
      </c>
      <c r="L702">
        <v>18</v>
      </c>
      <c r="M702">
        <v>0</v>
      </c>
      <c r="N702">
        <v>0</v>
      </c>
      <c r="O702">
        <v>0</v>
      </c>
    </row>
    <row r="703" spans="1:15" x14ac:dyDescent="0.25">
      <c r="A703" t="s">
        <v>1011</v>
      </c>
      <c r="B703" t="s">
        <v>2020</v>
      </c>
      <c r="C703" t="s">
        <v>927</v>
      </c>
      <c r="D703" t="s">
        <v>3052</v>
      </c>
      <c r="E703" t="s">
        <v>3053</v>
      </c>
      <c r="F703" t="s">
        <v>330</v>
      </c>
      <c r="G703" t="s">
        <v>331</v>
      </c>
      <c r="H703" t="s">
        <v>3558</v>
      </c>
      <c r="I703">
        <v>32</v>
      </c>
      <c r="J703">
        <v>0</v>
      </c>
      <c r="K703">
        <v>0</v>
      </c>
      <c r="L703">
        <v>32</v>
      </c>
      <c r="M703">
        <v>0</v>
      </c>
      <c r="N703">
        <v>0</v>
      </c>
      <c r="O703">
        <v>0</v>
      </c>
    </row>
    <row r="704" spans="1:15" x14ac:dyDescent="0.25">
      <c r="A704" t="s">
        <v>1013</v>
      </c>
      <c r="B704" t="s">
        <v>1959</v>
      </c>
      <c r="C704" t="s">
        <v>927</v>
      </c>
      <c r="D704" t="s">
        <v>3052</v>
      </c>
      <c r="E704" t="s">
        <v>3053</v>
      </c>
      <c r="F704" t="s">
        <v>330</v>
      </c>
      <c r="G704" t="s">
        <v>331</v>
      </c>
      <c r="H704" t="s">
        <v>3559</v>
      </c>
      <c r="I704">
        <v>63</v>
      </c>
      <c r="J704">
        <v>0</v>
      </c>
      <c r="K704">
        <v>0</v>
      </c>
      <c r="L704">
        <v>63</v>
      </c>
      <c r="M704">
        <v>0</v>
      </c>
      <c r="N704">
        <v>0</v>
      </c>
      <c r="O704">
        <v>0</v>
      </c>
    </row>
    <row r="705" spans="1:15" x14ac:dyDescent="0.25">
      <c r="A705" t="s">
        <v>1495</v>
      </c>
      <c r="B705" t="s">
        <v>2648</v>
      </c>
      <c r="C705" t="s">
        <v>927</v>
      </c>
      <c r="D705" t="s">
        <v>3052</v>
      </c>
      <c r="E705" t="s">
        <v>3053</v>
      </c>
      <c r="F705" t="s">
        <v>330</v>
      </c>
      <c r="G705" t="s">
        <v>331</v>
      </c>
      <c r="H705" t="s">
        <v>3560</v>
      </c>
      <c r="I705">
        <v>1332</v>
      </c>
      <c r="J705">
        <v>1188</v>
      </c>
      <c r="K705">
        <v>0</v>
      </c>
      <c r="L705">
        <v>68</v>
      </c>
      <c r="M705">
        <v>33</v>
      </c>
      <c r="N705">
        <v>12</v>
      </c>
      <c r="O705">
        <v>43</v>
      </c>
    </row>
    <row r="706" spans="1:15" x14ac:dyDescent="0.25">
      <c r="A706" t="s">
        <v>9819</v>
      </c>
      <c r="B706" t="s">
        <v>2916</v>
      </c>
      <c r="C706" t="s">
        <v>927</v>
      </c>
      <c r="D706" t="s">
        <v>3052</v>
      </c>
      <c r="E706" t="s">
        <v>3053</v>
      </c>
      <c r="F706" t="s">
        <v>330</v>
      </c>
      <c r="G706" t="s">
        <v>331</v>
      </c>
      <c r="H706" t="s">
        <v>10857</v>
      </c>
      <c r="I706">
        <v>32</v>
      </c>
      <c r="J706">
        <v>13</v>
      </c>
      <c r="K706">
        <v>0</v>
      </c>
      <c r="L706">
        <v>0</v>
      </c>
      <c r="M706">
        <v>0</v>
      </c>
      <c r="N706">
        <v>0</v>
      </c>
      <c r="O706">
        <v>19</v>
      </c>
    </row>
    <row r="707" spans="1:15" x14ac:dyDescent="0.25">
      <c r="A707" t="s">
        <v>1516</v>
      </c>
      <c r="B707" t="s">
        <v>2098</v>
      </c>
      <c r="C707" t="s">
        <v>927</v>
      </c>
      <c r="D707" t="s">
        <v>3052</v>
      </c>
      <c r="E707" t="s">
        <v>3053</v>
      </c>
      <c r="F707" t="s">
        <v>330</v>
      </c>
      <c r="G707" t="s">
        <v>331</v>
      </c>
      <c r="H707" t="s">
        <v>3561</v>
      </c>
      <c r="I707">
        <v>737</v>
      </c>
      <c r="J707">
        <v>557</v>
      </c>
      <c r="K707">
        <v>0</v>
      </c>
      <c r="L707">
        <v>31</v>
      </c>
      <c r="M707">
        <v>128</v>
      </c>
      <c r="N707">
        <v>0</v>
      </c>
      <c r="O707">
        <v>21</v>
      </c>
    </row>
    <row r="708" spans="1:15" x14ac:dyDescent="0.25">
      <c r="A708" t="s">
        <v>1521</v>
      </c>
      <c r="B708" t="s">
        <v>2920</v>
      </c>
      <c r="C708" t="s">
        <v>927</v>
      </c>
      <c r="D708" t="s">
        <v>3052</v>
      </c>
      <c r="E708" t="s">
        <v>3053</v>
      </c>
      <c r="F708" t="s">
        <v>330</v>
      </c>
      <c r="G708" t="s">
        <v>331</v>
      </c>
      <c r="H708" t="s">
        <v>3562</v>
      </c>
      <c r="I708">
        <v>2026</v>
      </c>
      <c r="J708">
        <v>1509</v>
      </c>
      <c r="K708">
        <v>0</v>
      </c>
      <c r="L708">
        <v>78</v>
      </c>
      <c r="M708">
        <v>315</v>
      </c>
      <c r="N708">
        <v>1</v>
      </c>
      <c r="O708">
        <v>124</v>
      </c>
    </row>
    <row r="709" spans="1:15" x14ac:dyDescent="0.25">
      <c r="A709" t="s">
        <v>951</v>
      </c>
      <c r="B709" t="s">
        <v>2680</v>
      </c>
      <c r="C709" t="s">
        <v>927</v>
      </c>
      <c r="D709" t="s">
        <v>3052</v>
      </c>
      <c r="E709" t="s">
        <v>3053</v>
      </c>
      <c r="F709" t="s">
        <v>330</v>
      </c>
      <c r="G709" t="s">
        <v>331</v>
      </c>
      <c r="H709" t="s">
        <v>3563</v>
      </c>
      <c r="I709">
        <v>1239</v>
      </c>
      <c r="J709">
        <v>1033</v>
      </c>
      <c r="K709">
        <v>1</v>
      </c>
      <c r="L709">
        <v>0</v>
      </c>
      <c r="M709">
        <v>150</v>
      </c>
      <c r="N709">
        <v>1</v>
      </c>
      <c r="O709">
        <v>55</v>
      </c>
    </row>
    <row r="710" spans="1:15" x14ac:dyDescent="0.25">
      <c r="A710" t="s">
        <v>1048</v>
      </c>
      <c r="B710" t="s">
        <v>2989</v>
      </c>
      <c r="C710" t="s">
        <v>927</v>
      </c>
      <c r="D710" t="s">
        <v>3052</v>
      </c>
      <c r="E710" t="s">
        <v>3053</v>
      </c>
      <c r="F710" t="s">
        <v>330</v>
      </c>
      <c r="G710" t="s">
        <v>331</v>
      </c>
      <c r="H710" t="s">
        <v>3564</v>
      </c>
      <c r="I710">
        <v>128</v>
      </c>
      <c r="J710">
        <v>6</v>
      </c>
      <c r="K710">
        <v>0</v>
      </c>
      <c r="L710">
        <v>65</v>
      </c>
      <c r="M710">
        <v>54</v>
      </c>
      <c r="N710">
        <v>0</v>
      </c>
      <c r="O710">
        <v>3</v>
      </c>
    </row>
    <row r="711" spans="1:15" x14ac:dyDescent="0.25">
      <c r="A711" t="s">
        <v>1050</v>
      </c>
      <c r="B711" t="s">
        <v>2018</v>
      </c>
      <c r="C711" t="s">
        <v>923</v>
      </c>
      <c r="D711" t="s">
        <v>3063</v>
      </c>
      <c r="E711" t="s">
        <v>3053</v>
      </c>
      <c r="F711" t="s">
        <v>330</v>
      </c>
      <c r="G711" t="s">
        <v>331</v>
      </c>
      <c r="H711" t="s">
        <v>3565</v>
      </c>
      <c r="I711">
        <v>24</v>
      </c>
      <c r="J711">
        <v>0</v>
      </c>
      <c r="K711">
        <v>0</v>
      </c>
      <c r="L711">
        <v>24</v>
      </c>
      <c r="M711">
        <v>0</v>
      </c>
      <c r="N711">
        <v>0</v>
      </c>
      <c r="O711">
        <v>0</v>
      </c>
    </row>
    <row r="712" spans="1:15" x14ac:dyDescent="0.25">
      <c r="A712" t="s">
        <v>1051</v>
      </c>
      <c r="B712" t="s">
        <v>2995</v>
      </c>
      <c r="C712" t="s">
        <v>927</v>
      </c>
      <c r="D712" t="s">
        <v>3052</v>
      </c>
      <c r="E712" t="s">
        <v>3053</v>
      </c>
      <c r="F712" t="s">
        <v>330</v>
      </c>
      <c r="G712" t="s">
        <v>331</v>
      </c>
      <c r="H712" t="s">
        <v>3566</v>
      </c>
      <c r="I712">
        <v>14</v>
      </c>
      <c r="J712">
        <v>0</v>
      </c>
      <c r="K712">
        <v>0</v>
      </c>
      <c r="L712">
        <v>14</v>
      </c>
      <c r="M712">
        <v>0</v>
      </c>
      <c r="N712">
        <v>0</v>
      </c>
      <c r="O712">
        <v>0</v>
      </c>
    </row>
    <row r="713" spans="1:15" x14ac:dyDescent="0.25">
      <c r="A713" t="s">
        <v>1056</v>
      </c>
      <c r="B713" t="s">
        <v>2966</v>
      </c>
      <c r="C713" t="s">
        <v>927</v>
      </c>
      <c r="D713" t="s">
        <v>3052</v>
      </c>
      <c r="E713" t="s">
        <v>3053</v>
      </c>
      <c r="F713" t="s">
        <v>330</v>
      </c>
      <c r="G713" t="s">
        <v>331</v>
      </c>
      <c r="H713" t="s">
        <v>3567</v>
      </c>
      <c r="I713">
        <v>93</v>
      </c>
      <c r="J713">
        <v>57</v>
      </c>
      <c r="K713">
        <v>0</v>
      </c>
      <c r="L713">
        <v>36</v>
      </c>
      <c r="M713">
        <v>0</v>
      </c>
      <c r="N713">
        <v>0</v>
      </c>
      <c r="O713">
        <v>0</v>
      </c>
    </row>
    <row r="714" spans="1:15" x14ac:dyDescent="0.25">
      <c r="A714" t="s">
        <v>955</v>
      </c>
      <c r="B714" t="s">
        <v>2660</v>
      </c>
      <c r="C714" t="s">
        <v>927</v>
      </c>
      <c r="D714" t="s">
        <v>3052</v>
      </c>
      <c r="E714" t="s">
        <v>3053</v>
      </c>
      <c r="F714" t="s">
        <v>330</v>
      </c>
      <c r="G714" t="s">
        <v>331</v>
      </c>
      <c r="H714" t="s">
        <v>3568</v>
      </c>
      <c r="I714">
        <v>68</v>
      </c>
      <c r="J714">
        <v>50</v>
      </c>
      <c r="K714">
        <v>0</v>
      </c>
      <c r="L714">
        <v>18</v>
      </c>
      <c r="M714">
        <v>0</v>
      </c>
      <c r="N714">
        <v>0</v>
      </c>
      <c r="O714">
        <v>0</v>
      </c>
    </row>
    <row r="715" spans="1:15" x14ac:dyDescent="0.25">
      <c r="A715" t="s">
        <v>1533</v>
      </c>
      <c r="B715" t="s">
        <v>2456</v>
      </c>
      <c r="C715" t="s">
        <v>923</v>
      </c>
      <c r="D715" t="s">
        <v>3063</v>
      </c>
      <c r="E715" t="s">
        <v>3053</v>
      </c>
      <c r="F715" t="s">
        <v>330</v>
      </c>
      <c r="G715" t="s">
        <v>331</v>
      </c>
      <c r="H715" t="s">
        <v>3569</v>
      </c>
      <c r="I715">
        <v>28</v>
      </c>
      <c r="J715">
        <v>28</v>
      </c>
      <c r="K715">
        <v>0</v>
      </c>
      <c r="L715">
        <v>0</v>
      </c>
      <c r="M715">
        <v>0</v>
      </c>
      <c r="N715">
        <v>0</v>
      </c>
      <c r="O715">
        <v>0</v>
      </c>
    </row>
    <row r="716" spans="1:15" x14ac:dyDescent="0.25">
      <c r="A716" t="s">
        <v>1069</v>
      </c>
      <c r="B716" t="s">
        <v>2001</v>
      </c>
      <c r="C716" t="s">
        <v>927</v>
      </c>
      <c r="D716" t="s">
        <v>3052</v>
      </c>
      <c r="E716" t="s">
        <v>3053</v>
      </c>
      <c r="F716" t="s">
        <v>330</v>
      </c>
      <c r="G716" t="s">
        <v>331</v>
      </c>
      <c r="H716" t="s">
        <v>3570</v>
      </c>
      <c r="I716">
        <v>199</v>
      </c>
      <c r="J716">
        <v>156</v>
      </c>
      <c r="K716">
        <v>0</v>
      </c>
      <c r="L716">
        <v>0</v>
      </c>
      <c r="M716">
        <v>28</v>
      </c>
      <c r="N716">
        <v>0</v>
      </c>
      <c r="O716">
        <v>15</v>
      </c>
    </row>
    <row r="717" spans="1:15" x14ac:dyDescent="0.25">
      <c r="A717" t="s">
        <v>1072</v>
      </c>
      <c r="B717" t="s">
        <v>2907</v>
      </c>
      <c r="C717" t="s">
        <v>927</v>
      </c>
      <c r="D717" t="s">
        <v>3052</v>
      </c>
      <c r="E717" t="s">
        <v>3053</v>
      </c>
      <c r="F717" t="s">
        <v>330</v>
      </c>
      <c r="G717" t="s">
        <v>331</v>
      </c>
      <c r="H717" t="s">
        <v>3571</v>
      </c>
      <c r="I717">
        <v>16</v>
      </c>
      <c r="J717">
        <v>0</v>
      </c>
      <c r="K717">
        <v>0</v>
      </c>
      <c r="L717">
        <v>16</v>
      </c>
      <c r="M717">
        <v>0</v>
      </c>
      <c r="N717">
        <v>0</v>
      </c>
      <c r="O717">
        <v>0</v>
      </c>
    </row>
    <row r="718" spans="1:15" x14ac:dyDescent="0.25">
      <c r="A718" t="s">
        <v>1083</v>
      </c>
      <c r="B718" t="s">
        <v>2757</v>
      </c>
      <c r="C718" t="s">
        <v>927</v>
      </c>
      <c r="D718" t="s">
        <v>3052</v>
      </c>
      <c r="E718" t="s">
        <v>3053</v>
      </c>
      <c r="F718" t="s">
        <v>330</v>
      </c>
      <c r="G718" t="s">
        <v>331</v>
      </c>
      <c r="H718" t="s">
        <v>3572</v>
      </c>
      <c r="I718">
        <v>258</v>
      </c>
      <c r="J718">
        <v>145</v>
      </c>
      <c r="K718">
        <v>0</v>
      </c>
      <c r="L718">
        <v>0</v>
      </c>
      <c r="M718">
        <v>0</v>
      </c>
      <c r="N718">
        <v>0</v>
      </c>
      <c r="O718">
        <v>113</v>
      </c>
    </row>
    <row r="719" spans="1:15" x14ac:dyDescent="0.25">
      <c r="A719" t="s">
        <v>971</v>
      </c>
      <c r="B719" t="s">
        <v>2956</v>
      </c>
      <c r="C719" t="s">
        <v>927</v>
      </c>
      <c r="D719" t="s">
        <v>3052</v>
      </c>
      <c r="E719" t="s">
        <v>3053</v>
      </c>
      <c r="F719" t="s">
        <v>332</v>
      </c>
      <c r="G719" t="s">
        <v>333</v>
      </c>
      <c r="H719" t="s">
        <v>3573</v>
      </c>
      <c r="I719">
        <v>14</v>
      </c>
      <c r="J719">
        <v>14</v>
      </c>
      <c r="K719">
        <v>0</v>
      </c>
      <c r="L719">
        <v>0</v>
      </c>
      <c r="M719">
        <v>0</v>
      </c>
      <c r="N719">
        <v>0</v>
      </c>
      <c r="O719">
        <v>0</v>
      </c>
    </row>
    <row r="720" spans="1:15" x14ac:dyDescent="0.25">
      <c r="A720" t="s">
        <v>926</v>
      </c>
      <c r="B720" t="s">
        <v>2923</v>
      </c>
      <c r="C720" t="s">
        <v>927</v>
      </c>
      <c r="D720" t="s">
        <v>3052</v>
      </c>
      <c r="E720" t="s">
        <v>3053</v>
      </c>
      <c r="F720" t="s">
        <v>332</v>
      </c>
      <c r="G720" t="s">
        <v>333</v>
      </c>
      <c r="H720" t="s">
        <v>3574</v>
      </c>
      <c r="I720">
        <v>51</v>
      </c>
      <c r="J720">
        <v>0</v>
      </c>
      <c r="K720">
        <v>0</v>
      </c>
      <c r="L720">
        <v>48</v>
      </c>
      <c r="M720">
        <v>0</v>
      </c>
      <c r="N720">
        <v>0</v>
      </c>
      <c r="O720">
        <v>3</v>
      </c>
    </row>
    <row r="721" spans="1:15" x14ac:dyDescent="0.25">
      <c r="A721" t="s">
        <v>933</v>
      </c>
      <c r="B721" t="s">
        <v>2106</v>
      </c>
      <c r="C721" t="s">
        <v>927</v>
      </c>
      <c r="D721" t="s">
        <v>3052</v>
      </c>
      <c r="E721" t="s">
        <v>3053</v>
      </c>
      <c r="F721" t="s">
        <v>332</v>
      </c>
      <c r="G721" t="s">
        <v>333</v>
      </c>
      <c r="H721" t="s">
        <v>3575</v>
      </c>
      <c r="I721">
        <v>6</v>
      </c>
      <c r="J721">
        <v>0</v>
      </c>
      <c r="K721">
        <v>0</v>
      </c>
      <c r="L721">
        <v>0</v>
      </c>
      <c r="M721">
        <v>0</v>
      </c>
      <c r="N721">
        <v>0</v>
      </c>
      <c r="O721">
        <v>6</v>
      </c>
    </row>
    <row r="722" spans="1:15" x14ac:dyDescent="0.25">
      <c r="A722" t="s">
        <v>935</v>
      </c>
      <c r="B722" t="s">
        <v>1960</v>
      </c>
      <c r="C722" t="s">
        <v>923</v>
      </c>
      <c r="D722" t="s">
        <v>3063</v>
      </c>
      <c r="E722" t="s">
        <v>3053</v>
      </c>
      <c r="F722" t="s">
        <v>332</v>
      </c>
      <c r="G722" t="s">
        <v>333</v>
      </c>
      <c r="H722" t="s">
        <v>3576</v>
      </c>
      <c r="I722">
        <v>9</v>
      </c>
      <c r="J722">
        <v>0</v>
      </c>
      <c r="K722">
        <v>0</v>
      </c>
      <c r="L722">
        <v>9</v>
      </c>
      <c r="M722">
        <v>0</v>
      </c>
      <c r="N722">
        <v>0</v>
      </c>
      <c r="O722">
        <v>0</v>
      </c>
    </row>
    <row r="723" spans="1:15" x14ac:dyDescent="0.25">
      <c r="A723" t="s">
        <v>1001</v>
      </c>
      <c r="B723" t="s">
        <v>3007</v>
      </c>
      <c r="C723" t="s">
        <v>927</v>
      </c>
      <c r="D723" t="s">
        <v>3052</v>
      </c>
      <c r="E723" t="s">
        <v>3053</v>
      </c>
      <c r="F723" t="s">
        <v>332</v>
      </c>
      <c r="G723" t="s">
        <v>333</v>
      </c>
      <c r="H723" t="s">
        <v>3577</v>
      </c>
      <c r="I723">
        <v>38</v>
      </c>
      <c r="J723">
        <v>0</v>
      </c>
      <c r="K723">
        <v>0</v>
      </c>
      <c r="L723">
        <v>38</v>
      </c>
      <c r="M723">
        <v>0</v>
      </c>
      <c r="N723">
        <v>0</v>
      </c>
      <c r="O723">
        <v>0</v>
      </c>
    </row>
    <row r="724" spans="1:15" x14ac:dyDescent="0.25">
      <c r="A724" t="s">
        <v>10638</v>
      </c>
      <c r="B724" t="s">
        <v>2057</v>
      </c>
      <c r="C724" t="s">
        <v>927</v>
      </c>
      <c r="D724" t="s">
        <v>3052</v>
      </c>
      <c r="E724" t="s">
        <v>3053</v>
      </c>
      <c r="F724" t="s">
        <v>332</v>
      </c>
      <c r="G724" t="s">
        <v>333</v>
      </c>
      <c r="H724" t="s">
        <v>10858</v>
      </c>
      <c r="I724">
        <v>14</v>
      </c>
      <c r="J724">
        <v>0</v>
      </c>
      <c r="K724">
        <v>0</v>
      </c>
      <c r="L724">
        <v>14</v>
      </c>
      <c r="M724">
        <v>0</v>
      </c>
      <c r="N724">
        <v>0</v>
      </c>
      <c r="O724">
        <v>0</v>
      </c>
    </row>
    <row r="725" spans="1:15" x14ac:dyDescent="0.25">
      <c r="A725" t="s">
        <v>937</v>
      </c>
      <c r="B725" t="s">
        <v>1962</v>
      </c>
      <c r="C725" t="s">
        <v>927</v>
      </c>
      <c r="D725" t="s">
        <v>3052</v>
      </c>
      <c r="E725" t="s">
        <v>3053</v>
      </c>
      <c r="F725" t="s">
        <v>332</v>
      </c>
      <c r="G725" t="s">
        <v>333</v>
      </c>
      <c r="H725" t="s">
        <v>10094</v>
      </c>
      <c r="I725">
        <v>20</v>
      </c>
      <c r="J725">
        <v>0</v>
      </c>
      <c r="K725">
        <v>0</v>
      </c>
      <c r="L725">
        <v>0</v>
      </c>
      <c r="M725">
        <v>0</v>
      </c>
      <c r="N725">
        <v>0</v>
      </c>
      <c r="O725">
        <v>20</v>
      </c>
    </row>
    <row r="726" spans="1:15" x14ac:dyDescent="0.25">
      <c r="A726" t="s">
        <v>940</v>
      </c>
      <c r="B726" t="s">
        <v>2647</v>
      </c>
      <c r="C726" t="s">
        <v>927</v>
      </c>
      <c r="D726" t="s">
        <v>3052</v>
      </c>
      <c r="E726" t="s">
        <v>3053</v>
      </c>
      <c r="F726" t="s">
        <v>332</v>
      </c>
      <c r="G726" t="s">
        <v>333</v>
      </c>
      <c r="H726" t="s">
        <v>3578</v>
      </c>
      <c r="I726">
        <v>74</v>
      </c>
      <c r="J726">
        <v>0</v>
      </c>
      <c r="K726">
        <v>0</v>
      </c>
      <c r="L726">
        <v>0</v>
      </c>
      <c r="M726">
        <v>74</v>
      </c>
      <c r="N726">
        <v>0</v>
      </c>
      <c r="O726">
        <v>0</v>
      </c>
    </row>
    <row r="727" spans="1:15" x14ac:dyDescent="0.25">
      <c r="A727" t="s">
        <v>1022</v>
      </c>
      <c r="B727" t="s">
        <v>2116</v>
      </c>
      <c r="C727" t="s">
        <v>927</v>
      </c>
      <c r="D727" t="s">
        <v>3052</v>
      </c>
      <c r="E727" t="s">
        <v>3053</v>
      </c>
      <c r="F727" t="s">
        <v>332</v>
      </c>
      <c r="G727" t="s">
        <v>333</v>
      </c>
      <c r="H727" t="s">
        <v>3579</v>
      </c>
      <c r="I727">
        <v>4612</v>
      </c>
      <c r="J727">
        <v>3694</v>
      </c>
      <c r="K727">
        <v>0</v>
      </c>
      <c r="L727">
        <v>0</v>
      </c>
      <c r="M727">
        <v>822</v>
      </c>
      <c r="N727">
        <v>0</v>
      </c>
      <c r="O727">
        <v>96</v>
      </c>
    </row>
    <row r="728" spans="1:15" x14ac:dyDescent="0.25">
      <c r="A728" t="s">
        <v>1023</v>
      </c>
      <c r="B728" t="s">
        <v>2803</v>
      </c>
      <c r="C728" t="s">
        <v>923</v>
      </c>
      <c r="D728" t="s">
        <v>3063</v>
      </c>
      <c r="E728" t="s">
        <v>3053</v>
      </c>
      <c r="F728" t="s">
        <v>332</v>
      </c>
      <c r="G728" t="s">
        <v>333</v>
      </c>
      <c r="H728" t="s">
        <v>3580</v>
      </c>
      <c r="I728">
        <v>37</v>
      </c>
      <c r="J728">
        <v>37</v>
      </c>
      <c r="K728">
        <v>0</v>
      </c>
      <c r="L728">
        <v>0</v>
      </c>
      <c r="M728">
        <v>0</v>
      </c>
      <c r="N728">
        <v>0</v>
      </c>
      <c r="O728">
        <v>0</v>
      </c>
    </row>
    <row r="729" spans="1:15" x14ac:dyDescent="0.25">
      <c r="A729" t="s">
        <v>1025</v>
      </c>
      <c r="B729" t="s">
        <v>2893</v>
      </c>
      <c r="C729" t="s">
        <v>927</v>
      </c>
      <c r="D729" t="s">
        <v>3052</v>
      </c>
      <c r="E729" t="s">
        <v>3053</v>
      </c>
      <c r="F729" t="s">
        <v>332</v>
      </c>
      <c r="G729" t="s">
        <v>333</v>
      </c>
      <c r="H729" t="s">
        <v>14483</v>
      </c>
      <c r="I729">
        <v>1</v>
      </c>
      <c r="J729">
        <v>0</v>
      </c>
      <c r="K729">
        <v>0</v>
      </c>
      <c r="L729">
        <v>0</v>
      </c>
      <c r="M729">
        <v>0</v>
      </c>
      <c r="N729">
        <v>0</v>
      </c>
      <c r="O729">
        <v>1</v>
      </c>
    </row>
    <row r="730" spans="1:15" x14ac:dyDescent="0.25">
      <c r="A730" t="s">
        <v>1026</v>
      </c>
      <c r="B730" t="s">
        <v>2848</v>
      </c>
      <c r="C730" t="s">
        <v>927</v>
      </c>
      <c r="D730" t="s">
        <v>3052</v>
      </c>
      <c r="E730" t="s">
        <v>3053</v>
      </c>
      <c r="F730" t="s">
        <v>332</v>
      </c>
      <c r="G730" t="s">
        <v>333</v>
      </c>
      <c r="H730" t="s">
        <v>3581</v>
      </c>
      <c r="I730">
        <v>745</v>
      </c>
      <c r="J730">
        <v>557</v>
      </c>
      <c r="K730">
        <v>0</v>
      </c>
      <c r="L730">
        <v>0</v>
      </c>
      <c r="M730">
        <v>0</v>
      </c>
      <c r="N730">
        <v>3</v>
      </c>
      <c r="O730">
        <v>188</v>
      </c>
    </row>
    <row r="731" spans="1:15" x14ac:dyDescent="0.25">
      <c r="A731" t="s">
        <v>1033</v>
      </c>
      <c r="B731" t="s">
        <v>2039</v>
      </c>
      <c r="C731" t="s">
        <v>923</v>
      </c>
      <c r="D731" t="s">
        <v>3063</v>
      </c>
      <c r="E731" t="s">
        <v>3053</v>
      </c>
      <c r="F731" t="s">
        <v>332</v>
      </c>
      <c r="G731" t="s">
        <v>333</v>
      </c>
      <c r="H731" t="s">
        <v>3582</v>
      </c>
      <c r="I731">
        <v>9</v>
      </c>
      <c r="J731">
        <v>0</v>
      </c>
      <c r="K731">
        <v>0</v>
      </c>
      <c r="L731">
        <v>9</v>
      </c>
      <c r="M731">
        <v>0</v>
      </c>
      <c r="N731">
        <v>0</v>
      </c>
      <c r="O731">
        <v>0</v>
      </c>
    </row>
    <row r="732" spans="1:15" x14ac:dyDescent="0.25">
      <c r="A732" t="s">
        <v>1049</v>
      </c>
      <c r="B732" t="s">
        <v>2138</v>
      </c>
      <c r="C732" t="s">
        <v>927</v>
      </c>
      <c r="D732" t="s">
        <v>3052</v>
      </c>
      <c r="E732" t="s">
        <v>3053</v>
      </c>
      <c r="F732" t="s">
        <v>332</v>
      </c>
      <c r="G732" t="s">
        <v>333</v>
      </c>
      <c r="H732" t="s">
        <v>3583</v>
      </c>
      <c r="I732">
        <v>795</v>
      </c>
      <c r="J732">
        <v>643</v>
      </c>
      <c r="K732">
        <v>0</v>
      </c>
      <c r="L732">
        <v>12</v>
      </c>
      <c r="M732">
        <v>0</v>
      </c>
      <c r="N732">
        <v>0</v>
      </c>
      <c r="O732">
        <v>140</v>
      </c>
    </row>
    <row r="733" spans="1:15" x14ac:dyDescent="0.25">
      <c r="A733" t="s">
        <v>1051</v>
      </c>
      <c r="B733" t="s">
        <v>2995</v>
      </c>
      <c r="C733" t="s">
        <v>927</v>
      </c>
      <c r="D733" t="s">
        <v>3052</v>
      </c>
      <c r="E733" t="s">
        <v>3053</v>
      </c>
      <c r="F733" t="s">
        <v>332</v>
      </c>
      <c r="G733" t="s">
        <v>333</v>
      </c>
      <c r="H733" t="s">
        <v>3584</v>
      </c>
      <c r="I733">
        <v>28</v>
      </c>
      <c r="J733">
        <v>0</v>
      </c>
      <c r="K733">
        <v>0</v>
      </c>
      <c r="L733">
        <v>28</v>
      </c>
      <c r="M733">
        <v>0</v>
      </c>
      <c r="N733">
        <v>0</v>
      </c>
      <c r="O733">
        <v>0</v>
      </c>
    </row>
    <row r="734" spans="1:15" x14ac:dyDescent="0.25">
      <c r="A734" t="s">
        <v>11664</v>
      </c>
      <c r="B734" t="s">
        <v>2199</v>
      </c>
      <c r="C734" t="s">
        <v>923</v>
      </c>
      <c r="D734" t="s">
        <v>3063</v>
      </c>
      <c r="E734" t="s">
        <v>3053</v>
      </c>
      <c r="F734" t="s">
        <v>332</v>
      </c>
      <c r="G734" t="s">
        <v>333</v>
      </c>
      <c r="H734" t="s">
        <v>11831</v>
      </c>
      <c r="I734">
        <v>10</v>
      </c>
      <c r="J734">
        <v>0</v>
      </c>
      <c r="K734">
        <v>0</v>
      </c>
      <c r="L734">
        <v>0</v>
      </c>
      <c r="M734">
        <v>10</v>
      </c>
      <c r="N734">
        <v>0</v>
      </c>
      <c r="O734">
        <v>0</v>
      </c>
    </row>
    <row r="735" spans="1:15" x14ac:dyDescent="0.25">
      <c r="A735" t="s">
        <v>922</v>
      </c>
      <c r="B735" t="s">
        <v>2573</v>
      </c>
      <c r="C735" t="s">
        <v>923</v>
      </c>
      <c r="D735" t="s">
        <v>3063</v>
      </c>
      <c r="E735" t="s">
        <v>3053</v>
      </c>
      <c r="F735" t="s">
        <v>11729</v>
      </c>
      <c r="G735" t="s">
        <v>334</v>
      </c>
      <c r="H735" t="s">
        <v>11832</v>
      </c>
      <c r="I735">
        <v>38</v>
      </c>
      <c r="J735">
        <v>0</v>
      </c>
      <c r="K735">
        <v>0</v>
      </c>
      <c r="L735">
        <v>0</v>
      </c>
      <c r="M735">
        <v>38</v>
      </c>
      <c r="N735">
        <v>0</v>
      </c>
      <c r="O735">
        <v>0</v>
      </c>
    </row>
    <row r="736" spans="1:15" x14ac:dyDescent="0.25">
      <c r="A736" t="s">
        <v>924</v>
      </c>
      <c r="B736" t="s">
        <v>2963</v>
      </c>
      <c r="C736" t="s">
        <v>923</v>
      </c>
      <c r="D736" t="s">
        <v>3063</v>
      </c>
      <c r="E736" t="s">
        <v>3053</v>
      </c>
      <c r="F736" t="s">
        <v>11729</v>
      </c>
      <c r="G736" t="s">
        <v>334</v>
      </c>
      <c r="H736" t="s">
        <v>11833</v>
      </c>
      <c r="I736">
        <v>100</v>
      </c>
      <c r="J736">
        <v>79</v>
      </c>
      <c r="K736">
        <v>0</v>
      </c>
      <c r="L736">
        <v>21</v>
      </c>
      <c r="M736">
        <v>0</v>
      </c>
      <c r="N736">
        <v>0</v>
      </c>
      <c r="O736">
        <v>0</v>
      </c>
    </row>
    <row r="737" spans="1:15" x14ac:dyDescent="0.25">
      <c r="A737" t="s">
        <v>10568</v>
      </c>
      <c r="B737" t="s">
        <v>10567</v>
      </c>
      <c r="C737" t="s">
        <v>927</v>
      </c>
      <c r="D737" t="s">
        <v>3052</v>
      </c>
      <c r="E737" t="s">
        <v>3053</v>
      </c>
      <c r="F737" t="s">
        <v>11729</v>
      </c>
      <c r="G737" t="s">
        <v>334</v>
      </c>
      <c r="H737" t="s">
        <v>11834</v>
      </c>
      <c r="I737">
        <v>155</v>
      </c>
      <c r="J737">
        <v>111</v>
      </c>
      <c r="K737">
        <v>0</v>
      </c>
      <c r="L737">
        <v>28</v>
      </c>
      <c r="M737">
        <v>11</v>
      </c>
      <c r="N737">
        <v>0</v>
      </c>
      <c r="O737">
        <v>5</v>
      </c>
    </row>
    <row r="738" spans="1:15" x14ac:dyDescent="0.25">
      <c r="A738" t="s">
        <v>926</v>
      </c>
      <c r="B738" t="s">
        <v>2923</v>
      </c>
      <c r="C738" t="s">
        <v>927</v>
      </c>
      <c r="D738" t="s">
        <v>3052</v>
      </c>
      <c r="E738" t="s">
        <v>3053</v>
      </c>
      <c r="F738" t="s">
        <v>11729</v>
      </c>
      <c r="G738" t="s">
        <v>334</v>
      </c>
      <c r="H738" t="s">
        <v>11835</v>
      </c>
      <c r="I738">
        <v>45</v>
      </c>
      <c r="J738">
        <v>0</v>
      </c>
      <c r="K738">
        <v>0</v>
      </c>
      <c r="L738">
        <v>21</v>
      </c>
      <c r="M738">
        <v>0</v>
      </c>
      <c r="N738">
        <v>0</v>
      </c>
      <c r="O738">
        <v>24</v>
      </c>
    </row>
    <row r="739" spans="1:15" x14ac:dyDescent="0.25">
      <c r="A739" t="s">
        <v>929</v>
      </c>
      <c r="B739" t="s">
        <v>2999</v>
      </c>
      <c r="C739" t="s">
        <v>927</v>
      </c>
      <c r="D739" t="s">
        <v>3052</v>
      </c>
      <c r="E739" t="s">
        <v>3053</v>
      </c>
      <c r="F739" t="s">
        <v>11729</v>
      </c>
      <c r="G739" t="s">
        <v>334</v>
      </c>
      <c r="H739" t="s">
        <v>11836</v>
      </c>
      <c r="I739">
        <v>222</v>
      </c>
      <c r="J739">
        <v>0</v>
      </c>
      <c r="K739">
        <v>0</v>
      </c>
      <c r="L739">
        <v>0</v>
      </c>
      <c r="M739">
        <v>186</v>
      </c>
      <c r="N739">
        <v>0</v>
      </c>
      <c r="O739">
        <v>36</v>
      </c>
    </row>
    <row r="740" spans="1:15" x14ac:dyDescent="0.25">
      <c r="A740" t="s">
        <v>931</v>
      </c>
      <c r="B740" t="s">
        <v>1978</v>
      </c>
      <c r="C740" t="s">
        <v>927</v>
      </c>
      <c r="D740" t="s">
        <v>3052</v>
      </c>
      <c r="E740" t="s">
        <v>3053</v>
      </c>
      <c r="F740" t="s">
        <v>11729</v>
      </c>
      <c r="G740" t="s">
        <v>334</v>
      </c>
      <c r="H740" t="s">
        <v>11837</v>
      </c>
      <c r="I740">
        <v>22</v>
      </c>
      <c r="J740">
        <v>20</v>
      </c>
      <c r="K740">
        <v>0</v>
      </c>
      <c r="L740">
        <v>0</v>
      </c>
      <c r="M740">
        <v>0</v>
      </c>
      <c r="N740">
        <v>0</v>
      </c>
      <c r="O740">
        <v>2</v>
      </c>
    </row>
    <row r="741" spans="1:15" x14ac:dyDescent="0.25">
      <c r="A741" t="s">
        <v>9784</v>
      </c>
      <c r="B741" t="s">
        <v>1994</v>
      </c>
      <c r="C741" t="s">
        <v>927</v>
      </c>
      <c r="D741" t="s">
        <v>3052</v>
      </c>
      <c r="E741" t="s">
        <v>3053</v>
      </c>
      <c r="F741" t="s">
        <v>11729</v>
      </c>
      <c r="G741" t="s">
        <v>334</v>
      </c>
      <c r="H741" t="s">
        <v>11838</v>
      </c>
      <c r="I741">
        <v>43</v>
      </c>
      <c r="J741">
        <v>0</v>
      </c>
      <c r="K741">
        <v>0</v>
      </c>
      <c r="L741">
        <v>43</v>
      </c>
      <c r="M741">
        <v>0</v>
      </c>
      <c r="N741">
        <v>0</v>
      </c>
      <c r="O741">
        <v>0</v>
      </c>
    </row>
    <row r="742" spans="1:15" x14ac:dyDescent="0.25">
      <c r="A742" t="s">
        <v>1705</v>
      </c>
      <c r="B742" t="s">
        <v>2715</v>
      </c>
      <c r="C742" t="s">
        <v>923</v>
      </c>
      <c r="D742" t="s">
        <v>3063</v>
      </c>
      <c r="E742" t="s">
        <v>3053</v>
      </c>
      <c r="F742" t="s">
        <v>11729</v>
      </c>
      <c r="G742" t="s">
        <v>334</v>
      </c>
      <c r="H742" t="s">
        <v>11839</v>
      </c>
      <c r="I742">
        <v>21</v>
      </c>
      <c r="J742">
        <v>10</v>
      </c>
      <c r="K742">
        <v>0</v>
      </c>
      <c r="L742">
        <v>0</v>
      </c>
      <c r="M742">
        <v>11</v>
      </c>
      <c r="N742">
        <v>0</v>
      </c>
      <c r="O742">
        <v>0</v>
      </c>
    </row>
    <row r="743" spans="1:15" x14ac:dyDescent="0.25">
      <c r="A743" t="s">
        <v>1581</v>
      </c>
      <c r="B743" t="s">
        <v>2917</v>
      </c>
      <c r="C743" t="s">
        <v>927</v>
      </c>
      <c r="D743" t="s">
        <v>3052</v>
      </c>
      <c r="E743" t="s">
        <v>3053</v>
      </c>
      <c r="F743" t="s">
        <v>11729</v>
      </c>
      <c r="G743" t="s">
        <v>334</v>
      </c>
      <c r="H743" t="s">
        <v>11840</v>
      </c>
      <c r="I743">
        <v>589</v>
      </c>
      <c r="J743">
        <v>267</v>
      </c>
      <c r="K743">
        <v>12</v>
      </c>
      <c r="L743">
        <v>309</v>
      </c>
      <c r="M743">
        <v>0</v>
      </c>
      <c r="N743">
        <v>9</v>
      </c>
      <c r="O743">
        <v>1</v>
      </c>
    </row>
    <row r="744" spans="1:15" x14ac:dyDescent="0.25">
      <c r="A744" t="s">
        <v>1706</v>
      </c>
      <c r="B744" t="s">
        <v>2629</v>
      </c>
      <c r="C744" t="s">
        <v>923</v>
      </c>
      <c r="D744" t="s">
        <v>3063</v>
      </c>
      <c r="E744" t="s">
        <v>3053</v>
      </c>
      <c r="F744" t="s">
        <v>11729</v>
      </c>
      <c r="G744" t="s">
        <v>334</v>
      </c>
      <c r="H744" t="s">
        <v>11841</v>
      </c>
      <c r="I744">
        <v>114</v>
      </c>
      <c r="J744">
        <v>0</v>
      </c>
      <c r="K744">
        <v>0</v>
      </c>
      <c r="L744">
        <v>114</v>
      </c>
      <c r="M744">
        <v>0</v>
      </c>
      <c r="N744">
        <v>0</v>
      </c>
      <c r="O744">
        <v>0</v>
      </c>
    </row>
    <row r="745" spans="1:15" x14ac:dyDescent="0.25">
      <c r="A745" t="s">
        <v>933</v>
      </c>
      <c r="B745" t="s">
        <v>2106</v>
      </c>
      <c r="C745" t="s">
        <v>927</v>
      </c>
      <c r="D745" t="s">
        <v>3052</v>
      </c>
      <c r="E745" t="s">
        <v>3053</v>
      </c>
      <c r="F745" t="s">
        <v>11729</v>
      </c>
      <c r="G745" t="s">
        <v>334</v>
      </c>
      <c r="H745" t="s">
        <v>11842</v>
      </c>
      <c r="I745">
        <v>14</v>
      </c>
      <c r="J745">
        <v>14</v>
      </c>
      <c r="K745">
        <v>0</v>
      </c>
      <c r="L745">
        <v>0</v>
      </c>
      <c r="M745">
        <v>0</v>
      </c>
      <c r="N745">
        <v>0</v>
      </c>
      <c r="O745">
        <v>0</v>
      </c>
    </row>
    <row r="746" spans="1:15" x14ac:dyDescent="0.25">
      <c r="A746" t="s">
        <v>1728</v>
      </c>
      <c r="B746" t="s">
        <v>2679</v>
      </c>
      <c r="C746" t="s">
        <v>923</v>
      </c>
      <c r="D746" t="s">
        <v>3063</v>
      </c>
      <c r="E746" t="s">
        <v>3053</v>
      </c>
      <c r="F746" t="s">
        <v>11729</v>
      </c>
      <c r="G746" t="s">
        <v>334</v>
      </c>
      <c r="H746" t="s">
        <v>11843</v>
      </c>
      <c r="I746">
        <v>133</v>
      </c>
      <c r="J746">
        <v>1</v>
      </c>
      <c r="K746">
        <v>0</v>
      </c>
      <c r="L746">
        <v>88</v>
      </c>
      <c r="M746">
        <v>44</v>
      </c>
      <c r="N746">
        <v>0</v>
      </c>
      <c r="O746">
        <v>0</v>
      </c>
    </row>
    <row r="747" spans="1:15" x14ac:dyDescent="0.25">
      <c r="A747" t="s">
        <v>1416</v>
      </c>
      <c r="B747" t="s">
        <v>2029</v>
      </c>
      <c r="C747" t="s">
        <v>923</v>
      </c>
      <c r="D747" t="s">
        <v>3063</v>
      </c>
      <c r="E747" t="s">
        <v>3053</v>
      </c>
      <c r="F747" t="s">
        <v>11729</v>
      </c>
      <c r="G747" t="s">
        <v>334</v>
      </c>
      <c r="H747" t="s">
        <v>11844</v>
      </c>
      <c r="I747">
        <v>66</v>
      </c>
      <c r="J747">
        <v>0</v>
      </c>
      <c r="K747">
        <v>0</v>
      </c>
      <c r="L747">
        <v>66</v>
      </c>
      <c r="M747">
        <v>0</v>
      </c>
      <c r="N747">
        <v>0</v>
      </c>
      <c r="O747">
        <v>0</v>
      </c>
    </row>
    <row r="748" spans="1:15" x14ac:dyDescent="0.25">
      <c r="A748" t="s">
        <v>10638</v>
      </c>
      <c r="B748" t="s">
        <v>2057</v>
      </c>
      <c r="C748" t="s">
        <v>927</v>
      </c>
      <c r="D748" t="s">
        <v>3052</v>
      </c>
      <c r="E748" t="s">
        <v>3053</v>
      </c>
      <c r="F748" t="s">
        <v>11729</v>
      </c>
      <c r="G748" t="s">
        <v>334</v>
      </c>
      <c r="H748" t="s">
        <v>14484</v>
      </c>
      <c r="I748">
        <v>4</v>
      </c>
      <c r="J748">
        <v>0</v>
      </c>
      <c r="K748">
        <v>0</v>
      </c>
      <c r="L748">
        <v>4</v>
      </c>
      <c r="M748">
        <v>0</v>
      </c>
      <c r="N748">
        <v>0</v>
      </c>
      <c r="O748">
        <v>0</v>
      </c>
    </row>
    <row r="749" spans="1:15" x14ac:dyDescent="0.25">
      <c r="A749" t="s">
        <v>937</v>
      </c>
      <c r="B749" t="s">
        <v>1962</v>
      </c>
      <c r="C749" t="s">
        <v>927</v>
      </c>
      <c r="D749" t="s">
        <v>3052</v>
      </c>
      <c r="E749" t="s">
        <v>3053</v>
      </c>
      <c r="F749" t="s">
        <v>11729</v>
      </c>
      <c r="G749" t="s">
        <v>334</v>
      </c>
      <c r="H749" t="s">
        <v>11845</v>
      </c>
      <c r="I749">
        <v>54</v>
      </c>
      <c r="J749">
        <v>0</v>
      </c>
      <c r="K749">
        <v>0</v>
      </c>
      <c r="L749">
        <v>0</v>
      </c>
      <c r="M749">
        <v>0</v>
      </c>
      <c r="N749">
        <v>0</v>
      </c>
      <c r="O749">
        <v>54</v>
      </c>
    </row>
    <row r="750" spans="1:15" x14ac:dyDescent="0.25">
      <c r="A750" t="s">
        <v>940</v>
      </c>
      <c r="B750" t="s">
        <v>2647</v>
      </c>
      <c r="C750" t="s">
        <v>927</v>
      </c>
      <c r="D750" t="s">
        <v>3052</v>
      </c>
      <c r="E750" t="s">
        <v>3053</v>
      </c>
      <c r="F750" t="s">
        <v>11729</v>
      </c>
      <c r="G750" t="s">
        <v>334</v>
      </c>
      <c r="H750" t="s">
        <v>11846</v>
      </c>
      <c r="I750">
        <v>60</v>
      </c>
      <c r="J750">
        <v>0</v>
      </c>
      <c r="K750">
        <v>0</v>
      </c>
      <c r="L750">
        <v>0</v>
      </c>
      <c r="M750">
        <v>60</v>
      </c>
      <c r="N750">
        <v>0</v>
      </c>
      <c r="O750">
        <v>0</v>
      </c>
    </row>
    <row r="751" spans="1:15" x14ac:dyDescent="0.25">
      <c r="A751" t="s">
        <v>1013</v>
      </c>
      <c r="B751" t="s">
        <v>1959</v>
      </c>
      <c r="C751" t="s">
        <v>927</v>
      </c>
      <c r="D751" t="s">
        <v>3052</v>
      </c>
      <c r="E751" t="s">
        <v>3053</v>
      </c>
      <c r="F751" t="s">
        <v>11729</v>
      </c>
      <c r="G751" t="s">
        <v>334</v>
      </c>
      <c r="H751" t="s">
        <v>11847</v>
      </c>
      <c r="I751">
        <v>64</v>
      </c>
      <c r="J751">
        <v>0</v>
      </c>
      <c r="K751">
        <v>0</v>
      </c>
      <c r="L751">
        <v>64</v>
      </c>
      <c r="M751">
        <v>0</v>
      </c>
      <c r="N751">
        <v>0</v>
      </c>
      <c r="O751">
        <v>0</v>
      </c>
    </row>
    <row r="752" spans="1:15" x14ac:dyDescent="0.25">
      <c r="A752" t="s">
        <v>1018</v>
      </c>
      <c r="B752" t="s">
        <v>1980</v>
      </c>
      <c r="C752" t="s">
        <v>923</v>
      </c>
      <c r="D752" t="s">
        <v>3063</v>
      </c>
      <c r="E752" t="s">
        <v>3053</v>
      </c>
      <c r="F752" t="s">
        <v>11729</v>
      </c>
      <c r="G752" t="s">
        <v>334</v>
      </c>
      <c r="H752" t="s">
        <v>11848</v>
      </c>
      <c r="I752">
        <v>13</v>
      </c>
      <c r="J752">
        <v>0</v>
      </c>
      <c r="K752">
        <v>0</v>
      </c>
      <c r="L752">
        <v>13</v>
      </c>
      <c r="M752">
        <v>0</v>
      </c>
      <c r="N752">
        <v>0</v>
      </c>
      <c r="O752">
        <v>0</v>
      </c>
    </row>
    <row r="753" spans="1:15" x14ac:dyDescent="0.25">
      <c r="A753" t="s">
        <v>945</v>
      </c>
      <c r="B753" t="s">
        <v>2668</v>
      </c>
      <c r="C753" t="s">
        <v>927</v>
      </c>
      <c r="D753" t="s">
        <v>3052</v>
      </c>
      <c r="E753" t="s">
        <v>3053</v>
      </c>
      <c r="F753" t="s">
        <v>11729</v>
      </c>
      <c r="G753" t="s">
        <v>334</v>
      </c>
      <c r="H753" t="s">
        <v>11849</v>
      </c>
      <c r="I753">
        <v>5</v>
      </c>
      <c r="J753">
        <v>0</v>
      </c>
      <c r="K753">
        <v>0</v>
      </c>
      <c r="L753">
        <v>0</v>
      </c>
      <c r="M753">
        <v>0</v>
      </c>
      <c r="N753">
        <v>0</v>
      </c>
      <c r="O753">
        <v>5</v>
      </c>
    </row>
    <row r="754" spans="1:15" x14ac:dyDescent="0.25">
      <c r="A754" t="s">
        <v>949</v>
      </c>
      <c r="B754" t="s">
        <v>3035</v>
      </c>
      <c r="C754" t="s">
        <v>927</v>
      </c>
      <c r="D754" t="s">
        <v>3052</v>
      </c>
      <c r="E754" t="s">
        <v>3053</v>
      </c>
      <c r="F754" t="s">
        <v>11729</v>
      </c>
      <c r="G754" t="s">
        <v>334</v>
      </c>
      <c r="H754" t="s">
        <v>11850</v>
      </c>
      <c r="I754">
        <v>2</v>
      </c>
      <c r="J754">
        <v>0</v>
      </c>
      <c r="K754">
        <v>0</v>
      </c>
      <c r="L754">
        <v>0</v>
      </c>
      <c r="M754">
        <v>0</v>
      </c>
      <c r="N754">
        <v>0</v>
      </c>
      <c r="O754">
        <v>2</v>
      </c>
    </row>
    <row r="755" spans="1:15" x14ac:dyDescent="0.25">
      <c r="A755" t="s">
        <v>951</v>
      </c>
      <c r="B755" t="s">
        <v>2680</v>
      </c>
      <c r="C755" t="s">
        <v>927</v>
      </c>
      <c r="D755" t="s">
        <v>3052</v>
      </c>
      <c r="E755" t="s">
        <v>3053</v>
      </c>
      <c r="F755" t="s">
        <v>11729</v>
      </c>
      <c r="G755" t="s">
        <v>334</v>
      </c>
      <c r="H755" t="s">
        <v>11851</v>
      </c>
      <c r="I755">
        <v>86</v>
      </c>
      <c r="J755">
        <v>83</v>
      </c>
      <c r="K755">
        <v>0</v>
      </c>
      <c r="L755">
        <v>0</v>
      </c>
      <c r="M755">
        <v>0</v>
      </c>
      <c r="N755">
        <v>0</v>
      </c>
      <c r="O755">
        <v>3</v>
      </c>
    </row>
    <row r="756" spans="1:15" x14ac:dyDescent="0.25">
      <c r="A756" t="s">
        <v>1755</v>
      </c>
      <c r="B756" t="s">
        <v>2781</v>
      </c>
      <c r="C756" t="s">
        <v>923</v>
      </c>
      <c r="D756" t="s">
        <v>3063</v>
      </c>
      <c r="E756" t="s">
        <v>3053</v>
      </c>
      <c r="F756" t="s">
        <v>11729</v>
      </c>
      <c r="G756" t="s">
        <v>334</v>
      </c>
      <c r="H756" t="s">
        <v>11852</v>
      </c>
      <c r="I756">
        <v>12</v>
      </c>
      <c r="J756">
        <v>12</v>
      </c>
      <c r="K756">
        <v>0</v>
      </c>
      <c r="L756">
        <v>0</v>
      </c>
      <c r="M756">
        <v>0</v>
      </c>
      <c r="N756">
        <v>0</v>
      </c>
      <c r="O756">
        <v>0</v>
      </c>
    </row>
    <row r="757" spans="1:15" x14ac:dyDescent="0.25">
      <c r="A757" t="s">
        <v>953</v>
      </c>
      <c r="B757" t="s">
        <v>2014</v>
      </c>
      <c r="C757" t="s">
        <v>927</v>
      </c>
      <c r="D757" t="s">
        <v>3052</v>
      </c>
      <c r="E757" t="s">
        <v>3053</v>
      </c>
      <c r="F757" t="s">
        <v>11729</v>
      </c>
      <c r="G757" t="s">
        <v>334</v>
      </c>
      <c r="H757" t="s">
        <v>11853</v>
      </c>
      <c r="I757">
        <v>7</v>
      </c>
      <c r="J757">
        <v>0</v>
      </c>
      <c r="K757">
        <v>0</v>
      </c>
      <c r="L757">
        <v>7</v>
      </c>
      <c r="M757">
        <v>0</v>
      </c>
      <c r="N757">
        <v>0</v>
      </c>
      <c r="O757">
        <v>0</v>
      </c>
    </row>
    <row r="758" spans="1:15" x14ac:dyDescent="0.25">
      <c r="A758" t="s">
        <v>11720</v>
      </c>
      <c r="B758" t="s">
        <v>10718</v>
      </c>
      <c r="C758" t="s">
        <v>927</v>
      </c>
      <c r="D758" t="s">
        <v>3052</v>
      </c>
      <c r="E758" t="s">
        <v>3053</v>
      </c>
      <c r="F758" t="s">
        <v>11729</v>
      </c>
      <c r="G758" t="s">
        <v>334</v>
      </c>
      <c r="H758" t="s">
        <v>14485</v>
      </c>
      <c r="I758">
        <v>32</v>
      </c>
      <c r="J758">
        <v>19</v>
      </c>
      <c r="K758">
        <v>0</v>
      </c>
      <c r="L758">
        <v>0</v>
      </c>
      <c r="M758">
        <v>0</v>
      </c>
      <c r="N758">
        <v>0</v>
      </c>
      <c r="O758">
        <v>13</v>
      </c>
    </row>
    <row r="759" spans="1:15" x14ac:dyDescent="0.25">
      <c r="A759" t="s">
        <v>9788</v>
      </c>
      <c r="B759" t="s">
        <v>9871</v>
      </c>
      <c r="C759" t="s">
        <v>927</v>
      </c>
      <c r="D759" t="s">
        <v>3052</v>
      </c>
      <c r="E759" t="s">
        <v>3053</v>
      </c>
      <c r="F759" t="s">
        <v>11729</v>
      </c>
      <c r="G759" t="s">
        <v>334</v>
      </c>
      <c r="H759" t="s">
        <v>11854</v>
      </c>
      <c r="I759">
        <v>38</v>
      </c>
      <c r="J759">
        <v>38</v>
      </c>
      <c r="K759">
        <v>0</v>
      </c>
      <c r="L759">
        <v>0</v>
      </c>
      <c r="M759">
        <v>0</v>
      </c>
      <c r="N759">
        <v>0</v>
      </c>
      <c r="O759">
        <v>0</v>
      </c>
    </row>
    <row r="760" spans="1:15" x14ac:dyDescent="0.25">
      <c r="A760" t="s">
        <v>1056</v>
      </c>
      <c r="B760" t="s">
        <v>2966</v>
      </c>
      <c r="C760" t="s">
        <v>927</v>
      </c>
      <c r="D760" t="s">
        <v>3052</v>
      </c>
      <c r="E760" t="s">
        <v>3053</v>
      </c>
      <c r="F760" t="s">
        <v>11729</v>
      </c>
      <c r="G760" t="s">
        <v>334</v>
      </c>
      <c r="H760" t="s">
        <v>11855</v>
      </c>
      <c r="I760">
        <v>11</v>
      </c>
      <c r="J760">
        <v>11</v>
      </c>
      <c r="K760">
        <v>0</v>
      </c>
      <c r="L760">
        <v>0</v>
      </c>
      <c r="M760">
        <v>0</v>
      </c>
      <c r="N760">
        <v>11</v>
      </c>
      <c r="O760">
        <v>0</v>
      </c>
    </row>
    <row r="761" spans="1:15" x14ac:dyDescent="0.25">
      <c r="A761" t="s">
        <v>955</v>
      </c>
      <c r="B761" t="s">
        <v>2660</v>
      </c>
      <c r="C761" t="s">
        <v>927</v>
      </c>
      <c r="D761" t="s">
        <v>3052</v>
      </c>
      <c r="E761" t="s">
        <v>3053</v>
      </c>
      <c r="F761" t="s">
        <v>11729</v>
      </c>
      <c r="G761" t="s">
        <v>334</v>
      </c>
      <c r="H761" t="s">
        <v>11856</v>
      </c>
      <c r="I761">
        <v>179</v>
      </c>
      <c r="J761">
        <v>13</v>
      </c>
      <c r="K761">
        <v>0</v>
      </c>
      <c r="L761">
        <v>30</v>
      </c>
      <c r="M761">
        <v>136</v>
      </c>
      <c r="N761">
        <v>0</v>
      </c>
      <c r="O761">
        <v>0</v>
      </c>
    </row>
    <row r="762" spans="1:15" x14ac:dyDescent="0.25">
      <c r="A762" t="s">
        <v>957</v>
      </c>
      <c r="B762" t="s">
        <v>2925</v>
      </c>
      <c r="C762" t="s">
        <v>923</v>
      </c>
      <c r="D762" t="s">
        <v>3063</v>
      </c>
      <c r="E762" t="s">
        <v>3053</v>
      </c>
      <c r="F762" t="s">
        <v>11729</v>
      </c>
      <c r="G762" t="s">
        <v>334</v>
      </c>
      <c r="H762" t="s">
        <v>11857</v>
      </c>
      <c r="I762">
        <v>369</v>
      </c>
      <c r="J762">
        <v>337</v>
      </c>
      <c r="K762">
        <v>0</v>
      </c>
      <c r="L762">
        <v>0</v>
      </c>
      <c r="M762">
        <v>32</v>
      </c>
      <c r="N762">
        <v>0</v>
      </c>
      <c r="O762">
        <v>0</v>
      </c>
    </row>
    <row r="763" spans="1:15" x14ac:dyDescent="0.25">
      <c r="A763" t="s">
        <v>1155</v>
      </c>
      <c r="B763" t="s">
        <v>2912</v>
      </c>
      <c r="C763" t="s">
        <v>927</v>
      </c>
      <c r="D763" t="s">
        <v>3052</v>
      </c>
      <c r="E763" t="s">
        <v>3053</v>
      </c>
      <c r="F763" t="s">
        <v>11729</v>
      </c>
      <c r="G763" t="s">
        <v>334</v>
      </c>
      <c r="H763" t="s">
        <v>11858</v>
      </c>
      <c r="I763">
        <v>1</v>
      </c>
      <c r="J763">
        <v>0</v>
      </c>
      <c r="K763">
        <v>0</v>
      </c>
      <c r="L763">
        <v>0</v>
      </c>
      <c r="M763">
        <v>0</v>
      </c>
      <c r="N763">
        <v>0</v>
      </c>
      <c r="O763">
        <v>1</v>
      </c>
    </row>
    <row r="764" spans="1:15" x14ac:dyDescent="0.25">
      <c r="A764" t="s">
        <v>960</v>
      </c>
      <c r="B764" t="s">
        <v>2080</v>
      </c>
      <c r="C764" t="s">
        <v>927</v>
      </c>
      <c r="D764" t="s">
        <v>3052</v>
      </c>
      <c r="E764" t="s">
        <v>3053</v>
      </c>
      <c r="F764" t="s">
        <v>11729</v>
      </c>
      <c r="G764" t="s">
        <v>334</v>
      </c>
      <c r="H764" t="s">
        <v>11859</v>
      </c>
      <c r="I764">
        <v>5292</v>
      </c>
      <c r="J764">
        <v>4395</v>
      </c>
      <c r="K764">
        <v>1</v>
      </c>
      <c r="L764">
        <v>163</v>
      </c>
      <c r="M764">
        <v>162</v>
      </c>
      <c r="N764">
        <v>10</v>
      </c>
      <c r="O764">
        <v>571</v>
      </c>
    </row>
    <row r="765" spans="1:15" x14ac:dyDescent="0.25">
      <c r="A765" t="s">
        <v>14374</v>
      </c>
      <c r="B765" t="s">
        <v>1943</v>
      </c>
      <c r="C765" t="s">
        <v>927</v>
      </c>
      <c r="D765" t="s">
        <v>3052</v>
      </c>
      <c r="E765" t="s">
        <v>3053</v>
      </c>
      <c r="F765" t="s">
        <v>11729</v>
      </c>
      <c r="G765" t="s">
        <v>334</v>
      </c>
      <c r="H765" t="s">
        <v>14486</v>
      </c>
      <c r="I765">
        <v>24</v>
      </c>
      <c r="J765">
        <v>0</v>
      </c>
      <c r="K765">
        <v>0</v>
      </c>
      <c r="L765">
        <v>0</v>
      </c>
      <c r="M765">
        <v>0</v>
      </c>
      <c r="N765">
        <v>0</v>
      </c>
      <c r="O765">
        <v>24</v>
      </c>
    </row>
    <row r="766" spans="1:15" x14ac:dyDescent="0.25">
      <c r="A766" t="s">
        <v>1158</v>
      </c>
      <c r="B766" t="s">
        <v>2922</v>
      </c>
      <c r="C766" t="s">
        <v>927</v>
      </c>
      <c r="D766" t="s">
        <v>3052</v>
      </c>
      <c r="E766" t="s">
        <v>3053</v>
      </c>
      <c r="F766" t="s">
        <v>11729</v>
      </c>
      <c r="G766" t="s">
        <v>334</v>
      </c>
      <c r="H766" t="s">
        <v>11860</v>
      </c>
      <c r="I766">
        <v>10</v>
      </c>
      <c r="J766">
        <v>0</v>
      </c>
      <c r="K766">
        <v>0</v>
      </c>
      <c r="L766">
        <v>10</v>
      </c>
      <c r="M766">
        <v>0</v>
      </c>
      <c r="N766">
        <v>0</v>
      </c>
      <c r="O766">
        <v>0</v>
      </c>
    </row>
    <row r="767" spans="1:15" x14ac:dyDescent="0.25">
      <c r="A767" t="s">
        <v>1062</v>
      </c>
      <c r="B767" t="s">
        <v>1993</v>
      </c>
      <c r="C767" t="s">
        <v>927</v>
      </c>
      <c r="D767" t="s">
        <v>3052</v>
      </c>
      <c r="E767" t="s">
        <v>3053</v>
      </c>
      <c r="F767" t="s">
        <v>11729</v>
      </c>
      <c r="G767" t="s">
        <v>334</v>
      </c>
      <c r="H767" t="s">
        <v>11861</v>
      </c>
      <c r="I767">
        <v>182</v>
      </c>
      <c r="J767">
        <v>108</v>
      </c>
      <c r="K767">
        <v>0</v>
      </c>
      <c r="L767">
        <v>0</v>
      </c>
      <c r="M767">
        <v>67</v>
      </c>
      <c r="N767">
        <v>0</v>
      </c>
      <c r="O767">
        <v>7</v>
      </c>
    </row>
    <row r="768" spans="1:15" x14ac:dyDescent="0.25">
      <c r="A768" t="s">
        <v>962</v>
      </c>
      <c r="B768" t="s">
        <v>2752</v>
      </c>
      <c r="C768" t="s">
        <v>927</v>
      </c>
      <c r="D768" t="s">
        <v>3052</v>
      </c>
      <c r="E768" t="s">
        <v>3053</v>
      </c>
      <c r="F768" t="s">
        <v>11729</v>
      </c>
      <c r="G768" t="s">
        <v>334</v>
      </c>
      <c r="H768" t="s">
        <v>11862</v>
      </c>
      <c r="I768">
        <v>1009</v>
      </c>
      <c r="J768">
        <v>699</v>
      </c>
      <c r="K768">
        <v>0</v>
      </c>
      <c r="L768">
        <v>76</v>
      </c>
      <c r="M768">
        <v>132</v>
      </c>
      <c r="N768">
        <v>0</v>
      </c>
      <c r="O768">
        <v>102</v>
      </c>
    </row>
    <row r="769" spans="1:15" x14ac:dyDescent="0.25">
      <c r="A769" t="s">
        <v>964</v>
      </c>
      <c r="B769" t="s">
        <v>1969</v>
      </c>
      <c r="C769" t="s">
        <v>927</v>
      </c>
      <c r="D769" t="s">
        <v>3052</v>
      </c>
      <c r="E769" t="s">
        <v>3053</v>
      </c>
      <c r="F769" t="s">
        <v>11729</v>
      </c>
      <c r="G769" t="s">
        <v>334</v>
      </c>
      <c r="H769" t="s">
        <v>11863</v>
      </c>
      <c r="I769">
        <v>542</v>
      </c>
      <c r="J769">
        <v>304</v>
      </c>
      <c r="K769">
        <v>0</v>
      </c>
      <c r="L769">
        <v>197</v>
      </c>
      <c r="M769">
        <v>27</v>
      </c>
      <c r="N769">
        <v>0</v>
      </c>
      <c r="O769">
        <v>14</v>
      </c>
    </row>
    <row r="770" spans="1:15" x14ac:dyDescent="0.25">
      <c r="A770" t="s">
        <v>966</v>
      </c>
      <c r="B770" t="s">
        <v>2684</v>
      </c>
      <c r="C770" t="s">
        <v>927</v>
      </c>
      <c r="D770" t="s">
        <v>3052</v>
      </c>
      <c r="E770" t="s">
        <v>3053</v>
      </c>
      <c r="F770" t="s">
        <v>11729</v>
      </c>
      <c r="G770" t="s">
        <v>334</v>
      </c>
      <c r="H770" t="s">
        <v>11864</v>
      </c>
      <c r="I770">
        <v>552</v>
      </c>
      <c r="J770">
        <v>420</v>
      </c>
      <c r="K770">
        <v>0</v>
      </c>
      <c r="L770">
        <v>0</v>
      </c>
      <c r="M770">
        <v>0</v>
      </c>
      <c r="N770">
        <v>0</v>
      </c>
      <c r="O770">
        <v>132</v>
      </c>
    </row>
    <row r="771" spans="1:15" x14ac:dyDescent="0.25">
      <c r="A771" t="s">
        <v>1684</v>
      </c>
      <c r="B771" t="s">
        <v>2845</v>
      </c>
      <c r="C771" t="s">
        <v>927</v>
      </c>
      <c r="D771" t="s">
        <v>3052</v>
      </c>
      <c r="E771" t="s">
        <v>3053</v>
      </c>
      <c r="F771" t="s">
        <v>11729</v>
      </c>
      <c r="G771" t="s">
        <v>334</v>
      </c>
      <c r="H771" t="s">
        <v>11865</v>
      </c>
      <c r="I771">
        <v>2</v>
      </c>
      <c r="J771">
        <v>0</v>
      </c>
      <c r="K771">
        <v>0</v>
      </c>
      <c r="L771">
        <v>0</v>
      </c>
      <c r="M771">
        <v>0</v>
      </c>
      <c r="N771">
        <v>0</v>
      </c>
      <c r="O771">
        <v>2</v>
      </c>
    </row>
    <row r="772" spans="1:15" x14ac:dyDescent="0.25">
      <c r="A772" t="s">
        <v>10813</v>
      </c>
      <c r="B772" t="s">
        <v>2167</v>
      </c>
      <c r="C772" t="s">
        <v>923</v>
      </c>
      <c r="D772" t="s">
        <v>3063</v>
      </c>
      <c r="E772" t="s">
        <v>3053</v>
      </c>
      <c r="F772" t="s">
        <v>11729</v>
      </c>
      <c r="G772" t="s">
        <v>334</v>
      </c>
      <c r="H772" t="s">
        <v>11866</v>
      </c>
      <c r="I772">
        <v>21</v>
      </c>
      <c r="J772">
        <v>0</v>
      </c>
      <c r="K772">
        <v>0</v>
      </c>
      <c r="L772">
        <v>0</v>
      </c>
      <c r="M772">
        <v>21</v>
      </c>
      <c r="N772">
        <v>0</v>
      </c>
      <c r="O772">
        <v>0</v>
      </c>
    </row>
    <row r="773" spans="1:15" x14ac:dyDescent="0.25">
      <c r="A773" t="s">
        <v>1080</v>
      </c>
      <c r="B773" t="s">
        <v>2030</v>
      </c>
      <c r="C773" t="s">
        <v>923</v>
      </c>
      <c r="D773" t="s">
        <v>3063</v>
      </c>
      <c r="E773" t="s">
        <v>3053</v>
      </c>
      <c r="F773" t="s">
        <v>11729</v>
      </c>
      <c r="G773" t="s">
        <v>334</v>
      </c>
      <c r="H773" t="s">
        <v>11867</v>
      </c>
      <c r="I773">
        <v>28</v>
      </c>
      <c r="J773">
        <v>0</v>
      </c>
      <c r="K773">
        <v>0</v>
      </c>
      <c r="L773">
        <v>28</v>
      </c>
      <c r="M773">
        <v>0</v>
      </c>
      <c r="N773">
        <v>0</v>
      </c>
      <c r="O773">
        <v>0</v>
      </c>
    </row>
    <row r="774" spans="1:15" x14ac:dyDescent="0.25">
      <c r="A774" t="s">
        <v>14377</v>
      </c>
      <c r="B774" t="s">
        <v>14444</v>
      </c>
      <c r="C774" t="s">
        <v>923</v>
      </c>
      <c r="D774" t="s">
        <v>3063</v>
      </c>
      <c r="E774" t="s">
        <v>3053</v>
      </c>
      <c r="F774" t="s">
        <v>11729</v>
      </c>
      <c r="G774" t="s">
        <v>334</v>
      </c>
      <c r="H774" t="s">
        <v>14487</v>
      </c>
      <c r="I774">
        <v>12</v>
      </c>
      <c r="J774">
        <v>0</v>
      </c>
      <c r="K774">
        <v>0</v>
      </c>
      <c r="L774">
        <v>12</v>
      </c>
      <c r="M774">
        <v>0</v>
      </c>
      <c r="N774">
        <v>0</v>
      </c>
      <c r="O774">
        <v>0</v>
      </c>
    </row>
    <row r="775" spans="1:15" x14ac:dyDescent="0.25">
      <c r="A775" t="s">
        <v>1564</v>
      </c>
      <c r="B775" t="s">
        <v>3039</v>
      </c>
      <c r="C775" t="s">
        <v>927</v>
      </c>
      <c r="D775" t="s">
        <v>3052</v>
      </c>
      <c r="E775" t="s">
        <v>3053</v>
      </c>
      <c r="F775" t="s">
        <v>335</v>
      </c>
      <c r="G775" t="s">
        <v>336</v>
      </c>
      <c r="H775" t="s">
        <v>11868</v>
      </c>
      <c r="I775">
        <v>1</v>
      </c>
      <c r="J775">
        <v>0</v>
      </c>
      <c r="K775">
        <v>0</v>
      </c>
      <c r="L775">
        <v>0</v>
      </c>
      <c r="M775">
        <v>0</v>
      </c>
      <c r="N775">
        <v>0</v>
      </c>
      <c r="O775">
        <v>1</v>
      </c>
    </row>
    <row r="776" spans="1:15" x14ac:dyDescent="0.25">
      <c r="A776" t="s">
        <v>1196</v>
      </c>
      <c r="B776" t="s">
        <v>3004</v>
      </c>
      <c r="C776" t="s">
        <v>927</v>
      </c>
      <c r="D776" t="s">
        <v>3052</v>
      </c>
      <c r="E776" t="s">
        <v>3053</v>
      </c>
      <c r="F776" t="s">
        <v>335</v>
      </c>
      <c r="G776" t="s">
        <v>336</v>
      </c>
      <c r="H776" t="s">
        <v>3585</v>
      </c>
      <c r="I776">
        <v>59</v>
      </c>
      <c r="J776">
        <v>59</v>
      </c>
      <c r="K776">
        <v>0</v>
      </c>
      <c r="L776">
        <v>0</v>
      </c>
      <c r="M776">
        <v>0</v>
      </c>
      <c r="N776">
        <v>0</v>
      </c>
      <c r="O776">
        <v>0</v>
      </c>
    </row>
    <row r="777" spans="1:15" x14ac:dyDescent="0.25">
      <c r="A777" t="s">
        <v>924</v>
      </c>
      <c r="B777" t="s">
        <v>2963</v>
      </c>
      <c r="C777" t="s">
        <v>923</v>
      </c>
      <c r="D777" t="s">
        <v>3063</v>
      </c>
      <c r="E777" t="s">
        <v>3053</v>
      </c>
      <c r="F777" t="s">
        <v>335</v>
      </c>
      <c r="G777" t="s">
        <v>336</v>
      </c>
      <c r="H777" t="s">
        <v>3586</v>
      </c>
      <c r="I777">
        <v>32</v>
      </c>
      <c r="J777">
        <v>8</v>
      </c>
      <c r="K777">
        <v>0</v>
      </c>
      <c r="L777">
        <v>24</v>
      </c>
      <c r="M777">
        <v>0</v>
      </c>
      <c r="N777">
        <v>0</v>
      </c>
      <c r="O777">
        <v>0</v>
      </c>
    </row>
    <row r="778" spans="1:15" x14ac:dyDescent="0.25">
      <c r="A778" t="s">
        <v>10568</v>
      </c>
      <c r="B778" t="s">
        <v>10567</v>
      </c>
      <c r="C778" t="s">
        <v>927</v>
      </c>
      <c r="D778" t="s">
        <v>3052</v>
      </c>
      <c r="E778" t="s">
        <v>3053</v>
      </c>
      <c r="F778" t="s">
        <v>335</v>
      </c>
      <c r="G778" t="s">
        <v>336</v>
      </c>
      <c r="H778" t="s">
        <v>10859</v>
      </c>
      <c r="I778">
        <v>245</v>
      </c>
      <c r="J778">
        <v>148</v>
      </c>
      <c r="K778">
        <v>0</v>
      </c>
      <c r="L778">
        <v>64</v>
      </c>
      <c r="M778">
        <v>0</v>
      </c>
      <c r="N778">
        <v>0</v>
      </c>
      <c r="O778">
        <v>33</v>
      </c>
    </row>
    <row r="779" spans="1:15" x14ac:dyDescent="0.25">
      <c r="A779" t="s">
        <v>971</v>
      </c>
      <c r="B779" t="s">
        <v>2956</v>
      </c>
      <c r="C779" t="s">
        <v>927</v>
      </c>
      <c r="D779" t="s">
        <v>3052</v>
      </c>
      <c r="E779" t="s">
        <v>3053</v>
      </c>
      <c r="F779" t="s">
        <v>335</v>
      </c>
      <c r="G779" t="s">
        <v>336</v>
      </c>
      <c r="H779" t="s">
        <v>3587</v>
      </c>
      <c r="I779">
        <v>21</v>
      </c>
      <c r="J779">
        <v>20</v>
      </c>
      <c r="K779">
        <v>0</v>
      </c>
      <c r="L779">
        <v>0</v>
      </c>
      <c r="M779">
        <v>0</v>
      </c>
      <c r="N779">
        <v>0</v>
      </c>
      <c r="O779">
        <v>1</v>
      </c>
    </row>
    <row r="780" spans="1:15" x14ac:dyDescent="0.25">
      <c r="A780" t="s">
        <v>926</v>
      </c>
      <c r="B780" t="s">
        <v>2923</v>
      </c>
      <c r="C780" t="s">
        <v>927</v>
      </c>
      <c r="D780" t="s">
        <v>3052</v>
      </c>
      <c r="E780" t="s">
        <v>3053</v>
      </c>
      <c r="F780" t="s">
        <v>335</v>
      </c>
      <c r="G780" t="s">
        <v>336</v>
      </c>
      <c r="H780" t="s">
        <v>3588</v>
      </c>
      <c r="I780">
        <v>14</v>
      </c>
      <c r="J780">
        <v>0</v>
      </c>
      <c r="K780">
        <v>0</v>
      </c>
      <c r="L780">
        <v>11</v>
      </c>
      <c r="M780">
        <v>0</v>
      </c>
      <c r="N780">
        <v>0</v>
      </c>
      <c r="O780">
        <v>3</v>
      </c>
    </row>
    <row r="781" spans="1:15" x14ac:dyDescent="0.25">
      <c r="A781" t="s">
        <v>929</v>
      </c>
      <c r="B781" t="s">
        <v>2999</v>
      </c>
      <c r="C781" t="s">
        <v>927</v>
      </c>
      <c r="D781" t="s">
        <v>3052</v>
      </c>
      <c r="E781" t="s">
        <v>3053</v>
      </c>
      <c r="F781" t="s">
        <v>335</v>
      </c>
      <c r="G781" t="s">
        <v>336</v>
      </c>
      <c r="H781" t="s">
        <v>3589</v>
      </c>
      <c r="I781">
        <v>41</v>
      </c>
      <c r="J781">
        <v>0</v>
      </c>
      <c r="K781">
        <v>0</v>
      </c>
      <c r="L781">
        <v>0</v>
      </c>
      <c r="M781">
        <v>41</v>
      </c>
      <c r="N781">
        <v>0</v>
      </c>
      <c r="O781">
        <v>0</v>
      </c>
    </row>
    <row r="782" spans="1:15" x14ac:dyDescent="0.25">
      <c r="A782" t="s">
        <v>933</v>
      </c>
      <c r="B782" t="s">
        <v>2106</v>
      </c>
      <c r="C782" t="s">
        <v>927</v>
      </c>
      <c r="D782" t="s">
        <v>3052</v>
      </c>
      <c r="E782" t="s">
        <v>3053</v>
      </c>
      <c r="F782" t="s">
        <v>335</v>
      </c>
      <c r="G782" t="s">
        <v>336</v>
      </c>
      <c r="H782" t="s">
        <v>3590</v>
      </c>
      <c r="I782">
        <v>260</v>
      </c>
      <c r="J782">
        <v>211</v>
      </c>
      <c r="K782">
        <v>0</v>
      </c>
      <c r="L782">
        <v>0</v>
      </c>
      <c r="M782">
        <v>0</v>
      </c>
      <c r="N782">
        <v>0</v>
      </c>
      <c r="O782">
        <v>49</v>
      </c>
    </row>
    <row r="783" spans="1:15" x14ac:dyDescent="0.25">
      <c r="A783" t="s">
        <v>1234</v>
      </c>
      <c r="B783" t="s">
        <v>2093</v>
      </c>
      <c r="C783" t="s">
        <v>923</v>
      </c>
      <c r="D783" t="s">
        <v>3063</v>
      </c>
      <c r="E783" t="s">
        <v>3053</v>
      </c>
      <c r="F783" t="s">
        <v>335</v>
      </c>
      <c r="G783" t="s">
        <v>336</v>
      </c>
      <c r="H783" t="s">
        <v>10054</v>
      </c>
      <c r="I783">
        <v>4</v>
      </c>
      <c r="J783">
        <v>4</v>
      </c>
      <c r="K783">
        <v>0</v>
      </c>
      <c r="L783">
        <v>0</v>
      </c>
      <c r="M783">
        <v>0</v>
      </c>
      <c r="N783">
        <v>0</v>
      </c>
      <c r="O783">
        <v>0</v>
      </c>
    </row>
    <row r="784" spans="1:15" x14ac:dyDescent="0.25">
      <c r="A784" t="s">
        <v>1603</v>
      </c>
      <c r="B784" t="s">
        <v>2053</v>
      </c>
      <c r="C784" t="s">
        <v>923</v>
      </c>
      <c r="D784" t="s">
        <v>3063</v>
      </c>
      <c r="E784" t="s">
        <v>3053</v>
      </c>
      <c r="F784" t="s">
        <v>335</v>
      </c>
      <c r="G784" t="s">
        <v>336</v>
      </c>
      <c r="H784" t="s">
        <v>10065</v>
      </c>
      <c r="I784">
        <v>5</v>
      </c>
      <c r="J784">
        <v>0</v>
      </c>
      <c r="K784">
        <v>0</v>
      </c>
      <c r="L784">
        <v>5</v>
      </c>
      <c r="M784">
        <v>0</v>
      </c>
      <c r="N784">
        <v>0</v>
      </c>
      <c r="O784">
        <v>0</v>
      </c>
    </row>
    <row r="785" spans="1:15" x14ac:dyDescent="0.25">
      <c r="A785" t="s">
        <v>1000</v>
      </c>
      <c r="B785" t="s">
        <v>1984</v>
      </c>
      <c r="C785" t="s">
        <v>923</v>
      </c>
      <c r="D785" t="s">
        <v>3063</v>
      </c>
      <c r="E785" t="s">
        <v>3053</v>
      </c>
      <c r="F785" t="s">
        <v>335</v>
      </c>
      <c r="G785" t="s">
        <v>336</v>
      </c>
      <c r="H785" t="s">
        <v>3591</v>
      </c>
      <c r="I785">
        <v>2</v>
      </c>
      <c r="J785">
        <v>0</v>
      </c>
      <c r="K785">
        <v>0</v>
      </c>
      <c r="L785">
        <v>2</v>
      </c>
      <c r="M785">
        <v>0</v>
      </c>
      <c r="N785">
        <v>0</v>
      </c>
      <c r="O785">
        <v>0</v>
      </c>
    </row>
    <row r="786" spans="1:15" x14ac:dyDescent="0.25">
      <c r="A786" t="s">
        <v>937</v>
      </c>
      <c r="B786" t="s">
        <v>1962</v>
      </c>
      <c r="C786" t="s">
        <v>927</v>
      </c>
      <c r="D786" t="s">
        <v>3052</v>
      </c>
      <c r="E786" t="s">
        <v>3053</v>
      </c>
      <c r="F786" t="s">
        <v>335</v>
      </c>
      <c r="G786" t="s">
        <v>336</v>
      </c>
      <c r="H786" t="s">
        <v>3592</v>
      </c>
      <c r="I786">
        <v>37</v>
      </c>
      <c r="J786">
        <v>0</v>
      </c>
      <c r="K786">
        <v>0</v>
      </c>
      <c r="L786">
        <v>0</v>
      </c>
      <c r="M786">
        <v>0</v>
      </c>
      <c r="N786">
        <v>0</v>
      </c>
      <c r="O786">
        <v>37</v>
      </c>
    </row>
    <row r="787" spans="1:15" x14ac:dyDescent="0.25">
      <c r="A787" t="s">
        <v>938</v>
      </c>
      <c r="B787" t="s">
        <v>2791</v>
      </c>
      <c r="C787" t="s">
        <v>927</v>
      </c>
      <c r="D787" t="s">
        <v>3052</v>
      </c>
      <c r="E787" t="s">
        <v>3053</v>
      </c>
      <c r="F787" t="s">
        <v>335</v>
      </c>
      <c r="G787" t="s">
        <v>336</v>
      </c>
      <c r="H787" t="s">
        <v>3593</v>
      </c>
      <c r="I787">
        <v>269</v>
      </c>
      <c r="J787">
        <v>159</v>
      </c>
      <c r="K787">
        <v>0</v>
      </c>
      <c r="L787">
        <v>6</v>
      </c>
      <c r="M787">
        <v>0</v>
      </c>
      <c r="N787">
        <v>0</v>
      </c>
      <c r="O787">
        <v>104</v>
      </c>
    </row>
    <row r="788" spans="1:15" x14ac:dyDescent="0.25">
      <c r="A788" t="s">
        <v>940</v>
      </c>
      <c r="B788" t="s">
        <v>2647</v>
      </c>
      <c r="C788" t="s">
        <v>927</v>
      </c>
      <c r="D788" t="s">
        <v>3052</v>
      </c>
      <c r="E788" t="s">
        <v>3053</v>
      </c>
      <c r="F788" t="s">
        <v>335</v>
      </c>
      <c r="G788" t="s">
        <v>336</v>
      </c>
      <c r="H788" t="s">
        <v>3594</v>
      </c>
      <c r="I788">
        <v>69</v>
      </c>
      <c r="J788">
        <v>0</v>
      </c>
      <c r="K788">
        <v>0</v>
      </c>
      <c r="L788">
        <v>0</v>
      </c>
      <c r="M788">
        <v>69</v>
      </c>
      <c r="N788">
        <v>0</v>
      </c>
      <c r="O788">
        <v>0</v>
      </c>
    </row>
    <row r="789" spans="1:15" x14ac:dyDescent="0.25">
      <c r="A789" t="s">
        <v>1122</v>
      </c>
      <c r="B789" t="s">
        <v>2823</v>
      </c>
      <c r="C789" t="s">
        <v>927</v>
      </c>
      <c r="D789" t="s">
        <v>3052</v>
      </c>
      <c r="E789" t="s">
        <v>3053</v>
      </c>
      <c r="F789" t="s">
        <v>335</v>
      </c>
      <c r="G789" t="s">
        <v>336</v>
      </c>
      <c r="H789" t="s">
        <v>3595</v>
      </c>
      <c r="I789">
        <v>74</v>
      </c>
      <c r="J789">
        <v>56</v>
      </c>
      <c r="K789">
        <v>0</v>
      </c>
      <c r="L789">
        <v>0</v>
      </c>
      <c r="M789">
        <v>0</v>
      </c>
      <c r="N789">
        <v>0</v>
      </c>
      <c r="O789">
        <v>18</v>
      </c>
    </row>
    <row r="790" spans="1:15" x14ac:dyDescent="0.25">
      <c r="A790" t="s">
        <v>11755</v>
      </c>
      <c r="B790" t="s">
        <v>11754</v>
      </c>
      <c r="C790" t="s">
        <v>923</v>
      </c>
      <c r="D790" t="s">
        <v>3063</v>
      </c>
      <c r="E790" t="s">
        <v>3053</v>
      </c>
      <c r="F790" t="s">
        <v>335</v>
      </c>
      <c r="G790" t="s">
        <v>336</v>
      </c>
      <c r="H790" t="s">
        <v>14488</v>
      </c>
      <c r="I790">
        <v>7</v>
      </c>
      <c r="J790">
        <v>0</v>
      </c>
      <c r="K790">
        <v>0</v>
      </c>
      <c r="L790">
        <v>7</v>
      </c>
      <c r="M790">
        <v>0</v>
      </c>
      <c r="N790">
        <v>0</v>
      </c>
      <c r="O790">
        <v>0</v>
      </c>
    </row>
    <row r="791" spans="1:15" x14ac:dyDescent="0.25">
      <c r="A791" t="s">
        <v>1025</v>
      </c>
      <c r="B791" t="s">
        <v>2893</v>
      </c>
      <c r="C791" t="s">
        <v>927</v>
      </c>
      <c r="D791" t="s">
        <v>3052</v>
      </c>
      <c r="E791" t="s">
        <v>3053</v>
      </c>
      <c r="F791" t="s">
        <v>335</v>
      </c>
      <c r="G791" t="s">
        <v>336</v>
      </c>
      <c r="H791" t="s">
        <v>3596</v>
      </c>
      <c r="I791">
        <v>238</v>
      </c>
      <c r="J791">
        <v>226</v>
      </c>
      <c r="K791">
        <v>0</v>
      </c>
      <c r="L791">
        <v>0</v>
      </c>
      <c r="M791">
        <v>0</v>
      </c>
      <c r="N791">
        <v>0</v>
      </c>
      <c r="O791">
        <v>12</v>
      </c>
    </row>
    <row r="792" spans="1:15" x14ac:dyDescent="0.25">
      <c r="A792" t="s">
        <v>1293</v>
      </c>
      <c r="B792" t="s">
        <v>2910</v>
      </c>
      <c r="C792" t="s">
        <v>927</v>
      </c>
      <c r="D792" t="s">
        <v>3052</v>
      </c>
      <c r="E792" t="s">
        <v>3053</v>
      </c>
      <c r="F792" t="s">
        <v>335</v>
      </c>
      <c r="G792" t="s">
        <v>336</v>
      </c>
      <c r="H792" t="s">
        <v>3597</v>
      </c>
      <c r="I792">
        <v>83</v>
      </c>
      <c r="J792">
        <v>0</v>
      </c>
      <c r="K792">
        <v>0</v>
      </c>
      <c r="L792">
        <v>83</v>
      </c>
      <c r="M792">
        <v>0</v>
      </c>
      <c r="N792">
        <v>0</v>
      </c>
      <c r="O792">
        <v>0</v>
      </c>
    </row>
    <row r="793" spans="1:15" x14ac:dyDescent="0.25">
      <c r="A793" t="s">
        <v>10681</v>
      </c>
      <c r="B793" t="s">
        <v>10680</v>
      </c>
      <c r="C793" t="s">
        <v>927</v>
      </c>
      <c r="D793" t="s">
        <v>3052</v>
      </c>
      <c r="E793" t="s">
        <v>3053</v>
      </c>
      <c r="F793" t="s">
        <v>335</v>
      </c>
      <c r="G793" t="s">
        <v>336</v>
      </c>
      <c r="H793" t="s">
        <v>14489</v>
      </c>
      <c r="I793">
        <v>7</v>
      </c>
      <c r="J793">
        <v>0</v>
      </c>
      <c r="K793">
        <v>0</v>
      </c>
      <c r="L793">
        <v>0</v>
      </c>
      <c r="M793">
        <v>0</v>
      </c>
      <c r="N793">
        <v>0</v>
      </c>
      <c r="O793">
        <v>7</v>
      </c>
    </row>
    <row r="794" spans="1:15" x14ac:dyDescent="0.25">
      <c r="A794" t="s">
        <v>943</v>
      </c>
      <c r="B794" t="s">
        <v>2694</v>
      </c>
      <c r="C794" t="s">
        <v>927</v>
      </c>
      <c r="D794" t="s">
        <v>3052</v>
      </c>
      <c r="E794" t="s">
        <v>3053</v>
      </c>
      <c r="F794" t="s">
        <v>335</v>
      </c>
      <c r="G794" t="s">
        <v>336</v>
      </c>
      <c r="H794" t="s">
        <v>3598</v>
      </c>
      <c r="I794">
        <v>702</v>
      </c>
      <c r="J794">
        <v>388</v>
      </c>
      <c r="K794">
        <v>0</v>
      </c>
      <c r="L794">
        <v>0</v>
      </c>
      <c r="M794">
        <v>0</v>
      </c>
      <c r="N794">
        <v>0</v>
      </c>
      <c r="O794">
        <v>314</v>
      </c>
    </row>
    <row r="795" spans="1:15" x14ac:dyDescent="0.25">
      <c r="A795" t="s">
        <v>945</v>
      </c>
      <c r="B795" t="s">
        <v>2668</v>
      </c>
      <c r="C795" t="s">
        <v>927</v>
      </c>
      <c r="D795" t="s">
        <v>3052</v>
      </c>
      <c r="E795" t="s">
        <v>3053</v>
      </c>
      <c r="F795" t="s">
        <v>335</v>
      </c>
      <c r="G795" t="s">
        <v>336</v>
      </c>
      <c r="H795" t="s">
        <v>3599</v>
      </c>
      <c r="I795">
        <v>2</v>
      </c>
      <c r="J795">
        <v>0</v>
      </c>
      <c r="K795">
        <v>0</v>
      </c>
      <c r="L795">
        <v>0</v>
      </c>
      <c r="M795">
        <v>0</v>
      </c>
      <c r="N795">
        <v>0</v>
      </c>
      <c r="O795">
        <v>2</v>
      </c>
    </row>
    <row r="796" spans="1:15" x14ac:dyDescent="0.25">
      <c r="A796" t="s">
        <v>949</v>
      </c>
      <c r="B796" t="s">
        <v>3035</v>
      </c>
      <c r="C796" t="s">
        <v>927</v>
      </c>
      <c r="D796" t="s">
        <v>3052</v>
      </c>
      <c r="E796" t="s">
        <v>3053</v>
      </c>
      <c r="F796" t="s">
        <v>335</v>
      </c>
      <c r="G796" t="s">
        <v>336</v>
      </c>
      <c r="H796" t="s">
        <v>3600</v>
      </c>
      <c r="I796">
        <v>2</v>
      </c>
      <c r="J796">
        <v>0</v>
      </c>
      <c r="K796">
        <v>0</v>
      </c>
      <c r="L796">
        <v>0</v>
      </c>
      <c r="M796">
        <v>0</v>
      </c>
      <c r="N796">
        <v>0</v>
      </c>
      <c r="O796">
        <v>2</v>
      </c>
    </row>
    <row r="797" spans="1:15" x14ac:dyDescent="0.25">
      <c r="A797" t="s">
        <v>1144</v>
      </c>
      <c r="B797" t="s">
        <v>2124</v>
      </c>
      <c r="C797" t="s">
        <v>923</v>
      </c>
      <c r="D797" t="s">
        <v>3063</v>
      </c>
      <c r="E797" t="s">
        <v>3053</v>
      </c>
      <c r="F797" t="s">
        <v>335</v>
      </c>
      <c r="G797" t="s">
        <v>336</v>
      </c>
      <c r="H797" t="s">
        <v>14490</v>
      </c>
      <c r="I797">
        <v>18</v>
      </c>
      <c r="J797">
        <v>18</v>
      </c>
      <c r="K797">
        <v>0</v>
      </c>
      <c r="L797">
        <v>0</v>
      </c>
      <c r="M797">
        <v>0</v>
      </c>
      <c r="N797">
        <v>0</v>
      </c>
      <c r="O797">
        <v>0</v>
      </c>
    </row>
    <row r="798" spans="1:15" x14ac:dyDescent="0.25">
      <c r="A798" t="s">
        <v>1146</v>
      </c>
      <c r="B798" t="s">
        <v>2117</v>
      </c>
      <c r="C798" t="s">
        <v>927</v>
      </c>
      <c r="D798" t="s">
        <v>3052</v>
      </c>
      <c r="E798" t="s">
        <v>3053</v>
      </c>
      <c r="F798" t="s">
        <v>335</v>
      </c>
      <c r="G798" t="s">
        <v>336</v>
      </c>
      <c r="H798" t="s">
        <v>14491</v>
      </c>
      <c r="I798">
        <v>5</v>
      </c>
      <c r="J798">
        <v>0</v>
      </c>
      <c r="K798">
        <v>0</v>
      </c>
      <c r="L798">
        <v>0</v>
      </c>
      <c r="M798">
        <v>0</v>
      </c>
      <c r="N798">
        <v>0</v>
      </c>
      <c r="O798">
        <v>5</v>
      </c>
    </row>
    <row r="799" spans="1:15" x14ac:dyDescent="0.25">
      <c r="A799" t="s">
        <v>1048</v>
      </c>
      <c r="B799" t="s">
        <v>2989</v>
      </c>
      <c r="C799" t="s">
        <v>927</v>
      </c>
      <c r="D799" t="s">
        <v>3052</v>
      </c>
      <c r="E799" t="s">
        <v>3053</v>
      </c>
      <c r="F799" t="s">
        <v>335</v>
      </c>
      <c r="G799" t="s">
        <v>336</v>
      </c>
      <c r="H799" t="s">
        <v>3601</v>
      </c>
      <c r="I799">
        <v>7</v>
      </c>
      <c r="J799">
        <v>0</v>
      </c>
      <c r="K799">
        <v>0</v>
      </c>
      <c r="L799">
        <v>7</v>
      </c>
      <c r="M799">
        <v>0</v>
      </c>
      <c r="N799">
        <v>0</v>
      </c>
      <c r="O799">
        <v>0</v>
      </c>
    </row>
    <row r="800" spans="1:15" x14ac:dyDescent="0.25">
      <c r="A800" t="s">
        <v>9788</v>
      </c>
      <c r="B800" t="s">
        <v>9871</v>
      </c>
      <c r="C800" t="s">
        <v>927</v>
      </c>
      <c r="D800" t="s">
        <v>3052</v>
      </c>
      <c r="E800" t="s">
        <v>3053</v>
      </c>
      <c r="F800" t="s">
        <v>335</v>
      </c>
      <c r="G800" t="s">
        <v>336</v>
      </c>
      <c r="H800" t="s">
        <v>10331</v>
      </c>
      <c r="I800">
        <v>21</v>
      </c>
      <c r="J800">
        <v>21</v>
      </c>
      <c r="K800">
        <v>0</v>
      </c>
      <c r="L800">
        <v>0</v>
      </c>
      <c r="M800">
        <v>0</v>
      </c>
      <c r="N800">
        <v>0</v>
      </c>
      <c r="O800">
        <v>0</v>
      </c>
    </row>
    <row r="801" spans="1:15" x14ac:dyDescent="0.25">
      <c r="A801" t="s">
        <v>1155</v>
      </c>
      <c r="B801" t="s">
        <v>2912</v>
      </c>
      <c r="C801" t="s">
        <v>927</v>
      </c>
      <c r="D801" t="s">
        <v>3052</v>
      </c>
      <c r="E801" t="s">
        <v>3053</v>
      </c>
      <c r="F801" t="s">
        <v>335</v>
      </c>
      <c r="G801" t="s">
        <v>336</v>
      </c>
      <c r="H801" t="s">
        <v>3602</v>
      </c>
      <c r="I801">
        <v>1</v>
      </c>
      <c r="J801">
        <v>0</v>
      </c>
      <c r="K801">
        <v>0</v>
      </c>
      <c r="L801">
        <v>0</v>
      </c>
      <c r="M801">
        <v>0</v>
      </c>
      <c r="N801">
        <v>0</v>
      </c>
      <c r="O801">
        <v>1</v>
      </c>
    </row>
    <row r="802" spans="1:15" x14ac:dyDescent="0.25">
      <c r="A802" t="s">
        <v>1658</v>
      </c>
      <c r="B802" t="s">
        <v>2892</v>
      </c>
      <c r="C802" t="s">
        <v>927</v>
      </c>
      <c r="D802" t="s">
        <v>3052</v>
      </c>
      <c r="E802" t="s">
        <v>3053</v>
      </c>
      <c r="F802" t="s">
        <v>335</v>
      </c>
      <c r="G802" t="s">
        <v>336</v>
      </c>
      <c r="H802" t="s">
        <v>3603</v>
      </c>
      <c r="I802">
        <v>6247</v>
      </c>
      <c r="J802">
        <v>5660</v>
      </c>
      <c r="K802">
        <v>0</v>
      </c>
      <c r="L802">
        <v>47</v>
      </c>
      <c r="M802">
        <v>350</v>
      </c>
      <c r="N802">
        <v>7</v>
      </c>
      <c r="O802">
        <v>190</v>
      </c>
    </row>
    <row r="803" spans="1:15" x14ac:dyDescent="0.25">
      <c r="A803" t="s">
        <v>11663</v>
      </c>
      <c r="B803" t="s">
        <v>11768</v>
      </c>
      <c r="C803" t="s">
        <v>927</v>
      </c>
      <c r="D803" t="s">
        <v>3052</v>
      </c>
      <c r="E803" t="s">
        <v>3053</v>
      </c>
      <c r="F803" t="s">
        <v>335</v>
      </c>
      <c r="G803" t="s">
        <v>336</v>
      </c>
      <c r="H803" t="s">
        <v>11869</v>
      </c>
      <c r="I803">
        <v>422</v>
      </c>
      <c r="J803">
        <v>373</v>
      </c>
      <c r="K803">
        <v>0</v>
      </c>
      <c r="L803">
        <v>0</v>
      </c>
      <c r="M803">
        <v>39</v>
      </c>
      <c r="N803">
        <v>1</v>
      </c>
      <c r="O803">
        <v>10</v>
      </c>
    </row>
    <row r="804" spans="1:15" x14ac:dyDescent="0.25">
      <c r="A804" t="s">
        <v>960</v>
      </c>
      <c r="B804" t="s">
        <v>2080</v>
      </c>
      <c r="C804" t="s">
        <v>927</v>
      </c>
      <c r="D804" t="s">
        <v>3052</v>
      </c>
      <c r="E804" t="s">
        <v>3053</v>
      </c>
      <c r="F804" t="s">
        <v>335</v>
      </c>
      <c r="G804" t="s">
        <v>336</v>
      </c>
      <c r="H804" t="s">
        <v>3604</v>
      </c>
      <c r="I804">
        <v>65</v>
      </c>
      <c r="J804">
        <v>47</v>
      </c>
      <c r="K804">
        <v>0</v>
      </c>
      <c r="L804">
        <v>8</v>
      </c>
      <c r="M804">
        <v>0</v>
      </c>
      <c r="N804">
        <v>0</v>
      </c>
      <c r="O804">
        <v>10</v>
      </c>
    </row>
    <row r="805" spans="1:15" x14ac:dyDescent="0.25">
      <c r="A805" t="s">
        <v>14374</v>
      </c>
      <c r="B805" t="s">
        <v>1943</v>
      </c>
      <c r="C805" t="s">
        <v>927</v>
      </c>
      <c r="D805" t="s">
        <v>3052</v>
      </c>
      <c r="E805" t="s">
        <v>3053</v>
      </c>
      <c r="F805" t="s">
        <v>335</v>
      </c>
      <c r="G805" t="s">
        <v>336</v>
      </c>
      <c r="H805" t="s">
        <v>14492</v>
      </c>
      <c r="I805">
        <v>8</v>
      </c>
      <c r="J805">
        <v>0</v>
      </c>
      <c r="K805">
        <v>0</v>
      </c>
      <c r="L805">
        <v>0</v>
      </c>
      <c r="M805">
        <v>0</v>
      </c>
      <c r="N805">
        <v>0</v>
      </c>
      <c r="O805">
        <v>8</v>
      </c>
    </row>
    <row r="806" spans="1:15" x14ac:dyDescent="0.25">
      <c r="A806" t="s">
        <v>962</v>
      </c>
      <c r="B806" t="s">
        <v>2752</v>
      </c>
      <c r="C806" t="s">
        <v>927</v>
      </c>
      <c r="D806" t="s">
        <v>3052</v>
      </c>
      <c r="E806" t="s">
        <v>3053</v>
      </c>
      <c r="F806" t="s">
        <v>335</v>
      </c>
      <c r="G806" t="s">
        <v>336</v>
      </c>
      <c r="H806" t="s">
        <v>3605</v>
      </c>
      <c r="I806">
        <v>48</v>
      </c>
      <c r="J806">
        <v>35</v>
      </c>
      <c r="K806">
        <v>0</v>
      </c>
      <c r="L806">
        <v>0</v>
      </c>
      <c r="M806">
        <v>0</v>
      </c>
      <c r="N806">
        <v>0</v>
      </c>
      <c r="O806">
        <v>13</v>
      </c>
    </row>
    <row r="807" spans="1:15" x14ac:dyDescent="0.25">
      <c r="A807" t="s">
        <v>964</v>
      </c>
      <c r="B807" t="s">
        <v>1969</v>
      </c>
      <c r="C807" t="s">
        <v>927</v>
      </c>
      <c r="D807" t="s">
        <v>3052</v>
      </c>
      <c r="E807" t="s">
        <v>3053</v>
      </c>
      <c r="F807" t="s">
        <v>335</v>
      </c>
      <c r="G807" t="s">
        <v>336</v>
      </c>
      <c r="H807" t="s">
        <v>14493</v>
      </c>
      <c r="I807">
        <v>13</v>
      </c>
      <c r="J807">
        <v>9</v>
      </c>
      <c r="K807">
        <v>0</v>
      </c>
      <c r="L807">
        <v>0</v>
      </c>
      <c r="M807">
        <v>0</v>
      </c>
      <c r="N807">
        <v>0</v>
      </c>
      <c r="O807">
        <v>4</v>
      </c>
    </row>
    <row r="808" spans="1:15" x14ac:dyDescent="0.25">
      <c r="A808" t="s">
        <v>966</v>
      </c>
      <c r="B808" t="s">
        <v>2684</v>
      </c>
      <c r="C808" t="s">
        <v>927</v>
      </c>
      <c r="D808" t="s">
        <v>3052</v>
      </c>
      <c r="E808" t="s">
        <v>3053</v>
      </c>
      <c r="F808" t="s">
        <v>335</v>
      </c>
      <c r="G808" t="s">
        <v>336</v>
      </c>
      <c r="H808" t="s">
        <v>3606</v>
      </c>
      <c r="I808">
        <v>26</v>
      </c>
      <c r="J808">
        <v>25</v>
      </c>
      <c r="K808">
        <v>0</v>
      </c>
      <c r="L808">
        <v>0</v>
      </c>
      <c r="M808">
        <v>0</v>
      </c>
      <c r="N808">
        <v>0</v>
      </c>
      <c r="O808">
        <v>1</v>
      </c>
    </row>
    <row r="809" spans="1:15" x14ac:dyDescent="0.25">
      <c r="A809" t="s">
        <v>968</v>
      </c>
      <c r="B809" t="s">
        <v>2091</v>
      </c>
      <c r="C809" t="s">
        <v>927</v>
      </c>
      <c r="D809" t="s">
        <v>3052</v>
      </c>
      <c r="E809" t="s">
        <v>3053</v>
      </c>
      <c r="F809" t="s">
        <v>335</v>
      </c>
      <c r="G809" t="s">
        <v>336</v>
      </c>
      <c r="H809" t="s">
        <v>3607</v>
      </c>
      <c r="I809">
        <v>44</v>
      </c>
      <c r="J809">
        <v>31</v>
      </c>
      <c r="K809">
        <v>0</v>
      </c>
      <c r="L809">
        <v>0</v>
      </c>
      <c r="M809">
        <v>0</v>
      </c>
      <c r="N809">
        <v>0</v>
      </c>
      <c r="O809">
        <v>13</v>
      </c>
    </row>
    <row r="810" spans="1:15" x14ac:dyDescent="0.25">
      <c r="A810" t="s">
        <v>1016</v>
      </c>
      <c r="B810" t="s">
        <v>2725</v>
      </c>
      <c r="C810" t="s">
        <v>927</v>
      </c>
      <c r="D810" t="s">
        <v>3052</v>
      </c>
      <c r="E810" t="s">
        <v>3053</v>
      </c>
      <c r="F810" t="s">
        <v>337</v>
      </c>
      <c r="G810" t="s">
        <v>338</v>
      </c>
      <c r="H810" t="s">
        <v>3628</v>
      </c>
      <c r="I810">
        <v>42</v>
      </c>
      <c r="J810">
        <v>0</v>
      </c>
      <c r="K810">
        <v>0</v>
      </c>
      <c r="L810">
        <v>0</v>
      </c>
      <c r="M810">
        <v>42</v>
      </c>
      <c r="N810">
        <v>0</v>
      </c>
      <c r="O810">
        <v>0</v>
      </c>
    </row>
    <row r="811" spans="1:15" x14ac:dyDescent="0.25">
      <c r="A811" t="s">
        <v>1872</v>
      </c>
      <c r="B811" t="s">
        <v>2133</v>
      </c>
      <c r="C811" t="s">
        <v>923</v>
      </c>
      <c r="D811" t="s">
        <v>3063</v>
      </c>
      <c r="E811" t="s">
        <v>3053</v>
      </c>
      <c r="F811" t="s">
        <v>337</v>
      </c>
      <c r="G811" t="s">
        <v>338</v>
      </c>
      <c r="H811" t="s">
        <v>3608</v>
      </c>
      <c r="I811">
        <v>131</v>
      </c>
      <c r="J811">
        <v>0</v>
      </c>
      <c r="K811">
        <v>0</v>
      </c>
      <c r="L811">
        <v>119</v>
      </c>
      <c r="M811">
        <v>12</v>
      </c>
      <c r="N811">
        <v>0</v>
      </c>
      <c r="O811">
        <v>0</v>
      </c>
    </row>
    <row r="812" spans="1:15" x14ac:dyDescent="0.25">
      <c r="A812" t="s">
        <v>971</v>
      </c>
      <c r="B812" t="s">
        <v>2956</v>
      </c>
      <c r="C812" t="s">
        <v>927</v>
      </c>
      <c r="D812" t="s">
        <v>3052</v>
      </c>
      <c r="E812" t="s">
        <v>3053</v>
      </c>
      <c r="F812" t="s">
        <v>337</v>
      </c>
      <c r="G812" t="s">
        <v>338</v>
      </c>
      <c r="H812" t="s">
        <v>3609</v>
      </c>
      <c r="I812">
        <v>2083</v>
      </c>
      <c r="J812">
        <v>1812</v>
      </c>
      <c r="K812">
        <v>0</v>
      </c>
      <c r="L812">
        <v>10</v>
      </c>
      <c r="M812">
        <v>192</v>
      </c>
      <c r="N812">
        <v>0</v>
      </c>
      <c r="O812">
        <v>69</v>
      </c>
    </row>
    <row r="813" spans="1:15" x14ac:dyDescent="0.25">
      <c r="A813" t="s">
        <v>929</v>
      </c>
      <c r="B813" t="s">
        <v>2999</v>
      </c>
      <c r="C813" t="s">
        <v>927</v>
      </c>
      <c r="D813" t="s">
        <v>3052</v>
      </c>
      <c r="E813" t="s">
        <v>3053</v>
      </c>
      <c r="F813" t="s">
        <v>337</v>
      </c>
      <c r="G813" t="s">
        <v>338</v>
      </c>
      <c r="H813" t="s">
        <v>3610</v>
      </c>
      <c r="I813">
        <v>1356</v>
      </c>
      <c r="J813">
        <v>0</v>
      </c>
      <c r="K813">
        <v>0</v>
      </c>
      <c r="L813">
        <v>0</v>
      </c>
      <c r="M813">
        <v>1222</v>
      </c>
      <c r="N813">
        <v>0</v>
      </c>
      <c r="O813">
        <v>134</v>
      </c>
    </row>
    <row r="814" spans="1:15" x14ac:dyDescent="0.25">
      <c r="A814" t="s">
        <v>978</v>
      </c>
      <c r="B814" t="s">
        <v>1999</v>
      </c>
      <c r="C814" t="s">
        <v>923</v>
      </c>
      <c r="D814" t="s">
        <v>3063</v>
      </c>
      <c r="E814" t="s">
        <v>3053</v>
      </c>
      <c r="F814" t="s">
        <v>337</v>
      </c>
      <c r="G814" t="s">
        <v>338</v>
      </c>
      <c r="H814" t="s">
        <v>3611</v>
      </c>
      <c r="I814">
        <v>8</v>
      </c>
      <c r="J814">
        <v>8</v>
      </c>
      <c r="K814">
        <v>0</v>
      </c>
      <c r="L814">
        <v>0</v>
      </c>
      <c r="M814">
        <v>0</v>
      </c>
      <c r="N814">
        <v>0</v>
      </c>
      <c r="O814">
        <v>0</v>
      </c>
    </row>
    <row r="815" spans="1:15" x14ac:dyDescent="0.25">
      <c r="A815" t="s">
        <v>9790</v>
      </c>
      <c r="B815" t="s">
        <v>1977</v>
      </c>
      <c r="C815" t="s">
        <v>923</v>
      </c>
      <c r="D815" t="s">
        <v>3063</v>
      </c>
      <c r="E815" t="s">
        <v>3053</v>
      </c>
      <c r="F815" t="s">
        <v>337</v>
      </c>
      <c r="G815" t="s">
        <v>338</v>
      </c>
      <c r="H815" t="s">
        <v>11870</v>
      </c>
      <c r="I815">
        <v>3</v>
      </c>
      <c r="J815">
        <v>0</v>
      </c>
      <c r="K815">
        <v>0</v>
      </c>
      <c r="L815">
        <v>3</v>
      </c>
      <c r="M815">
        <v>0</v>
      </c>
      <c r="N815">
        <v>0</v>
      </c>
      <c r="O815">
        <v>0</v>
      </c>
    </row>
    <row r="816" spans="1:15" x14ac:dyDescent="0.25">
      <c r="A816" t="s">
        <v>9784</v>
      </c>
      <c r="B816" t="s">
        <v>1994</v>
      </c>
      <c r="C816" t="s">
        <v>927</v>
      </c>
      <c r="D816" t="s">
        <v>3052</v>
      </c>
      <c r="E816" t="s">
        <v>3053</v>
      </c>
      <c r="F816" t="s">
        <v>337</v>
      </c>
      <c r="G816" t="s">
        <v>338</v>
      </c>
      <c r="H816" t="s">
        <v>9920</v>
      </c>
      <c r="I816">
        <v>106</v>
      </c>
      <c r="J816">
        <v>0</v>
      </c>
      <c r="K816">
        <v>0</v>
      </c>
      <c r="L816">
        <v>106</v>
      </c>
      <c r="M816">
        <v>0</v>
      </c>
      <c r="N816">
        <v>55</v>
      </c>
      <c r="O816">
        <v>0</v>
      </c>
    </row>
    <row r="817" spans="1:15" x14ac:dyDescent="0.25">
      <c r="A817" t="s">
        <v>1873</v>
      </c>
      <c r="B817" t="s">
        <v>2101</v>
      </c>
      <c r="C817" t="s">
        <v>923</v>
      </c>
      <c r="D817" t="s">
        <v>3063</v>
      </c>
      <c r="E817" t="s">
        <v>3053</v>
      </c>
      <c r="F817" t="s">
        <v>337</v>
      </c>
      <c r="G817" t="s">
        <v>338</v>
      </c>
      <c r="H817" t="s">
        <v>3612</v>
      </c>
      <c r="I817">
        <v>105</v>
      </c>
      <c r="J817">
        <v>0</v>
      </c>
      <c r="K817">
        <v>0</v>
      </c>
      <c r="L817">
        <v>105</v>
      </c>
      <c r="M817">
        <v>0</v>
      </c>
      <c r="N817">
        <v>0</v>
      </c>
      <c r="O817">
        <v>0</v>
      </c>
    </row>
    <row r="818" spans="1:15" x14ac:dyDescent="0.25">
      <c r="A818" t="s">
        <v>10586</v>
      </c>
      <c r="B818" t="s">
        <v>10585</v>
      </c>
      <c r="C818" t="s">
        <v>923</v>
      </c>
      <c r="D818" t="s">
        <v>3063</v>
      </c>
      <c r="E818" t="s">
        <v>3053</v>
      </c>
      <c r="F818" t="s">
        <v>337</v>
      </c>
      <c r="G818" t="s">
        <v>338</v>
      </c>
      <c r="H818" t="s">
        <v>10860</v>
      </c>
      <c r="I818">
        <v>10</v>
      </c>
      <c r="J818">
        <v>0</v>
      </c>
      <c r="K818">
        <v>0</v>
      </c>
      <c r="L818">
        <v>0</v>
      </c>
      <c r="M818">
        <v>10</v>
      </c>
      <c r="N818">
        <v>0</v>
      </c>
      <c r="O818">
        <v>0</v>
      </c>
    </row>
    <row r="819" spans="1:15" x14ac:dyDescent="0.25">
      <c r="A819" t="s">
        <v>1874</v>
      </c>
      <c r="B819" t="s">
        <v>2006</v>
      </c>
      <c r="C819" t="s">
        <v>923</v>
      </c>
      <c r="D819" t="s">
        <v>3063</v>
      </c>
      <c r="E819" t="s">
        <v>3053</v>
      </c>
      <c r="F819" t="s">
        <v>337</v>
      </c>
      <c r="G819" t="s">
        <v>338</v>
      </c>
      <c r="H819" t="s">
        <v>10861</v>
      </c>
      <c r="I819">
        <v>1</v>
      </c>
      <c r="J819">
        <v>0</v>
      </c>
      <c r="K819">
        <v>0</v>
      </c>
      <c r="L819">
        <v>1</v>
      </c>
      <c r="M819">
        <v>0</v>
      </c>
      <c r="N819">
        <v>0</v>
      </c>
      <c r="O819">
        <v>0</v>
      </c>
    </row>
    <row r="820" spans="1:15" x14ac:dyDescent="0.25">
      <c r="A820" t="s">
        <v>14403</v>
      </c>
      <c r="B820" t="s">
        <v>14494</v>
      </c>
      <c r="C820" t="s">
        <v>923</v>
      </c>
      <c r="D820" t="s">
        <v>3063</v>
      </c>
      <c r="E820" t="s">
        <v>3053</v>
      </c>
      <c r="F820" t="s">
        <v>337</v>
      </c>
      <c r="G820" t="s">
        <v>338</v>
      </c>
      <c r="H820" t="s">
        <v>14495</v>
      </c>
      <c r="I820">
        <v>6</v>
      </c>
      <c r="J820">
        <v>0</v>
      </c>
      <c r="K820">
        <v>0</v>
      </c>
      <c r="L820">
        <v>0</v>
      </c>
      <c r="M820">
        <v>6</v>
      </c>
      <c r="N820">
        <v>0</v>
      </c>
      <c r="O820">
        <v>0</v>
      </c>
    </row>
    <row r="821" spans="1:15" x14ac:dyDescent="0.25">
      <c r="A821" t="s">
        <v>14404</v>
      </c>
      <c r="B821" t="s">
        <v>14496</v>
      </c>
      <c r="C821" t="s">
        <v>923</v>
      </c>
      <c r="D821" t="s">
        <v>3063</v>
      </c>
      <c r="E821" t="s">
        <v>3053</v>
      </c>
      <c r="F821" t="s">
        <v>337</v>
      </c>
      <c r="G821" t="s">
        <v>338</v>
      </c>
      <c r="H821" t="s">
        <v>14497</v>
      </c>
      <c r="I821">
        <v>6</v>
      </c>
      <c r="J821">
        <v>0</v>
      </c>
      <c r="K821">
        <v>0</v>
      </c>
      <c r="L821">
        <v>0</v>
      </c>
      <c r="M821">
        <v>6</v>
      </c>
      <c r="N821">
        <v>0</v>
      </c>
      <c r="O821">
        <v>0</v>
      </c>
    </row>
    <row r="822" spans="1:15" x14ac:dyDescent="0.25">
      <c r="A822" t="s">
        <v>14405</v>
      </c>
      <c r="B822" t="s">
        <v>14498</v>
      </c>
      <c r="C822" t="s">
        <v>923</v>
      </c>
      <c r="D822" t="s">
        <v>3063</v>
      </c>
      <c r="E822" t="s">
        <v>3053</v>
      </c>
      <c r="F822" t="s">
        <v>337</v>
      </c>
      <c r="G822" t="s">
        <v>338</v>
      </c>
      <c r="H822" t="s">
        <v>14499</v>
      </c>
      <c r="I822">
        <v>6</v>
      </c>
      <c r="J822">
        <v>0</v>
      </c>
      <c r="K822">
        <v>0</v>
      </c>
      <c r="L822">
        <v>0</v>
      </c>
      <c r="M822">
        <v>6</v>
      </c>
      <c r="N822">
        <v>0</v>
      </c>
      <c r="O822">
        <v>0</v>
      </c>
    </row>
    <row r="823" spans="1:15" x14ac:dyDescent="0.25">
      <c r="A823" t="s">
        <v>985</v>
      </c>
      <c r="B823" t="s">
        <v>1964</v>
      </c>
      <c r="C823" t="s">
        <v>923</v>
      </c>
      <c r="D823" t="s">
        <v>3063</v>
      </c>
      <c r="E823" t="s">
        <v>3053</v>
      </c>
      <c r="F823" t="s">
        <v>337</v>
      </c>
      <c r="G823" t="s">
        <v>338</v>
      </c>
      <c r="H823" t="s">
        <v>3613</v>
      </c>
      <c r="I823">
        <v>51</v>
      </c>
      <c r="J823">
        <v>0</v>
      </c>
      <c r="K823">
        <v>0</v>
      </c>
      <c r="L823">
        <v>51</v>
      </c>
      <c r="M823">
        <v>0</v>
      </c>
      <c r="N823">
        <v>0</v>
      </c>
      <c r="O823">
        <v>0</v>
      </c>
    </row>
    <row r="824" spans="1:15" x14ac:dyDescent="0.25">
      <c r="A824" t="s">
        <v>1219</v>
      </c>
      <c r="B824" t="s">
        <v>2569</v>
      </c>
      <c r="C824" t="s">
        <v>923</v>
      </c>
      <c r="D824" t="s">
        <v>3063</v>
      </c>
      <c r="E824" t="s">
        <v>3053</v>
      </c>
      <c r="F824" t="s">
        <v>337</v>
      </c>
      <c r="G824" t="s">
        <v>338</v>
      </c>
      <c r="H824" t="s">
        <v>3614</v>
      </c>
      <c r="I824">
        <v>25</v>
      </c>
      <c r="J824">
        <v>0</v>
      </c>
      <c r="K824">
        <v>0</v>
      </c>
      <c r="L824">
        <v>25</v>
      </c>
      <c r="M824">
        <v>0</v>
      </c>
      <c r="N824">
        <v>0</v>
      </c>
      <c r="O824">
        <v>0</v>
      </c>
    </row>
    <row r="825" spans="1:15" x14ac:dyDescent="0.25">
      <c r="A825" t="s">
        <v>9848</v>
      </c>
      <c r="B825" t="s">
        <v>2323</v>
      </c>
      <c r="C825" t="s">
        <v>923</v>
      </c>
      <c r="D825" t="s">
        <v>3063</v>
      </c>
      <c r="E825" t="s">
        <v>3053</v>
      </c>
      <c r="F825" t="s">
        <v>337</v>
      </c>
      <c r="G825" t="s">
        <v>338</v>
      </c>
      <c r="H825" t="s">
        <v>10025</v>
      </c>
      <c r="I825">
        <v>7</v>
      </c>
      <c r="J825">
        <v>0</v>
      </c>
      <c r="K825">
        <v>0</v>
      </c>
      <c r="L825">
        <v>0</v>
      </c>
      <c r="M825">
        <v>7</v>
      </c>
      <c r="N825">
        <v>0</v>
      </c>
      <c r="O825">
        <v>0</v>
      </c>
    </row>
    <row r="826" spans="1:15" x14ac:dyDescent="0.25">
      <c r="A826" t="s">
        <v>1877</v>
      </c>
      <c r="B826" t="s">
        <v>2070</v>
      </c>
      <c r="C826" t="s">
        <v>923</v>
      </c>
      <c r="D826" t="s">
        <v>3063</v>
      </c>
      <c r="E826" t="s">
        <v>3053</v>
      </c>
      <c r="F826" t="s">
        <v>337</v>
      </c>
      <c r="G826" t="s">
        <v>338</v>
      </c>
      <c r="H826" t="s">
        <v>3615</v>
      </c>
      <c r="I826">
        <v>346</v>
      </c>
      <c r="J826">
        <v>0</v>
      </c>
      <c r="K826">
        <v>0</v>
      </c>
      <c r="L826">
        <v>346</v>
      </c>
      <c r="M826">
        <v>0</v>
      </c>
      <c r="N826">
        <v>0</v>
      </c>
      <c r="O826">
        <v>0</v>
      </c>
    </row>
    <row r="827" spans="1:15" x14ac:dyDescent="0.25">
      <c r="A827" t="s">
        <v>933</v>
      </c>
      <c r="B827" t="s">
        <v>2106</v>
      </c>
      <c r="C827" t="s">
        <v>927</v>
      </c>
      <c r="D827" t="s">
        <v>3052</v>
      </c>
      <c r="E827" t="s">
        <v>3053</v>
      </c>
      <c r="F827" t="s">
        <v>337</v>
      </c>
      <c r="G827" t="s">
        <v>338</v>
      </c>
      <c r="H827" t="s">
        <v>3616</v>
      </c>
      <c r="I827">
        <v>627</v>
      </c>
      <c r="J827">
        <v>620</v>
      </c>
      <c r="K827">
        <v>0</v>
      </c>
      <c r="L827">
        <v>0</v>
      </c>
      <c r="M827">
        <v>0</v>
      </c>
      <c r="N827">
        <v>2</v>
      </c>
      <c r="O827">
        <v>7</v>
      </c>
    </row>
    <row r="828" spans="1:15" x14ac:dyDescent="0.25">
      <c r="A828" t="s">
        <v>1879</v>
      </c>
      <c r="B828" t="s">
        <v>2783</v>
      </c>
      <c r="C828" t="s">
        <v>927</v>
      </c>
      <c r="D828" t="s">
        <v>3052</v>
      </c>
      <c r="E828" t="s">
        <v>3053</v>
      </c>
      <c r="F828" t="s">
        <v>337</v>
      </c>
      <c r="G828" t="s">
        <v>338</v>
      </c>
      <c r="H828" t="s">
        <v>10862</v>
      </c>
      <c r="I828">
        <v>40</v>
      </c>
      <c r="J828">
        <v>28</v>
      </c>
      <c r="K828">
        <v>0</v>
      </c>
      <c r="L828">
        <v>0</v>
      </c>
      <c r="M828">
        <v>0</v>
      </c>
      <c r="N828">
        <v>0</v>
      </c>
      <c r="O828">
        <v>12</v>
      </c>
    </row>
    <row r="829" spans="1:15" x14ac:dyDescent="0.25">
      <c r="A829" t="s">
        <v>991</v>
      </c>
      <c r="B829" t="s">
        <v>1976</v>
      </c>
      <c r="C829" t="s">
        <v>923</v>
      </c>
      <c r="D829" t="s">
        <v>3063</v>
      </c>
      <c r="E829" t="s">
        <v>3053</v>
      </c>
      <c r="F829" t="s">
        <v>337</v>
      </c>
      <c r="G829" t="s">
        <v>338</v>
      </c>
      <c r="H829" t="s">
        <v>3617</v>
      </c>
      <c r="I829">
        <v>13</v>
      </c>
      <c r="J829">
        <v>0</v>
      </c>
      <c r="K829">
        <v>0</v>
      </c>
      <c r="L829">
        <v>13</v>
      </c>
      <c r="M829">
        <v>0</v>
      </c>
      <c r="N829">
        <v>0</v>
      </c>
      <c r="O829">
        <v>0</v>
      </c>
    </row>
    <row r="830" spans="1:15" x14ac:dyDescent="0.25">
      <c r="A830" t="s">
        <v>11660</v>
      </c>
      <c r="B830" t="s">
        <v>2041</v>
      </c>
      <c r="C830" t="s">
        <v>923</v>
      </c>
      <c r="D830" t="s">
        <v>3063</v>
      </c>
      <c r="E830" t="s">
        <v>3053</v>
      </c>
      <c r="F830" t="s">
        <v>337</v>
      </c>
      <c r="G830" t="s">
        <v>338</v>
      </c>
      <c r="H830" t="s">
        <v>11871</v>
      </c>
      <c r="I830">
        <v>25</v>
      </c>
      <c r="J830">
        <v>0</v>
      </c>
      <c r="K830">
        <v>0</v>
      </c>
      <c r="L830">
        <v>25</v>
      </c>
      <c r="M830">
        <v>0</v>
      </c>
      <c r="N830">
        <v>0</v>
      </c>
      <c r="O830">
        <v>0</v>
      </c>
    </row>
    <row r="831" spans="1:15" x14ac:dyDescent="0.25">
      <c r="A831" t="s">
        <v>1885</v>
      </c>
      <c r="B831" t="s">
        <v>2337</v>
      </c>
      <c r="C831" t="s">
        <v>923</v>
      </c>
      <c r="D831" t="s">
        <v>3063</v>
      </c>
      <c r="E831" t="s">
        <v>3053</v>
      </c>
      <c r="F831" t="s">
        <v>337</v>
      </c>
      <c r="G831" t="s">
        <v>338</v>
      </c>
      <c r="H831" t="s">
        <v>3618</v>
      </c>
      <c r="I831">
        <v>8</v>
      </c>
      <c r="J831">
        <v>8</v>
      </c>
      <c r="K831">
        <v>0</v>
      </c>
      <c r="L831">
        <v>0</v>
      </c>
      <c r="M831">
        <v>0</v>
      </c>
      <c r="N831">
        <v>0</v>
      </c>
      <c r="O831">
        <v>0</v>
      </c>
    </row>
    <row r="832" spans="1:15" x14ac:dyDescent="0.25">
      <c r="A832" t="s">
        <v>1006</v>
      </c>
      <c r="B832" t="s">
        <v>2724</v>
      </c>
      <c r="C832" t="s">
        <v>927</v>
      </c>
      <c r="D832" t="s">
        <v>3052</v>
      </c>
      <c r="E832" t="s">
        <v>3053</v>
      </c>
      <c r="F832" t="s">
        <v>337</v>
      </c>
      <c r="G832" t="s">
        <v>338</v>
      </c>
      <c r="H832" t="s">
        <v>3619</v>
      </c>
      <c r="I832">
        <v>30</v>
      </c>
      <c r="J832">
        <v>30</v>
      </c>
      <c r="K832">
        <v>0</v>
      </c>
      <c r="L832">
        <v>0</v>
      </c>
      <c r="M832">
        <v>0</v>
      </c>
      <c r="N832">
        <v>0</v>
      </c>
      <c r="O832">
        <v>0</v>
      </c>
    </row>
    <row r="833" spans="1:15" x14ac:dyDescent="0.25">
      <c r="A833" t="s">
        <v>1008</v>
      </c>
      <c r="B833" t="s">
        <v>2928</v>
      </c>
      <c r="C833" t="s">
        <v>927</v>
      </c>
      <c r="D833" t="s">
        <v>3052</v>
      </c>
      <c r="E833" t="s">
        <v>3053</v>
      </c>
      <c r="F833" t="s">
        <v>337</v>
      </c>
      <c r="G833" t="s">
        <v>338</v>
      </c>
      <c r="H833" t="s">
        <v>3620</v>
      </c>
      <c r="I833">
        <v>103</v>
      </c>
      <c r="J833">
        <v>55</v>
      </c>
      <c r="K833">
        <v>0</v>
      </c>
      <c r="L833">
        <v>39</v>
      </c>
      <c r="M833">
        <v>9</v>
      </c>
      <c r="N833">
        <v>1</v>
      </c>
      <c r="O833">
        <v>0</v>
      </c>
    </row>
    <row r="834" spans="1:15" x14ac:dyDescent="0.25">
      <c r="A834" t="s">
        <v>1009</v>
      </c>
      <c r="B834" t="s">
        <v>1958</v>
      </c>
      <c r="C834" t="s">
        <v>923</v>
      </c>
      <c r="D834" t="s">
        <v>3063</v>
      </c>
      <c r="E834" t="s">
        <v>3053</v>
      </c>
      <c r="F834" t="s">
        <v>337</v>
      </c>
      <c r="G834" t="s">
        <v>338</v>
      </c>
      <c r="H834" t="s">
        <v>3621</v>
      </c>
      <c r="I834">
        <v>5</v>
      </c>
      <c r="J834">
        <v>0</v>
      </c>
      <c r="K834">
        <v>0</v>
      </c>
      <c r="L834">
        <v>5</v>
      </c>
      <c r="M834">
        <v>0</v>
      </c>
      <c r="N834">
        <v>0</v>
      </c>
      <c r="O834">
        <v>0</v>
      </c>
    </row>
    <row r="835" spans="1:15" x14ac:dyDescent="0.25">
      <c r="A835" t="s">
        <v>937</v>
      </c>
      <c r="B835" t="s">
        <v>1962</v>
      </c>
      <c r="C835" t="s">
        <v>927</v>
      </c>
      <c r="D835" t="s">
        <v>3052</v>
      </c>
      <c r="E835" t="s">
        <v>3053</v>
      </c>
      <c r="F835" t="s">
        <v>337</v>
      </c>
      <c r="G835" t="s">
        <v>338</v>
      </c>
      <c r="H835" t="s">
        <v>3622</v>
      </c>
      <c r="I835">
        <v>42</v>
      </c>
      <c r="J835">
        <v>0</v>
      </c>
      <c r="K835">
        <v>0</v>
      </c>
      <c r="L835">
        <v>0</v>
      </c>
      <c r="M835">
        <v>0</v>
      </c>
      <c r="N835">
        <v>0</v>
      </c>
      <c r="O835">
        <v>42</v>
      </c>
    </row>
    <row r="836" spans="1:15" x14ac:dyDescent="0.25">
      <c r="A836" t="s">
        <v>1011</v>
      </c>
      <c r="B836" t="s">
        <v>2020</v>
      </c>
      <c r="C836" t="s">
        <v>927</v>
      </c>
      <c r="D836" t="s">
        <v>3052</v>
      </c>
      <c r="E836" t="s">
        <v>3053</v>
      </c>
      <c r="F836" t="s">
        <v>337</v>
      </c>
      <c r="G836" t="s">
        <v>338</v>
      </c>
      <c r="H836" t="s">
        <v>10108</v>
      </c>
      <c r="I836">
        <v>55</v>
      </c>
      <c r="J836">
        <v>0</v>
      </c>
      <c r="K836">
        <v>0</v>
      </c>
      <c r="L836">
        <v>55</v>
      </c>
      <c r="M836">
        <v>0</v>
      </c>
      <c r="N836">
        <v>0</v>
      </c>
      <c r="O836">
        <v>0</v>
      </c>
    </row>
    <row r="837" spans="1:15" x14ac:dyDescent="0.25">
      <c r="A837" t="s">
        <v>938</v>
      </c>
      <c r="B837" t="s">
        <v>2791</v>
      </c>
      <c r="C837" t="s">
        <v>927</v>
      </c>
      <c r="D837" t="s">
        <v>3052</v>
      </c>
      <c r="E837" t="s">
        <v>3053</v>
      </c>
      <c r="F837" t="s">
        <v>337</v>
      </c>
      <c r="G837" t="s">
        <v>338</v>
      </c>
      <c r="H837" t="s">
        <v>3623</v>
      </c>
      <c r="I837">
        <v>873</v>
      </c>
      <c r="J837">
        <v>803</v>
      </c>
      <c r="K837">
        <v>0</v>
      </c>
      <c r="L837">
        <v>24</v>
      </c>
      <c r="M837">
        <v>0</v>
      </c>
      <c r="N837">
        <v>4</v>
      </c>
      <c r="O837">
        <v>46</v>
      </c>
    </row>
    <row r="838" spans="1:15" x14ac:dyDescent="0.25">
      <c r="A838" t="s">
        <v>940</v>
      </c>
      <c r="B838" t="s">
        <v>2647</v>
      </c>
      <c r="C838" t="s">
        <v>927</v>
      </c>
      <c r="D838" t="s">
        <v>3052</v>
      </c>
      <c r="E838" t="s">
        <v>3053</v>
      </c>
      <c r="F838" t="s">
        <v>337</v>
      </c>
      <c r="G838" t="s">
        <v>338</v>
      </c>
      <c r="H838" t="s">
        <v>3624</v>
      </c>
      <c r="I838">
        <v>472</v>
      </c>
      <c r="J838">
        <v>0</v>
      </c>
      <c r="K838">
        <v>0</v>
      </c>
      <c r="L838">
        <v>0</v>
      </c>
      <c r="M838">
        <v>466</v>
      </c>
      <c r="N838">
        <v>0</v>
      </c>
      <c r="O838">
        <v>6</v>
      </c>
    </row>
    <row r="839" spans="1:15" x14ac:dyDescent="0.25">
      <c r="A839" t="s">
        <v>1422</v>
      </c>
      <c r="B839" t="s">
        <v>1990</v>
      </c>
      <c r="C839" t="s">
        <v>923</v>
      </c>
      <c r="D839" t="s">
        <v>3063</v>
      </c>
      <c r="E839" t="s">
        <v>3053</v>
      </c>
      <c r="F839" t="s">
        <v>337</v>
      </c>
      <c r="G839" t="s">
        <v>338</v>
      </c>
      <c r="H839" t="s">
        <v>3625</v>
      </c>
      <c r="I839">
        <v>15</v>
      </c>
      <c r="J839">
        <v>0</v>
      </c>
      <c r="K839">
        <v>0</v>
      </c>
      <c r="L839">
        <v>15</v>
      </c>
      <c r="M839">
        <v>0</v>
      </c>
      <c r="N839">
        <v>0</v>
      </c>
      <c r="O839">
        <v>0</v>
      </c>
    </row>
    <row r="840" spans="1:15" x14ac:dyDescent="0.25">
      <c r="A840" t="s">
        <v>1013</v>
      </c>
      <c r="B840" t="s">
        <v>1959</v>
      </c>
      <c r="C840" t="s">
        <v>927</v>
      </c>
      <c r="D840" t="s">
        <v>3052</v>
      </c>
      <c r="E840" t="s">
        <v>3053</v>
      </c>
      <c r="F840" t="s">
        <v>337</v>
      </c>
      <c r="G840" t="s">
        <v>338</v>
      </c>
      <c r="H840" t="s">
        <v>3626</v>
      </c>
      <c r="I840">
        <v>43</v>
      </c>
      <c r="J840">
        <v>0</v>
      </c>
      <c r="K840">
        <v>0</v>
      </c>
      <c r="L840">
        <v>43</v>
      </c>
      <c r="M840">
        <v>0</v>
      </c>
      <c r="N840">
        <v>0</v>
      </c>
      <c r="O840">
        <v>0</v>
      </c>
    </row>
    <row r="841" spans="1:15" x14ac:dyDescent="0.25">
      <c r="A841" t="s">
        <v>1897</v>
      </c>
      <c r="B841" t="s">
        <v>2883</v>
      </c>
      <c r="C841" t="s">
        <v>927</v>
      </c>
      <c r="D841" t="s">
        <v>3052</v>
      </c>
      <c r="E841" t="s">
        <v>3053</v>
      </c>
      <c r="F841" t="s">
        <v>337</v>
      </c>
      <c r="G841" t="s">
        <v>338</v>
      </c>
      <c r="H841" t="s">
        <v>3627</v>
      </c>
      <c r="I841">
        <v>19822</v>
      </c>
      <c r="J841">
        <v>19010</v>
      </c>
      <c r="K841">
        <v>0</v>
      </c>
      <c r="L841">
        <v>48</v>
      </c>
      <c r="M841">
        <v>676</v>
      </c>
      <c r="N841">
        <v>197</v>
      </c>
      <c r="O841">
        <v>88</v>
      </c>
    </row>
    <row r="842" spans="1:15" x14ac:dyDescent="0.25">
      <c r="A842" t="s">
        <v>1018</v>
      </c>
      <c r="B842" t="s">
        <v>1980</v>
      </c>
      <c r="C842" t="s">
        <v>923</v>
      </c>
      <c r="D842" t="s">
        <v>3063</v>
      </c>
      <c r="E842" t="s">
        <v>3053</v>
      </c>
      <c r="F842" t="s">
        <v>337</v>
      </c>
      <c r="G842" t="s">
        <v>338</v>
      </c>
      <c r="H842" t="s">
        <v>3629</v>
      </c>
      <c r="I842">
        <v>41</v>
      </c>
      <c r="J842">
        <v>0</v>
      </c>
      <c r="K842">
        <v>0</v>
      </c>
      <c r="L842">
        <v>41</v>
      </c>
      <c r="M842">
        <v>0</v>
      </c>
      <c r="N842">
        <v>0</v>
      </c>
      <c r="O842">
        <v>0</v>
      </c>
    </row>
    <row r="843" spans="1:15" x14ac:dyDescent="0.25">
      <c r="A843" t="s">
        <v>10681</v>
      </c>
      <c r="B843" t="s">
        <v>10680</v>
      </c>
      <c r="C843" t="s">
        <v>927</v>
      </c>
      <c r="D843" t="s">
        <v>3052</v>
      </c>
      <c r="E843" t="s">
        <v>3053</v>
      </c>
      <c r="F843" t="s">
        <v>337</v>
      </c>
      <c r="G843" t="s">
        <v>338</v>
      </c>
      <c r="H843" t="s">
        <v>14500</v>
      </c>
      <c r="I843">
        <v>8</v>
      </c>
      <c r="J843">
        <v>0</v>
      </c>
      <c r="K843">
        <v>0</v>
      </c>
      <c r="L843">
        <v>0</v>
      </c>
      <c r="M843">
        <v>0</v>
      </c>
      <c r="N843">
        <v>0</v>
      </c>
      <c r="O843">
        <v>8</v>
      </c>
    </row>
    <row r="844" spans="1:15" x14ac:dyDescent="0.25">
      <c r="A844" t="s">
        <v>1903</v>
      </c>
      <c r="B844" t="s">
        <v>2806</v>
      </c>
      <c r="C844" t="s">
        <v>927</v>
      </c>
      <c r="D844" t="s">
        <v>3052</v>
      </c>
      <c r="E844" t="s">
        <v>3053</v>
      </c>
      <c r="F844" t="s">
        <v>337</v>
      </c>
      <c r="G844" t="s">
        <v>338</v>
      </c>
      <c r="H844" t="s">
        <v>3630</v>
      </c>
      <c r="I844">
        <v>1390</v>
      </c>
      <c r="J844">
        <v>1347</v>
      </c>
      <c r="K844">
        <v>0</v>
      </c>
      <c r="L844">
        <v>0</v>
      </c>
      <c r="M844">
        <v>0</v>
      </c>
      <c r="N844">
        <v>4</v>
      </c>
      <c r="O844">
        <v>43</v>
      </c>
    </row>
    <row r="845" spans="1:15" x14ac:dyDescent="0.25">
      <c r="A845" t="s">
        <v>1296</v>
      </c>
      <c r="B845" t="s">
        <v>2965</v>
      </c>
      <c r="C845" t="s">
        <v>923</v>
      </c>
      <c r="D845" t="s">
        <v>3063</v>
      </c>
      <c r="E845" t="s">
        <v>3053</v>
      </c>
      <c r="F845" t="s">
        <v>337</v>
      </c>
      <c r="G845" t="s">
        <v>338</v>
      </c>
      <c r="H845" t="s">
        <v>3631</v>
      </c>
      <c r="I845">
        <v>46</v>
      </c>
      <c r="J845">
        <v>0</v>
      </c>
      <c r="K845">
        <v>0</v>
      </c>
      <c r="L845">
        <v>0</v>
      </c>
      <c r="M845">
        <v>46</v>
      </c>
      <c r="N845">
        <v>0</v>
      </c>
      <c r="O845">
        <v>0</v>
      </c>
    </row>
    <row r="846" spans="1:15" x14ac:dyDescent="0.25">
      <c r="A846" t="s">
        <v>1031</v>
      </c>
      <c r="B846" t="s">
        <v>2779</v>
      </c>
      <c r="C846" t="s">
        <v>927</v>
      </c>
      <c r="D846" t="s">
        <v>3052</v>
      </c>
      <c r="E846" t="s">
        <v>3053</v>
      </c>
      <c r="F846" t="s">
        <v>337</v>
      </c>
      <c r="G846" t="s">
        <v>338</v>
      </c>
      <c r="H846" t="s">
        <v>3632</v>
      </c>
      <c r="I846">
        <v>48</v>
      </c>
      <c r="J846">
        <v>48</v>
      </c>
      <c r="K846">
        <v>0</v>
      </c>
      <c r="L846">
        <v>0</v>
      </c>
      <c r="M846">
        <v>0</v>
      </c>
      <c r="N846">
        <v>0</v>
      </c>
      <c r="O846">
        <v>0</v>
      </c>
    </row>
    <row r="847" spans="1:15" x14ac:dyDescent="0.25">
      <c r="A847" t="s">
        <v>949</v>
      </c>
      <c r="B847" t="s">
        <v>3035</v>
      </c>
      <c r="C847" t="s">
        <v>927</v>
      </c>
      <c r="D847" t="s">
        <v>3052</v>
      </c>
      <c r="E847" t="s">
        <v>3053</v>
      </c>
      <c r="F847" t="s">
        <v>337</v>
      </c>
      <c r="G847" t="s">
        <v>338</v>
      </c>
      <c r="H847" t="s">
        <v>3633</v>
      </c>
      <c r="I847">
        <v>1</v>
      </c>
      <c r="J847">
        <v>0</v>
      </c>
      <c r="K847">
        <v>0</v>
      </c>
      <c r="L847">
        <v>0</v>
      </c>
      <c r="M847">
        <v>0</v>
      </c>
      <c r="N847">
        <v>0</v>
      </c>
      <c r="O847">
        <v>1</v>
      </c>
    </row>
    <row r="848" spans="1:15" x14ac:dyDescent="0.25">
      <c r="A848" t="s">
        <v>951</v>
      </c>
      <c r="B848" t="s">
        <v>2680</v>
      </c>
      <c r="C848" t="s">
        <v>927</v>
      </c>
      <c r="D848" t="s">
        <v>3052</v>
      </c>
      <c r="E848" t="s">
        <v>3053</v>
      </c>
      <c r="F848" t="s">
        <v>337</v>
      </c>
      <c r="G848" t="s">
        <v>338</v>
      </c>
      <c r="H848" t="s">
        <v>3634</v>
      </c>
      <c r="I848">
        <v>1404</v>
      </c>
      <c r="J848">
        <v>1096</v>
      </c>
      <c r="K848">
        <v>0</v>
      </c>
      <c r="L848">
        <v>19</v>
      </c>
      <c r="M848">
        <v>30</v>
      </c>
      <c r="N848">
        <v>0</v>
      </c>
      <c r="O848">
        <v>259</v>
      </c>
    </row>
    <row r="849" spans="1:15" x14ac:dyDescent="0.25">
      <c r="A849" t="s">
        <v>1048</v>
      </c>
      <c r="B849" t="s">
        <v>2989</v>
      </c>
      <c r="C849" t="s">
        <v>927</v>
      </c>
      <c r="D849" t="s">
        <v>3052</v>
      </c>
      <c r="E849" t="s">
        <v>3053</v>
      </c>
      <c r="F849" t="s">
        <v>337</v>
      </c>
      <c r="G849" t="s">
        <v>338</v>
      </c>
      <c r="H849" t="s">
        <v>3635</v>
      </c>
      <c r="I849">
        <v>64</v>
      </c>
      <c r="J849">
        <v>2</v>
      </c>
      <c r="K849">
        <v>0</v>
      </c>
      <c r="L849">
        <v>62</v>
      </c>
      <c r="M849">
        <v>0</v>
      </c>
      <c r="N849">
        <v>1</v>
      </c>
      <c r="O849">
        <v>0</v>
      </c>
    </row>
    <row r="850" spans="1:15" x14ac:dyDescent="0.25">
      <c r="A850" t="s">
        <v>1050</v>
      </c>
      <c r="B850" t="s">
        <v>2018</v>
      </c>
      <c r="C850" t="s">
        <v>923</v>
      </c>
      <c r="D850" t="s">
        <v>3063</v>
      </c>
      <c r="E850" t="s">
        <v>3053</v>
      </c>
      <c r="F850" t="s">
        <v>337</v>
      </c>
      <c r="G850" t="s">
        <v>338</v>
      </c>
      <c r="H850" t="s">
        <v>3636</v>
      </c>
      <c r="I850">
        <v>69</v>
      </c>
      <c r="J850">
        <v>0</v>
      </c>
      <c r="K850">
        <v>0</v>
      </c>
      <c r="L850">
        <v>0</v>
      </c>
      <c r="M850">
        <v>69</v>
      </c>
      <c r="N850">
        <v>0</v>
      </c>
      <c r="O850">
        <v>0</v>
      </c>
    </row>
    <row r="851" spans="1:15" x14ac:dyDescent="0.25">
      <c r="A851" t="s">
        <v>1051</v>
      </c>
      <c r="B851" t="s">
        <v>2995</v>
      </c>
      <c r="C851" t="s">
        <v>927</v>
      </c>
      <c r="D851" t="s">
        <v>3052</v>
      </c>
      <c r="E851" t="s">
        <v>3053</v>
      </c>
      <c r="F851" t="s">
        <v>337</v>
      </c>
      <c r="G851" t="s">
        <v>338</v>
      </c>
      <c r="H851" t="s">
        <v>3637</v>
      </c>
      <c r="I851">
        <v>23</v>
      </c>
      <c r="J851">
        <v>0</v>
      </c>
      <c r="K851">
        <v>0</v>
      </c>
      <c r="L851">
        <v>23</v>
      </c>
      <c r="M851">
        <v>0</v>
      </c>
      <c r="N851">
        <v>0</v>
      </c>
      <c r="O851">
        <v>0</v>
      </c>
    </row>
    <row r="852" spans="1:15" x14ac:dyDescent="0.25">
      <c r="A852" t="s">
        <v>11720</v>
      </c>
      <c r="B852" t="s">
        <v>10718</v>
      </c>
      <c r="C852" t="s">
        <v>927</v>
      </c>
      <c r="D852" t="s">
        <v>3052</v>
      </c>
      <c r="E852" t="s">
        <v>3053</v>
      </c>
      <c r="F852" t="s">
        <v>337</v>
      </c>
      <c r="G852" t="s">
        <v>338</v>
      </c>
      <c r="H852" t="s">
        <v>14501</v>
      </c>
      <c r="I852">
        <v>22</v>
      </c>
      <c r="J852">
        <v>22</v>
      </c>
      <c r="K852">
        <v>0</v>
      </c>
      <c r="L852">
        <v>0</v>
      </c>
      <c r="M852">
        <v>0</v>
      </c>
      <c r="N852">
        <v>0</v>
      </c>
      <c r="O852">
        <v>0</v>
      </c>
    </row>
    <row r="853" spans="1:15" x14ac:dyDescent="0.25">
      <c r="A853" t="s">
        <v>1057</v>
      </c>
      <c r="B853" t="s">
        <v>1972</v>
      </c>
      <c r="C853" t="s">
        <v>927</v>
      </c>
      <c r="D853" t="s">
        <v>3052</v>
      </c>
      <c r="E853" t="s">
        <v>3053</v>
      </c>
      <c r="F853" t="s">
        <v>337</v>
      </c>
      <c r="G853" t="s">
        <v>338</v>
      </c>
      <c r="H853" t="s">
        <v>10393</v>
      </c>
      <c r="I853">
        <v>86</v>
      </c>
      <c r="J853">
        <v>0</v>
      </c>
      <c r="K853">
        <v>0</v>
      </c>
      <c r="L853">
        <v>86</v>
      </c>
      <c r="M853">
        <v>0</v>
      </c>
      <c r="N853">
        <v>0</v>
      </c>
      <c r="O853">
        <v>0</v>
      </c>
    </row>
    <row r="854" spans="1:15" x14ac:dyDescent="0.25">
      <c r="A854" t="s">
        <v>955</v>
      </c>
      <c r="B854" t="s">
        <v>2660</v>
      </c>
      <c r="C854" t="s">
        <v>927</v>
      </c>
      <c r="D854" t="s">
        <v>3052</v>
      </c>
      <c r="E854" t="s">
        <v>3053</v>
      </c>
      <c r="F854" t="s">
        <v>337</v>
      </c>
      <c r="G854" t="s">
        <v>338</v>
      </c>
      <c r="H854" t="s">
        <v>3638</v>
      </c>
      <c r="I854">
        <v>72</v>
      </c>
      <c r="J854">
        <v>36</v>
      </c>
      <c r="K854">
        <v>0</v>
      </c>
      <c r="L854">
        <v>8</v>
      </c>
      <c r="M854">
        <v>0</v>
      </c>
      <c r="N854">
        <v>0</v>
      </c>
      <c r="O854">
        <v>28</v>
      </c>
    </row>
    <row r="855" spans="1:15" x14ac:dyDescent="0.25">
      <c r="A855" t="s">
        <v>962</v>
      </c>
      <c r="B855" t="s">
        <v>2752</v>
      </c>
      <c r="C855" t="s">
        <v>927</v>
      </c>
      <c r="D855" t="s">
        <v>3052</v>
      </c>
      <c r="E855" t="s">
        <v>3053</v>
      </c>
      <c r="F855" t="s">
        <v>337</v>
      </c>
      <c r="G855" t="s">
        <v>338</v>
      </c>
      <c r="H855" t="s">
        <v>10433</v>
      </c>
      <c r="I855">
        <v>54</v>
      </c>
      <c r="J855">
        <v>54</v>
      </c>
      <c r="K855">
        <v>0</v>
      </c>
      <c r="L855">
        <v>0</v>
      </c>
      <c r="M855">
        <v>0</v>
      </c>
      <c r="N855">
        <v>0</v>
      </c>
      <c r="O855">
        <v>0</v>
      </c>
    </row>
    <row r="856" spans="1:15" x14ac:dyDescent="0.25">
      <c r="A856" t="s">
        <v>1066</v>
      </c>
      <c r="B856" t="s">
        <v>2557</v>
      </c>
      <c r="C856" t="s">
        <v>927</v>
      </c>
      <c r="D856" t="s">
        <v>3052</v>
      </c>
      <c r="E856" t="s">
        <v>3053</v>
      </c>
      <c r="F856" t="s">
        <v>337</v>
      </c>
      <c r="G856" t="s">
        <v>338</v>
      </c>
      <c r="H856" t="s">
        <v>11872</v>
      </c>
      <c r="I856">
        <v>4</v>
      </c>
      <c r="J856">
        <v>0</v>
      </c>
      <c r="K856">
        <v>0</v>
      </c>
      <c r="L856">
        <v>0</v>
      </c>
      <c r="M856">
        <v>4</v>
      </c>
      <c r="N856">
        <v>0</v>
      </c>
      <c r="O856">
        <v>0</v>
      </c>
    </row>
    <row r="857" spans="1:15" x14ac:dyDescent="0.25">
      <c r="A857" t="s">
        <v>1069</v>
      </c>
      <c r="B857" t="s">
        <v>2001</v>
      </c>
      <c r="C857" t="s">
        <v>927</v>
      </c>
      <c r="D857" t="s">
        <v>3052</v>
      </c>
      <c r="E857" t="s">
        <v>3053</v>
      </c>
      <c r="F857" t="s">
        <v>337</v>
      </c>
      <c r="G857" t="s">
        <v>338</v>
      </c>
      <c r="H857" t="s">
        <v>3639</v>
      </c>
      <c r="I857">
        <v>1</v>
      </c>
      <c r="J857">
        <v>0</v>
      </c>
      <c r="K857">
        <v>0</v>
      </c>
      <c r="L857">
        <v>0</v>
      </c>
      <c r="M857">
        <v>0</v>
      </c>
      <c r="N857">
        <v>0</v>
      </c>
      <c r="O857">
        <v>1</v>
      </c>
    </row>
    <row r="858" spans="1:15" x14ac:dyDescent="0.25">
      <c r="A858" t="s">
        <v>1072</v>
      </c>
      <c r="B858" t="s">
        <v>2907</v>
      </c>
      <c r="C858" t="s">
        <v>927</v>
      </c>
      <c r="D858" t="s">
        <v>3052</v>
      </c>
      <c r="E858" t="s">
        <v>3053</v>
      </c>
      <c r="F858" t="s">
        <v>337</v>
      </c>
      <c r="G858" t="s">
        <v>338</v>
      </c>
      <c r="H858" t="s">
        <v>3640</v>
      </c>
      <c r="I858">
        <v>83</v>
      </c>
      <c r="J858">
        <v>21</v>
      </c>
      <c r="K858">
        <v>0</v>
      </c>
      <c r="L858">
        <v>62</v>
      </c>
      <c r="M858">
        <v>0</v>
      </c>
      <c r="N858">
        <v>0</v>
      </c>
      <c r="O858">
        <v>0</v>
      </c>
    </row>
    <row r="859" spans="1:15" x14ac:dyDescent="0.25">
      <c r="A859" t="s">
        <v>1180</v>
      </c>
      <c r="B859" t="s">
        <v>2896</v>
      </c>
      <c r="C859" t="s">
        <v>927</v>
      </c>
      <c r="D859" t="s">
        <v>3052</v>
      </c>
      <c r="E859" t="s">
        <v>3053</v>
      </c>
      <c r="F859" t="s">
        <v>337</v>
      </c>
      <c r="G859" t="s">
        <v>338</v>
      </c>
      <c r="H859" t="s">
        <v>10863</v>
      </c>
      <c r="I859">
        <v>10</v>
      </c>
      <c r="J859">
        <v>10</v>
      </c>
      <c r="K859">
        <v>0</v>
      </c>
      <c r="L859">
        <v>0</v>
      </c>
      <c r="M859">
        <v>0</v>
      </c>
      <c r="N859">
        <v>0</v>
      </c>
      <c r="O859">
        <v>0</v>
      </c>
    </row>
    <row r="860" spans="1:15" x14ac:dyDescent="0.25">
      <c r="A860" t="s">
        <v>1075</v>
      </c>
      <c r="B860" t="s">
        <v>2830</v>
      </c>
      <c r="C860" t="s">
        <v>927</v>
      </c>
      <c r="D860" t="s">
        <v>3052</v>
      </c>
      <c r="E860" t="s">
        <v>3053</v>
      </c>
      <c r="F860" t="s">
        <v>337</v>
      </c>
      <c r="G860" t="s">
        <v>338</v>
      </c>
      <c r="H860" t="s">
        <v>3641</v>
      </c>
      <c r="I860">
        <v>84</v>
      </c>
      <c r="J860">
        <v>72</v>
      </c>
      <c r="K860">
        <v>0</v>
      </c>
      <c r="L860">
        <v>0</v>
      </c>
      <c r="M860">
        <v>0</v>
      </c>
      <c r="N860">
        <v>0</v>
      </c>
      <c r="O860">
        <v>12</v>
      </c>
    </row>
    <row r="861" spans="1:15" x14ac:dyDescent="0.25">
      <c r="A861" t="s">
        <v>1920</v>
      </c>
      <c r="B861" t="s">
        <v>2871</v>
      </c>
      <c r="C861" t="s">
        <v>927</v>
      </c>
      <c r="D861" t="s">
        <v>3052</v>
      </c>
      <c r="E861" t="s">
        <v>3053</v>
      </c>
      <c r="F861" t="s">
        <v>337</v>
      </c>
      <c r="G861" t="s">
        <v>338</v>
      </c>
      <c r="H861" t="s">
        <v>3642</v>
      </c>
      <c r="I861">
        <v>57</v>
      </c>
      <c r="J861">
        <v>6</v>
      </c>
      <c r="K861">
        <v>0</v>
      </c>
      <c r="L861">
        <v>0</v>
      </c>
      <c r="M861">
        <v>0</v>
      </c>
      <c r="N861">
        <v>0</v>
      </c>
      <c r="O861">
        <v>51</v>
      </c>
    </row>
    <row r="862" spans="1:15" x14ac:dyDescent="0.25">
      <c r="A862" t="s">
        <v>1080</v>
      </c>
      <c r="B862" t="s">
        <v>2030</v>
      </c>
      <c r="C862" t="s">
        <v>923</v>
      </c>
      <c r="D862" t="s">
        <v>3063</v>
      </c>
      <c r="E862" t="s">
        <v>3053</v>
      </c>
      <c r="F862" t="s">
        <v>337</v>
      </c>
      <c r="G862" t="s">
        <v>338</v>
      </c>
      <c r="H862" t="s">
        <v>3643</v>
      </c>
      <c r="I862">
        <v>38</v>
      </c>
      <c r="J862">
        <v>0</v>
      </c>
      <c r="K862">
        <v>0</v>
      </c>
      <c r="L862">
        <v>38</v>
      </c>
      <c r="M862">
        <v>0</v>
      </c>
      <c r="N862">
        <v>0</v>
      </c>
      <c r="O862">
        <v>0</v>
      </c>
    </row>
    <row r="863" spans="1:15" x14ac:dyDescent="0.25">
      <c r="A863" t="s">
        <v>1563</v>
      </c>
      <c r="B863" t="s">
        <v>2895</v>
      </c>
      <c r="C863" t="s">
        <v>927</v>
      </c>
      <c r="D863" t="s">
        <v>3052</v>
      </c>
      <c r="E863" t="s">
        <v>3053</v>
      </c>
      <c r="F863" t="s">
        <v>337</v>
      </c>
      <c r="G863" t="s">
        <v>338</v>
      </c>
      <c r="H863" t="s">
        <v>3644</v>
      </c>
      <c r="I863">
        <v>2247</v>
      </c>
      <c r="J863">
        <v>1886</v>
      </c>
      <c r="K863">
        <v>0</v>
      </c>
      <c r="L863">
        <v>179</v>
      </c>
      <c r="M863">
        <v>70</v>
      </c>
      <c r="N863">
        <v>0</v>
      </c>
      <c r="O863">
        <v>112</v>
      </c>
    </row>
    <row r="864" spans="1:15" x14ac:dyDescent="0.25">
      <c r="A864" t="s">
        <v>1083</v>
      </c>
      <c r="B864" t="s">
        <v>2757</v>
      </c>
      <c r="C864" t="s">
        <v>927</v>
      </c>
      <c r="D864" t="s">
        <v>3052</v>
      </c>
      <c r="E864" t="s">
        <v>3053</v>
      </c>
      <c r="F864" t="s">
        <v>337</v>
      </c>
      <c r="G864" t="s">
        <v>338</v>
      </c>
      <c r="H864" t="s">
        <v>3645</v>
      </c>
      <c r="I864">
        <v>156</v>
      </c>
      <c r="J864">
        <v>93</v>
      </c>
      <c r="K864">
        <v>0</v>
      </c>
      <c r="L864">
        <v>0</v>
      </c>
      <c r="M864">
        <v>33</v>
      </c>
      <c r="N864">
        <v>0</v>
      </c>
      <c r="O864">
        <v>30</v>
      </c>
    </row>
    <row r="865" spans="1:15" x14ac:dyDescent="0.25">
      <c r="A865" t="s">
        <v>1084</v>
      </c>
      <c r="B865" t="s">
        <v>2540</v>
      </c>
      <c r="C865" t="s">
        <v>923</v>
      </c>
      <c r="D865" t="s">
        <v>3063</v>
      </c>
      <c r="E865" t="s">
        <v>3053</v>
      </c>
      <c r="F865" t="s">
        <v>339</v>
      </c>
      <c r="G865" t="s">
        <v>340</v>
      </c>
      <c r="H865" t="s">
        <v>3646</v>
      </c>
      <c r="I865">
        <v>103</v>
      </c>
      <c r="J865">
        <v>0</v>
      </c>
      <c r="K865">
        <v>0</v>
      </c>
      <c r="L865">
        <v>0</v>
      </c>
      <c r="M865">
        <v>103</v>
      </c>
      <c r="N865">
        <v>0</v>
      </c>
      <c r="O865">
        <v>0</v>
      </c>
    </row>
    <row r="866" spans="1:15" x14ac:dyDescent="0.25">
      <c r="A866" t="s">
        <v>929</v>
      </c>
      <c r="B866" t="s">
        <v>2999</v>
      </c>
      <c r="C866" t="s">
        <v>927</v>
      </c>
      <c r="D866" t="s">
        <v>3052</v>
      </c>
      <c r="E866" t="s">
        <v>3053</v>
      </c>
      <c r="F866" t="s">
        <v>339</v>
      </c>
      <c r="G866" t="s">
        <v>340</v>
      </c>
      <c r="H866" t="s">
        <v>3647</v>
      </c>
      <c r="I866">
        <v>136</v>
      </c>
      <c r="J866">
        <v>0</v>
      </c>
      <c r="K866">
        <v>0</v>
      </c>
      <c r="L866">
        <v>0</v>
      </c>
      <c r="M866">
        <v>136</v>
      </c>
      <c r="N866">
        <v>0</v>
      </c>
      <c r="O866">
        <v>0</v>
      </c>
    </row>
    <row r="867" spans="1:15" x14ac:dyDescent="0.25">
      <c r="A867" t="s">
        <v>9790</v>
      </c>
      <c r="B867" t="s">
        <v>1977</v>
      </c>
      <c r="C867" t="s">
        <v>923</v>
      </c>
      <c r="D867" t="s">
        <v>3063</v>
      </c>
      <c r="E867" t="s">
        <v>3053</v>
      </c>
      <c r="F867" t="s">
        <v>339</v>
      </c>
      <c r="G867" t="s">
        <v>340</v>
      </c>
      <c r="H867" t="s">
        <v>11873</v>
      </c>
      <c r="I867">
        <v>13</v>
      </c>
      <c r="J867">
        <v>0</v>
      </c>
      <c r="K867">
        <v>0</v>
      </c>
      <c r="L867">
        <v>13</v>
      </c>
      <c r="M867">
        <v>0</v>
      </c>
      <c r="N867">
        <v>0</v>
      </c>
      <c r="O867">
        <v>0</v>
      </c>
    </row>
    <row r="868" spans="1:15" x14ac:dyDescent="0.25">
      <c r="A868" t="s">
        <v>1096</v>
      </c>
      <c r="B868" t="s">
        <v>2332</v>
      </c>
      <c r="C868" t="s">
        <v>923</v>
      </c>
      <c r="D868" t="s">
        <v>3063</v>
      </c>
      <c r="E868" t="s">
        <v>3053</v>
      </c>
      <c r="F868" t="s">
        <v>339</v>
      </c>
      <c r="G868" t="s">
        <v>340</v>
      </c>
      <c r="H868" t="s">
        <v>3648</v>
      </c>
      <c r="I868">
        <v>27</v>
      </c>
      <c r="J868">
        <v>0</v>
      </c>
      <c r="K868">
        <v>0</v>
      </c>
      <c r="L868">
        <v>27</v>
      </c>
      <c r="M868">
        <v>0</v>
      </c>
      <c r="N868">
        <v>0</v>
      </c>
      <c r="O868">
        <v>0</v>
      </c>
    </row>
    <row r="869" spans="1:15" x14ac:dyDescent="0.25">
      <c r="A869" t="s">
        <v>1100</v>
      </c>
      <c r="B869" t="s">
        <v>2855</v>
      </c>
      <c r="C869" t="s">
        <v>927</v>
      </c>
      <c r="D869" t="s">
        <v>3052</v>
      </c>
      <c r="E869" t="s">
        <v>3053</v>
      </c>
      <c r="F869" t="s">
        <v>339</v>
      </c>
      <c r="G869" t="s">
        <v>340</v>
      </c>
      <c r="H869" t="s">
        <v>3649</v>
      </c>
      <c r="I869">
        <v>429</v>
      </c>
      <c r="J869">
        <v>359</v>
      </c>
      <c r="K869">
        <v>0</v>
      </c>
      <c r="L869">
        <v>0</v>
      </c>
      <c r="M869">
        <v>0</v>
      </c>
      <c r="N869">
        <v>0</v>
      </c>
      <c r="O869">
        <v>70</v>
      </c>
    </row>
    <row r="870" spans="1:15" x14ac:dyDescent="0.25">
      <c r="A870" t="s">
        <v>933</v>
      </c>
      <c r="B870" t="s">
        <v>2106</v>
      </c>
      <c r="C870" t="s">
        <v>927</v>
      </c>
      <c r="D870" t="s">
        <v>3052</v>
      </c>
      <c r="E870" t="s">
        <v>3053</v>
      </c>
      <c r="F870" t="s">
        <v>339</v>
      </c>
      <c r="G870" t="s">
        <v>340</v>
      </c>
      <c r="H870" t="s">
        <v>3650</v>
      </c>
      <c r="I870">
        <v>712</v>
      </c>
      <c r="J870">
        <v>588</v>
      </c>
      <c r="K870">
        <v>0</v>
      </c>
      <c r="L870">
        <v>14</v>
      </c>
      <c r="M870">
        <v>11</v>
      </c>
      <c r="N870">
        <v>1</v>
      </c>
      <c r="O870">
        <v>99</v>
      </c>
    </row>
    <row r="871" spans="1:15" x14ac:dyDescent="0.25">
      <c r="A871" t="s">
        <v>1109</v>
      </c>
      <c r="B871" t="s">
        <v>2248</v>
      </c>
      <c r="C871" t="s">
        <v>923</v>
      </c>
      <c r="D871" t="s">
        <v>3063</v>
      </c>
      <c r="E871" t="s">
        <v>3053</v>
      </c>
      <c r="F871" t="s">
        <v>339</v>
      </c>
      <c r="G871" t="s">
        <v>340</v>
      </c>
      <c r="H871" t="s">
        <v>3651</v>
      </c>
      <c r="I871">
        <v>8</v>
      </c>
      <c r="J871">
        <v>8</v>
      </c>
      <c r="K871">
        <v>0</v>
      </c>
      <c r="L871">
        <v>0</v>
      </c>
      <c r="M871">
        <v>0</v>
      </c>
      <c r="N871">
        <v>0</v>
      </c>
      <c r="O871">
        <v>0</v>
      </c>
    </row>
    <row r="872" spans="1:15" x14ac:dyDescent="0.25">
      <c r="A872" t="s">
        <v>1110</v>
      </c>
      <c r="B872" t="s">
        <v>2888</v>
      </c>
      <c r="C872" t="s">
        <v>927</v>
      </c>
      <c r="D872" t="s">
        <v>3052</v>
      </c>
      <c r="E872" t="s">
        <v>3053</v>
      </c>
      <c r="F872" t="s">
        <v>339</v>
      </c>
      <c r="G872" t="s">
        <v>340</v>
      </c>
      <c r="H872" t="s">
        <v>3652</v>
      </c>
      <c r="I872">
        <v>8742</v>
      </c>
      <c r="J872">
        <v>8016</v>
      </c>
      <c r="K872">
        <v>0</v>
      </c>
      <c r="L872">
        <v>19</v>
      </c>
      <c r="M872">
        <v>410</v>
      </c>
      <c r="N872">
        <v>2</v>
      </c>
      <c r="O872">
        <v>297</v>
      </c>
    </row>
    <row r="873" spans="1:15" x14ac:dyDescent="0.25">
      <c r="A873" t="s">
        <v>998</v>
      </c>
      <c r="B873" t="s">
        <v>2820</v>
      </c>
      <c r="C873" t="s">
        <v>927</v>
      </c>
      <c r="D873" t="s">
        <v>3052</v>
      </c>
      <c r="E873" t="s">
        <v>3053</v>
      </c>
      <c r="F873" t="s">
        <v>339</v>
      </c>
      <c r="G873" t="s">
        <v>340</v>
      </c>
      <c r="H873" t="s">
        <v>3653</v>
      </c>
      <c r="I873">
        <v>12</v>
      </c>
      <c r="J873">
        <v>11</v>
      </c>
      <c r="K873">
        <v>0</v>
      </c>
      <c r="L873">
        <v>0</v>
      </c>
      <c r="M873">
        <v>0</v>
      </c>
      <c r="N873">
        <v>0</v>
      </c>
      <c r="O873">
        <v>1</v>
      </c>
    </row>
    <row r="874" spans="1:15" x14ac:dyDescent="0.25">
      <c r="A874" t="s">
        <v>1111</v>
      </c>
      <c r="B874" t="s">
        <v>2795</v>
      </c>
      <c r="C874" t="s">
        <v>927</v>
      </c>
      <c r="D874" t="s">
        <v>3052</v>
      </c>
      <c r="E874" t="s">
        <v>3053</v>
      </c>
      <c r="F874" t="s">
        <v>339</v>
      </c>
      <c r="G874" t="s">
        <v>340</v>
      </c>
      <c r="H874" t="s">
        <v>3654</v>
      </c>
      <c r="I874">
        <v>33</v>
      </c>
      <c r="J874">
        <v>29</v>
      </c>
      <c r="K874">
        <v>0</v>
      </c>
      <c r="L874">
        <v>0</v>
      </c>
      <c r="M874">
        <v>0</v>
      </c>
      <c r="N874">
        <v>0</v>
      </c>
      <c r="O874">
        <v>4</v>
      </c>
    </row>
    <row r="875" spans="1:15" x14ac:dyDescent="0.25">
      <c r="A875" t="s">
        <v>1113</v>
      </c>
      <c r="B875" t="s">
        <v>1953</v>
      </c>
      <c r="C875" t="s">
        <v>927</v>
      </c>
      <c r="D875" t="s">
        <v>3052</v>
      </c>
      <c r="E875" t="s">
        <v>3053</v>
      </c>
      <c r="F875" t="s">
        <v>339</v>
      </c>
      <c r="G875" t="s">
        <v>340</v>
      </c>
      <c r="H875" t="s">
        <v>3655</v>
      </c>
      <c r="I875">
        <v>469</v>
      </c>
      <c r="J875">
        <v>403</v>
      </c>
      <c r="K875">
        <v>0</v>
      </c>
      <c r="L875">
        <v>8</v>
      </c>
      <c r="M875">
        <v>0</v>
      </c>
      <c r="N875">
        <v>10</v>
      </c>
      <c r="O875">
        <v>58</v>
      </c>
    </row>
    <row r="876" spans="1:15" x14ac:dyDescent="0.25">
      <c r="A876" t="s">
        <v>10638</v>
      </c>
      <c r="B876" t="s">
        <v>2057</v>
      </c>
      <c r="C876" t="s">
        <v>927</v>
      </c>
      <c r="D876" t="s">
        <v>3052</v>
      </c>
      <c r="E876" t="s">
        <v>3053</v>
      </c>
      <c r="F876" t="s">
        <v>339</v>
      </c>
      <c r="G876" t="s">
        <v>340</v>
      </c>
      <c r="H876" t="s">
        <v>10864</v>
      </c>
      <c r="I876">
        <v>1</v>
      </c>
      <c r="J876">
        <v>0</v>
      </c>
      <c r="K876">
        <v>0</v>
      </c>
      <c r="L876">
        <v>1</v>
      </c>
      <c r="M876">
        <v>0</v>
      </c>
      <c r="N876">
        <v>0</v>
      </c>
      <c r="O876">
        <v>0</v>
      </c>
    </row>
    <row r="877" spans="1:15" x14ac:dyDescent="0.25">
      <c r="A877" t="s">
        <v>1008</v>
      </c>
      <c r="B877" t="s">
        <v>2928</v>
      </c>
      <c r="C877" t="s">
        <v>927</v>
      </c>
      <c r="D877" t="s">
        <v>3052</v>
      </c>
      <c r="E877" t="s">
        <v>3053</v>
      </c>
      <c r="F877" t="s">
        <v>339</v>
      </c>
      <c r="G877" t="s">
        <v>340</v>
      </c>
      <c r="H877" t="s">
        <v>3656</v>
      </c>
      <c r="I877">
        <v>22</v>
      </c>
      <c r="J877">
        <v>13</v>
      </c>
      <c r="K877">
        <v>0</v>
      </c>
      <c r="L877">
        <v>1</v>
      </c>
      <c r="M877">
        <v>8</v>
      </c>
      <c r="N877">
        <v>1</v>
      </c>
      <c r="O877">
        <v>0</v>
      </c>
    </row>
    <row r="878" spans="1:15" x14ac:dyDescent="0.25">
      <c r="A878" t="s">
        <v>1010</v>
      </c>
      <c r="B878" t="s">
        <v>2639</v>
      </c>
      <c r="C878" t="s">
        <v>927</v>
      </c>
      <c r="D878" t="s">
        <v>3052</v>
      </c>
      <c r="E878" t="s">
        <v>3053</v>
      </c>
      <c r="F878" t="s">
        <v>339</v>
      </c>
      <c r="G878" t="s">
        <v>340</v>
      </c>
      <c r="H878" t="s">
        <v>3657</v>
      </c>
      <c r="I878">
        <v>53</v>
      </c>
      <c r="J878">
        <v>46</v>
      </c>
      <c r="K878">
        <v>0</v>
      </c>
      <c r="L878">
        <v>0</v>
      </c>
      <c r="M878">
        <v>0</v>
      </c>
      <c r="N878">
        <v>0</v>
      </c>
      <c r="O878">
        <v>7</v>
      </c>
    </row>
    <row r="879" spans="1:15" x14ac:dyDescent="0.25">
      <c r="A879" t="s">
        <v>937</v>
      </c>
      <c r="B879" t="s">
        <v>1962</v>
      </c>
      <c r="C879" t="s">
        <v>927</v>
      </c>
      <c r="D879" t="s">
        <v>3052</v>
      </c>
      <c r="E879" t="s">
        <v>3053</v>
      </c>
      <c r="F879" t="s">
        <v>339</v>
      </c>
      <c r="G879" t="s">
        <v>340</v>
      </c>
      <c r="H879" t="s">
        <v>3658</v>
      </c>
      <c r="I879">
        <v>7</v>
      </c>
      <c r="J879">
        <v>0</v>
      </c>
      <c r="K879">
        <v>0</v>
      </c>
      <c r="L879">
        <v>0</v>
      </c>
      <c r="M879">
        <v>0</v>
      </c>
      <c r="N879">
        <v>0</v>
      </c>
      <c r="O879">
        <v>7</v>
      </c>
    </row>
    <row r="880" spans="1:15" x14ac:dyDescent="0.25">
      <c r="A880" t="s">
        <v>938</v>
      </c>
      <c r="B880" t="s">
        <v>2791</v>
      </c>
      <c r="C880" t="s">
        <v>927</v>
      </c>
      <c r="D880" t="s">
        <v>3052</v>
      </c>
      <c r="E880" t="s">
        <v>3053</v>
      </c>
      <c r="F880" t="s">
        <v>339</v>
      </c>
      <c r="G880" t="s">
        <v>340</v>
      </c>
      <c r="H880" t="s">
        <v>3659</v>
      </c>
      <c r="I880">
        <v>356</v>
      </c>
      <c r="J880">
        <v>309</v>
      </c>
      <c r="K880">
        <v>0</v>
      </c>
      <c r="L880">
        <v>0</v>
      </c>
      <c r="M880">
        <v>0</v>
      </c>
      <c r="N880">
        <v>0</v>
      </c>
      <c r="O880">
        <v>47</v>
      </c>
    </row>
    <row r="881" spans="1:15" x14ac:dyDescent="0.25">
      <c r="A881" t="s">
        <v>940</v>
      </c>
      <c r="B881" t="s">
        <v>2647</v>
      </c>
      <c r="C881" t="s">
        <v>927</v>
      </c>
      <c r="D881" t="s">
        <v>3052</v>
      </c>
      <c r="E881" t="s">
        <v>3053</v>
      </c>
      <c r="F881" t="s">
        <v>339</v>
      </c>
      <c r="G881" t="s">
        <v>340</v>
      </c>
      <c r="H881" t="s">
        <v>3660</v>
      </c>
      <c r="I881">
        <v>26</v>
      </c>
      <c r="J881">
        <v>0</v>
      </c>
      <c r="K881">
        <v>0</v>
      </c>
      <c r="L881">
        <v>0</v>
      </c>
      <c r="M881">
        <v>26</v>
      </c>
      <c r="N881">
        <v>0</v>
      </c>
      <c r="O881">
        <v>0</v>
      </c>
    </row>
    <row r="882" spans="1:15" x14ac:dyDescent="0.25">
      <c r="A882" t="s">
        <v>10667</v>
      </c>
      <c r="B882" t="s">
        <v>10666</v>
      </c>
      <c r="C882" t="s">
        <v>927</v>
      </c>
      <c r="D882" t="s">
        <v>3052</v>
      </c>
      <c r="E882" t="s">
        <v>3053</v>
      </c>
      <c r="F882" t="s">
        <v>339</v>
      </c>
      <c r="G882" t="s">
        <v>340</v>
      </c>
      <c r="H882" t="s">
        <v>11874</v>
      </c>
      <c r="I882">
        <v>20</v>
      </c>
      <c r="J882">
        <v>20</v>
      </c>
      <c r="K882">
        <v>0</v>
      </c>
      <c r="L882">
        <v>0</v>
      </c>
      <c r="M882">
        <v>0</v>
      </c>
      <c r="N882">
        <v>0</v>
      </c>
      <c r="O882">
        <v>0</v>
      </c>
    </row>
    <row r="883" spans="1:15" x14ac:dyDescent="0.25">
      <c r="A883" t="s">
        <v>1126</v>
      </c>
      <c r="B883" t="s">
        <v>2130</v>
      </c>
      <c r="C883" t="s">
        <v>927</v>
      </c>
      <c r="D883" t="s">
        <v>3052</v>
      </c>
      <c r="E883" t="s">
        <v>3053</v>
      </c>
      <c r="F883" t="s">
        <v>339</v>
      </c>
      <c r="G883" t="s">
        <v>340</v>
      </c>
      <c r="H883" t="s">
        <v>10865</v>
      </c>
      <c r="I883">
        <v>19</v>
      </c>
      <c r="J883">
        <v>0</v>
      </c>
      <c r="K883">
        <v>0</v>
      </c>
      <c r="L883">
        <v>0</v>
      </c>
      <c r="M883">
        <v>0</v>
      </c>
      <c r="N883">
        <v>0</v>
      </c>
      <c r="O883">
        <v>19</v>
      </c>
    </row>
    <row r="884" spans="1:15" x14ac:dyDescent="0.25">
      <c r="A884" t="s">
        <v>1127</v>
      </c>
      <c r="B884" t="s">
        <v>3034</v>
      </c>
      <c r="C884" t="s">
        <v>927</v>
      </c>
      <c r="D884" t="s">
        <v>3052</v>
      </c>
      <c r="E884" t="s">
        <v>3053</v>
      </c>
      <c r="F884" t="s">
        <v>339</v>
      </c>
      <c r="G884" t="s">
        <v>340</v>
      </c>
      <c r="H884" t="s">
        <v>3661</v>
      </c>
      <c r="I884">
        <v>6</v>
      </c>
      <c r="J884">
        <v>6</v>
      </c>
      <c r="K884">
        <v>0</v>
      </c>
      <c r="L884">
        <v>0</v>
      </c>
      <c r="M884">
        <v>0</v>
      </c>
      <c r="N884">
        <v>1</v>
      </c>
      <c r="O884">
        <v>0</v>
      </c>
    </row>
    <row r="885" spans="1:15" x14ac:dyDescent="0.25">
      <c r="A885" t="s">
        <v>1025</v>
      </c>
      <c r="B885" t="s">
        <v>2893</v>
      </c>
      <c r="C885" t="s">
        <v>927</v>
      </c>
      <c r="D885" t="s">
        <v>3052</v>
      </c>
      <c r="E885" t="s">
        <v>3053</v>
      </c>
      <c r="F885" t="s">
        <v>339</v>
      </c>
      <c r="G885" t="s">
        <v>340</v>
      </c>
      <c r="H885" t="s">
        <v>3662</v>
      </c>
      <c r="I885">
        <v>9</v>
      </c>
      <c r="J885">
        <v>0</v>
      </c>
      <c r="K885">
        <v>0</v>
      </c>
      <c r="L885">
        <v>0</v>
      </c>
      <c r="M885">
        <v>0</v>
      </c>
      <c r="N885">
        <v>0</v>
      </c>
      <c r="O885">
        <v>9</v>
      </c>
    </row>
    <row r="886" spans="1:15" x14ac:dyDescent="0.25">
      <c r="A886" t="s">
        <v>10681</v>
      </c>
      <c r="B886" t="s">
        <v>10680</v>
      </c>
      <c r="C886" t="s">
        <v>927</v>
      </c>
      <c r="D886" t="s">
        <v>3052</v>
      </c>
      <c r="E886" t="s">
        <v>3053</v>
      </c>
      <c r="F886" t="s">
        <v>339</v>
      </c>
      <c r="G886" t="s">
        <v>340</v>
      </c>
      <c r="H886" t="s">
        <v>14502</v>
      </c>
      <c r="I886">
        <v>21</v>
      </c>
      <c r="J886">
        <v>0</v>
      </c>
      <c r="K886">
        <v>0</v>
      </c>
      <c r="L886">
        <v>0</v>
      </c>
      <c r="M886">
        <v>0</v>
      </c>
      <c r="N886">
        <v>0</v>
      </c>
      <c r="O886">
        <v>21</v>
      </c>
    </row>
    <row r="887" spans="1:15" x14ac:dyDescent="0.25">
      <c r="A887" t="s">
        <v>943</v>
      </c>
      <c r="B887" t="s">
        <v>2694</v>
      </c>
      <c r="C887" t="s">
        <v>927</v>
      </c>
      <c r="D887" t="s">
        <v>3052</v>
      </c>
      <c r="E887" t="s">
        <v>3053</v>
      </c>
      <c r="F887" t="s">
        <v>339</v>
      </c>
      <c r="G887" t="s">
        <v>340</v>
      </c>
      <c r="H887" t="s">
        <v>3663</v>
      </c>
      <c r="I887">
        <v>5</v>
      </c>
      <c r="J887">
        <v>0</v>
      </c>
      <c r="K887">
        <v>0</v>
      </c>
      <c r="L887">
        <v>5</v>
      </c>
      <c r="M887">
        <v>0</v>
      </c>
      <c r="N887">
        <v>0</v>
      </c>
      <c r="O887">
        <v>0</v>
      </c>
    </row>
    <row r="888" spans="1:15" x14ac:dyDescent="0.25">
      <c r="A888" t="s">
        <v>945</v>
      </c>
      <c r="B888" t="s">
        <v>2668</v>
      </c>
      <c r="C888" t="s">
        <v>927</v>
      </c>
      <c r="D888" t="s">
        <v>3052</v>
      </c>
      <c r="E888" t="s">
        <v>3053</v>
      </c>
      <c r="F888" t="s">
        <v>339</v>
      </c>
      <c r="G888" t="s">
        <v>340</v>
      </c>
      <c r="H888" t="s">
        <v>14503</v>
      </c>
      <c r="I888">
        <v>57</v>
      </c>
      <c r="J888">
        <v>41</v>
      </c>
      <c r="K888">
        <v>0</v>
      </c>
      <c r="L888">
        <v>0</v>
      </c>
      <c r="M888">
        <v>0</v>
      </c>
      <c r="N888">
        <v>0</v>
      </c>
      <c r="O888">
        <v>16</v>
      </c>
    </row>
    <row r="889" spans="1:15" x14ac:dyDescent="0.25">
      <c r="A889" t="s">
        <v>1033</v>
      </c>
      <c r="B889" t="s">
        <v>2039</v>
      </c>
      <c r="C889" t="s">
        <v>923</v>
      </c>
      <c r="D889" t="s">
        <v>3063</v>
      </c>
      <c r="E889" t="s">
        <v>3053</v>
      </c>
      <c r="F889" t="s">
        <v>339</v>
      </c>
      <c r="G889" t="s">
        <v>340</v>
      </c>
      <c r="H889" t="s">
        <v>3664</v>
      </c>
      <c r="I889">
        <v>6</v>
      </c>
      <c r="J889">
        <v>0</v>
      </c>
      <c r="K889">
        <v>0</v>
      </c>
      <c r="L889">
        <v>6</v>
      </c>
      <c r="M889">
        <v>0</v>
      </c>
      <c r="N889">
        <v>0</v>
      </c>
      <c r="O889">
        <v>0</v>
      </c>
    </row>
    <row r="890" spans="1:15" x14ac:dyDescent="0.25">
      <c r="A890" t="s">
        <v>1041</v>
      </c>
      <c r="B890" t="s">
        <v>2826</v>
      </c>
      <c r="C890" t="s">
        <v>927</v>
      </c>
      <c r="D890" t="s">
        <v>3052</v>
      </c>
      <c r="E890" t="s">
        <v>3053</v>
      </c>
      <c r="F890" t="s">
        <v>339</v>
      </c>
      <c r="G890" t="s">
        <v>340</v>
      </c>
      <c r="H890" t="s">
        <v>10866</v>
      </c>
      <c r="I890">
        <v>15</v>
      </c>
      <c r="J890">
        <v>0</v>
      </c>
      <c r="K890">
        <v>0</v>
      </c>
      <c r="L890">
        <v>0</v>
      </c>
      <c r="M890">
        <v>0</v>
      </c>
      <c r="N890">
        <v>0</v>
      </c>
      <c r="O890">
        <v>15</v>
      </c>
    </row>
    <row r="891" spans="1:15" x14ac:dyDescent="0.25">
      <c r="A891" t="s">
        <v>1146</v>
      </c>
      <c r="B891" t="s">
        <v>2117</v>
      </c>
      <c r="C891" t="s">
        <v>927</v>
      </c>
      <c r="D891" t="s">
        <v>3052</v>
      </c>
      <c r="E891" t="s">
        <v>3053</v>
      </c>
      <c r="F891" t="s">
        <v>339</v>
      </c>
      <c r="G891" t="s">
        <v>340</v>
      </c>
      <c r="H891" t="s">
        <v>10867</v>
      </c>
      <c r="I891">
        <v>170</v>
      </c>
      <c r="J891">
        <v>45</v>
      </c>
      <c r="K891">
        <v>0</v>
      </c>
      <c r="L891">
        <v>119</v>
      </c>
      <c r="M891">
        <v>0</v>
      </c>
      <c r="N891">
        <v>1</v>
      </c>
      <c r="O891">
        <v>6</v>
      </c>
    </row>
    <row r="892" spans="1:15" x14ac:dyDescent="0.25">
      <c r="A892" t="s">
        <v>951</v>
      </c>
      <c r="B892" t="s">
        <v>2680</v>
      </c>
      <c r="C892" t="s">
        <v>927</v>
      </c>
      <c r="D892" t="s">
        <v>3052</v>
      </c>
      <c r="E892" t="s">
        <v>3053</v>
      </c>
      <c r="F892" t="s">
        <v>339</v>
      </c>
      <c r="G892" t="s">
        <v>340</v>
      </c>
      <c r="H892" t="s">
        <v>3665</v>
      </c>
      <c r="I892">
        <v>11</v>
      </c>
      <c r="J892">
        <v>11</v>
      </c>
      <c r="K892">
        <v>0</v>
      </c>
      <c r="L892">
        <v>0</v>
      </c>
      <c r="M892">
        <v>0</v>
      </c>
      <c r="N892">
        <v>0</v>
      </c>
      <c r="O892">
        <v>0</v>
      </c>
    </row>
    <row r="893" spans="1:15" x14ac:dyDescent="0.25">
      <c r="A893" t="s">
        <v>1048</v>
      </c>
      <c r="B893" t="s">
        <v>2989</v>
      </c>
      <c r="C893" t="s">
        <v>927</v>
      </c>
      <c r="D893" t="s">
        <v>3052</v>
      </c>
      <c r="E893" t="s">
        <v>3053</v>
      </c>
      <c r="F893" t="s">
        <v>339</v>
      </c>
      <c r="G893" t="s">
        <v>340</v>
      </c>
      <c r="H893" t="s">
        <v>11875</v>
      </c>
      <c r="I893">
        <v>6</v>
      </c>
      <c r="J893">
        <v>0</v>
      </c>
      <c r="K893">
        <v>0</v>
      </c>
      <c r="L893">
        <v>2</v>
      </c>
      <c r="M893">
        <v>0</v>
      </c>
      <c r="N893">
        <v>0</v>
      </c>
      <c r="O893">
        <v>4</v>
      </c>
    </row>
    <row r="894" spans="1:15" x14ac:dyDescent="0.25">
      <c r="A894" t="s">
        <v>953</v>
      </c>
      <c r="B894" t="s">
        <v>2014</v>
      </c>
      <c r="C894" t="s">
        <v>927</v>
      </c>
      <c r="D894" t="s">
        <v>3052</v>
      </c>
      <c r="E894" t="s">
        <v>3053</v>
      </c>
      <c r="F894" t="s">
        <v>339</v>
      </c>
      <c r="G894" t="s">
        <v>340</v>
      </c>
      <c r="H894" t="s">
        <v>3666</v>
      </c>
      <c r="I894">
        <v>8</v>
      </c>
      <c r="J894">
        <v>0</v>
      </c>
      <c r="K894">
        <v>0</v>
      </c>
      <c r="L894">
        <v>8</v>
      </c>
      <c r="M894">
        <v>0</v>
      </c>
      <c r="N894">
        <v>0</v>
      </c>
      <c r="O894">
        <v>0</v>
      </c>
    </row>
    <row r="895" spans="1:15" x14ac:dyDescent="0.25">
      <c r="A895" t="s">
        <v>1152</v>
      </c>
      <c r="B895" t="s">
        <v>3031</v>
      </c>
      <c r="C895" t="s">
        <v>927</v>
      </c>
      <c r="D895" t="s">
        <v>3052</v>
      </c>
      <c r="E895" t="s">
        <v>3053</v>
      </c>
      <c r="F895" t="s">
        <v>339</v>
      </c>
      <c r="G895" t="s">
        <v>340</v>
      </c>
      <c r="H895" t="s">
        <v>3667</v>
      </c>
      <c r="I895">
        <v>2</v>
      </c>
      <c r="J895">
        <v>0</v>
      </c>
      <c r="K895">
        <v>0</v>
      </c>
      <c r="L895">
        <v>0</v>
      </c>
      <c r="M895">
        <v>0</v>
      </c>
      <c r="N895">
        <v>0</v>
      </c>
      <c r="O895">
        <v>2</v>
      </c>
    </row>
    <row r="896" spans="1:15" x14ac:dyDescent="0.25">
      <c r="A896" t="s">
        <v>11720</v>
      </c>
      <c r="B896" t="s">
        <v>10718</v>
      </c>
      <c r="C896" t="s">
        <v>927</v>
      </c>
      <c r="D896" t="s">
        <v>3052</v>
      </c>
      <c r="E896" t="s">
        <v>3053</v>
      </c>
      <c r="F896" t="s">
        <v>339</v>
      </c>
      <c r="G896" t="s">
        <v>340</v>
      </c>
      <c r="H896" t="s">
        <v>14504</v>
      </c>
      <c r="I896">
        <v>152</v>
      </c>
      <c r="J896">
        <v>105</v>
      </c>
      <c r="K896">
        <v>0</v>
      </c>
      <c r="L896">
        <v>0</v>
      </c>
      <c r="M896">
        <v>0</v>
      </c>
      <c r="N896">
        <v>0</v>
      </c>
      <c r="O896">
        <v>47</v>
      </c>
    </row>
    <row r="897" spans="1:15" x14ac:dyDescent="0.25">
      <c r="A897" t="s">
        <v>9788</v>
      </c>
      <c r="B897" t="s">
        <v>9871</v>
      </c>
      <c r="C897" t="s">
        <v>927</v>
      </c>
      <c r="D897" t="s">
        <v>3052</v>
      </c>
      <c r="E897" t="s">
        <v>3053</v>
      </c>
      <c r="F897" t="s">
        <v>339</v>
      </c>
      <c r="G897" t="s">
        <v>340</v>
      </c>
      <c r="H897" t="s">
        <v>10332</v>
      </c>
      <c r="I897">
        <v>80</v>
      </c>
      <c r="J897">
        <v>80</v>
      </c>
      <c r="K897">
        <v>0</v>
      </c>
      <c r="L897">
        <v>0</v>
      </c>
      <c r="M897">
        <v>0</v>
      </c>
      <c r="N897">
        <v>0</v>
      </c>
      <c r="O897">
        <v>0</v>
      </c>
    </row>
    <row r="898" spans="1:15" x14ac:dyDescent="0.25">
      <c r="A898" t="s">
        <v>1056</v>
      </c>
      <c r="B898" t="s">
        <v>2966</v>
      </c>
      <c r="C898" t="s">
        <v>927</v>
      </c>
      <c r="D898" t="s">
        <v>3052</v>
      </c>
      <c r="E898" t="s">
        <v>3053</v>
      </c>
      <c r="F898" t="s">
        <v>339</v>
      </c>
      <c r="G898" t="s">
        <v>340</v>
      </c>
      <c r="H898" t="s">
        <v>3668</v>
      </c>
      <c r="I898">
        <v>93</v>
      </c>
      <c r="J898">
        <v>44</v>
      </c>
      <c r="K898">
        <v>0</v>
      </c>
      <c r="L898">
        <v>49</v>
      </c>
      <c r="M898">
        <v>0</v>
      </c>
      <c r="N898">
        <v>7</v>
      </c>
      <c r="O898">
        <v>0</v>
      </c>
    </row>
    <row r="899" spans="1:15" x14ac:dyDescent="0.25">
      <c r="A899" t="s">
        <v>1057</v>
      </c>
      <c r="B899" t="s">
        <v>1972</v>
      </c>
      <c r="C899" t="s">
        <v>927</v>
      </c>
      <c r="D899" t="s">
        <v>3052</v>
      </c>
      <c r="E899" t="s">
        <v>3053</v>
      </c>
      <c r="F899" t="s">
        <v>339</v>
      </c>
      <c r="G899" t="s">
        <v>340</v>
      </c>
      <c r="H899" t="s">
        <v>3669</v>
      </c>
      <c r="I899">
        <v>146</v>
      </c>
      <c r="J899">
        <v>92</v>
      </c>
      <c r="K899">
        <v>0</v>
      </c>
      <c r="L899">
        <v>10</v>
      </c>
      <c r="M899">
        <v>4</v>
      </c>
      <c r="N899">
        <v>0</v>
      </c>
      <c r="O899">
        <v>40</v>
      </c>
    </row>
    <row r="900" spans="1:15" x14ac:dyDescent="0.25">
      <c r="A900" t="s">
        <v>955</v>
      </c>
      <c r="B900" t="s">
        <v>2660</v>
      </c>
      <c r="C900" t="s">
        <v>927</v>
      </c>
      <c r="D900" t="s">
        <v>3052</v>
      </c>
      <c r="E900" t="s">
        <v>3053</v>
      </c>
      <c r="F900" t="s">
        <v>339</v>
      </c>
      <c r="G900" t="s">
        <v>340</v>
      </c>
      <c r="H900" t="s">
        <v>3670</v>
      </c>
      <c r="I900">
        <v>169</v>
      </c>
      <c r="J900">
        <v>139</v>
      </c>
      <c r="K900">
        <v>0</v>
      </c>
      <c r="L900">
        <v>29</v>
      </c>
      <c r="M900">
        <v>0</v>
      </c>
      <c r="N900">
        <v>0</v>
      </c>
      <c r="O900">
        <v>1</v>
      </c>
    </row>
    <row r="901" spans="1:15" x14ac:dyDescent="0.25">
      <c r="A901" t="s">
        <v>14374</v>
      </c>
      <c r="B901" t="s">
        <v>1943</v>
      </c>
      <c r="C901" t="s">
        <v>927</v>
      </c>
      <c r="D901" t="s">
        <v>3052</v>
      </c>
      <c r="E901" t="s">
        <v>3053</v>
      </c>
      <c r="F901" t="s">
        <v>339</v>
      </c>
      <c r="G901" t="s">
        <v>340</v>
      </c>
      <c r="H901" t="s">
        <v>14505</v>
      </c>
      <c r="I901">
        <v>26</v>
      </c>
      <c r="J901">
        <v>0</v>
      </c>
      <c r="K901">
        <v>0</v>
      </c>
      <c r="L901">
        <v>0</v>
      </c>
      <c r="M901">
        <v>0</v>
      </c>
      <c r="N901">
        <v>0</v>
      </c>
      <c r="O901">
        <v>26</v>
      </c>
    </row>
    <row r="902" spans="1:15" x14ac:dyDescent="0.25">
      <c r="A902" t="s">
        <v>1159</v>
      </c>
      <c r="B902" t="s">
        <v>2829</v>
      </c>
      <c r="C902" t="s">
        <v>927</v>
      </c>
      <c r="D902" t="s">
        <v>3052</v>
      </c>
      <c r="E902" t="s">
        <v>3053</v>
      </c>
      <c r="F902" t="s">
        <v>339</v>
      </c>
      <c r="G902" t="s">
        <v>340</v>
      </c>
      <c r="H902" t="s">
        <v>3671</v>
      </c>
      <c r="I902">
        <v>202</v>
      </c>
      <c r="J902">
        <v>201</v>
      </c>
      <c r="K902">
        <v>0</v>
      </c>
      <c r="L902">
        <v>0</v>
      </c>
      <c r="M902">
        <v>0</v>
      </c>
      <c r="N902">
        <v>0</v>
      </c>
      <c r="O902">
        <v>1</v>
      </c>
    </row>
    <row r="903" spans="1:15" x14ac:dyDescent="0.25">
      <c r="A903" t="s">
        <v>1069</v>
      </c>
      <c r="B903" t="s">
        <v>2001</v>
      </c>
      <c r="C903" t="s">
        <v>927</v>
      </c>
      <c r="D903" t="s">
        <v>3052</v>
      </c>
      <c r="E903" t="s">
        <v>3053</v>
      </c>
      <c r="F903" t="s">
        <v>339</v>
      </c>
      <c r="G903" t="s">
        <v>340</v>
      </c>
      <c r="H903" t="s">
        <v>3672</v>
      </c>
      <c r="I903">
        <v>6</v>
      </c>
      <c r="J903">
        <v>6</v>
      </c>
      <c r="K903">
        <v>0</v>
      </c>
      <c r="L903">
        <v>0</v>
      </c>
      <c r="M903">
        <v>0</v>
      </c>
      <c r="N903">
        <v>0</v>
      </c>
      <c r="O903">
        <v>0</v>
      </c>
    </row>
    <row r="904" spans="1:15" x14ac:dyDescent="0.25">
      <c r="A904" t="s">
        <v>1172</v>
      </c>
      <c r="B904" t="s">
        <v>3023</v>
      </c>
      <c r="C904" t="s">
        <v>927</v>
      </c>
      <c r="D904" t="s">
        <v>3052</v>
      </c>
      <c r="E904" t="s">
        <v>3053</v>
      </c>
      <c r="F904" t="s">
        <v>339</v>
      </c>
      <c r="G904" t="s">
        <v>340</v>
      </c>
      <c r="H904" t="s">
        <v>3673</v>
      </c>
      <c r="I904">
        <v>12</v>
      </c>
      <c r="J904">
        <v>10</v>
      </c>
      <c r="K904">
        <v>0</v>
      </c>
      <c r="L904">
        <v>0</v>
      </c>
      <c r="M904">
        <v>0</v>
      </c>
      <c r="N904">
        <v>0</v>
      </c>
      <c r="O904">
        <v>2</v>
      </c>
    </row>
    <row r="905" spans="1:15" x14ac:dyDescent="0.25">
      <c r="A905" t="s">
        <v>1186</v>
      </c>
      <c r="B905" t="s">
        <v>2166</v>
      </c>
      <c r="C905" t="s">
        <v>923</v>
      </c>
      <c r="D905" t="s">
        <v>3063</v>
      </c>
      <c r="E905" t="s">
        <v>3053</v>
      </c>
      <c r="F905" t="s">
        <v>339</v>
      </c>
      <c r="G905" t="s">
        <v>340</v>
      </c>
      <c r="H905" t="s">
        <v>3674</v>
      </c>
      <c r="I905">
        <v>4</v>
      </c>
      <c r="J905">
        <v>4</v>
      </c>
      <c r="K905">
        <v>0</v>
      </c>
      <c r="L905">
        <v>0</v>
      </c>
      <c r="M905">
        <v>0</v>
      </c>
      <c r="N905">
        <v>0</v>
      </c>
      <c r="O905">
        <v>0</v>
      </c>
    </row>
    <row r="906" spans="1:15" x14ac:dyDescent="0.25">
      <c r="A906" t="s">
        <v>1192</v>
      </c>
      <c r="B906" t="s">
        <v>2713</v>
      </c>
      <c r="C906" t="s">
        <v>923</v>
      </c>
      <c r="D906" t="s">
        <v>3063</v>
      </c>
      <c r="E906" t="s">
        <v>3053</v>
      </c>
      <c r="F906" t="s">
        <v>339</v>
      </c>
      <c r="G906" t="s">
        <v>340</v>
      </c>
      <c r="H906" t="s">
        <v>3675</v>
      </c>
      <c r="I906">
        <v>41</v>
      </c>
      <c r="J906">
        <v>0</v>
      </c>
      <c r="K906">
        <v>0</v>
      </c>
      <c r="L906">
        <v>0</v>
      </c>
      <c r="M906">
        <v>41</v>
      </c>
      <c r="N906">
        <v>0</v>
      </c>
      <c r="O906">
        <v>0</v>
      </c>
    </row>
    <row r="907" spans="1:15" x14ac:dyDescent="0.25">
      <c r="A907" t="s">
        <v>929</v>
      </c>
      <c r="B907" t="s">
        <v>2999</v>
      </c>
      <c r="C907" t="s">
        <v>927</v>
      </c>
      <c r="D907" t="s">
        <v>3052</v>
      </c>
      <c r="E907" t="s">
        <v>3053</v>
      </c>
      <c r="F907" t="s">
        <v>341</v>
      </c>
      <c r="G907" t="s">
        <v>342</v>
      </c>
      <c r="H907" t="s">
        <v>3676</v>
      </c>
      <c r="I907">
        <v>83</v>
      </c>
      <c r="J907">
        <v>0</v>
      </c>
      <c r="K907">
        <v>0</v>
      </c>
      <c r="L907">
        <v>0</v>
      </c>
      <c r="M907">
        <v>83</v>
      </c>
      <c r="N907">
        <v>0</v>
      </c>
      <c r="O907">
        <v>0</v>
      </c>
    </row>
    <row r="908" spans="1:15" x14ac:dyDescent="0.25">
      <c r="A908" t="s">
        <v>1099</v>
      </c>
      <c r="B908" t="s">
        <v>2641</v>
      </c>
      <c r="C908" t="s">
        <v>927</v>
      </c>
      <c r="D908" t="s">
        <v>3052</v>
      </c>
      <c r="E908" t="s">
        <v>3053</v>
      </c>
      <c r="F908" t="s">
        <v>341</v>
      </c>
      <c r="G908" t="s">
        <v>342</v>
      </c>
      <c r="H908" t="s">
        <v>3677</v>
      </c>
      <c r="I908">
        <v>620</v>
      </c>
      <c r="J908">
        <v>504</v>
      </c>
      <c r="K908">
        <v>0</v>
      </c>
      <c r="L908">
        <v>5</v>
      </c>
      <c r="M908">
        <v>48</v>
      </c>
      <c r="N908">
        <v>0</v>
      </c>
      <c r="O908">
        <v>63</v>
      </c>
    </row>
    <row r="909" spans="1:15" x14ac:dyDescent="0.25">
      <c r="A909" t="s">
        <v>933</v>
      </c>
      <c r="B909" t="s">
        <v>2106</v>
      </c>
      <c r="C909" t="s">
        <v>927</v>
      </c>
      <c r="D909" t="s">
        <v>3052</v>
      </c>
      <c r="E909" t="s">
        <v>3053</v>
      </c>
      <c r="F909" t="s">
        <v>341</v>
      </c>
      <c r="G909" t="s">
        <v>342</v>
      </c>
      <c r="H909" t="s">
        <v>3678</v>
      </c>
      <c r="I909">
        <v>156</v>
      </c>
      <c r="J909">
        <v>102</v>
      </c>
      <c r="K909">
        <v>0</v>
      </c>
      <c r="L909">
        <v>24</v>
      </c>
      <c r="M909">
        <v>0</v>
      </c>
      <c r="N909">
        <v>0</v>
      </c>
      <c r="O909">
        <v>30</v>
      </c>
    </row>
    <row r="910" spans="1:15" x14ac:dyDescent="0.25">
      <c r="A910" t="s">
        <v>935</v>
      </c>
      <c r="B910" t="s">
        <v>1960</v>
      </c>
      <c r="C910" t="s">
        <v>923</v>
      </c>
      <c r="D910" t="s">
        <v>3063</v>
      </c>
      <c r="E910" t="s">
        <v>3053</v>
      </c>
      <c r="F910" t="s">
        <v>341</v>
      </c>
      <c r="G910" t="s">
        <v>342</v>
      </c>
      <c r="H910" t="s">
        <v>3679</v>
      </c>
      <c r="I910">
        <v>1</v>
      </c>
      <c r="J910">
        <v>0</v>
      </c>
      <c r="K910">
        <v>0</v>
      </c>
      <c r="L910">
        <v>1</v>
      </c>
      <c r="M910">
        <v>0</v>
      </c>
      <c r="N910">
        <v>0</v>
      </c>
      <c r="O910">
        <v>0</v>
      </c>
    </row>
    <row r="911" spans="1:15" x14ac:dyDescent="0.25">
      <c r="A911" t="s">
        <v>1113</v>
      </c>
      <c r="B911" t="s">
        <v>1953</v>
      </c>
      <c r="C911" t="s">
        <v>927</v>
      </c>
      <c r="D911" t="s">
        <v>3052</v>
      </c>
      <c r="E911" t="s">
        <v>3053</v>
      </c>
      <c r="F911" t="s">
        <v>341</v>
      </c>
      <c r="G911" t="s">
        <v>342</v>
      </c>
      <c r="H911" t="s">
        <v>3680</v>
      </c>
      <c r="I911">
        <v>6708</v>
      </c>
      <c r="J911">
        <v>6477</v>
      </c>
      <c r="K911">
        <v>0</v>
      </c>
      <c r="L911">
        <v>48</v>
      </c>
      <c r="M911">
        <v>54</v>
      </c>
      <c r="N911">
        <v>156</v>
      </c>
      <c r="O911">
        <v>129</v>
      </c>
    </row>
    <row r="912" spans="1:15" x14ac:dyDescent="0.25">
      <c r="A912" t="s">
        <v>1008</v>
      </c>
      <c r="B912" t="s">
        <v>2928</v>
      </c>
      <c r="C912" t="s">
        <v>927</v>
      </c>
      <c r="D912" t="s">
        <v>3052</v>
      </c>
      <c r="E912" t="s">
        <v>3053</v>
      </c>
      <c r="F912" t="s">
        <v>341</v>
      </c>
      <c r="G912" t="s">
        <v>342</v>
      </c>
      <c r="H912" t="s">
        <v>3681</v>
      </c>
      <c r="I912">
        <v>9</v>
      </c>
      <c r="J912">
        <v>9</v>
      </c>
      <c r="K912">
        <v>0</v>
      </c>
      <c r="L912">
        <v>0</v>
      </c>
      <c r="M912">
        <v>0</v>
      </c>
      <c r="N912">
        <v>1</v>
      </c>
      <c r="O912">
        <v>0</v>
      </c>
    </row>
    <row r="913" spans="1:15" x14ac:dyDescent="0.25">
      <c r="A913" t="s">
        <v>1010</v>
      </c>
      <c r="B913" t="s">
        <v>2639</v>
      </c>
      <c r="C913" t="s">
        <v>927</v>
      </c>
      <c r="D913" t="s">
        <v>3052</v>
      </c>
      <c r="E913" t="s">
        <v>3053</v>
      </c>
      <c r="F913" t="s">
        <v>341</v>
      </c>
      <c r="G913" t="s">
        <v>342</v>
      </c>
      <c r="H913" t="s">
        <v>3682</v>
      </c>
      <c r="I913">
        <v>120</v>
      </c>
      <c r="J913">
        <v>105</v>
      </c>
      <c r="K913">
        <v>0</v>
      </c>
      <c r="L913">
        <v>0</v>
      </c>
      <c r="M913">
        <v>0</v>
      </c>
      <c r="N913">
        <v>0</v>
      </c>
      <c r="O913">
        <v>15</v>
      </c>
    </row>
    <row r="914" spans="1:15" x14ac:dyDescent="0.25">
      <c r="A914" t="s">
        <v>940</v>
      </c>
      <c r="B914" t="s">
        <v>2647</v>
      </c>
      <c r="C914" t="s">
        <v>927</v>
      </c>
      <c r="D914" t="s">
        <v>3052</v>
      </c>
      <c r="E914" t="s">
        <v>3053</v>
      </c>
      <c r="F914" t="s">
        <v>341</v>
      </c>
      <c r="G914" t="s">
        <v>342</v>
      </c>
      <c r="H914" t="s">
        <v>3683</v>
      </c>
      <c r="I914">
        <v>114</v>
      </c>
      <c r="J914">
        <v>0</v>
      </c>
      <c r="K914">
        <v>0</v>
      </c>
      <c r="L914">
        <v>0</v>
      </c>
      <c r="M914">
        <v>114</v>
      </c>
      <c r="N914">
        <v>0</v>
      </c>
      <c r="O914">
        <v>0</v>
      </c>
    </row>
    <row r="915" spans="1:15" x14ac:dyDescent="0.25">
      <c r="A915" t="s">
        <v>1126</v>
      </c>
      <c r="B915" t="s">
        <v>2130</v>
      </c>
      <c r="C915" t="s">
        <v>927</v>
      </c>
      <c r="D915" t="s">
        <v>3052</v>
      </c>
      <c r="E915" t="s">
        <v>3053</v>
      </c>
      <c r="F915" t="s">
        <v>341</v>
      </c>
      <c r="G915" t="s">
        <v>342</v>
      </c>
      <c r="H915" t="s">
        <v>10868</v>
      </c>
      <c r="I915">
        <v>70</v>
      </c>
      <c r="J915">
        <v>48</v>
      </c>
      <c r="K915">
        <v>0</v>
      </c>
      <c r="L915">
        <v>0</v>
      </c>
      <c r="M915">
        <v>0</v>
      </c>
      <c r="N915">
        <v>0</v>
      </c>
      <c r="O915">
        <v>22</v>
      </c>
    </row>
    <row r="916" spans="1:15" x14ac:dyDescent="0.25">
      <c r="A916" t="s">
        <v>10681</v>
      </c>
      <c r="B916" t="s">
        <v>10680</v>
      </c>
      <c r="C916" t="s">
        <v>927</v>
      </c>
      <c r="D916" t="s">
        <v>3052</v>
      </c>
      <c r="E916" t="s">
        <v>3053</v>
      </c>
      <c r="F916" t="s">
        <v>341</v>
      </c>
      <c r="G916" t="s">
        <v>342</v>
      </c>
      <c r="H916" t="s">
        <v>14506</v>
      </c>
      <c r="I916">
        <v>18</v>
      </c>
      <c r="J916">
        <v>0</v>
      </c>
      <c r="K916">
        <v>0</v>
      </c>
      <c r="L916">
        <v>0</v>
      </c>
      <c r="M916">
        <v>0</v>
      </c>
      <c r="N916">
        <v>0</v>
      </c>
      <c r="O916">
        <v>18</v>
      </c>
    </row>
    <row r="917" spans="1:15" x14ac:dyDescent="0.25">
      <c r="A917" t="s">
        <v>1031</v>
      </c>
      <c r="B917" t="s">
        <v>2779</v>
      </c>
      <c r="C917" t="s">
        <v>927</v>
      </c>
      <c r="D917" t="s">
        <v>3052</v>
      </c>
      <c r="E917" t="s">
        <v>3053</v>
      </c>
      <c r="F917" t="s">
        <v>341</v>
      </c>
      <c r="G917" t="s">
        <v>342</v>
      </c>
      <c r="H917" t="s">
        <v>3684</v>
      </c>
      <c r="I917">
        <v>9</v>
      </c>
      <c r="J917">
        <v>0</v>
      </c>
      <c r="K917">
        <v>0</v>
      </c>
      <c r="L917">
        <v>9</v>
      </c>
      <c r="M917">
        <v>0</v>
      </c>
      <c r="N917">
        <v>0</v>
      </c>
      <c r="O917">
        <v>0</v>
      </c>
    </row>
    <row r="918" spans="1:15" x14ac:dyDescent="0.25">
      <c r="A918" t="s">
        <v>1041</v>
      </c>
      <c r="B918" t="s">
        <v>2826</v>
      </c>
      <c r="C918" t="s">
        <v>927</v>
      </c>
      <c r="D918" t="s">
        <v>3052</v>
      </c>
      <c r="E918" t="s">
        <v>3053</v>
      </c>
      <c r="F918" t="s">
        <v>341</v>
      </c>
      <c r="G918" t="s">
        <v>342</v>
      </c>
      <c r="H918" t="s">
        <v>3685</v>
      </c>
      <c r="I918">
        <v>150</v>
      </c>
      <c r="J918">
        <v>0</v>
      </c>
      <c r="K918">
        <v>0</v>
      </c>
      <c r="L918">
        <v>0</v>
      </c>
      <c r="M918">
        <v>0</v>
      </c>
      <c r="N918">
        <v>0</v>
      </c>
      <c r="O918">
        <v>150</v>
      </c>
    </row>
    <row r="919" spans="1:15" x14ac:dyDescent="0.25">
      <c r="A919" t="s">
        <v>9787</v>
      </c>
      <c r="B919" t="s">
        <v>2822</v>
      </c>
      <c r="C919" t="s">
        <v>927</v>
      </c>
      <c r="D919" t="s">
        <v>3052</v>
      </c>
      <c r="E919" t="s">
        <v>3053</v>
      </c>
      <c r="F919" t="s">
        <v>341</v>
      </c>
      <c r="G919" t="s">
        <v>342</v>
      </c>
      <c r="H919" t="s">
        <v>10238</v>
      </c>
      <c r="I919">
        <v>472</v>
      </c>
      <c r="J919">
        <v>399</v>
      </c>
      <c r="K919">
        <v>0</v>
      </c>
      <c r="L919">
        <v>2</v>
      </c>
      <c r="M919">
        <v>66</v>
      </c>
      <c r="N919">
        <v>0</v>
      </c>
      <c r="O919">
        <v>5</v>
      </c>
    </row>
    <row r="920" spans="1:15" x14ac:dyDescent="0.25">
      <c r="A920" t="s">
        <v>1141</v>
      </c>
      <c r="B920" t="s">
        <v>2642</v>
      </c>
      <c r="C920" t="s">
        <v>927</v>
      </c>
      <c r="D920" t="s">
        <v>3052</v>
      </c>
      <c r="E920" t="s">
        <v>3053</v>
      </c>
      <c r="F920" t="s">
        <v>341</v>
      </c>
      <c r="G920" t="s">
        <v>342</v>
      </c>
      <c r="H920" t="s">
        <v>3686</v>
      </c>
      <c r="I920">
        <v>32</v>
      </c>
      <c r="J920">
        <v>32</v>
      </c>
      <c r="K920">
        <v>0</v>
      </c>
      <c r="L920">
        <v>0</v>
      </c>
      <c r="M920">
        <v>0</v>
      </c>
      <c r="N920">
        <v>0</v>
      </c>
      <c r="O920">
        <v>0</v>
      </c>
    </row>
    <row r="921" spans="1:15" x14ac:dyDescent="0.25">
      <c r="A921" t="s">
        <v>1144</v>
      </c>
      <c r="B921" t="s">
        <v>2124</v>
      </c>
      <c r="C921" t="s">
        <v>923</v>
      </c>
      <c r="D921" t="s">
        <v>3063</v>
      </c>
      <c r="E921" t="s">
        <v>3053</v>
      </c>
      <c r="F921" t="s">
        <v>341</v>
      </c>
      <c r="G921" t="s">
        <v>342</v>
      </c>
      <c r="H921" t="s">
        <v>11876</v>
      </c>
      <c r="I921">
        <v>18</v>
      </c>
      <c r="J921">
        <v>18</v>
      </c>
      <c r="K921">
        <v>0</v>
      </c>
      <c r="L921">
        <v>0</v>
      </c>
      <c r="M921">
        <v>0</v>
      </c>
      <c r="N921">
        <v>0</v>
      </c>
      <c r="O921">
        <v>0</v>
      </c>
    </row>
    <row r="922" spans="1:15" x14ac:dyDescent="0.25">
      <c r="A922" t="s">
        <v>951</v>
      </c>
      <c r="B922" t="s">
        <v>2680</v>
      </c>
      <c r="C922" t="s">
        <v>927</v>
      </c>
      <c r="D922" t="s">
        <v>3052</v>
      </c>
      <c r="E922" t="s">
        <v>3053</v>
      </c>
      <c r="F922" t="s">
        <v>341</v>
      </c>
      <c r="G922" t="s">
        <v>342</v>
      </c>
      <c r="H922" t="s">
        <v>11877</v>
      </c>
      <c r="I922">
        <v>44</v>
      </c>
      <c r="J922">
        <v>32</v>
      </c>
      <c r="K922">
        <v>0</v>
      </c>
      <c r="L922">
        <v>12</v>
      </c>
      <c r="M922">
        <v>0</v>
      </c>
      <c r="N922">
        <v>0</v>
      </c>
      <c r="O922">
        <v>0</v>
      </c>
    </row>
    <row r="923" spans="1:15" x14ac:dyDescent="0.25">
      <c r="A923" t="s">
        <v>1048</v>
      </c>
      <c r="B923" t="s">
        <v>2989</v>
      </c>
      <c r="C923" t="s">
        <v>927</v>
      </c>
      <c r="D923" t="s">
        <v>3052</v>
      </c>
      <c r="E923" t="s">
        <v>3053</v>
      </c>
      <c r="F923" t="s">
        <v>341</v>
      </c>
      <c r="G923" t="s">
        <v>342</v>
      </c>
      <c r="H923" t="s">
        <v>11878</v>
      </c>
      <c r="I923">
        <v>189</v>
      </c>
      <c r="J923">
        <v>166</v>
      </c>
      <c r="K923">
        <v>0</v>
      </c>
      <c r="L923">
        <v>0</v>
      </c>
      <c r="M923">
        <v>0</v>
      </c>
      <c r="N923">
        <v>0</v>
      </c>
      <c r="O923">
        <v>23</v>
      </c>
    </row>
    <row r="924" spans="1:15" x14ac:dyDescent="0.25">
      <c r="A924" t="s">
        <v>1051</v>
      </c>
      <c r="B924" t="s">
        <v>2995</v>
      </c>
      <c r="C924" t="s">
        <v>927</v>
      </c>
      <c r="D924" t="s">
        <v>3052</v>
      </c>
      <c r="E924" t="s">
        <v>3053</v>
      </c>
      <c r="F924" t="s">
        <v>341</v>
      </c>
      <c r="G924" t="s">
        <v>342</v>
      </c>
      <c r="H924" t="s">
        <v>3687</v>
      </c>
      <c r="I924">
        <v>6</v>
      </c>
      <c r="J924">
        <v>0</v>
      </c>
      <c r="K924">
        <v>0</v>
      </c>
      <c r="L924">
        <v>6</v>
      </c>
      <c r="M924">
        <v>0</v>
      </c>
      <c r="N924">
        <v>0</v>
      </c>
      <c r="O924">
        <v>0</v>
      </c>
    </row>
    <row r="925" spans="1:15" x14ac:dyDescent="0.25">
      <c r="A925" t="s">
        <v>1152</v>
      </c>
      <c r="B925" t="s">
        <v>3031</v>
      </c>
      <c r="C925" t="s">
        <v>927</v>
      </c>
      <c r="D925" t="s">
        <v>3052</v>
      </c>
      <c r="E925" t="s">
        <v>3053</v>
      </c>
      <c r="F925" t="s">
        <v>341</v>
      </c>
      <c r="G925" t="s">
        <v>342</v>
      </c>
      <c r="H925" t="s">
        <v>3688</v>
      </c>
      <c r="I925">
        <v>410</v>
      </c>
      <c r="J925">
        <v>337</v>
      </c>
      <c r="K925">
        <v>0</v>
      </c>
      <c r="L925">
        <v>0</v>
      </c>
      <c r="M925">
        <v>0</v>
      </c>
      <c r="N925">
        <v>0</v>
      </c>
      <c r="O925">
        <v>73</v>
      </c>
    </row>
    <row r="926" spans="1:15" x14ac:dyDescent="0.25">
      <c r="A926" t="s">
        <v>11720</v>
      </c>
      <c r="B926" t="s">
        <v>10718</v>
      </c>
      <c r="C926" t="s">
        <v>927</v>
      </c>
      <c r="D926" t="s">
        <v>3052</v>
      </c>
      <c r="E926" t="s">
        <v>3053</v>
      </c>
      <c r="F926" t="s">
        <v>341</v>
      </c>
      <c r="G926" t="s">
        <v>342</v>
      </c>
      <c r="H926" t="s">
        <v>14507</v>
      </c>
      <c r="I926">
        <v>30</v>
      </c>
      <c r="J926">
        <v>2</v>
      </c>
      <c r="K926">
        <v>0</v>
      </c>
      <c r="L926">
        <v>0</v>
      </c>
      <c r="M926">
        <v>0</v>
      </c>
      <c r="N926">
        <v>0</v>
      </c>
      <c r="O926">
        <v>28</v>
      </c>
    </row>
    <row r="927" spans="1:15" x14ac:dyDescent="0.25">
      <c r="A927" t="s">
        <v>9788</v>
      </c>
      <c r="B927" t="s">
        <v>9871</v>
      </c>
      <c r="C927" t="s">
        <v>927</v>
      </c>
      <c r="D927" t="s">
        <v>3052</v>
      </c>
      <c r="E927" t="s">
        <v>3053</v>
      </c>
      <c r="F927" t="s">
        <v>341</v>
      </c>
      <c r="G927" t="s">
        <v>342</v>
      </c>
      <c r="H927" t="s">
        <v>10333</v>
      </c>
      <c r="I927">
        <v>67</v>
      </c>
      <c r="J927">
        <v>67</v>
      </c>
      <c r="K927">
        <v>0</v>
      </c>
      <c r="L927">
        <v>0</v>
      </c>
      <c r="M927">
        <v>0</v>
      </c>
      <c r="N927">
        <v>0</v>
      </c>
      <c r="O927">
        <v>0</v>
      </c>
    </row>
    <row r="928" spans="1:15" x14ac:dyDescent="0.25">
      <c r="A928" t="s">
        <v>1057</v>
      </c>
      <c r="B928" t="s">
        <v>1972</v>
      </c>
      <c r="C928" t="s">
        <v>927</v>
      </c>
      <c r="D928" t="s">
        <v>3052</v>
      </c>
      <c r="E928" t="s">
        <v>3053</v>
      </c>
      <c r="F928" t="s">
        <v>341</v>
      </c>
      <c r="G928" t="s">
        <v>342</v>
      </c>
      <c r="H928" t="s">
        <v>3689</v>
      </c>
      <c r="I928">
        <v>48</v>
      </c>
      <c r="J928">
        <v>0</v>
      </c>
      <c r="K928">
        <v>0</v>
      </c>
      <c r="L928">
        <v>48</v>
      </c>
      <c r="M928">
        <v>0</v>
      </c>
      <c r="N928">
        <v>0</v>
      </c>
      <c r="O928">
        <v>0</v>
      </c>
    </row>
    <row r="929" spans="1:15" x14ac:dyDescent="0.25">
      <c r="A929" t="s">
        <v>955</v>
      </c>
      <c r="B929" t="s">
        <v>2660</v>
      </c>
      <c r="C929" t="s">
        <v>927</v>
      </c>
      <c r="D929" t="s">
        <v>3052</v>
      </c>
      <c r="E929" t="s">
        <v>3053</v>
      </c>
      <c r="F929" t="s">
        <v>341</v>
      </c>
      <c r="G929" t="s">
        <v>342</v>
      </c>
      <c r="H929" t="s">
        <v>3690</v>
      </c>
      <c r="I929">
        <v>10</v>
      </c>
      <c r="J929">
        <v>10</v>
      </c>
      <c r="K929">
        <v>0</v>
      </c>
      <c r="L929">
        <v>0</v>
      </c>
      <c r="M929">
        <v>0</v>
      </c>
      <c r="N929">
        <v>0</v>
      </c>
      <c r="O929">
        <v>0</v>
      </c>
    </row>
    <row r="930" spans="1:15" x14ac:dyDescent="0.25">
      <c r="A930" t="s">
        <v>9795</v>
      </c>
      <c r="B930" t="s">
        <v>1982</v>
      </c>
      <c r="C930" t="s">
        <v>923</v>
      </c>
      <c r="D930" t="s">
        <v>3063</v>
      </c>
      <c r="E930" t="s">
        <v>3053</v>
      </c>
      <c r="F930" t="s">
        <v>341</v>
      </c>
      <c r="G930" t="s">
        <v>342</v>
      </c>
      <c r="H930" t="s">
        <v>10415</v>
      </c>
      <c r="I930">
        <v>32</v>
      </c>
      <c r="J930">
        <v>0</v>
      </c>
      <c r="K930">
        <v>0</v>
      </c>
      <c r="L930">
        <v>32</v>
      </c>
      <c r="M930">
        <v>0</v>
      </c>
      <c r="N930">
        <v>4</v>
      </c>
      <c r="O930">
        <v>0</v>
      </c>
    </row>
    <row r="931" spans="1:15" x14ac:dyDescent="0.25">
      <c r="A931" t="s">
        <v>14374</v>
      </c>
      <c r="B931" t="s">
        <v>1943</v>
      </c>
      <c r="C931" t="s">
        <v>927</v>
      </c>
      <c r="D931" t="s">
        <v>3052</v>
      </c>
      <c r="E931" t="s">
        <v>3053</v>
      </c>
      <c r="F931" t="s">
        <v>341</v>
      </c>
      <c r="G931" t="s">
        <v>342</v>
      </c>
      <c r="H931" t="s">
        <v>14508</v>
      </c>
      <c r="I931">
        <v>11</v>
      </c>
      <c r="J931">
        <v>0</v>
      </c>
      <c r="K931">
        <v>0</v>
      </c>
      <c r="L931">
        <v>0</v>
      </c>
      <c r="M931">
        <v>0</v>
      </c>
      <c r="N931">
        <v>0</v>
      </c>
      <c r="O931">
        <v>11</v>
      </c>
    </row>
    <row r="932" spans="1:15" x14ac:dyDescent="0.25">
      <c r="A932" t="s">
        <v>1172</v>
      </c>
      <c r="B932" t="s">
        <v>3023</v>
      </c>
      <c r="C932" t="s">
        <v>927</v>
      </c>
      <c r="D932" t="s">
        <v>3052</v>
      </c>
      <c r="E932" t="s">
        <v>3053</v>
      </c>
      <c r="F932" t="s">
        <v>341</v>
      </c>
      <c r="G932" t="s">
        <v>342</v>
      </c>
      <c r="H932" t="s">
        <v>3691</v>
      </c>
      <c r="I932">
        <v>193</v>
      </c>
      <c r="J932">
        <v>164</v>
      </c>
      <c r="K932">
        <v>0</v>
      </c>
      <c r="L932">
        <v>0</v>
      </c>
      <c r="M932">
        <v>0</v>
      </c>
      <c r="N932">
        <v>0</v>
      </c>
      <c r="O932">
        <v>29</v>
      </c>
    </row>
    <row r="933" spans="1:15" x14ac:dyDescent="0.25">
      <c r="A933" t="s">
        <v>1176</v>
      </c>
      <c r="B933" t="s">
        <v>2952</v>
      </c>
      <c r="C933" t="s">
        <v>923</v>
      </c>
      <c r="D933" t="s">
        <v>3063</v>
      </c>
      <c r="E933" t="s">
        <v>3053</v>
      </c>
      <c r="F933" t="s">
        <v>341</v>
      </c>
      <c r="G933" t="s">
        <v>342</v>
      </c>
      <c r="H933" t="s">
        <v>3692</v>
      </c>
      <c r="I933">
        <v>13</v>
      </c>
      <c r="J933">
        <v>0</v>
      </c>
      <c r="K933">
        <v>0</v>
      </c>
      <c r="L933">
        <v>13</v>
      </c>
      <c r="M933">
        <v>0</v>
      </c>
      <c r="N933">
        <v>0</v>
      </c>
      <c r="O933">
        <v>0</v>
      </c>
    </row>
    <row r="934" spans="1:15" x14ac:dyDescent="0.25">
      <c r="A934" t="s">
        <v>1183</v>
      </c>
      <c r="B934" t="s">
        <v>2108</v>
      </c>
      <c r="C934" t="s">
        <v>923</v>
      </c>
      <c r="D934" t="s">
        <v>3063</v>
      </c>
      <c r="E934" t="s">
        <v>3053</v>
      </c>
      <c r="F934" t="s">
        <v>341</v>
      </c>
      <c r="G934" t="s">
        <v>342</v>
      </c>
      <c r="H934" t="s">
        <v>10869</v>
      </c>
      <c r="I934">
        <v>5</v>
      </c>
      <c r="J934">
        <v>5</v>
      </c>
      <c r="K934">
        <v>0</v>
      </c>
      <c r="L934">
        <v>0</v>
      </c>
      <c r="M934">
        <v>0</v>
      </c>
      <c r="N934">
        <v>0</v>
      </c>
      <c r="O934">
        <v>0</v>
      </c>
    </row>
    <row r="935" spans="1:15" x14ac:dyDescent="0.25">
      <c r="A935" t="s">
        <v>1195</v>
      </c>
      <c r="B935" t="s">
        <v>2924</v>
      </c>
      <c r="C935" t="s">
        <v>927</v>
      </c>
      <c r="D935" t="s">
        <v>3052</v>
      </c>
      <c r="E935" t="s">
        <v>3053</v>
      </c>
      <c r="F935" t="s">
        <v>343</v>
      </c>
      <c r="G935" t="s">
        <v>344</v>
      </c>
      <c r="H935" t="s">
        <v>3693</v>
      </c>
      <c r="I935">
        <v>170</v>
      </c>
      <c r="J935">
        <v>128</v>
      </c>
      <c r="K935">
        <v>0</v>
      </c>
      <c r="L935">
        <v>31</v>
      </c>
      <c r="M935">
        <v>0</v>
      </c>
      <c r="N935">
        <v>0</v>
      </c>
      <c r="O935">
        <v>11</v>
      </c>
    </row>
    <row r="936" spans="1:15" x14ac:dyDescent="0.25">
      <c r="A936" t="s">
        <v>1087</v>
      </c>
      <c r="B936" t="s">
        <v>2979</v>
      </c>
      <c r="C936" t="s">
        <v>923</v>
      </c>
      <c r="D936" t="s">
        <v>3063</v>
      </c>
      <c r="E936" t="s">
        <v>3053</v>
      </c>
      <c r="F936" t="s">
        <v>343</v>
      </c>
      <c r="G936" t="s">
        <v>344</v>
      </c>
      <c r="H936" t="s">
        <v>3694</v>
      </c>
      <c r="I936">
        <v>21</v>
      </c>
      <c r="J936">
        <v>21</v>
      </c>
      <c r="K936">
        <v>0</v>
      </c>
      <c r="L936">
        <v>0</v>
      </c>
      <c r="M936">
        <v>0</v>
      </c>
      <c r="N936">
        <v>3</v>
      </c>
      <c r="O936">
        <v>0</v>
      </c>
    </row>
    <row r="937" spans="1:15" x14ac:dyDescent="0.25">
      <c r="A937" t="s">
        <v>9801</v>
      </c>
      <c r="B937" t="s">
        <v>9859</v>
      </c>
      <c r="C937" t="s">
        <v>923</v>
      </c>
      <c r="D937" t="s">
        <v>3063</v>
      </c>
      <c r="E937" t="s">
        <v>3053</v>
      </c>
      <c r="F937" t="s">
        <v>343</v>
      </c>
      <c r="G937" t="s">
        <v>344</v>
      </c>
      <c r="H937" t="s">
        <v>9900</v>
      </c>
      <c r="I937">
        <v>65</v>
      </c>
      <c r="J937">
        <v>65</v>
      </c>
      <c r="K937">
        <v>0</v>
      </c>
      <c r="L937">
        <v>0</v>
      </c>
      <c r="M937">
        <v>0</v>
      </c>
      <c r="N937">
        <v>0</v>
      </c>
      <c r="O937">
        <v>0</v>
      </c>
    </row>
    <row r="938" spans="1:15" x14ac:dyDescent="0.25">
      <c r="A938" t="s">
        <v>9790</v>
      </c>
      <c r="B938" t="s">
        <v>1977</v>
      </c>
      <c r="C938" t="s">
        <v>923</v>
      </c>
      <c r="D938" t="s">
        <v>3063</v>
      </c>
      <c r="E938" t="s">
        <v>3053</v>
      </c>
      <c r="F938" t="s">
        <v>343</v>
      </c>
      <c r="G938" t="s">
        <v>344</v>
      </c>
      <c r="H938" t="s">
        <v>11879</v>
      </c>
      <c r="I938">
        <v>12</v>
      </c>
      <c r="J938">
        <v>0</v>
      </c>
      <c r="K938">
        <v>0</v>
      </c>
      <c r="L938">
        <v>12</v>
      </c>
      <c r="M938">
        <v>0</v>
      </c>
      <c r="N938">
        <v>0</v>
      </c>
      <c r="O938">
        <v>0</v>
      </c>
    </row>
    <row r="939" spans="1:15" x14ac:dyDescent="0.25">
      <c r="A939" t="s">
        <v>1212</v>
      </c>
      <c r="B939" t="s">
        <v>2004</v>
      </c>
      <c r="C939" t="s">
        <v>923</v>
      </c>
      <c r="D939" t="s">
        <v>3063</v>
      </c>
      <c r="E939" t="s">
        <v>3053</v>
      </c>
      <c r="F939" t="s">
        <v>343</v>
      </c>
      <c r="G939" t="s">
        <v>344</v>
      </c>
      <c r="H939" t="s">
        <v>3695</v>
      </c>
      <c r="I939">
        <v>6</v>
      </c>
      <c r="J939">
        <v>0</v>
      </c>
      <c r="K939">
        <v>0</v>
      </c>
      <c r="L939">
        <v>6</v>
      </c>
      <c r="M939">
        <v>0</v>
      </c>
      <c r="N939">
        <v>0</v>
      </c>
      <c r="O939">
        <v>0</v>
      </c>
    </row>
    <row r="940" spans="1:15" x14ac:dyDescent="0.25">
      <c r="A940" t="s">
        <v>1219</v>
      </c>
      <c r="B940" t="s">
        <v>2569</v>
      </c>
      <c r="C940" t="s">
        <v>923</v>
      </c>
      <c r="D940" t="s">
        <v>3063</v>
      </c>
      <c r="E940" t="s">
        <v>3053</v>
      </c>
      <c r="F940" t="s">
        <v>343</v>
      </c>
      <c r="G940" t="s">
        <v>344</v>
      </c>
      <c r="H940" t="s">
        <v>3696</v>
      </c>
      <c r="I940">
        <v>5</v>
      </c>
      <c r="J940">
        <v>1</v>
      </c>
      <c r="K940">
        <v>4</v>
      </c>
      <c r="L940">
        <v>0</v>
      </c>
      <c r="M940">
        <v>0</v>
      </c>
      <c r="N940">
        <v>0</v>
      </c>
      <c r="O940">
        <v>0</v>
      </c>
    </row>
    <row r="941" spans="1:15" x14ac:dyDescent="0.25">
      <c r="A941" t="s">
        <v>933</v>
      </c>
      <c r="B941" t="s">
        <v>2106</v>
      </c>
      <c r="C941" t="s">
        <v>927</v>
      </c>
      <c r="D941" t="s">
        <v>3052</v>
      </c>
      <c r="E941" t="s">
        <v>3053</v>
      </c>
      <c r="F941" t="s">
        <v>343</v>
      </c>
      <c r="G941" t="s">
        <v>344</v>
      </c>
      <c r="H941" t="s">
        <v>3697</v>
      </c>
      <c r="I941">
        <v>532</v>
      </c>
      <c r="J941">
        <v>173</v>
      </c>
      <c r="K941">
        <v>0</v>
      </c>
      <c r="L941">
        <v>0</v>
      </c>
      <c r="M941">
        <v>0</v>
      </c>
      <c r="N941">
        <v>0</v>
      </c>
      <c r="O941">
        <v>359</v>
      </c>
    </row>
    <row r="942" spans="1:15" x14ac:dyDescent="0.25">
      <c r="A942" t="s">
        <v>1474</v>
      </c>
      <c r="B942" t="s">
        <v>2038</v>
      </c>
      <c r="C942" t="s">
        <v>923</v>
      </c>
      <c r="D942" t="s">
        <v>3063</v>
      </c>
      <c r="E942" t="s">
        <v>3053</v>
      </c>
      <c r="F942" t="s">
        <v>343</v>
      </c>
      <c r="G942" t="s">
        <v>344</v>
      </c>
      <c r="H942" t="s">
        <v>10029</v>
      </c>
      <c r="I942">
        <v>11</v>
      </c>
      <c r="J942">
        <v>0</v>
      </c>
      <c r="K942">
        <v>11</v>
      </c>
      <c r="L942">
        <v>0</v>
      </c>
      <c r="M942">
        <v>0</v>
      </c>
      <c r="N942">
        <v>11</v>
      </c>
      <c r="O942">
        <v>0</v>
      </c>
    </row>
    <row r="943" spans="1:15" x14ac:dyDescent="0.25">
      <c r="A943" t="s">
        <v>1230</v>
      </c>
      <c r="B943" t="s">
        <v>2392</v>
      </c>
      <c r="C943" t="s">
        <v>923</v>
      </c>
      <c r="D943" t="s">
        <v>3063</v>
      </c>
      <c r="E943" t="s">
        <v>3053</v>
      </c>
      <c r="F943" t="s">
        <v>343</v>
      </c>
      <c r="G943" t="s">
        <v>344</v>
      </c>
      <c r="H943" t="s">
        <v>3698</v>
      </c>
      <c r="I943">
        <v>53</v>
      </c>
      <c r="J943">
        <v>53</v>
      </c>
      <c r="K943">
        <v>0</v>
      </c>
      <c r="L943">
        <v>0</v>
      </c>
      <c r="M943">
        <v>0</v>
      </c>
      <c r="N943">
        <v>0</v>
      </c>
      <c r="O943">
        <v>0</v>
      </c>
    </row>
    <row r="944" spans="1:15" x14ac:dyDescent="0.25">
      <c r="A944" t="s">
        <v>996</v>
      </c>
      <c r="B944" t="s">
        <v>1952</v>
      </c>
      <c r="C944" t="s">
        <v>923</v>
      </c>
      <c r="D944" t="s">
        <v>3063</v>
      </c>
      <c r="E944" t="s">
        <v>3053</v>
      </c>
      <c r="F944" t="s">
        <v>343</v>
      </c>
      <c r="G944" t="s">
        <v>344</v>
      </c>
      <c r="H944" t="s">
        <v>3699</v>
      </c>
      <c r="I944">
        <v>14</v>
      </c>
      <c r="J944">
        <v>0</v>
      </c>
      <c r="K944">
        <v>0</v>
      </c>
      <c r="L944">
        <v>14</v>
      </c>
      <c r="M944">
        <v>0</v>
      </c>
      <c r="N944">
        <v>0</v>
      </c>
      <c r="O944">
        <v>0</v>
      </c>
    </row>
    <row r="945" spans="1:15" x14ac:dyDescent="0.25">
      <c r="A945" t="s">
        <v>9804</v>
      </c>
      <c r="B945" t="s">
        <v>2043</v>
      </c>
      <c r="C945" t="s">
        <v>923</v>
      </c>
      <c r="D945" t="s">
        <v>3063</v>
      </c>
      <c r="E945" t="s">
        <v>3053</v>
      </c>
      <c r="F945" t="s">
        <v>343</v>
      </c>
      <c r="G945" t="s">
        <v>344</v>
      </c>
      <c r="H945" t="s">
        <v>10048</v>
      </c>
      <c r="I945">
        <v>6</v>
      </c>
      <c r="J945">
        <v>6</v>
      </c>
      <c r="K945">
        <v>0</v>
      </c>
      <c r="L945">
        <v>0</v>
      </c>
      <c r="M945">
        <v>0</v>
      </c>
      <c r="N945">
        <v>0</v>
      </c>
      <c r="O945">
        <v>0</v>
      </c>
    </row>
    <row r="946" spans="1:15" x14ac:dyDescent="0.25">
      <c r="A946" t="s">
        <v>1245</v>
      </c>
      <c r="B946" t="s">
        <v>1928</v>
      </c>
      <c r="C946" t="s">
        <v>923</v>
      </c>
      <c r="D946" t="s">
        <v>3063</v>
      </c>
      <c r="E946" t="s">
        <v>3053</v>
      </c>
      <c r="F946" t="s">
        <v>343</v>
      </c>
      <c r="G946" t="s">
        <v>344</v>
      </c>
      <c r="H946" t="s">
        <v>3700</v>
      </c>
      <c r="I946">
        <v>184</v>
      </c>
      <c r="J946">
        <v>184</v>
      </c>
      <c r="K946">
        <v>0</v>
      </c>
      <c r="L946">
        <v>0</v>
      </c>
      <c r="M946">
        <v>0</v>
      </c>
      <c r="N946">
        <v>6</v>
      </c>
      <c r="O946">
        <v>0</v>
      </c>
    </row>
    <row r="947" spans="1:15" x14ac:dyDescent="0.25">
      <c r="A947" t="s">
        <v>10638</v>
      </c>
      <c r="B947" t="s">
        <v>2057</v>
      </c>
      <c r="C947" t="s">
        <v>927</v>
      </c>
      <c r="D947" t="s">
        <v>3052</v>
      </c>
      <c r="E947" t="s">
        <v>3053</v>
      </c>
      <c r="F947" t="s">
        <v>343</v>
      </c>
      <c r="G947" t="s">
        <v>344</v>
      </c>
      <c r="H947" t="s">
        <v>10870</v>
      </c>
      <c r="I947">
        <v>12</v>
      </c>
      <c r="J947">
        <v>0</v>
      </c>
      <c r="K947">
        <v>0</v>
      </c>
      <c r="L947">
        <v>12</v>
      </c>
      <c r="M947">
        <v>0</v>
      </c>
      <c r="N947">
        <v>0</v>
      </c>
      <c r="O947">
        <v>0</v>
      </c>
    </row>
    <row r="948" spans="1:15" x14ac:dyDescent="0.25">
      <c r="A948" t="s">
        <v>1008</v>
      </c>
      <c r="B948" t="s">
        <v>2928</v>
      </c>
      <c r="C948" t="s">
        <v>927</v>
      </c>
      <c r="D948" t="s">
        <v>3052</v>
      </c>
      <c r="E948" t="s">
        <v>3053</v>
      </c>
      <c r="F948" t="s">
        <v>343</v>
      </c>
      <c r="G948" t="s">
        <v>344</v>
      </c>
      <c r="H948" t="s">
        <v>3701</v>
      </c>
      <c r="I948">
        <v>4</v>
      </c>
      <c r="J948">
        <v>0</v>
      </c>
      <c r="K948">
        <v>0</v>
      </c>
      <c r="L948">
        <v>4</v>
      </c>
      <c r="M948">
        <v>0</v>
      </c>
      <c r="N948">
        <v>0</v>
      </c>
      <c r="O948">
        <v>0</v>
      </c>
    </row>
    <row r="949" spans="1:15" x14ac:dyDescent="0.25">
      <c r="A949" t="s">
        <v>1010</v>
      </c>
      <c r="B949" t="s">
        <v>2639</v>
      </c>
      <c r="C949" t="s">
        <v>927</v>
      </c>
      <c r="D949" t="s">
        <v>3052</v>
      </c>
      <c r="E949" t="s">
        <v>3053</v>
      </c>
      <c r="F949" t="s">
        <v>343</v>
      </c>
      <c r="G949" t="s">
        <v>344</v>
      </c>
      <c r="H949" t="s">
        <v>3702</v>
      </c>
      <c r="I949">
        <v>16</v>
      </c>
      <c r="J949">
        <v>16</v>
      </c>
      <c r="K949">
        <v>0</v>
      </c>
      <c r="L949">
        <v>0</v>
      </c>
      <c r="M949">
        <v>0</v>
      </c>
      <c r="N949">
        <v>0</v>
      </c>
      <c r="O949">
        <v>0</v>
      </c>
    </row>
    <row r="950" spans="1:15" x14ac:dyDescent="0.25">
      <c r="A950" t="s">
        <v>1268</v>
      </c>
      <c r="B950" t="s">
        <v>2873</v>
      </c>
      <c r="C950" t="s">
        <v>923</v>
      </c>
      <c r="D950" t="s">
        <v>3063</v>
      </c>
      <c r="E950" t="s">
        <v>3053</v>
      </c>
      <c r="F950" t="s">
        <v>343</v>
      </c>
      <c r="G950" t="s">
        <v>344</v>
      </c>
      <c r="H950" t="s">
        <v>3703</v>
      </c>
      <c r="I950">
        <v>724</v>
      </c>
      <c r="J950">
        <v>721</v>
      </c>
      <c r="K950">
        <v>0</v>
      </c>
      <c r="L950">
        <v>0</v>
      </c>
      <c r="M950">
        <v>3</v>
      </c>
      <c r="N950">
        <v>11</v>
      </c>
      <c r="O950">
        <v>0</v>
      </c>
    </row>
    <row r="951" spans="1:15" x14ac:dyDescent="0.25">
      <c r="A951" t="s">
        <v>938</v>
      </c>
      <c r="B951" t="s">
        <v>2791</v>
      </c>
      <c r="C951" t="s">
        <v>927</v>
      </c>
      <c r="D951" t="s">
        <v>3052</v>
      </c>
      <c r="E951" t="s">
        <v>3053</v>
      </c>
      <c r="F951" t="s">
        <v>343</v>
      </c>
      <c r="G951" t="s">
        <v>344</v>
      </c>
      <c r="H951" t="s">
        <v>3704</v>
      </c>
      <c r="I951">
        <v>180</v>
      </c>
      <c r="J951">
        <v>86</v>
      </c>
      <c r="K951">
        <v>0</v>
      </c>
      <c r="L951">
        <v>0</v>
      </c>
      <c r="M951">
        <v>0</v>
      </c>
      <c r="N951">
        <v>0</v>
      </c>
      <c r="O951">
        <v>94</v>
      </c>
    </row>
    <row r="952" spans="1:15" x14ac:dyDescent="0.25">
      <c r="A952" t="s">
        <v>1273</v>
      </c>
      <c r="B952" t="s">
        <v>2709</v>
      </c>
      <c r="C952" t="s">
        <v>923</v>
      </c>
      <c r="D952" t="s">
        <v>3063</v>
      </c>
      <c r="E952" t="s">
        <v>3053</v>
      </c>
      <c r="F952" t="s">
        <v>343</v>
      </c>
      <c r="G952" t="s">
        <v>344</v>
      </c>
      <c r="H952" t="s">
        <v>10871</v>
      </c>
      <c r="I952">
        <v>8</v>
      </c>
      <c r="J952">
        <v>8</v>
      </c>
      <c r="K952">
        <v>0</v>
      </c>
      <c r="L952">
        <v>0</v>
      </c>
      <c r="M952">
        <v>0</v>
      </c>
      <c r="N952">
        <v>0</v>
      </c>
      <c r="O952">
        <v>0</v>
      </c>
    </row>
    <row r="953" spans="1:15" x14ac:dyDescent="0.25">
      <c r="A953" t="s">
        <v>1012</v>
      </c>
      <c r="B953" t="s">
        <v>2911</v>
      </c>
      <c r="C953" t="s">
        <v>927</v>
      </c>
      <c r="D953" t="s">
        <v>3052</v>
      </c>
      <c r="E953" t="s">
        <v>3053</v>
      </c>
      <c r="F953" t="s">
        <v>343</v>
      </c>
      <c r="G953" t="s">
        <v>344</v>
      </c>
      <c r="H953" t="s">
        <v>3705</v>
      </c>
      <c r="I953">
        <v>693</v>
      </c>
      <c r="J953">
        <v>572</v>
      </c>
      <c r="K953">
        <v>0</v>
      </c>
      <c r="L953">
        <v>0</v>
      </c>
      <c r="M953">
        <v>0</v>
      </c>
      <c r="N953">
        <v>6</v>
      </c>
      <c r="O953">
        <v>121</v>
      </c>
    </row>
    <row r="954" spans="1:15" x14ac:dyDescent="0.25">
      <c r="A954" t="s">
        <v>1013</v>
      </c>
      <c r="B954" t="s">
        <v>1959</v>
      </c>
      <c r="C954" t="s">
        <v>927</v>
      </c>
      <c r="D954" t="s">
        <v>3052</v>
      </c>
      <c r="E954" t="s">
        <v>3053</v>
      </c>
      <c r="F954" t="s">
        <v>343</v>
      </c>
      <c r="G954" t="s">
        <v>344</v>
      </c>
      <c r="H954" t="s">
        <v>14509</v>
      </c>
      <c r="I954">
        <v>7</v>
      </c>
      <c r="J954">
        <v>0</v>
      </c>
      <c r="K954">
        <v>0</v>
      </c>
      <c r="L954">
        <v>7</v>
      </c>
      <c r="M954">
        <v>0</v>
      </c>
      <c r="N954">
        <v>0</v>
      </c>
      <c r="O954">
        <v>0</v>
      </c>
    </row>
    <row r="955" spans="1:15" x14ac:dyDescent="0.25">
      <c r="A955" t="s">
        <v>1124</v>
      </c>
      <c r="B955" t="s">
        <v>2981</v>
      </c>
      <c r="C955" t="s">
        <v>923</v>
      </c>
      <c r="D955" t="s">
        <v>3063</v>
      </c>
      <c r="E955" t="s">
        <v>3053</v>
      </c>
      <c r="F955" t="s">
        <v>343</v>
      </c>
      <c r="G955" t="s">
        <v>344</v>
      </c>
      <c r="H955" t="s">
        <v>3706</v>
      </c>
      <c r="I955">
        <v>304</v>
      </c>
      <c r="J955">
        <v>253</v>
      </c>
      <c r="K955">
        <v>0</v>
      </c>
      <c r="L955">
        <v>26</v>
      </c>
      <c r="M955">
        <v>25</v>
      </c>
      <c r="N955">
        <v>0</v>
      </c>
      <c r="O955">
        <v>0</v>
      </c>
    </row>
    <row r="956" spans="1:15" x14ac:dyDescent="0.25">
      <c r="A956" t="s">
        <v>1125</v>
      </c>
      <c r="B956" t="s">
        <v>2938</v>
      </c>
      <c r="C956" t="s">
        <v>923</v>
      </c>
      <c r="D956" t="s">
        <v>3063</v>
      </c>
      <c r="E956" t="s">
        <v>3053</v>
      </c>
      <c r="F956" t="s">
        <v>343</v>
      </c>
      <c r="G956" t="s">
        <v>344</v>
      </c>
      <c r="H956" t="s">
        <v>3707</v>
      </c>
      <c r="I956">
        <v>63</v>
      </c>
      <c r="J956">
        <v>0</v>
      </c>
      <c r="K956">
        <v>0</v>
      </c>
      <c r="L956">
        <v>0</v>
      </c>
      <c r="M956">
        <v>63</v>
      </c>
      <c r="N956">
        <v>0</v>
      </c>
      <c r="O956">
        <v>0</v>
      </c>
    </row>
    <row r="957" spans="1:15" x14ac:dyDescent="0.25">
      <c r="A957" t="s">
        <v>14386</v>
      </c>
      <c r="B957" t="s">
        <v>2975</v>
      </c>
      <c r="C957" t="s">
        <v>927</v>
      </c>
      <c r="D957" t="s">
        <v>3052</v>
      </c>
      <c r="E957" t="s">
        <v>3053</v>
      </c>
      <c r="F957" t="s">
        <v>343</v>
      </c>
      <c r="G957" t="s">
        <v>344</v>
      </c>
      <c r="H957" t="s">
        <v>14510</v>
      </c>
      <c r="I957">
        <v>128</v>
      </c>
      <c r="J957">
        <v>118</v>
      </c>
      <c r="K957">
        <v>0</v>
      </c>
      <c r="L957">
        <v>0</v>
      </c>
      <c r="M957">
        <v>0</v>
      </c>
      <c r="N957">
        <v>0</v>
      </c>
      <c r="O957">
        <v>10</v>
      </c>
    </row>
    <row r="958" spans="1:15" x14ac:dyDescent="0.25">
      <c r="A958" t="s">
        <v>14387</v>
      </c>
      <c r="B958" t="s">
        <v>14511</v>
      </c>
      <c r="C958" t="s">
        <v>923</v>
      </c>
      <c r="D958" t="s">
        <v>3063</v>
      </c>
      <c r="E958" t="s">
        <v>3053</v>
      </c>
      <c r="F958" t="s">
        <v>343</v>
      </c>
      <c r="G958" t="s">
        <v>344</v>
      </c>
      <c r="H958" t="s">
        <v>14512</v>
      </c>
      <c r="I958">
        <v>37</v>
      </c>
      <c r="J958">
        <v>37</v>
      </c>
      <c r="K958">
        <v>0</v>
      </c>
      <c r="L958">
        <v>0</v>
      </c>
      <c r="M958">
        <v>0</v>
      </c>
      <c r="N958">
        <v>0</v>
      </c>
      <c r="O958">
        <v>0</v>
      </c>
    </row>
    <row r="959" spans="1:15" x14ac:dyDescent="0.25">
      <c r="A959" t="s">
        <v>1018</v>
      </c>
      <c r="B959" t="s">
        <v>1980</v>
      </c>
      <c r="C959" t="s">
        <v>923</v>
      </c>
      <c r="D959" t="s">
        <v>3063</v>
      </c>
      <c r="E959" t="s">
        <v>3053</v>
      </c>
      <c r="F959" t="s">
        <v>343</v>
      </c>
      <c r="G959" t="s">
        <v>344</v>
      </c>
      <c r="H959" t="s">
        <v>3708</v>
      </c>
      <c r="I959">
        <v>27</v>
      </c>
      <c r="J959">
        <v>0</v>
      </c>
      <c r="K959">
        <v>0</v>
      </c>
      <c r="L959">
        <v>27</v>
      </c>
      <c r="M959">
        <v>0</v>
      </c>
      <c r="N959">
        <v>0</v>
      </c>
      <c r="O959">
        <v>0</v>
      </c>
    </row>
    <row r="960" spans="1:15" x14ac:dyDescent="0.25">
      <c r="A960" t="s">
        <v>10667</v>
      </c>
      <c r="B960" t="s">
        <v>10666</v>
      </c>
      <c r="C960" t="s">
        <v>927</v>
      </c>
      <c r="D960" t="s">
        <v>3052</v>
      </c>
      <c r="E960" t="s">
        <v>3053</v>
      </c>
      <c r="F960" t="s">
        <v>343</v>
      </c>
      <c r="G960" t="s">
        <v>344</v>
      </c>
      <c r="H960" t="s">
        <v>10872</v>
      </c>
      <c r="I960">
        <v>114</v>
      </c>
      <c r="J960">
        <v>114</v>
      </c>
      <c r="K960">
        <v>0</v>
      </c>
      <c r="L960">
        <v>0</v>
      </c>
      <c r="M960">
        <v>0</v>
      </c>
      <c r="N960">
        <v>0</v>
      </c>
      <c r="O960">
        <v>0</v>
      </c>
    </row>
    <row r="961" spans="1:15" x14ac:dyDescent="0.25">
      <c r="A961" t="s">
        <v>1126</v>
      </c>
      <c r="B961" t="s">
        <v>2130</v>
      </c>
      <c r="C961" t="s">
        <v>927</v>
      </c>
      <c r="D961" t="s">
        <v>3052</v>
      </c>
      <c r="E961" t="s">
        <v>3053</v>
      </c>
      <c r="F961" t="s">
        <v>343</v>
      </c>
      <c r="G961" t="s">
        <v>344</v>
      </c>
      <c r="H961" t="s">
        <v>10159</v>
      </c>
      <c r="I961">
        <v>99</v>
      </c>
      <c r="J961">
        <v>99</v>
      </c>
      <c r="K961">
        <v>0</v>
      </c>
      <c r="L961">
        <v>0</v>
      </c>
      <c r="M961">
        <v>0</v>
      </c>
      <c r="N961">
        <v>0</v>
      </c>
      <c r="O961">
        <v>0</v>
      </c>
    </row>
    <row r="962" spans="1:15" x14ac:dyDescent="0.25">
      <c r="A962" t="s">
        <v>1025</v>
      </c>
      <c r="B962" t="s">
        <v>2893</v>
      </c>
      <c r="C962" t="s">
        <v>927</v>
      </c>
      <c r="D962" t="s">
        <v>3052</v>
      </c>
      <c r="E962" t="s">
        <v>3053</v>
      </c>
      <c r="F962" t="s">
        <v>343</v>
      </c>
      <c r="G962" t="s">
        <v>344</v>
      </c>
      <c r="H962" t="s">
        <v>3709</v>
      </c>
      <c r="I962">
        <v>1391</v>
      </c>
      <c r="J962">
        <v>1192</v>
      </c>
      <c r="K962">
        <v>0</v>
      </c>
      <c r="L962">
        <v>24</v>
      </c>
      <c r="M962">
        <v>0</v>
      </c>
      <c r="N962">
        <v>31</v>
      </c>
      <c r="O962">
        <v>175</v>
      </c>
    </row>
    <row r="963" spans="1:15" x14ac:dyDescent="0.25">
      <c r="A963" t="s">
        <v>10681</v>
      </c>
      <c r="B963" t="s">
        <v>10680</v>
      </c>
      <c r="C963" t="s">
        <v>927</v>
      </c>
      <c r="D963" t="s">
        <v>3052</v>
      </c>
      <c r="E963" t="s">
        <v>3053</v>
      </c>
      <c r="F963" t="s">
        <v>343</v>
      </c>
      <c r="G963" t="s">
        <v>344</v>
      </c>
      <c r="H963" t="s">
        <v>14513</v>
      </c>
      <c r="I963">
        <v>68</v>
      </c>
      <c r="J963">
        <v>0</v>
      </c>
      <c r="K963">
        <v>0</v>
      </c>
      <c r="L963">
        <v>0</v>
      </c>
      <c r="M963">
        <v>0</v>
      </c>
      <c r="N963">
        <v>0</v>
      </c>
      <c r="O963">
        <v>68</v>
      </c>
    </row>
    <row r="964" spans="1:15" x14ac:dyDescent="0.25">
      <c r="A964" t="s">
        <v>10685</v>
      </c>
      <c r="B964" t="s">
        <v>10684</v>
      </c>
      <c r="C964" t="s">
        <v>923</v>
      </c>
      <c r="D964" t="s">
        <v>3063</v>
      </c>
      <c r="E964" t="s">
        <v>3053</v>
      </c>
      <c r="F964" t="s">
        <v>343</v>
      </c>
      <c r="G964" t="s">
        <v>344</v>
      </c>
      <c r="H964" t="s">
        <v>14514</v>
      </c>
      <c r="I964">
        <v>9</v>
      </c>
      <c r="J964">
        <v>9</v>
      </c>
      <c r="K964">
        <v>0</v>
      </c>
      <c r="L964">
        <v>0</v>
      </c>
      <c r="M964">
        <v>0</v>
      </c>
      <c r="N964">
        <v>0</v>
      </c>
      <c r="O964">
        <v>0</v>
      </c>
    </row>
    <row r="965" spans="1:15" x14ac:dyDescent="0.25">
      <c r="A965" t="s">
        <v>1296</v>
      </c>
      <c r="B965" t="s">
        <v>2965</v>
      </c>
      <c r="C965" t="s">
        <v>923</v>
      </c>
      <c r="D965" t="s">
        <v>3063</v>
      </c>
      <c r="E965" t="s">
        <v>3053</v>
      </c>
      <c r="F965" t="s">
        <v>343</v>
      </c>
      <c r="G965" t="s">
        <v>344</v>
      </c>
      <c r="H965" t="s">
        <v>3710</v>
      </c>
      <c r="I965">
        <v>17</v>
      </c>
      <c r="J965">
        <v>0</v>
      </c>
      <c r="K965">
        <v>0</v>
      </c>
      <c r="L965">
        <v>0</v>
      </c>
      <c r="M965">
        <v>17</v>
      </c>
      <c r="N965">
        <v>0</v>
      </c>
      <c r="O965">
        <v>0</v>
      </c>
    </row>
    <row r="966" spans="1:15" x14ac:dyDescent="0.25">
      <c r="A966" t="s">
        <v>943</v>
      </c>
      <c r="B966" t="s">
        <v>2694</v>
      </c>
      <c r="C966" t="s">
        <v>927</v>
      </c>
      <c r="D966" t="s">
        <v>3052</v>
      </c>
      <c r="E966" t="s">
        <v>3053</v>
      </c>
      <c r="F966" t="s">
        <v>343</v>
      </c>
      <c r="G966" t="s">
        <v>344</v>
      </c>
      <c r="H966" t="s">
        <v>3711</v>
      </c>
      <c r="I966">
        <v>1916</v>
      </c>
      <c r="J966">
        <v>1695</v>
      </c>
      <c r="K966">
        <v>0</v>
      </c>
      <c r="L966">
        <v>7</v>
      </c>
      <c r="M966">
        <v>0</v>
      </c>
      <c r="N966">
        <v>2</v>
      </c>
      <c r="O966">
        <v>214</v>
      </c>
    </row>
    <row r="967" spans="1:15" x14ac:dyDescent="0.25">
      <c r="A967" t="s">
        <v>1134</v>
      </c>
      <c r="B967" t="s">
        <v>2118</v>
      </c>
      <c r="C967" t="s">
        <v>927</v>
      </c>
      <c r="D967" t="s">
        <v>3052</v>
      </c>
      <c r="E967" t="s">
        <v>3053</v>
      </c>
      <c r="F967" t="s">
        <v>343</v>
      </c>
      <c r="G967" t="s">
        <v>344</v>
      </c>
      <c r="H967" t="s">
        <v>3712</v>
      </c>
      <c r="I967">
        <v>4153</v>
      </c>
      <c r="J967">
        <v>3522</v>
      </c>
      <c r="K967">
        <v>0</v>
      </c>
      <c r="L967">
        <v>243</v>
      </c>
      <c r="M967">
        <v>72</v>
      </c>
      <c r="N967">
        <v>9</v>
      </c>
      <c r="O967">
        <v>316</v>
      </c>
    </row>
    <row r="968" spans="1:15" x14ac:dyDescent="0.25">
      <c r="A968" t="s">
        <v>949</v>
      </c>
      <c r="B968" t="s">
        <v>3035</v>
      </c>
      <c r="C968" t="s">
        <v>927</v>
      </c>
      <c r="D968" t="s">
        <v>3052</v>
      </c>
      <c r="E968" t="s">
        <v>3053</v>
      </c>
      <c r="F968" t="s">
        <v>343</v>
      </c>
      <c r="G968" t="s">
        <v>344</v>
      </c>
      <c r="H968" t="s">
        <v>3713</v>
      </c>
      <c r="I968">
        <v>108</v>
      </c>
      <c r="J968">
        <v>0</v>
      </c>
      <c r="K968">
        <v>0</v>
      </c>
      <c r="L968">
        <v>0</v>
      </c>
      <c r="M968">
        <v>0</v>
      </c>
      <c r="N968">
        <v>0</v>
      </c>
      <c r="O968">
        <v>108</v>
      </c>
    </row>
    <row r="969" spans="1:15" x14ac:dyDescent="0.25">
      <c r="A969" t="s">
        <v>1135</v>
      </c>
      <c r="B969" t="s">
        <v>1996</v>
      </c>
      <c r="C969" t="s">
        <v>923</v>
      </c>
      <c r="D969" t="s">
        <v>3063</v>
      </c>
      <c r="E969" t="s">
        <v>3053</v>
      </c>
      <c r="F969" t="s">
        <v>343</v>
      </c>
      <c r="G969" t="s">
        <v>344</v>
      </c>
      <c r="H969" t="s">
        <v>10215</v>
      </c>
      <c r="I969">
        <v>1</v>
      </c>
      <c r="J969">
        <v>1</v>
      </c>
      <c r="K969">
        <v>0</v>
      </c>
      <c r="L969">
        <v>0</v>
      </c>
      <c r="M969">
        <v>0</v>
      </c>
      <c r="N969">
        <v>0</v>
      </c>
      <c r="O969">
        <v>0</v>
      </c>
    </row>
    <row r="970" spans="1:15" x14ac:dyDescent="0.25">
      <c r="A970" t="s">
        <v>1309</v>
      </c>
      <c r="B970" t="s">
        <v>2690</v>
      </c>
      <c r="C970" t="s">
        <v>927</v>
      </c>
      <c r="D970" t="s">
        <v>3052</v>
      </c>
      <c r="E970" t="s">
        <v>3053</v>
      </c>
      <c r="F970" t="s">
        <v>343</v>
      </c>
      <c r="G970" t="s">
        <v>344</v>
      </c>
      <c r="H970" t="s">
        <v>3714</v>
      </c>
      <c r="I970">
        <v>646</v>
      </c>
      <c r="J970">
        <v>474</v>
      </c>
      <c r="K970">
        <v>0</v>
      </c>
      <c r="L970">
        <v>23</v>
      </c>
      <c r="M970">
        <v>0</v>
      </c>
      <c r="N970">
        <v>0</v>
      </c>
      <c r="O970">
        <v>149</v>
      </c>
    </row>
    <row r="971" spans="1:15" x14ac:dyDescent="0.25">
      <c r="A971" t="s">
        <v>1310</v>
      </c>
      <c r="B971" t="s">
        <v>2807</v>
      </c>
      <c r="C971" t="s">
        <v>923</v>
      </c>
      <c r="D971" t="s">
        <v>3063</v>
      </c>
      <c r="E971" t="s">
        <v>3053</v>
      </c>
      <c r="F971" t="s">
        <v>343</v>
      </c>
      <c r="G971" t="s">
        <v>344</v>
      </c>
      <c r="H971" t="s">
        <v>3715</v>
      </c>
      <c r="I971">
        <v>15</v>
      </c>
      <c r="J971">
        <v>15</v>
      </c>
      <c r="K971">
        <v>0</v>
      </c>
      <c r="L971">
        <v>0</v>
      </c>
      <c r="M971">
        <v>0</v>
      </c>
      <c r="N971">
        <v>0</v>
      </c>
      <c r="O971">
        <v>0</v>
      </c>
    </row>
    <row r="972" spans="1:15" x14ac:dyDescent="0.25">
      <c r="A972" t="s">
        <v>1139</v>
      </c>
      <c r="B972" t="s">
        <v>2025</v>
      </c>
      <c r="C972" t="s">
        <v>923</v>
      </c>
      <c r="D972" t="s">
        <v>3063</v>
      </c>
      <c r="E972" t="s">
        <v>3053</v>
      </c>
      <c r="F972" t="s">
        <v>343</v>
      </c>
      <c r="G972" t="s">
        <v>344</v>
      </c>
      <c r="H972" t="s">
        <v>3716</v>
      </c>
      <c r="I972">
        <v>2</v>
      </c>
      <c r="J972">
        <v>2</v>
      </c>
      <c r="K972">
        <v>0</v>
      </c>
      <c r="L972">
        <v>0</v>
      </c>
      <c r="M972">
        <v>0</v>
      </c>
      <c r="N972">
        <v>0</v>
      </c>
      <c r="O972">
        <v>0</v>
      </c>
    </row>
    <row r="973" spans="1:15" x14ac:dyDescent="0.25">
      <c r="A973" t="s">
        <v>1140</v>
      </c>
      <c r="B973" t="s">
        <v>2697</v>
      </c>
      <c r="C973" t="s">
        <v>927</v>
      </c>
      <c r="D973" t="s">
        <v>3052</v>
      </c>
      <c r="E973" t="s">
        <v>3053</v>
      </c>
      <c r="F973" t="s">
        <v>343</v>
      </c>
      <c r="G973" t="s">
        <v>344</v>
      </c>
      <c r="H973" t="s">
        <v>3717</v>
      </c>
      <c r="I973">
        <v>367</v>
      </c>
      <c r="J973">
        <v>336</v>
      </c>
      <c r="K973">
        <v>0</v>
      </c>
      <c r="L973">
        <v>0</v>
      </c>
      <c r="M973">
        <v>0</v>
      </c>
      <c r="N973">
        <v>13</v>
      </c>
      <c r="O973">
        <v>31</v>
      </c>
    </row>
    <row r="974" spans="1:15" x14ac:dyDescent="0.25">
      <c r="A974" t="s">
        <v>1142</v>
      </c>
      <c r="B974" t="s">
        <v>3003</v>
      </c>
      <c r="C974" t="s">
        <v>927</v>
      </c>
      <c r="D974" t="s">
        <v>3052</v>
      </c>
      <c r="E974" t="s">
        <v>3053</v>
      </c>
      <c r="F974" t="s">
        <v>343</v>
      </c>
      <c r="G974" t="s">
        <v>344</v>
      </c>
      <c r="H974" t="s">
        <v>3718</v>
      </c>
      <c r="I974">
        <v>70</v>
      </c>
      <c r="J974">
        <v>40</v>
      </c>
      <c r="K974">
        <v>0</v>
      </c>
      <c r="L974">
        <v>0</v>
      </c>
      <c r="M974">
        <v>0</v>
      </c>
      <c r="N974">
        <v>0</v>
      </c>
      <c r="O974">
        <v>30</v>
      </c>
    </row>
    <row r="975" spans="1:15" x14ac:dyDescent="0.25">
      <c r="A975" t="s">
        <v>1043</v>
      </c>
      <c r="B975" t="s">
        <v>2090</v>
      </c>
      <c r="C975" t="s">
        <v>927</v>
      </c>
      <c r="D975" t="s">
        <v>3052</v>
      </c>
      <c r="E975" t="s">
        <v>3053</v>
      </c>
      <c r="F975" t="s">
        <v>343</v>
      </c>
      <c r="G975" t="s">
        <v>344</v>
      </c>
      <c r="H975" t="s">
        <v>3719</v>
      </c>
      <c r="I975">
        <v>428</v>
      </c>
      <c r="J975">
        <v>297</v>
      </c>
      <c r="K975">
        <v>0</v>
      </c>
      <c r="L975">
        <v>0</v>
      </c>
      <c r="M975">
        <v>112</v>
      </c>
      <c r="N975">
        <v>0</v>
      </c>
      <c r="O975">
        <v>19</v>
      </c>
    </row>
    <row r="976" spans="1:15" x14ac:dyDescent="0.25">
      <c r="A976" t="s">
        <v>1044</v>
      </c>
      <c r="B976" t="s">
        <v>2000</v>
      </c>
      <c r="C976" t="s">
        <v>923</v>
      </c>
      <c r="D976" t="s">
        <v>3063</v>
      </c>
      <c r="E976" t="s">
        <v>3053</v>
      </c>
      <c r="F976" t="s">
        <v>343</v>
      </c>
      <c r="G976" t="s">
        <v>344</v>
      </c>
      <c r="H976" t="s">
        <v>3720</v>
      </c>
      <c r="I976">
        <v>18</v>
      </c>
      <c r="J976">
        <v>0</v>
      </c>
      <c r="K976">
        <v>0</v>
      </c>
      <c r="L976">
        <v>18</v>
      </c>
      <c r="M976">
        <v>0</v>
      </c>
      <c r="N976">
        <v>0</v>
      </c>
      <c r="O976">
        <v>0</v>
      </c>
    </row>
    <row r="977" spans="1:15" x14ac:dyDescent="0.25">
      <c r="A977" t="s">
        <v>1144</v>
      </c>
      <c r="B977" t="s">
        <v>2124</v>
      </c>
      <c r="C977" t="s">
        <v>923</v>
      </c>
      <c r="D977" t="s">
        <v>3063</v>
      </c>
      <c r="E977" t="s">
        <v>3053</v>
      </c>
      <c r="F977" t="s">
        <v>343</v>
      </c>
      <c r="G977" t="s">
        <v>344</v>
      </c>
      <c r="H977" t="s">
        <v>11880</v>
      </c>
      <c r="I977">
        <v>3</v>
      </c>
      <c r="J977">
        <v>3</v>
      </c>
      <c r="K977">
        <v>0</v>
      </c>
      <c r="L977">
        <v>0</v>
      </c>
      <c r="M977">
        <v>0</v>
      </c>
      <c r="N977">
        <v>0</v>
      </c>
      <c r="O977">
        <v>0</v>
      </c>
    </row>
    <row r="978" spans="1:15" x14ac:dyDescent="0.25">
      <c r="A978" t="s">
        <v>1146</v>
      </c>
      <c r="B978" t="s">
        <v>2117</v>
      </c>
      <c r="C978" t="s">
        <v>927</v>
      </c>
      <c r="D978" t="s">
        <v>3052</v>
      </c>
      <c r="E978" t="s">
        <v>3053</v>
      </c>
      <c r="F978" t="s">
        <v>343</v>
      </c>
      <c r="G978" t="s">
        <v>344</v>
      </c>
      <c r="H978" t="s">
        <v>3721</v>
      </c>
      <c r="I978">
        <v>3007</v>
      </c>
      <c r="J978">
        <v>2525</v>
      </c>
      <c r="K978">
        <v>89</v>
      </c>
      <c r="L978">
        <v>56</v>
      </c>
      <c r="M978">
        <v>0</v>
      </c>
      <c r="N978">
        <v>4</v>
      </c>
      <c r="O978">
        <v>337</v>
      </c>
    </row>
    <row r="979" spans="1:15" x14ac:dyDescent="0.25">
      <c r="A979" t="s">
        <v>953</v>
      </c>
      <c r="B979" t="s">
        <v>2014</v>
      </c>
      <c r="C979" t="s">
        <v>927</v>
      </c>
      <c r="D979" t="s">
        <v>3052</v>
      </c>
      <c r="E979" t="s">
        <v>3053</v>
      </c>
      <c r="F979" t="s">
        <v>343</v>
      </c>
      <c r="G979" t="s">
        <v>344</v>
      </c>
      <c r="H979" t="s">
        <v>3722</v>
      </c>
      <c r="I979">
        <v>6</v>
      </c>
      <c r="J979">
        <v>0</v>
      </c>
      <c r="K979">
        <v>0</v>
      </c>
      <c r="L979">
        <v>6</v>
      </c>
      <c r="M979">
        <v>0</v>
      </c>
      <c r="N979">
        <v>0</v>
      </c>
      <c r="O979">
        <v>0</v>
      </c>
    </row>
    <row r="980" spans="1:15" x14ac:dyDescent="0.25">
      <c r="A980" t="s">
        <v>955</v>
      </c>
      <c r="B980" t="s">
        <v>2660</v>
      </c>
      <c r="C980" t="s">
        <v>927</v>
      </c>
      <c r="D980" t="s">
        <v>3052</v>
      </c>
      <c r="E980" t="s">
        <v>3053</v>
      </c>
      <c r="F980" t="s">
        <v>343</v>
      </c>
      <c r="G980" t="s">
        <v>344</v>
      </c>
      <c r="H980" t="s">
        <v>3723</v>
      </c>
      <c r="I980">
        <v>24</v>
      </c>
      <c r="J980">
        <v>0</v>
      </c>
      <c r="K980">
        <v>0</v>
      </c>
      <c r="L980">
        <v>24</v>
      </c>
      <c r="M980">
        <v>0</v>
      </c>
      <c r="N980">
        <v>0</v>
      </c>
      <c r="O980">
        <v>0</v>
      </c>
    </row>
    <row r="981" spans="1:15" x14ac:dyDescent="0.25">
      <c r="A981" t="s">
        <v>1153</v>
      </c>
      <c r="B981" t="s">
        <v>2560</v>
      </c>
      <c r="C981" t="s">
        <v>923</v>
      </c>
      <c r="D981" t="s">
        <v>3063</v>
      </c>
      <c r="E981" t="s">
        <v>3053</v>
      </c>
      <c r="F981" t="s">
        <v>343</v>
      </c>
      <c r="G981" t="s">
        <v>344</v>
      </c>
      <c r="H981" t="s">
        <v>3724</v>
      </c>
      <c r="I981">
        <v>25</v>
      </c>
      <c r="J981">
        <v>25</v>
      </c>
      <c r="K981">
        <v>0</v>
      </c>
      <c r="L981">
        <v>0</v>
      </c>
      <c r="M981">
        <v>0</v>
      </c>
      <c r="N981">
        <v>0</v>
      </c>
      <c r="O981">
        <v>0</v>
      </c>
    </row>
    <row r="982" spans="1:15" x14ac:dyDescent="0.25">
      <c r="A982" t="s">
        <v>1155</v>
      </c>
      <c r="B982" t="s">
        <v>2912</v>
      </c>
      <c r="C982" t="s">
        <v>927</v>
      </c>
      <c r="D982" t="s">
        <v>3052</v>
      </c>
      <c r="E982" t="s">
        <v>3053</v>
      </c>
      <c r="F982" t="s">
        <v>343</v>
      </c>
      <c r="G982" t="s">
        <v>344</v>
      </c>
      <c r="H982" t="s">
        <v>3725</v>
      </c>
      <c r="I982">
        <v>37</v>
      </c>
      <c r="J982">
        <v>31</v>
      </c>
      <c r="K982">
        <v>0</v>
      </c>
      <c r="L982">
        <v>0</v>
      </c>
      <c r="M982">
        <v>0</v>
      </c>
      <c r="N982">
        <v>1</v>
      </c>
      <c r="O982">
        <v>6</v>
      </c>
    </row>
    <row r="983" spans="1:15" x14ac:dyDescent="0.25">
      <c r="A983" t="s">
        <v>11663</v>
      </c>
      <c r="B983" t="s">
        <v>11768</v>
      </c>
      <c r="C983" t="s">
        <v>927</v>
      </c>
      <c r="D983" t="s">
        <v>3052</v>
      </c>
      <c r="E983" t="s">
        <v>3053</v>
      </c>
      <c r="F983" t="s">
        <v>343</v>
      </c>
      <c r="G983" t="s">
        <v>344</v>
      </c>
      <c r="H983" t="s">
        <v>11881</v>
      </c>
      <c r="I983">
        <v>4</v>
      </c>
      <c r="J983">
        <v>2</v>
      </c>
      <c r="K983">
        <v>0</v>
      </c>
      <c r="L983">
        <v>0</v>
      </c>
      <c r="M983">
        <v>0</v>
      </c>
      <c r="N983">
        <v>0</v>
      </c>
      <c r="O983">
        <v>2</v>
      </c>
    </row>
    <row r="984" spans="1:15" x14ac:dyDescent="0.25">
      <c r="A984" t="s">
        <v>14380</v>
      </c>
      <c r="B984" t="s">
        <v>2074</v>
      </c>
      <c r="C984" t="s">
        <v>927</v>
      </c>
      <c r="D984" t="s">
        <v>3052</v>
      </c>
      <c r="E984" t="s">
        <v>3053</v>
      </c>
      <c r="F984" t="s">
        <v>343</v>
      </c>
      <c r="G984" t="s">
        <v>344</v>
      </c>
      <c r="H984" t="s">
        <v>14515</v>
      </c>
      <c r="I984">
        <v>5665</v>
      </c>
      <c r="J984">
        <v>3556</v>
      </c>
      <c r="K984">
        <v>614</v>
      </c>
      <c r="L984">
        <v>178</v>
      </c>
      <c r="M984">
        <v>740</v>
      </c>
      <c r="N984">
        <v>38</v>
      </c>
      <c r="O984">
        <v>577</v>
      </c>
    </row>
    <row r="985" spans="1:15" x14ac:dyDescent="0.25">
      <c r="A985" t="s">
        <v>1158</v>
      </c>
      <c r="B985" t="s">
        <v>2922</v>
      </c>
      <c r="C985" t="s">
        <v>927</v>
      </c>
      <c r="D985" t="s">
        <v>3052</v>
      </c>
      <c r="E985" t="s">
        <v>3053</v>
      </c>
      <c r="F985" t="s">
        <v>343</v>
      </c>
      <c r="G985" t="s">
        <v>344</v>
      </c>
      <c r="H985" t="s">
        <v>3726</v>
      </c>
      <c r="I985">
        <v>142</v>
      </c>
      <c r="J985">
        <v>0</v>
      </c>
      <c r="K985">
        <v>0</v>
      </c>
      <c r="L985">
        <v>142</v>
      </c>
      <c r="M985">
        <v>0</v>
      </c>
      <c r="N985">
        <v>0</v>
      </c>
      <c r="O985">
        <v>0</v>
      </c>
    </row>
    <row r="986" spans="1:15" x14ac:dyDescent="0.25">
      <c r="A986" t="s">
        <v>1352</v>
      </c>
      <c r="B986" t="s">
        <v>2085</v>
      </c>
      <c r="C986" t="s">
        <v>923</v>
      </c>
      <c r="D986" t="s">
        <v>3063</v>
      </c>
      <c r="E986" t="s">
        <v>3053</v>
      </c>
      <c r="F986" t="s">
        <v>343</v>
      </c>
      <c r="G986" t="s">
        <v>344</v>
      </c>
      <c r="H986" t="s">
        <v>10873</v>
      </c>
      <c r="I986">
        <v>10</v>
      </c>
      <c r="J986">
        <v>10</v>
      </c>
      <c r="K986">
        <v>0</v>
      </c>
      <c r="L986">
        <v>0</v>
      </c>
      <c r="M986">
        <v>0</v>
      </c>
      <c r="N986">
        <v>0</v>
      </c>
      <c r="O986">
        <v>0</v>
      </c>
    </row>
    <row r="987" spans="1:15" x14ac:dyDescent="0.25">
      <c r="A987" t="s">
        <v>1160</v>
      </c>
      <c r="B987" t="s">
        <v>2863</v>
      </c>
      <c r="C987" t="s">
        <v>923</v>
      </c>
      <c r="D987" t="s">
        <v>3063</v>
      </c>
      <c r="E987" t="s">
        <v>3053</v>
      </c>
      <c r="F987" t="s">
        <v>343</v>
      </c>
      <c r="G987" t="s">
        <v>344</v>
      </c>
      <c r="H987" t="s">
        <v>3727</v>
      </c>
      <c r="I987">
        <v>92</v>
      </c>
      <c r="J987">
        <v>92</v>
      </c>
      <c r="K987">
        <v>0</v>
      </c>
      <c r="L987">
        <v>0</v>
      </c>
      <c r="M987">
        <v>0</v>
      </c>
      <c r="N987">
        <v>0</v>
      </c>
      <c r="O987">
        <v>0</v>
      </c>
    </row>
    <row r="988" spans="1:15" x14ac:dyDescent="0.25">
      <c r="A988" t="s">
        <v>1353</v>
      </c>
      <c r="B988" t="s">
        <v>2927</v>
      </c>
      <c r="C988" t="s">
        <v>923</v>
      </c>
      <c r="D988" t="s">
        <v>3063</v>
      </c>
      <c r="E988" t="s">
        <v>3053</v>
      </c>
      <c r="F988" t="s">
        <v>343</v>
      </c>
      <c r="G988" t="s">
        <v>344</v>
      </c>
      <c r="H988" t="s">
        <v>3728</v>
      </c>
      <c r="I988">
        <v>49</v>
      </c>
      <c r="J988">
        <v>49</v>
      </c>
      <c r="K988">
        <v>0</v>
      </c>
      <c r="L988">
        <v>0</v>
      </c>
      <c r="M988">
        <v>0</v>
      </c>
      <c r="N988">
        <v>0</v>
      </c>
      <c r="O988">
        <v>0</v>
      </c>
    </row>
    <row r="989" spans="1:15" x14ac:dyDescent="0.25">
      <c r="A989" t="s">
        <v>1072</v>
      </c>
      <c r="B989" t="s">
        <v>2907</v>
      </c>
      <c r="C989" t="s">
        <v>927</v>
      </c>
      <c r="D989" t="s">
        <v>3052</v>
      </c>
      <c r="E989" t="s">
        <v>3053</v>
      </c>
      <c r="F989" t="s">
        <v>343</v>
      </c>
      <c r="G989" t="s">
        <v>344</v>
      </c>
      <c r="H989" t="s">
        <v>3729</v>
      </c>
      <c r="I989">
        <v>162</v>
      </c>
      <c r="J989">
        <v>1</v>
      </c>
      <c r="K989">
        <v>0</v>
      </c>
      <c r="L989">
        <v>161</v>
      </c>
      <c r="M989">
        <v>0</v>
      </c>
      <c r="N989">
        <v>0</v>
      </c>
      <c r="O989">
        <v>0</v>
      </c>
    </row>
    <row r="990" spans="1:15" x14ac:dyDescent="0.25">
      <c r="A990" t="s">
        <v>1386</v>
      </c>
      <c r="B990" t="s">
        <v>2370</v>
      </c>
      <c r="C990" t="s">
        <v>923</v>
      </c>
      <c r="D990" t="s">
        <v>3063</v>
      </c>
      <c r="E990" t="s">
        <v>3053</v>
      </c>
      <c r="F990" t="s">
        <v>343</v>
      </c>
      <c r="G990" t="s">
        <v>344</v>
      </c>
      <c r="H990" t="s">
        <v>3730</v>
      </c>
      <c r="I990">
        <v>4</v>
      </c>
      <c r="J990">
        <v>4</v>
      </c>
      <c r="K990">
        <v>0</v>
      </c>
      <c r="L990">
        <v>0</v>
      </c>
      <c r="M990">
        <v>0</v>
      </c>
      <c r="N990">
        <v>0</v>
      </c>
      <c r="O990">
        <v>0</v>
      </c>
    </row>
    <row r="991" spans="1:15" x14ac:dyDescent="0.25">
      <c r="A991" t="s">
        <v>1390</v>
      </c>
      <c r="B991" t="s">
        <v>2978</v>
      </c>
      <c r="C991" t="s">
        <v>923</v>
      </c>
      <c r="D991" t="s">
        <v>3063</v>
      </c>
      <c r="E991" t="s">
        <v>3053</v>
      </c>
      <c r="F991" t="s">
        <v>343</v>
      </c>
      <c r="G991" t="s">
        <v>344</v>
      </c>
      <c r="H991" t="s">
        <v>3731</v>
      </c>
      <c r="I991">
        <v>63</v>
      </c>
      <c r="J991">
        <v>63</v>
      </c>
      <c r="K991">
        <v>0</v>
      </c>
      <c r="L991">
        <v>0</v>
      </c>
      <c r="M991">
        <v>0</v>
      </c>
      <c r="N991">
        <v>0</v>
      </c>
      <c r="O991">
        <v>0</v>
      </c>
    </row>
    <row r="992" spans="1:15" x14ac:dyDescent="0.25">
      <c r="A992" t="s">
        <v>1392</v>
      </c>
      <c r="B992" t="s">
        <v>2449</v>
      </c>
      <c r="C992" t="s">
        <v>923</v>
      </c>
      <c r="D992" t="s">
        <v>3063</v>
      </c>
      <c r="E992" t="s">
        <v>3053</v>
      </c>
      <c r="F992" t="s">
        <v>343</v>
      </c>
      <c r="G992" t="s">
        <v>344</v>
      </c>
      <c r="H992" t="s">
        <v>3732</v>
      </c>
      <c r="I992">
        <v>18</v>
      </c>
      <c r="J992">
        <v>18</v>
      </c>
      <c r="K992">
        <v>0</v>
      </c>
      <c r="L992">
        <v>0</v>
      </c>
      <c r="M992">
        <v>0</v>
      </c>
      <c r="N992">
        <v>0</v>
      </c>
      <c r="O992">
        <v>0</v>
      </c>
    </row>
    <row r="993" spans="1:15" x14ac:dyDescent="0.25">
      <c r="A993" t="s">
        <v>1083</v>
      </c>
      <c r="B993" t="s">
        <v>2757</v>
      </c>
      <c r="C993" t="s">
        <v>927</v>
      </c>
      <c r="D993" t="s">
        <v>3052</v>
      </c>
      <c r="E993" t="s">
        <v>3053</v>
      </c>
      <c r="F993" t="s">
        <v>343</v>
      </c>
      <c r="G993" t="s">
        <v>344</v>
      </c>
      <c r="H993" t="s">
        <v>3733</v>
      </c>
      <c r="I993">
        <v>1</v>
      </c>
      <c r="J993">
        <v>0</v>
      </c>
      <c r="K993">
        <v>0</v>
      </c>
      <c r="L993">
        <v>0</v>
      </c>
      <c r="M993">
        <v>0</v>
      </c>
      <c r="N993">
        <v>0</v>
      </c>
      <c r="O993">
        <v>1</v>
      </c>
    </row>
    <row r="994" spans="1:15" x14ac:dyDescent="0.25">
      <c r="A994" t="s">
        <v>929</v>
      </c>
      <c r="B994" t="s">
        <v>2999</v>
      </c>
      <c r="C994" t="s">
        <v>927</v>
      </c>
      <c r="D994" t="s">
        <v>3052</v>
      </c>
      <c r="E994" t="s">
        <v>3053</v>
      </c>
      <c r="F994" t="s">
        <v>345</v>
      </c>
      <c r="G994" t="s">
        <v>346</v>
      </c>
      <c r="H994" t="s">
        <v>3734</v>
      </c>
      <c r="I994">
        <v>96</v>
      </c>
      <c r="J994">
        <v>0</v>
      </c>
      <c r="K994">
        <v>0</v>
      </c>
      <c r="L994">
        <v>0</v>
      </c>
      <c r="M994">
        <v>96</v>
      </c>
      <c r="N994">
        <v>0</v>
      </c>
      <c r="O994">
        <v>0</v>
      </c>
    </row>
    <row r="995" spans="1:15" x14ac:dyDescent="0.25">
      <c r="A995" t="s">
        <v>1090</v>
      </c>
      <c r="B995" t="s">
        <v>2875</v>
      </c>
      <c r="C995" t="s">
        <v>927</v>
      </c>
      <c r="D995" t="s">
        <v>3052</v>
      </c>
      <c r="E995" t="s">
        <v>3053</v>
      </c>
      <c r="F995" t="s">
        <v>345</v>
      </c>
      <c r="G995" t="s">
        <v>346</v>
      </c>
      <c r="H995" t="s">
        <v>3735</v>
      </c>
      <c r="I995">
        <v>24</v>
      </c>
      <c r="J995">
        <v>6</v>
      </c>
      <c r="K995">
        <v>0</v>
      </c>
      <c r="L995">
        <v>0</v>
      </c>
      <c r="M995">
        <v>0</v>
      </c>
      <c r="N995">
        <v>0</v>
      </c>
      <c r="O995">
        <v>18</v>
      </c>
    </row>
    <row r="996" spans="1:15" x14ac:dyDescent="0.25">
      <c r="A996" t="s">
        <v>1098</v>
      </c>
      <c r="B996" t="s">
        <v>2730</v>
      </c>
      <c r="C996" t="s">
        <v>923</v>
      </c>
      <c r="D996" t="s">
        <v>3063</v>
      </c>
      <c r="E996" t="s">
        <v>3053</v>
      </c>
      <c r="F996" t="s">
        <v>345</v>
      </c>
      <c r="G996" t="s">
        <v>346</v>
      </c>
      <c r="H996" t="s">
        <v>3736</v>
      </c>
      <c r="I996">
        <v>142</v>
      </c>
      <c r="J996">
        <v>135</v>
      </c>
      <c r="K996">
        <v>7</v>
      </c>
      <c r="L996">
        <v>0</v>
      </c>
      <c r="M996">
        <v>0</v>
      </c>
      <c r="N996">
        <v>0</v>
      </c>
      <c r="O996">
        <v>0</v>
      </c>
    </row>
    <row r="997" spans="1:15" x14ac:dyDescent="0.25">
      <c r="A997" t="s">
        <v>1100</v>
      </c>
      <c r="B997" t="s">
        <v>2855</v>
      </c>
      <c r="C997" t="s">
        <v>927</v>
      </c>
      <c r="D997" t="s">
        <v>3052</v>
      </c>
      <c r="E997" t="s">
        <v>3053</v>
      </c>
      <c r="F997" t="s">
        <v>345</v>
      </c>
      <c r="G997" t="s">
        <v>346</v>
      </c>
      <c r="H997" t="s">
        <v>3737</v>
      </c>
      <c r="I997">
        <v>152</v>
      </c>
      <c r="J997">
        <v>123</v>
      </c>
      <c r="K997">
        <v>0</v>
      </c>
      <c r="L997">
        <v>0</v>
      </c>
      <c r="M997">
        <v>0</v>
      </c>
      <c r="N997">
        <v>0</v>
      </c>
      <c r="O997">
        <v>29</v>
      </c>
    </row>
    <row r="998" spans="1:15" x14ac:dyDescent="0.25">
      <c r="A998" t="s">
        <v>933</v>
      </c>
      <c r="B998" t="s">
        <v>2106</v>
      </c>
      <c r="C998" t="s">
        <v>927</v>
      </c>
      <c r="D998" t="s">
        <v>3052</v>
      </c>
      <c r="E998" t="s">
        <v>3053</v>
      </c>
      <c r="F998" t="s">
        <v>345</v>
      </c>
      <c r="G998" t="s">
        <v>346</v>
      </c>
      <c r="H998" t="s">
        <v>3738</v>
      </c>
      <c r="I998">
        <v>202</v>
      </c>
      <c r="J998">
        <v>124</v>
      </c>
      <c r="K998">
        <v>0</v>
      </c>
      <c r="L998">
        <v>0</v>
      </c>
      <c r="M998">
        <v>0</v>
      </c>
      <c r="N998">
        <v>0</v>
      </c>
      <c r="O998">
        <v>78</v>
      </c>
    </row>
    <row r="999" spans="1:15" x14ac:dyDescent="0.25">
      <c r="A999" t="s">
        <v>1111</v>
      </c>
      <c r="B999" t="s">
        <v>2795</v>
      </c>
      <c r="C999" t="s">
        <v>927</v>
      </c>
      <c r="D999" t="s">
        <v>3052</v>
      </c>
      <c r="E999" t="s">
        <v>3053</v>
      </c>
      <c r="F999" t="s">
        <v>345</v>
      </c>
      <c r="G999" t="s">
        <v>346</v>
      </c>
      <c r="H999" t="s">
        <v>3739</v>
      </c>
      <c r="I999">
        <v>131</v>
      </c>
      <c r="J999">
        <v>111</v>
      </c>
      <c r="K999">
        <v>0</v>
      </c>
      <c r="L999">
        <v>5</v>
      </c>
      <c r="M999">
        <v>0</v>
      </c>
      <c r="N999">
        <v>0</v>
      </c>
      <c r="O999">
        <v>15</v>
      </c>
    </row>
    <row r="1000" spans="1:15" x14ac:dyDescent="0.25">
      <c r="A1000" t="s">
        <v>1115</v>
      </c>
      <c r="B1000" t="s">
        <v>2677</v>
      </c>
      <c r="C1000" t="s">
        <v>927</v>
      </c>
      <c r="D1000" t="s">
        <v>3052</v>
      </c>
      <c r="E1000" t="s">
        <v>3053</v>
      </c>
      <c r="F1000" t="s">
        <v>345</v>
      </c>
      <c r="G1000" t="s">
        <v>346</v>
      </c>
      <c r="H1000" t="s">
        <v>3740</v>
      </c>
      <c r="I1000">
        <v>1</v>
      </c>
      <c r="J1000">
        <v>0</v>
      </c>
      <c r="K1000">
        <v>0</v>
      </c>
      <c r="L1000">
        <v>0</v>
      </c>
      <c r="M1000">
        <v>0</v>
      </c>
      <c r="N1000">
        <v>0</v>
      </c>
      <c r="O1000">
        <v>1</v>
      </c>
    </row>
    <row r="1001" spans="1:15" x14ac:dyDescent="0.25">
      <c r="A1001" t="s">
        <v>937</v>
      </c>
      <c r="B1001" t="s">
        <v>1962</v>
      </c>
      <c r="C1001" t="s">
        <v>927</v>
      </c>
      <c r="D1001" t="s">
        <v>3052</v>
      </c>
      <c r="E1001" t="s">
        <v>3053</v>
      </c>
      <c r="F1001" t="s">
        <v>345</v>
      </c>
      <c r="G1001" t="s">
        <v>346</v>
      </c>
      <c r="H1001" t="s">
        <v>3741</v>
      </c>
      <c r="I1001">
        <v>15</v>
      </c>
      <c r="J1001">
        <v>0</v>
      </c>
      <c r="K1001">
        <v>0</v>
      </c>
      <c r="L1001">
        <v>0</v>
      </c>
      <c r="M1001">
        <v>0</v>
      </c>
      <c r="N1001">
        <v>0</v>
      </c>
      <c r="O1001">
        <v>15</v>
      </c>
    </row>
    <row r="1002" spans="1:15" x14ac:dyDescent="0.25">
      <c r="A1002" t="s">
        <v>938</v>
      </c>
      <c r="B1002" t="s">
        <v>2791</v>
      </c>
      <c r="C1002" t="s">
        <v>927</v>
      </c>
      <c r="D1002" t="s">
        <v>3052</v>
      </c>
      <c r="E1002" t="s">
        <v>3053</v>
      </c>
      <c r="F1002" t="s">
        <v>345</v>
      </c>
      <c r="G1002" t="s">
        <v>346</v>
      </c>
      <c r="H1002" t="s">
        <v>3742</v>
      </c>
      <c r="I1002">
        <v>7</v>
      </c>
      <c r="J1002">
        <v>7</v>
      </c>
      <c r="K1002">
        <v>0</v>
      </c>
      <c r="L1002">
        <v>0</v>
      </c>
      <c r="M1002">
        <v>0</v>
      </c>
      <c r="N1002">
        <v>0</v>
      </c>
      <c r="O1002">
        <v>0</v>
      </c>
    </row>
    <row r="1003" spans="1:15" x14ac:dyDescent="0.25">
      <c r="A1003" t="s">
        <v>1126</v>
      </c>
      <c r="B1003" t="s">
        <v>2130</v>
      </c>
      <c r="C1003" t="s">
        <v>927</v>
      </c>
      <c r="D1003" t="s">
        <v>3052</v>
      </c>
      <c r="E1003" t="s">
        <v>3053</v>
      </c>
      <c r="F1003" t="s">
        <v>345</v>
      </c>
      <c r="G1003" t="s">
        <v>346</v>
      </c>
      <c r="H1003" t="s">
        <v>14516</v>
      </c>
      <c r="I1003">
        <v>30</v>
      </c>
      <c r="J1003">
        <v>0</v>
      </c>
      <c r="K1003">
        <v>0</v>
      </c>
      <c r="L1003">
        <v>0</v>
      </c>
      <c r="M1003">
        <v>0</v>
      </c>
      <c r="N1003">
        <v>0</v>
      </c>
      <c r="O1003">
        <v>30</v>
      </c>
    </row>
    <row r="1004" spans="1:15" x14ac:dyDescent="0.25">
      <c r="A1004" t="s">
        <v>1025</v>
      </c>
      <c r="B1004" t="s">
        <v>2893</v>
      </c>
      <c r="C1004" t="s">
        <v>927</v>
      </c>
      <c r="D1004" t="s">
        <v>3052</v>
      </c>
      <c r="E1004" t="s">
        <v>3053</v>
      </c>
      <c r="F1004" t="s">
        <v>345</v>
      </c>
      <c r="G1004" t="s">
        <v>346</v>
      </c>
      <c r="H1004" t="s">
        <v>3743</v>
      </c>
      <c r="I1004">
        <v>217</v>
      </c>
      <c r="J1004">
        <v>168</v>
      </c>
      <c r="K1004">
        <v>0</v>
      </c>
      <c r="L1004">
        <v>0</v>
      </c>
      <c r="M1004">
        <v>26</v>
      </c>
      <c r="N1004">
        <v>7</v>
      </c>
      <c r="O1004">
        <v>23</v>
      </c>
    </row>
    <row r="1005" spans="1:15" x14ac:dyDescent="0.25">
      <c r="A1005" t="s">
        <v>943</v>
      </c>
      <c r="B1005" t="s">
        <v>2694</v>
      </c>
      <c r="C1005" t="s">
        <v>927</v>
      </c>
      <c r="D1005" t="s">
        <v>3052</v>
      </c>
      <c r="E1005" t="s">
        <v>3053</v>
      </c>
      <c r="F1005" t="s">
        <v>345</v>
      </c>
      <c r="G1005" t="s">
        <v>346</v>
      </c>
      <c r="H1005" t="s">
        <v>10874</v>
      </c>
      <c r="I1005">
        <v>1</v>
      </c>
      <c r="J1005">
        <v>0</v>
      </c>
      <c r="K1005">
        <v>0</v>
      </c>
      <c r="L1005">
        <v>0</v>
      </c>
      <c r="M1005">
        <v>0</v>
      </c>
      <c r="N1005">
        <v>0</v>
      </c>
      <c r="O1005">
        <v>1</v>
      </c>
    </row>
    <row r="1006" spans="1:15" x14ac:dyDescent="0.25">
      <c r="A1006" t="s">
        <v>945</v>
      </c>
      <c r="B1006" t="s">
        <v>2668</v>
      </c>
      <c r="C1006" t="s">
        <v>927</v>
      </c>
      <c r="D1006" t="s">
        <v>3052</v>
      </c>
      <c r="E1006" t="s">
        <v>3053</v>
      </c>
      <c r="F1006" t="s">
        <v>345</v>
      </c>
      <c r="G1006" t="s">
        <v>346</v>
      </c>
      <c r="H1006" t="s">
        <v>3744</v>
      </c>
      <c r="I1006">
        <v>21</v>
      </c>
      <c r="J1006">
        <v>10</v>
      </c>
      <c r="K1006">
        <v>0</v>
      </c>
      <c r="L1006">
        <v>0</v>
      </c>
      <c r="M1006">
        <v>0</v>
      </c>
      <c r="N1006">
        <v>0</v>
      </c>
      <c r="O1006">
        <v>11</v>
      </c>
    </row>
    <row r="1007" spans="1:15" x14ac:dyDescent="0.25">
      <c r="A1007" t="s">
        <v>1134</v>
      </c>
      <c r="B1007" t="s">
        <v>2118</v>
      </c>
      <c r="C1007" t="s">
        <v>927</v>
      </c>
      <c r="D1007" t="s">
        <v>3052</v>
      </c>
      <c r="E1007" t="s">
        <v>3053</v>
      </c>
      <c r="F1007" t="s">
        <v>345</v>
      </c>
      <c r="G1007" t="s">
        <v>346</v>
      </c>
      <c r="H1007" t="s">
        <v>3745</v>
      </c>
      <c r="I1007">
        <v>73</v>
      </c>
      <c r="J1007">
        <v>41</v>
      </c>
      <c r="K1007">
        <v>0</v>
      </c>
      <c r="L1007">
        <v>0</v>
      </c>
      <c r="M1007">
        <v>30</v>
      </c>
      <c r="N1007">
        <v>0</v>
      </c>
      <c r="O1007">
        <v>2</v>
      </c>
    </row>
    <row r="1008" spans="1:15" x14ac:dyDescent="0.25">
      <c r="A1008" t="s">
        <v>1041</v>
      </c>
      <c r="B1008" t="s">
        <v>2826</v>
      </c>
      <c r="C1008" t="s">
        <v>927</v>
      </c>
      <c r="D1008" t="s">
        <v>3052</v>
      </c>
      <c r="E1008" t="s">
        <v>3053</v>
      </c>
      <c r="F1008" t="s">
        <v>345</v>
      </c>
      <c r="G1008" t="s">
        <v>346</v>
      </c>
      <c r="H1008" t="s">
        <v>10875</v>
      </c>
      <c r="I1008">
        <v>7</v>
      </c>
      <c r="J1008">
        <v>0</v>
      </c>
      <c r="K1008">
        <v>0</v>
      </c>
      <c r="L1008">
        <v>0</v>
      </c>
      <c r="M1008">
        <v>0</v>
      </c>
      <c r="N1008">
        <v>0</v>
      </c>
      <c r="O1008">
        <v>7</v>
      </c>
    </row>
    <row r="1009" spans="1:15" x14ac:dyDescent="0.25">
      <c r="A1009" t="s">
        <v>1146</v>
      </c>
      <c r="B1009" t="s">
        <v>2117</v>
      </c>
      <c r="C1009" t="s">
        <v>927</v>
      </c>
      <c r="D1009" t="s">
        <v>3052</v>
      </c>
      <c r="E1009" t="s">
        <v>3053</v>
      </c>
      <c r="F1009" t="s">
        <v>345</v>
      </c>
      <c r="G1009" t="s">
        <v>346</v>
      </c>
      <c r="H1009" t="s">
        <v>10302</v>
      </c>
      <c r="I1009">
        <v>9</v>
      </c>
      <c r="J1009">
        <v>0</v>
      </c>
      <c r="K1009">
        <v>0</v>
      </c>
      <c r="L1009">
        <v>8</v>
      </c>
      <c r="M1009">
        <v>0</v>
      </c>
      <c r="N1009">
        <v>0</v>
      </c>
      <c r="O1009">
        <v>1</v>
      </c>
    </row>
    <row r="1010" spans="1:15" x14ac:dyDescent="0.25">
      <c r="A1010" t="s">
        <v>1152</v>
      </c>
      <c r="B1010" t="s">
        <v>3031</v>
      </c>
      <c r="C1010" t="s">
        <v>927</v>
      </c>
      <c r="D1010" t="s">
        <v>3052</v>
      </c>
      <c r="E1010" t="s">
        <v>3053</v>
      </c>
      <c r="F1010" t="s">
        <v>345</v>
      </c>
      <c r="G1010" t="s">
        <v>346</v>
      </c>
      <c r="H1010" t="s">
        <v>3746</v>
      </c>
      <c r="I1010">
        <v>2</v>
      </c>
      <c r="J1010">
        <v>0</v>
      </c>
      <c r="K1010">
        <v>0</v>
      </c>
      <c r="L1010">
        <v>0</v>
      </c>
      <c r="M1010">
        <v>0</v>
      </c>
      <c r="N1010">
        <v>0</v>
      </c>
      <c r="O1010">
        <v>2</v>
      </c>
    </row>
    <row r="1011" spans="1:15" x14ac:dyDescent="0.25">
      <c r="A1011" t="s">
        <v>9788</v>
      </c>
      <c r="B1011" t="s">
        <v>9871</v>
      </c>
      <c r="C1011" t="s">
        <v>927</v>
      </c>
      <c r="D1011" t="s">
        <v>3052</v>
      </c>
      <c r="E1011" t="s">
        <v>3053</v>
      </c>
      <c r="F1011" t="s">
        <v>345</v>
      </c>
      <c r="G1011" t="s">
        <v>346</v>
      </c>
      <c r="H1011" t="s">
        <v>10334</v>
      </c>
      <c r="I1011">
        <v>16</v>
      </c>
      <c r="J1011">
        <v>16</v>
      </c>
      <c r="K1011">
        <v>0</v>
      </c>
      <c r="L1011">
        <v>0</v>
      </c>
      <c r="M1011">
        <v>0</v>
      </c>
      <c r="N1011">
        <v>0</v>
      </c>
      <c r="O1011">
        <v>0</v>
      </c>
    </row>
    <row r="1012" spans="1:15" x14ac:dyDescent="0.25">
      <c r="A1012" t="s">
        <v>1056</v>
      </c>
      <c r="B1012" t="s">
        <v>2966</v>
      </c>
      <c r="C1012" t="s">
        <v>927</v>
      </c>
      <c r="D1012" t="s">
        <v>3052</v>
      </c>
      <c r="E1012" t="s">
        <v>3053</v>
      </c>
      <c r="F1012" t="s">
        <v>345</v>
      </c>
      <c r="G1012" t="s">
        <v>346</v>
      </c>
      <c r="H1012" t="s">
        <v>3747</v>
      </c>
      <c r="I1012">
        <v>22</v>
      </c>
      <c r="J1012">
        <v>22</v>
      </c>
      <c r="K1012">
        <v>0</v>
      </c>
      <c r="L1012">
        <v>0</v>
      </c>
      <c r="M1012">
        <v>0</v>
      </c>
      <c r="N1012">
        <v>0</v>
      </c>
      <c r="O1012">
        <v>0</v>
      </c>
    </row>
    <row r="1013" spans="1:15" x14ac:dyDescent="0.25">
      <c r="A1013" t="s">
        <v>955</v>
      </c>
      <c r="B1013" t="s">
        <v>2660</v>
      </c>
      <c r="C1013" t="s">
        <v>927</v>
      </c>
      <c r="D1013" t="s">
        <v>3052</v>
      </c>
      <c r="E1013" t="s">
        <v>3053</v>
      </c>
      <c r="F1013" t="s">
        <v>345</v>
      </c>
      <c r="G1013" t="s">
        <v>346</v>
      </c>
      <c r="H1013" t="s">
        <v>3748</v>
      </c>
      <c r="I1013">
        <v>17</v>
      </c>
      <c r="J1013">
        <v>6</v>
      </c>
      <c r="K1013">
        <v>0</v>
      </c>
      <c r="L1013">
        <v>11</v>
      </c>
      <c r="M1013">
        <v>0</v>
      </c>
      <c r="N1013">
        <v>0</v>
      </c>
      <c r="O1013">
        <v>0</v>
      </c>
    </row>
    <row r="1014" spans="1:15" x14ac:dyDescent="0.25">
      <c r="A1014" t="s">
        <v>14374</v>
      </c>
      <c r="B1014" t="s">
        <v>1943</v>
      </c>
      <c r="C1014" t="s">
        <v>927</v>
      </c>
      <c r="D1014" t="s">
        <v>3052</v>
      </c>
      <c r="E1014" t="s">
        <v>3053</v>
      </c>
      <c r="F1014" t="s">
        <v>345</v>
      </c>
      <c r="G1014" t="s">
        <v>346</v>
      </c>
      <c r="H1014" t="s">
        <v>14517</v>
      </c>
      <c r="I1014">
        <v>2</v>
      </c>
      <c r="J1014">
        <v>0</v>
      </c>
      <c r="K1014">
        <v>0</v>
      </c>
      <c r="L1014">
        <v>0</v>
      </c>
      <c r="M1014">
        <v>0</v>
      </c>
      <c r="N1014">
        <v>0</v>
      </c>
      <c r="O1014">
        <v>2</v>
      </c>
    </row>
    <row r="1015" spans="1:15" x14ac:dyDescent="0.25">
      <c r="A1015" t="s">
        <v>1159</v>
      </c>
      <c r="B1015" t="s">
        <v>2829</v>
      </c>
      <c r="C1015" t="s">
        <v>927</v>
      </c>
      <c r="D1015" t="s">
        <v>3052</v>
      </c>
      <c r="E1015" t="s">
        <v>3053</v>
      </c>
      <c r="F1015" t="s">
        <v>345</v>
      </c>
      <c r="G1015" t="s">
        <v>346</v>
      </c>
      <c r="H1015" t="s">
        <v>3749</v>
      </c>
      <c r="I1015">
        <v>63</v>
      </c>
      <c r="J1015">
        <v>15</v>
      </c>
      <c r="K1015">
        <v>0</v>
      </c>
      <c r="L1015">
        <v>48</v>
      </c>
      <c r="M1015">
        <v>0</v>
      </c>
      <c r="N1015">
        <v>0</v>
      </c>
      <c r="O1015">
        <v>0</v>
      </c>
    </row>
    <row r="1016" spans="1:15" x14ac:dyDescent="0.25">
      <c r="A1016" t="s">
        <v>1178</v>
      </c>
      <c r="B1016" t="s">
        <v>2301</v>
      </c>
      <c r="C1016" t="s">
        <v>923</v>
      </c>
      <c r="D1016" t="s">
        <v>3063</v>
      </c>
      <c r="E1016" t="s">
        <v>3053</v>
      </c>
      <c r="F1016" t="s">
        <v>345</v>
      </c>
      <c r="G1016" t="s">
        <v>346</v>
      </c>
      <c r="H1016" t="s">
        <v>3750</v>
      </c>
      <c r="I1016">
        <v>6</v>
      </c>
      <c r="J1016">
        <v>6</v>
      </c>
      <c r="K1016">
        <v>0</v>
      </c>
      <c r="L1016">
        <v>0</v>
      </c>
      <c r="M1016">
        <v>0</v>
      </c>
      <c r="N1016">
        <v>0</v>
      </c>
      <c r="O1016">
        <v>0</v>
      </c>
    </row>
    <row r="1017" spans="1:15" x14ac:dyDescent="0.25">
      <c r="A1017" t="s">
        <v>1399</v>
      </c>
      <c r="B1017" t="s">
        <v>2903</v>
      </c>
      <c r="C1017" t="s">
        <v>923</v>
      </c>
      <c r="D1017" t="s">
        <v>3063</v>
      </c>
      <c r="E1017" t="s">
        <v>3053</v>
      </c>
      <c r="F1017" t="s">
        <v>345</v>
      </c>
      <c r="G1017" t="s">
        <v>346</v>
      </c>
      <c r="H1017" t="s">
        <v>11882</v>
      </c>
      <c r="I1017">
        <v>40</v>
      </c>
      <c r="J1017">
        <v>0</v>
      </c>
      <c r="K1017">
        <v>0</v>
      </c>
      <c r="L1017">
        <v>40</v>
      </c>
      <c r="M1017">
        <v>0</v>
      </c>
      <c r="N1017">
        <v>0</v>
      </c>
      <c r="O1017">
        <v>0</v>
      </c>
    </row>
    <row r="1018" spans="1:15" x14ac:dyDescent="0.25">
      <c r="A1018" t="s">
        <v>1565</v>
      </c>
      <c r="B1018" t="s">
        <v>2543</v>
      </c>
      <c r="C1018" t="s">
        <v>923</v>
      </c>
      <c r="D1018" t="s">
        <v>3063</v>
      </c>
      <c r="E1018" t="s">
        <v>3053</v>
      </c>
      <c r="F1018" t="s">
        <v>347</v>
      </c>
      <c r="G1018" t="s">
        <v>348</v>
      </c>
      <c r="H1018" t="s">
        <v>3751</v>
      </c>
      <c r="I1018">
        <v>18</v>
      </c>
      <c r="J1018">
        <v>2</v>
      </c>
      <c r="K1018">
        <v>0</v>
      </c>
      <c r="L1018">
        <v>16</v>
      </c>
      <c r="M1018">
        <v>0</v>
      </c>
      <c r="N1018">
        <v>0</v>
      </c>
      <c r="O1018">
        <v>0</v>
      </c>
    </row>
    <row r="1019" spans="1:15" x14ac:dyDescent="0.25">
      <c r="A1019" t="s">
        <v>929</v>
      </c>
      <c r="B1019" t="s">
        <v>2999</v>
      </c>
      <c r="C1019" t="s">
        <v>927</v>
      </c>
      <c r="D1019" t="s">
        <v>3052</v>
      </c>
      <c r="E1019" t="s">
        <v>3053</v>
      </c>
      <c r="F1019" t="s">
        <v>347</v>
      </c>
      <c r="G1019" t="s">
        <v>348</v>
      </c>
      <c r="H1019" t="s">
        <v>3752</v>
      </c>
      <c r="I1019">
        <v>321</v>
      </c>
      <c r="J1019">
        <v>0</v>
      </c>
      <c r="K1019">
        <v>0</v>
      </c>
      <c r="L1019">
        <v>0</v>
      </c>
      <c r="M1019">
        <v>296</v>
      </c>
      <c r="N1019">
        <v>0</v>
      </c>
      <c r="O1019">
        <v>25</v>
      </c>
    </row>
    <row r="1020" spans="1:15" x14ac:dyDescent="0.25">
      <c r="A1020" t="s">
        <v>9790</v>
      </c>
      <c r="B1020" t="s">
        <v>1977</v>
      </c>
      <c r="C1020" t="s">
        <v>923</v>
      </c>
      <c r="D1020" t="s">
        <v>3063</v>
      </c>
      <c r="E1020" t="s">
        <v>3053</v>
      </c>
      <c r="F1020" t="s">
        <v>347</v>
      </c>
      <c r="G1020" t="s">
        <v>348</v>
      </c>
      <c r="H1020" t="s">
        <v>11883</v>
      </c>
      <c r="I1020">
        <v>6</v>
      </c>
      <c r="J1020">
        <v>0</v>
      </c>
      <c r="K1020">
        <v>0</v>
      </c>
      <c r="L1020">
        <v>6</v>
      </c>
      <c r="M1020">
        <v>0</v>
      </c>
      <c r="N1020">
        <v>0</v>
      </c>
      <c r="O1020">
        <v>0</v>
      </c>
    </row>
    <row r="1021" spans="1:15" x14ac:dyDescent="0.25">
      <c r="A1021" t="s">
        <v>10520</v>
      </c>
      <c r="B1021" t="s">
        <v>2567</v>
      </c>
      <c r="C1021" t="s">
        <v>923</v>
      </c>
      <c r="D1021" t="s">
        <v>3063</v>
      </c>
      <c r="E1021" t="s">
        <v>3053</v>
      </c>
      <c r="F1021" t="s">
        <v>347</v>
      </c>
      <c r="G1021" t="s">
        <v>348</v>
      </c>
      <c r="H1021" t="s">
        <v>10876</v>
      </c>
      <c r="I1021">
        <v>319</v>
      </c>
      <c r="J1021">
        <v>236</v>
      </c>
      <c r="K1021">
        <v>0</v>
      </c>
      <c r="L1021">
        <v>83</v>
      </c>
      <c r="M1021">
        <v>0</v>
      </c>
      <c r="N1021">
        <v>0</v>
      </c>
      <c r="O1021">
        <v>0</v>
      </c>
    </row>
    <row r="1022" spans="1:15" x14ac:dyDescent="0.25">
      <c r="A1022" t="s">
        <v>9784</v>
      </c>
      <c r="B1022" t="s">
        <v>1994</v>
      </c>
      <c r="C1022" t="s">
        <v>927</v>
      </c>
      <c r="D1022" t="s">
        <v>3052</v>
      </c>
      <c r="E1022" t="s">
        <v>3053</v>
      </c>
      <c r="F1022" t="s">
        <v>347</v>
      </c>
      <c r="G1022" t="s">
        <v>348</v>
      </c>
      <c r="H1022" t="s">
        <v>9921</v>
      </c>
      <c r="I1022">
        <v>25</v>
      </c>
      <c r="J1022">
        <v>0</v>
      </c>
      <c r="K1022">
        <v>0</v>
      </c>
      <c r="L1022">
        <v>25</v>
      </c>
      <c r="M1022">
        <v>0</v>
      </c>
      <c r="N1022">
        <v>6</v>
      </c>
      <c r="O1022">
        <v>0</v>
      </c>
    </row>
    <row r="1023" spans="1:15" x14ac:dyDescent="0.25">
      <c r="A1023" t="s">
        <v>1583</v>
      </c>
      <c r="B1023" t="s">
        <v>2685</v>
      </c>
      <c r="C1023" t="s">
        <v>923</v>
      </c>
      <c r="D1023" t="s">
        <v>3063</v>
      </c>
      <c r="E1023" t="s">
        <v>3053</v>
      </c>
      <c r="F1023" t="s">
        <v>347</v>
      </c>
      <c r="G1023" t="s">
        <v>348</v>
      </c>
      <c r="H1023" t="s">
        <v>3754</v>
      </c>
      <c r="I1023">
        <v>136</v>
      </c>
      <c r="J1023">
        <v>136</v>
      </c>
      <c r="K1023">
        <v>0</v>
      </c>
      <c r="L1023">
        <v>0</v>
      </c>
      <c r="M1023">
        <v>0</v>
      </c>
      <c r="N1023">
        <v>0</v>
      </c>
      <c r="O1023">
        <v>0</v>
      </c>
    </row>
    <row r="1024" spans="1:15" x14ac:dyDescent="0.25">
      <c r="A1024" t="s">
        <v>1584</v>
      </c>
      <c r="B1024" t="s">
        <v>2613</v>
      </c>
      <c r="C1024" t="s">
        <v>923</v>
      </c>
      <c r="D1024" t="s">
        <v>3063</v>
      </c>
      <c r="E1024" t="s">
        <v>3053</v>
      </c>
      <c r="F1024" t="s">
        <v>347</v>
      </c>
      <c r="G1024" t="s">
        <v>348</v>
      </c>
      <c r="H1024" t="s">
        <v>3755</v>
      </c>
      <c r="I1024">
        <v>301</v>
      </c>
      <c r="J1024">
        <v>0</v>
      </c>
      <c r="K1024">
        <v>0</v>
      </c>
      <c r="L1024">
        <v>301</v>
      </c>
      <c r="M1024">
        <v>0</v>
      </c>
      <c r="N1024">
        <v>0</v>
      </c>
      <c r="O1024">
        <v>0</v>
      </c>
    </row>
    <row r="1025" spans="1:15" x14ac:dyDescent="0.25">
      <c r="A1025" t="s">
        <v>1582</v>
      </c>
      <c r="B1025" t="s">
        <v>2673</v>
      </c>
      <c r="C1025" t="s">
        <v>923</v>
      </c>
      <c r="D1025" t="s">
        <v>3063</v>
      </c>
      <c r="E1025" t="s">
        <v>3053</v>
      </c>
      <c r="F1025" t="s">
        <v>347</v>
      </c>
      <c r="G1025" t="s">
        <v>348</v>
      </c>
      <c r="H1025" t="s">
        <v>3753</v>
      </c>
      <c r="I1025">
        <v>19</v>
      </c>
      <c r="J1025">
        <v>0</v>
      </c>
      <c r="K1025">
        <v>0</v>
      </c>
      <c r="L1025">
        <v>2</v>
      </c>
      <c r="M1025">
        <v>17</v>
      </c>
      <c r="N1025">
        <v>0</v>
      </c>
      <c r="O1025">
        <v>0</v>
      </c>
    </row>
    <row r="1026" spans="1:15" x14ac:dyDescent="0.25">
      <c r="A1026" t="s">
        <v>1102</v>
      </c>
      <c r="B1026" t="s">
        <v>2801</v>
      </c>
      <c r="C1026" t="s">
        <v>923</v>
      </c>
      <c r="D1026" t="s">
        <v>3063</v>
      </c>
      <c r="E1026" t="s">
        <v>3053</v>
      </c>
      <c r="F1026" t="s">
        <v>347</v>
      </c>
      <c r="G1026" t="s">
        <v>348</v>
      </c>
      <c r="H1026" t="s">
        <v>3756</v>
      </c>
      <c r="I1026">
        <v>33</v>
      </c>
      <c r="J1026">
        <v>21</v>
      </c>
      <c r="K1026">
        <v>12</v>
      </c>
      <c r="L1026">
        <v>0</v>
      </c>
      <c r="M1026">
        <v>0</v>
      </c>
      <c r="N1026">
        <v>0</v>
      </c>
      <c r="O1026">
        <v>0</v>
      </c>
    </row>
    <row r="1027" spans="1:15" x14ac:dyDescent="0.25">
      <c r="A1027" t="s">
        <v>933</v>
      </c>
      <c r="B1027" t="s">
        <v>2106</v>
      </c>
      <c r="C1027" t="s">
        <v>927</v>
      </c>
      <c r="D1027" t="s">
        <v>3052</v>
      </c>
      <c r="E1027" t="s">
        <v>3053</v>
      </c>
      <c r="F1027" t="s">
        <v>347</v>
      </c>
      <c r="G1027" t="s">
        <v>348</v>
      </c>
      <c r="H1027" t="s">
        <v>3757</v>
      </c>
      <c r="I1027">
        <v>1269</v>
      </c>
      <c r="J1027">
        <v>955</v>
      </c>
      <c r="K1027">
        <v>0</v>
      </c>
      <c r="L1027">
        <v>73</v>
      </c>
      <c r="M1027">
        <v>0</v>
      </c>
      <c r="N1027">
        <v>15</v>
      </c>
      <c r="O1027">
        <v>241</v>
      </c>
    </row>
    <row r="1028" spans="1:15" x14ac:dyDescent="0.25">
      <c r="A1028" t="s">
        <v>996</v>
      </c>
      <c r="B1028" t="s">
        <v>1952</v>
      </c>
      <c r="C1028" t="s">
        <v>923</v>
      </c>
      <c r="D1028" t="s">
        <v>3063</v>
      </c>
      <c r="E1028" t="s">
        <v>3053</v>
      </c>
      <c r="F1028" t="s">
        <v>347</v>
      </c>
      <c r="G1028" t="s">
        <v>348</v>
      </c>
      <c r="H1028" t="s">
        <v>3758</v>
      </c>
      <c r="I1028">
        <v>2</v>
      </c>
      <c r="J1028">
        <v>0</v>
      </c>
      <c r="K1028">
        <v>0</v>
      </c>
      <c r="L1028">
        <v>2</v>
      </c>
      <c r="M1028">
        <v>0</v>
      </c>
      <c r="N1028">
        <v>0</v>
      </c>
      <c r="O1028">
        <v>0</v>
      </c>
    </row>
    <row r="1029" spans="1:15" x14ac:dyDescent="0.25">
      <c r="A1029" t="s">
        <v>1416</v>
      </c>
      <c r="B1029" t="s">
        <v>2029</v>
      </c>
      <c r="C1029" t="s">
        <v>923</v>
      </c>
      <c r="D1029" t="s">
        <v>3063</v>
      </c>
      <c r="E1029" t="s">
        <v>3053</v>
      </c>
      <c r="F1029" t="s">
        <v>347</v>
      </c>
      <c r="G1029" t="s">
        <v>348</v>
      </c>
      <c r="H1029" t="s">
        <v>11884</v>
      </c>
      <c r="I1029">
        <v>19</v>
      </c>
      <c r="J1029">
        <v>0</v>
      </c>
      <c r="K1029">
        <v>0</v>
      </c>
      <c r="L1029">
        <v>19</v>
      </c>
      <c r="M1029">
        <v>0</v>
      </c>
      <c r="N1029">
        <v>0</v>
      </c>
      <c r="O1029">
        <v>0</v>
      </c>
    </row>
    <row r="1030" spans="1:15" x14ac:dyDescent="0.25">
      <c r="A1030" t="s">
        <v>10638</v>
      </c>
      <c r="B1030" t="s">
        <v>2057</v>
      </c>
      <c r="C1030" t="s">
        <v>927</v>
      </c>
      <c r="D1030" t="s">
        <v>3052</v>
      </c>
      <c r="E1030" t="s">
        <v>3053</v>
      </c>
      <c r="F1030" t="s">
        <v>347</v>
      </c>
      <c r="G1030" t="s">
        <v>348</v>
      </c>
      <c r="H1030" t="s">
        <v>10877</v>
      </c>
      <c r="I1030">
        <v>23</v>
      </c>
      <c r="J1030">
        <v>0</v>
      </c>
      <c r="K1030">
        <v>0</v>
      </c>
      <c r="L1030">
        <v>23</v>
      </c>
      <c r="M1030">
        <v>0</v>
      </c>
      <c r="N1030">
        <v>0</v>
      </c>
      <c r="O1030">
        <v>0</v>
      </c>
    </row>
    <row r="1031" spans="1:15" x14ac:dyDescent="0.25">
      <c r="A1031" t="s">
        <v>938</v>
      </c>
      <c r="B1031" t="s">
        <v>2791</v>
      </c>
      <c r="C1031" t="s">
        <v>927</v>
      </c>
      <c r="D1031" t="s">
        <v>3052</v>
      </c>
      <c r="E1031" t="s">
        <v>3053</v>
      </c>
      <c r="F1031" t="s">
        <v>347</v>
      </c>
      <c r="G1031" t="s">
        <v>348</v>
      </c>
      <c r="H1031" t="s">
        <v>3759</v>
      </c>
      <c r="I1031">
        <v>6</v>
      </c>
      <c r="J1031">
        <v>0</v>
      </c>
      <c r="K1031">
        <v>0</v>
      </c>
      <c r="L1031">
        <v>6</v>
      </c>
      <c r="M1031">
        <v>0</v>
      </c>
      <c r="N1031">
        <v>0</v>
      </c>
      <c r="O1031">
        <v>0</v>
      </c>
    </row>
    <row r="1032" spans="1:15" x14ac:dyDescent="0.25">
      <c r="A1032" t="s">
        <v>1012</v>
      </c>
      <c r="B1032" t="s">
        <v>2911</v>
      </c>
      <c r="C1032" t="s">
        <v>927</v>
      </c>
      <c r="D1032" t="s">
        <v>3052</v>
      </c>
      <c r="E1032" t="s">
        <v>3053</v>
      </c>
      <c r="F1032" t="s">
        <v>347</v>
      </c>
      <c r="G1032" t="s">
        <v>348</v>
      </c>
      <c r="H1032" t="s">
        <v>3760</v>
      </c>
      <c r="I1032">
        <v>1375</v>
      </c>
      <c r="J1032">
        <v>865</v>
      </c>
      <c r="K1032">
        <v>0</v>
      </c>
      <c r="L1032">
        <v>52</v>
      </c>
      <c r="M1032">
        <v>56</v>
      </c>
      <c r="N1032">
        <v>5</v>
      </c>
      <c r="O1032">
        <v>402</v>
      </c>
    </row>
    <row r="1033" spans="1:15" x14ac:dyDescent="0.25">
      <c r="A1033" t="s">
        <v>10667</v>
      </c>
      <c r="B1033" t="s">
        <v>10666</v>
      </c>
      <c r="C1033" t="s">
        <v>927</v>
      </c>
      <c r="D1033" t="s">
        <v>3052</v>
      </c>
      <c r="E1033" t="s">
        <v>3053</v>
      </c>
      <c r="F1033" t="s">
        <v>347</v>
      </c>
      <c r="G1033" t="s">
        <v>348</v>
      </c>
      <c r="H1033" t="s">
        <v>14518</v>
      </c>
      <c r="I1033">
        <v>18</v>
      </c>
      <c r="J1033">
        <v>18</v>
      </c>
      <c r="K1033">
        <v>0</v>
      </c>
      <c r="L1033">
        <v>0</v>
      </c>
      <c r="M1033">
        <v>0</v>
      </c>
      <c r="N1033">
        <v>0</v>
      </c>
      <c r="O1033">
        <v>0</v>
      </c>
    </row>
    <row r="1034" spans="1:15" x14ac:dyDescent="0.25">
      <c r="A1034" t="s">
        <v>1126</v>
      </c>
      <c r="B1034" t="s">
        <v>2130</v>
      </c>
      <c r="C1034" t="s">
        <v>927</v>
      </c>
      <c r="D1034" t="s">
        <v>3052</v>
      </c>
      <c r="E1034" t="s">
        <v>3053</v>
      </c>
      <c r="F1034" t="s">
        <v>347</v>
      </c>
      <c r="G1034" t="s">
        <v>348</v>
      </c>
      <c r="H1034" t="s">
        <v>11885</v>
      </c>
      <c r="I1034">
        <v>18</v>
      </c>
      <c r="J1034">
        <v>0</v>
      </c>
      <c r="K1034">
        <v>0</v>
      </c>
      <c r="L1034">
        <v>0</v>
      </c>
      <c r="M1034">
        <v>0</v>
      </c>
      <c r="N1034">
        <v>0</v>
      </c>
      <c r="O1034">
        <v>18</v>
      </c>
    </row>
    <row r="1035" spans="1:15" x14ac:dyDescent="0.25">
      <c r="A1035" t="s">
        <v>1025</v>
      </c>
      <c r="B1035" t="s">
        <v>2893</v>
      </c>
      <c r="C1035" t="s">
        <v>927</v>
      </c>
      <c r="D1035" t="s">
        <v>3052</v>
      </c>
      <c r="E1035" t="s">
        <v>3053</v>
      </c>
      <c r="F1035" t="s">
        <v>347</v>
      </c>
      <c r="G1035" t="s">
        <v>348</v>
      </c>
      <c r="H1035" t="s">
        <v>10177</v>
      </c>
      <c r="I1035">
        <v>8</v>
      </c>
      <c r="J1035">
        <v>0</v>
      </c>
      <c r="K1035">
        <v>0</v>
      </c>
      <c r="L1035">
        <v>0</v>
      </c>
      <c r="M1035">
        <v>0</v>
      </c>
      <c r="N1035">
        <v>0</v>
      </c>
      <c r="O1035">
        <v>8</v>
      </c>
    </row>
    <row r="1036" spans="1:15" x14ac:dyDescent="0.25">
      <c r="A1036" t="s">
        <v>10681</v>
      </c>
      <c r="B1036" t="s">
        <v>10680</v>
      </c>
      <c r="C1036" t="s">
        <v>927</v>
      </c>
      <c r="D1036" t="s">
        <v>3052</v>
      </c>
      <c r="E1036" t="s">
        <v>3053</v>
      </c>
      <c r="F1036" t="s">
        <v>347</v>
      </c>
      <c r="G1036" t="s">
        <v>348</v>
      </c>
      <c r="H1036" t="s">
        <v>14519</v>
      </c>
      <c r="I1036">
        <v>44</v>
      </c>
      <c r="J1036">
        <v>0</v>
      </c>
      <c r="K1036">
        <v>0</v>
      </c>
      <c r="L1036">
        <v>0</v>
      </c>
      <c r="M1036">
        <v>0</v>
      </c>
      <c r="N1036">
        <v>0</v>
      </c>
      <c r="O1036">
        <v>44</v>
      </c>
    </row>
    <row r="1037" spans="1:15" x14ac:dyDescent="0.25">
      <c r="A1037" t="s">
        <v>945</v>
      </c>
      <c r="B1037" t="s">
        <v>2668</v>
      </c>
      <c r="C1037" t="s">
        <v>927</v>
      </c>
      <c r="D1037" t="s">
        <v>3052</v>
      </c>
      <c r="E1037" t="s">
        <v>3053</v>
      </c>
      <c r="F1037" t="s">
        <v>347</v>
      </c>
      <c r="G1037" t="s">
        <v>348</v>
      </c>
      <c r="H1037" t="s">
        <v>3761</v>
      </c>
      <c r="I1037">
        <v>353</v>
      </c>
      <c r="J1037">
        <v>200</v>
      </c>
      <c r="K1037">
        <v>0</v>
      </c>
      <c r="L1037">
        <v>0</v>
      </c>
      <c r="M1037">
        <v>55</v>
      </c>
      <c r="N1037">
        <v>0</v>
      </c>
      <c r="O1037">
        <v>98</v>
      </c>
    </row>
    <row r="1038" spans="1:15" x14ac:dyDescent="0.25">
      <c r="A1038" t="s">
        <v>949</v>
      </c>
      <c r="B1038" t="s">
        <v>3035</v>
      </c>
      <c r="C1038" t="s">
        <v>927</v>
      </c>
      <c r="D1038" t="s">
        <v>3052</v>
      </c>
      <c r="E1038" t="s">
        <v>3053</v>
      </c>
      <c r="F1038" t="s">
        <v>347</v>
      </c>
      <c r="G1038" t="s">
        <v>348</v>
      </c>
      <c r="H1038" t="s">
        <v>3762</v>
      </c>
      <c r="I1038">
        <v>1</v>
      </c>
      <c r="J1038">
        <v>0</v>
      </c>
      <c r="K1038">
        <v>0</v>
      </c>
      <c r="L1038">
        <v>0</v>
      </c>
      <c r="M1038">
        <v>0</v>
      </c>
      <c r="N1038">
        <v>0</v>
      </c>
      <c r="O1038">
        <v>1</v>
      </c>
    </row>
    <row r="1039" spans="1:15" x14ac:dyDescent="0.25">
      <c r="A1039" t="s">
        <v>1041</v>
      </c>
      <c r="B1039" t="s">
        <v>2826</v>
      </c>
      <c r="C1039" t="s">
        <v>927</v>
      </c>
      <c r="D1039" t="s">
        <v>3052</v>
      </c>
      <c r="E1039" t="s">
        <v>3053</v>
      </c>
      <c r="F1039" t="s">
        <v>347</v>
      </c>
      <c r="G1039" t="s">
        <v>348</v>
      </c>
      <c r="H1039" t="s">
        <v>3763</v>
      </c>
      <c r="I1039">
        <v>44</v>
      </c>
      <c r="J1039">
        <v>0</v>
      </c>
      <c r="K1039">
        <v>0</v>
      </c>
      <c r="L1039">
        <v>0</v>
      </c>
      <c r="M1039">
        <v>0</v>
      </c>
      <c r="N1039">
        <v>0</v>
      </c>
      <c r="O1039">
        <v>44</v>
      </c>
    </row>
    <row r="1040" spans="1:15" x14ac:dyDescent="0.25">
      <c r="A1040" t="s">
        <v>9787</v>
      </c>
      <c r="B1040" t="s">
        <v>2822</v>
      </c>
      <c r="C1040" t="s">
        <v>927</v>
      </c>
      <c r="D1040" t="s">
        <v>3052</v>
      </c>
      <c r="E1040" t="s">
        <v>3053</v>
      </c>
      <c r="F1040" t="s">
        <v>347</v>
      </c>
      <c r="G1040" t="s">
        <v>348</v>
      </c>
      <c r="H1040" t="s">
        <v>10239</v>
      </c>
      <c r="I1040">
        <v>218</v>
      </c>
      <c r="J1040">
        <v>214</v>
      </c>
      <c r="K1040">
        <v>0</v>
      </c>
      <c r="L1040">
        <v>4</v>
      </c>
      <c r="M1040">
        <v>0</v>
      </c>
      <c r="N1040">
        <v>2</v>
      </c>
      <c r="O1040">
        <v>0</v>
      </c>
    </row>
    <row r="1041" spans="1:15" x14ac:dyDescent="0.25">
      <c r="A1041" t="s">
        <v>1140</v>
      </c>
      <c r="B1041" t="s">
        <v>2697</v>
      </c>
      <c r="C1041" t="s">
        <v>927</v>
      </c>
      <c r="D1041" t="s">
        <v>3052</v>
      </c>
      <c r="E1041" t="s">
        <v>3053</v>
      </c>
      <c r="F1041" t="s">
        <v>347</v>
      </c>
      <c r="G1041" t="s">
        <v>348</v>
      </c>
      <c r="H1041" t="s">
        <v>3764</v>
      </c>
      <c r="I1041">
        <v>1</v>
      </c>
      <c r="J1041">
        <v>0</v>
      </c>
      <c r="K1041">
        <v>0</v>
      </c>
      <c r="L1041">
        <v>0</v>
      </c>
      <c r="M1041">
        <v>0</v>
      </c>
      <c r="N1041">
        <v>0</v>
      </c>
      <c r="O1041">
        <v>1</v>
      </c>
    </row>
    <row r="1042" spans="1:15" x14ac:dyDescent="0.25">
      <c r="A1042" t="s">
        <v>1146</v>
      </c>
      <c r="B1042" t="s">
        <v>2117</v>
      </c>
      <c r="C1042" t="s">
        <v>927</v>
      </c>
      <c r="D1042" t="s">
        <v>3052</v>
      </c>
      <c r="E1042" t="s">
        <v>3053</v>
      </c>
      <c r="F1042" t="s">
        <v>347</v>
      </c>
      <c r="G1042" t="s">
        <v>348</v>
      </c>
      <c r="H1042" t="s">
        <v>10878</v>
      </c>
      <c r="I1042">
        <v>8</v>
      </c>
      <c r="J1042">
        <v>0</v>
      </c>
      <c r="K1042">
        <v>0</v>
      </c>
      <c r="L1042">
        <v>8</v>
      </c>
      <c r="M1042">
        <v>0</v>
      </c>
      <c r="N1042">
        <v>0</v>
      </c>
      <c r="O1042">
        <v>0</v>
      </c>
    </row>
    <row r="1043" spans="1:15" x14ac:dyDescent="0.25">
      <c r="A1043" t="s">
        <v>951</v>
      </c>
      <c r="B1043" t="s">
        <v>2680</v>
      </c>
      <c r="C1043" t="s">
        <v>927</v>
      </c>
      <c r="D1043" t="s">
        <v>3052</v>
      </c>
      <c r="E1043" t="s">
        <v>3053</v>
      </c>
      <c r="F1043" t="s">
        <v>347</v>
      </c>
      <c r="G1043" t="s">
        <v>348</v>
      </c>
      <c r="H1043" t="s">
        <v>3765</v>
      </c>
      <c r="I1043">
        <v>71</v>
      </c>
      <c r="J1043">
        <v>71</v>
      </c>
      <c r="K1043">
        <v>0</v>
      </c>
      <c r="L1043">
        <v>0</v>
      </c>
      <c r="M1043">
        <v>0</v>
      </c>
      <c r="N1043">
        <v>0</v>
      </c>
      <c r="O1043">
        <v>0</v>
      </c>
    </row>
    <row r="1044" spans="1:15" x14ac:dyDescent="0.25">
      <c r="A1044" t="s">
        <v>1642</v>
      </c>
      <c r="B1044" t="s">
        <v>2638</v>
      </c>
      <c r="C1044" t="s">
        <v>923</v>
      </c>
      <c r="D1044" t="s">
        <v>3063</v>
      </c>
      <c r="E1044" t="s">
        <v>3053</v>
      </c>
      <c r="F1044" t="s">
        <v>347</v>
      </c>
      <c r="G1044" t="s">
        <v>348</v>
      </c>
      <c r="H1044" t="s">
        <v>3766</v>
      </c>
      <c r="I1044">
        <v>44</v>
      </c>
      <c r="J1044">
        <v>0</v>
      </c>
      <c r="K1044">
        <v>0</v>
      </c>
      <c r="L1044">
        <v>0</v>
      </c>
      <c r="M1044">
        <v>44</v>
      </c>
      <c r="N1044">
        <v>0</v>
      </c>
      <c r="O1044">
        <v>0</v>
      </c>
    </row>
    <row r="1045" spans="1:15" x14ac:dyDescent="0.25">
      <c r="A1045" t="s">
        <v>953</v>
      </c>
      <c r="B1045" t="s">
        <v>2014</v>
      </c>
      <c r="C1045" t="s">
        <v>927</v>
      </c>
      <c r="D1045" t="s">
        <v>3052</v>
      </c>
      <c r="E1045" t="s">
        <v>3053</v>
      </c>
      <c r="F1045" t="s">
        <v>347</v>
      </c>
      <c r="G1045" t="s">
        <v>348</v>
      </c>
      <c r="H1045" t="s">
        <v>3767</v>
      </c>
      <c r="I1045">
        <v>16</v>
      </c>
      <c r="J1045">
        <v>0</v>
      </c>
      <c r="K1045">
        <v>0</v>
      </c>
      <c r="L1045">
        <v>16</v>
      </c>
      <c r="M1045">
        <v>0</v>
      </c>
      <c r="N1045">
        <v>0</v>
      </c>
      <c r="O1045">
        <v>0</v>
      </c>
    </row>
    <row r="1046" spans="1:15" x14ac:dyDescent="0.25">
      <c r="A1046" t="s">
        <v>955</v>
      </c>
      <c r="B1046" t="s">
        <v>2660</v>
      </c>
      <c r="C1046" t="s">
        <v>927</v>
      </c>
      <c r="D1046" t="s">
        <v>3052</v>
      </c>
      <c r="E1046" t="s">
        <v>3053</v>
      </c>
      <c r="F1046" t="s">
        <v>347</v>
      </c>
      <c r="G1046" t="s">
        <v>348</v>
      </c>
      <c r="H1046" t="s">
        <v>3768</v>
      </c>
      <c r="I1046">
        <v>647</v>
      </c>
      <c r="J1046">
        <v>383</v>
      </c>
      <c r="K1046">
        <v>0</v>
      </c>
      <c r="L1046">
        <v>128</v>
      </c>
      <c r="M1046">
        <v>119</v>
      </c>
      <c r="N1046">
        <v>1</v>
      </c>
      <c r="O1046">
        <v>17</v>
      </c>
    </row>
    <row r="1047" spans="1:15" x14ac:dyDescent="0.25">
      <c r="A1047" t="s">
        <v>1654</v>
      </c>
      <c r="B1047" t="s">
        <v>2850</v>
      </c>
      <c r="C1047" t="s">
        <v>927</v>
      </c>
      <c r="D1047" t="s">
        <v>3052</v>
      </c>
      <c r="E1047" t="s">
        <v>3053</v>
      </c>
      <c r="F1047" t="s">
        <v>347</v>
      </c>
      <c r="G1047" t="s">
        <v>348</v>
      </c>
      <c r="H1047" t="s">
        <v>3769</v>
      </c>
      <c r="I1047">
        <v>30</v>
      </c>
      <c r="J1047">
        <v>17</v>
      </c>
      <c r="K1047">
        <v>0</v>
      </c>
      <c r="L1047">
        <v>0</v>
      </c>
      <c r="M1047">
        <v>13</v>
      </c>
      <c r="N1047">
        <v>0</v>
      </c>
      <c r="O1047">
        <v>0</v>
      </c>
    </row>
    <row r="1048" spans="1:15" x14ac:dyDescent="0.25">
      <c r="A1048" t="s">
        <v>1155</v>
      </c>
      <c r="B1048" t="s">
        <v>2912</v>
      </c>
      <c r="C1048" t="s">
        <v>927</v>
      </c>
      <c r="D1048" t="s">
        <v>3052</v>
      </c>
      <c r="E1048" t="s">
        <v>3053</v>
      </c>
      <c r="F1048" t="s">
        <v>347</v>
      </c>
      <c r="G1048" t="s">
        <v>348</v>
      </c>
      <c r="H1048" t="s">
        <v>3770</v>
      </c>
      <c r="I1048">
        <v>1</v>
      </c>
      <c r="J1048">
        <v>0</v>
      </c>
      <c r="K1048">
        <v>0</v>
      </c>
      <c r="L1048">
        <v>0</v>
      </c>
      <c r="M1048">
        <v>0</v>
      </c>
      <c r="N1048">
        <v>0</v>
      </c>
      <c r="O1048">
        <v>1</v>
      </c>
    </row>
    <row r="1049" spans="1:15" x14ac:dyDescent="0.25">
      <c r="A1049" t="s">
        <v>1661</v>
      </c>
      <c r="B1049" t="s">
        <v>2764</v>
      </c>
      <c r="C1049" t="s">
        <v>923</v>
      </c>
      <c r="D1049" t="s">
        <v>3063</v>
      </c>
      <c r="E1049" t="s">
        <v>3053</v>
      </c>
      <c r="F1049" t="s">
        <v>347</v>
      </c>
      <c r="G1049" t="s">
        <v>348</v>
      </c>
      <c r="H1049" t="s">
        <v>3771</v>
      </c>
      <c r="I1049">
        <v>160</v>
      </c>
      <c r="J1049">
        <v>0</v>
      </c>
      <c r="K1049">
        <v>0</v>
      </c>
      <c r="L1049">
        <v>160</v>
      </c>
      <c r="M1049">
        <v>0</v>
      </c>
      <c r="N1049">
        <v>1</v>
      </c>
      <c r="O1049">
        <v>0</v>
      </c>
    </row>
    <row r="1050" spans="1:15" x14ac:dyDescent="0.25">
      <c r="A1050" t="s">
        <v>1341</v>
      </c>
      <c r="B1050" t="s">
        <v>2954</v>
      </c>
      <c r="C1050" t="s">
        <v>923</v>
      </c>
      <c r="D1050" t="s">
        <v>3063</v>
      </c>
      <c r="E1050" t="s">
        <v>3053</v>
      </c>
      <c r="F1050" t="s">
        <v>347</v>
      </c>
      <c r="G1050" t="s">
        <v>348</v>
      </c>
      <c r="H1050" t="s">
        <v>11886</v>
      </c>
      <c r="I1050">
        <v>31</v>
      </c>
      <c r="J1050">
        <v>31</v>
      </c>
      <c r="K1050">
        <v>0</v>
      </c>
      <c r="L1050">
        <v>0</v>
      </c>
      <c r="M1050">
        <v>0</v>
      </c>
      <c r="N1050">
        <v>0</v>
      </c>
      <c r="O1050">
        <v>0</v>
      </c>
    </row>
    <row r="1051" spans="1:15" x14ac:dyDescent="0.25">
      <c r="A1051" t="s">
        <v>11663</v>
      </c>
      <c r="B1051" t="s">
        <v>11768</v>
      </c>
      <c r="C1051" t="s">
        <v>927</v>
      </c>
      <c r="D1051" t="s">
        <v>3052</v>
      </c>
      <c r="E1051" t="s">
        <v>3053</v>
      </c>
      <c r="F1051" t="s">
        <v>347</v>
      </c>
      <c r="G1051" t="s">
        <v>348</v>
      </c>
      <c r="H1051" t="s">
        <v>11887</v>
      </c>
      <c r="I1051">
        <v>1577</v>
      </c>
      <c r="J1051">
        <v>1053</v>
      </c>
      <c r="K1051">
        <v>0</v>
      </c>
      <c r="L1051">
        <v>0</v>
      </c>
      <c r="M1051">
        <v>180</v>
      </c>
      <c r="N1051">
        <v>17</v>
      </c>
      <c r="O1051">
        <v>344</v>
      </c>
    </row>
    <row r="1052" spans="1:15" x14ac:dyDescent="0.25">
      <c r="A1052" t="s">
        <v>14374</v>
      </c>
      <c r="B1052" t="s">
        <v>1943</v>
      </c>
      <c r="C1052" t="s">
        <v>927</v>
      </c>
      <c r="D1052" t="s">
        <v>3052</v>
      </c>
      <c r="E1052" t="s">
        <v>3053</v>
      </c>
      <c r="F1052" t="s">
        <v>347</v>
      </c>
      <c r="G1052" t="s">
        <v>348</v>
      </c>
      <c r="H1052" t="s">
        <v>14520</v>
      </c>
      <c r="I1052">
        <v>7</v>
      </c>
      <c r="J1052">
        <v>0</v>
      </c>
      <c r="K1052">
        <v>0</v>
      </c>
      <c r="L1052">
        <v>0</v>
      </c>
      <c r="M1052">
        <v>0</v>
      </c>
      <c r="N1052">
        <v>0</v>
      </c>
      <c r="O1052">
        <v>7</v>
      </c>
    </row>
    <row r="1053" spans="1:15" x14ac:dyDescent="0.25">
      <c r="A1053" t="s">
        <v>1158</v>
      </c>
      <c r="B1053" t="s">
        <v>2922</v>
      </c>
      <c r="C1053" t="s">
        <v>927</v>
      </c>
      <c r="D1053" t="s">
        <v>3052</v>
      </c>
      <c r="E1053" t="s">
        <v>3053</v>
      </c>
      <c r="F1053" t="s">
        <v>347</v>
      </c>
      <c r="G1053" t="s">
        <v>348</v>
      </c>
      <c r="H1053" t="s">
        <v>3772</v>
      </c>
      <c r="I1053">
        <v>23</v>
      </c>
      <c r="J1053">
        <v>23</v>
      </c>
      <c r="K1053">
        <v>0</v>
      </c>
      <c r="L1053">
        <v>0</v>
      </c>
      <c r="M1053">
        <v>0</v>
      </c>
      <c r="N1053">
        <v>0</v>
      </c>
      <c r="O1053">
        <v>0</v>
      </c>
    </row>
    <row r="1054" spans="1:15" x14ac:dyDescent="0.25">
      <c r="A1054" t="s">
        <v>962</v>
      </c>
      <c r="B1054" t="s">
        <v>2752</v>
      </c>
      <c r="C1054" t="s">
        <v>927</v>
      </c>
      <c r="D1054" t="s">
        <v>3052</v>
      </c>
      <c r="E1054" t="s">
        <v>3053</v>
      </c>
      <c r="F1054" t="s">
        <v>347</v>
      </c>
      <c r="G1054" t="s">
        <v>348</v>
      </c>
      <c r="H1054" t="s">
        <v>3773</v>
      </c>
      <c r="I1054">
        <v>84</v>
      </c>
      <c r="J1054">
        <v>46</v>
      </c>
      <c r="K1054">
        <v>0</v>
      </c>
      <c r="L1054">
        <v>0</v>
      </c>
      <c r="M1054">
        <v>29</v>
      </c>
      <c r="N1054">
        <v>0</v>
      </c>
      <c r="O1054">
        <v>9</v>
      </c>
    </row>
    <row r="1055" spans="1:15" x14ac:dyDescent="0.25">
      <c r="A1055" t="s">
        <v>11709</v>
      </c>
      <c r="B1055" t="s">
        <v>2913</v>
      </c>
      <c r="C1055" t="s">
        <v>923</v>
      </c>
      <c r="D1055" t="s">
        <v>3063</v>
      </c>
      <c r="E1055" t="s">
        <v>3053</v>
      </c>
      <c r="F1055" t="s">
        <v>347</v>
      </c>
      <c r="G1055" t="s">
        <v>348</v>
      </c>
      <c r="H1055" t="s">
        <v>11888</v>
      </c>
      <c r="I1055">
        <v>61</v>
      </c>
      <c r="J1055">
        <v>0</v>
      </c>
      <c r="K1055">
        <v>0</v>
      </c>
      <c r="L1055">
        <v>0</v>
      </c>
      <c r="M1055">
        <v>61</v>
      </c>
      <c r="N1055">
        <v>0</v>
      </c>
      <c r="O1055">
        <v>0</v>
      </c>
    </row>
    <row r="1056" spans="1:15" x14ac:dyDescent="0.25">
      <c r="A1056" t="s">
        <v>1665</v>
      </c>
      <c r="B1056" t="s">
        <v>2958</v>
      </c>
      <c r="C1056" t="s">
        <v>923</v>
      </c>
      <c r="D1056" t="s">
        <v>3063</v>
      </c>
      <c r="E1056" t="s">
        <v>3053</v>
      </c>
      <c r="F1056" t="s">
        <v>347</v>
      </c>
      <c r="G1056" t="s">
        <v>348</v>
      </c>
      <c r="H1056" t="s">
        <v>3774</v>
      </c>
      <c r="I1056">
        <v>14</v>
      </c>
      <c r="J1056">
        <v>14</v>
      </c>
      <c r="K1056">
        <v>0</v>
      </c>
      <c r="L1056">
        <v>0</v>
      </c>
      <c r="M1056">
        <v>0</v>
      </c>
      <c r="N1056">
        <v>0</v>
      </c>
      <c r="O1056">
        <v>0</v>
      </c>
    </row>
    <row r="1057" spans="1:15" x14ac:dyDescent="0.25">
      <c r="A1057" t="s">
        <v>1353</v>
      </c>
      <c r="B1057" t="s">
        <v>2927</v>
      </c>
      <c r="C1057" t="s">
        <v>923</v>
      </c>
      <c r="D1057" t="s">
        <v>3063</v>
      </c>
      <c r="E1057" t="s">
        <v>3053</v>
      </c>
      <c r="F1057" t="s">
        <v>347</v>
      </c>
      <c r="G1057" t="s">
        <v>348</v>
      </c>
      <c r="H1057" t="s">
        <v>3775</v>
      </c>
      <c r="I1057">
        <v>27</v>
      </c>
      <c r="J1057">
        <v>0</v>
      </c>
      <c r="K1057">
        <v>0</v>
      </c>
      <c r="L1057">
        <v>0</v>
      </c>
      <c r="M1057">
        <v>27</v>
      </c>
      <c r="N1057">
        <v>0</v>
      </c>
      <c r="O1057">
        <v>0</v>
      </c>
    </row>
    <row r="1058" spans="1:15" x14ac:dyDescent="0.25">
      <c r="A1058" t="s">
        <v>1676</v>
      </c>
      <c r="B1058" t="s">
        <v>2762</v>
      </c>
      <c r="C1058" t="s">
        <v>923</v>
      </c>
      <c r="D1058" t="s">
        <v>3063</v>
      </c>
      <c r="E1058" t="s">
        <v>3053</v>
      </c>
      <c r="F1058" t="s">
        <v>347</v>
      </c>
      <c r="G1058" t="s">
        <v>348</v>
      </c>
      <c r="H1058" t="s">
        <v>3776</v>
      </c>
      <c r="I1058">
        <v>15</v>
      </c>
      <c r="J1058">
        <v>15</v>
      </c>
      <c r="K1058">
        <v>0</v>
      </c>
      <c r="L1058">
        <v>0</v>
      </c>
      <c r="M1058">
        <v>0</v>
      </c>
      <c r="N1058">
        <v>0</v>
      </c>
      <c r="O1058">
        <v>0</v>
      </c>
    </row>
    <row r="1059" spans="1:15" x14ac:dyDescent="0.25">
      <c r="A1059" t="s">
        <v>1069</v>
      </c>
      <c r="B1059" t="s">
        <v>2001</v>
      </c>
      <c r="C1059" t="s">
        <v>927</v>
      </c>
      <c r="D1059" t="s">
        <v>3052</v>
      </c>
      <c r="E1059" t="s">
        <v>3053</v>
      </c>
      <c r="F1059" t="s">
        <v>347</v>
      </c>
      <c r="G1059" t="s">
        <v>348</v>
      </c>
      <c r="H1059" t="s">
        <v>3777</v>
      </c>
      <c r="I1059">
        <v>575</v>
      </c>
      <c r="J1059">
        <v>547</v>
      </c>
      <c r="K1059">
        <v>0</v>
      </c>
      <c r="L1059">
        <v>1</v>
      </c>
      <c r="M1059">
        <v>18</v>
      </c>
      <c r="N1059">
        <v>0</v>
      </c>
      <c r="O1059">
        <v>9</v>
      </c>
    </row>
    <row r="1060" spans="1:15" x14ac:dyDescent="0.25">
      <c r="A1060" t="s">
        <v>1072</v>
      </c>
      <c r="B1060" t="s">
        <v>2907</v>
      </c>
      <c r="C1060" t="s">
        <v>927</v>
      </c>
      <c r="D1060" t="s">
        <v>3052</v>
      </c>
      <c r="E1060" t="s">
        <v>3053</v>
      </c>
      <c r="F1060" t="s">
        <v>347</v>
      </c>
      <c r="G1060" t="s">
        <v>348</v>
      </c>
      <c r="H1060" t="s">
        <v>3778</v>
      </c>
      <c r="I1060">
        <v>33</v>
      </c>
      <c r="J1060">
        <v>0</v>
      </c>
      <c r="K1060">
        <v>0</v>
      </c>
      <c r="L1060">
        <v>33</v>
      </c>
      <c r="M1060">
        <v>0</v>
      </c>
      <c r="N1060">
        <v>0</v>
      </c>
      <c r="O1060">
        <v>0</v>
      </c>
    </row>
    <row r="1061" spans="1:15" x14ac:dyDescent="0.25">
      <c r="A1061" t="s">
        <v>10774</v>
      </c>
      <c r="B1061" t="s">
        <v>10773</v>
      </c>
      <c r="C1061" t="s">
        <v>923</v>
      </c>
      <c r="D1061" t="s">
        <v>3063</v>
      </c>
      <c r="E1061" t="s">
        <v>3053</v>
      </c>
      <c r="F1061" t="s">
        <v>347</v>
      </c>
      <c r="G1061" t="s">
        <v>348</v>
      </c>
      <c r="H1061" t="s">
        <v>10879</v>
      </c>
      <c r="I1061">
        <v>66</v>
      </c>
      <c r="J1061">
        <v>12</v>
      </c>
      <c r="K1061">
        <v>54</v>
      </c>
      <c r="L1061">
        <v>0</v>
      </c>
      <c r="M1061">
        <v>0</v>
      </c>
      <c r="N1061">
        <v>0</v>
      </c>
      <c r="O1061">
        <v>0</v>
      </c>
    </row>
    <row r="1062" spans="1:15" x14ac:dyDescent="0.25">
      <c r="A1062" t="s">
        <v>1080</v>
      </c>
      <c r="B1062" t="s">
        <v>2030</v>
      </c>
      <c r="C1062" t="s">
        <v>923</v>
      </c>
      <c r="D1062" t="s">
        <v>3063</v>
      </c>
      <c r="E1062" t="s">
        <v>3053</v>
      </c>
      <c r="F1062" t="s">
        <v>347</v>
      </c>
      <c r="G1062" t="s">
        <v>348</v>
      </c>
      <c r="H1062" t="s">
        <v>3779</v>
      </c>
      <c r="I1062">
        <v>7</v>
      </c>
      <c r="J1062">
        <v>0</v>
      </c>
      <c r="K1062">
        <v>0</v>
      </c>
      <c r="L1062">
        <v>7</v>
      </c>
      <c r="M1062">
        <v>0</v>
      </c>
      <c r="N1062">
        <v>0</v>
      </c>
      <c r="O1062">
        <v>0</v>
      </c>
    </row>
    <row r="1063" spans="1:15" x14ac:dyDescent="0.25">
      <c r="A1063" t="s">
        <v>1697</v>
      </c>
      <c r="B1063" t="s">
        <v>3009</v>
      </c>
      <c r="C1063" t="s">
        <v>927</v>
      </c>
      <c r="D1063" t="s">
        <v>3052</v>
      </c>
      <c r="E1063" t="s">
        <v>3053</v>
      </c>
      <c r="F1063" t="s">
        <v>347</v>
      </c>
      <c r="G1063" t="s">
        <v>348</v>
      </c>
      <c r="H1063" t="s">
        <v>3780</v>
      </c>
      <c r="I1063">
        <v>28</v>
      </c>
      <c r="J1063">
        <v>28</v>
      </c>
      <c r="K1063">
        <v>0</v>
      </c>
      <c r="L1063">
        <v>0</v>
      </c>
      <c r="M1063">
        <v>0</v>
      </c>
      <c r="N1063">
        <v>0</v>
      </c>
      <c r="O1063">
        <v>0</v>
      </c>
    </row>
    <row r="1064" spans="1:15" x14ac:dyDescent="0.25">
      <c r="A1064" t="s">
        <v>1699</v>
      </c>
      <c r="B1064" t="s">
        <v>1949</v>
      </c>
      <c r="C1064" t="s">
        <v>923</v>
      </c>
      <c r="D1064" t="s">
        <v>3063</v>
      </c>
      <c r="E1064" t="s">
        <v>3053</v>
      </c>
      <c r="F1064" t="s">
        <v>347</v>
      </c>
      <c r="G1064" t="s">
        <v>348</v>
      </c>
      <c r="H1064" t="s">
        <v>3781</v>
      </c>
      <c r="I1064">
        <v>4</v>
      </c>
      <c r="J1064">
        <v>0</v>
      </c>
      <c r="K1064">
        <v>0</v>
      </c>
      <c r="L1064">
        <v>4</v>
      </c>
      <c r="M1064">
        <v>0</v>
      </c>
      <c r="N1064">
        <v>0</v>
      </c>
      <c r="O1064">
        <v>0</v>
      </c>
    </row>
    <row r="1065" spans="1:15" x14ac:dyDescent="0.25">
      <c r="A1065" t="s">
        <v>1702</v>
      </c>
      <c r="B1065" t="s">
        <v>2538</v>
      </c>
      <c r="C1065" t="s">
        <v>923</v>
      </c>
      <c r="D1065" t="s">
        <v>3063</v>
      </c>
      <c r="E1065" t="s">
        <v>3053</v>
      </c>
      <c r="F1065" t="s">
        <v>349</v>
      </c>
      <c r="G1065" t="s">
        <v>350</v>
      </c>
      <c r="H1065" t="s">
        <v>11546</v>
      </c>
      <c r="I1065">
        <v>42</v>
      </c>
      <c r="J1065">
        <v>0</v>
      </c>
      <c r="K1065">
        <v>0</v>
      </c>
      <c r="L1065">
        <v>0</v>
      </c>
      <c r="M1065">
        <v>42</v>
      </c>
      <c r="N1065">
        <v>0</v>
      </c>
      <c r="O1065">
        <v>0</v>
      </c>
    </row>
    <row r="1066" spans="1:15" x14ac:dyDescent="0.25">
      <c r="A1066" t="s">
        <v>10568</v>
      </c>
      <c r="B1066" t="s">
        <v>10567</v>
      </c>
      <c r="C1066" t="s">
        <v>927</v>
      </c>
      <c r="D1066" t="s">
        <v>3052</v>
      </c>
      <c r="E1066" t="s">
        <v>3053</v>
      </c>
      <c r="F1066" t="s">
        <v>349</v>
      </c>
      <c r="G1066" t="s">
        <v>350</v>
      </c>
      <c r="H1066" t="s">
        <v>11547</v>
      </c>
      <c r="I1066">
        <v>316</v>
      </c>
      <c r="J1066">
        <v>182</v>
      </c>
      <c r="K1066">
        <v>0</v>
      </c>
      <c r="L1066">
        <v>0</v>
      </c>
      <c r="M1066">
        <v>0</v>
      </c>
      <c r="N1066">
        <v>0</v>
      </c>
      <c r="O1066">
        <v>134</v>
      </c>
    </row>
    <row r="1067" spans="1:15" x14ac:dyDescent="0.25">
      <c r="A1067" t="s">
        <v>926</v>
      </c>
      <c r="B1067" t="s">
        <v>2923</v>
      </c>
      <c r="C1067" t="s">
        <v>927</v>
      </c>
      <c r="D1067" t="s">
        <v>3052</v>
      </c>
      <c r="E1067" t="s">
        <v>3053</v>
      </c>
      <c r="F1067" t="s">
        <v>349</v>
      </c>
      <c r="G1067" t="s">
        <v>350</v>
      </c>
      <c r="H1067" t="s">
        <v>11548</v>
      </c>
      <c r="I1067">
        <v>41</v>
      </c>
      <c r="J1067">
        <v>0</v>
      </c>
      <c r="K1067">
        <v>0</v>
      </c>
      <c r="L1067">
        <v>29</v>
      </c>
      <c r="M1067">
        <v>0</v>
      </c>
      <c r="N1067">
        <v>0</v>
      </c>
      <c r="O1067">
        <v>12</v>
      </c>
    </row>
    <row r="1068" spans="1:15" x14ac:dyDescent="0.25">
      <c r="A1068" t="s">
        <v>929</v>
      </c>
      <c r="B1068" t="s">
        <v>2999</v>
      </c>
      <c r="C1068" t="s">
        <v>927</v>
      </c>
      <c r="D1068" t="s">
        <v>3052</v>
      </c>
      <c r="E1068" t="s">
        <v>3053</v>
      </c>
      <c r="F1068" t="s">
        <v>349</v>
      </c>
      <c r="G1068" t="s">
        <v>350</v>
      </c>
      <c r="H1068" t="s">
        <v>11549</v>
      </c>
      <c r="I1068">
        <v>163</v>
      </c>
      <c r="J1068">
        <v>0</v>
      </c>
      <c r="K1068">
        <v>0</v>
      </c>
      <c r="L1068">
        <v>0</v>
      </c>
      <c r="M1068">
        <v>122</v>
      </c>
      <c r="N1068">
        <v>0</v>
      </c>
      <c r="O1068">
        <v>41</v>
      </c>
    </row>
    <row r="1069" spans="1:15" x14ac:dyDescent="0.25">
      <c r="A1069" t="s">
        <v>1703</v>
      </c>
      <c r="B1069" t="s">
        <v>1992</v>
      </c>
      <c r="C1069" t="s">
        <v>923</v>
      </c>
      <c r="D1069" t="s">
        <v>3063</v>
      </c>
      <c r="E1069" t="s">
        <v>3053</v>
      </c>
      <c r="F1069" t="s">
        <v>349</v>
      </c>
      <c r="G1069" t="s">
        <v>350</v>
      </c>
      <c r="H1069" t="s">
        <v>11550</v>
      </c>
      <c r="I1069">
        <v>217</v>
      </c>
      <c r="J1069">
        <v>7</v>
      </c>
      <c r="K1069">
        <v>30</v>
      </c>
      <c r="L1069">
        <v>180</v>
      </c>
      <c r="M1069">
        <v>0</v>
      </c>
      <c r="N1069">
        <v>0</v>
      </c>
      <c r="O1069">
        <v>0</v>
      </c>
    </row>
    <row r="1070" spans="1:15" x14ac:dyDescent="0.25">
      <c r="A1070" t="s">
        <v>931</v>
      </c>
      <c r="B1070" t="s">
        <v>1978</v>
      </c>
      <c r="C1070" t="s">
        <v>927</v>
      </c>
      <c r="D1070" t="s">
        <v>3052</v>
      </c>
      <c r="E1070" t="s">
        <v>3053</v>
      </c>
      <c r="F1070" t="s">
        <v>349</v>
      </c>
      <c r="G1070" t="s">
        <v>350</v>
      </c>
      <c r="H1070" t="s">
        <v>11551</v>
      </c>
      <c r="I1070">
        <v>85</v>
      </c>
      <c r="J1070">
        <v>22</v>
      </c>
      <c r="K1070">
        <v>0</v>
      </c>
      <c r="L1070">
        <v>0</v>
      </c>
      <c r="M1070">
        <v>0</v>
      </c>
      <c r="N1070">
        <v>0</v>
      </c>
      <c r="O1070">
        <v>63</v>
      </c>
    </row>
    <row r="1071" spans="1:15" x14ac:dyDescent="0.25">
      <c r="A1071" t="s">
        <v>9784</v>
      </c>
      <c r="B1071" t="s">
        <v>1994</v>
      </c>
      <c r="C1071" t="s">
        <v>927</v>
      </c>
      <c r="D1071" t="s">
        <v>3052</v>
      </c>
      <c r="E1071" t="s">
        <v>3053</v>
      </c>
      <c r="F1071" t="s">
        <v>349</v>
      </c>
      <c r="G1071" t="s">
        <v>350</v>
      </c>
      <c r="H1071" t="s">
        <v>11552</v>
      </c>
      <c r="I1071">
        <v>4</v>
      </c>
      <c r="J1071">
        <v>0</v>
      </c>
      <c r="K1071">
        <v>0</v>
      </c>
      <c r="L1071">
        <v>4</v>
      </c>
      <c r="M1071">
        <v>0</v>
      </c>
      <c r="N1071">
        <v>0</v>
      </c>
      <c r="O1071">
        <v>0</v>
      </c>
    </row>
    <row r="1072" spans="1:15" x14ac:dyDescent="0.25">
      <c r="A1072" t="s">
        <v>14400</v>
      </c>
      <c r="B1072" t="s">
        <v>14521</v>
      </c>
      <c r="C1072" t="s">
        <v>923</v>
      </c>
      <c r="D1072" t="s">
        <v>3063</v>
      </c>
      <c r="E1072" t="s">
        <v>3053</v>
      </c>
      <c r="F1072" t="s">
        <v>349</v>
      </c>
      <c r="G1072" t="s">
        <v>350</v>
      </c>
      <c r="H1072" t="s">
        <v>14522</v>
      </c>
      <c r="I1072">
        <v>10</v>
      </c>
      <c r="J1072">
        <v>10</v>
      </c>
      <c r="K1072">
        <v>0</v>
      </c>
      <c r="L1072">
        <v>0</v>
      </c>
      <c r="M1072">
        <v>0</v>
      </c>
      <c r="N1072">
        <v>0</v>
      </c>
      <c r="O1072">
        <v>0</v>
      </c>
    </row>
    <row r="1073" spans="1:15" x14ac:dyDescent="0.25">
      <c r="A1073" t="s">
        <v>9836</v>
      </c>
      <c r="B1073" t="s">
        <v>2808</v>
      </c>
      <c r="C1073" t="s">
        <v>927</v>
      </c>
      <c r="D1073" t="s">
        <v>3052</v>
      </c>
      <c r="E1073" t="s">
        <v>3053</v>
      </c>
      <c r="F1073" t="s">
        <v>349</v>
      </c>
      <c r="G1073" t="s">
        <v>350</v>
      </c>
      <c r="H1073" t="s">
        <v>11553</v>
      </c>
      <c r="I1073">
        <v>2654</v>
      </c>
      <c r="J1073">
        <v>2368</v>
      </c>
      <c r="K1073">
        <v>0</v>
      </c>
      <c r="L1073">
        <v>118</v>
      </c>
      <c r="M1073">
        <v>38</v>
      </c>
      <c r="N1073">
        <v>59</v>
      </c>
      <c r="O1073">
        <v>130</v>
      </c>
    </row>
    <row r="1074" spans="1:15" x14ac:dyDescent="0.25">
      <c r="A1074" t="s">
        <v>1708</v>
      </c>
      <c r="B1074" t="s">
        <v>2056</v>
      </c>
      <c r="C1074" t="s">
        <v>923</v>
      </c>
      <c r="D1074" t="s">
        <v>3063</v>
      </c>
      <c r="E1074" t="s">
        <v>3053</v>
      </c>
      <c r="F1074" t="s">
        <v>349</v>
      </c>
      <c r="G1074" t="s">
        <v>350</v>
      </c>
      <c r="H1074" t="s">
        <v>11554</v>
      </c>
      <c r="I1074">
        <v>5</v>
      </c>
      <c r="J1074">
        <v>5</v>
      </c>
      <c r="K1074">
        <v>0</v>
      </c>
      <c r="L1074">
        <v>0</v>
      </c>
      <c r="M1074">
        <v>0</v>
      </c>
      <c r="N1074">
        <v>0</v>
      </c>
      <c r="O1074">
        <v>0</v>
      </c>
    </row>
    <row r="1075" spans="1:15" x14ac:dyDescent="0.25">
      <c r="A1075" t="s">
        <v>1707</v>
      </c>
      <c r="B1075" t="s">
        <v>2343</v>
      </c>
      <c r="C1075" t="s">
        <v>923</v>
      </c>
      <c r="D1075" t="s">
        <v>3063</v>
      </c>
      <c r="E1075" t="s">
        <v>3053</v>
      </c>
      <c r="F1075" t="s">
        <v>349</v>
      </c>
      <c r="G1075" t="s">
        <v>350</v>
      </c>
      <c r="H1075" t="s">
        <v>11555</v>
      </c>
      <c r="I1075">
        <v>22</v>
      </c>
      <c r="J1075">
        <v>0</v>
      </c>
      <c r="K1075">
        <v>0</v>
      </c>
      <c r="L1075">
        <v>22</v>
      </c>
      <c r="M1075">
        <v>0</v>
      </c>
      <c r="N1075">
        <v>0</v>
      </c>
      <c r="O1075">
        <v>0</v>
      </c>
    </row>
    <row r="1076" spans="1:15" x14ac:dyDescent="0.25">
      <c r="A1076" t="s">
        <v>1709</v>
      </c>
      <c r="B1076" t="s">
        <v>2769</v>
      </c>
      <c r="C1076" t="s">
        <v>923</v>
      </c>
      <c r="D1076" t="s">
        <v>3063</v>
      </c>
      <c r="E1076" t="s">
        <v>3053</v>
      </c>
      <c r="F1076" t="s">
        <v>349</v>
      </c>
      <c r="G1076" t="s">
        <v>350</v>
      </c>
      <c r="H1076" t="s">
        <v>11556</v>
      </c>
      <c r="I1076">
        <v>46</v>
      </c>
      <c r="J1076">
        <v>46</v>
      </c>
      <c r="K1076">
        <v>0</v>
      </c>
      <c r="L1076">
        <v>0</v>
      </c>
      <c r="M1076">
        <v>0</v>
      </c>
      <c r="N1076">
        <v>0</v>
      </c>
      <c r="O1076">
        <v>0</v>
      </c>
    </row>
    <row r="1077" spans="1:15" x14ac:dyDescent="0.25">
      <c r="A1077" t="s">
        <v>1710</v>
      </c>
      <c r="B1077" t="s">
        <v>2921</v>
      </c>
      <c r="C1077" t="s">
        <v>927</v>
      </c>
      <c r="D1077" t="s">
        <v>3052</v>
      </c>
      <c r="E1077" t="s">
        <v>3053</v>
      </c>
      <c r="F1077" t="s">
        <v>349</v>
      </c>
      <c r="G1077" t="s">
        <v>350</v>
      </c>
      <c r="H1077" t="s">
        <v>11557</v>
      </c>
      <c r="I1077">
        <v>1134</v>
      </c>
      <c r="J1077">
        <v>4</v>
      </c>
      <c r="K1077">
        <v>0</v>
      </c>
      <c r="L1077">
        <v>1106</v>
      </c>
      <c r="M1077">
        <v>0</v>
      </c>
      <c r="N1077">
        <v>46</v>
      </c>
      <c r="O1077">
        <v>24</v>
      </c>
    </row>
    <row r="1078" spans="1:15" x14ac:dyDescent="0.25">
      <c r="A1078" t="s">
        <v>933</v>
      </c>
      <c r="B1078" t="s">
        <v>2106</v>
      </c>
      <c r="C1078" t="s">
        <v>927</v>
      </c>
      <c r="D1078" t="s">
        <v>3052</v>
      </c>
      <c r="E1078" t="s">
        <v>3053</v>
      </c>
      <c r="F1078" t="s">
        <v>349</v>
      </c>
      <c r="G1078" t="s">
        <v>350</v>
      </c>
      <c r="H1078" t="s">
        <v>11558</v>
      </c>
      <c r="I1078">
        <v>370</v>
      </c>
      <c r="J1078">
        <v>308</v>
      </c>
      <c r="K1078">
        <v>0</v>
      </c>
      <c r="L1078">
        <v>0</v>
      </c>
      <c r="M1078">
        <v>47</v>
      </c>
      <c r="N1078">
        <v>8</v>
      </c>
      <c r="O1078">
        <v>15</v>
      </c>
    </row>
    <row r="1079" spans="1:15" x14ac:dyDescent="0.25">
      <c r="A1079" t="s">
        <v>1724</v>
      </c>
      <c r="B1079" t="s">
        <v>3020</v>
      </c>
      <c r="C1079" t="s">
        <v>923</v>
      </c>
      <c r="D1079" t="s">
        <v>3063</v>
      </c>
      <c r="E1079" t="s">
        <v>3053</v>
      </c>
      <c r="F1079" t="s">
        <v>349</v>
      </c>
      <c r="G1079" t="s">
        <v>350</v>
      </c>
      <c r="H1079" t="s">
        <v>11559</v>
      </c>
      <c r="I1079">
        <v>1</v>
      </c>
      <c r="J1079">
        <v>1</v>
      </c>
      <c r="K1079">
        <v>0</v>
      </c>
      <c r="L1079">
        <v>0</v>
      </c>
      <c r="M1079">
        <v>0</v>
      </c>
      <c r="N1079">
        <v>0</v>
      </c>
      <c r="O1079">
        <v>0</v>
      </c>
    </row>
    <row r="1080" spans="1:15" x14ac:dyDescent="0.25">
      <c r="A1080" t="s">
        <v>1725</v>
      </c>
      <c r="B1080" t="s">
        <v>3010</v>
      </c>
      <c r="C1080" t="s">
        <v>927</v>
      </c>
      <c r="D1080" t="s">
        <v>3052</v>
      </c>
      <c r="E1080" t="s">
        <v>3053</v>
      </c>
      <c r="F1080" t="s">
        <v>349</v>
      </c>
      <c r="G1080" t="s">
        <v>350</v>
      </c>
      <c r="H1080" t="s">
        <v>11560</v>
      </c>
      <c r="I1080">
        <v>1118</v>
      </c>
      <c r="J1080">
        <v>900</v>
      </c>
      <c r="K1080">
        <v>0</v>
      </c>
      <c r="L1080">
        <v>7</v>
      </c>
      <c r="M1080">
        <v>83</v>
      </c>
      <c r="N1080">
        <v>2</v>
      </c>
      <c r="O1080">
        <v>128</v>
      </c>
    </row>
    <row r="1081" spans="1:15" x14ac:dyDescent="0.25">
      <c r="A1081" t="s">
        <v>996</v>
      </c>
      <c r="B1081" t="s">
        <v>1952</v>
      </c>
      <c r="C1081" t="s">
        <v>923</v>
      </c>
      <c r="D1081" t="s">
        <v>3063</v>
      </c>
      <c r="E1081" t="s">
        <v>3053</v>
      </c>
      <c r="F1081" t="s">
        <v>349</v>
      </c>
      <c r="G1081" t="s">
        <v>350</v>
      </c>
      <c r="H1081" t="s">
        <v>11561</v>
      </c>
      <c r="I1081">
        <v>8</v>
      </c>
      <c r="J1081">
        <v>0</v>
      </c>
      <c r="K1081">
        <v>0</v>
      </c>
      <c r="L1081">
        <v>8</v>
      </c>
      <c r="M1081">
        <v>0</v>
      </c>
      <c r="N1081">
        <v>0</v>
      </c>
      <c r="O1081">
        <v>0</v>
      </c>
    </row>
    <row r="1082" spans="1:15" x14ac:dyDescent="0.25">
      <c r="A1082" t="s">
        <v>1729</v>
      </c>
      <c r="B1082" t="s">
        <v>2943</v>
      </c>
      <c r="C1082" t="s">
        <v>923</v>
      </c>
      <c r="D1082" t="s">
        <v>3063</v>
      </c>
      <c r="E1082" t="s">
        <v>3053</v>
      </c>
      <c r="F1082" t="s">
        <v>349</v>
      </c>
      <c r="G1082" t="s">
        <v>350</v>
      </c>
      <c r="H1082" t="s">
        <v>11562</v>
      </c>
      <c r="I1082">
        <v>353</v>
      </c>
      <c r="J1082">
        <v>202</v>
      </c>
      <c r="K1082">
        <v>11</v>
      </c>
      <c r="L1082">
        <v>140</v>
      </c>
      <c r="M1082">
        <v>0</v>
      </c>
      <c r="N1082">
        <v>17</v>
      </c>
      <c r="O1082">
        <v>0</v>
      </c>
    </row>
    <row r="1083" spans="1:15" x14ac:dyDescent="0.25">
      <c r="A1083" t="s">
        <v>1000</v>
      </c>
      <c r="B1083" t="s">
        <v>1984</v>
      </c>
      <c r="C1083" t="s">
        <v>923</v>
      </c>
      <c r="D1083" t="s">
        <v>3063</v>
      </c>
      <c r="E1083" t="s">
        <v>3053</v>
      </c>
      <c r="F1083" t="s">
        <v>349</v>
      </c>
      <c r="G1083" t="s">
        <v>350</v>
      </c>
      <c r="H1083" t="s">
        <v>11563</v>
      </c>
      <c r="I1083">
        <v>5</v>
      </c>
      <c r="J1083">
        <v>0</v>
      </c>
      <c r="K1083">
        <v>0</v>
      </c>
      <c r="L1083">
        <v>5</v>
      </c>
      <c r="M1083">
        <v>0</v>
      </c>
      <c r="N1083">
        <v>0</v>
      </c>
      <c r="O1083">
        <v>0</v>
      </c>
    </row>
    <row r="1084" spans="1:15" x14ac:dyDescent="0.25">
      <c r="A1084" t="s">
        <v>10638</v>
      </c>
      <c r="B1084" t="s">
        <v>2057</v>
      </c>
      <c r="C1084" t="s">
        <v>927</v>
      </c>
      <c r="D1084" t="s">
        <v>3052</v>
      </c>
      <c r="E1084" t="s">
        <v>3053</v>
      </c>
      <c r="F1084" t="s">
        <v>349</v>
      </c>
      <c r="G1084" t="s">
        <v>350</v>
      </c>
      <c r="H1084" t="s">
        <v>11564</v>
      </c>
      <c r="I1084">
        <v>2</v>
      </c>
      <c r="J1084">
        <v>0</v>
      </c>
      <c r="K1084">
        <v>0</v>
      </c>
      <c r="L1084">
        <v>2</v>
      </c>
      <c r="M1084">
        <v>0</v>
      </c>
      <c r="N1084">
        <v>0</v>
      </c>
      <c r="O1084">
        <v>0</v>
      </c>
    </row>
    <row r="1085" spans="1:15" x14ac:dyDescent="0.25">
      <c r="A1085" t="s">
        <v>1739</v>
      </c>
      <c r="B1085" t="s">
        <v>2786</v>
      </c>
      <c r="C1085" t="s">
        <v>923</v>
      </c>
      <c r="D1085" t="s">
        <v>3063</v>
      </c>
      <c r="E1085" t="s">
        <v>3053</v>
      </c>
      <c r="F1085" t="s">
        <v>349</v>
      </c>
      <c r="G1085" t="s">
        <v>350</v>
      </c>
      <c r="H1085" t="s">
        <v>11565</v>
      </c>
      <c r="I1085">
        <v>203</v>
      </c>
      <c r="J1085">
        <v>48</v>
      </c>
      <c r="K1085">
        <v>0</v>
      </c>
      <c r="L1085">
        <v>6</v>
      </c>
      <c r="M1085">
        <v>149</v>
      </c>
      <c r="N1085">
        <v>0</v>
      </c>
      <c r="O1085">
        <v>0</v>
      </c>
    </row>
    <row r="1086" spans="1:15" x14ac:dyDescent="0.25">
      <c r="A1086" t="s">
        <v>1008</v>
      </c>
      <c r="B1086" t="s">
        <v>2928</v>
      </c>
      <c r="C1086" t="s">
        <v>927</v>
      </c>
      <c r="D1086" t="s">
        <v>3052</v>
      </c>
      <c r="E1086" t="s">
        <v>3053</v>
      </c>
      <c r="F1086" t="s">
        <v>349</v>
      </c>
      <c r="G1086" t="s">
        <v>350</v>
      </c>
      <c r="H1086" t="s">
        <v>11566</v>
      </c>
      <c r="I1086">
        <v>154</v>
      </c>
      <c r="J1086">
        <v>112</v>
      </c>
      <c r="K1086">
        <v>0</v>
      </c>
      <c r="L1086">
        <v>33</v>
      </c>
      <c r="M1086">
        <v>9</v>
      </c>
      <c r="N1086">
        <v>2</v>
      </c>
      <c r="O1086">
        <v>0</v>
      </c>
    </row>
    <row r="1087" spans="1:15" x14ac:dyDescent="0.25">
      <c r="A1087" t="s">
        <v>937</v>
      </c>
      <c r="B1087" t="s">
        <v>1962</v>
      </c>
      <c r="C1087" t="s">
        <v>927</v>
      </c>
      <c r="D1087" t="s">
        <v>3052</v>
      </c>
      <c r="E1087" t="s">
        <v>3053</v>
      </c>
      <c r="F1087" t="s">
        <v>349</v>
      </c>
      <c r="G1087" t="s">
        <v>350</v>
      </c>
      <c r="H1087" t="s">
        <v>11567</v>
      </c>
      <c r="I1087">
        <v>86</v>
      </c>
      <c r="J1087">
        <v>0</v>
      </c>
      <c r="K1087">
        <v>0</v>
      </c>
      <c r="L1087">
        <v>0</v>
      </c>
      <c r="M1087">
        <v>0</v>
      </c>
      <c r="N1087">
        <v>0</v>
      </c>
      <c r="O1087">
        <v>86</v>
      </c>
    </row>
    <row r="1088" spans="1:15" x14ac:dyDescent="0.25">
      <c r="A1088" t="s">
        <v>938</v>
      </c>
      <c r="B1088" t="s">
        <v>2791</v>
      </c>
      <c r="C1088" t="s">
        <v>927</v>
      </c>
      <c r="D1088" t="s">
        <v>3052</v>
      </c>
      <c r="E1088" t="s">
        <v>3053</v>
      </c>
      <c r="F1088" t="s">
        <v>349</v>
      </c>
      <c r="G1088" t="s">
        <v>350</v>
      </c>
      <c r="H1088" t="s">
        <v>11568</v>
      </c>
      <c r="I1088">
        <v>18</v>
      </c>
      <c r="J1088">
        <v>0</v>
      </c>
      <c r="K1088">
        <v>0</v>
      </c>
      <c r="L1088">
        <v>18</v>
      </c>
      <c r="M1088">
        <v>0</v>
      </c>
      <c r="N1088">
        <v>0</v>
      </c>
      <c r="O1088">
        <v>0</v>
      </c>
    </row>
    <row r="1089" spans="1:15" x14ac:dyDescent="0.25">
      <c r="A1089" t="s">
        <v>940</v>
      </c>
      <c r="B1089" t="s">
        <v>2647</v>
      </c>
      <c r="C1089" t="s">
        <v>927</v>
      </c>
      <c r="D1089" t="s">
        <v>3052</v>
      </c>
      <c r="E1089" t="s">
        <v>3053</v>
      </c>
      <c r="F1089" t="s">
        <v>349</v>
      </c>
      <c r="G1089" t="s">
        <v>350</v>
      </c>
      <c r="H1089" t="s">
        <v>11569</v>
      </c>
      <c r="I1089">
        <v>212</v>
      </c>
      <c r="J1089">
        <v>0</v>
      </c>
      <c r="K1089">
        <v>0</v>
      </c>
      <c r="L1089">
        <v>3</v>
      </c>
      <c r="M1089">
        <v>199</v>
      </c>
      <c r="N1089">
        <v>0</v>
      </c>
      <c r="O1089">
        <v>10</v>
      </c>
    </row>
    <row r="1090" spans="1:15" x14ac:dyDescent="0.25">
      <c r="A1090" t="s">
        <v>1013</v>
      </c>
      <c r="B1090" t="s">
        <v>1959</v>
      </c>
      <c r="C1090" t="s">
        <v>927</v>
      </c>
      <c r="D1090" t="s">
        <v>3052</v>
      </c>
      <c r="E1090" t="s">
        <v>3053</v>
      </c>
      <c r="F1090" t="s">
        <v>349</v>
      </c>
      <c r="G1090" t="s">
        <v>350</v>
      </c>
      <c r="H1090" t="s">
        <v>11570</v>
      </c>
      <c r="I1090">
        <v>7</v>
      </c>
      <c r="J1090">
        <v>0</v>
      </c>
      <c r="K1090">
        <v>0</v>
      </c>
      <c r="L1090">
        <v>7</v>
      </c>
      <c r="M1090">
        <v>0</v>
      </c>
      <c r="N1090">
        <v>0</v>
      </c>
      <c r="O1090">
        <v>0</v>
      </c>
    </row>
    <row r="1091" spans="1:15" x14ac:dyDescent="0.25">
      <c r="A1091" t="s">
        <v>1740</v>
      </c>
      <c r="B1091" t="s">
        <v>2904</v>
      </c>
      <c r="C1091" t="s">
        <v>923</v>
      </c>
      <c r="D1091" t="s">
        <v>3063</v>
      </c>
      <c r="E1091" t="s">
        <v>3053</v>
      </c>
      <c r="F1091" t="s">
        <v>349</v>
      </c>
      <c r="G1091" t="s">
        <v>350</v>
      </c>
      <c r="H1091" t="s">
        <v>11889</v>
      </c>
      <c r="I1091">
        <v>3</v>
      </c>
      <c r="J1091">
        <v>0</v>
      </c>
      <c r="K1091">
        <v>0</v>
      </c>
      <c r="L1091">
        <v>3</v>
      </c>
      <c r="M1091">
        <v>0</v>
      </c>
      <c r="N1091">
        <v>0</v>
      </c>
      <c r="O1091">
        <v>0</v>
      </c>
    </row>
    <row r="1092" spans="1:15" x14ac:dyDescent="0.25">
      <c r="A1092" t="s">
        <v>1741</v>
      </c>
      <c r="B1092" t="s">
        <v>2759</v>
      </c>
      <c r="C1092" t="s">
        <v>923</v>
      </c>
      <c r="D1092" t="s">
        <v>3063</v>
      </c>
      <c r="E1092" t="s">
        <v>3053</v>
      </c>
      <c r="F1092" t="s">
        <v>349</v>
      </c>
      <c r="G1092" t="s">
        <v>350</v>
      </c>
      <c r="H1092" t="s">
        <v>11571</v>
      </c>
      <c r="I1092">
        <v>28</v>
      </c>
      <c r="J1092">
        <v>28</v>
      </c>
      <c r="K1092">
        <v>0</v>
      </c>
      <c r="L1092">
        <v>0</v>
      </c>
      <c r="M1092">
        <v>0</v>
      </c>
      <c r="N1092">
        <v>0</v>
      </c>
      <c r="O1092">
        <v>0</v>
      </c>
    </row>
    <row r="1093" spans="1:15" x14ac:dyDescent="0.25">
      <c r="A1093" t="s">
        <v>942</v>
      </c>
      <c r="B1093" t="s">
        <v>2113</v>
      </c>
      <c r="C1093" t="s">
        <v>927</v>
      </c>
      <c r="D1093" t="s">
        <v>3052</v>
      </c>
      <c r="E1093" t="s">
        <v>3053</v>
      </c>
      <c r="F1093" t="s">
        <v>349</v>
      </c>
      <c r="G1093" t="s">
        <v>350</v>
      </c>
      <c r="H1093" t="s">
        <v>11572</v>
      </c>
      <c r="I1093">
        <v>2499</v>
      </c>
      <c r="J1093">
        <v>1738</v>
      </c>
      <c r="K1093">
        <v>0</v>
      </c>
      <c r="L1093">
        <v>379</v>
      </c>
      <c r="M1093">
        <v>49</v>
      </c>
      <c r="N1093">
        <v>5</v>
      </c>
      <c r="O1093">
        <v>333</v>
      </c>
    </row>
    <row r="1094" spans="1:15" x14ac:dyDescent="0.25">
      <c r="A1094" t="s">
        <v>10681</v>
      </c>
      <c r="B1094" t="s">
        <v>10680</v>
      </c>
      <c r="C1094" t="s">
        <v>927</v>
      </c>
      <c r="D1094" t="s">
        <v>3052</v>
      </c>
      <c r="E1094" t="s">
        <v>3053</v>
      </c>
      <c r="F1094" t="s">
        <v>349</v>
      </c>
      <c r="G1094" t="s">
        <v>350</v>
      </c>
      <c r="H1094" t="s">
        <v>14523</v>
      </c>
      <c r="I1094">
        <v>1</v>
      </c>
      <c r="J1094">
        <v>0</v>
      </c>
      <c r="K1094">
        <v>0</v>
      </c>
      <c r="L1094">
        <v>0</v>
      </c>
      <c r="M1094">
        <v>0</v>
      </c>
      <c r="N1094">
        <v>0</v>
      </c>
      <c r="O1094">
        <v>1</v>
      </c>
    </row>
    <row r="1095" spans="1:15" x14ac:dyDescent="0.25">
      <c r="A1095" t="s">
        <v>1745</v>
      </c>
      <c r="B1095" t="s">
        <v>2884</v>
      </c>
      <c r="C1095" t="s">
        <v>927</v>
      </c>
      <c r="D1095" t="s">
        <v>3052</v>
      </c>
      <c r="E1095" t="s">
        <v>3053</v>
      </c>
      <c r="F1095" t="s">
        <v>349</v>
      </c>
      <c r="G1095" t="s">
        <v>350</v>
      </c>
      <c r="H1095" t="s">
        <v>11573</v>
      </c>
      <c r="I1095">
        <v>206</v>
      </c>
      <c r="J1095">
        <v>159</v>
      </c>
      <c r="K1095">
        <v>0</v>
      </c>
      <c r="L1095">
        <v>0</v>
      </c>
      <c r="M1095">
        <v>0</v>
      </c>
      <c r="N1095">
        <v>0</v>
      </c>
      <c r="O1095">
        <v>47</v>
      </c>
    </row>
    <row r="1096" spans="1:15" x14ac:dyDescent="0.25">
      <c r="A1096" t="s">
        <v>945</v>
      </c>
      <c r="B1096" t="s">
        <v>2668</v>
      </c>
      <c r="C1096" t="s">
        <v>927</v>
      </c>
      <c r="D1096" t="s">
        <v>3052</v>
      </c>
      <c r="E1096" t="s">
        <v>3053</v>
      </c>
      <c r="F1096" t="s">
        <v>349</v>
      </c>
      <c r="G1096" t="s">
        <v>350</v>
      </c>
      <c r="H1096" t="s">
        <v>11574</v>
      </c>
      <c r="I1096">
        <v>3</v>
      </c>
      <c r="J1096">
        <v>0</v>
      </c>
      <c r="K1096">
        <v>0</v>
      </c>
      <c r="L1096">
        <v>0</v>
      </c>
      <c r="M1096">
        <v>0</v>
      </c>
      <c r="N1096">
        <v>0</v>
      </c>
      <c r="O1096">
        <v>3</v>
      </c>
    </row>
    <row r="1097" spans="1:15" x14ac:dyDescent="0.25">
      <c r="A1097" t="s">
        <v>1749</v>
      </c>
      <c r="B1097" t="s">
        <v>2878</v>
      </c>
      <c r="C1097" t="s">
        <v>927</v>
      </c>
      <c r="D1097" t="s">
        <v>3052</v>
      </c>
      <c r="E1097" t="s">
        <v>3053</v>
      </c>
      <c r="F1097" t="s">
        <v>349</v>
      </c>
      <c r="G1097" t="s">
        <v>350</v>
      </c>
      <c r="H1097" t="s">
        <v>11575</v>
      </c>
      <c r="I1097">
        <v>49</v>
      </c>
      <c r="J1097">
        <v>47</v>
      </c>
      <c r="K1097">
        <v>0</v>
      </c>
      <c r="L1097">
        <v>0</v>
      </c>
      <c r="M1097">
        <v>0</v>
      </c>
      <c r="N1097">
        <v>0</v>
      </c>
      <c r="O1097">
        <v>2</v>
      </c>
    </row>
    <row r="1098" spans="1:15" x14ac:dyDescent="0.25">
      <c r="A1098" t="s">
        <v>1752</v>
      </c>
      <c r="B1098" t="s">
        <v>2146</v>
      </c>
      <c r="C1098" t="s">
        <v>923</v>
      </c>
      <c r="D1098" t="s">
        <v>3063</v>
      </c>
      <c r="E1098" t="s">
        <v>3053</v>
      </c>
      <c r="F1098" t="s">
        <v>349</v>
      </c>
      <c r="G1098" t="s">
        <v>350</v>
      </c>
      <c r="H1098" t="s">
        <v>11576</v>
      </c>
      <c r="I1098">
        <v>117</v>
      </c>
      <c r="J1098">
        <v>5</v>
      </c>
      <c r="K1098">
        <v>0</v>
      </c>
      <c r="L1098">
        <v>0</v>
      </c>
      <c r="M1098">
        <v>112</v>
      </c>
      <c r="N1098">
        <v>0</v>
      </c>
      <c r="O1098">
        <v>0</v>
      </c>
    </row>
    <row r="1099" spans="1:15" x14ac:dyDescent="0.25">
      <c r="A1099" t="s">
        <v>951</v>
      </c>
      <c r="B1099" t="s">
        <v>2680</v>
      </c>
      <c r="C1099" t="s">
        <v>927</v>
      </c>
      <c r="D1099" t="s">
        <v>3052</v>
      </c>
      <c r="E1099" t="s">
        <v>3053</v>
      </c>
      <c r="F1099" t="s">
        <v>349</v>
      </c>
      <c r="G1099" t="s">
        <v>350</v>
      </c>
      <c r="H1099" t="s">
        <v>11577</v>
      </c>
      <c r="I1099">
        <v>290</v>
      </c>
      <c r="J1099">
        <v>132</v>
      </c>
      <c r="K1099">
        <v>0</v>
      </c>
      <c r="L1099">
        <v>10</v>
      </c>
      <c r="M1099">
        <v>28</v>
      </c>
      <c r="N1099">
        <v>1</v>
      </c>
      <c r="O1099">
        <v>120</v>
      </c>
    </row>
    <row r="1100" spans="1:15" x14ac:dyDescent="0.25">
      <c r="A1100" t="s">
        <v>1048</v>
      </c>
      <c r="B1100" t="s">
        <v>2989</v>
      </c>
      <c r="C1100" t="s">
        <v>927</v>
      </c>
      <c r="D1100" t="s">
        <v>3052</v>
      </c>
      <c r="E1100" t="s">
        <v>3053</v>
      </c>
      <c r="F1100" t="s">
        <v>349</v>
      </c>
      <c r="G1100" t="s">
        <v>350</v>
      </c>
      <c r="H1100" t="s">
        <v>11578</v>
      </c>
      <c r="I1100">
        <v>1874</v>
      </c>
      <c r="J1100">
        <v>1502</v>
      </c>
      <c r="K1100">
        <v>0</v>
      </c>
      <c r="L1100">
        <v>325</v>
      </c>
      <c r="M1100">
        <v>14</v>
      </c>
      <c r="N1100">
        <v>10</v>
      </c>
      <c r="O1100">
        <v>33</v>
      </c>
    </row>
    <row r="1101" spans="1:15" x14ac:dyDescent="0.25">
      <c r="A1101" t="s">
        <v>11720</v>
      </c>
      <c r="B1101" t="s">
        <v>10718</v>
      </c>
      <c r="C1101" t="s">
        <v>927</v>
      </c>
      <c r="D1101" t="s">
        <v>3052</v>
      </c>
      <c r="E1101" t="s">
        <v>3053</v>
      </c>
      <c r="F1101" t="s">
        <v>349</v>
      </c>
      <c r="G1101" t="s">
        <v>350</v>
      </c>
      <c r="H1101" t="s">
        <v>14524</v>
      </c>
      <c r="I1101">
        <v>2</v>
      </c>
      <c r="J1101">
        <v>0</v>
      </c>
      <c r="K1101">
        <v>0</v>
      </c>
      <c r="L1101">
        <v>0</v>
      </c>
      <c r="M1101">
        <v>0</v>
      </c>
      <c r="N1101">
        <v>0</v>
      </c>
      <c r="O1101">
        <v>2</v>
      </c>
    </row>
    <row r="1102" spans="1:15" x14ac:dyDescent="0.25">
      <c r="A1102" t="s">
        <v>1056</v>
      </c>
      <c r="B1102" t="s">
        <v>2966</v>
      </c>
      <c r="C1102" t="s">
        <v>927</v>
      </c>
      <c r="D1102" t="s">
        <v>3052</v>
      </c>
      <c r="E1102" t="s">
        <v>3053</v>
      </c>
      <c r="F1102" t="s">
        <v>349</v>
      </c>
      <c r="G1102" t="s">
        <v>350</v>
      </c>
      <c r="H1102" t="s">
        <v>11579</v>
      </c>
      <c r="I1102">
        <v>93</v>
      </c>
      <c r="J1102">
        <v>0</v>
      </c>
      <c r="K1102">
        <v>0</v>
      </c>
      <c r="L1102">
        <v>93</v>
      </c>
      <c r="M1102">
        <v>0</v>
      </c>
      <c r="N1102">
        <v>0</v>
      </c>
      <c r="O1102">
        <v>0</v>
      </c>
    </row>
    <row r="1103" spans="1:15" x14ac:dyDescent="0.25">
      <c r="A1103" t="s">
        <v>955</v>
      </c>
      <c r="B1103" t="s">
        <v>2660</v>
      </c>
      <c r="C1103" t="s">
        <v>927</v>
      </c>
      <c r="D1103" t="s">
        <v>3052</v>
      </c>
      <c r="E1103" t="s">
        <v>3053</v>
      </c>
      <c r="F1103" t="s">
        <v>349</v>
      </c>
      <c r="G1103" t="s">
        <v>350</v>
      </c>
      <c r="H1103" t="s">
        <v>11580</v>
      </c>
      <c r="I1103">
        <v>53</v>
      </c>
      <c r="J1103">
        <v>31</v>
      </c>
      <c r="K1103">
        <v>0</v>
      </c>
      <c r="L1103">
        <v>22</v>
      </c>
      <c r="M1103">
        <v>0</v>
      </c>
      <c r="N1103">
        <v>0</v>
      </c>
      <c r="O1103">
        <v>0</v>
      </c>
    </row>
    <row r="1104" spans="1:15" x14ac:dyDescent="0.25">
      <c r="A1104" t="s">
        <v>1764</v>
      </c>
      <c r="B1104" t="s">
        <v>2414</v>
      </c>
      <c r="C1104" t="s">
        <v>923</v>
      </c>
      <c r="D1104" t="s">
        <v>3063</v>
      </c>
      <c r="E1104" t="s">
        <v>3053</v>
      </c>
      <c r="F1104" t="s">
        <v>349</v>
      </c>
      <c r="G1104" t="s">
        <v>350</v>
      </c>
      <c r="H1104" t="s">
        <v>11581</v>
      </c>
      <c r="I1104">
        <v>17</v>
      </c>
      <c r="J1104">
        <v>13</v>
      </c>
      <c r="K1104">
        <v>4</v>
      </c>
      <c r="L1104">
        <v>0</v>
      </c>
      <c r="M1104">
        <v>0</v>
      </c>
      <c r="N1104">
        <v>0</v>
      </c>
      <c r="O1104">
        <v>0</v>
      </c>
    </row>
    <row r="1105" spans="1:15" x14ac:dyDescent="0.25">
      <c r="A1105" t="s">
        <v>960</v>
      </c>
      <c r="B1105" t="s">
        <v>2080</v>
      </c>
      <c r="C1105" t="s">
        <v>927</v>
      </c>
      <c r="D1105" t="s">
        <v>3052</v>
      </c>
      <c r="E1105" t="s">
        <v>3053</v>
      </c>
      <c r="F1105" t="s">
        <v>349</v>
      </c>
      <c r="G1105" t="s">
        <v>350</v>
      </c>
      <c r="H1105" t="s">
        <v>11582</v>
      </c>
      <c r="I1105">
        <v>1557</v>
      </c>
      <c r="J1105">
        <v>1040</v>
      </c>
      <c r="K1105">
        <v>0</v>
      </c>
      <c r="L1105">
        <v>24</v>
      </c>
      <c r="M1105">
        <v>0</v>
      </c>
      <c r="N1105">
        <v>7</v>
      </c>
      <c r="O1105">
        <v>493</v>
      </c>
    </row>
    <row r="1106" spans="1:15" x14ac:dyDescent="0.25">
      <c r="A1106" t="s">
        <v>1766</v>
      </c>
      <c r="B1106" t="s">
        <v>2816</v>
      </c>
      <c r="C1106" t="s">
        <v>923</v>
      </c>
      <c r="D1106" t="s">
        <v>3063</v>
      </c>
      <c r="E1106" t="s">
        <v>3053</v>
      </c>
      <c r="F1106" t="s">
        <v>349</v>
      </c>
      <c r="G1106" t="s">
        <v>350</v>
      </c>
      <c r="H1106" t="s">
        <v>11583</v>
      </c>
      <c r="I1106">
        <v>2</v>
      </c>
      <c r="J1106">
        <v>2</v>
      </c>
      <c r="K1106">
        <v>0</v>
      </c>
      <c r="L1106">
        <v>0</v>
      </c>
      <c r="M1106">
        <v>0</v>
      </c>
      <c r="N1106">
        <v>0</v>
      </c>
      <c r="O1106">
        <v>0</v>
      </c>
    </row>
    <row r="1107" spans="1:15" x14ac:dyDescent="0.25">
      <c r="A1107" t="s">
        <v>1158</v>
      </c>
      <c r="B1107" t="s">
        <v>2922</v>
      </c>
      <c r="C1107" t="s">
        <v>927</v>
      </c>
      <c r="D1107" t="s">
        <v>3052</v>
      </c>
      <c r="E1107" t="s">
        <v>3053</v>
      </c>
      <c r="F1107" t="s">
        <v>349</v>
      </c>
      <c r="G1107" t="s">
        <v>350</v>
      </c>
      <c r="H1107" t="s">
        <v>11584</v>
      </c>
      <c r="I1107">
        <v>91</v>
      </c>
      <c r="J1107">
        <v>0</v>
      </c>
      <c r="K1107">
        <v>2</v>
      </c>
      <c r="L1107">
        <v>89</v>
      </c>
      <c r="M1107">
        <v>0</v>
      </c>
      <c r="N1107">
        <v>0</v>
      </c>
      <c r="O1107">
        <v>0</v>
      </c>
    </row>
    <row r="1108" spans="1:15" x14ac:dyDescent="0.25">
      <c r="A1108" t="s">
        <v>962</v>
      </c>
      <c r="B1108" t="s">
        <v>2752</v>
      </c>
      <c r="C1108" t="s">
        <v>927</v>
      </c>
      <c r="D1108" t="s">
        <v>3052</v>
      </c>
      <c r="E1108" t="s">
        <v>3053</v>
      </c>
      <c r="F1108" t="s">
        <v>349</v>
      </c>
      <c r="G1108" t="s">
        <v>350</v>
      </c>
      <c r="H1108" t="s">
        <v>11585</v>
      </c>
      <c r="I1108">
        <v>227</v>
      </c>
      <c r="J1108">
        <v>137</v>
      </c>
      <c r="K1108">
        <v>0</v>
      </c>
      <c r="L1108">
        <v>62</v>
      </c>
      <c r="M1108">
        <v>0</v>
      </c>
      <c r="N1108">
        <v>0</v>
      </c>
      <c r="O1108">
        <v>28</v>
      </c>
    </row>
    <row r="1109" spans="1:15" x14ac:dyDescent="0.25">
      <c r="A1109" t="s">
        <v>11667</v>
      </c>
      <c r="B1109" t="s">
        <v>1986</v>
      </c>
      <c r="C1109" t="s">
        <v>923</v>
      </c>
      <c r="D1109" t="s">
        <v>3063</v>
      </c>
      <c r="E1109" t="s">
        <v>3053</v>
      </c>
      <c r="F1109" t="s">
        <v>349</v>
      </c>
      <c r="G1109" t="s">
        <v>350</v>
      </c>
      <c r="H1109" t="s">
        <v>11890</v>
      </c>
      <c r="I1109">
        <v>40</v>
      </c>
      <c r="J1109">
        <v>0</v>
      </c>
      <c r="K1109">
        <v>0</v>
      </c>
      <c r="L1109">
        <v>0</v>
      </c>
      <c r="M1109">
        <v>40</v>
      </c>
      <c r="N1109">
        <v>0</v>
      </c>
      <c r="O1109">
        <v>0</v>
      </c>
    </row>
    <row r="1110" spans="1:15" x14ac:dyDescent="0.25">
      <c r="A1110" t="s">
        <v>1069</v>
      </c>
      <c r="B1110" t="s">
        <v>2001</v>
      </c>
      <c r="C1110" t="s">
        <v>927</v>
      </c>
      <c r="D1110" t="s">
        <v>3052</v>
      </c>
      <c r="E1110" t="s">
        <v>3053</v>
      </c>
      <c r="F1110" t="s">
        <v>349</v>
      </c>
      <c r="G1110" t="s">
        <v>350</v>
      </c>
      <c r="H1110" t="s">
        <v>11586</v>
      </c>
      <c r="I1110">
        <v>517</v>
      </c>
      <c r="J1110">
        <v>382</v>
      </c>
      <c r="K1110">
        <v>0</v>
      </c>
      <c r="L1110">
        <v>18</v>
      </c>
      <c r="M1110">
        <v>117</v>
      </c>
      <c r="N1110">
        <v>0</v>
      </c>
      <c r="O1110">
        <v>0</v>
      </c>
    </row>
    <row r="1111" spans="1:15" x14ac:dyDescent="0.25">
      <c r="A1111" t="s">
        <v>1072</v>
      </c>
      <c r="B1111" t="s">
        <v>2907</v>
      </c>
      <c r="C1111" t="s">
        <v>927</v>
      </c>
      <c r="D1111" t="s">
        <v>3052</v>
      </c>
      <c r="E1111" t="s">
        <v>3053</v>
      </c>
      <c r="F1111" t="s">
        <v>349</v>
      </c>
      <c r="G1111" t="s">
        <v>350</v>
      </c>
      <c r="H1111" t="s">
        <v>11587</v>
      </c>
      <c r="I1111">
        <v>64</v>
      </c>
      <c r="J1111">
        <v>0</v>
      </c>
      <c r="K1111">
        <v>0</v>
      </c>
      <c r="L1111">
        <v>54</v>
      </c>
      <c r="M1111">
        <v>10</v>
      </c>
      <c r="N1111">
        <v>0</v>
      </c>
      <c r="O1111">
        <v>0</v>
      </c>
    </row>
    <row r="1112" spans="1:15" x14ac:dyDescent="0.25">
      <c r="A1112" t="s">
        <v>1787</v>
      </c>
      <c r="B1112" t="s">
        <v>2297</v>
      </c>
      <c r="C1112" t="s">
        <v>923</v>
      </c>
      <c r="D1112" t="s">
        <v>3063</v>
      </c>
      <c r="E1112" t="s">
        <v>3053</v>
      </c>
      <c r="F1112" t="s">
        <v>349</v>
      </c>
      <c r="G1112" t="s">
        <v>350</v>
      </c>
      <c r="H1112" t="s">
        <v>11588</v>
      </c>
      <c r="I1112">
        <v>12</v>
      </c>
      <c r="J1112">
        <v>12</v>
      </c>
      <c r="K1112">
        <v>0</v>
      </c>
      <c r="L1112">
        <v>0</v>
      </c>
      <c r="M1112">
        <v>0</v>
      </c>
      <c r="N1112">
        <v>0</v>
      </c>
      <c r="O1112">
        <v>0</v>
      </c>
    </row>
    <row r="1113" spans="1:15" x14ac:dyDescent="0.25">
      <c r="A1113" t="s">
        <v>966</v>
      </c>
      <c r="B1113" t="s">
        <v>2684</v>
      </c>
      <c r="C1113" t="s">
        <v>927</v>
      </c>
      <c r="D1113" t="s">
        <v>3052</v>
      </c>
      <c r="E1113" t="s">
        <v>3053</v>
      </c>
      <c r="F1113" t="s">
        <v>349</v>
      </c>
      <c r="G1113" t="s">
        <v>350</v>
      </c>
      <c r="H1113" t="s">
        <v>14525</v>
      </c>
      <c r="I1113">
        <v>37</v>
      </c>
      <c r="J1113">
        <v>17</v>
      </c>
      <c r="K1113">
        <v>0</v>
      </c>
      <c r="L1113">
        <v>0</v>
      </c>
      <c r="M1113">
        <v>0</v>
      </c>
      <c r="N1113">
        <v>0</v>
      </c>
      <c r="O1113">
        <v>20</v>
      </c>
    </row>
    <row r="1114" spans="1:15" x14ac:dyDescent="0.25">
      <c r="A1114" t="s">
        <v>1792</v>
      </c>
      <c r="B1114" t="s">
        <v>2964</v>
      </c>
      <c r="C1114" t="s">
        <v>923</v>
      </c>
      <c r="D1114" t="s">
        <v>3063</v>
      </c>
      <c r="E1114" t="s">
        <v>3053</v>
      </c>
      <c r="F1114" t="s">
        <v>349</v>
      </c>
      <c r="G1114" t="s">
        <v>350</v>
      </c>
      <c r="H1114" t="s">
        <v>11589</v>
      </c>
      <c r="I1114">
        <v>18</v>
      </c>
      <c r="J1114">
        <v>0</v>
      </c>
      <c r="K1114">
        <v>0</v>
      </c>
      <c r="L1114">
        <v>0</v>
      </c>
      <c r="M1114">
        <v>18</v>
      </c>
      <c r="N1114">
        <v>0</v>
      </c>
      <c r="O1114">
        <v>0</v>
      </c>
    </row>
    <row r="1115" spans="1:15" x14ac:dyDescent="0.25">
      <c r="A1115" t="s">
        <v>926</v>
      </c>
      <c r="B1115" t="s">
        <v>2923</v>
      </c>
      <c r="C1115" t="s">
        <v>927</v>
      </c>
      <c r="D1115" t="s">
        <v>3052</v>
      </c>
      <c r="E1115" t="s">
        <v>3053</v>
      </c>
      <c r="F1115" t="s">
        <v>351</v>
      </c>
      <c r="G1115" t="s">
        <v>352</v>
      </c>
      <c r="H1115" t="s">
        <v>3782</v>
      </c>
      <c r="I1115">
        <v>1</v>
      </c>
      <c r="J1115">
        <v>0</v>
      </c>
      <c r="K1115">
        <v>0</v>
      </c>
      <c r="L1115">
        <v>0</v>
      </c>
      <c r="M1115">
        <v>0</v>
      </c>
      <c r="N1115">
        <v>0</v>
      </c>
      <c r="O1115">
        <v>1</v>
      </c>
    </row>
    <row r="1116" spans="1:15" x14ac:dyDescent="0.25">
      <c r="A1116" t="s">
        <v>1099</v>
      </c>
      <c r="B1116" t="s">
        <v>2641</v>
      </c>
      <c r="C1116" t="s">
        <v>927</v>
      </c>
      <c r="D1116" t="s">
        <v>3052</v>
      </c>
      <c r="E1116" t="s">
        <v>3053</v>
      </c>
      <c r="F1116" t="s">
        <v>351</v>
      </c>
      <c r="G1116" t="s">
        <v>352</v>
      </c>
      <c r="H1116" t="s">
        <v>3783</v>
      </c>
      <c r="I1116">
        <v>358</v>
      </c>
      <c r="J1116">
        <v>288</v>
      </c>
      <c r="K1116">
        <v>0</v>
      </c>
      <c r="L1116">
        <v>5</v>
      </c>
      <c r="M1116">
        <v>0</v>
      </c>
      <c r="N1116">
        <v>0</v>
      </c>
      <c r="O1116">
        <v>65</v>
      </c>
    </row>
    <row r="1117" spans="1:15" x14ac:dyDescent="0.25">
      <c r="A1117" t="s">
        <v>11670</v>
      </c>
      <c r="B1117" t="s">
        <v>11741</v>
      </c>
      <c r="C1117" t="s">
        <v>923</v>
      </c>
      <c r="D1117" t="s">
        <v>3063</v>
      </c>
      <c r="E1117" t="s">
        <v>3053</v>
      </c>
      <c r="F1117" t="s">
        <v>351</v>
      </c>
      <c r="G1117" t="s">
        <v>352</v>
      </c>
      <c r="H1117" t="s">
        <v>11891</v>
      </c>
      <c r="I1117">
        <v>2</v>
      </c>
      <c r="J1117">
        <v>0</v>
      </c>
      <c r="K1117">
        <v>2</v>
      </c>
      <c r="L1117">
        <v>0</v>
      </c>
      <c r="M1117">
        <v>0</v>
      </c>
      <c r="N1117">
        <v>0</v>
      </c>
      <c r="O1117">
        <v>0</v>
      </c>
    </row>
    <row r="1118" spans="1:15" x14ac:dyDescent="0.25">
      <c r="A1118" t="s">
        <v>933</v>
      </c>
      <c r="B1118" t="s">
        <v>2106</v>
      </c>
      <c r="C1118" t="s">
        <v>927</v>
      </c>
      <c r="D1118" t="s">
        <v>3052</v>
      </c>
      <c r="E1118" t="s">
        <v>3053</v>
      </c>
      <c r="F1118" t="s">
        <v>351</v>
      </c>
      <c r="G1118" t="s">
        <v>352</v>
      </c>
      <c r="H1118" t="s">
        <v>3784</v>
      </c>
      <c r="I1118">
        <v>4048</v>
      </c>
      <c r="J1118">
        <v>3345</v>
      </c>
      <c r="K1118">
        <v>0</v>
      </c>
      <c r="L1118">
        <v>56</v>
      </c>
      <c r="M1118">
        <v>496</v>
      </c>
      <c r="N1118">
        <v>30</v>
      </c>
      <c r="O1118">
        <v>151</v>
      </c>
    </row>
    <row r="1119" spans="1:15" x14ac:dyDescent="0.25">
      <c r="A1119" t="s">
        <v>1110</v>
      </c>
      <c r="B1119" t="s">
        <v>2888</v>
      </c>
      <c r="C1119" t="s">
        <v>927</v>
      </c>
      <c r="D1119" t="s">
        <v>3052</v>
      </c>
      <c r="E1119" t="s">
        <v>3053</v>
      </c>
      <c r="F1119" t="s">
        <v>351</v>
      </c>
      <c r="G1119" t="s">
        <v>352</v>
      </c>
      <c r="H1119" t="s">
        <v>11892</v>
      </c>
      <c r="I1119">
        <v>22</v>
      </c>
      <c r="J1119">
        <v>17</v>
      </c>
      <c r="K1119">
        <v>0</v>
      </c>
      <c r="L1119">
        <v>0</v>
      </c>
      <c r="M1119">
        <v>0</v>
      </c>
      <c r="N1119">
        <v>0</v>
      </c>
      <c r="O1119">
        <v>5</v>
      </c>
    </row>
    <row r="1120" spans="1:15" x14ac:dyDescent="0.25">
      <c r="A1120" t="s">
        <v>1113</v>
      </c>
      <c r="B1120" t="s">
        <v>1953</v>
      </c>
      <c r="C1120" t="s">
        <v>927</v>
      </c>
      <c r="D1120" t="s">
        <v>3052</v>
      </c>
      <c r="E1120" t="s">
        <v>3053</v>
      </c>
      <c r="F1120" t="s">
        <v>351</v>
      </c>
      <c r="G1120" t="s">
        <v>352</v>
      </c>
      <c r="H1120" t="s">
        <v>3785</v>
      </c>
      <c r="I1120">
        <v>1084</v>
      </c>
      <c r="J1120">
        <v>858</v>
      </c>
      <c r="K1120">
        <v>0</v>
      </c>
      <c r="L1120">
        <v>8</v>
      </c>
      <c r="M1120">
        <v>0</v>
      </c>
      <c r="N1120">
        <v>21</v>
      </c>
      <c r="O1120">
        <v>218</v>
      </c>
    </row>
    <row r="1121" spans="1:15" x14ac:dyDescent="0.25">
      <c r="A1121" t="s">
        <v>10638</v>
      </c>
      <c r="B1121" t="s">
        <v>2057</v>
      </c>
      <c r="C1121" t="s">
        <v>927</v>
      </c>
      <c r="D1121" t="s">
        <v>3052</v>
      </c>
      <c r="E1121" t="s">
        <v>3053</v>
      </c>
      <c r="F1121" t="s">
        <v>351</v>
      </c>
      <c r="G1121" t="s">
        <v>352</v>
      </c>
      <c r="H1121" t="s">
        <v>14526</v>
      </c>
      <c r="I1121">
        <v>6</v>
      </c>
      <c r="J1121">
        <v>0</v>
      </c>
      <c r="K1121">
        <v>0</v>
      </c>
      <c r="L1121">
        <v>6</v>
      </c>
      <c r="M1121">
        <v>0</v>
      </c>
      <c r="N1121">
        <v>0</v>
      </c>
      <c r="O1121">
        <v>0</v>
      </c>
    </row>
    <row r="1122" spans="1:15" x14ac:dyDescent="0.25">
      <c r="A1122" t="s">
        <v>940</v>
      </c>
      <c r="B1122" t="s">
        <v>2647</v>
      </c>
      <c r="C1122" t="s">
        <v>927</v>
      </c>
      <c r="D1122" t="s">
        <v>3052</v>
      </c>
      <c r="E1122" t="s">
        <v>3053</v>
      </c>
      <c r="F1122" t="s">
        <v>351</v>
      </c>
      <c r="G1122" t="s">
        <v>352</v>
      </c>
      <c r="H1122" t="s">
        <v>14527</v>
      </c>
      <c r="I1122">
        <v>67</v>
      </c>
      <c r="J1122">
        <v>0</v>
      </c>
      <c r="K1122">
        <v>0</v>
      </c>
      <c r="L1122">
        <v>0</v>
      </c>
      <c r="M1122">
        <v>63</v>
      </c>
      <c r="N1122">
        <v>0</v>
      </c>
      <c r="O1122">
        <v>4</v>
      </c>
    </row>
    <row r="1123" spans="1:15" x14ac:dyDescent="0.25">
      <c r="A1123" t="s">
        <v>10667</v>
      </c>
      <c r="B1123" t="s">
        <v>10666</v>
      </c>
      <c r="C1123" t="s">
        <v>927</v>
      </c>
      <c r="D1123" t="s">
        <v>3052</v>
      </c>
      <c r="E1123" t="s">
        <v>3053</v>
      </c>
      <c r="F1123" t="s">
        <v>351</v>
      </c>
      <c r="G1123" t="s">
        <v>352</v>
      </c>
      <c r="H1123" t="s">
        <v>11893</v>
      </c>
      <c r="I1123">
        <v>28</v>
      </c>
      <c r="J1123">
        <v>28</v>
      </c>
      <c r="K1123">
        <v>0</v>
      </c>
      <c r="L1123">
        <v>0</v>
      </c>
      <c r="M1123">
        <v>0</v>
      </c>
      <c r="N1123">
        <v>0</v>
      </c>
      <c r="O1123">
        <v>0</v>
      </c>
    </row>
    <row r="1124" spans="1:15" x14ac:dyDescent="0.25">
      <c r="A1124" t="s">
        <v>1126</v>
      </c>
      <c r="B1124" t="s">
        <v>2130</v>
      </c>
      <c r="C1124" t="s">
        <v>927</v>
      </c>
      <c r="D1124" t="s">
        <v>3052</v>
      </c>
      <c r="E1124" t="s">
        <v>3053</v>
      </c>
      <c r="F1124" t="s">
        <v>351</v>
      </c>
      <c r="G1124" t="s">
        <v>352</v>
      </c>
      <c r="H1124" t="s">
        <v>10880</v>
      </c>
      <c r="I1124">
        <v>152</v>
      </c>
      <c r="J1124">
        <v>27</v>
      </c>
      <c r="K1124">
        <v>0</v>
      </c>
      <c r="L1124">
        <v>0</v>
      </c>
      <c r="M1124">
        <v>0</v>
      </c>
      <c r="N1124">
        <v>0</v>
      </c>
      <c r="O1124">
        <v>125</v>
      </c>
    </row>
    <row r="1125" spans="1:15" x14ac:dyDescent="0.25">
      <c r="A1125" t="s">
        <v>10681</v>
      </c>
      <c r="B1125" t="s">
        <v>10680</v>
      </c>
      <c r="C1125" t="s">
        <v>927</v>
      </c>
      <c r="D1125" t="s">
        <v>3052</v>
      </c>
      <c r="E1125" t="s">
        <v>3053</v>
      </c>
      <c r="F1125" t="s">
        <v>351</v>
      </c>
      <c r="G1125" t="s">
        <v>352</v>
      </c>
      <c r="H1125" t="s">
        <v>14528</v>
      </c>
      <c r="I1125">
        <v>15</v>
      </c>
      <c r="J1125">
        <v>0</v>
      </c>
      <c r="K1125">
        <v>0</v>
      </c>
      <c r="L1125">
        <v>0</v>
      </c>
      <c r="M1125">
        <v>0</v>
      </c>
      <c r="N1125">
        <v>0</v>
      </c>
      <c r="O1125">
        <v>15</v>
      </c>
    </row>
    <row r="1126" spans="1:15" x14ac:dyDescent="0.25">
      <c r="A1126" t="s">
        <v>1041</v>
      </c>
      <c r="B1126" t="s">
        <v>2826</v>
      </c>
      <c r="C1126" t="s">
        <v>927</v>
      </c>
      <c r="D1126" t="s">
        <v>3052</v>
      </c>
      <c r="E1126" t="s">
        <v>3053</v>
      </c>
      <c r="F1126" t="s">
        <v>351</v>
      </c>
      <c r="G1126" t="s">
        <v>352</v>
      </c>
      <c r="H1126" t="s">
        <v>3786</v>
      </c>
      <c r="I1126">
        <v>124</v>
      </c>
      <c r="J1126">
        <v>0</v>
      </c>
      <c r="K1126">
        <v>0</v>
      </c>
      <c r="L1126">
        <v>0</v>
      </c>
      <c r="M1126">
        <v>0</v>
      </c>
      <c r="N1126">
        <v>0</v>
      </c>
      <c r="O1126">
        <v>124</v>
      </c>
    </row>
    <row r="1127" spans="1:15" x14ac:dyDescent="0.25">
      <c r="A1127" t="s">
        <v>9787</v>
      </c>
      <c r="B1127" t="s">
        <v>2822</v>
      </c>
      <c r="C1127" t="s">
        <v>927</v>
      </c>
      <c r="D1127" t="s">
        <v>3052</v>
      </c>
      <c r="E1127" t="s">
        <v>3053</v>
      </c>
      <c r="F1127" t="s">
        <v>351</v>
      </c>
      <c r="G1127" t="s">
        <v>352</v>
      </c>
      <c r="H1127" t="s">
        <v>10240</v>
      </c>
      <c r="I1127">
        <v>312</v>
      </c>
      <c r="J1127">
        <v>311</v>
      </c>
      <c r="K1127">
        <v>0</v>
      </c>
      <c r="L1127">
        <v>1</v>
      </c>
      <c r="M1127">
        <v>0</v>
      </c>
      <c r="N1127">
        <v>1</v>
      </c>
      <c r="O1127">
        <v>0</v>
      </c>
    </row>
    <row r="1128" spans="1:15" x14ac:dyDescent="0.25">
      <c r="A1128" t="s">
        <v>951</v>
      </c>
      <c r="B1128" t="s">
        <v>2680</v>
      </c>
      <c r="C1128" t="s">
        <v>927</v>
      </c>
      <c r="D1128" t="s">
        <v>3052</v>
      </c>
      <c r="E1128" t="s">
        <v>3053</v>
      </c>
      <c r="F1128" t="s">
        <v>351</v>
      </c>
      <c r="G1128" t="s">
        <v>352</v>
      </c>
      <c r="H1128" t="s">
        <v>3787</v>
      </c>
      <c r="I1128">
        <v>3</v>
      </c>
      <c r="J1128">
        <v>0</v>
      </c>
      <c r="K1128">
        <v>0</v>
      </c>
      <c r="L1128">
        <v>3</v>
      </c>
      <c r="M1128">
        <v>0</v>
      </c>
      <c r="N1128">
        <v>0</v>
      </c>
      <c r="O1128">
        <v>0</v>
      </c>
    </row>
    <row r="1129" spans="1:15" x14ac:dyDescent="0.25">
      <c r="A1129" t="s">
        <v>1048</v>
      </c>
      <c r="B1129" t="s">
        <v>2989</v>
      </c>
      <c r="C1129" t="s">
        <v>927</v>
      </c>
      <c r="D1129" t="s">
        <v>3052</v>
      </c>
      <c r="E1129" t="s">
        <v>3053</v>
      </c>
      <c r="F1129" t="s">
        <v>351</v>
      </c>
      <c r="G1129" t="s">
        <v>352</v>
      </c>
      <c r="H1129" t="s">
        <v>11894</v>
      </c>
      <c r="I1129">
        <v>45</v>
      </c>
      <c r="J1129">
        <v>42</v>
      </c>
      <c r="K1129">
        <v>0</v>
      </c>
      <c r="L1129">
        <v>0</v>
      </c>
      <c r="M1129">
        <v>0</v>
      </c>
      <c r="N1129">
        <v>0</v>
      </c>
      <c r="O1129">
        <v>3</v>
      </c>
    </row>
    <row r="1130" spans="1:15" x14ac:dyDescent="0.25">
      <c r="A1130" t="s">
        <v>1051</v>
      </c>
      <c r="B1130" t="s">
        <v>2995</v>
      </c>
      <c r="C1130" t="s">
        <v>927</v>
      </c>
      <c r="D1130" t="s">
        <v>3052</v>
      </c>
      <c r="E1130" t="s">
        <v>3053</v>
      </c>
      <c r="F1130" t="s">
        <v>351</v>
      </c>
      <c r="G1130" t="s">
        <v>352</v>
      </c>
      <c r="H1130" t="s">
        <v>3788</v>
      </c>
      <c r="I1130">
        <v>25</v>
      </c>
      <c r="J1130">
        <v>0</v>
      </c>
      <c r="K1130">
        <v>0</v>
      </c>
      <c r="L1130">
        <v>25</v>
      </c>
      <c r="M1130">
        <v>0</v>
      </c>
      <c r="N1130">
        <v>0</v>
      </c>
      <c r="O1130">
        <v>0</v>
      </c>
    </row>
    <row r="1131" spans="1:15" x14ac:dyDescent="0.25">
      <c r="A1131" t="s">
        <v>1152</v>
      </c>
      <c r="B1131" t="s">
        <v>3031</v>
      </c>
      <c r="C1131" t="s">
        <v>927</v>
      </c>
      <c r="D1131" t="s">
        <v>3052</v>
      </c>
      <c r="E1131" t="s">
        <v>3053</v>
      </c>
      <c r="F1131" t="s">
        <v>351</v>
      </c>
      <c r="G1131" t="s">
        <v>352</v>
      </c>
      <c r="H1131" t="s">
        <v>3789</v>
      </c>
      <c r="I1131">
        <v>439</v>
      </c>
      <c r="J1131">
        <v>327</v>
      </c>
      <c r="K1131">
        <v>0</v>
      </c>
      <c r="L1131">
        <v>26</v>
      </c>
      <c r="M1131">
        <v>41</v>
      </c>
      <c r="N1131">
        <v>0</v>
      </c>
      <c r="O1131">
        <v>45</v>
      </c>
    </row>
    <row r="1132" spans="1:15" x14ac:dyDescent="0.25">
      <c r="A1132" t="s">
        <v>11720</v>
      </c>
      <c r="B1132" t="s">
        <v>10718</v>
      </c>
      <c r="C1132" t="s">
        <v>927</v>
      </c>
      <c r="D1132" t="s">
        <v>3052</v>
      </c>
      <c r="E1132" t="s">
        <v>3053</v>
      </c>
      <c r="F1132" t="s">
        <v>351</v>
      </c>
      <c r="G1132" t="s">
        <v>352</v>
      </c>
      <c r="H1132" t="s">
        <v>14529</v>
      </c>
      <c r="I1132">
        <v>59</v>
      </c>
      <c r="J1132">
        <v>35</v>
      </c>
      <c r="K1132">
        <v>0</v>
      </c>
      <c r="L1132">
        <v>0</v>
      </c>
      <c r="M1132">
        <v>0</v>
      </c>
      <c r="N1132">
        <v>0</v>
      </c>
      <c r="O1132">
        <v>24</v>
      </c>
    </row>
    <row r="1133" spans="1:15" x14ac:dyDescent="0.25">
      <c r="A1133" t="s">
        <v>9788</v>
      </c>
      <c r="B1133" t="s">
        <v>9871</v>
      </c>
      <c r="C1133" t="s">
        <v>927</v>
      </c>
      <c r="D1133" t="s">
        <v>3052</v>
      </c>
      <c r="E1133" t="s">
        <v>3053</v>
      </c>
      <c r="F1133" t="s">
        <v>351</v>
      </c>
      <c r="G1133" t="s">
        <v>352</v>
      </c>
      <c r="H1133" t="s">
        <v>10335</v>
      </c>
      <c r="I1133">
        <v>76</v>
      </c>
      <c r="J1133">
        <v>76</v>
      </c>
      <c r="K1133">
        <v>0</v>
      </c>
      <c r="L1133">
        <v>0</v>
      </c>
      <c r="M1133">
        <v>0</v>
      </c>
      <c r="N1133">
        <v>0</v>
      </c>
      <c r="O1133">
        <v>0</v>
      </c>
    </row>
    <row r="1134" spans="1:15" x14ac:dyDescent="0.25">
      <c r="A1134" t="s">
        <v>1057</v>
      </c>
      <c r="B1134" t="s">
        <v>1972</v>
      </c>
      <c r="C1134" t="s">
        <v>927</v>
      </c>
      <c r="D1134" t="s">
        <v>3052</v>
      </c>
      <c r="E1134" t="s">
        <v>3053</v>
      </c>
      <c r="F1134" t="s">
        <v>351</v>
      </c>
      <c r="G1134" t="s">
        <v>352</v>
      </c>
      <c r="H1134" t="s">
        <v>3790</v>
      </c>
      <c r="I1134">
        <v>24</v>
      </c>
      <c r="J1134">
        <v>0</v>
      </c>
      <c r="K1134">
        <v>0</v>
      </c>
      <c r="L1134">
        <v>24</v>
      </c>
      <c r="M1134">
        <v>0</v>
      </c>
      <c r="N1134">
        <v>0</v>
      </c>
      <c r="O1134">
        <v>0</v>
      </c>
    </row>
    <row r="1135" spans="1:15" x14ac:dyDescent="0.25">
      <c r="A1135" t="s">
        <v>1155</v>
      </c>
      <c r="B1135" t="s">
        <v>2912</v>
      </c>
      <c r="C1135" t="s">
        <v>927</v>
      </c>
      <c r="D1135" t="s">
        <v>3052</v>
      </c>
      <c r="E1135" t="s">
        <v>3053</v>
      </c>
      <c r="F1135" t="s">
        <v>351</v>
      </c>
      <c r="G1135" t="s">
        <v>352</v>
      </c>
      <c r="H1135" t="s">
        <v>3791</v>
      </c>
      <c r="I1135">
        <v>1</v>
      </c>
      <c r="J1135">
        <v>0</v>
      </c>
      <c r="K1135">
        <v>0</v>
      </c>
      <c r="L1135">
        <v>0</v>
      </c>
      <c r="M1135">
        <v>0</v>
      </c>
      <c r="N1135">
        <v>0</v>
      </c>
      <c r="O1135">
        <v>1</v>
      </c>
    </row>
    <row r="1136" spans="1:15" x14ac:dyDescent="0.25">
      <c r="A1136" t="s">
        <v>14374</v>
      </c>
      <c r="B1136" t="s">
        <v>1943</v>
      </c>
      <c r="C1136" t="s">
        <v>927</v>
      </c>
      <c r="D1136" t="s">
        <v>3052</v>
      </c>
      <c r="E1136" t="s">
        <v>3053</v>
      </c>
      <c r="F1136" t="s">
        <v>351</v>
      </c>
      <c r="G1136" t="s">
        <v>352</v>
      </c>
      <c r="H1136" t="s">
        <v>14530</v>
      </c>
      <c r="I1136">
        <v>36</v>
      </c>
      <c r="J1136">
        <v>0</v>
      </c>
      <c r="K1136">
        <v>0</v>
      </c>
      <c r="L1136">
        <v>0</v>
      </c>
      <c r="M1136">
        <v>0</v>
      </c>
      <c r="N1136">
        <v>0</v>
      </c>
      <c r="O1136">
        <v>36</v>
      </c>
    </row>
    <row r="1137" spans="1:15" x14ac:dyDescent="0.25">
      <c r="A1137" t="s">
        <v>1176</v>
      </c>
      <c r="B1137" t="s">
        <v>2952</v>
      </c>
      <c r="C1137" t="s">
        <v>923</v>
      </c>
      <c r="D1137" t="s">
        <v>3063</v>
      </c>
      <c r="E1137" t="s">
        <v>3053</v>
      </c>
      <c r="F1137" t="s">
        <v>351</v>
      </c>
      <c r="G1137" t="s">
        <v>352</v>
      </c>
      <c r="H1137" t="s">
        <v>3792</v>
      </c>
      <c r="I1137">
        <v>2</v>
      </c>
      <c r="J1137">
        <v>0</v>
      </c>
      <c r="K1137">
        <v>0</v>
      </c>
      <c r="L1137">
        <v>2</v>
      </c>
      <c r="M1137">
        <v>0</v>
      </c>
      <c r="N1137">
        <v>0</v>
      </c>
      <c r="O1137">
        <v>0</v>
      </c>
    </row>
    <row r="1138" spans="1:15" x14ac:dyDescent="0.25">
      <c r="A1138" t="s">
        <v>1183</v>
      </c>
      <c r="B1138" t="s">
        <v>2108</v>
      </c>
      <c r="C1138" t="s">
        <v>923</v>
      </c>
      <c r="D1138" t="s">
        <v>3063</v>
      </c>
      <c r="E1138" t="s">
        <v>3053</v>
      </c>
      <c r="F1138" t="s">
        <v>351</v>
      </c>
      <c r="G1138" t="s">
        <v>352</v>
      </c>
      <c r="H1138" t="s">
        <v>10881</v>
      </c>
      <c r="I1138">
        <v>29</v>
      </c>
      <c r="J1138">
        <v>29</v>
      </c>
      <c r="K1138">
        <v>0</v>
      </c>
      <c r="L1138">
        <v>0</v>
      </c>
      <c r="M1138">
        <v>0</v>
      </c>
      <c r="N1138">
        <v>0</v>
      </c>
      <c r="O1138">
        <v>0</v>
      </c>
    </row>
    <row r="1139" spans="1:15" x14ac:dyDescent="0.25">
      <c r="A1139" t="s">
        <v>1195</v>
      </c>
      <c r="B1139" t="s">
        <v>2924</v>
      </c>
      <c r="C1139" t="s">
        <v>927</v>
      </c>
      <c r="D1139" t="s">
        <v>3052</v>
      </c>
      <c r="E1139" t="s">
        <v>3053</v>
      </c>
      <c r="F1139" t="s">
        <v>353</v>
      </c>
      <c r="G1139" t="s">
        <v>354</v>
      </c>
      <c r="H1139" t="s">
        <v>3793</v>
      </c>
      <c r="I1139">
        <v>1139</v>
      </c>
      <c r="J1139">
        <v>904</v>
      </c>
      <c r="K1139">
        <v>0</v>
      </c>
      <c r="L1139">
        <v>67</v>
      </c>
      <c r="M1139">
        <v>115</v>
      </c>
      <c r="N1139">
        <v>3</v>
      </c>
      <c r="O1139">
        <v>53</v>
      </c>
    </row>
    <row r="1140" spans="1:15" x14ac:dyDescent="0.25">
      <c r="A1140" t="s">
        <v>971</v>
      </c>
      <c r="B1140" t="s">
        <v>2956</v>
      </c>
      <c r="C1140" t="s">
        <v>927</v>
      </c>
      <c r="D1140" t="s">
        <v>3052</v>
      </c>
      <c r="E1140" t="s">
        <v>3053</v>
      </c>
      <c r="F1140" t="s">
        <v>353</v>
      </c>
      <c r="G1140" t="s">
        <v>354</v>
      </c>
      <c r="H1140" t="s">
        <v>3794</v>
      </c>
      <c r="I1140">
        <v>38</v>
      </c>
      <c r="J1140">
        <v>0</v>
      </c>
      <c r="K1140">
        <v>0</v>
      </c>
      <c r="L1140">
        <v>0</v>
      </c>
      <c r="M1140">
        <v>0</v>
      </c>
      <c r="N1140">
        <v>0</v>
      </c>
      <c r="O1140">
        <v>38</v>
      </c>
    </row>
    <row r="1141" spans="1:15" x14ac:dyDescent="0.25">
      <c r="A1141" t="s">
        <v>926</v>
      </c>
      <c r="B1141" t="s">
        <v>2923</v>
      </c>
      <c r="C1141" t="s">
        <v>927</v>
      </c>
      <c r="D1141" t="s">
        <v>3052</v>
      </c>
      <c r="E1141" t="s">
        <v>3053</v>
      </c>
      <c r="F1141" t="s">
        <v>353</v>
      </c>
      <c r="G1141" t="s">
        <v>354</v>
      </c>
      <c r="H1141" t="s">
        <v>3795</v>
      </c>
      <c r="I1141">
        <v>3</v>
      </c>
      <c r="J1141">
        <v>0</v>
      </c>
      <c r="K1141">
        <v>0</v>
      </c>
      <c r="L1141">
        <v>3</v>
      </c>
      <c r="M1141">
        <v>0</v>
      </c>
      <c r="N1141">
        <v>0</v>
      </c>
      <c r="O1141">
        <v>0</v>
      </c>
    </row>
    <row r="1142" spans="1:15" x14ac:dyDescent="0.25">
      <c r="A1142" t="s">
        <v>9800</v>
      </c>
      <c r="B1142" t="s">
        <v>9857</v>
      </c>
      <c r="C1142" t="s">
        <v>923</v>
      </c>
      <c r="D1142" t="s">
        <v>3063</v>
      </c>
      <c r="E1142" t="s">
        <v>3053</v>
      </c>
      <c r="F1142" t="s">
        <v>353</v>
      </c>
      <c r="G1142" t="s">
        <v>354</v>
      </c>
      <c r="H1142" t="s">
        <v>9896</v>
      </c>
      <c r="I1142">
        <v>1</v>
      </c>
      <c r="J1142">
        <v>1</v>
      </c>
      <c r="K1142">
        <v>0</v>
      </c>
      <c r="L1142">
        <v>0</v>
      </c>
      <c r="M1142">
        <v>0</v>
      </c>
      <c r="N1142">
        <v>0</v>
      </c>
      <c r="O1142">
        <v>0</v>
      </c>
    </row>
    <row r="1143" spans="1:15" x14ac:dyDescent="0.25">
      <c r="A1143" t="s">
        <v>929</v>
      </c>
      <c r="B1143" t="s">
        <v>2999</v>
      </c>
      <c r="C1143" t="s">
        <v>927</v>
      </c>
      <c r="D1143" t="s">
        <v>3052</v>
      </c>
      <c r="E1143" t="s">
        <v>3053</v>
      </c>
      <c r="F1143" t="s">
        <v>353</v>
      </c>
      <c r="G1143" t="s">
        <v>354</v>
      </c>
      <c r="H1143" t="s">
        <v>3796</v>
      </c>
      <c r="I1143">
        <v>221</v>
      </c>
      <c r="J1143">
        <v>0</v>
      </c>
      <c r="K1143">
        <v>0</v>
      </c>
      <c r="L1143">
        <v>0</v>
      </c>
      <c r="M1143">
        <v>221</v>
      </c>
      <c r="N1143">
        <v>0</v>
      </c>
      <c r="O1143">
        <v>0</v>
      </c>
    </row>
    <row r="1144" spans="1:15" x14ac:dyDescent="0.25">
      <c r="A1144" t="s">
        <v>9858</v>
      </c>
      <c r="B1144" t="s">
        <v>2383</v>
      </c>
      <c r="C1144" t="s">
        <v>923</v>
      </c>
      <c r="D1144" t="s">
        <v>3063</v>
      </c>
      <c r="E1144" t="s">
        <v>3053</v>
      </c>
      <c r="F1144" t="s">
        <v>353</v>
      </c>
      <c r="G1144" t="s">
        <v>354</v>
      </c>
      <c r="H1144" t="s">
        <v>9898</v>
      </c>
      <c r="I1144">
        <v>49</v>
      </c>
      <c r="J1144">
        <v>49</v>
      </c>
      <c r="K1144">
        <v>0</v>
      </c>
      <c r="L1144">
        <v>0</v>
      </c>
      <c r="M1144">
        <v>0</v>
      </c>
      <c r="N1144">
        <v>0</v>
      </c>
      <c r="O1144">
        <v>0</v>
      </c>
    </row>
    <row r="1145" spans="1:15" x14ac:dyDescent="0.25">
      <c r="A1145" t="s">
        <v>9784</v>
      </c>
      <c r="B1145" t="s">
        <v>1994</v>
      </c>
      <c r="C1145" t="s">
        <v>927</v>
      </c>
      <c r="D1145" t="s">
        <v>3052</v>
      </c>
      <c r="E1145" t="s">
        <v>3053</v>
      </c>
      <c r="F1145" t="s">
        <v>353</v>
      </c>
      <c r="G1145" t="s">
        <v>354</v>
      </c>
      <c r="H1145" t="s">
        <v>9922</v>
      </c>
      <c r="I1145">
        <v>9</v>
      </c>
      <c r="J1145">
        <v>0</v>
      </c>
      <c r="K1145">
        <v>0</v>
      </c>
      <c r="L1145">
        <v>9</v>
      </c>
      <c r="M1145">
        <v>0</v>
      </c>
      <c r="N1145">
        <v>0</v>
      </c>
      <c r="O1145">
        <v>0</v>
      </c>
    </row>
    <row r="1146" spans="1:15" x14ac:dyDescent="0.25">
      <c r="A1146" t="s">
        <v>1094</v>
      </c>
      <c r="B1146" t="s">
        <v>2742</v>
      </c>
      <c r="C1146" t="s">
        <v>923</v>
      </c>
      <c r="D1146" t="s">
        <v>3063</v>
      </c>
      <c r="E1146" t="s">
        <v>3053</v>
      </c>
      <c r="F1146" t="s">
        <v>353</v>
      </c>
      <c r="G1146" t="s">
        <v>354</v>
      </c>
      <c r="H1146" t="s">
        <v>3797</v>
      </c>
      <c r="I1146">
        <v>4</v>
      </c>
      <c r="J1146">
        <v>0</v>
      </c>
      <c r="K1146">
        <v>0</v>
      </c>
      <c r="L1146">
        <v>4</v>
      </c>
      <c r="M1146">
        <v>0</v>
      </c>
      <c r="N1146">
        <v>0</v>
      </c>
      <c r="O1146">
        <v>0</v>
      </c>
    </row>
    <row r="1147" spans="1:15" x14ac:dyDescent="0.25">
      <c r="A1147" t="s">
        <v>10598</v>
      </c>
      <c r="B1147" t="s">
        <v>10597</v>
      </c>
      <c r="C1147" t="s">
        <v>923</v>
      </c>
      <c r="D1147" t="s">
        <v>3063</v>
      </c>
      <c r="E1147" t="s">
        <v>3053</v>
      </c>
      <c r="F1147" t="s">
        <v>353</v>
      </c>
      <c r="G1147" t="s">
        <v>354</v>
      </c>
      <c r="H1147" t="s">
        <v>10882</v>
      </c>
      <c r="I1147">
        <v>8</v>
      </c>
      <c r="J1147">
        <v>0</v>
      </c>
      <c r="K1147">
        <v>0</v>
      </c>
      <c r="L1147">
        <v>8</v>
      </c>
      <c r="M1147">
        <v>0</v>
      </c>
      <c r="N1147">
        <v>0</v>
      </c>
      <c r="O1147">
        <v>0</v>
      </c>
    </row>
    <row r="1148" spans="1:15" x14ac:dyDescent="0.25">
      <c r="A1148" t="s">
        <v>10600</v>
      </c>
      <c r="B1148" t="s">
        <v>10599</v>
      </c>
      <c r="C1148" t="s">
        <v>923</v>
      </c>
      <c r="D1148" t="s">
        <v>3063</v>
      </c>
      <c r="E1148" t="s">
        <v>3053</v>
      </c>
      <c r="F1148" t="s">
        <v>353</v>
      </c>
      <c r="G1148" t="s">
        <v>354</v>
      </c>
      <c r="H1148" t="s">
        <v>10883</v>
      </c>
      <c r="I1148">
        <v>39</v>
      </c>
      <c r="J1148">
        <v>0</v>
      </c>
      <c r="K1148">
        <v>0</v>
      </c>
      <c r="L1148">
        <v>0</v>
      </c>
      <c r="M1148">
        <v>39</v>
      </c>
      <c r="N1148">
        <v>0</v>
      </c>
      <c r="O1148">
        <v>0</v>
      </c>
    </row>
    <row r="1149" spans="1:15" x14ac:dyDescent="0.25">
      <c r="A1149" t="s">
        <v>1217</v>
      </c>
      <c r="B1149" t="s">
        <v>2645</v>
      </c>
      <c r="C1149" t="s">
        <v>923</v>
      </c>
      <c r="D1149" t="s">
        <v>3063</v>
      </c>
      <c r="E1149" t="s">
        <v>3053</v>
      </c>
      <c r="F1149" t="s">
        <v>353</v>
      </c>
      <c r="G1149" t="s">
        <v>354</v>
      </c>
      <c r="H1149" t="s">
        <v>3798</v>
      </c>
      <c r="I1149">
        <v>49</v>
      </c>
      <c r="J1149">
        <v>0</v>
      </c>
      <c r="K1149">
        <v>0</v>
      </c>
      <c r="L1149">
        <v>0</v>
      </c>
      <c r="M1149">
        <v>49</v>
      </c>
      <c r="N1149">
        <v>0</v>
      </c>
      <c r="O1149">
        <v>0</v>
      </c>
    </row>
    <row r="1150" spans="1:15" x14ac:dyDescent="0.25">
      <c r="A1150" t="s">
        <v>1102</v>
      </c>
      <c r="B1150" t="s">
        <v>2801</v>
      </c>
      <c r="C1150" t="s">
        <v>923</v>
      </c>
      <c r="D1150" t="s">
        <v>3063</v>
      </c>
      <c r="E1150" t="s">
        <v>3053</v>
      </c>
      <c r="F1150" t="s">
        <v>353</v>
      </c>
      <c r="G1150" t="s">
        <v>354</v>
      </c>
      <c r="H1150" t="s">
        <v>3799</v>
      </c>
      <c r="I1150">
        <v>19</v>
      </c>
      <c r="J1150">
        <v>12</v>
      </c>
      <c r="K1150">
        <v>7</v>
      </c>
      <c r="L1150">
        <v>0</v>
      </c>
      <c r="M1150">
        <v>0</v>
      </c>
      <c r="N1150">
        <v>0</v>
      </c>
      <c r="O1150">
        <v>0</v>
      </c>
    </row>
    <row r="1151" spans="1:15" x14ac:dyDescent="0.25">
      <c r="A1151" t="s">
        <v>1223</v>
      </c>
      <c r="B1151" t="s">
        <v>2756</v>
      </c>
      <c r="C1151" t="s">
        <v>923</v>
      </c>
      <c r="D1151" t="s">
        <v>3063</v>
      </c>
      <c r="E1151" t="s">
        <v>3053</v>
      </c>
      <c r="F1151" t="s">
        <v>353</v>
      </c>
      <c r="G1151" t="s">
        <v>354</v>
      </c>
      <c r="H1151" t="s">
        <v>3800</v>
      </c>
      <c r="I1151">
        <v>79</v>
      </c>
      <c r="J1151">
        <v>4</v>
      </c>
      <c r="K1151">
        <v>0</v>
      </c>
      <c r="L1151">
        <v>0</v>
      </c>
      <c r="M1151">
        <v>75</v>
      </c>
      <c r="N1151">
        <v>0</v>
      </c>
      <c r="O1151">
        <v>0</v>
      </c>
    </row>
    <row r="1152" spans="1:15" x14ac:dyDescent="0.25">
      <c r="A1152" t="s">
        <v>933</v>
      </c>
      <c r="B1152" t="s">
        <v>2106</v>
      </c>
      <c r="C1152" t="s">
        <v>927</v>
      </c>
      <c r="D1152" t="s">
        <v>3052</v>
      </c>
      <c r="E1152" t="s">
        <v>3053</v>
      </c>
      <c r="F1152" t="s">
        <v>353</v>
      </c>
      <c r="G1152" t="s">
        <v>354</v>
      </c>
      <c r="H1152" t="s">
        <v>3801</v>
      </c>
      <c r="I1152">
        <v>11567</v>
      </c>
      <c r="J1152">
        <v>10362</v>
      </c>
      <c r="K1152">
        <v>98</v>
      </c>
      <c r="L1152">
        <v>76</v>
      </c>
      <c r="M1152">
        <v>834</v>
      </c>
      <c r="N1152">
        <v>246</v>
      </c>
      <c r="O1152">
        <v>197</v>
      </c>
    </row>
    <row r="1153" spans="1:15" x14ac:dyDescent="0.25">
      <c r="A1153" t="s">
        <v>1227</v>
      </c>
      <c r="B1153" t="s">
        <v>2023</v>
      </c>
      <c r="C1153" t="s">
        <v>923</v>
      </c>
      <c r="D1153" t="s">
        <v>3063</v>
      </c>
      <c r="E1153" t="s">
        <v>3053</v>
      </c>
      <c r="F1153" t="s">
        <v>353</v>
      </c>
      <c r="G1153" t="s">
        <v>354</v>
      </c>
      <c r="H1153" t="s">
        <v>10884</v>
      </c>
      <c r="I1153">
        <v>15</v>
      </c>
      <c r="J1153">
        <v>15</v>
      </c>
      <c r="K1153">
        <v>0</v>
      </c>
      <c r="L1153">
        <v>0</v>
      </c>
      <c r="M1153">
        <v>0</v>
      </c>
      <c r="N1153">
        <v>0</v>
      </c>
      <c r="O1153">
        <v>0</v>
      </c>
    </row>
    <row r="1154" spans="1:15" x14ac:dyDescent="0.25">
      <c r="A1154" t="s">
        <v>1229</v>
      </c>
      <c r="B1154" t="s">
        <v>2929</v>
      </c>
      <c r="C1154" t="s">
        <v>927</v>
      </c>
      <c r="D1154" t="s">
        <v>3052</v>
      </c>
      <c r="E1154" t="s">
        <v>3053</v>
      </c>
      <c r="F1154" t="s">
        <v>353</v>
      </c>
      <c r="G1154" t="s">
        <v>354</v>
      </c>
      <c r="H1154" t="s">
        <v>3802</v>
      </c>
      <c r="I1154">
        <v>48</v>
      </c>
      <c r="J1154">
        <v>40</v>
      </c>
      <c r="K1154">
        <v>0</v>
      </c>
      <c r="L1154">
        <v>0</v>
      </c>
      <c r="M1154">
        <v>0</v>
      </c>
      <c r="N1154">
        <v>0</v>
      </c>
      <c r="O1154">
        <v>8</v>
      </c>
    </row>
    <row r="1155" spans="1:15" x14ac:dyDescent="0.25">
      <c r="A1155" t="s">
        <v>1239</v>
      </c>
      <c r="B1155" t="s">
        <v>2990</v>
      </c>
      <c r="C1155" t="s">
        <v>923</v>
      </c>
      <c r="D1155" t="s">
        <v>3063</v>
      </c>
      <c r="E1155" t="s">
        <v>3053</v>
      </c>
      <c r="F1155" t="s">
        <v>353</v>
      </c>
      <c r="G1155" t="s">
        <v>354</v>
      </c>
      <c r="H1155" t="s">
        <v>3803</v>
      </c>
      <c r="I1155">
        <v>31</v>
      </c>
      <c r="J1155">
        <v>31</v>
      </c>
      <c r="K1155">
        <v>0</v>
      </c>
      <c r="L1155">
        <v>0</v>
      </c>
      <c r="M1155">
        <v>0</v>
      </c>
      <c r="N1155">
        <v>0</v>
      </c>
      <c r="O1155">
        <v>0</v>
      </c>
    </row>
    <row r="1156" spans="1:15" x14ac:dyDescent="0.25">
      <c r="A1156" t="s">
        <v>1248</v>
      </c>
      <c r="B1156" t="s">
        <v>2681</v>
      </c>
      <c r="C1156" t="s">
        <v>923</v>
      </c>
      <c r="D1156" t="s">
        <v>3063</v>
      </c>
      <c r="E1156" t="s">
        <v>3053</v>
      </c>
      <c r="F1156" t="s">
        <v>353</v>
      </c>
      <c r="G1156" t="s">
        <v>354</v>
      </c>
      <c r="H1156" t="s">
        <v>3804</v>
      </c>
      <c r="I1156">
        <v>144</v>
      </c>
      <c r="J1156">
        <v>0</v>
      </c>
      <c r="K1156">
        <v>0</v>
      </c>
      <c r="L1156">
        <v>0</v>
      </c>
      <c r="M1156">
        <v>144</v>
      </c>
      <c r="N1156">
        <v>0</v>
      </c>
      <c r="O1156">
        <v>0</v>
      </c>
    </row>
    <row r="1157" spans="1:15" x14ac:dyDescent="0.25">
      <c r="A1157" t="s">
        <v>10638</v>
      </c>
      <c r="B1157" t="s">
        <v>2057</v>
      </c>
      <c r="C1157" t="s">
        <v>927</v>
      </c>
      <c r="D1157" t="s">
        <v>3052</v>
      </c>
      <c r="E1157" t="s">
        <v>3053</v>
      </c>
      <c r="F1157" t="s">
        <v>353</v>
      </c>
      <c r="G1157" t="s">
        <v>354</v>
      </c>
      <c r="H1157" t="s">
        <v>10885</v>
      </c>
      <c r="I1157">
        <v>12</v>
      </c>
      <c r="J1157">
        <v>0</v>
      </c>
      <c r="K1157">
        <v>0</v>
      </c>
      <c r="L1157">
        <v>12</v>
      </c>
      <c r="M1157">
        <v>0</v>
      </c>
      <c r="N1157">
        <v>0</v>
      </c>
      <c r="O1157">
        <v>0</v>
      </c>
    </row>
    <row r="1158" spans="1:15" x14ac:dyDescent="0.25">
      <c r="A1158" t="s">
        <v>1008</v>
      </c>
      <c r="B1158" t="s">
        <v>2928</v>
      </c>
      <c r="C1158" t="s">
        <v>927</v>
      </c>
      <c r="D1158" t="s">
        <v>3052</v>
      </c>
      <c r="E1158" t="s">
        <v>3053</v>
      </c>
      <c r="F1158" t="s">
        <v>353</v>
      </c>
      <c r="G1158" t="s">
        <v>354</v>
      </c>
      <c r="H1158" t="s">
        <v>3805</v>
      </c>
      <c r="I1158">
        <v>3</v>
      </c>
      <c r="J1158">
        <v>3</v>
      </c>
      <c r="K1158">
        <v>0</v>
      </c>
      <c r="L1158">
        <v>0</v>
      </c>
      <c r="M1158">
        <v>0</v>
      </c>
      <c r="N1158">
        <v>1</v>
      </c>
      <c r="O1158">
        <v>0</v>
      </c>
    </row>
    <row r="1159" spans="1:15" x14ac:dyDescent="0.25">
      <c r="A1159" t="s">
        <v>1264</v>
      </c>
      <c r="B1159" t="s">
        <v>2749</v>
      </c>
      <c r="C1159" t="s">
        <v>927</v>
      </c>
      <c r="D1159" t="s">
        <v>3052</v>
      </c>
      <c r="E1159" t="s">
        <v>3053</v>
      </c>
      <c r="F1159" t="s">
        <v>353</v>
      </c>
      <c r="G1159" t="s">
        <v>354</v>
      </c>
      <c r="H1159" t="s">
        <v>3806</v>
      </c>
      <c r="I1159">
        <v>10</v>
      </c>
      <c r="J1159">
        <v>6</v>
      </c>
      <c r="K1159">
        <v>0</v>
      </c>
      <c r="L1159">
        <v>4</v>
      </c>
      <c r="M1159">
        <v>0</v>
      </c>
      <c r="N1159">
        <v>0</v>
      </c>
      <c r="O1159">
        <v>0</v>
      </c>
    </row>
    <row r="1160" spans="1:15" x14ac:dyDescent="0.25">
      <c r="A1160" t="s">
        <v>938</v>
      </c>
      <c r="B1160" t="s">
        <v>2791</v>
      </c>
      <c r="C1160" t="s">
        <v>927</v>
      </c>
      <c r="D1160" t="s">
        <v>3052</v>
      </c>
      <c r="E1160" t="s">
        <v>3053</v>
      </c>
      <c r="F1160" t="s">
        <v>353</v>
      </c>
      <c r="G1160" t="s">
        <v>354</v>
      </c>
      <c r="H1160" t="s">
        <v>3807</v>
      </c>
      <c r="I1160">
        <v>59</v>
      </c>
      <c r="J1160">
        <v>42</v>
      </c>
      <c r="K1160">
        <v>0</v>
      </c>
      <c r="L1160">
        <v>17</v>
      </c>
      <c r="M1160">
        <v>0</v>
      </c>
      <c r="N1160">
        <v>0</v>
      </c>
      <c r="O1160">
        <v>0</v>
      </c>
    </row>
    <row r="1161" spans="1:15" x14ac:dyDescent="0.25">
      <c r="A1161" t="s">
        <v>940</v>
      </c>
      <c r="B1161" t="s">
        <v>2647</v>
      </c>
      <c r="C1161" t="s">
        <v>927</v>
      </c>
      <c r="D1161" t="s">
        <v>3052</v>
      </c>
      <c r="E1161" t="s">
        <v>3053</v>
      </c>
      <c r="F1161" t="s">
        <v>353</v>
      </c>
      <c r="G1161" t="s">
        <v>354</v>
      </c>
      <c r="H1161" t="s">
        <v>14531</v>
      </c>
      <c r="I1161">
        <v>45</v>
      </c>
      <c r="J1161">
        <v>0</v>
      </c>
      <c r="K1161">
        <v>0</v>
      </c>
      <c r="L1161">
        <v>0</v>
      </c>
      <c r="M1161">
        <v>45</v>
      </c>
      <c r="N1161">
        <v>0</v>
      </c>
      <c r="O1161">
        <v>0</v>
      </c>
    </row>
    <row r="1162" spans="1:15" x14ac:dyDescent="0.25">
      <c r="A1162" t="s">
        <v>1012</v>
      </c>
      <c r="B1162" t="s">
        <v>2911</v>
      </c>
      <c r="C1162" t="s">
        <v>927</v>
      </c>
      <c r="D1162" t="s">
        <v>3052</v>
      </c>
      <c r="E1162" t="s">
        <v>3053</v>
      </c>
      <c r="F1162" t="s">
        <v>353</v>
      </c>
      <c r="G1162" t="s">
        <v>354</v>
      </c>
      <c r="H1162" t="s">
        <v>3808</v>
      </c>
      <c r="I1162">
        <v>1346</v>
      </c>
      <c r="J1162">
        <v>1096</v>
      </c>
      <c r="K1162">
        <v>3</v>
      </c>
      <c r="L1162">
        <v>110</v>
      </c>
      <c r="M1162">
        <v>38</v>
      </c>
      <c r="N1162">
        <v>39</v>
      </c>
      <c r="O1162">
        <v>99</v>
      </c>
    </row>
    <row r="1163" spans="1:15" x14ac:dyDescent="0.25">
      <c r="A1163" t="s">
        <v>1283</v>
      </c>
      <c r="B1163" t="s">
        <v>2768</v>
      </c>
      <c r="C1163" t="s">
        <v>923</v>
      </c>
      <c r="D1163" t="s">
        <v>3063</v>
      </c>
      <c r="E1163" t="s">
        <v>3053</v>
      </c>
      <c r="F1163" t="s">
        <v>353</v>
      </c>
      <c r="G1163" t="s">
        <v>354</v>
      </c>
      <c r="H1163" t="s">
        <v>3809</v>
      </c>
      <c r="I1163">
        <v>489</v>
      </c>
      <c r="J1163">
        <v>359</v>
      </c>
      <c r="K1163">
        <v>0</v>
      </c>
      <c r="L1163">
        <v>35</v>
      </c>
      <c r="M1163">
        <v>95</v>
      </c>
      <c r="N1163">
        <v>0</v>
      </c>
      <c r="O1163">
        <v>0</v>
      </c>
    </row>
    <row r="1164" spans="1:15" x14ac:dyDescent="0.25">
      <c r="A1164" t="s">
        <v>10667</v>
      </c>
      <c r="B1164" t="s">
        <v>10666</v>
      </c>
      <c r="C1164" t="s">
        <v>927</v>
      </c>
      <c r="D1164" t="s">
        <v>3052</v>
      </c>
      <c r="E1164" t="s">
        <v>3053</v>
      </c>
      <c r="F1164" t="s">
        <v>353</v>
      </c>
      <c r="G1164" t="s">
        <v>354</v>
      </c>
      <c r="H1164" t="s">
        <v>10886</v>
      </c>
      <c r="I1164">
        <v>7</v>
      </c>
      <c r="J1164">
        <v>7</v>
      </c>
      <c r="K1164">
        <v>0</v>
      </c>
      <c r="L1164">
        <v>0</v>
      </c>
      <c r="M1164">
        <v>0</v>
      </c>
      <c r="N1164">
        <v>0</v>
      </c>
      <c r="O1164">
        <v>0</v>
      </c>
    </row>
    <row r="1165" spans="1:15" x14ac:dyDescent="0.25">
      <c r="A1165" t="s">
        <v>1126</v>
      </c>
      <c r="B1165" t="s">
        <v>2130</v>
      </c>
      <c r="C1165" t="s">
        <v>927</v>
      </c>
      <c r="D1165" t="s">
        <v>3052</v>
      </c>
      <c r="E1165" t="s">
        <v>3053</v>
      </c>
      <c r="F1165" t="s">
        <v>353</v>
      </c>
      <c r="G1165" t="s">
        <v>354</v>
      </c>
      <c r="H1165" t="s">
        <v>10887</v>
      </c>
      <c r="I1165">
        <v>5</v>
      </c>
      <c r="J1165">
        <v>0</v>
      </c>
      <c r="K1165">
        <v>0</v>
      </c>
      <c r="L1165">
        <v>0</v>
      </c>
      <c r="M1165">
        <v>0</v>
      </c>
      <c r="N1165">
        <v>0</v>
      </c>
      <c r="O1165">
        <v>5</v>
      </c>
    </row>
    <row r="1166" spans="1:15" x14ac:dyDescent="0.25">
      <c r="A1166" t="s">
        <v>1025</v>
      </c>
      <c r="B1166" t="s">
        <v>2893</v>
      </c>
      <c r="C1166" t="s">
        <v>927</v>
      </c>
      <c r="D1166" t="s">
        <v>3052</v>
      </c>
      <c r="E1166" t="s">
        <v>3053</v>
      </c>
      <c r="F1166" t="s">
        <v>353</v>
      </c>
      <c r="G1166" t="s">
        <v>354</v>
      </c>
      <c r="H1166" t="s">
        <v>3810</v>
      </c>
      <c r="I1166">
        <v>1051</v>
      </c>
      <c r="J1166">
        <v>672</v>
      </c>
      <c r="K1166">
        <v>0</v>
      </c>
      <c r="L1166">
        <v>8</v>
      </c>
      <c r="M1166">
        <v>0</v>
      </c>
      <c r="N1166">
        <v>26</v>
      </c>
      <c r="O1166">
        <v>371</v>
      </c>
    </row>
    <row r="1167" spans="1:15" x14ac:dyDescent="0.25">
      <c r="A1167" t="s">
        <v>1293</v>
      </c>
      <c r="B1167" t="s">
        <v>2910</v>
      </c>
      <c r="C1167" t="s">
        <v>927</v>
      </c>
      <c r="D1167" t="s">
        <v>3052</v>
      </c>
      <c r="E1167" t="s">
        <v>3053</v>
      </c>
      <c r="F1167" t="s">
        <v>353</v>
      </c>
      <c r="G1167" t="s">
        <v>354</v>
      </c>
      <c r="H1167" t="s">
        <v>3811</v>
      </c>
      <c r="I1167">
        <v>32</v>
      </c>
      <c r="J1167">
        <v>0</v>
      </c>
      <c r="K1167">
        <v>0</v>
      </c>
      <c r="L1167">
        <v>32</v>
      </c>
      <c r="M1167">
        <v>0</v>
      </c>
      <c r="N1167">
        <v>0</v>
      </c>
      <c r="O1167">
        <v>0</v>
      </c>
    </row>
    <row r="1168" spans="1:15" x14ac:dyDescent="0.25">
      <c r="A1168" t="s">
        <v>10681</v>
      </c>
      <c r="B1168" t="s">
        <v>10680</v>
      </c>
      <c r="C1168" t="s">
        <v>927</v>
      </c>
      <c r="D1168" t="s">
        <v>3052</v>
      </c>
      <c r="E1168" t="s">
        <v>3053</v>
      </c>
      <c r="F1168" t="s">
        <v>353</v>
      </c>
      <c r="G1168" t="s">
        <v>354</v>
      </c>
      <c r="H1168" t="s">
        <v>14532</v>
      </c>
      <c r="I1168">
        <v>9</v>
      </c>
      <c r="J1168">
        <v>0</v>
      </c>
      <c r="K1168">
        <v>0</v>
      </c>
      <c r="L1168">
        <v>0</v>
      </c>
      <c r="M1168">
        <v>0</v>
      </c>
      <c r="N1168">
        <v>0</v>
      </c>
      <c r="O1168">
        <v>9</v>
      </c>
    </row>
    <row r="1169" spans="1:15" x14ac:dyDescent="0.25">
      <c r="A1169" t="s">
        <v>943</v>
      </c>
      <c r="B1169" t="s">
        <v>2694</v>
      </c>
      <c r="C1169" t="s">
        <v>927</v>
      </c>
      <c r="D1169" t="s">
        <v>3052</v>
      </c>
      <c r="E1169" t="s">
        <v>3053</v>
      </c>
      <c r="F1169" t="s">
        <v>353</v>
      </c>
      <c r="G1169" t="s">
        <v>354</v>
      </c>
      <c r="H1169" t="s">
        <v>3812</v>
      </c>
      <c r="I1169">
        <v>70</v>
      </c>
      <c r="J1169">
        <v>0</v>
      </c>
      <c r="K1169">
        <v>0</v>
      </c>
      <c r="L1169">
        <v>0</v>
      </c>
      <c r="M1169">
        <v>0</v>
      </c>
      <c r="N1169">
        <v>0</v>
      </c>
      <c r="O1169">
        <v>70</v>
      </c>
    </row>
    <row r="1170" spans="1:15" x14ac:dyDescent="0.25">
      <c r="A1170" t="s">
        <v>945</v>
      </c>
      <c r="B1170" t="s">
        <v>2668</v>
      </c>
      <c r="C1170" t="s">
        <v>927</v>
      </c>
      <c r="D1170" t="s">
        <v>3052</v>
      </c>
      <c r="E1170" t="s">
        <v>3053</v>
      </c>
      <c r="F1170" t="s">
        <v>353</v>
      </c>
      <c r="G1170" t="s">
        <v>354</v>
      </c>
      <c r="H1170" t="s">
        <v>3813</v>
      </c>
      <c r="I1170">
        <v>470</v>
      </c>
      <c r="J1170">
        <v>269</v>
      </c>
      <c r="K1170">
        <v>0</v>
      </c>
      <c r="L1170">
        <v>5</v>
      </c>
      <c r="M1170">
        <v>55</v>
      </c>
      <c r="N1170">
        <v>0</v>
      </c>
      <c r="O1170">
        <v>141</v>
      </c>
    </row>
    <row r="1171" spans="1:15" x14ac:dyDescent="0.25">
      <c r="A1171" t="s">
        <v>1134</v>
      </c>
      <c r="B1171" t="s">
        <v>2118</v>
      </c>
      <c r="C1171" t="s">
        <v>927</v>
      </c>
      <c r="D1171" t="s">
        <v>3052</v>
      </c>
      <c r="E1171" t="s">
        <v>3053</v>
      </c>
      <c r="F1171" t="s">
        <v>353</v>
      </c>
      <c r="G1171" t="s">
        <v>354</v>
      </c>
      <c r="H1171" t="s">
        <v>3814</v>
      </c>
      <c r="I1171">
        <v>26</v>
      </c>
      <c r="J1171">
        <v>26</v>
      </c>
      <c r="K1171">
        <v>0</v>
      </c>
      <c r="L1171">
        <v>0</v>
      </c>
      <c r="M1171">
        <v>0</v>
      </c>
      <c r="N1171">
        <v>0</v>
      </c>
      <c r="O1171">
        <v>0</v>
      </c>
    </row>
    <row r="1172" spans="1:15" x14ac:dyDescent="0.25">
      <c r="A1172" t="s">
        <v>949</v>
      </c>
      <c r="B1172" t="s">
        <v>3035</v>
      </c>
      <c r="C1172" t="s">
        <v>927</v>
      </c>
      <c r="D1172" t="s">
        <v>3052</v>
      </c>
      <c r="E1172" t="s">
        <v>3053</v>
      </c>
      <c r="F1172" t="s">
        <v>353</v>
      </c>
      <c r="G1172" t="s">
        <v>354</v>
      </c>
      <c r="H1172" t="s">
        <v>3815</v>
      </c>
      <c r="I1172">
        <v>3</v>
      </c>
      <c r="J1172">
        <v>0</v>
      </c>
      <c r="K1172">
        <v>0</v>
      </c>
      <c r="L1172">
        <v>0</v>
      </c>
      <c r="M1172">
        <v>0</v>
      </c>
      <c r="N1172">
        <v>0</v>
      </c>
      <c r="O1172">
        <v>3</v>
      </c>
    </row>
    <row r="1173" spans="1:15" x14ac:dyDescent="0.25">
      <c r="A1173" t="s">
        <v>1135</v>
      </c>
      <c r="B1173" t="s">
        <v>1996</v>
      </c>
      <c r="C1173" t="s">
        <v>923</v>
      </c>
      <c r="D1173" t="s">
        <v>3063</v>
      </c>
      <c r="E1173" t="s">
        <v>3053</v>
      </c>
      <c r="F1173" t="s">
        <v>353</v>
      </c>
      <c r="G1173" t="s">
        <v>354</v>
      </c>
      <c r="H1173" t="s">
        <v>10216</v>
      </c>
      <c r="I1173">
        <v>3</v>
      </c>
      <c r="J1173">
        <v>3</v>
      </c>
      <c r="K1173">
        <v>0</v>
      </c>
      <c r="L1173">
        <v>0</v>
      </c>
      <c r="M1173">
        <v>0</v>
      </c>
      <c r="N1173">
        <v>0</v>
      </c>
      <c r="O1173">
        <v>0</v>
      </c>
    </row>
    <row r="1174" spans="1:15" x14ac:dyDescent="0.25">
      <c r="A1174" t="s">
        <v>1041</v>
      </c>
      <c r="B1174" t="s">
        <v>2826</v>
      </c>
      <c r="C1174" t="s">
        <v>927</v>
      </c>
      <c r="D1174" t="s">
        <v>3052</v>
      </c>
      <c r="E1174" t="s">
        <v>3053</v>
      </c>
      <c r="F1174" t="s">
        <v>353</v>
      </c>
      <c r="G1174" t="s">
        <v>354</v>
      </c>
      <c r="H1174" t="s">
        <v>3816</v>
      </c>
      <c r="I1174">
        <v>13</v>
      </c>
      <c r="J1174">
        <v>0</v>
      </c>
      <c r="K1174">
        <v>0</v>
      </c>
      <c r="L1174">
        <v>0</v>
      </c>
      <c r="M1174">
        <v>0</v>
      </c>
      <c r="N1174">
        <v>0</v>
      </c>
      <c r="O1174">
        <v>13</v>
      </c>
    </row>
    <row r="1175" spans="1:15" x14ac:dyDescent="0.25">
      <c r="A1175" t="s">
        <v>1146</v>
      </c>
      <c r="B1175" t="s">
        <v>2117</v>
      </c>
      <c r="C1175" t="s">
        <v>927</v>
      </c>
      <c r="D1175" t="s">
        <v>3052</v>
      </c>
      <c r="E1175" t="s">
        <v>3053</v>
      </c>
      <c r="F1175" t="s">
        <v>353</v>
      </c>
      <c r="G1175" t="s">
        <v>354</v>
      </c>
      <c r="H1175" t="s">
        <v>3817</v>
      </c>
      <c r="I1175">
        <v>108</v>
      </c>
      <c r="J1175">
        <v>100</v>
      </c>
      <c r="K1175">
        <v>0</v>
      </c>
      <c r="L1175">
        <v>0</v>
      </c>
      <c r="M1175">
        <v>0</v>
      </c>
      <c r="N1175">
        <v>0</v>
      </c>
      <c r="O1175">
        <v>8</v>
      </c>
    </row>
    <row r="1176" spans="1:15" x14ac:dyDescent="0.25">
      <c r="A1176" t="s">
        <v>1318</v>
      </c>
      <c r="B1176" t="s">
        <v>2727</v>
      </c>
      <c r="C1176" t="s">
        <v>923</v>
      </c>
      <c r="D1176" t="s">
        <v>3063</v>
      </c>
      <c r="E1176" t="s">
        <v>3053</v>
      </c>
      <c r="F1176" t="s">
        <v>353</v>
      </c>
      <c r="G1176" t="s">
        <v>354</v>
      </c>
      <c r="H1176" t="s">
        <v>3818</v>
      </c>
      <c r="I1176">
        <v>264</v>
      </c>
      <c r="J1176">
        <v>251</v>
      </c>
      <c r="K1176">
        <v>0</v>
      </c>
      <c r="L1176">
        <v>13</v>
      </c>
      <c r="M1176">
        <v>0</v>
      </c>
      <c r="N1176">
        <v>0</v>
      </c>
      <c r="O1176">
        <v>0</v>
      </c>
    </row>
    <row r="1177" spans="1:15" x14ac:dyDescent="0.25">
      <c r="A1177" t="s">
        <v>1321</v>
      </c>
      <c r="B1177" t="s">
        <v>2889</v>
      </c>
      <c r="C1177" t="s">
        <v>927</v>
      </c>
      <c r="D1177" t="s">
        <v>3052</v>
      </c>
      <c r="E1177" t="s">
        <v>3053</v>
      </c>
      <c r="F1177" t="s">
        <v>353</v>
      </c>
      <c r="G1177" t="s">
        <v>354</v>
      </c>
      <c r="H1177" t="s">
        <v>3819</v>
      </c>
      <c r="I1177">
        <v>33</v>
      </c>
      <c r="J1177">
        <v>25</v>
      </c>
      <c r="K1177">
        <v>0</v>
      </c>
      <c r="L1177">
        <v>0</v>
      </c>
      <c r="M1177">
        <v>0</v>
      </c>
      <c r="N1177">
        <v>0</v>
      </c>
      <c r="O1177">
        <v>8</v>
      </c>
    </row>
    <row r="1178" spans="1:15" x14ac:dyDescent="0.25">
      <c r="A1178" t="s">
        <v>1323</v>
      </c>
      <c r="B1178" t="s">
        <v>2612</v>
      </c>
      <c r="C1178" t="s">
        <v>923</v>
      </c>
      <c r="D1178" t="s">
        <v>3063</v>
      </c>
      <c r="E1178" t="s">
        <v>3053</v>
      </c>
      <c r="F1178" t="s">
        <v>353</v>
      </c>
      <c r="G1178" t="s">
        <v>354</v>
      </c>
      <c r="H1178" t="s">
        <v>3820</v>
      </c>
      <c r="I1178">
        <v>8</v>
      </c>
      <c r="J1178">
        <v>0</v>
      </c>
      <c r="K1178">
        <v>0</v>
      </c>
      <c r="L1178">
        <v>8</v>
      </c>
      <c r="M1178">
        <v>0</v>
      </c>
      <c r="N1178">
        <v>0</v>
      </c>
      <c r="O1178">
        <v>0</v>
      </c>
    </row>
    <row r="1179" spans="1:15" x14ac:dyDescent="0.25">
      <c r="A1179" t="s">
        <v>11681</v>
      </c>
      <c r="B1179" t="s">
        <v>10690</v>
      </c>
      <c r="C1179" t="s">
        <v>923</v>
      </c>
      <c r="D1179" t="s">
        <v>3063</v>
      </c>
      <c r="E1179" t="s">
        <v>3053</v>
      </c>
      <c r="F1179" t="s">
        <v>353</v>
      </c>
      <c r="G1179" t="s">
        <v>354</v>
      </c>
      <c r="H1179" t="s">
        <v>11895</v>
      </c>
      <c r="I1179">
        <v>290</v>
      </c>
      <c r="J1179">
        <v>290</v>
      </c>
      <c r="K1179">
        <v>0</v>
      </c>
      <c r="L1179">
        <v>0</v>
      </c>
      <c r="M1179">
        <v>0</v>
      </c>
      <c r="N1179">
        <v>0</v>
      </c>
      <c r="O1179">
        <v>0</v>
      </c>
    </row>
    <row r="1180" spans="1:15" x14ac:dyDescent="0.25">
      <c r="A1180" t="s">
        <v>1330</v>
      </c>
      <c r="B1180" t="s">
        <v>2776</v>
      </c>
      <c r="C1180" t="s">
        <v>923</v>
      </c>
      <c r="D1180" t="s">
        <v>3063</v>
      </c>
      <c r="E1180" t="s">
        <v>3053</v>
      </c>
      <c r="F1180" t="s">
        <v>353</v>
      </c>
      <c r="G1180" t="s">
        <v>354</v>
      </c>
      <c r="H1180" t="s">
        <v>3821</v>
      </c>
      <c r="I1180">
        <v>195</v>
      </c>
      <c r="J1180">
        <v>134</v>
      </c>
      <c r="K1180">
        <v>0</v>
      </c>
      <c r="L1180">
        <v>0</v>
      </c>
      <c r="M1180">
        <v>61</v>
      </c>
      <c r="N1180">
        <v>0</v>
      </c>
      <c r="O1180">
        <v>0</v>
      </c>
    </row>
    <row r="1181" spans="1:15" x14ac:dyDescent="0.25">
      <c r="A1181" t="s">
        <v>953</v>
      </c>
      <c r="B1181" t="s">
        <v>2014</v>
      </c>
      <c r="C1181" t="s">
        <v>927</v>
      </c>
      <c r="D1181" t="s">
        <v>3052</v>
      </c>
      <c r="E1181" t="s">
        <v>3053</v>
      </c>
      <c r="F1181" t="s">
        <v>353</v>
      </c>
      <c r="G1181" t="s">
        <v>354</v>
      </c>
      <c r="H1181" t="s">
        <v>3822</v>
      </c>
      <c r="I1181">
        <v>17</v>
      </c>
      <c r="J1181">
        <v>0</v>
      </c>
      <c r="K1181">
        <v>0</v>
      </c>
      <c r="L1181">
        <v>17</v>
      </c>
      <c r="M1181">
        <v>0</v>
      </c>
      <c r="N1181">
        <v>0</v>
      </c>
      <c r="O1181">
        <v>0</v>
      </c>
    </row>
    <row r="1182" spans="1:15" x14ac:dyDescent="0.25">
      <c r="A1182" t="s">
        <v>9788</v>
      </c>
      <c r="B1182" t="s">
        <v>9871</v>
      </c>
      <c r="C1182" t="s">
        <v>927</v>
      </c>
      <c r="D1182" t="s">
        <v>3052</v>
      </c>
      <c r="E1182" t="s">
        <v>3053</v>
      </c>
      <c r="F1182" t="s">
        <v>353</v>
      </c>
      <c r="G1182" t="s">
        <v>354</v>
      </c>
      <c r="H1182" t="s">
        <v>14533</v>
      </c>
      <c r="I1182">
        <v>40</v>
      </c>
      <c r="J1182">
        <v>40</v>
      </c>
      <c r="K1182">
        <v>0</v>
      </c>
      <c r="L1182">
        <v>0</v>
      </c>
      <c r="M1182">
        <v>0</v>
      </c>
      <c r="N1182">
        <v>0</v>
      </c>
      <c r="O1182">
        <v>0</v>
      </c>
    </row>
    <row r="1183" spans="1:15" x14ac:dyDescent="0.25">
      <c r="A1183" t="s">
        <v>955</v>
      </c>
      <c r="B1183" t="s">
        <v>2660</v>
      </c>
      <c r="C1183" t="s">
        <v>927</v>
      </c>
      <c r="D1183" t="s">
        <v>3052</v>
      </c>
      <c r="E1183" t="s">
        <v>3053</v>
      </c>
      <c r="F1183" t="s">
        <v>353</v>
      </c>
      <c r="G1183" t="s">
        <v>354</v>
      </c>
      <c r="H1183" t="s">
        <v>3823</v>
      </c>
      <c r="I1183">
        <v>265</v>
      </c>
      <c r="J1183">
        <v>140</v>
      </c>
      <c r="K1183">
        <v>0</v>
      </c>
      <c r="L1183">
        <v>17</v>
      </c>
      <c r="M1183">
        <v>103</v>
      </c>
      <c r="N1183">
        <v>0</v>
      </c>
      <c r="O1183">
        <v>5</v>
      </c>
    </row>
    <row r="1184" spans="1:15" x14ac:dyDescent="0.25">
      <c r="A1184" t="s">
        <v>11663</v>
      </c>
      <c r="B1184" t="s">
        <v>11768</v>
      </c>
      <c r="C1184" t="s">
        <v>927</v>
      </c>
      <c r="D1184" t="s">
        <v>3052</v>
      </c>
      <c r="E1184" t="s">
        <v>3053</v>
      </c>
      <c r="F1184" t="s">
        <v>353</v>
      </c>
      <c r="G1184" t="s">
        <v>354</v>
      </c>
      <c r="H1184" t="s">
        <v>11896</v>
      </c>
      <c r="I1184">
        <v>1379</v>
      </c>
      <c r="J1184">
        <v>1127</v>
      </c>
      <c r="K1184">
        <v>0</v>
      </c>
      <c r="L1184">
        <v>54</v>
      </c>
      <c r="M1184">
        <v>116</v>
      </c>
      <c r="N1184">
        <v>4</v>
      </c>
      <c r="O1184">
        <v>82</v>
      </c>
    </row>
    <row r="1185" spans="1:15" x14ac:dyDescent="0.25">
      <c r="A1185" t="s">
        <v>14374</v>
      </c>
      <c r="B1185" t="s">
        <v>1943</v>
      </c>
      <c r="C1185" t="s">
        <v>927</v>
      </c>
      <c r="D1185" t="s">
        <v>3052</v>
      </c>
      <c r="E1185" t="s">
        <v>3053</v>
      </c>
      <c r="F1185" t="s">
        <v>353</v>
      </c>
      <c r="G1185" t="s">
        <v>354</v>
      </c>
      <c r="H1185" t="s">
        <v>14534</v>
      </c>
      <c r="I1185">
        <v>11</v>
      </c>
      <c r="J1185">
        <v>0</v>
      </c>
      <c r="K1185">
        <v>0</v>
      </c>
      <c r="L1185">
        <v>0</v>
      </c>
      <c r="M1185">
        <v>0</v>
      </c>
      <c r="N1185">
        <v>0</v>
      </c>
      <c r="O1185">
        <v>11</v>
      </c>
    </row>
    <row r="1186" spans="1:15" x14ac:dyDescent="0.25">
      <c r="A1186" t="s">
        <v>1347</v>
      </c>
      <c r="B1186" t="s">
        <v>2594</v>
      </c>
      <c r="C1186" t="s">
        <v>923</v>
      </c>
      <c r="D1186" t="s">
        <v>3063</v>
      </c>
      <c r="E1186" t="s">
        <v>3053</v>
      </c>
      <c r="F1186" t="s">
        <v>353</v>
      </c>
      <c r="G1186" t="s">
        <v>354</v>
      </c>
      <c r="H1186" t="s">
        <v>14535</v>
      </c>
      <c r="I1186">
        <v>15</v>
      </c>
      <c r="J1186">
        <v>0</v>
      </c>
      <c r="K1186">
        <v>0</v>
      </c>
      <c r="L1186">
        <v>15</v>
      </c>
      <c r="M1186">
        <v>0</v>
      </c>
      <c r="N1186">
        <v>0</v>
      </c>
      <c r="O1186">
        <v>0</v>
      </c>
    </row>
    <row r="1187" spans="1:15" x14ac:dyDescent="0.25">
      <c r="A1187" t="s">
        <v>1357</v>
      </c>
      <c r="B1187" t="s">
        <v>2606</v>
      </c>
      <c r="C1187" t="s">
        <v>923</v>
      </c>
      <c r="D1187" t="s">
        <v>3063</v>
      </c>
      <c r="E1187" t="s">
        <v>3053</v>
      </c>
      <c r="F1187" t="s">
        <v>353</v>
      </c>
      <c r="G1187" t="s">
        <v>354</v>
      </c>
      <c r="H1187" t="s">
        <v>3824</v>
      </c>
      <c r="I1187">
        <v>7</v>
      </c>
      <c r="J1187">
        <v>0</v>
      </c>
      <c r="K1187">
        <v>0</v>
      </c>
      <c r="L1187">
        <v>7</v>
      </c>
      <c r="M1187">
        <v>0</v>
      </c>
      <c r="N1187">
        <v>0</v>
      </c>
      <c r="O1187">
        <v>0</v>
      </c>
    </row>
    <row r="1188" spans="1:15" x14ac:dyDescent="0.25">
      <c r="A1188" t="s">
        <v>1069</v>
      </c>
      <c r="B1188" t="s">
        <v>2001</v>
      </c>
      <c r="C1188" t="s">
        <v>927</v>
      </c>
      <c r="D1188" t="s">
        <v>3052</v>
      </c>
      <c r="E1188" t="s">
        <v>3053</v>
      </c>
      <c r="F1188" t="s">
        <v>353</v>
      </c>
      <c r="G1188" t="s">
        <v>354</v>
      </c>
      <c r="H1188" t="s">
        <v>3825</v>
      </c>
      <c r="I1188">
        <v>18</v>
      </c>
      <c r="J1188">
        <v>0</v>
      </c>
      <c r="K1188">
        <v>0</v>
      </c>
      <c r="L1188">
        <v>0</v>
      </c>
      <c r="M1188">
        <v>18</v>
      </c>
      <c r="N1188">
        <v>0</v>
      </c>
      <c r="O1188">
        <v>0</v>
      </c>
    </row>
    <row r="1189" spans="1:15" x14ac:dyDescent="0.25">
      <c r="A1189" t="s">
        <v>1072</v>
      </c>
      <c r="B1189" t="s">
        <v>2907</v>
      </c>
      <c r="C1189" t="s">
        <v>927</v>
      </c>
      <c r="D1189" t="s">
        <v>3052</v>
      </c>
      <c r="E1189" t="s">
        <v>3053</v>
      </c>
      <c r="F1189" t="s">
        <v>353</v>
      </c>
      <c r="G1189" t="s">
        <v>354</v>
      </c>
      <c r="H1189" t="s">
        <v>3826</v>
      </c>
      <c r="I1189">
        <v>494</v>
      </c>
      <c r="J1189">
        <v>404</v>
      </c>
      <c r="K1189">
        <v>0</v>
      </c>
      <c r="L1189">
        <v>43</v>
      </c>
      <c r="M1189">
        <v>38</v>
      </c>
      <c r="N1189">
        <v>0</v>
      </c>
      <c r="O1189">
        <v>9</v>
      </c>
    </row>
    <row r="1190" spans="1:15" x14ac:dyDescent="0.25">
      <c r="A1190" t="s">
        <v>1380</v>
      </c>
      <c r="B1190" t="s">
        <v>2664</v>
      </c>
      <c r="C1190" t="s">
        <v>927</v>
      </c>
      <c r="D1190" t="s">
        <v>3052</v>
      </c>
      <c r="E1190" t="s">
        <v>3053</v>
      </c>
      <c r="F1190" t="s">
        <v>353</v>
      </c>
      <c r="G1190" t="s">
        <v>354</v>
      </c>
      <c r="H1190" t="s">
        <v>3827</v>
      </c>
      <c r="I1190">
        <v>79</v>
      </c>
      <c r="J1190">
        <v>77</v>
      </c>
      <c r="K1190">
        <v>0</v>
      </c>
      <c r="L1190">
        <v>0</v>
      </c>
      <c r="M1190">
        <v>0</v>
      </c>
      <c r="N1190">
        <v>1</v>
      </c>
      <c r="O1190">
        <v>2</v>
      </c>
    </row>
    <row r="1191" spans="1:15" x14ac:dyDescent="0.25">
      <c r="A1191" t="s">
        <v>1389</v>
      </c>
      <c r="B1191" t="s">
        <v>1945</v>
      </c>
      <c r="C1191" t="s">
        <v>923</v>
      </c>
      <c r="D1191" t="s">
        <v>3063</v>
      </c>
      <c r="E1191" t="s">
        <v>3053</v>
      </c>
      <c r="F1191" t="s">
        <v>353</v>
      </c>
      <c r="G1191" t="s">
        <v>354</v>
      </c>
      <c r="H1191" t="s">
        <v>3828</v>
      </c>
      <c r="I1191">
        <v>1</v>
      </c>
      <c r="J1191">
        <v>1</v>
      </c>
      <c r="K1191">
        <v>0</v>
      </c>
      <c r="L1191">
        <v>0</v>
      </c>
      <c r="M1191">
        <v>0</v>
      </c>
      <c r="N1191">
        <v>0</v>
      </c>
      <c r="O1191">
        <v>0</v>
      </c>
    </row>
    <row r="1192" spans="1:15" x14ac:dyDescent="0.25">
      <c r="A1192" t="s">
        <v>926</v>
      </c>
      <c r="B1192" t="s">
        <v>2923</v>
      </c>
      <c r="C1192" t="s">
        <v>927</v>
      </c>
      <c r="D1192" t="s">
        <v>3052</v>
      </c>
      <c r="E1192" t="s">
        <v>3053</v>
      </c>
      <c r="F1192" t="s">
        <v>355</v>
      </c>
      <c r="G1192" t="s">
        <v>356</v>
      </c>
      <c r="H1192" t="s">
        <v>14536</v>
      </c>
      <c r="I1192">
        <v>1</v>
      </c>
      <c r="J1192">
        <v>0</v>
      </c>
      <c r="K1192">
        <v>0</v>
      </c>
      <c r="L1192">
        <v>0</v>
      </c>
      <c r="M1192">
        <v>0</v>
      </c>
      <c r="N1192">
        <v>0</v>
      </c>
      <c r="O1192">
        <v>1</v>
      </c>
    </row>
    <row r="1193" spans="1:15" x14ac:dyDescent="0.25">
      <c r="A1193" t="s">
        <v>983</v>
      </c>
      <c r="B1193" t="s">
        <v>2069</v>
      </c>
      <c r="C1193" t="s">
        <v>927</v>
      </c>
      <c r="D1193" t="s">
        <v>3052</v>
      </c>
      <c r="E1193" t="s">
        <v>3053</v>
      </c>
      <c r="F1193" t="s">
        <v>355</v>
      </c>
      <c r="G1193" t="s">
        <v>356</v>
      </c>
      <c r="H1193" t="s">
        <v>3829</v>
      </c>
      <c r="I1193">
        <v>349</v>
      </c>
      <c r="J1193">
        <v>283</v>
      </c>
      <c r="K1193">
        <v>0</v>
      </c>
      <c r="L1193">
        <v>14</v>
      </c>
      <c r="M1193">
        <v>0</v>
      </c>
      <c r="N1193">
        <v>0</v>
      </c>
      <c r="O1193">
        <v>52</v>
      </c>
    </row>
    <row r="1194" spans="1:15" x14ac:dyDescent="0.25">
      <c r="A1194" t="s">
        <v>1808</v>
      </c>
      <c r="B1194" t="s">
        <v>3032</v>
      </c>
      <c r="C1194" t="s">
        <v>927</v>
      </c>
      <c r="D1194" t="s">
        <v>3052</v>
      </c>
      <c r="E1194" t="s">
        <v>3053</v>
      </c>
      <c r="F1194" t="s">
        <v>355</v>
      </c>
      <c r="G1194" t="s">
        <v>356</v>
      </c>
      <c r="H1194" t="s">
        <v>3830</v>
      </c>
      <c r="I1194">
        <v>3741</v>
      </c>
      <c r="J1194">
        <v>2635</v>
      </c>
      <c r="K1194">
        <v>0</v>
      </c>
      <c r="L1194">
        <v>3</v>
      </c>
      <c r="M1194">
        <v>914</v>
      </c>
      <c r="N1194">
        <v>0</v>
      </c>
      <c r="O1194">
        <v>189</v>
      </c>
    </row>
    <row r="1195" spans="1:15" x14ac:dyDescent="0.25">
      <c r="A1195" t="s">
        <v>1809</v>
      </c>
      <c r="B1195" t="s">
        <v>2187</v>
      </c>
      <c r="C1195" t="s">
        <v>923</v>
      </c>
      <c r="D1195" t="s">
        <v>3063</v>
      </c>
      <c r="E1195" t="s">
        <v>3053</v>
      </c>
      <c r="F1195" t="s">
        <v>355</v>
      </c>
      <c r="G1195" t="s">
        <v>356</v>
      </c>
      <c r="H1195" t="s">
        <v>3831</v>
      </c>
      <c r="I1195">
        <v>42</v>
      </c>
      <c r="J1195">
        <v>0</v>
      </c>
      <c r="K1195">
        <v>0</v>
      </c>
      <c r="L1195">
        <v>0</v>
      </c>
      <c r="M1195">
        <v>42</v>
      </c>
      <c r="N1195">
        <v>0</v>
      </c>
      <c r="O1195">
        <v>0</v>
      </c>
    </row>
    <row r="1196" spans="1:15" x14ac:dyDescent="0.25">
      <c r="A1196" t="s">
        <v>1715</v>
      </c>
      <c r="B1196" t="s">
        <v>2136</v>
      </c>
      <c r="C1196" t="s">
        <v>927</v>
      </c>
      <c r="D1196" t="s">
        <v>3052</v>
      </c>
      <c r="E1196" t="s">
        <v>3053</v>
      </c>
      <c r="F1196" t="s">
        <v>355</v>
      </c>
      <c r="G1196" t="s">
        <v>356</v>
      </c>
      <c r="H1196" t="s">
        <v>3832</v>
      </c>
      <c r="I1196">
        <v>260</v>
      </c>
      <c r="J1196">
        <v>169</v>
      </c>
      <c r="K1196">
        <v>0</v>
      </c>
      <c r="L1196">
        <v>26</v>
      </c>
      <c r="M1196">
        <v>0</v>
      </c>
      <c r="N1196">
        <v>0</v>
      </c>
      <c r="O1196">
        <v>65</v>
      </c>
    </row>
    <row r="1197" spans="1:15" x14ac:dyDescent="0.25">
      <c r="A1197" t="s">
        <v>933</v>
      </c>
      <c r="B1197" t="s">
        <v>2106</v>
      </c>
      <c r="C1197" t="s">
        <v>927</v>
      </c>
      <c r="D1197" t="s">
        <v>3052</v>
      </c>
      <c r="E1197" t="s">
        <v>3053</v>
      </c>
      <c r="F1197" t="s">
        <v>355</v>
      </c>
      <c r="G1197" t="s">
        <v>356</v>
      </c>
      <c r="H1197" t="s">
        <v>3833</v>
      </c>
      <c r="I1197">
        <v>2</v>
      </c>
      <c r="J1197">
        <v>1</v>
      </c>
      <c r="K1197">
        <v>0</v>
      </c>
      <c r="L1197">
        <v>0</v>
      </c>
      <c r="M1197">
        <v>0</v>
      </c>
      <c r="N1197">
        <v>0</v>
      </c>
      <c r="O1197">
        <v>1</v>
      </c>
    </row>
    <row r="1198" spans="1:15" x14ac:dyDescent="0.25">
      <c r="A1198" t="s">
        <v>11660</v>
      </c>
      <c r="B1198" t="s">
        <v>2041</v>
      </c>
      <c r="C1198" t="s">
        <v>923</v>
      </c>
      <c r="D1198" t="s">
        <v>3063</v>
      </c>
      <c r="E1198" t="s">
        <v>3053</v>
      </c>
      <c r="F1198" t="s">
        <v>355</v>
      </c>
      <c r="G1198" t="s">
        <v>356</v>
      </c>
      <c r="H1198" t="s">
        <v>14537</v>
      </c>
      <c r="I1198">
        <v>1</v>
      </c>
      <c r="J1198">
        <v>0</v>
      </c>
      <c r="K1198">
        <v>0</v>
      </c>
      <c r="L1198">
        <v>1</v>
      </c>
      <c r="M1198">
        <v>0</v>
      </c>
      <c r="N1198">
        <v>0</v>
      </c>
      <c r="O1198">
        <v>0</v>
      </c>
    </row>
    <row r="1199" spans="1:15" x14ac:dyDescent="0.25">
      <c r="A1199" t="s">
        <v>10643</v>
      </c>
      <c r="B1199" t="s">
        <v>2987</v>
      </c>
      <c r="C1199" t="s">
        <v>927</v>
      </c>
      <c r="D1199" t="s">
        <v>3052</v>
      </c>
      <c r="E1199" t="s">
        <v>3053</v>
      </c>
      <c r="F1199" t="s">
        <v>355</v>
      </c>
      <c r="G1199" t="s">
        <v>356</v>
      </c>
      <c r="H1199" t="s">
        <v>10888</v>
      </c>
      <c r="I1199">
        <v>43</v>
      </c>
      <c r="J1199">
        <v>0</v>
      </c>
      <c r="K1199">
        <v>0</v>
      </c>
      <c r="L1199">
        <v>18</v>
      </c>
      <c r="M1199">
        <v>0</v>
      </c>
      <c r="N1199">
        <v>0</v>
      </c>
      <c r="O1199">
        <v>25</v>
      </c>
    </row>
    <row r="1200" spans="1:15" x14ac:dyDescent="0.25">
      <c r="A1200" t="s">
        <v>1009</v>
      </c>
      <c r="B1200" t="s">
        <v>1958</v>
      </c>
      <c r="C1200" t="s">
        <v>923</v>
      </c>
      <c r="D1200" t="s">
        <v>3063</v>
      </c>
      <c r="E1200" t="s">
        <v>3053</v>
      </c>
      <c r="F1200" t="s">
        <v>355</v>
      </c>
      <c r="G1200" t="s">
        <v>356</v>
      </c>
      <c r="H1200" t="s">
        <v>11897</v>
      </c>
      <c r="I1200">
        <v>1</v>
      </c>
      <c r="J1200">
        <v>0</v>
      </c>
      <c r="K1200">
        <v>0</v>
      </c>
      <c r="L1200">
        <v>1</v>
      </c>
      <c r="M1200">
        <v>0</v>
      </c>
      <c r="N1200">
        <v>0</v>
      </c>
      <c r="O1200">
        <v>0</v>
      </c>
    </row>
    <row r="1201" spans="1:15" x14ac:dyDescent="0.25">
      <c r="A1201" t="s">
        <v>940</v>
      </c>
      <c r="B1201" t="s">
        <v>2647</v>
      </c>
      <c r="C1201" t="s">
        <v>927</v>
      </c>
      <c r="D1201" t="s">
        <v>3052</v>
      </c>
      <c r="E1201" t="s">
        <v>3053</v>
      </c>
      <c r="F1201" t="s">
        <v>355</v>
      </c>
      <c r="G1201" t="s">
        <v>356</v>
      </c>
      <c r="H1201" t="s">
        <v>3834</v>
      </c>
      <c r="I1201">
        <v>51</v>
      </c>
      <c r="J1201">
        <v>0</v>
      </c>
      <c r="K1201">
        <v>0</v>
      </c>
      <c r="L1201">
        <v>0</v>
      </c>
      <c r="M1201">
        <v>51</v>
      </c>
      <c r="N1201">
        <v>0</v>
      </c>
      <c r="O1201">
        <v>0</v>
      </c>
    </row>
    <row r="1202" spans="1:15" x14ac:dyDescent="0.25">
      <c r="A1202" t="s">
        <v>1013</v>
      </c>
      <c r="B1202" t="s">
        <v>1959</v>
      </c>
      <c r="C1202" t="s">
        <v>927</v>
      </c>
      <c r="D1202" t="s">
        <v>3052</v>
      </c>
      <c r="E1202" t="s">
        <v>3053</v>
      </c>
      <c r="F1202" t="s">
        <v>355</v>
      </c>
      <c r="G1202" t="s">
        <v>356</v>
      </c>
      <c r="H1202" t="s">
        <v>10123</v>
      </c>
      <c r="I1202">
        <v>2</v>
      </c>
      <c r="J1202">
        <v>0</v>
      </c>
      <c r="K1202">
        <v>0</v>
      </c>
      <c r="L1202">
        <v>2</v>
      </c>
      <c r="M1202">
        <v>0</v>
      </c>
      <c r="N1202">
        <v>0</v>
      </c>
      <c r="O1202">
        <v>0</v>
      </c>
    </row>
    <row r="1203" spans="1:15" x14ac:dyDescent="0.25">
      <c r="A1203" t="s">
        <v>1026</v>
      </c>
      <c r="B1203" t="s">
        <v>2848</v>
      </c>
      <c r="C1203" t="s">
        <v>927</v>
      </c>
      <c r="D1203" t="s">
        <v>3052</v>
      </c>
      <c r="E1203" t="s">
        <v>3053</v>
      </c>
      <c r="F1203" t="s">
        <v>355</v>
      </c>
      <c r="G1203" t="s">
        <v>356</v>
      </c>
      <c r="H1203" t="s">
        <v>3835</v>
      </c>
      <c r="I1203">
        <v>6</v>
      </c>
      <c r="J1203">
        <v>0</v>
      </c>
      <c r="K1203">
        <v>0</v>
      </c>
      <c r="L1203">
        <v>6</v>
      </c>
      <c r="M1203">
        <v>0</v>
      </c>
      <c r="N1203">
        <v>0</v>
      </c>
      <c r="O1203">
        <v>0</v>
      </c>
    </row>
    <row r="1204" spans="1:15" x14ac:dyDescent="0.25">
      <c r="A1204" t="s">
        <v>1030</v>
      </c>
      <c r="B1204" t="s">
        <v>2880</v>
      </c>
      <c r="C1204" t="s">
        <v>927</v>
      </c>
      <c r="D1204" t="s">
        <v>3052</v>
      </c>
      <c r="E1204" t="s">
        <v>3053</v>
      </c>
      <c r="F1204" t="s">
        <v>355</v>
      </c>
      <c r="G1204" t="s">
        <v>356</v>
      </c>
      <c r="H1204" t="s">
        <v>3836</v>
      </c>
      <c r="I1204">
        <v>129</v>
      </c>
      <c r="J1204">
        <v>119</v>
      </c>
      <c r="K1204">
        <v>0</v>
      </c>
      <c r="L1204">
        <v>0</v>
      </c>
      <c r="M1204">
        <v>0</v>
      </c>
      <c r="N1204">
        <v>0</v>
      </c>
      <c r="O1204">
        <v>10</v>
      </c>
    </row>
    <row r="1205" spans="1:15" x14ac:dyDescent="0.25">
      <c r="A1205" t="s">
        <v>1049</v>
      </c>
      <c r="B1205" t="s">
        <v>2138</v>
      </c>
      <c r="C1205" t="s">
        <v>927</v>
      </c>
      <c r="D1205" t="s">
        <v>3052</v>
      </c>
      <c r="E1205" t="s">
        <v>3053</v>
      </c>
      <c r="F1205" t="s">
        <v>355</v>
      </c>
      <c r="G1205" t="s">
        <v>356</v>
      </c>
      <c r="H1205" t="s">
        <v>3837</v>
      </c>
      <c r="I1205">
        <v>268</v>
      </c>
      <c r="J1205">
        <v>185</v>
      </c>
      <c r="K1205">
        <v>0</v>
      </c>
      <c r="L1205">
        <v>0</v>
      </c>
      <c r="M1205">
        <v>0</v>
      </c>
      <c r="N1205">
        <v>0</v>
      </c>
      <c r="O1205">
        <v>83</v>
      </c>
    </row>
    <row r="1206" spans="1:15" x14ac:dyDescent="0.25">
      <c r="A1206" t="s">
        <v>1051</v>
      </c>
      <c r="B1206" t="s">
        <v>2995</v>
      </c>
      <c r="C1206" t="s">
        <v>927</v>
      </c>
      <c r="D1206" t="s">
        <v>3052</v>
      </c>
      <c r="E1206" t="s">
        <v>3053</v>
      </c>
      <c r="F1206" t="s">
        <v>355</v>
      </c>
      <c r="G1206" t="s">
        <v>356</v>
      </c>
      <c r="H1206" t="s">
        <v>14538</v>
      </c>
      <c r="I1206">
        <v>1</v>
      </c>
      <c r="J1206">
        <v>0</v>
      </c>
      <c r="K1206">
        <v>0</v>
      </c>
      <c r="L1206">
        <v>1</v>
      </c>
      <c r="M1206">
        <v>0</v>
      </c>
      <c r="N1206">
        <v>0</v>
      </c>
      <c r="O1206">
        <v>0</v>
      </c>
    </row>
    <row r="1207" spans="1:15" x14ac:dyDescent="0.25">
      <c r="A1207" t="s">
        <v>1758</v>
      </c>
      <c r="B1207" t="s">
        <v>2997</v>
      </c>
      <c r="C1207" t="s">
        <v>927</v>
      </c>
      <c r="D1207" t="s">
        <v>3052</v>
      </c>
      <c r="E1207" t="s">
        <v>3053</v>
      </c>
      <c r="F1207" t="s">
        <v>355</v>
      </c>
      <c r="G1207" t="s">
        <v>356</v>
      </c>
      <c r="H1207" t="s">
        <v>3838</v>
      </c>
      <c r="I1207">
        <v>17</v>
      </c>
      <c r="J1207">
        <v>14</v>
      </c>
      <c r="K1207">
        <v>0</v>
      </c>
      <c r="L1207">
        <v>3</v>
      </c>
      <c r="M1207">
        <v>0</v>
      </c>
      <c r="N1207">
        <v>0</v>
      </c>
      <c r="O1207">
        <v>0</v>
      </c>
    </row>
    <row r="1208" spans="1:15" x14ac:dyDescent="0.25">
      <c r="A1208" t="s">
        <v>11663</v>
      </c>
      <c r="B1208" t="s">
        <v>11768</v>
      </c>
      <c r="C1208" t="s">
        <v>927</v>
      </c>
      <c r="D1208" t="s">
        <v>3052</v>
      </c>
      <c r="E1208" t="s">
        <v>3053</v>
      </c>
      <c r="F1208" t="s">
        <v>355</v>
      </c>
      <c r="G1208" t="s">
        <v>356</v>
      </c>
      <c r="H1208" t="s">
        <v>11898</v>
      </c>
      <c r="I1208">
        <v>51</v>
      </c>
      <c r="J1208">
        <v>51</v>
      </c>
      <c r="K1208">
        <v>0</v>
      </c>
      <c r="L1208">
        <v>0</v>
      </c>
      <c r="M1208">
        <v>0</v>
      </c>
      <c r="N1208">
        <v>0</v>
      </c>
      <c r="O1208">
        <v>0</v>
      </c>
    </row>
    <row r="1209" spans="1:15" x14ac:dyDescent="0.25">
      <c r="A1209" t="s">
        <v>962</v>
      </c>
      <c r="B1209" t="s">
        <v>2752</v>
      </c>
      <c r="C1209" t="s">
        <v>927</v>
      </c>
      <c r="D1209" t="s">
        <v>3052</v>
      </c>
      <c r="E1209" t="s">
        <v>3053</v>
      </c>
      <c r="F1209" t="s">
        <v>355</v>
      </c>
      <c r="G1209" t="s">
        <v>356</v>
      </c>
      <c r="H1209" t="s">
        <v>3839</v>
      </c>
      <c r="I1209">
        <v>93</v>
      </c>
      <c r="J1209">
        <v>62</v>
      </c>
      <c r="K1209">
        <v>0</v>
      </c>
      <c r="L1209">
        <v>0</v>
      </c>
      <c r="M1209">
        <v>0</v>
      </c>
      <c r="N1209">
        <v>0</v>
      </c>
      <c r="O1209">
        <v>31</v>
      </c>
    </row>
    <row r="1210" spans="1:15" x14ac:dyDescent="0.25">
      <c r="A1210" t="s">
        <v>1865</v>
      </c>
      <c r="B1210" t="s">
        <v>2866</v>
      </c>
      <c r="C1210" t="s">
        <v>927</v>
      </c>
      <c r="D1210" t="s">
        <v>3052</v>
      </c>
      <c r="E1210" t="s">
        <v>3053</v>
      </c>
      <c r="F1210" t="s">
        <v>355</v>
      </c>
      <c r="G1210" t="s">
        <v>356</v>
      </c>
      <c r="H1210" t="s">
        <v>3840</v>
      </c>
      <c r="I1210">
        <v>21</v>
      </c>
      <c r="J1210">
        <v>21</v>
      </c>
      <c r="K1210">
        <v>0</v>
      </c>
      <c r="L1210">
        <v>0</v>
      </c>
      <c r="M1210">
        <v>0</v>
      </c>
      <c r="N1210">
        <v>0</v>
      </c>
      <c r="O1210">
        <v>0</v>
      </c>
    </row>
    <row r="1211" spans="1:15" x14ac:dyDescent="0.25">
      <c r="A1211" t="s">
        <v>929</v>
      </c>
      <c r="B1211" t="s">
        <v>2999</v>
      </c>
      <c r="C1211" t="s">
        <v>927</v>
      </c>
      <c r="D1211" t="s">
        <v>3052</v>
      </c>
      <c r="E1211" t="s">
        <v>3053</v>
      </c>
      <c r="F1211" t="s">
        <v>357</v>
      </c>
      <c r="G1211" t="s">
        <v>358</v>
      </c>
      <c r="H1211" t="s">
        <v>3841</v>
      </c>
      <c r="I1211">
        <v>88</v>
      </c>
      <c r="J1211">
        <v>0</v>
      </c>
      <c r="K1211">
        <v>0</v>
      </c>
      <c r="L1211">
        <v>0</v>
      </c>
      <c r="M1211">
        <v>88</v>
      </c>
      <c r="N1211">
        <v>1</v>
      </c>
      <c r="O1211">
        <v>0</v>
      </c>
    </row>
    <row r="1212" spans="1:15" x14ac:dyDescent="0.25">
      <c r="A1212" t="s">
        <v>1090</v>
      </c>
      <c r="B1212" t="s">
        <v>2875</v>
      </c>
      <c r="C1212" t="s">
        <v>927</v>
      </c>
      <c r="D1212" t="s">
        <v>3052</v>
      </c>
      <c r="E1212" t="s">
        <v>3053</v>
      </c>
      <c r="F1212" t="s">
        <v>357</v>
      </c>
      <c r="G1212" t="s">
        <v>358</v>
      </c>
      <c r="H1212" t="s">
        <v>3842</v>
      </c>
      <c r="I1212">
        <v>4153</v>
      </c>
      <c r="J1212">
        <v>3579</v>
      </c>
      <c r="K1212">
        <v>0</v>
      </c>
      <c r="L1212">
        <v>0</v>
      </c>
      <c r="M1212">
        <v>276</v>
      </c>
      <c r="N1212">
        <v>23</v>
      </c>
      <c r="O1212">
        <v>298</v>
      </c>
    </row>
    <row r="1213" spans="1:15" x14ac:dyDescent="0.25">
      <c r="A1213" t="s">
        <v>933</v>
      </c>
      <c r="B1213" t="s">
        <v>2106</v>
      </c>
      <c r="C1213" t="s">
        <v>927</v>
      </c>
      <c r="D1213" t="s">
        <v>3052</v>
      </c>
      <c r="E1213" t="s">
        <v>3053</v>
      </c>
      <c r="F1213" t="s">
        <v>357</v>
      </c>
      <c r="G1213" t="s">
        <v>358</v>
      </c>
      <c r="H1213" t="s">
        <v>3843</v>
      </c>
      <c r="I1213">
        <v>1</v>
      </c>
      <c r="J1213">
        <v>0</v>
      </c>
      <c r="K1213">
        <v>0</v>
      </c>
      <c r="L1213">
        <v>0</v>
      </c>
      <c r="M1213">
        <v>0</v>
      </c>
      <c r="N1213">
        <v>0</v>
      </c>
      <c r="O1213">
        <v>1</v>
      </c>
    </row>
    <row r="1214" spans="1:15" x14ac:dyDescent="0.25">
      <c r="A1214" t="s">
        <v>1005</v>
      </c>
      <c r="B1214" t="s">
        <v>2128</v>
      </c>
      <c r="C1214" t="s">
        <v>927</v>
      </c>
      <c r="D1214" t="s">
        <v>3052</v>
      </c>
      <c r="E1214" t="s">
        <v>3053</v>
      </c>
      <c r="F1214" t="s">
        <v>357</v>
      </c>
      <c r="G1214" t="s">
        <v>358</v>
      </c>
      <c r="H1214" t="s">
        <v>11899</v>
      </c>
      <c r="I1214">
        <v>1</v>
      </c>
      <c r="J1214">
        <v>0</v>
      </c>
      <c r="K1214">
        <v>0</v>
      </c>
      <c r="L1214">
        <v>1</v>
      </c>
      <c r="M1214">
        <v>0</v>
      </c>
      <c r="N1214">
        <v>0</v>
      </c>
      <c r="O1214">
        <v>0</v>
      </c>
    </row>
    <row r="1215" spans="1:15" x14ac:dyDescent="0.25">
      <c r="A1215" t="s">
        <v>1010</v>
      </c>
      <c r="B1215" t="s">
        <v>2639</v>
      </c>
      <c r="C1215" t="s">
        <v>927</v>
      </c>
      <c r="D1215" t="s">
        <v>3052</v>
      </c>
      <c r="E1215" t="s">
        <v>3053</v>
      </c>
      <c r="F1215" t="s">
        <v>357</v>
      </c>
      <c r="G1215" t="s">
        <v>358</v>
      </c>
      <c r="H1215" t="s">
        <v>3844</v>
      </c>
      <c r="I1215">
        <v>54</v>
      </c>
      <c r="J1215">
        <v>54</v>
      </c>
      <c r="K1215">
        <v>0</v>
      </c>
      <c r="L1215">
        <v>0</v>
      </c>
      <c r="M1215">
        <v>0</v>
      </c>
      <c r="N1215">
        <v>1</v>
      </c>
      <c r="O1215">
        <v>0</v>
      </c>
    </row>
    <row r="1216" spans="1:15" x14ac:dyDescent="0.25">
      <c r="A1216" t="s">
        <v>1119</v>
      </c>
      <c r="B1216" t="s">
        <v>2777</v>
      </c>
      <c r="C1216" t="s">
        <v>927</v>
      </c>
      <c r="D1216" t="s">
        <v>3052</v>
      </c>
      <c r="E1216" t="s">
        <v>3053</v>
      </c>
      <c r="F1216" t="s">
        <v>357</v>
      </c>
      <c r="G1216" t="s">
        <v>358</v>
      </c>
      <c r="H1216" t="s">
        <v>3845</v>
      </c>
      <c r="I1216">
        <v>99</v>
      </c>
      <c r="J1216">
        <v>79</v>
      </c>
      <c r="K1216">
        <v>0</v>
      </c>
      <c r="L1216">
        <v>4</v>
      </c>
      <c r="M1216">
        <v>6</v>
      </c>
      <c r="N1216">
        <v>0</v>
      </c>
      <c r="O1216">
        <v>10</v>
      </c>
    </row>
    <row r="1217" spans="1:15" x14ac:dyDescent="0.25">
      <c r="A1217" t="s">
        <v>938</v>
      </c>
      <c r="B1217" t="s">
        <v>2791</v>
      </c>
      <c r="C1217" t="s">
        <v>927</v>
      </c>
      <c r="D1217" t="s">
        <v>3052</v>
      </c>
      <c r="E1217" t="s">
        <v>3053</v>
      </c>
      <c r="F1217" t="s">
        <v>357</v>
      </c>
      <c r="G1217" t="s">
        <v>358</v>
      </c>
      <c r="H1217" t="s">
        <v>3846</v>
      </c>
      <c r="I1217">
        <v>42</v>
      </c>
      <c r="J1217">
        <v>39</v>
      </c>
      <c r="K1217">
        <v>0</v>
      </c>
      <c r="L1217">
        <v>0</v>
      </c>
      <c r="M1217">
        <v>0</v>
      </c>
      <c r="N1217">
        <v>0</v>
      </c>
      <c r="O1217">
        <v>3</v>
      </c>
    </row>
    <row r="1218" spans="1:15" x14ac:dyDescent="0.25">
      <c r="A1218" t="s">
        <v>1122</v>
      </c>
      <c r="B1218" t="s">
        <v>2823</v>
      </c>
      <c r="C1218" t="s">
        <v>927</v>
      </c>
      <c r="D1218" t="s">
        <v>3052</v>
      </c>
      <c r="E1218" t="s">
        <v>3053</v>
      </c>
      <c r="F1218" t="s">
        <v>357</v>
      </c>
      <c r="G1218" t="s">
        <v>358</v>
      </c>
      <c r="H1218" t="s">
        <v>3847</v>
      </c>
      <c r="I1218">
        <v>10</v>
      </c>
      <c r="J1218">
        <v>0</v>
      </c>
      <c r="K1218">
        <v>0</v>
      </c>
      <c r="L1218">
        <v>0</v>
      </c>
      <c r="M1218">
        <v>0</v>
      </c>
      <c r="N1218">
        <v>0</v>
      </c>
      <c r="O1218">
        <v>10</v>
      </c>
    </row>
    <row r="1219" spans="1:15" x14ac:dyDescent="0.25">
      <c r="A1219" t="s">
        <v>1025</v>
      </c>
      <c r="B1219" t="s">
        <v>2893</v>
      </c>
      <c r="C1219" t="s">
        <v>927</v>
      </c>
      <c r="D1219" t="s">
        <v>3052</v>
      </c>
      <c r="E1219" t="s">
        <v>3053</v>
      </c>
      <c r="F1219" t="s">
        <v>357</v>
      </c>
      <c r="G1219" t="s">
        <v>358</v>
      </c>
      <c r="H1219" t="s">
        <v>10178</v>
      </c>
      <c r="I1219">
        <v>7</v>
      </c>
      <c r="J1219">
        <v>0</v>
      </c>
      <c r="K1219">
        <v>0</v>
      </c>
      <c r="L1219">
        <v>0</v>
      </c>
      <c r="M1219">
        <v>0</v>
      </c>
      <c r="N1219">
        <v>0</v>
      </c>
      <c r="O1219">
        <v>7</v>
      </c>
    </row>
    <row r="1220" spans="1:15" x14ac:dyDescent="0.25">
      <c r="A1220" t="s">
        <v>943</v>
      </c>
      <c r="B1220" t="s">
        <v>2694</v>
      </c>
      <c r="C1220" t="s">
        <v>927</v>
      </c>
      <c r="D1220" t="s">
        <v>3052</v>
      </c>
      <c r="E1220" t="s">
        <v>3053</v>
      </c>
      <c r="F1220" t="s">
        <v>357</v>
      </c>
      <c r="G1220" t="s">
        <v>358</v>
      </c>
      <c r="H1220" t="s">
        <v>3848</v>
      </c>
      <c r="I1220">
        <v>265</v>
      </c>
      <c r="J1220">
        <v>208</v>
      </c>
      <c r="K1220">
        <v>0</v>
      </c>
      <c r="L1220">
        <v>8</v>
      </c>
      <c r="M1220">
        <v>0</v>
      </c>
      <c r="N1220">
        <v>0</v>
      </c>
      <c r="O1220">
        <v>49</v>
      </c>
    </row>
    <row r="1221" spans="1:15" x14ac:dyDescent="0.25">
      <c r="A1221" t="s">
        <v>1134</v>
      </c>
      <c r="B1221" t="s">
        <v>2118</v>
      </c>
      <c r="C1221" t="s">
        <v>927</v>
      </c>
      <c r="D1221" t="s">
        <v>3052</v>
      </c>
      <c r="E1221" t="s">
        <v>3053</v>
      </c>
      <c r="F1221" t="s">
        <v>357</v>
      </c>
      <c r="G1221" t="s">
        <v>358</v>
      </c>
      <c r="H1221" t="s">
        <v>3849</v>
      </c>
      <c r="I1221">
        <v>7</v>
      </c>
      <c r="J1221">
        <v>0</v>
      </c>
      <c r="K1221">
        <v>0</v>
      </c>
      <c r="L1221">
        <v>0</v>
      </c>
      <c r="M1221">
        <v>0</v>
      </c>
      <c r="N1221">
        <v>0</v>
      </c>
      <c r="O1221">
        <v>7</v>
      </c>
    </row>
    <row r="1222" spans="1:15" x14ac:dyDescent="0.25">
      <c r="A1222" t="s">
        <v>949</v>
      </c>
      <c r="B1222" t="s">
        <v>3035</v>
      </c>
      <c r="C1222" t="s">
        <v>927</v>
      </c>
      <c r="D1222" t="s">
        <v>3052</v>
      </c>
      <c r="E1222" t="s">
        <v>3053</v>
      </c>
      <c r="F1222" t="s">
        <v>357</v>
      </c>
      <c r="G1222" t="s">
        <v>358</v>
      </c>
      <c r="H1222" t="s">
        <v>3850</v>
      </c>
      <c r="I1222">
        <v>1</v>
      </c>
      <c r="J1222">
        <v>0</v>
      </c>
      <c r="K1222">
        <v>0</v>
      </c>
      <c r="L1222">
        <v>0</v>
      </c>
      <c r="M1222">
        <v>0</v>
      </c>
      <c r="N1222">
        <v>0</v>
      </c>
      <c r="O1222">
        <v>1</v>
      </c>
    </row>
    <row r="1223" spans="1:15" x14ac:dyDescent="0.25">
      <c r="A1223" t="s">
        <v>1138</v>
      </c>
      <c r="B1223" t="s">
        <v>2635</v>
      </c>
      <c r="C1223" t="s">
        <v>923</v>
      </c>
      <c r="D1223" t="s">
        <v>3063</v>
      </c>
      <c r="E1223" t="s">
        <v>3053</v>
      </c>
      <c r="F1223" t="s">
        <v>357</v>
      </c>
      <c r="G1223" t="s">
        <v>358</v>
      </c>
      <c r="H1223" t="s">
        <v>10889</v>
      </c>
      <c r="I1223">
        <v>4</v>
      </c>
      <c r="J1223">
        <v>0</v>
      </c>
      <c r="K1223">
        <v>0</v>
      </c>
      <c r="L1223">
        <v>4</v>
      </c>
      <c r="M1223">
        <v>0</v>
      </c>
      <c r="N1223">
        <v>0</v>
      </c>
      <c r="O1223">
        <v>0</v>
      </c>
    </row>
    <row r="1224" spans="1:15" x14ac:dyDescent="0.25">
      <c r="A1224" t="s">
        <v>1142</v>
      </c>
      <c r="B1224" t="s">
        <v>3003</v>
      </c>
      <c r="C1224" t="s">
        <v>927</v>
      </c>
      <c r="D1224" t="s">
        <v>3052</v>
      </c>
      <c r="E1224" t="s">
        <v>3053</v>
      </c>
      <c r="F1224" t="s">
        <v>357</v>
      </c>
      <c r="G1224" t="s">
        <v>358</v>
      </c>
      <c r="H1224" t="s">
        <v>3851</v>
      </c>
      <c r="I1224">
        <v>343</v>
      </c>
      <c r="J1224">
        <v>310</v>
      </c>
      <c r="K1224">
        <v>0</v>
      </c>
      <c r="L1224">
        <v>0</v>
      </c>
      <c r="M1224">
        <v>0</v>
      </c>
      <c r="N1224">
        <v>6</v>
      </c>
      <c r="O1224">
        <v>33</v>
      </c>
    </row>
    <row r="1225" spans="1:15" x14ac:dyDescent="0.25">
      <c r="A1225" t="s">
        <v>1146</v>
      </c>
      <c r="B1225" t="s">
        <v>2117</v>
      </c>
      <c r="C1225" t="s">
        <v>927</v>
      </c>
      <c r="D1225" t="s">
        <v>3052</v>
      </c>
      <c r="E1225" t="s">
        <v>3053</v>
      </c>
      <c r="F1225" t="s">
        <v>357</v>
      </c>
      <c r="G1225" t="s">
        <v>358</v>
      </c>
      <c r="H1225" t="s">
        <v>14539</v>
      </c>
      <c r="I1225">
        <v>823</v>
      </c>
      <c r="J1225">
        <v>650</v>
      </c>
      <c r="K1225">
        <v>0</v>
      </c>
      <c r="L1225">
        <v>83</v>
      </c>
      <c r="M1225">
        <v>0</v>
      </c>
      <c r="N1225">
        <v>2</v>
      </c>
      <c r="O1225">
        <v>90</v>
      </c>
    </row>
    <row r="1226" spans="1:15" x14ac:dyDescent="0.25">
      <c r="A1226" t="s">
        <v>955</v>
      </c>
      <c r="B1226" t="s">
        <v>2660</v>
      </c>
      <c r="C1226" t="s">
        <v>927</v>
      </c>
      <c r="D1226" t="s">
        <v>3052</v>
      </c>
      <c r="E1226" t="s">
        <v>3053</v>
      </c>
      <c r="F1226" t="s">
        <v>357</v>
      </c>
      <c r="G1226" t="s">
        <v>358</v>
      </c>
      <c r="H1226" t="s">
        <v>3852</v>
      </c>
      <c r="I1226">
        <v>145</v>
      </c>
      <c r="J1226">
        <v>135</v>
      </c>
      <c r="K1226">
        <v>0</v>
      </c>
      <c r="L1226">
        <v>7</v>
      </c>
      <c r="M1226">
        <v>0</v>
      </c>
      <c r="N1226">
        <v>0</v>
      </c>
      <c r="O1226">
        <v>3</v>
      </c>
    </row>
    <row r="1227" spans="1:15" x14ac:dyDescent="0.25">
      <c r="A1227" t="s">
        <v>1154</v>
      </c>
      <c r="B1227" t="s">
        <v>2861</v>
      </c>
      <c r="C1227" t="s">
        <v>927</v>
      </c>
      <c r="D1227" t="s">
        <v>3052</v>
      </c>
      <c r="E1227" t="s">
        <v>3053</v>
      </c>
      <c r="F1227" t="s">
        <v>357</v>
      </c>
      <c r="G1227" t="s">
        <v>358</v>
      </c>
      <c r="H1227" t="s">
        <v>11900</v>
      </c>
      <c r="I1227">
        <v>34</v>
      </c>
      <c r="J1227">
        <v>22</v>
      </c>
      <c r="K1227">
        <v>0</v>
      </c>
      <c r="L1227">
        <v>0</v>
      </c>
      <c r="M1227">
        <v>0</v>
      </c>
      <c r="N1227">
        <v>0</v>
      </c>
      <c r="O1227">
        <v>12</v>
      </c>
    </row>
    <row r="1228" spans="1:15" x14ac:dyDescent="0.25">
      <c r="A1228" t="s">
        <v>11663</v>
      </c>
      <c r="B1228" t="s">
        <v>11768</v>
      </c>
      <c r="C1228" t="s">
        <v>927</v>
      </c>
      <c r="D1228" t="s">
        <v>3052</v>
      </c>
      <c r="E1228" t="s">
        <v>3053</v>
      </c>
      <c r="F1228" t="s">
        <v>357</v>
      </c>
      <c r="G1228" t="s">
        <v>358</v>
      </c>
      <c r="H1228" t="s">
        <v>11901</v>
      </c>
      <c r="I1228">
        <v>2</v>
      </c>
      <c r="J1228">
        <v>0</v>
      </c>
      <c r="K1228">
        <v>0</v>
      </c>
      <c r="L1228">
        <v>0</v>
      </c>
      <c r="M1228">
        <v>0</v>
      </c>
      <c r="N1228">
        <v>0</v>
      </c>
      <c r="O1228">
        <v>2</v>
      </c>
    </row>
    <row r="1229" spans="1:15" x14ac:dyDescent="0.25">
      <c r="A1229" t="s">
        <v>1181</v>
      </c>
      <c r="B1229" t="s">
        <v>2894</v>
      </c>
      <c r="C1229" t="s">
        <v>927</v>
      </c>
      <c r="D1229" t="s">
        <v>3052</v>
      </c>
      <c r="E1229" t="s">
        <v>3053</v>
      </c>
      <c r="F1229" t="s">
        <v>357</v>
      </c>
      <c r="G1229" t="s">
        <v>358</v>
      </c>
      <c r="H1229" t="s">
        <v>3853</v>
      </c>
      <c r="I1229">
        <v>4</v>
      </c>
      <c r="J1229">
        <v>0</v>
      </c>
      <c r="K1229">
        <v>0</v>
      </c>
      <c r="L1229">
        <v>0</v>
      </c>
      <c r="M1229">
        <v>0</v>
      </c>
      <c r="N1229">
        <v>0</v>
      </c>
      <c r="O1229">
        <v>4</v>
      </c>
    </row>
    <row r="1230" spans="1:15" x14ac:dyDescent="0.25">
      <c r="A1230" t="s">
        <v>971</v>
      </c>
      <c r="B1230" t="s">
        <v>2956</v>
      </c>
      <c r="C1230" t="s">
        <v>927</v>
      </c>
      <c r="D1230" t="s">
        <v>3052</v>
      </c>
      <c r="E1230" t="s">
        <v>3053</v>
      </c>
      <c r="F1230" t="s">
        <v>359</v>
      </c>
      <c r="G1230" t="s">
        <v>360</v>
      </c>
      <c r="H1230" t="s">
        <v>3854</v>
      </c>
      <c r="I1230">
        <v>55</v>
      </c>
      <c r="J1230">
        <v>55</v>
      </c>
      <c r="K1230">
        <v>0</v>
      </c>
      <c r="L1230">
        <v>0</v>
      </c>
      <c r="M1230">
        <v>0</v>
      </c>
      <c r="N1230">
        <v>0</v>
      </c>
      <c r="O1230">
        <v>0</v>
      </c>
    </row>
    <row r="1231" spans="1:15" x14ac:dyDescent="0.25">
      <c r="A1231" t="s">
        <v>926</v>
      </c>
      <c r="B1231" t="s">
        <v>2923</v>
      </c>
      <c r="C1231" t="s">
        <v>927</v>
      </c>
      <c r="D1231" t="s">
        <v>3052</v>
      </c>
      <c r="E1231" t="s">
        <v>3053</v>
      </c>
      <c r="F1231" t="s">
        <v>359</v>
      </c>
      <c r="G1231" t="s">
        <v>360</v>
      </c>
      <c r="H1231" t="s">
        <v>3855</v>
      </c>
      <c r="I1231">
        <v>1</v>
      </c>
      <c r="J1231">
        <v>0</v>
      </c>
      <c r="K1231">
        <v>0</v>
      </c>
      <c r="L1231">
        <v>0</v>
      </c>
      <c r="M1231">
        <v>0</v>
      </c>
      <c r="N1231">
        <v>0</v>
      </c>
      <c r="O1231">
        <v>1</v>
      </c>
    </row>
    <row r="1232" spans="1:15" x14ac:dyDescent="0.25">
      <c r="A1232" t="s">
        <v>929</v>
      </c>
      <c r="B1232" t="s">
        <v>2999</v>
      </c>
      <c r="C1232" t="s">
        <v>927</v>
      </c>
      <c r="D1232" t="s">
        <v>3052</v>
      </c>
      <c r="E1232" t="s">
        <v>3053</v>
      </c>
      <c r="F1232" t="s">
        <v>359</v>
      </c>
      <c r="G1232" t="s">
        <v>360</v>
      </c>
      <c r="H1232" t="s">
        <v>3856</v>
      </c>
      <c r="I1232">
        <v>37</v>
      </c>
      <c r="J1232">
        <v>0</v>
      </c>
      <c r="K1232">
        <v>0</v>
      </c>
      <c r="L1232">
        <v>0</v>
      </c>
      <c r="M1232">
        <v>37</v>
      </c>
      <c r="N1232">
        <v>0</v>
      </c>
      <c r="O1232">
        <v>0</v>
      </c>
    </row>
    <row r="1233" spans="1:15" x14ac:dyDescent="0.25">
      <c r="A1233" t="s">
        <v>997</v>
      </c>
      <c r="B1233" t="s">
        <v>2033</v>
      </c>
      <c r="C1233" t="s">
        <v>927</v>
      </c>
      <c r="D1233" t="s">
        <v>3052</v>
      </c>
      <c r="E1233" t="s">
        <v>3053</v>
      </c>
      <c r="F1233" t="s">
        <v>359</v>
      </c>
      <c r="G1233" t="s">
        <v>360</v>
      </c>
      <c r="H1233" t="s">
        <v>3857</v>
      </c>
      <c r="I1233">
        <v>124</v>
      </c>
      <c r="J1233">
        <v>83</v>
      </c>
      <c r="K1233">
        <v>0</v>
      </c>
      <c r="L1233">
        <v>0</v>
      </c>
      <c r="M1233">
        <v>0</v>
      </c>
      <c r="N1233">
        <v>0</v>
      </c>
      <c r="O1233">
        <v>41</v>
      </c>
    </row>
    <row r="1234" spans="1:15" x14ac:dyDescent="0.25">
      <c r="A1234" t="s">
        <v>1001</v>
      </c>
      <c r="B1234" t="s">
        <v>3007</v>
      </c>
      <c r="C1234" t="s">
        <v>927</v>
      </c>
      <c r="D1234" t="s">
        <v>3052</v>
      </c>
      <c r="E1234" t="s">
        <v>3053</v>
      </c>
      <c r="F1234" t="s">
        <v>359</v>
      </c>
      <c r="G1234" t="s">
        <v>360</v>
      </c>
      <c r="H1234" t="s">
        <v>3858</v>
      </c>
      <c r="I1234">
        <v>45</v>
      </c>
      <c r="J1234">
        <v>0</v>
      </c>
      <c r="K1234">
        <v>0</v>
      </c>
      <c r="L1234">
        <v>45</v>
      </c>
      <c r="M1234">
        <v>0</v>
      </c>
      <c r="N1234">
        <v>0</v>
      </c>
      <c r="O1234">
        <v>0</v>
      </c>
    </row>
    <row r="1235" spans="1:15" x14ac:dyDescent="0.25">
      <c r="A1235" t="s">
        <v>1003</v>
      </c>
      <c r="B1235" t="s">
        <v>2862</v>
      </c>
      <c r="C1235" t="s">
        <v>927</v>
      </c>
      <c r="D1235" t="s">
        <v>3052</v>
      </c>
      <c r="E1235" t="s">
        <v>3053</v>
      </c>
      <c r="F1235" t="s">
        <v>359</v>
      </c>
      <c r="G1235" t="s">
        <v>360</v>
      </c>
      <c r="H1235" t="s">
        <v>3859</v>
      </c>
      <c r="I1235">
        <v>74</v>
      </c>
      <c r="J1235">
        <v>49</v>
      </c>
      <c r="K1235">
        <v>0</v>
      </c>
      <c r="L1235">
        <v>0</v>
      </c>
      <c r="M1235">
        <v>0</v>
      </c>
      <c r="N1235">
        <v>0</v>
      </c>
      <c r="O1235">
        <v>25</v>
      </c>
    </row>
    <row r="1236" spans="1:15" x14ac:dyDescent="0.25">
      <c r="A1236" t="s">
        <v>1004</v>
      </c>
      <c r="B1236" t="s">
        <v>2887</v>
      </c>
      <c r="C1236" t="s">
        <v>927</v>
      </c>
      <c r="D1236" t="s">
        <v>3052</v>
      </c>
      <c r="E1236" t="s">
        <v>3053</v>
      </c>
      <c r="F1236" t="s">
        <v>359</v>
      </c>
      <c r="G1236" t="s">
        <v>360</v>
      </c>
      <c r="H1236" t="s">
        <v>10068</v>
      </c>
      <c r="I1236">
        <v>17</v>
      </c>
      <c r="J1236">
        <v>15</v>
      </c>
      <c r="K1236">
        <v>0</v>
      </c>
      <c r="L1236">
        <v>0</v>
      </c>
      <c r="M1236">
        <v>0</v>
      </c>
      <c r="N1236">
        <v>0</v>
      </c>
      <c r="O1236">
        <v>2</v>
      </c>
    </row>
    <row r="1237" spans="1:15" x14ac:dyDescent="0.25">
      <c r="A1237" t="s">
        <v>10638</v>
      </c>
      <c r="B1237" t="s">
        <v>2057</v>
      </c>
      <c r="C1237" t="s">
        <v>927</v>
      </c>
      <c r="D1237" t="s">
        <v>3052</v>
      </c>
      <c r="E1237" t="s">
        <v>3053</v>
      </c>
      <c r="F1237" t="s">
        <v>359</v>
      </c>
      <c r="G1237" t="s">
        <v>360</v>
      </c>
      <c r="H1237" t="s">
        <v>10890</v>
      </c>
      <c r="I1237">
        <v>14</v>
      </c>
      <c r="J1237">
        <v>0</v>
      </c>
      <c r="K1237">
        <v>0</v>
      </c>
      <c r="L1237">
        <v>14</v>
      </c>
      <c r="M1237">
        <v>0</v>
      </c>
      <c r="N1237">
        <v>0</v>
      </c>
      <c r="O1237">
        <v>0</v>
      </c>
    </row>
    <row r="1238" spans="1:15" x14ac:dyDescent="0.25">
      <c r="A1238" t="s">
        <v>937</v>
      </c>
      <c r="B1238" t="s">
        <v>1962</v>
      </c>
      <c r="C1238" t="s">
        <v>927</v>
      </c>
      <c r="D1238" t="s">
        <v>3052</v>
      </c>
      <c r="E1238" t="s">
        <v>3053</v>
      </c>
      <c r="F1238" t="s">
        <v>359</v>
      </c>
      <c r="G1238" t="s">
        <v>360</v>
      </c>
      <c r="H1238" t="s">
        <v>3860</v>
      </c>
      <c r="I1238">
        <v>3</v>
      </c>
      <c r="J1238">
        <v>0</v>
      </c>
      <c r="K1238">
        <v>0</v>
      </c>
      <c r="L1238">
        <v>0</v>
      </c>
      <c r="M1238">
        <v>0</v>
      </c>
      <c r="N1238">
        <v>0</v>
      </c>
      <c r="O1238">
        <v>3</v>
      </c>
    </row>
    <row r="1239" spans="1:15" x14ac:dyDescent="0.25">
      <c r="A1239" t="s">
        <v>1026</v>
      </c>
      <c r="B1239" t="s">
        <v>2848</v>
      </c>
      <c r="C1239" t="s">
        <v>927</v>
      </c>
      <c r="D1239" t="s">
        <v>3052</v>
      </c>
      <c r="E1239" t="s">
        <v>3053</v>
      </c>
      <c r="F1239" t="s">
        <v>359</v>
      </c>
      <c r="G1239" t="s">
        <v>360</v>
      </c>
      <c r="H1239" t="s">
        <v>3861</v>
      </c>
      <c r="I1239">
        <v>94</v>
      </c>
      <c r="J1239">
        <v>92</v>
      </c>
      <c r="K1239">
        <v>0</v>
      </c>
      <c r="L1239">
        <v>0</v>
      </c>
      <c r="M1239">
        <v>0</v>
      </c>
      <c r="N1239">
        <v>1</v>
      </c>
      <c r="O1239">
        <v>2</v>
      </c>
    </row>
    <row r="1240" spans="1:15" x14ac:dyDescent="0.25">
      <c r="A1240" t="s">
        <v>943</v>
      </c>
      <c r="B1240" t="s">
        <v>2694</v>
      </c>
      <c r="C1240" t="s">
        <v>927</v>
      </c>
      <c r="D1240" t="s">
        <v>3052</v>
      </c>
      <c r="E1240" t="s">
        <v>3053</v>
      </c>
      <c r="F1240" t="s">
        <v>359</v>
      </c>
      <c r="G1240" t="s">
        <v>360</v>
      </c>
      <c r="H1240" t="s">
        <v>3862</v>
      </c>
      <c r="I1240">
        <v>20</v>
      </c>
      <c r="J1240">
        <v>10</v>
      </c>
      <c r="K1240">
        <v>0</v>
      </c>
      <c r="L1240">
        <v>8</v>
      </c>
      <c r="M1240">
        <v>0</v>
      </c>
      <c r="N1240">
        <v>0</v>
      </c>
      <c r="O1240">
        <v>2</v>
      </c>
    </row>
    <row r="1241" spans="1:15" x14ac:dyDescent="0.25">
      <c r="A1241" t="s">
        <v>1030</v>
      </c>
      <c r="B1241" t="s">
        <v>2880</v>
      </c>
      <c r="C1241" t="s">
        <v>927</v>
      </c>
      <c r="D1241" t="s">
        <v>3052</v>
      </c>
      <c r="E1241" t="s">
        <v>3053</v>
      </c>
      <c r="F1241" t="s">
        <v>359</v>
      </c>
      <c r="G1241" t="s">
        <v>360</v>
      </c>
      <c r="H1241" t="s">
        <v>3863</v>
      </c>
      <c r="I1241">
        <v>3</v>
      </c>
      <c r="J1241">
        <v>0</v>
      </c>
      <c r="K1241">
        <v>0</v>
      </c>
      <c r="L1241">
        <v>0</v>
      </c>
      <c r="M1241">
        <v>0</v>
      </c>
      <c r="N1241">
        <v>0</v>
      </c>
      <c r="O1241">
        <v>3</v>
      </c>
    </row>
    <row r="1242" spans="1:15" x14ac:dyDescent="0.25">
      <c r="A1242" t="s">
        <v>1038</v>
      </c>
      <c r="B1242" t="s">
        <v>2068</v>
      </c>
      <c r="C1242" t="s">
        <v>927</v>
      </c>
      <c r="D1242" t="s">
        <v>3052</v>
      </c>
      <c r="E1242" t="s">
        <v>3053</v>
      </c>
      <c r="F1242" t="s">
        <v>359</v>
      </c>
      <c r="G1242" t="s">
        <v>360</v>
      </c>
      <c r="H1242" t="s">
        <v>3864</v>
      </c>
      <c r="I1242">
        <v>234</v>
      </c>
      <c r="J1242">
        <v>184</v>
      </c>
      <c r="K1242">
        <v>0</v>
      </c>
      <c r="L1242">
        <v>30</v>
      </c>
      <c r="M1242">
        <v>0</v>
      </c>
      <c r="N1242">
        <v>0</v>
      </c>
      <c r="O1242">
        <v>20</v>
      </c>
    </row>
    <row r="1243" spans="1:15" x14ac:dyDescent="0.25">
      <c r="A1243" t="s">
        <v>1043</v>
      </c>
      <c r="B1243" t="s">
        <v>2090</v>
      </c>
      <c r="C1243" t="s">
        <v>927</v>
      </c>
      <c r="D1243" t="s">
        <v>3052</v>
      </c>
      <c r="E1243" t="s">
        <v>3053</v>
      </c>
      <c r="F1243" t="s">
        <v>359</v>
      </c>
      <c r="G1243" t="s">
        <v>360</v>
      </c>
      <c r="H1243" t="s">
        <v>3865</v>
      </c>
      <c r="I1243">
        <v>212</v>
      </c>
      <c r="J1243">
        <v>140</v>
      </c>
      <c r="K1243">
        <v>0</v>
      </c>
      <c r="L1243">
        <v>0</v>
      </c>
      <c r="M1243">
        <v>71</v>
      </c>
      <c r="N1243">
        <v>0</v>
      </c>
      <c r="O1243">
        <v>1</v>
      </c>
    </row>
    <row r="1244" spans="1:15" x14ac:dyDescent="0.25">
      <c r="A1244" t="s">
        <v>951</v>
      </c>
      <c r="B1244" t="s">
        <v>2680</v>
      </c>
      <c r="C1244" t="s">
        <v>927</v>
      </c>
      <c r="D1244" t="s">
        <v>3052</v>
      </c>
      <c r="E1244" t="s">
        <v>3053</v>
      </c>
      <c r="F1244" t="s">
        <v>359</v>
      </c>
      <c r="G1244" t="s">
        <v>360</v>
      </c>
      <c r="H1244" t="s">
        <v>3866</v>
      </c>
      <c r="I1244">
        <v>75</v>
      </c>
      <c r="J1244">
        <v>70</v>
      </c>
      <c r="K1244">
        <v>0</v>
      </c>
      <c r="L1244">
        <v>0</v>
      </c>
      <c r="M1244">
        <v>0</v>
      </c>
      <c r="N1244">
        <v>0</v>
      </c>
      <c r="O1244">
        <v>5</v>
      </c>
    </row>
    <row r="1245" spans="1:15" x14ac:dyDescent="0.25">
      <c r="A1245" t="s">
        <v>1048</v>
      </c>
      <c r="B1245" t="s">
        <v>2989</v>
      </c>
      <c r="C1245" t="s">
        <v>927</v>
      </c>
      <c r="D1245" t="s">
        <v>3052</v>
      </c>
      <c r="E1245" t="s">
        <v>3053</v>
      </c>
      <c r="F1245" t="s">
        <v>359</v>
      </c>
      <c r="G1245" t="s">
        <v>360</v>
      </c>
      <c r="H1245" t="s">
        <v>11902</v>
      </c>
      <c r="I1245">
        <v>434</v>
      </c>
      <c r="J1245">
        <v>424</v>
      </c>
      <c r="K1245">
        <v>0</v>
      </c>
      <c r="L1245">
        <v>0</v>
      </c>
      <c r="M1245">
        <v>0</v>
      </c>
      <c r="N1245">
        <v>1</v>
      </c>
      <c r="O1245">
        <v>10</v>
      </c>
    </row>
    <row r="1246" spans="1:15" x14ac:dyDescent="0.25">
      <c r="A1246" t="s">
        <v>1049</v>
      </c>
      <c r="B1246" t="s">
        <v>2138</v>
      </c>
      <c r="C1246" t="s">
        <v>927</v>
      </c>
      <c r="D1246" t="s">
        <v>3052</v>
      </c>
      <c r="E1246" t="s">
        <v>3053</v>
      </c>
      <c r="F1246" t="s">
        <v>359</v>
      </c>
      <c r="G1246" t="s">
        <v>360</v>
      </c>
      <c r="H1246" t="s">
        <v>3867</v>
      </c>
      <c r="I1246">
        <v>118</v>
      </c>
      <c r="J1246">
        <v>88</v>
      </c>
      <c r="K1246">
        <v>0</v>
      </c>
      <c r="L1246">
        <v>0</v>
      </c>
      <c r="M1246">
        <v>0</v>
      </c>
      <c r="N1246">
        <v>0</v>
      </c>
      <c r="O1246">
        <v>30</v>
      </c>
    </row>
    <row r="1247" spans="1:15" x14ac:dyDescent="0.25">
      <c r="A1247" t="s">
        <v>1051</v>
      </c>
      <c r="B1247" t="s">
        <v>2995</v>
      </c>
      <c r="C1247" t="s">
        <v>927</v>
      </c>
      <c r="D1247" t="s">
        <v>3052</v>
      </c>
      <c r="E1247" t="s">
        <v>3053</v>
      </c>
      <c r="F1247" t="s">
        <v>359</v>
      </c>
      <c r="G1247" t="s">
        <v>360</v>
      </c>
      <c r="H1247" t="s">
        <v>3868</v>
      </c>
      <c r="I1247">
        <v>30</v>
      </c>
      <c r="J1247">
        <v>0</v>
      </c>
      <c r="K1247">
        <v>0</v>
      </c>
      <c r="L1247">
        <v>30</v>
      </c>
      <c r="M1247">
        <v>0</v>
      </c>
      <c r="N1247">
        <v>0</v>
      </c>
      <c r="O1247">
        <v>0</v>
      </c>
    </row>
    <row r="1248" spans="1:15" x14ac:dyDescent="0.25">
      <c r="A1248" t="s">
        <v>1079</v>
      </c>
      <c r="B1248" t="s">
        <v>2810</v>
      </c>
      <c r="C1248" t="s">
        <v>927</v>
      </c>
      <c r="D1248" t="s">
        <v>3052</v>
      </c>
      <c r="E1248" t="s">
        <v>3053</v>
      </c>
      <c r="F1248" t="s">
        <v>359</v>
      </c>
      <c r="G1248" t="s">
        <v>360</v>
      </c>
      <c r="H1248" t="s">
        <v>3869</v>
      </c>
      <c r="I1248">
        <v>4</v>
      </c>
      <c r="J1248">
        <v>4</v>
      </c>
      <c r="K1248">
        <v>0</v>
      </c>
      <c r="L1248">
        <v>0</v>
      </c>
      <c r="M1248">
        <v>0</v>
      </c>
      <c r="N1248">
        <v>0</v>
      </c>
      <c r="O1248">
        <v>0</v>
      </c>
    </row>
    <row r="1249" spans="1:15" x14ac:dyDescent="0.25">
      <c r="A1249" t="s">
        <v>1564</v>
      </c>
      <c r="B1249" t="s">
        <v>3039</v>
      </c>
      <c r="C1249" t="s">
        <v>927</v>
      </c>
      <c r="D1249" t="s">
        <v>3052</v>
      </c>
      <c r="E1249" t="s">
        <v>3053</v>
      </c>
      <c r="F1249" t="s">
        <v>9851</v>
      </c>
      <c r="G1249" t="s">
        <v>9850</v>
      </c>
      <c r="H1249" t="s">
        <v>11903</v>
      </c>
      <c r="I1249">
        <v>1</v>
      </c>
      <c r="J1249">
        <v>0</v>
      </c>
      <c r="K1249">
        <v>0</v>
      </c>
      <c r="L1249">
        <v>0</v>
      </c>
      <c r="M1249">
        <v>0</v>
      </c>
      <c r="N1249">
        <v>0</v>
      </c>
      <c r="O1249">
        <v>1</v>
      </c>
    </row>
    <row r="1250" spans="1:15" x14ac:dyDescent="0.25">
      <c r="A1250" t="s">
        <v>1196</v>
      </c>
      <c r="B1250" t="s">
        <v>3004</v>
      </c>
      <c r="C1250" t="s">
        <v>927</v>
      </c>
      <c r="D1250" t="s">
        <v>3052</v>
      </c>
      <c r="E1250" t="s">
        <v>3053</v>
      </c>
      <c r="F1250" t="s">
        <v>9851</v>
      </c>
      <c r="G1250" t="s">
        <v>9850</v>
      </c>
      <c r="H1250" t="s">
        <v>9888</v>
      </c>
      <c r="I1250">
        <v>7</v>
      </c>
      <c r="J1250">
        <v>7</v>
      </c>
      <c r="K1250">
        <v>0</v>
      </c>
      <c r="L1250">
        <v>0</v>
      </c>
      <c r="M1250">
        <v>0</v>
      </c>
      <c r="N1250">
        <v>0</v>
      </c>
      <c r="O1250">
        <v>0</v>
      </c>
    </row>
    <row r="1251" spans="1:15" x14ac:dyDescent="0.25">
      <c r="A1251" t="s">
        <v>924</v>
      </c>
      <c r="B1251" t="s">
        <v>2963</v>
      </c>
      <c r="C1251" t="s">
        <v>923</v>
      </c>
      <c r="D1251" t="s">
        <v>3063</v>
      </c>
      <c r="E1251" t="s">
        <v>3053</v>
      </c>
      <c r="F1251" t="s">
        <v>9851</v>
      </c>
      <c r="G1251" t="s">
        <v>9850</v>
      </c>
      <c r="H1251" t="s">
        <v>9889</v>
      </c>
      <c r="I1251">
        <v>6</v>
      </c>
      <c r="J1251">
        <v>0</v>
      </c>
      <c r="K1251">
        <v>0</v>
      </c>
      <c r="L1251">
        <v>6</v>
      </c>
      <c r="M1251">
        <v>0</v>
      </c>
      <c r="N1251">
        <v>0</v>
      </c>
      <c r="O1251">
        <v>0</v>
      </c>
    </row>
    <row r="1252" spans="1:15" x14ac:dyDescent="0.25">
      <c r="A1252" t="s">
        <v>10568</v>
      </c>
      <c r="B1252" t="s">
        <v>10567</v>
      </c>
      <c r="C1252" t="s">
        <v>927</v>
      </c>
      <c r="D1252" t="s">
        <v>3052</v>
      </c>
      <c r="E1252" t="s">
        <v>3053</v>
      </c>
      <c r="F1252" t="s">
        <v>9851</v>
      </c>
      <c r="G1252" t="s">
        <v>9850</v>
      </c>
      <c r="H1252" t="s">
        <v>10891</v>
      </c>
      <c r="I1252">
        <v>57</v>
      </c>
      <c r="J1252">
        <v>44</v>
      </c>
      <c r="K1252">
        <v>0</v>
      </c>
      <c r="L1252">
        <v>0</v>
      </c>
      <c r="M1252">
        <v>0</v>
      </c>
      <c r="N1252">
        <v>0</v>
      </c>
      <c r="O1252">
        <v>13</v>
      </c>
    </row>
    <row r="1253" spans="1:15" x14ac:dyDescent="0.25">
      <c r="A1253" t="s">
        <v>926</v>
      </c>
      <c r="B1253" t="s">
        <v>2923</v>
      </c>
      <c r="C1253" t="s">
        <v>927</v>
      </c>
      <c r="D1253" t="s">
        <v>3052</v>
      </c>
      <c r="E1253" t="s">
        <v>3053</v>
      </c>
      <c r="F1253" t="s">
        <v>9851</v>
      </c>
      <c r="G1253" t="s">
        <v>9850</v>
      </c>
      <c r="H1253" t="s">
        <v>9893</v>
      </c>
      <c r="I1253">
        <v>43</v>
      </c>
      <c r="J1253">
        <v>0</v>
      </c>
      <c r="K1253">
        <v>0</v>
      </c>
      <c r="L1253">
        <v>31</v>
      </c>
      <c r="M1253">
        <v>0</v>
      </c>
      <c r="N1253">
        <v>0</v>
      </c>
      <c r="O1253">
        <v>12</v>
      </c>
    </row>
    <row r="1254" spans="1:15" x14ac:dyDescent="0.25">
      <c r="A1254" t="s">
        <v>929</v>
      </c>
      <c r="B1254" t="s">
        <v>2999</v>
      </c>
      <c r="C1254" t="s">
        <v>927</v>
      </c>
      <c r="D1254" t="s">
        <v>3052</v>
      </c>
      <c r="E1254" t="s">
        <v>3053</v>
      </c>
      <c r="F1254" t="s">
        <v>9851</v>
      </c>
      <c r="G1254" t="s">
        <v>9850</v>
      </c>
      <c r="H1254" t="s">
        <v>9897</v>
      </c>
      <c r="I1254">
        <v>271</v>
      </c>
      <c r="J1254">
        <v>0</v>
      </c>
      <c r="K1254">
        <v>0</v>
      </c>
      <c r="L1254">
        <v>0</v>
      </c>
      <c r="M1254">
        <v>271</v>
      </c>
      <c r="N1254">
        <v>0</v>
      </c>
      <c r="O1254">
        <v>0</v>
      </c>
    </row>
    <row r="1255" spans="1:15" x14ac:dyDescent="0.25">
      <c r="A1255" t="s">
        <v>983</v>
      </c>
      <c r="B1255" t="s">
        <v>2069</v>
      </c>
      <c r="C1255" t="s">
        <v>927</v>
      </c>
      <c r="D1255" t="s">
        <v>3052</v>
      </c>
      <c r="E1255" t="s">
        <v>3053</v>
      </c>
      <c r="F1255" t="s">
        <v>9851</v>
      </c>
      <c r="G1255" t="s">
        <v>9850</v>
      </c>
      <c r="H1255" t="s">
        <v>10020</v>
      </c>
      <c r="I1255">
        <v>410</v>
      </c>
      <c r="J1255">
        <v>230</v>
      </c>
      <c r="K1255">
        <v>0</v>
      </c>
      <c r="L1255">
        <v>105</v>
      </c>
      <c r="M1255">
        <v>0</v>
      </c>
      <c r="N1255">
        <v>0</v>
      </c>
      <c r="O1255">
        <v>75</v>
      </c>
    </row>
    <row r="1256" spans="1:15" x14ac:dyDescent="0.25">
      <c r="A1256" t="s">
        <v>933</v>
      </c>
      <c r="B1256" t="s">
        <v>2106</v>
      </c>
      <c r="C1256" t="s">
        <v>927</v>
      </c>
      <c r="D1256" t="s">
        <v>3052</v>
      </c>
      <c r="E1256" t="s">
        <v>3053</v>
      </c>
      <c r="F1256" t="s">
        <v>9851</v>
      </c>
      <c r="G1256" t="s">
        <v>9850</v>
      </c>
      <c r="H1256" t="s">
        <v>10026</v>
      </c>
      <c r="I1256">
        <v>83</v>
      </c>
      <c r="J1256">
        <v>17</v>
      </c>
      <c r="K1256">
        <v>0</v>
      </c>
      <c r="L1256">
        <v>0</v>
      </c>
      <c r="M1256">
        <v>0</v>
      </c>
      <c r="N1256">
        <v>0</v>
      </c>
      <c r="O1256">
        <v>66</v>
      </c>
    </row>
    <row r="1257" spans="1:15" x14ac:dyDescent="0.25">
      <c r="A1257" t="s">
        <v>996</v>
      </c>
      <c r="B1257" t="s">
        <v>1952</v>
      </c>
      <c r="C1257" t="s">
        <v>923</v>
      </c>
      <c r="D1257" t="s">
        <v>3063</v>
      </c>
      <c r="E1257" t="s">
        <v>3053</v>
      </c>
      <c r="F1257" t="s">
        <v>9851</v>
      </c>
      <c r="G1257" t="s">
        <v>9850</v>
      </c>
      <c r="H1257" t="s">
        <v>14540</v>
      </c>
      <c r="I1257">
        <v>12</v>
      </c>
      <c r="J1257">
        <v>0</v>
      </c>
      <c r="K1257">
        <v>0</v>
      </c>
      <c r="L1257">
        <v>12</v>
      </c>
      <c r="M1257">
        <v>0</v>
      </c>
      <c r="N1257">
        <v>0</v>
      </c>
      <c r="O1257">
        <v>0</v>
      </c>
    </row>
    <row r="1258" spans="1:15" x14ac:dyDescent="0.25">
      <c r="A1258" t="s">
        <v>1596</v>
      </c>
      <c r="B1258" t="s">
        <v>2260</v>
      </c>
      <c r="C1258" t="s">
        <v>923</v>
      </c>
      <c r="D1258" t="s">
        <v>3063</v>
      </c>
      <c r="E1258" t="s">
        <v>3053</v>
      </c>
      <c r="F1258" t="s">
        <v>9851</v>
      </c>
      <c r="G1258" t="s">
        <v>9850</v>
      </c>
      <c r="H1258" t="s">
        <v>10053</v>
      </c>
      <c r="I1258">
        <v>4</v>
      </c>
      <c r="J1258">
        <v>0</v>
      </c>
      <c r="K1258">
        <v>0</v>
      </c>
      <c r="L1258">
        <v>0</v>
      </c>
      <c r="M1258">
        <v>4</v>
      </c>
      <c r="N1258">
        <v>0</v>
      </c>
      <c r="O1258">
        <v>0</v>
      </c>
    </row>
    <row r="1259" spans="1:15" x14ac:dyDescent="0.25">
      <c r="A1259" t="s">
        <v>998</v>
      </c>
      <c r="B1259" t="s">
        <v>2820</v>
      </c>
      <c r="C1259" t="s">
        <v>927</v>
      </c>
      <c r="D1259" t="s">
        <v>3052</v>
      </c>
      <c r="E1259" t="s">
        <v>3053</v>
      </c>
      <c r="F1259" t="s">
        <v>9851</v>
      </c>
      <c r="G1259" t="s">
        <v>9850</v>
      </c>
      <c r="H1259" t="s">
        <v>10064</v>
      </c>
      <c r="I1259">
        <v>37</v>
      </c>
      <c r="J1259">
        <v>28</v>
      </c>
      <c r="K1259">
        <v>0</v>
      </c>
      <c r="L1259">
        <v>0</v>
      </c>
      <c r="M1259">
        <v>0</v>
      </c>
      <c r="N1259">
        <v>0</v>
      </c>
      <c r="O1259">
        <v>9</v>
      </c>
    </row>
    <row r="1260" spans="1:15" x14ac:dyDescent="0.25">
      <c r="A1260" t="s">
        <v>10624</v>
      </c>
      <c r="B1260" t="s">
        <v>2882</v>
      </c>
      <c r="C1260" t="s">
        <v>927</v>
      </c>
      <c r="D1260" t="s">
        <v>3052</v>
      </c>
      <c r="E1260" t="s">
        <v>3053</v>
      </c>
      <c r="F1260" t="s">
        <v>9851</v>
      </c>
      <c r="G1260" t="s">
        <v>9850</v>
      </c>
      <c r="H1260" t="s">
        <v>10892</v>
      </c>
      <c r="I1260">
        <v>8471</v>
      </c>
      <c r="J1260">
        <v>7499</v>
      </c>
      <c r="K1260">
        <v>0</v>
      </c>
      <c r="L1260">
        <v>11</v>
      </c>
      <c r="M1260">
        <v>634</v>
      </c>
      <c r="N1260">
        <v>0</v>
      </c>
      <c r="O1260">
        <v>327</v>
      </c>
    </row>
    <row r="1261" spans="1:15" x14ac:dyDescent="0.25">
      <c r="A1261" t="s">
        <v>10638</v>
      </c>
      <c r="B1261" t="s">
        <v>2057</v>
      </c>
      <c r="C1261" t="s">
        <v>927</v>
      </c>
      <c r="D1261" t="s">
        <v>3052</v>
      </c>
      <c r="E1261" t="s">
        <v>3053</v>
      </c>
      <c r="F1261" t="s">
        <v>9851</v>
      </c>
      <c r="G1261" t="s">
        <v>9850</v>
      </c>
      <c r="H1261" t="s">
        <v>10893</v>
      </c>
      <c r="I1261">
        <v>53</v>
      </c>
      <c r="J1261">
        <v>0</v>
      </c>
      <c r="K1261">
        <v>0</v>
      </c>
      <c r="L1261">
        <v>53</v>
      </c>
      <c r="M1261">
        <v>0</v>
      </c>
      <c r="N1261">
        <v>0</v>
      </c>
      <c r="O1261">
        <v>0</v>
      </c>
    </row>
    <row r="1262" spans="1:15" x14ac:dyDescent="0.25">
      <c r="A1262" t="s">
        <v>1005</v>
      </c>
      <c r="B1262" t="s">
        <v>2128</v>
      </c>
      <c r="C1262" t="s">
        <v>927</v>
      </c>
      <c r="D1262" t="s">
        <v>3052</v>
      </c>
      <c r="E1262" t="s">
        <v>3053</v>
      </c>
      <c r="F1262" t="s">
        <v>9851</v>
      </c>
      <c r="G1262" t="s">
        <v>9850</v>
      </c>
      <c r="H1262" t="s">
        <v>10070</v>
      </c>
      <c r="I1262">
        <v>67</v>
      </c>
      <c r="J1262">
        <v>0</v>
      </c>
      <c r="K1262">
        <v>0</v>
      </c>
      <c r="L1262">
        <v>67</v>
      </c>
      <c r="M1262">
        <v>0</v>
      </c>
      <c r="N1262">
        <v>0</v>
      </c>
      <c r="O1262">
        <v>0</v>
      </c>
    </row>
    <row r="1263" spans="1:15" x14ac:dyDescent="0.25">
      <c r="A1263" t="s">
        <v>10643</v>
      </c>
      <c r="B1263" t="s">
        <v>2987</v>
      </c>
      <c r="C1263" t="s">
        <v>927</v>
      </c>
      <c r="D1263" t="s">
        <v>3052</v>
      </c>
      <c r="E1263" t="s">
        <v>3053</v>
      </c>
      <c r="F1263" t="s">
        <v>9851</v>
      </c>
      <c r="G1263" t="s">
        <v>9850</v>
      </c>
      <c r="H1263" t="s">
        <v>10894</v>
      </c>
      <c r="I1263">
        <v>2</v>
      </c>
      <c r="J1263">
        <v>2</v>
      </c>
      <c r="K1263">
        <v>0</v>
      </c>
      <c r="L1263">
        <v>0</v>
      </c>
      <c r="M1263">
        <v>0</v>
      </c>
      <c r="N1263">
        <v>2</v>
      </c>
      <c r="O1263">
        <v>0</v>
      </c>
    </row>
    <row r="1264" spans="1:15" x14ac:dyDescent="0.25">
      <c r="A1264" t="s">
        <v>11676</v>
      </c>
      <c r="B1264" t="s">
        <v>2705</v>
      </c>
      <c r="C1264" t="s">
        <v>923</v>
      </c>
      <c r="D1264" t="s">
        <v>3063</v>
      </c>
      <c r="E1264" t="s">
        <v>3053</v>
      </c>
      <c r="F1264" t="s">
        <v>9851</v>
      </c>
      <c r="G1264" t="s">
        <v>9850</v>
      </c>
      <c r="H1264" t="s">
        <v>11904</v>
      </c>
      <c r="I1264">
        <v>15</v>
      </c>
      <c r="J1264">
        <v>15</v>
      </c>
      <c r="K1264">
        <v>0</v>
      </c>
      <c r="L1264">
        <v>0</v>
      </c>
      <c r="M1264">
        <v>0</v>
      </c>
      <c r="N1264">
        <v>0</v>
      </c>
      <c r="O1264">
        <v>0</v>
      </c>
    </row>
    <row r="1265" spans="1:15" x14ac:dyDescent="0.25">
      <c r="A1265" t="s">
        <v>1010</v>
      </c>
      <c r="B1265" t="s">
        <v>2639</v>
      </c>
      <c r="C1265" t="s">
        <v>927</v>
      </c>
      <c r="D1265" t="s">
        <v>3052</v>
      </c>
      <c r="E1265" t="s">
        <v>3053</v>
      </c>
      <c r="F1265" t="s">
        <v>9851</v>
      </c>
      <c r="G1265" t="s">
        <v>9850</v>
      </c>
      <c r="H1265" t="s">
        <v>10090</v>
      </c>
      <c r="I1265">
        <v>311</v>
      </c>
      <c r="J1265">
        <v>237</v>
      </c>
      <c r="K1265">
        <v>0</v>
      </c>
      <c r="L1265">
        <v>0</v>
      </c>
      <c r="M1265">
        <v>0</v>
      </c>
      <c r="N1265">
        <v>4</v>
      </c>
      <c r="O1265">
        <v>74</v>
      </c>
    </row>
    <row r="1266" spans="1:15" x14ac:dyDescent="0.25">
      <c r="A1266" t="s">
        <v>937</v>
      </c>
      <c r="B1266" t="s">
        <v>1962</v>
      </c>
      <c r="C1266" t="s">
        <v>927</v>
      </c>
      <c r="D1266" t="s">
        <v>3052</v>
      </c>
      <c r="E1266" t="s">
        <v>3053</v>
      </c>
      <c r="F1266" t="s">
        <v>9851</v>
      </c>
      <c r="G1266" t="s">
        <v>9850</v>
      </c>
      <c r="H1266" t="s">
        <v>10895</v>
      </c>
      <c r="I1266">
        <v>99</v>
      </c>
      <c r="J1266">
        <v>0</v>
      </c>
      <c r="K1266">
        <v>0</v>
      </c>
      <c r="L1266">
        <v>0</v>
      </c>
      <c r="M1266">
        <v>0</v>
      </c>
      <c r="N1266">
        <v>0</v>
      </c>
      <c r="O1266">
        <v>99</v>
      </c>
    </row>
    <row r="1267" spans="1:15" x14ac:dyDescent="0.25">
      <c r="A1267" t="s">
        <v>1119</v>
      </c>
      <c r="B1267" t="s">
        <v>2777</v>
      </c>
      <c r="C1267" t="s">
        <v>927</v>
      </c>
      <c r="D1267" t="s">
        <v>3052</v>
      </c>
      <c r="E1267" t="s">
        <v>3053</v>
      </c>
      <c r="F1267" t="s">
        <v>9851</v>
      </c>
      <c r="G1267" t="s">
        <v>9850</v>
      </c>
      <c r="H1267" t="s">
        <v>10106</v>
      </c>
      <c r="I1267">
        <v>1503</v>
      </c>
      <c r="J1267">
        <v>1063</v>
      </c>
      <c r="K1267">
        <v>0</v>
      </c>
      <c r="L1267">
        <v>143</v>
      </c>
      <c r="M1267">
        <v>0</v>
      </c>
      <c r="N1267">
        <v>0</v>
      </c>
      <c r="O1267">
        <v>297</v>
      </c>
    </row>
    <row r="1268" spans="1:15" x14ac:dyDescent="0.25">
      <c r="A1268" t="s">
        <v>938</v>
      </c>
      <c r="B1268" t="s">
        <v>2791</v>
      </c>
      <c r="C1268" t="s">
        <v>927</v>
      </c>
      <c r="D1268" t="s">
        <v>3052</v>
      </c>
      <c r="E1268" t="s">
        <v>3053</v>
      </c>
      <c r="F1268" t="s">
        <v>9851</v>
      </c>
      <c r="G1268" t="s">
        <v>9850</v>
      </c>
      <c r="H1268" t="s">
        <v>10117</v>
      </c>
      <c r="I1268">
        <v>370</v>
      </c>
      <c r="J1268">
        <v>322</v>
      </c>
      <c r="K1268">
        <v>0</v>
      </c>
      <c r="L1268">
        <v>9</v>
      </c>
      <c r="M1268">
        <v>0</v>
      </c>
      <c r="N1268">
        <v>1</v>
      </c>
      <c r="O1268">
        <v>39</v>
      </c>
    </row>
    <row r="1269" spans="1:15" x14ac:dyDescent="0.25">
      <c r="A1269" t="s">
        <v>940</v>
      </c>
      <c r="B1269" t="s">
        <v>2647</v>
      </c>
      <c r="C1269" t="s">
        <v>927</v>
      </c>
      <c r="D1269" t="s">
        <v>3052</v>
      </c>
      <c r="E1269" t="s">
        <v>3053</v>
      </c>
      <c r="F1269" t="s">
        <v>9851</v>
      </c>
      <c r="G1269" t="s">
        <v>9850</v>
      </c>
      <c r="H1269" t="s">
        <v>10119</v>
      </c>
      <c r="I1269">
        <v>67</v>
      </c>
      <c r="J1269">
        <v>0</v>
      </c>
      <c r="K1269">
        <v>0</v>
      </c>
      <c r="L1269">
        <v>0</v>
      </c>
      <c r="M1269">
        <v>67</v>
      </c>
      <c r="N1269">
        <v>0</v>
      </c>
      <c r="O1269">
        <v>0</v>
      </c>
    </row>
    <row r="1270" spans="1:15" x14ac:dyDescent="0.25">
      <c r="A1270" t="s">
        <v>1122</v>
      </c>
      <c r="B1270" t="s">
        <v>2823</v>
      </c>
      <c r="C1270" t="s">
        <v>927</v>
      </c>
      <c r="D1270" t="s">
        <v>3052</v>
      </c>
      <c r="E1270" t="s">
        <v>3053</v>
      </c>
      <c r="F1270" t="s">
        <v>9851</v>
      </c>
      <c r="G1270" t="s">
        <v>9850</v>
      </c>
      <c r="H1270" t="s">
        <v>10120</v>
      </c>
      <c r="I1270">
        <v>792</v>
      </c>
      <c r="J1270">
        <v>521</v>
      </c>
      <c r="K1270">
        <v>0</v>
      </c>
      <c r="L1270">
        <v>135</v>
      </c>
      <c r="M1270">
        <v>0</v>
      </c>
      <c r="N1270">
        <v>0</v>
      </c>
      <c r="O1270">
        <v>136</v>
      </c>
    </row>
    <row r="1271" spans="1:15" x14ac:dyDescent="0.25">
      <c r="A1271" t="s">
        <v>11755</v>
      </c>
      <c r="B1271" t="s">
        <v>11754</v>
      </c>
      <c r="C1271" t="s">
        <v>923</v>
      </c>
      <c r="D1271" t="s">
        <v>3063</v>
      </c>
      <c r="E1271" t="s">
        <v>3053</v>
      </c>
      <c r="F1271" t="s">
        <v>9851</v>
      </c>
      <c r="G1271" t="s">
        <v>9850</v>
      </c>
      <c r="H1271" t="s">
        <v>14541</v>
      </c>
      <c r="I1271">
        <v>4</v>
      </c>
      <c r="J1271">
        <v>0</v>
      </c>
      <c r="K1271">
        <v>0</v>
      </c>
      <c r="L1271">
        <v>4</v>
      </c>
      <c r="M1271">
        <v>0</v>
      </c>
      <c r="N1271">
        <v>0</v>
      </c>
      <c r="O1271">
        <v>0</v>
      </c>
    </row>
    <row r="1272" spans="1:15" x14ac:dyDescent="0.25">
      <c r="A1272" t="s">
        <v>1025</v>
      </c>
      <c r="B1272" t="s">
        <v>2893</v>
      </c>
      <c r="C1272" t="s">
        <v>927</v>
      </c>
      <c r="D1272" t="s">
        <v>3052</v>
      </c>
      <c r="E1272" t="s">
        <v>3053</v>
      </c>
      <c r="F1272" t="s">
        <v>9851</v>
      </c>
      <c r="G1272" t="s">
        <v>9850</v>
      </c>
      <c r="H1272" t="s">
        <v>10179</v>
      </c>
      <c r="I1272">
        <v>3163</v>
      </c>
      <c r="J1272">
        <v>2740</v>
      </c>
      <c r="K1272">
        <v>0</v>
      </c>
      <c r="L1272">
        <v>9</v>
      </c>
      <c r="M1272">
        <v>287</v>
      </c>
      <c r="N1272">
        <v>65</v>
      </c>
      <c r="O1272">
        <v>127</v>
      </c>
    </row>
    <row r="1273" spans="1:15" x14ac:dyDescent="0.25">
      <c r="A1273" t="s">
        <v>1028</v>
      </c>
      <c r="B1273" t="s">
        <v>2682</v>
      </c>
      <c r="C1273" t="s">
        <v>923</v>
      </c>
      <c r="D1273" t="s">
        <v>3063</v>
      </c>
      <c r="E1273" t="s">
        <v>3053</v>
      </c>
      <c r="F1273" t="s">
        <v>9851</v>
      </c>
      <c r="G1273" t="s">
        <v>9850</v>
      </c>
      <c r="H1273" t="s">
        <v>10205</v>
      </c>
      <c r="I1273">
        <v>33</v>
      </c>
      <c r="J1273">
        <v>0</v>
      </c>
      <c r="K1273">
        <v>0</v>
      </c>
      <c r="L1273">
        <v>0</v>
      </c>
      <c r="M1273">
        <v>33</v>
      </c>
      <c r="N1273">
        <v>0</v>
      </c>
      <c r="O1273">
        <v>0</v>
      </c>
    </row>
    <row r="1274" spans="1:15" x14ac:dyDescent="0.25">
      <c r="A1274" t="s">
        <v>943</v>
      </c>
      <c r="B1274" t="s">
        <v>2694</v>
      </c>
      <c r="C1274" t="s">
        <v>927</v>
      </c>
      <c r="D1274" t="s">
        <v>3052</v>
      </c>
      <c r="E1274" t="s">
        <v>3053</v>
      </c>
      <c r="F1274" t="s">
        <v>9851</v>
      </c>
      <c r="G1274" t="s">
        <v>9850</v>
      </c>
      <c r="H1274" t="s">
        <v>10206</v>
      </c>
      <c r="I1274">
        <v>1039</v>
      </c>
      <c r="J1274">
        <v>826</v>
      </c>
      <c r="K1274">
        <v>0</v>
      </c>
      <c r="L1274">
        <v>0</v>
      </c>
      <c r="M1274">
        <v>0</v>
      </c>
      <c r="N1274">
        <v>0</v>
      </c>
      <c r="O1274">
        <v>213</v>
      </c>
    </row>
    <row r="1275" spans="1:15" x14ac:dyDescent="0.25">
      <c r="A1275" t="s">
        <v>945</v>
      </c>
      <c r="B1275" t="s">
        <v>2668</v>
      </c>
      <c r="C1275" t="s">
        <v>927</v>
      </c>
      <c r="D1275" t="s">
        <v>3052</v>
      </c>
      <c r="E1275" t="s">
        <v>3053</v>
      </c>
      <c r="F1275" t="s">
        <v>9851</v>
      </c>
      <c r="G1275" t="s">
        <v>9850</v>
      </c>
      <c r="H1275" t="s">
        <v>10208</v>
      </c>
      <c r="I1275">
        <v>5</v>
      </c>
      <c r="J1275">
        <v>0</v>
      </c>
      <c r="K1275">
        <v>0</v>
      </c>
      <c r="L1275">
        <v>0</v>
      </c>
      <c r="M1275">
        <v>0</v>
      </c>
      <c r="N1275">
        <v>0</v>
      </c>
      <c r="O1275">
        <v>5</v>
      </c>
    </row>
    <row r="1276" spans="1:15" x14ac:dyDescent="0.25">
      <c r="A1276" t="s">
        <v>949</v>
      </c>
      <c r="B1276" t="s">
        <v>3035</v>
      </c>
      <c r="C1276" t="s">
        <v>927</v>
      </c>
      <c r="D1276" t="s">
        <v>3052</v>
      </c>
      <c r="E1276" t="s">
        <v>3053</v>
      </c>
      <c r="F1276" t="s">
        <v>9851</v>
      </c>
      <c r="G1276" t="s">
        <v>9850</v>
      </c>
      <c r="H1276" t="s">
        <v>10213</v>
      </c>
      <c r="I1276">
        <v>95</v>
      </c>
      <c r="J1276">
        <v>0</v>
      </c>
      <c r="K1276">
        <v>0</v>
      </c>
      <c r="L1276">
        <v>0</v>
      </c>
      <c r="M1276">
        <v>0</v>
      </c>
      <c r="N1276">
        <v>0</v>
      </c>
      <c r="O1276">
        <v>95</v>
      </c>
    </row>
    <row r="1277" spans="1:15" x14ac:dyDescent="0.25">
      <c r="A1277" t="s">
        <v>1138</v>
      </c>
      <c r="B1277" t="s">
        <v>2635</v>
      </c>
      <c r="C1277" t="s">
        <v>923</v>
      </c>
      <c r="D1277" t="s">
        <v>3063</v>
      </c>
      <c r="E1277" t="s">
        <v>3053</v>
      </c>
      <c r="F1277" t="s">
        <v>9851</v>
      </c>
      <c r="G1277" t="s">
        <v>9850</v>
      </c>
      <c r="H1277" t="s">
        <v>10231</v>
      </c>
      <c r="I1277">
        <v>141</v>
      </c>
      <c r="J1277">
        <v>0</v>
      </c>
      <c r="K1277">
        <v>0</v>
      </c>
      <c r="L1277">
        <v>141</v>
      </c>
      <c r="M1277">
        <v>0</v>
      </c>
      <c r="N1277">
        <v>0</v>
      </c>
      <c r="O1277">
        <v>0</v>
      </c>
    </row>
    <row r="1278" spans="1:15" x14ac:dyDescent="0.25">
      <c r="A1278" t="s">
        <v>1041</v>
      </c>
      <c r="B1278" t="s">
        <v>2826</v>
      </c>
      <c r="C1278" t="s">
        <v>927</v>
      </c>
      <c r="D1278" t="s">
        <v>3052</v>
      </c>
      <c r="E1278" t="s">
        <v>3053</v>
      </c>
      <c r="F1278" t="s">
        <v>9851</v>
      </c>
      <c r="G1278" t="s">
        <v>9850</v>
      </c>
      <c r="H1278" t="s">
        <v>10232</v>
      </c>
      <c r="I1278">
        <v>3</v>
      </c>
      <c r="J1278">
        <v>0</v>
      </c>
      <c r="K1278">
        <v>0</v>
      </c>
      <c r="L1278">
        <v>0</v>
      </c>
      <c r="M1278">
        <v>0</v>
      </c>
      <c r="N1278">
        <v>0</v>
      </c>
      <c r="O1278">
        <v>3</v>
      </c>
    </row>
    <row r="1279" spans="1:15" x14ac:dyDescent="0.25">
      <c r="A1279" t="s">
        <v>1142</v>
      </c>
      <c r="B1279" t="s">
        <v>3003</v>
      </c>
      <c r="C1279" t="s">
        <v>927</v>
      </c>
      <c r="D1279" t="s">
        <v>3052</v>
      </c>
      <c r="E1279" t="s">
        <v>3053</v>
      </c>
      <c r="F1279" t="s">
        <v>9851</v>
      </c>
      <c r="G1279" t="s">
        <v>9850</v>
      </c>
      <c r="H1279" t="s">
        <v>10295</v>
      </c>
      <c r="I1279">
        <v>7030</v>
      </c>
      <c r="J1279">
        <v>6475</v>
      </c>
      <c r="K1279">
        <v>3</v>
      </c>
      <c r="L1279">
        <v>60</v>
      </c>
      <c r="M1279">
        <v>25</v>
      </c>
      <c r="N1279">
        <v>44</v>
      </c>
      <c r="O1279">
        <v>467</v>
      </c>
    </row>
    <row r="1280" spans="1:15" x14ac:dyDescent="0.25">
      <c r="A1280" t="s">
        <v>1043</v>
      </c>
      <c r="B1280" t="s">
        <v>2090</v>
      </c>
      <c r="C1280" t="s">
        <v>927</v>
      </c>
      <c r="D1280" t="s">
        <v>3052</v>
      </c>
      <c r="E1280" t="s">
        <v>3053</v>
      </c>
      <c r="F1280" t="s">
        <v>9851</v>
      </c>
      <c r="G1280" t="s">
        <v>9850</v>
      </c>
      <c r="H1280" t="s">
        <v>10296</v>
      </c>
      <c r="I1280">
        <v>24</v>
      </c>
      <c r="J1280">
        <v>24</v>
      </c>
      <c r="K1280">
        <v>0</v>
      </c>
      <c r="L1280">
        <v>0</v>
      </c>
      <c r="M1280">
        <v>0</v>
      </c>
      <c r="N1280">
        <v>0</v>
      </c>
      <c r="O1280">
        <v>0</v>
      </c>
    </row>
    <row r="1281" spans="1:15" x14ac:dyDescent="0.25">
      <c r="A1281" t="s">
        <v>1146</v>
      </c>
      <c r="B1281" t="s">
        <v>2117</v>
      </c>
      <c r="C1281" t="s">
        <v>927</v>
      </c>
      <c r="D1281" t="s">
        <v>3052</v>
      </c>
      <c r="E1281" t="s">
        <v>3053</v>
      </c>
      <c r="F1281" t="s">
        <v>9851</v>
      </c>
      <c r="G1281" t="s">
        <v>9850</v>
      </c>
      <c r="H1281" t="s">
        <v>14542</v>
      </c>
      <c r="I1281">
        <v>1236</v>
      </c>
      <c r="J1281">
        <v>849</v>
      </c>
      <c r="K1281">
        <v>0</v>
      </c>
      <c r="L1281">
        <v>0</v>
      </c>
      <c r="M1281">
        <v>0</v>
      </c>
      <c r="N1281">
        <v>4</v>
      </c>
      <c r="O1281">
        <v>387</v>
      </c>
    </row>
    <row r="1282" spans="1:15" x14ac:dyDescent="0.25">
      <c r="A1282" t="s">
        <v>951</v>
      </c>
      <c r="B1282" t="s">
        <v>2680</v>
      </c>
      <c r="C1282" t="s">
        <v>927</v>
      </c>
      <c r="D1282" t="s">
        <v>3052</v>
      </c>
      <c r="E1282" t="s">
        <v>3053</v>
      </c>
      <c r="F1282" t="s">
        <v>9851</v>
      </c>
      <c r="G1282" t="s">
        <v>9850</v>
      </c>
      <c r="H1282" t="s">
        <v>10306</v>
      </c>
      <c r="I1282">
        <v>91</v>
      </c>
      <c r="J1282">
        <v>81</v>
      </c>
      <c r="K1282">
        <v>0</v>
      </c>
      <c r="L1282">
        <v>0</v>
      </c>
      <c r="M1282">
        <v>0</v>
      </c>
      <c r="N1282">
        <v>0</v>
      </c>
      <c r="O1282">
        <v>10</v>
      </c>
    </row>
    <row r="1283" spans="1:15" x14ac:dyDescent="0.25">
      <c r="A1283" t="s">
        <v>1048</v>
      </c>
      <c r="B1283" t="s">
        <v>2989</v>
      </c>
      <c r="C1283" t="s">
        <v>927</v>
      </c>
      <c r="D1283" t="s">
        <v>3052</v>
      </c>
      <c r="E1283" t="s">
        <v>3053</v>
      </c>
      <c r="F1283" t="s">
        <v>9851</v>
      </c>
      <c r="G1283" t="s">
        <v>9850</v>
      </c>
      <c r="H1283" t="s">
        <v>10309</v>
      </c>
      <c r="I1283">
        <v>10</v>
      </c>
      <c r="J1283">
        <v>0</v>
      </c>
      <c r="K1283">
        <v>0</v>
      </c>
      <c r="L1283">
        <v>10</v>
      </c>
      <c r="M1283">
        <v>0</v>
      </c>
      <c r="N1283">
        <v>0</v>
      </c>
      <c r="O1283">
        <v>0</v>
      </c>
    </row>
    <row r="1284" spans="1:15" x14ac:dyDescent="0.25">
      <c r="A1284" t="s">
        <v>1051</v>
      </c>
      <c r="B1284" t="s">
        <v>2995</v>
      </c>
      <c r="C1284" t="s">
        <v>927</v>
      </c>
      <c r="D1284" t="s">
        <v>3052</v>
      </c>
      <c r="E1284" t="s">
        <v>3053</v>
      </c>
      <c r="F1284" t="s">
        <v>9851</v>
      </c>
      <c r="G1284" t="s">
        <v>9850</v>
      </c>
      <c r="H1284" t="s">
        <v>10318</v>
      </c>
      <c r="I1284">
        <v>18</v>
      </c>
      <c r="J1284">
        <v>0</v>
      </c>
      <c r="K1284">
        <v>0</v>
      </c>
      <c r="L1284">
        <v>18</v>
      </c>
      <c r="M1284">
        <v>0</v>
      </c>
      <c r="N1284">
        <v>0</v>
      </c>
      <c r="O1284">
        <v>0</v>
      </c>
    </row>
    <row r="1285" spans="1:15" x14ac:dyDescent="0.25">
      <c r="A1285" t="s">
        <v>1646</v>
      </c>
      <c r="B1285" t="s">
        <v>1970</v>
      </c>
      <c r="C1285" t="s">
        <v>927</v>
      </c>
      <c r="D1285" t="s">
        <v>3052</v>
      </c>
      <c r="E1285" t="s">
        <v>3053</v>
      </c>
      <c r="F1285" t="s">
        <v>9851</v>
      </c>
      <c r="G1285" t="s">
        <v>9850</v>
      </c>
      <c r="H1285" t="s">
        <v>10320</v>
      </c>
      <c r="I1285">
        <v>5389</v>
      </c>
      <c r="J1285">
        <v>3642</v>
      </c>
      <c r="K1285">
        <v>0</v>
      </c>
      <c r="L1285">
        <v>0</v>
      </c>
      <c r="M1285">
        <v>1695</v>
      </c>
      <c r="N1285">
        <v>0</v>
      </c>
      <c r="O1285">
        <v>52</v>
      </c>
    </row>
    <row r="1286" spans="1:15" x14ac:dyDescent="0.25">
      <c r="A1286" t="s">
        <v>953</v>
      </c>
      <c r="B1286" t="s">
        <v>2014</v>
      </c>
      <c r="C1286" t="s">
        <v>927</v>
      </c>
      <c r="D1286" t="s">
        <v>3052</v>
      </c>
      <c r="E1286" t="s">
        <v>3053</v>
      </c>
      <c r="F1286" t="s">
        <v>9851</v>
      </c>
      <c r="G1286" t="s">
        <v>9850</v>
      </c>
      <c r="H1286" t="s">
        <v>10322</v>
      </c>
      <c r="I1286">
        <v>3</v>
      </c>
      <c r="J1286">
        <v>0</v>
      </c>
      <c r="K1286">
        <v>0</v>
      </c>
      <c r="L1286">
        <v>3</v>
      </c>
      <c r="M1286">
        <v>0</v>
      </c>
      <c r="N1286">
        <v>0</v>
      </c>
      <c r="O1286">
        <v>0</v>
      </c>
    </row>
    <row r="1287" spans="1:15" x14ac:dyDescent="0.25">
      <c r="A1287" t="s">
        <v>1651</v>
      </c>
      <c r="B1287" t="s">
        <v>2123</v>
      </c>
      <c r="C1287" t="s">
        <v>923</v>
      </c>
      <c r="D1287" t="s">
        <v>3063</v>
      </c>
      <c r="E1287" t="s">
        <v>3053</v>
      </c>
      <c r="F1287" t="s">
        <v>9851</v>
      </c>
      <c r="G1287" t="s">
        <v>9850</v>
      </c>
      <c r="H1287" t="s">
        <v>10326</v>
      </c>
      <c r="I1287">
        <v>5</v>
      </c>
      <c r="J1287">
        <v>5</v>
      </c>
      <c r="K1287">
        <v>0</v>
      </c>
      <c r="L1287">
        <v>0</v>
      </c>
      <c r="M1287">
        <v>0</v>
      </c>
      <c r="N1287">
        <v>0</v>
      </c>
      <c r="O1287">
        <v>0</v>
      </c>
    </row>
    <row r="1288" spans="1:15" x14ac:dyDescent="0.25">
      <c r="A1288" t="s">
        <v>11720</v>
      </c>
      <c r="B1288" t="s">
        <v>10718</v>
      </c>
      <c r="C1288" t="s">
        <v>927</v>
      </c>
      <c r="D1288" t="s">
        <v>3052</v>
      </c>
      <c r="E1288" t="s">
        <v>3053</v>
      </c>
      <c r="F1288" t="s">
        <v>9851</v>
      </c>
      <c r="G1288" t="s">
        <v>9850</v>
      </c>
      <c r="H1288" t="s">
        <v>14543</v>
      </c>
      <c r="I1288">
        <v>84</v>
      </c>
      <c r="J1288">
        <v>48</v>
      </c>
      <c r="K1288">
        <v>0</v>
      </c>
      <c r="L1288">
        <v>0</v>
      </c>
      <c r="M1288">
        <v>0</v>
      </c>
      <c r="N1288">
        <v>0</v>
      </c>
      <c r="O1288">
        <v>36</v>
      </c>
    </row>
    <row r="1289" spans="1:15" x14ac:dyDescent="0.25">
      <c r="A1289" t="s">
        <v>9788</v>
      </c>
      <c r="B1289" t="s">
        <v>9871</v>
      </c>
      <c r="C1289" t="s">
        <v>927</v>
      </c>
      <c r="D1289" t="s">
        <v>3052</v>
      </c>
      <c r="E1289" t="s">
        <v>3053</v>
      </c>
      <c r="F1289" t="s">
        <v>9851</v>
      </c>
      <c r="G1289" t="s">
        <v>9850</v>
      </c>
      <c r="H1289" t="s">
        <v>10336</v>
      </c>
      <c r="I1289">
        <v>118</v>
      </c>
      <c r="J1289">
        <v>118</v>
      </c>
      <c r="K1289">
        <v>0</v>
      </c>
      <c r="L1289">
        <v>0</v>
      </c>
      <c r="M1289">
        <v>0</v>
      </c>
      <c r="N1289">
        <v>0</v>
      </c>
      <c r="O1289">
        <v>0</v>
      </c>
    </row>
    <row r="1290" spans="1:15" x14ac:dyDescent="0.25">
      <c r="A1290" t="s">
        <v>1056</v>
      </c>
      <c r="B1290" t="s">
        <v>2966</v>
      </c>
      <c r="C1290" t="s">
        <v>927</v>
      </c>
      <c r="D1290" t="s">
        <v>3052</v>
      </c>
      <c r="E1290" t="s">
        <v>3053</v>
      </c>
      <c r="F1290" t="s">
        <v>9851</v>
      </c>
      <c r="G1290" t="s">
        <v>9850</v>
      </c>
      <c r="H1290" t="s">
        <v>10392</v>
      </c>
      <c r="I1290">
        <v>7</v>
      </c>
      <c r="J1290">
        <v>7</v>
      </c>
      <c r="K1290">
        <v>0</v>
      </c>
      <c r="L1290">
        <v>0</v>
      </c>
      <c r="M1290">
        <v>0</v>
      </c>
      <c r="N1290">
        <v>0</v>
      </c>
      <c r="O1290">
        <v>0</v>
      </c>
    </row>
    <row r="1291" spans="1:15" x14ac:dyDescent="0.25">
      <c r="A1291" t="s">
        <v>1057</v>
      </c>
      <c r="B1291" t="s">
        <v>1972</v>
      </c>
      <c r="C1291" t="s">
        <v>927</v>
      </c>
      <c r="D1291" t="s">
        <v>3052</v>
      </c>
      <c r="E1291" t="s">
        <v>3053</v>
      </c>
      <c r="F1291" t="s">
        <v>9851</v>
      </c>
      <c r="G1291" t="s">
        <v>9850</v>
      </c>
      <c r="H1291" t="s">
        <v>10394</v>
      </c>
      <c r="I1291">
        <v>24</v>
      </c>
      <c r="J1291">
        <v>18</v>
      </c>
      <c r="K1291">
        <v>0</v>
      </c>
      <c r="L1291">
        <v>0</v>
      </c>
      <c r="M1291">
        <v>0</v>
      </c>
      <c r="N1291">
        <v>0</v>
      </c>
      <c r="O1291">
        <v>6</v>
      </c>
    </row>
    <row r="1292" spans="1:15" x14ac:dyDescent="0.25">
      <c r="A1292" t="s">
        <v>955</v>
      </c>
      <c r="B1292" t="s">
        <v>2660</v>
      </c>
      <c r="C1292" t="s">
        <v>927</v>
      </c>
      <c r="D1292" t="s">
        <v>3052</v>
      </c>
      <c r="E1292" t="s">
        <v>3053</v>
      </c>
      <c r="F1292" t="s">
        <v>9851</v>
      </c>
      <c r="G1292" t="s">
        <v>9850</v>
      </c>
      <c r="H1292" t="s">
        <v>10407</v>
      </c>
      <c r="I1292">
        <v>135</v>
      </c>
      <c r="J1292">
        <v>68</v>
      </c>
      <c r="K1292">
        <v>0</v>
      </c>
      <c r="L1292">
        <v>18</v>
      </c>
      <c r="M1292">
        <v>49</v>
      </c>
      <c r="N1292">
        <v>0</v>
      </c>
      <c r="O1292">
        <v>0</v>
      </c>
    </row>
    <row r="1293" spans="1:15" x14ac:dyDescent="0.25">
      <c r="A1293" t="s">
        <v>1660</v>
      </c>
      <c r="B1293" t="s">
        <v>2827</v>
      </c>
      <c r="C1293" t="s">
        <v>927</v>
      </c>
      <c r="D1293" t="s">
        <v>3052</v>
      </c>
      <c r="E1293" t="s">
        <v>3053</v>
      </c>
      <c r="F1293" t="s">
        <v>9851</v>
      </c>
      <c r="G1293" t="s">
        <v>9850</v>
      </c>
      <c r="H1293" t="s">
        <v>10413</v>
      </c>
      <c r="I1293">
        <v>42</v>
      </c>
      <c r="J1293">
        <v>27</v>
      </c>
      <c r="K1293">
        <v>0</v>
      </c>
      <c r="L1293">
        <v>0</v>
      </c>
      <c r="M1293">
        <v>0</v>
      </c>
      <c r="N1293">
        <v>0</v>
      </c>
      <c r="O1293">
        <v>15</v>
      </c>
    </row>
    <row r="1294" spans="1:15" x14ac:dyDescent="0.25">
      <c r="A1294" t="s">
        <v>11663</v>
      </c>
      <c r="B1294" t="s">
        <v>11768</v>
      </c>
      <c r="C1294" t="s">
        <v>927</v>
      </c>
      <c r="D1294" t="s">
        <v>3052</v>
      </c>
      <c r="E1294" t="s">
        <v>3053</v>
      </c>
      <c r="F1294" t="s">
        <v>9851</v>
      </c>
      <c r="G1294" t="s">
        <v>9850</v>
      </c>
      <c r="H1294" t="s">
        <v>11905</v>
      </c>
      <c r="I1294">
        <v>1</v>
      </c>
      <c r="J1294">
        <v>0</v>
      </c>
      <c r="K1294">
        <v>0</v>
      </c>
      <c r="L1294">
        <v>0</v>
      </c>
      <c r="M1294">
        <v>0</v>
      </c>
      <c r="N1294">
        <v>0</v>
      </c>
      <c r="O1294">
        <v>1</v>
      </c>
    </row>
    <row r="1295" spans="1:15" x14ac:dyDescent="0.25">
      <c r="A1295" t="s">
        <v>14380</v>
      </c>
      <c r="B1295" t="s">
        <v>2074</v>
      </c>
      <c r="C1295" t="s">
        <v>927</v>
      </c>
      <c r="D1295" t="s">
        <v>3052</v>
      </c>
      <c r="E1295" t="s">
        <v>3053</v>
      </c>
      <c r="F1295" t="s">
        <v>9851</v>
      </c>
      <c r="G1295" t="s">
        <v>9850</v>
      </c>
      <c r="H1295" t="s">
        <v>14544</v>
      </c>
      <c r="I1295">
        <v>96</v>
      </c>
      <c r="J1295">
        <v>0</v>
      </c>
      <c r="K1295">
        <v>0</v>
      </c>
      <c r="L1295">
        <v>0</v>
      </c>
      <c r="M1295">
        <v>0</v>
      </c>
      <c r="N1295">
        <v>0</v>
      </c>
      <c r="O1295">
        <v>96</v>
      </c>
    </row>
    <row r="1296" spans="1:15" x14ac:dyDescent="0.25">
      <c r="A1296" t="s">
        <v>14374</v>
      </c>
      <c r="B1296" t="s">
        <v>1943</v>
      </c>
      <c r="C1296" t="s">
        <v>927</v>
      </c>
      <c r="D1296" t="s">
        <v>3052</v>
      </c>
      <c r="E1296" t="s">
        <v>3053</v>
      </c>
      <c r="F1296" t="s">
        <v>9851</v>
      </c>
      <c r="G1296" t="s">
        <v>9850</v>
      </c>
      <c r="H1296" t="s">
        <v>14545</v>
      </c>
      <c r="I1296">
        <v>34</v>
      </c>
      <c r="J1296">
        <v>0</v>
      </c>
      <c r="K1296">
        <v>0</v>
      </c>
      <c r="L1296">
        <v>0</v>
      </c>
      <c r="M1296">
        <v>0</v>
      </c>
      <c r="N1296">
        <v>0</v>
      </c>
      <c r="O1296">
        <v>34</v>
      </c>
    </row>
    <row r="1297" spans="1:15" x14ac:dyDescent="0.25">
      <c r="A1297" t="s">
        <v>962</v>
      </c>
      <c r="B1297" t="s">
        <v>2752</v>
      </c>
      <c r="C1297" t="s">
        <v>927</v>
      </c>
      <c r="D1297" t="s">
        <v>3052</v>
      </c>
      <c r="E1297" t="s">
        <v>3053</v>
      </c>
      <c r="F1297" t="s">
        <v>9851</v>
      </c>
      <c r="G1297" t="s">
        <v>9850</v>
      </c>
      <c r="H1297" t="s">
        <v>10434</v>
      </c>
      <c r="I1297">
        <v>2</v>
      </c>
      <c r="J1297">
        <v>0</v>
      </c>
      <c r="K1297">
        <v>0</v>
      </c>
      <c r="L1297">
        <v>0</v>
      </c>
      <c r="M1297">
        <v>0</v>
      </c>
      <c r="N1297">
        <v>0</v>
      </c>
      <c r="O1297">
        <v>2</v>
      </c>
    </row>
    <row r="1298" spans="1:15" x14ac:dyDescent="0.25">
      <c r="A1298" t="s">
        <v>1666</v>
      </c>
      <c r="B1298" t="s">
        <v>2748</v>
      </c>
      <c r="C1298" t="s">
        <v>923</v>
      </c>
      <c r="D1298" t="s">
        <v>3063</v>
      </c>
      <c r="E1298" t="s">
        <v>3053</v>
      </c>
      <c r="F1298" t="s">
        <v>9851</v>
      </c>
      <c r="G1298" t="s">
        <v>9850</v>
      </c>
      <c r="H1298" t="s">
        <v>10465</v>
      </c>
      <c r="I1298">
        <v>24</v>
      </c>
      <c r="J1298">
        <v>0</v>
      </c>
      <c r="K1298">
        <v>0</v>
      </c>
      <c r="L1298">
        <v>0</v>
      </c>
      <c r="M1298">
        <v>24</v>
      </c>
      <c r="N1298">
        <v>0</v>
      </c>
      <c r="O1298">
        <v>0</v>
      </c>
    </row>
    <row r="1299" spans="1:15" x14ac:dyDescent="0.25">
      <c r="A1299" t="s">
        <v>1668</v>
      </c>
      <c r="B1299" t="s">
        <v>2564</v>
      </c>
      <c r="C1299" t="s">
        <v>923</v>
      </c>
      <c r="D1299" t="s">
        <v>3063</v>
      </c>
      <c r="E1299" t="s">
        <v>3053</v>
      </c>
      <c r="F1299" t="s">
        <v>9851</v>
      </c>
      <c r="G1299" t="s">
        <v>9850</v>
      </c>
      <c r="H1299" t="s">
        <v>10468</v>
      </c>
      <c r="I1299">
        <v>11</v>
      </c>
      <c r="J1299">
        <v>0</v>
      </c>
      <c r="K1299">
        <v>0</v>
      </c>
      <c r="L1299">
        <v>11</v>
      </c>
      <c r="M1299">
        <v>0</v>
      </c>
      <c r="N1299">
        <v>0</v>
      </c>
      <c r="O1299">
        <v>0</v>
      </c>
    </row>
    <row r="1300" spans="1:15" x14ac:dyDescent="0.25">
      <c r="A1300" t="s">
        <v>1066</v>
      </c>
      <c r="B1300" t="s">
        <v>2557</v>
      </c>
      <c r="C1300" t="s">
        <v>927</v>
      </c>
      <c r="D1300" t="s">
        <v>3052</v>
      </c>
      <c r="E1300" t="s">
        <v>3053</v>
      </c>
      <c r="F1300" t="s">
        <v>9851</v>
      </c>
      <c r="G1300" t="s">
        <v>9850</v>
      </c>
      <c r="H1300" t="s">
        <v>10472</v>
      </c>
      <c r="I1300">
        <v>42</v>
      </c>
      <c r="J1300">
        <v>0</v>
      </c>
      <c r="K1300">
        <v>0</v>
      </c>
      <c r="L1300">
        <v>0</v>
      </c>
      <c r="M1300">
        <v>42</v>
      </c>
      <c r="N1300">
        <v>0</v>
      </c>
      <c r="O1300">
        <v>0</v>
      </c>
    </row>
    <row r="1301" spans="1:15" x14ac:dyDescent="0.25">
      <c r="A1301" t="s">
        <v>11667</v>
      </c>
      <c r="B1301" t="s">
        <v>1986</v>
      </c>
      <c r="C1301" t="s">
        <v>923</v>
      </c>
      <c r="D1301" t="s">
        <v>3063</v>
      </c>
      <c r="E1301" t="s">
        <v>3053</v>
      </c>
      <c r="F1301" t="s">
        <v>9851</v>
      </c>
      <c r="G1301" t="s">
        <v>9850</v>
      </c>
      <c r="H1301" t="s">
        <v>11906</v>
      </c>
      <c r="I1301">
        <v>58</v>
      </c>
      <c r="J1301">
        <v>0</v>
      </c>
      <c r="K1301">
        <v>0</v>
      </c>
      <c r="L1301">
        <v>0</v>
      </c>
      <c r="M1301">
        <v>58</v>
      </c>
      <c r="N1301">
        <v>0</v>
      </c>
      <c r="O1301">
        <v>0</v>
      </c>
    </row>
    <row r="1302" spans="1:15" x14ac:dyDescent="0.25">
      <c r="A1302" t="s">
        <v>1069</v>
      </c>
      <c r="B1302" t="s">
        <v>2001</v>
      </c>
      <c r="C1302" t="s">
        <v>927</v>
      </c>
      <c r="D1302" t="s">
        <v>3052</v>
      </c>
      <c r="E1302" t="s">
        <v>3053</v>
      </c>
      <c r="F1302" t="s">
        <v>9851</v>
      </c>
      <c r="G1302" t="s">
        <v>9850</v>
      </c>
      <c r="H1302" t="s">
        <v>10477</v>
      </c>
      <c r="I1302">
        <v>698</v>
      </c>
      <c r="J1302">
        <v>593</v>
      </c>
      <c r="K1302">
        <v>0</v>
      </c>
      <c r="L1302">
        <v>39</v>
      </c>
      <c r="M1302">
        <v>0</v>
      </c>
      <c r="N1302">
        <v>0</v>
      </c>
      <c r="O1302">
        <v>66</v>
      </c>
    </row>
    <row r="1303" spans="1:15" x14ac:dyDescent="0.25">
      <c r="A1303" t="s">
        <v>1072</v>
      </c>
      <c r="B1303" t="s">
        <v>2907</v>
      </c>
      <c r="C1303" t="s">
        <v>927</v>
      </c>
      <c r="D1303" t="s">
        <v>3052</v>
      </c>
      <c r="E1303" t="s">
        <v>3053</v>
      </c>
      <c r="F1303" t="s">
        <v>9851</v>
      </c>
      <c r="G1303" t="s">
        <v>9850</v>
      </c>
      <c r="H1303" t="s">
        <v>10493</v>
      </c>
      <c r="I1303">
        <v>84</v>
      </c>
      <c r="J1303">
        <v>1</v>
      </c>
      <c r="K1303">
        <v>0</v>
      </c>
      <c r="L1303">
        <v>60</v>
      </c>
      <c r="M1303">
        <v>10</v>
      </c>
      <c r="N1303">
        <v>0</v>
      </c>
      <c r="O1303">
        <v>13</v>
      </c>
    </row>
    <row r="1304" spans="1:15" x14ac:dyDescent="0.25">
      <c r="A1304" t="s">
        <v>966</v>
      </c>
      <c r="B1304" t="s">
        <v>2684</v>
      </c>
      <c r="C1304" t="s">
        <v>927</v>
      </c>
      <c r="D1304" t="s">
        <v>3052</v>
      </c>
      <c r="E1304" t="s">
        <v>3053</v>
      </c>
      <c r="F1304" t="s">
        <v>9851</v>
      </c>
      <c r="G1304" t="s">
        <v>9850</v>
      </c>
      <c r="H1304" t="s">
        <v>10494</v>
      </c>
      <c r="I1304">
        <v>103</v>
      </c>
      <c r="J1304">
        <v>74</v>
      </c>
      <c r="K1304">
        <v>0</v>
      </c>
      <c r="L1304">
        <v>0</v>
      </c>
      <c r="M1304">
        <v>0</v>
      </c>
      <c r="N1304">
        <v>0</v>
      </c>
      <c r="O1304">
        <v>29</v>
      </c>
    </row>
    <row r="1305" spans="1:15" x14ac:dyDescent="0.25">
      <c r="A1305" t="s">
        <v>1181</v>
      </c>
      <c r="B1305" t="s">
        <v>2894</v>
      </c>
      <c r="C1305" t="s">
        <v>927</v>
      </c>
      <c r="D1305" t="s">
        <v>3052</v>
      </c>
      <c r="E1305" t="s">
        <v>3053</v>
      </c>
      <c r="F1305" t="s">
        <v>9851</v>
      </c>
      <c r="G1305" t="s">
        <v>9850</v>
      </c>
      <c r="H1305" t="s">
        <v>10498</v>
      </c>
      <c r="I1305">
        <v>589</v>
      </c>
      <c r="J1305">
        <v>461</v>
      </c>
      <c r="K1305">
        <v>0</v>
      </c>
      <c r="L1305">
        <v>0</v>
      </c>
      <c r="M1305">
        <v>0</v>
      </c>
      <c r="N1305">
        <v>0</v>
      </c>
      <c r="O1305">
        <v>128</v>
      </c>
    </row>
    <row r="1306" spans="1:15" x14ac:dyDescent="0.25">
      <c r="A1306" t="s">
        <v>1078</v>
      </c>
      <c r="B1306" t="s">
        <v>1950</v>
      </c>
      <c r="C1306" t="s">
        <v>923</v>
      </c>
      <c r="D1306" t="s">
        <v>3063</v>
      </c>
      <c r="E1306" t="s">
        <v>3053</v>
      </c>
      <c r="F1306" t="s">
        <v>9851</v>
      </c>
      <c r="G1306" t="s">
        <v>9850</v>
      </c>
      <c r="H1306" t="s">
        <v>10504</v>
      </c>
      <c r="I1306">
        <v>6</v>
      </c>
      <c r="J1306">
        <v>0</v>
      </c>
      <c r="K1306">
        <v>0</v>
      </c>
      <c r="L1306">
        <v>6</v>
      </c>
      <c r="M1306">
        <v>0</v>
      </c>
      <c r="N1306">
        <v>0</v>
      </c>
      <c r="O1306">
        <v>0</v>
      </c>
    </row>
    <row r="1307" spans="1:15" x14ac:dyDescent="0.25">
      <c r="A1307" t="s">
        <v>1080</v>
      </c>
      <c r="B1307" t="s">
        <v>2030</v>
      </c>
      <c r="C1307" t="s">
        <v>923</v>
      </c>
      <c r="D1307" t="s">
        <v>3063</v>
      </c>
      <c r="E1307" t="s">
        <v>3053</v>
      </c>
      <c r="F1307" t="s">
        <v>9851</v>
      </c>
      <c r="G1307" t="s">
        <v>9850</v>
      </c>
      <c r="H1307" t="s">
        <v>10511</v>
      </c>
      <c r="I1307">
        <v>9</v>
      </c>
      <c r="J1307">
        <v>0</v>
      </c>
      <c r="K1307">
        <v>0</v>
      </c>
      <c r="L1307">
        <v>9</v>
      </c>
      <c r="M1307">
        <v>0</v>
      </c>
      <c r="N1307">
        <v>0</v>
      </c>
      <c r="O1307">
        <v>0</v>
      </c>
    </row>
    <row r="1308" spans="1:15" x14ac:dyDescent="0.25">
      <c r="A1308" t="s">
        <v>14377</v>
      </c>
      <c r="B1308" t="s">
        <v>14444</v>
      </c>
      <c r="C1308" t="s">
        <v>923</v>
      </c>
      <c r="D1308" t="s">
        <v>3063</v>
      </c>
      <c r="E1308" t="s">
        <v>3053</v>
      </c>
      <c r="F1308" t="s">
        <v>9851</v>
      </c>
      <c r="G1308" t="s">
        <v>9850</v>
      </c>
      <c r="H1308" t="s">
        <v>14546</v>
      </c>
      <c r="I1308">
        <v>2</v>
      </c>
      <c r="J1308">
        <v>0</v>
      </c>
      <c r="K1308">
        <v>0</v>
      </c>
      <c r="L1308">
        <v>2</v>
      </c>
      <c r="M1308">
        <v>0</v>
      </c>
      <c r="N1308">
        <v>0</v>
      </c>
      <c r="O1308">
        <v>0</v>
      </c>
    </row>
    <row r="1309" spans="1:15" x14ac:dyDescent="0.25">
      <c r="A1309" t="s">
        <v>981</v>
      </c>
      <c r="B1309" t="s">
        <v>2985</v>
      </c>
      <c r="C1309" t="s">
        <v>927</v>
      </c>
      <c r="D1309" t="s">
        <v>3052</v>
      </c>
      <c r="E1309" t="s">
        <v>3053</v>
      </c>
      <c r="F1309" t="s">
        <v>9851</v>
      </c>
      <c r="G1309" t="s">
        <v>9850</v>
      </c>
      <c r="H1309" t="s">
        <v>10012</v>
      </c>
      <c r="I1309">
        <v>87</v>
      </c>
      <c r="J1309">
        <v>66</v>
      </c>
      <c r="K1309">
        <v>0</v>
      </c>
      <c r="L1309">
        <v>0</v>
      </c>
      <c r="M1309">
        <v>0</v>
      </c>
      <c r="N1309">
        <v>0</v>
      </c>
      <c r="O1309">
        <v>21</v>
      </c>
    </row>
    <row r="1310" spans="1:15" x14ac:dyDescent="0.25">
      <c r="A1310" t="s">
        <v>971</v>
      </c>
      <c r="B1310" t="s">
        <v>2956</v>
      </c>
      <c r="C1310" t="s">
        <v>927</v>
      </c>
      <c r="D1310" t="s">
        <v>3052</v>
      </c>
      <c r="E1310" t="s">
        <v>3053</v>
      </c>
      <c r="F1310" t="s">
        <v>361</v>
      </c>
      <c r="G1310" t="s">
        <v>362</v>
      </c>
      <c r="H1310" t="s">
        <v>3870</v>
      </c>
      <c r="I1310">
        <v>580</v>
      </c>
      <c r="J1310">
        <v>472</v>
      </c>
      <c r="K1310">
        <v>0</v>
      </c>
      <c r="L1310">
        <v>0</v>
      </c>
      <c r="M1310">
        <v>71</v>
      </c>
      <c r="N1310">
        <v>0</v>
      </c>
      <c r="O1310">
        <v>37</v>
      </c>
    </row>
    <row r="1311" spans="1:15" x14ac:dyDescent="0.25">
      <c r="A1311" t="s">
        <v>929</v>
      </c>
      <c r="B1311" t="s">
        <v>2999</v>
      </c>
      <c r="C1311" t="s">
        <v>927</v>
      </c>
      <c r="D1311" t="s">
        <v>3052</v>
      </c>
      <c r="E1311" t="s">
        <v>3053</v>
      </c>
      <c r="F1311" t="s">
        <v>361</v>
      </c>
      <c r="G1311" t="s">
        <v>362</v>
      </c>
      <c r="H1311" t="s">
        <v>3871</v>
      </c>
      <c r="I1311">
        <v>166</v>
      </c>
      <c r="J1311">
        <v>0</v>
      </c>
      <c r="K1311">
        <v>0</v>
      </c>
      <c r="L1311">
        <v>0</v>
      </c>
      <c r="M1311">
        <v>166</v>
      </c>
      <c r="N1311">
        <v>0</v>
      </c>
      <c r="O1311">
        <v>0</v>
      </c>
    </row>
    <row r="1312" spans="1:15" x14ac:dyDescent="0.25">
      <c r="A1312" t="s">
        <v>1463</v>
      </c>
      <c r="B1312" t="s">
        <v>2846</v>
      </c>
      <c r="C1312" t="s">
        <v>927</v>
      </c>
      <c r="D1312" t="s">
        <v>3052</v>
      </c>
      <c r="E1312" t="s">
        <v>3053</v>
      </c>
      <c r="F1312" t="s">
        <v>361</v>
      </c>
      <c r="G1312" t="s">
        <v>362</v>
      </c>
      <c r="H1312" t="s">
        <v>3872</v>
      </c>
      <c r="I1312">
        <v>4980</v>
      </c>
      <c r="J1312">
        <v>3662</v>
      </c>
      <c r="K1312">
        <v>0</v>
      </c>
      <c r="L1312">
        <v>177</v>
      </c>
      <c r="M1312">
        <v>1141</v>
      </c>
      <c r="N1312">
        <v>26</v>
      </c>
      <c r="O1312">
        <v>0</v>
      </c>
    </row>
    <row r="1313" spans="1:15" x14ac:dyDescent="0.25">
      <c r="A1313" t="s">
        <v>985</v>
      </c>
      <c r="B1313" t="s">
        <v>1964</v>
      </c>
      <c r="C1313" t="s">
        <v>923</v>
      </c>
      <c r="D1313" t="s">
        <v>3063</v>
      </c>
      <c r="E1313" t="s">
        <v>3053</v>
      </c>
      <c r="F1313" t="s">
        <v>361</v>
      </c>
      <c r="G1313" t="s">
        <v>362</v>
      </c>
      <c r="H1313" t="s">
        <v>3873</v>
      </c>
      <c r="I1313">
        <v>12</v>
      </c>
      <c r="J1313">
        <v>0</v>
      </c>
      <c r="K1313">
        <v>0</v>
      </c>
      <c r="L1313">
        <v>12</v>
      </c>
      <c r="M1313">
        <v>0</v>
      </c>
      <c r="N1313">
        <v>0</v>
      </c>
      <c r="O1313">
        <v>0</v>
      </c>
    </row>
    <row r="1314" spans="1:15" x14ac:dyDescent="0.25">
      <c r="A1314" t="s">
        <v>1471</v>
      </c>
      <c r="B1314" t="s">
        <v>11742</v>
      </c>
      <c r="C1314" t="s">
        <v>923</v>
      </c>
      <c r="D1314" t="s">
        <v>3063</v>
      </c>
      <c r="E1314" t="s">
        <v>3053</v>
      </c>
      <c r="F1314" t="s">
        <v>361</v>
      </c>
      <c r="G1314" t="s">
        <v>362</v>
      </c>
      <c r="H1314" t="s">
        <v>3874</v>
      </c>
      <c r="I1314">
        <v>11</v>
      </c>
      <c r="J1314">
        <v>11</v>
      </c>
      <c r="K1314">
        <v>0</v>
      </c>
      <c r="L1314">
        <v>0</v>
      </c>
      <c r="M1314">
        <v>0</v>
      </c>
      <c r="N1314">
        <v>0</v>
      </c>
      <c r="O1314">
        <v>0</v>
      </c>
    </row>
    <row r="1315" spans="1:15" x14ac:dyDescent="0.25">
      <c r="A1315" t="s">
        <v>991</v>
      </c>
      <c r="B1315" t="s">
        <v>1976</v>
      </c>
      <c r="C1315" t="s">
        <v>923</v>
      </c>
      <c r="D1315" t="s">
        <v>3063</v>
      </c>
      <c r="E1315" t="s">
        <v>3053</v>
      </c>
      <c r="F1315" t="s">
        <v>361</v>
      </c>
      <c r="G1315" t="s">
        <v>362</v>
      </c>
      <c r="H1315" t="s">
        <v>3875</v>
      </c>
      <c r="I1315">
        <v>22</v>
      </c>
      <c r="J1315">
        <v>0</v>
      </c>
      <c r="K1315">
        <v>0</v>
      </c>
      <c r="L1315">
        <v>22</v>
      </c>
      <c r="M1315">
        <v>0</v>
      </c>
      <c r="N1315">
        <v>0</v>
      </c>
      <c r="O1315">
        <v>0</v>
      </c>
    </row>
    <row r="1316" spans="1:15" x14ac:dyDescent="0.25">
      <c r="A1316" t="s">
        <v>935</v>
      </c>
      <c r="B1316" t="s">
        <v>1960</v>
      </c>
      <c r="C1316" t="s">
        <v>923</v>
      </c>
      <c r="D1316" t="s">
        <v>3063</v>
      </c>
      <c r="E1316" t="s">
        <v>3053</v>
      </c>
      <c r="F1316" t="s">
        <v>361</v>
      </c>
      <c r="G1316" t="s">
        <v>362</v>
      </c>
      <c r="H1316" t="s">
        <v>3876</v>
      </c>
      <c r="I1316">
        <v>27</v>
      </c>
      <c r="J1316">
        <v>0</v>
      </c>
      <c r="K1316">
        <v>0</v>
      </c>
      <c r="L1316">
        <v>27</v>
      </c>
      <c r="M1316">
        <v>0</v>
      </c>
      <c r="N1316">
        <v>0</v>
      </c>
      <c r="O1316">
        <v>0</v>
      </c>
    </row>
    <row r="1317" spans="1:15" x14ac:dyDescent="0.25">
      <c r="A1317" t="s">
        <v>1416</v>
      </c>
      <c r="B1317" t="s">
        <v>2029</v>
      </c>
      <c r="C1317" t="s">
        <v>923</v>
      </c>
      <c r="D1317" t="s">
        <v>3063</v>
      </c>
      <c r="E1317" t="s">
        <v>3053</v>
      </c>
      <c r="F1317" t="s">
        <v>361</v>
      </c>
      <c r="G1317" t="s">
        <v>362</v>
      </c>
      <c r="H1317" t="s">
        <v>11907</v>
      </c>
      <c r="I1317">
        <v>11</v>
      </c>
      <c r="J1317">
        <v>0</v>
      </c>
      <c r="K1317">
        <v>0</v>
      </c>
      <c r="L1317">
        <v>11</v>
      </c>
      <c r="M1317">
        <v>0</v>
      </c>
      <c r="N1317">
        <v>0</v>
      </c>
      <c r="O1317">
        <v>0</v>
      </c>
    </row>
    <row r="1318" spans="1:15" x14ac:dyDescent="0.25">
      <c r="A1318" t="s">
        <v>1006</v>
      </c>
      <c r="B1318" t="s">
        <v>2724</v>
      </c>
      <c r="C1318" t="s">
        <v>927</v>
      </c>
      <c r="D1318" t="s">
        <v>3052</v>
      </c>
      <c r="E1318" t="s">
        <v>3053</v>
      </c>
      <c r="F1318" t="s">
        <v>361</v>
      </c>
      <c r="G1318" t="s">
        <v>362</v>
      </c>
      <c r="H1318" t="s">
        <v>3877</v>
      </c>
      <c r="I1318">
        <v>121</v>
      </c>
      <c r="J1318">
        <v>119</v>
      </c>
      <c r="K1318">
        <v>0</v>
      </c>
      <c r="L1318">
        <v>0</v>
      </c>
      <c r="M1318">
        <v>0</v>
      </c>
      <c r="N1318">
        <v>0</v>
      </c>
      <c r="O1318">
        <v>2</v>
      </c>
    </row>
    <row r="1319" spans="1:15" x14ac:dyDescent="0.25">
      <c r="A1319" t="s">
        <v>1009</v>
      </c>
      <c r="B1319" t="s">
        <v>1958</v>
      </c>
      <c r="C1319" t="s">
        <v>923</v>
      </c>
      <c r="D1319" t="s">
        <v>3063</v>
      </c>
      <c r="E1319" t="s">
        <v>3053</v>
      </c>
      <c r="F1319" t="s">
        <v>361</v>
      </c>
      <c r="G1319" t="s">
        <v>362</v>
      </c>
      <c r="H1319" t="s">
        <v>11908</v>
      </c>
      <c r="I1319">
        <v>4</v>
      </c>
      <c r="J1319">
        <v>0</v>
      </c>
      <c r="K1319">
        <v>0</v>
      </c>
      <c r="L1319">
        <v>4</v>
      </c>
      <c r="M1319">
        <v>0</v>
      </c>
      <c r="N1319">
        <v>0</v>
      </c>
      <c r="O1319">
        <v>0</v>
      </c>
    </row>
    <row r="1320" spans="1:15" x14ac:dyDescent="0.25">
      <c r="A1320" t="s">
        <v>937</v>
      </c>
      <c r="B1320" t="s">
        <v>1962</v>
      </c>
      <c r="C1320" t="s">
        <v>927</v>
      </c>
      <c r="D1320" t="s">
        <v>3052</v>
      </c>
      <c r="E1320" t="s">
        <v>3053</v>
      </c>
      <c r="F1320" t="s">
        <v>361</v>
      </c>
      <c r="G1320" t="s">
        <v>362</v>
      </c>
      <c r="H1320" t="s">
        <v>10896</v>
      </c>
      <c r="I1320">
        <v>10</v>
      </c>
      <c r="J1320">
        <v>0</v>
      </c>
      <c r="K1320">
        <v>0</v>
      </c>
      <c r="L1320">
        <v>0</v>
      </c>
      <c r="M1320">
        <v>0</v>
      </c>
      <c r="N1320">
        <v>0</v>
      </c>
      <c r="O1320">
        <v>10</v>
      </c>
    </row>
    <row r="1321" spans="1:15" x14ac:dyDescent="0.25">
      <c r="A1321" t="s">
        <v>940</v>
      </c>
      <c r="B1321" t="s">
        <v>2647</v>
      </c>
      <c r="C1321" t="s">
        <v>927</v>
      </c>
      <c r="D1321" t="s">
        <v>3052</v>
      </c>
      <c r="E1321" t="s">
        <v>3053</v>
      </c>
      <c r="F1321" t="s">
        <v>361</v>
      </c>
      <c r="G1321" t="s">
        <v>362</v>
      </c>
      <c r="H1321" t="s">
        <v>3878</v>
      </c>
      <c r="I1321">
        <v>115</v>
      </c>
      <c r="J1321">
        <v>0</v>
      </c>
      <c r="K1321">
        <v>0</v>
      </c>
      <c r="L1321">
        <v>0</v>
      </c>
      <c r="M1321">
        <v>115</v>
      </c>
      <c r="N1321">
        <v>0</v>
      </c>
      <c r="O1321">
        <v>0</v>
      </c>
    </row>
    <row r="1322" spans="1:15" x14ac:dyDescent="0.25">
      <c r="A1322" t="s">
        <v>1013</v>
      </c>
      <c r="B1322" t="s">
        <v>1959</v>
      </c>
      <c r="C1322" t="s">
        <v>927</v>
      </c>
      <c r="D1322" t="s">
        <v>3052</v>
      </c>
      <c r="E1322" t="s">
        <v>3053</v>
      </c>
      <c r="F1322" t="s">
        <v>361</v>
      </c>
      <c r="G1322" t="s">
        <v>362</v>
      </c>
      <c r="H1322" t="s">
        <v>3879</v>
      </c>
      <c r="I1322">
        <v>12</v>
      </c>
      <c r="J1322">
        <v>0</v>
      </c>
      <c r="K1322">
        <v>0</v>
      </c>
      <c r="L1322">
        <v>12</v>
      </c>
      <c r="M1322">
        <v>0</v>
      </c>
      <c r="N1322">
        <v>0</v>
      </c>
      <c r="O1322">
        <v>0</v>
      </c>
    </row>
    <row r="1323" spans="1:15" x14ac:dyDescent="0.25">
      <c r="A1323" t="s">
        <v>1031</v>
      </c>
      <c r="B1323" t="s">
        <v>2779</v>
      </c>
      <c r="C1323" t="s">
        <v>927</v>
      </c>
      <c r="D1323" t="s">
        <v>3052</v>
      </c>
      <c r="E1323" t="s">
        <v>3053</v>
      </c>
      <c r="F1323" t="s">
        <v>361</v>
      </c>
      <c r="G1323" t="s">
        <v>362</v>
      </c>
      <c r="H1323" t="s">
        <v>3880</v>
      </c>
      <c r="I1323">
        <v>99</v>
      </c>
      <c r="J1323">
        <v>99</v>
      </c>
      <c r="K1323">
        <v>0</v>
      </c>
      <c r="L1323">
        <v>0</v>
      </c>
      <c r="M1323">
        <v>0</v>
      </c>
      <c r="N1323">
        <v>0</v>
      </c>
      <c r="O1323">
        <v>0</v>
      </c>
    </row>
    <row r="1324" spans="1:15" x14ac:dyDescent="0.25">
      <c r="A1324" t="s">
        <v>1521</v>
      </c>
      <c r="B1324" t="s">
        <v>2920</v>
      </c>
      <c r="C1324" t="s">
        <v>927</v>
      </c>
      <c r="D1324" t="s">
        <v>3052</v>
      </c>
      <c r="E1324" t="s">
        <v>3053</v>
      </c>
      <c r="F1324" t="s">
        <v>361</v>
      </c>
      <c r="G1324" t="s">
        <v>362</v>
      </c>
      <c r="H1324" t="s">
        <v>3881</v>
      </c>
      <c r="I1324">
        <v>2</v>
      </c>
      <c r="J1324">
        <v>0</v>
      </c>
      <c r="K1324">
        <v>0</v>
      </c>
      <c r="L1324">
        <v>2</v>
      </c>
      <c r="M1324">
        <v>0</v>
      </c>
      <c r="N1324">
        <v>0</v>
      </c>
      <c r="O1324">
        <v>0</v>
      </c>
    </row>
    <row r="1325" spans="1:15" x14ac:dyDescent="0.25">
      <c r="A1325" t="s">
        <v>951</v>
      </c>
      <c r="B1325" t="s">
        <v>2680</v>
      </c>
      <c r="C1325" t="s">
        <v>927</v>
      </c>
      <c r="D1325" t="s">
        <v>3052</v>
      </c>
      <c r="E1325" t="s">
        <v>3053</v>
      </c>
      <c r="F1325" t="s">
        <v>361</v>
      </c>
      <c r="G1325" t="s">
        <v>362</v>
      </c>
      <c r="H1325" t="s">
        <v>3882</v>
      </c>
      <c r="I1325">
        <v>132</v>
      </c>
      <c r="J1325">
        <v>122</v>
      </c>
      <c r="K1325">
        <v>0</v>
      </c>
      <c r="L1325">
        <v>0</v>
      </c>
      <c r="M1325">
        <v>10</v>
      </c>
      <c r="N1325">
        <v>0</v>
      </c>
      <c r="O1325">
        <v>0</v>
      </c>
    </row>
    <row r="1326" spans="1:15" x14ac:dyDescent="0.25">
      <c r="A1326" t="s">
        <v>1048</v>
      </c>
      <c r="B1326" t="s">
        <v>2989</v>
      </c>
      <c r="C1326" t="s">
        <v>927</v>
      </c>
      <c r="D1326" t="s">
        <v>3052</v>
      </c>
      <c r="E1326" t="s">
        <v>3053</v>
      </c>
      <c r="F1326" t="s">
        <v>361</v>
      </c>
      <c r="G1326" t="s">
        <v>362</v>
      </c>
      <c r="H1326" t="s">
        <v>14547</v>
      </c>
      <c r="I1326">
        <v>2</v>
      </c>
      <c r="J1326">
        <v>0</v>
      </c>
      <c r="K1326">
        <v>0</v>
      </c>
      <c r="L1326">
        <v>2</v>
      </c>
      <c r="M1326">
        <v>0</v>
      </c>
      <c r="N1326">
        <v>0</v>
      </c>
      <c r="O1326">
        <v>0</v>
      </c>
    </row>
    <row r="1327" spans="1:15" x14ac:dyDescent="0.25">
      <c r="A1327" t="s">
        <v>1051</v>
      </c>
      <c r="B1327" t="s">
        <v>2995</v>
      </c>
      <c r="C1327" t="s">
        <v>927</v>
      </c>
      <c r="D1327" t="s">
        <v>3052</v>
      </c>
      <c r="E1327" t="s">
        <v>3053</v>
      </c>
      <c r="F1327" t="s">
        <v>361</v>
      </c>
      <c r="G1327" t="s">
        <v>362</v>
      </c>
      <c r="H1327" t="s">
        <v>3883</v>
      </c>
      <c r="I1327">
        <v>13</v>
      </c>
      <c r="J1327">
        <v>1</v>
      </c>
      <c r="K1327">
        <v>0</v>
      </c>
      <c r="L1327">
        <v>11</v>
      </c>
      <c r="M1327">
        <v>0</v>
      </c>
      <c r="N1327">
        <v>0</v>
      </c>
      <c r="O1327">
        <v>1</v>
      </c>
    </row>
    <row r="1328" spans="1:15" x14ac:dyDescent="0.25">
      <c r="A1328" t="s">
        <v>1529</v>
      </c>
      <c r="B1328" t="s">
        <v>1954</v>
      </c>
      <c r="C1328" t="s">
        <v>927</v>
      </c>
      <c r="D1328" t="s">
        <v>3052</v>
      </c>
      <c r="E1328" t="s">
        <v>3053</v>
      </c>
      <c r="F1328" t="s">
        <v>361</v>
      </c>
      <c r="G1328" t="s">
        <v>362</v>
      </c>
      <c r="H1328" t="s">
        <v>3884</v>
      </c>
      <c r="I1328">
        <v>32</v>
      </c>
      <c r="J1328">
        <v>0</v>
      </c>
      <c r="K1328">
        <v>0</v>
      </c>
      <c r="L1328">
        <v>32</v>
      </c>
      <c r="M1328">
        <v>0</v>
      </c>
      <c r="N1328">
        <v>0</v>
      </c>
      <c r="O1328">
        <v>0</v>
      </c>
    </row>
    <row r="1329" spans="1:15" x14ac:dyDescent="0.25">
      <c r="A1329" t="s">
        <v>1075</v>
      </c>
      <c r="B1329" t="s">
        <v>2830</v>
      </c>
      <c r="C1329" t="s">
        <v>927</v>
      </c>
      <c r="D1329" t="s">
        <v>3052</v>
      </c>
      <c r="E1329" t="s">
        <v>3053</v>
      </c>
      <c r="F1329" t="s">
        <v>361</v>
      </c>
      <c r="G1329" t="s">
        <v>362</v>
      </c>
      <c r="H1329" t="s">
        <v>3885</v>
      </c>
      <c r="I1329">
        <v>9</v>
      </c>
      <c r="J1329">
        <v>0</v>
      </c>
      <c r="K1329">
        <v>0</v>
      </c>
      <c r="L1329">
        <v>0</v>
      </c>
      <c r="M1329">
        <v>0</v>
      </c>
      <c r="N1329">
        <v>0</v>
      </c>
      <c r="O1329">
        <v>9</v>
      </c>
    </row>
    <row r="1330" spans="1:15" x14ac:dyDescent="0.25">
      <c r="A1330" t="s">
        <v>1083</v>
      </c>
      <c r="B1330" t="s">
        <v>2757</v>
      </c>
      <c r="C1330" t="s">
        <v>927</v>
      </c>
      <c r="D1330" t="s">
        <v>3052</v>
      </c>
      <c r="E1330" t="s">
        <v>3053</v>
      </c>
      <c r="F1330" t="s">
        <v>361</v>
      </c>
      <c r="G1330" t="s">
        <v>362</v>
      </c>
      <c r="H1330" t="s">
        <v>3886</v>
      </c>
      <c r="I1330">
        <v>194</v>
      </c>
      <c r="J1330">
        <v>181</v>
      </c>
      <c r="K1330">
        <v>0</v>
      </c>
      <c r="L1330">
        <v>10</v>
      </c>
      <c r="M1330">
        <v>0</v>
      </c>
      <c r="N1330">
        <v>0</v>
      </c>
      <c r="O1330">
        <v>3</v>
      </c>
    </row>
    <row r="1331" spans="1:15" x14ac:dyDescent="0.25">
      <c r="A1331" t="s">
        <v>1016</v>
      </c>
      <c r="B1331" t="s">
        <v>2725</v>
      </c>
      <c r="C1331" t="s">
        <v>927</v>
      </c>
      <c r="D1331" t="s">
        <v>3052</v>
      </c>
      <c r="E1331" t="s">
        <v>3053</v>
      </c>
      <c r="F1331" t="s">
        <v>363</v>
      </c>
      <c r="G1331" t="s">
        <v>364</v>
      </c>
      <c r="H1331" t="s">
        <v>3897</v>
      </c>
      <c r="I1331">
        <v>83</v>
      </c>
      <c r="J1331">
        <v>0</v>
      </c>
      <c r="K1331">
        <v>0</v>
      </c>
      <c r="L1331">
        <v>0</v>
      </c>
      <c r="M1331">
        <v>83</v>
      </c>
      <c r="N1331">
        <v>0</v>
      </c>
      <c r="O1331">
        <v>0</v>
      </c>
    </row>
    <row r="1332" spans="1:15" x14ac:dyDescent="0.25">
      <c r="A1332" t="s">
        <v>974</v>
      </c>
      <c r="B1332" t="s">
        <v>2949</v>
      </c>
      <c r="C1332" t="s">
        <v>923</v>
      </c>
      <c r="D1332" t="s">
        <v>3063</v>
      </c>
      <c r="E1332" t="s">
        <v>3053</v>
      </c>
      <c r="F1332" t="s">
        <v>363</v>
      </c>
      <c r="G1332" t="s">
        <v>364</v>
      </c>
      <c r="H1332" t="s">
        <v>3887</v>
      </c>
      <c r="I1332">
        <v>59</v>
      </c>
      <c r="J1332">
        <v>0</v>
      </c>
      <c r="K1332">
        <v>0</v>
      </c>
      <c r="L1332">
        <v>59</v>
      </c>
      <c r="M1332">
        <v>0</v>
      </c>
      <c r="N1332">
        <v>0</v>
      </c>
      <c r="O1332">
        <v>0</v>
      </c>
    </row>
    <row r="1333" spans="1:15" x14ac:dyDescent="0.25">
      <c r="A1333" t="s">
        <v>1452</v>
      </c>
      <c r="B1333" t="s">
        <v>2721</v>
      </c>
      <c r="C1333" t="s">
        <v>923</v>
      </c>
      <c r="D1333" t="s">
        <v>3063</v>
      </c>
      <c r="E1333" t="s">
        <v>3053</v>
      </c>
      <c r="F1333" t="s">
        <v>363</v>
      </c>
      <c r="G1333" t="s">
        <v>364</v>
      </c>
      <c r="H1333" t="s">
        <v>3888</v>
      </c>
      <c r="I1333">
        <v>32</v>
      </c>
      <c r="J1333">
        <v>0</v>
      </c>
      <c r="K1333">
        <v>0</v>
      </c>
      <c r="L1333">
        <v>0</v>
      </c>
      <c r="M1333">
        <v>32</v>
      </c>
      <c r="N1333">
        <v>0</v>
      </c>
      <c r="O1333">
        <v>0</v>
      </c>
    </row>
    <row r="1334" spans="1:15" x14ac:dyDescent="0.25">
      <c r="A1334" t="s">
        <v>929</v>
      </c>
      <c r="B1334" t="s">
        <v>2999</v>
      </c>
      <c r="C1334" t="s">
        <v>927</v>
      </c>
      <c r="D1334" t="s">
        <v>3052</v>
      </c>
      <c r="E1334" t="s">
        <v>3053</v>
      </c>
      <c r="F1334" t="s">
        <v>363</v>
      </c>
      <c r="G1334" t="s">
        <v>364</v>
      </c>
      <c r="H1334" t="s">
        <v>3889</v>
      </c>
      <c r="I1334">
        <v>67</v>
      </c>
      <c r="J1334">
        <v>0</v>
      </c>
      <c r="K1334">
        <v>0</v>
      </c>
      <c r="L1334">
        <v>0</v>
      </c>
      <c r="M1334">
        <v>67</v>
      </c>
      <c r="N1334">
        <v>0</v>
      </c>
      <c r="O1334">
        <v>0</v>
      </c>
    </row>
    <row r="1335" spans="1:15" x14ac:dyDescent="0.25">
      <c r="A1335" t="s">
        <v>1461</v>
      </c>
      <c r="B1335" t="s">
        <v>1927</v>
      </c>
      <c r="C1335" t="s">
        <v>927</v>
      </c>
      <c r="D1335" t="s">
        <v>3052</v>
      </c>
      <c r="E1335" t="s">
        <v>3053</v>
      </c>
      <c r="F1335" t="s">
        <v>363</v>
      </c>
      <c r="G1335" t="s">
        <v>364</v>
      </c>
      <c r="H1335" t="s">
        <v>11909</v>
      </c>
      <c r="I1335">
        <v>81</v>
      </c>
      <c r="J1335">
        <v>81</v>
      </c>
      <c r="K1335">
        <v>0</v>
      </c>
      <c r="L1335">
        <v>0</v>
      </c>
      <c r="M1335">
        <v>0</v>
      </c>
      <c r="N1335">
        <v>14</v>
      </c>
      <c r="O1335">
        <v>0</v>
      </c>
    </row>
    <row r="1336" spans="1:15" x14ac:dyDescent="0.25">
      <c r="A1336" t="s">
        <v>1463</v>
      </c>
      <c r="B1336" t="s">
        <v>2846</v>
      </c>
      <c r="C1336" t="s">
        <v>927</v>
      </c>
      <c r="D1336" t="s">
        <v>3052</v>
      </c>
      <c r="E1336" t="s">
        <v>3053</v>
      </c>
      <c r="F1336" t="s">
        <v>363</v>
      </c>
      <c r="G1336" t="s">
        <v>364</v>
      </c>
      <c r="H1336" t="s">
        <v>11910</v>
      </c>
      <c r="I1336">
        <v>20</v>
      </c>
      <c r="J1336">
        <v>0</v>
      </c>
      <c r="K1336">
        <v>0</v>
      </c>
      <c r="L1336">
        <v>20</v>
      </c>
      <c r="M1336">
        <v>0</v>
      </c>
      <c r="N1336">
        <v>0</v>
      </c>
      <c r="O1336">
        <v>0</v>
      </c>
    </row>
    <row r="1337" spans="1:15" x14ac:dyDescent="0.25">
      <c r="A1337" t="s">
        <v>991</v>
      </c>
      <c r="B1337" t="s">
        <v>1976</v>
      </c>
      <c r="C1337" t="s">
        <v>923</v>
      </c>
      <c r="D1337" t="s">
        <v>3063</v>
      </c>
      <c r="E1337" t="s">
        <v>3053</v>
      </c>
      <c r="F1337" t="s">
        <v>363</v>
      </c>
      <c r="G1337" t="s">
        <v>364</v>
      </c>
      <c r="H1337" t="s">
        <v>3890</v>
      </c>
      <c r="I1337">
        <v>43</v>
      </c>
      <c r="J1337">
        <v>0</v>
      </c>
      <c r="K1337">
        <v>0</v>
      </c>
      <c r="L1337">
        <v>43</v>
      </c>
      <c r="M1337">
        <v>0</v>
      </c>
      <c r="N1337">
        <v>0</v>
      </c>
      <c r="O1337">
        <v>0</v>
      </c>
    </row>
    <row r="1338" spans="1:15" x14ac:dyDescent="0.25">
      <c r="A1338" t="s">
        <v>935</v>
      </c>
      <c r="B1338" t="s">
        <v>1960</v>
      </c>
      <c r="C1338" t="s">
        <v>923</v>
      </c>
      <c r="D1338" t="s">
        <v>3063</v>
      </c>
      <c r="E1338" t="s">
        <v>3053</v>
      </c>
      <c r="F1338" t="s">
        <v>363</v>
      </c>
      <c r="G1338" t="s">
        <v>364</v>
      </c>
      <c r="H1338" t="s">
        <v>3891</v>
      </c>
      <c r="I1338">
        <v>20</v>
      </c>
      <c r="J1338">
        <v>0</v>
      </c>
      <c r="K1338">
        <v>0</v>
      </c>
      <c r="L1338">
        <v>20</v>
      </c>
      <c r="M1338">
        <v>0</v>
      </c>
      <c r="N1338">
        <v>0</v>
      </c>
      <c r="O1338">
        <v>0</v>
      </c>
    </row>
    <row r="1339" spans="1:15" x14ac:dyDescent="0.25">
      <c r="A1339" t="s">
        <v>11660</v>
      </c>
      <c r="B1339" t="s">
        <v>2041</v>
      </c>
      <c r="C1339" t="s">
        <v>923</v>
      </c>
      <c r="D1339" t="s">
        <v>3063</v>
      </c>
      <c r="E1339" t="s">
        <v>3053</v>
      </c>
      <c r="F1339" t="s">
        <v>363</v>
      </c>
      <c r="G1339" t="s">
        <v>364</v>
      </c>
      <c r="H1339" t="s">
        <v>11911</v>
      </c>
      <c r="I1339">
        <v>25</v>
      </c>
      <c r="J1339">
        <v>0</v>
      </c>
      <c r="K1339">
        <v>0</v>
      </c>
      <c r="L1339">
        <v>25</v>
      </c>
      <c r="M1339">
        <v>0</v>
      </c>
      <c r="N1339">
        <v>0</v>
      </c>
      <c r="O1339">
        <v>0</v>
      </c>
    </row>
    <row r="1340" spans="1:15" x14ac:dyDescent="0.25">
      <c r="A1340" t="s">
        <v>10638</v>
      </c>
      <c r="B1340" t="s">
        <v>2057</v>
      </c>
      <c r="C1340" t="s">
        <v>927</v>
      </c>
      <c r="D1340" t="s">
        <v>3052</v>
      </c>
      <c r="E1340" t="s">
        <v>3053</v>
      </c>
      <c r="F1340" t="s">
        <v>363</v>
      </c>
      <c r="G1340" t="s">
        <v>364</v>
      </c>
      <c r="H1340" t="s">
        <v>10897</v>
      </c>
      <c r="I1340">
        <v>6</v>
      </c>
      <c r="J1340">
        <v>0</v>
      </c>
      <c r="K1340">
        <v>0</v>
      </c>
      <c r="L1340">
        <v>6</v>
      </c>
      <c r="M1340">
        <v>0</v>
      </c>
      <c r="N1340">
        <v>0</v>
      </c>
      <c r="O1340">
        <v>0</v>
      </c>
    </row>
    <row r="1341" spans="1:15" x14ac:dyDescent="0.25">
      <c r="A1341" t="s">
        <v>1006</v>
      </c>
      <c r="B1341" t="s">
        <v>2724</v>
      </c>
      <c r="C1341" t="s">
        <v>927</v>
      </c>
      <c r="D1341" t="s">
        <v>3052</v>
      </c>
      <c r="E1341" t="s">
        <v>3053</v>
      </c>
      <c r="F1341" t="s">
        <v>363</v>
      </c>
      <c r="G1341" t="s">
        <v>364</v>
      </c>
      <c r="H1341" t="s">
        <v>3892</v>
      </c>
      <c r="I1341">
        <v>677</v>
      </c>
      <c r="J1341">
        <v>538</v>
      </c>
      <c r="K1341">
        <v>0</v>
      </c>
      <c r="L1341">
        <v>65</v>
      </c>
      <c r="M1341">
        <v>0</v>
      </c>
      <c r="N1341">
        <v>0</v>
      </c>
      <c r="O1341">
        <v>74</v>
      </c>
    </row>
    <row r="1342" spans="1:15" x14ac:dyDescent="0.25">
      <c r="A1342" t="s">
        <v>1009</v>
      </c>
      <c r="B1342" t="s">
        <v>1958</v>
      </c>
      <c r="C1342" t="s">
        <v>923</v>
      </c>
      <c r="D1342" t="s">
        <v>3063</v>
      </c>
      <c r="E1342" t="s">
        <v>3053</v>
      </c>
      <c r="F1342" t="s">
        <v>363</v>
      </c>
      <c r="G1342" t="s">
        <v>364</v>
      </c>
      <c r="H1342" t="s">
        <v>3893</v>
      </c>
      <c r="I1342">
        <v>6</v>
      </c>
      <c r="J1342">
        <v>0</v>
      </c>
      <c r="K1342">
        <v>0</v>
      </c>
      <c r="L1342">
        <v>6</v>
      </c>
      <c r="M1342">
        <v>0</v>
      </c>
      <c r="N1342">
        <v>0</v>
      </c>
      <c r="O1342">
        <v>0</v>
      </c>
    </row>
    <row r="1343" spans="1:15" x14ac:dyDescent="0.25">
      <c r="A1343" t="s">
        <v>940</v>
      </c>
      <c r="B1343" t="s">
        <v>2647</v>
      </c>
      <c r="C1343" t="s">
        <v>927</v>
      </c>
      <c r="D1343" t="s">
        <v>3052</v>
      </c>
      <c r="E1343" t="s">
        <v>3053</v>
      </c>
      <c r="F1343" t="s">
        <v>363</v>
      </c>
      <c r="G1343" t="s">
        <v>364</v>
      </c>
      <c r="H1343" t="s">
        <v>3894</v>
      </c>
      <c r="I1343">
        <v>33</v>
      </c>
      <c r="J1343">
        <v>0</v>
      </c>
      <c r="K1343">
        <v>0</v>
      </c>
      <c r="L1343">
        <v>0</v>
      </c>
      <c r="M1343">
        <v>33</v>
      </c>
      <c r="N1343">
        <v>0</v>
      </c>
      <c r="O1343">
        <v>0</v>
      </c>
    </row>
    <row r="1344" spans="1:15" x14ac:dyDescent="0.25">
      <c r="A1344" t="s">
        <v>1013</v>
      </c>
      <c r="B1344" t="s">
        <v>1959</v>
      </c>
      <c r="C1344" t="s">
        <v>927</v>
      </c>
      <c r="D1344" t="s">
        <v>3052</v>
      </c>
      <c r="E1344" t="s">
        <v>3053</v>
      </c>
      <c r="F1344" t="s">
        <v>363</v>
      </c>
      <c r="G1344" t="s">
        <v>364</v>
      </c>
      <c r="H1344" t="s">
        <v>3895</v>
      </c>
      <c r="I1344">
        <v>20</v>
      </c>
      <c r="J1344">
        <v>0</v>
      </c>
      <c r="K1344">
        <v>0</v>
      </c>
      <c r="L1344">
        <v>20</v>
      </c>
      <c r="M1344">
        <v>0</v>
      </c>
      <c r="N1344">
        <v>0</v>
      </c>
      <c r="O1344">
        <v>0</v>
      </c>
    </row>
    <row r="1345" spans="1:15" x14ac:dyDescent="0.25">
      <c r="A1345" t="s">
        <v>1495</v>
      </c>
      <c r="B1345" t="s">
        <v>2648</v>
      </c>
      <c r="C1345" t="s">
        <v>927</v>
      </c>
      <c r="D1345" t="s">
        <v>3052</v>
      </c>
      <c r="E1345" t="s">
        <v>3053</v>
      </c>
      <c r="F1345" t="s">
        <v>363</v>
      </c>
      <c r="G1345" t="s">
        <v>364</v>
      </c>
      <c r="H1345" t="s">
        <v>3896</v>
      </c>
      <c r="I1345">
        <v>1058</v>
      </c>
      <c r="J1345">
        <v>866</v>
      </c>
      <c r="K1345">
        <v>0</v>
      </c>
      <c r="L1345">
        <v>28</v>
      </c>
      <c r="M1345">
        <v>134</v>
      </c>
      <c r="N1345">
        <v>9</v>
      </c>
      <c r="O1345">
        <v>30</v>
      </c>
    </row>
    <row r="1346" spans="1:15" x14ac:dyDescent="0.25">
      <c r="A1346" t="s">
        <v>9819</v>
      </c>
      <c r="B1346" t="s">
        <v>2916</v>
      </c>
      <c r="C1346" t="s">
        <v>927</v>
      </c>
      <c r="D1346" t="s">
        <v>3052</v>
      </c>
      <c r="E1346" t="s">
        <v>3053</v>
      </c>
      <c r="F1346" t="s">
        <v>363</v>
      </c>
      <c r="G1346" t="s">
        <v>364</v>
      </c>
      <c r="H1346" t="s">
        <v>10134</v>
      </c>
      <c r="I1346">
        <v>156</v>
      </c>
      <c r="J1346">
        <v>123</v>
      </c>
      <c r="K1346">
        <v>0</v>
      </c>
      <c r="L1346">
        <v>20</v>
      </c>
      <c r="M1346">
        <v>0</v>
      </c>
      <c r="N1346">
        <v>1</v>
      </c>
      <c r="O1346">
        <v>13</v>
      </c>
    </row>
    <row r="1347" spans="1:15" x14ac:dyDescent="0.25">
      <c r="A1347" t="s">
        <v>9820</v>
      </c>
      <c r="B1347" t="s">
        <v>3017</v>
      </c>
      <c r="C1347" t="s">
        <v>927</v>
      </c>
      <c r="D1347" t="s">
        <v>3052</v>
      </c>
      <c r="E1347" t="s">
        <v>3053</v>
      </c>
      <c r="F1347" t="s">
        <v>363</v>
      </c>
      <c r="G1347" t="s">
        <v>364</v>
      </c>
      <c r="H1347" t="s">
        <v>10898</v>
      </c>
      <c r="I1347">
        <v>36</v>
      </c>
      <c r="J1347">
        <v>36</v>
      </c>
      <c r="K1347">
        <v>0</v>
      </c>
      <c r="L1347">
        <v>0</v>
      </c>
      <c r="M1347">
        <v>0</v>
      </c>
      <c r="N1347">
        <v>0</v>
      </c>
      <c r="O1347">
        <v>0</v>
      </c>
    </row>
    <row r="1348" spans="1:15" x14ac:dyDescent="0.25">
      <c r="A1348" t="s">
        <v>1513</v>
      </c>
      <c r="B1348" t="s">
        <v>2758</v>
      </c>
      <c r="C1348" t="s">
        <v>923</v>
      </c>
      <c r="D1348" t="s">
        <v>3063</v>
      </c>
      <c r="E1348" t="s">
        <v>3053</v>
      </c>
      <c r="F1348" t="s">
        <v>363</v>
      </c>
      <c r="G1348" t="s">
        <v>364</v>
      </c>
      <c r="H1348" t="s">
        <v>10899</v>
      </c>
      <c r="I1348">
        <v>9</v>
      </c>
      <c r="J1348">
        <v>4</v>
      </c>
      <c r="K1348">
        <v>0</v>
      </c>
      <c r="L1348">
        <v>5</v>
      </c>
      <c r="M1348">
        <v>0</v>
      </c>
      <c r="N1348">
        <v>0</v>
      </c>
      <c r="O1348">
        <v>0</v>
      </c>
    </row>
    <row r="1349" spans="1:15" x14ac:dyDescent="0.25">
      <c r="A1349" t="s">
        <v>1516</v>
      </c>
      <c r="B1349" t="s">
        <v>2098</v>
      </c>
      <c r="C1349" t="s">
        <v>927</v>
      </c>
      <c r="D1349" t="s">
        <v>3052</v>
      </c>
      <c r="E1349" t="s">
        <v>3053</v>
      </c>
      <c r="F1349" t="s">
        <v>363</v>
      </c>
      <c r="G1349" t="s">
        <v>364</v>
      </c>
      <c r="H1349" t="s">
        <v>3898</v>
      </c>
      <c r="I1349">
        <v>165</v>
      </c>
      <c r="J1349">
        <v>117</v>
      </c>
      <c r="K1349">
        <v>0</v>
      </c>
      <c r="L1349">
        <v>10</v>
      </c>
      <c r="M1349">
        <v>16</v>
      </c>
      <c r="N1349">
        <v>0</v>
      </c>
      <c r="O1349">
        <v>22</v>
      </c>
    </row>
    <row r="1350" spans="1:15" x14ac:dyDescent="0.25">
      <c r="A1350" t="s">
        <v>1031</v>
      </c>
      <c r="B1350" t="s">
        <v>2779</v>
      </c>
      <c r="C1350" t="s">
        <v>927</v>
      </c>
      <c r="D1350" t="s">
        <v>3052</v>
      </c>
      <c r="E1350" t="s">
        <v>3053</v>
      </c>
      <c r="F1350" t="s">
        <v>363</v>
      </c>
      <c r="G1350" t="s">
        <v>364</v>
      </c>
      <c r="H1350" t="s">
        <v>3899</v>
      </c>
      <c r="I1350">
        <v>66</v>
      </c>
      <c r="J1350">
        <v>0</v>
      </c>
      <c r="K1350">
        <v>0</v>
      </c>
      <c r="L1350">
        <v>0</v>
      </c>
      <c r="M1350">
        <v>66</v>
      </c>
      <c r="N1350">
        <v>0</v>
      </c>
      <c r="O1350">
        <v>0</v>
      </c>
    </row>
    <row r="1351" spans="1:15" x14ac:dyDescent="0.25">
      <c r="A1351" t="s">
        <v>1521</v>
      </c>
      <c r="B1351" t="s">
        <v>2920</v>
      </c>
      <c r="C1351" t="s">
        <v>927</v>
      </c>
      <c r="D1351" t="s">
        <v>3052</v>
      </c>
      <c r="E1351" t="s">
        <v>3053</v>
      </c>
      <c r="F1351" t="s">
        <v>363</v>
      </c>
      <c r="G1351" t="s">
        <v>364</v>
      </c>
      <c r="H1351" t="s">
        <v>3900</v>
      </c>
      <c r="I1351">
        <v>1261</v>
      </c>
      <c r="J1351">
        <v>1191</v>
      </c>
      <c r="K1351">
        <v>0</v>
      </c>
      <c r="L1351">
        <v>2</v>
      </c>
      <c r="M1351">
        <v>29</v>
      </c>
      <c r="N1351">
        <v>1</v>
      </c>
      <c r="O1351">
        <v>39</v>
      </c>
    </row>
    <row r="1352" spans="1:15" x14ac:dyDescent="0.25">
      <c r="A1352" t="s">
        <v>1046</v>
      </c>
      <c r="B1352" t="s">
        <v>2027</v>
      </c>
      <c r="C1352" t="s">
        <v>923</v>
      </c>
      <c r="D1352" t="s">
        <v>3063</v>
      </c>
      <c r="E1352" t="s">
        <v>3053</v>
      </c>
      <c r="F1352" t="s">
        <v>363</v>
      </c>
      <c r="G1352" t="s">
        <v>364</v>
      </c>
      <c r="H1352" t="s">
        <v>3901</v>
      </c>
      <c r="I1352">
        <v>5</v>
      </c>
      <c r="J1352">
        <v>0</v>
      </c>
      <c r="K1352">
        <v>0</v>
      </c>
      <c r="L1352">
        <v>5</v>
      </c>
      <c r="M1352">
        <v>0</v>
      </c>
      <c r="N1352">
        <v>0</v>
      </c>
      <c r="O1352">
        <v>0</v>
      </c>
    </row>
    <row r="1353" spans="1:15" x14ac:dyDescent="0.25">
      <c r="A1353" t="s">
        <v>951</v>
      </c>
      <c r="B1353" t="s">
        <v>2680</v>
      </c>
      <c r="C1353" t="s">
        <v>927</v>
      </c>
      <c r="D1353" t="s">
        <v>3052</v>
      </c>
      <c r="E1353" t="s">
        <v>3053</v>
      </c>
      <c r="F1353" t="s">
        <v>363</v>
      </c>
      <c r="G1353" t="s">
        <v>364</v>
      </c>
      <c r="H1353" t="s">
        <v>3902</v>
      </c>
      <c r="I1353">
        <v>427</v>
      </c>
      <c r="J1353">
        <v>357</v>
      </c>
      <c r="K1353">
        <v>0</v>
      </c>
      <c r="L1353">
        <v>4</v>
      </c>
      <c r="M1353">
        <v>58</v>
      </c>
      <c r="N1353">
        <v>1</v>
      </c>
      <c r="O1353">
        <v>8</v>
      </c>
    </row>
    <row r="1354" spans="1:15" x14ac:dyDescent="0.25">
      <c r="A1354" t="s">
        <v>1048</v>
      </c>
      <c r="B1354" t="s">
        <v>2989</v>
      </c>
      <c r="C1354" t="s">
        <v>927</v>
      </c>
      <c r="D1354" t="s">
        <v>3052</v>
      </c>
      <c r="E1354" t="s">
        <v>3053</v>
      </c>
      <c r="F1354" t="s">
        <v>363</v>
      </c>
      <c r="G1354" t="s">
        <v>364</v>
      </c>
      <c r="H1354" t="s">
        <v>3903</v>
      </c>
      <c r="I1354">
        <v>30</v>
      </c>
      <c r="J1354">
        <v>0</v>
      </c>
      <c r="K1354">
        <v>0</v>
      </c>
      <c r="L1354">
        <v>30</v>
      </c>
      <c r="M1354">
        <v>0</v>
      </c>
      <c r="N1354">
        <v>0</v>
      </c>
      <c r="O1354">
        <v>0</v>
      </c>
    </row>
    <row r="1355" spans="1:15" x14ac:dyDescent="0.25">
      <c r="A1355" t="s">
        <v>11697</v>
      </c>
      <c r="B1355" t="s">
        <v>2775</v>
      </c>
      <c r="C1355" t="s">
        <v>923</v>
      </c>
      <c r="D1355" t="s">
        <v>3063</v>
      </c>
      <c r="E1355" t="s">
        <v>3053</v>
      </c>
      <c r="F1355" t="s">
        <v>363</v>
      </c>
      <c r="G1355" t="s">
        <v>364</v>
      </c>
      <c r="H1355" t="s">
        <v>11912</v>
      </c>
      <c r="I1355">
        <v>188</v>
      </c>
      <c r="J1355">
        <v>188</v>
      </c>
      <c r="K1355">
        <v>0</v>
      </c>
      <c r="L1355">
        <v>0</v>
      </c>
      <c r="M1355">
        <v>0</v>
      </c>
      <c r="N1355">
        <v>0</v>
      </c>
      <c r="O1355">
        <v>0</v>
      </c>
    </row>
    <row r="1356" spans="1:15" x14ac:dyDescent="0.25">
      <c r="A1356" t="s">
        <v>1051</v>
      </c>
      <c r="B1356" t="s">
        <v>2995</v>
      </c>
      <c r="C1356" t="s">
        <v>927</v>
      </c>
      <c r="D1356" t="s">
        <v>3052</v>
      </c>
      <c r="E1356" t="s">
        <v>3053</v>
      </c>
      <c r="F1356" t="s">
        <v>363</v>
      </c>
      <c r="G1356" t="s">
        <v>364</v>
      </c>
      <c r="H1356" t="s">
        <v>3904</v>
      </c>
      <c r="I1356">
        <v>6</v>
      </c>
      <c r="J1356">
        <v>0</v>
      </c>
      <c r="K1356">
        <v>0</v>
      </c>
      <c r="L1356">
        <v>6</v>
      </c>
      <c r="M1356">
        <v>0</v>
      </c>
      <c r="N1356">
        <v>0</v>
      </c>
      <c r="O1356">
        <v>0</v>
      </c>
    </row>
    <row r="1357" spans="1:15" x14ac:dyDescent="0.25">
      <c r="A1357" t="s">
        <v>1529</v>
      </c>
      <c r="B1357" t="s">
        <v>1954</v>
      </c>
      <c r="C1357" t="s">
        <v>927</v>
      </c>
      <c r="D1357" t="s">
        <v>3052</v>
      </c>
      <c r="E1357" t="s">
        <v>3053</v>
      </c>
      <c r="F1357" t="s">
        <v>363</v>
      </c>
      <c r="G1357" t="s">
        <v>364</v>
      </c>
      <c r="H1357" t="s">
        <v>3905</v>
      </c>
      <c r="I1357">
        <v>65</v>
      </c>
      <c r="J1357">
        <v>0</v>
      </c>
      <c r="K1357">
        <v>0</v>
      </c>
      <c r="L1357">
        <v>65</v>
      </c>
      <c r="M1357">
        <v>0</v>
      </c>
      <c r="N1357">
        <v>0</v>
      </c>
      <c r="O1357">
        <v>0</v>
      </c>
    </row>
    <row r="1358" spans="1:15" x14ac:dyDescent="0.25">
      <c r="A1358" t="s">
        <v>953</v>
      </c>
      <c r="B1358" t="s">
        <v>2014</v>
      </c>
      <c r="C1358" t="s">
        <v>927</v>
      </c>
      <c r="D1358" t="s">
        <v>3052</v>
      </c>
      <c r="E1358" t="s">
        <v>3053</v>
      </c>
      <c r="F1358" t="s">
        <v>363</v>
      </c>
      <c r="G1358" t="s">
        <v>364</v>
      </c>
      <c r="H1358" t="s">
        <v>11913</v>
      </c>
      <c r="I1358">
        <v>1</v>
      </c>
      <c r="J1358">
        <v>0</v>
      </c>
      <c r="K1358">
        <v>0</v>
      </c>
      <c r="L1358">
        <v>1</v>
      </c>
      <c r="M1358">
        <v>0</v>
      </c>
      <c r="N1358">
        <v>0</v>
      </c>
      <c r="O1358">
        <v>0</v>
      </c>
    </row>
    <row r="1359" spans="1:15" x14ac:dyDescent="0.25">
      <c r="A1359" t="s">
        <v>955</v>
      </c>
      <c r="B1359" t="s">
        <v>2660</v>
      </c>
      <c r="C1359" t="s">
        <v>927</v>
      </c>
      <c r="D1359" t="s">
        <v>3052</v>
      </c>
      <c r="E1359" t="s">
        <v>3053</v>
      </c>
      <c r="F1359" t="s">
        <v>363</v>
      </c>
      <c r="G1359" t="s">
        <v>364</v>
      </c>
      <c r="H1359" t="s">
        <v>3906</v>
      </c>
      <c r="I1359">
        <v>116</v>
      </c>
      <c r="J1359">
        <v>116</v>
      </c>
      <c r="K1359">
        <v>0</v>
      </c>
      <c r="L1359">
        <v>0</v>
      </c>
      <c r="M1359">
        <v>0</v>
      </c>
      <c r="N1359">
        <v>0</v>
      </c>
      <c r="O1359">
        <v>0</v>
      </c>
    </row>
    <row r="1360" spans="1:15" x14ac:dyDescent="0.25">
      <c r="A1360" t="s">
        <v>1535</v>
      </c>
      <c r="B1360" t="s">
        <v>1937</v>
      </c>
      <c r="C1360" t="s">
        <v>923</v>
      </c>
      <c r="D1360" t="s">
        <v>3063</v>
      </c>
      <c r="E1360" t="s">
        <v>3053</v>
      </c>
      <c r="F1360" t="s">
        <v>363</v>
      </c>
      <c r="G1360" t="s">
        <v>364</v>
      </c>
      <c r="H1360" t="s">
        <v>3907</v>
      </c>
      <c r="I1360">
        <v>149</v>
      </c>
      <c r="J1360">
        <v>109</v>
      </c>
      <c r="K1360">
        <v>0</v>
      </c>
      <c r="L1360">
        <v>0</v>
      </c>
      <c r="M1360">
        <v>40</v>
      </c>
      <c r="N1360">
        <v>0</v>
      </c>
      <c r="O1360">
        <v>0</v>
      </c>
    </row>
    <row r="1361" spans="1:15" x14ac:dyDescent="0.25">
      <c r="A1361" t="s">
        <v>1547</v>
      </c>
      <c r="B1361" t="s">
        <v>2582</v>
      </c>
      <c r="C1361" t="s">
        <v>923</v>
      </c>
      <c r="D1361" t="s">
        <v>3063</v>
      </c>
      <c r="E1361" t="s">
        <v>3053</v>
      </c>
      <c r="F1361" t="s">
        <v>363</v>
      </c>
      <c r="G1361" t="s">
        <v>364</v>
      </c>
      <c r="H1361" t="s">
        <v>3908</v>
      </c>
      <c r="I1361">
        <v>33</v>
      </c>
      <c r="J1361">
        <v>0</v>
      </c>
      <c r="K1361">
        <v>0</v>
      </c>
      <c r="L1361">
        <v>0</v>
      </c>
      <c r="M1361">
        <v>33</v>
      </c>
      <c r="N1361">
        <v>0</v>
      </c>
      <c r="O1361">
        <v>0</v>
      </c>
    </row>
    <row r="1362" spans="1:15" x14ac:dyDescent="0.25">
      <c r="A1362" t="s">
        <v>1069</v>
      </c>
      <c r="B1362" t="s">
        <v>2001</v>
      </c>
      <c r="C1362" t="s">
        <v>927</v>
      </c>
      <c r="D1362" t="s">
        <v>3052</v>
      </c>
      <c r="E1362" t="s">
        <v>3053</v>
      </c>
      <c r="F1362" t="s">
        <v>363</v>
      </c>
      <c r="G1362" t="s">
        <v>364</v>
      </c>
      <c r="H1362" t="s">
        <v>3909</v>
      </c>
      <c r="I1362">
        <v>241</v>
      </c>
      <c r="J1362">
        <v>196</v>
      </c>
      <c r="K1362">
        <v>0</v>
      </c>
      <c r="L1362">
        <v>0</v>
      </c>
      <c r="M1362">
        <v>37</v>
      </c>
      <c r="N1362">
        <v>0</v>
      </c>
      <c r="O1362">
        <v>8</v>
      </c>
    </row>
    <row r="1363" spans="1:15" x14ac:dyDescent="0.25">
      <c r="A1363" t="s">
        <v>1072</v>
      </c>
      <c r="B1363" t="s">
        <v>2907</v>
      </c>
      <c r="C1363" t="s">
        <v>927</v>
      </c>
      <c r="D1363" t="s">
        <v>3052</v>
      </c>
      <c r="E1363" t="s">
        <v>3053</v>
      </c>
      <c r="F1363" t="s">
        <v>363</v>
      </c>
      <c r="G1363" t="s">
        <v>364</v>
      </c>
      <c r="H1363" t="s">
        <v>3910</v>
      </c>
      <c r="I1363">
        <v>1</v>
      </c>
      <c r="J1363">
        <v>1</v>
      </c>
      <c r="K1363">
        <v>0</v>
      </c>
      <c r="L1363">
        <v>0</v>
      </c>
      <c r="M1363">
        <v>0</v>
      </c>
      <c r="N1363">
        <v>0</v>
      </c>
      <c r="O1363">
        <v>0</v>
      </c>
    </row>
    <row r="1364" spans="1:15" x14ac:dyDescent="0.25">
      <c r="A1364" t="s">
        <v>1194</v>
      </c>
      <c r="B1364" t="s">
        <v>2627</v>
      </c>
      <c r="C1364" t="s">
        <v>923</v>
      </c>
      <c r="D1364" t="s">
        <v>3063</v>
      </c>
      <c r="E1364" t="s">
        <v>3053</v>
      </c>
      <c r="F1364" t="s">
        <v>363</v>
      </c>
      <c r="G1364" t="s">
        <v>364</v>
      </c>
      <c r="H1364" t="s">
        <v>3911</v>
      </c>
      <c r="I1364">
        <v>26</v>
      </c>
      <c r="J1364">
        <v>0</v>
      </c>
      <c r="K1364">
        <v>0</v>
      </c>
      <c r="L1364">
        <v>26</v>
      </c>
      <c r="M1364">
        <v>0</v>
      </c>
      <c r="N1364">
        <v>0</v>
      </c>
      <c r="O1364">
        <v>0</v>
      </c>
    </row>
    <row r="1365" spans="1:15" x14ac:dyDescent="0.25">
      <c r="A1365" t="s">
        <v>1083</v>
      </c>
      <c r="B1365" t="s">
        <v>2757</v>
      </c>
      <c r="C1365" t="s">
        <v>927</v>
      </c>
      <c r="D1365" t="s">
        <v>3052</v>
      </c>
      <c r="E1365" t="s">
        <v>3053</v>
      </c>
      <c r="F1365" t="s">
        <v>363</v>
      </c>
      <c r="G1365" t="s">
        <v>364</v>
      </c>
      <c r="H1365" t="s">
        <v>3912</v>
      </c>
      <c r="I1365">
        <v>64</v>
      </c>
      <c r="J1365">
        <v>58</v>
      </c>
      <c r="K1365">
        <v>0</v>
      </c>
      <c r="L1365">
        <v>6</v>
      </c>
      <c r="M1365">
        <v>0</v>
      </c>
      <c r="N1365">
        <v>0</v>
      </c>
      <c r="O1365">
        <v>0</v>
      </c>
    </row>
    <row r="1366" spans="1:15" x14ac:dyDescent="0.25">
      <c r="A1366" t="s">
        <v>1872</v>
      </c>
      <c r="B1366" t="s">
        <v>2133</v>
      </c>
      <c r="C1366" t="s">
        <v>923</v>
      </c>
      <c r="D1366" t="s">
        <v>3063</v>
      </c>
      <c r="E1366" t="s">
        <v>3053</v>
      </c>
      <c r="F1366" t="s">
        <v>365</v>
      </c>
      <c r="G1366" t="s">
        <v>366</v>
      </c>
      <c r="H1366" t="s">
        <v>14548</v>
      </c>
      <c r="I1366">
        <v>12</v>
      </c>
      <c r="J1366">
        <v>0</v>
      </c>
      <c r="K1366">
        <v>0</v>
      </c>
      <c r="L1366">
        <v>12</v>
      </c>
      <c r="M1366">
        <v>0</v>
      </c>
      <c r="N1366">
        <v>0</v>
      </c>
      <c r="O1366">
        <v>0</v>
      </c>
    </row>
    <row r="1367" spans="1:15" x14ac:dyDescent="0.25">
      <c r="A1367" t="s">
        <v>971</v>
      </c>
      <c r="B1367" t="s">
        <v>2956</v>
      </c>
      <c r="C1367" t="s">
        <v>927</v>
      </c>
      <c r="D1367" t="s">
        <v>3052</v>
      </c>
      <c r="E1367" t="s">
        <v>3053</v>
      </c>
      <c r="F1367" t="s">
        <v>365</v>
      </c>
      <c r="G1367" t="s">
        <v>366</v>
      </c>
      <c r="H1367" t="s">
        <v>3913</v>
      </c>
      <c r="I1367">
        <v>207</v>
      </c>
      <c r="J1367">
        <v>200</v>
      </c>
      <c r="K1367">
        <v>0</v>
      </c>
      <c r="L1367">
        <v>0</v>
      </c>
      <c r="M1367">
        <v>0</v>
      </c>
      <c r="N1367">
        <v>0</v>
      </c>
      <c r="O1367">
        <v>7</v>
      </c>
    </row>
    <row r="1368" spans="1:15" x14ac:dyDescent="0.25">
      <c r="A1368" t="s">
        <v>929</v>
      </c>
      <c r="B1368" t="s">
        <v>2999</v>
      </c>
      <c r="C1368" t="s">
        <v>927</v>
      </c>
      <c r="D1368" t="s">
        <v>3052</v>
      </c>
      <c r="E1368" t="s">
        <v>3053</v>
      </c>
      <c r="F1368" t="s">
        <v>365</v>
      </c>
      <c r="G1368" t="s">
        <v>366</v>
      </c>
      <c r="H1368" t="s">
        <v>3914</v>
      </c>
      <c r="I1368">
        <v>208</v>
      </c>
      <c r="J1368">
        <v>0</v>
      </c>
      <c r="K1368">
        <v>0</v>
      </c>
      <c r="L1368">
        <v>0</v>
      </c>
      <c r="M1368">
        <v>208</v>
      </c>
      <c r="N1368">
        <v>0</v>
      </c>
      <c r="O1368">
        <v>0</v>
      </c>
    </row>
    <row r="1369" spans="1:15" x14ac:dyDescent="0.25">
      <c r="A1369" t="s">
        <v>978</v>
      </c>
      <c r="B1369" t="s">
        <v>1999</v>
      </c>
      <c r="C1369" t="s">
        <v>923</v>
      </c>
      <c r="D1369" t="s">
        <v>3063</v>
      </c>
      <c r="E1369" t="s">
        <v>3053</v>
      </c>
      <c r="F1369" t="s">
        <v>365</v>
      </c>
      <c r="G1369" t="s">
        <v>366</v>
      </c>
      <c r="H1369" t="s">
        <v>3915</v>
      </c>
      <c r="I1369">
        <v>2</v>
      </c>
      <c r="J1369">
        <v>2</v>
      </c>
      <c r="K1369">
        <v>0</v>
      </c>
      <c r="L1369">
        <v>0</v>
      </c>
      <c r="M1369">
        <v>0</v>
      </c>
      <c r="N1369">
        <v>0</v>
      </c>
      <c r="O1369">
        <v>0</v>
      </c>
    </row>
    <row r="1370" spans="1:15" x14ac:dyDescent="0.25">
      <c r="A1370" t="s">
        <v>1458</v>
      </c>
      <c r="B1370" t="s">
        <v>2024</v>
      </c>
      <c r="C1370" t="s">
        <v>923</v>
      </c>
      <c r="D1370" t="s">
        <v>3063</v>
      </c>
      <c r="E1370" t="s">
        <v>3053</v>
      </c>
      <c r="F1370" t="s">
        <v>365</v>
      </c>
      <c r="G1370" t="s">
        <v>366</v>
      </c>
      <c r="H1370" t="s">
        <v>11914</v>
      </c>
      <c r="I1370">
        <v>1</v>
      </c>
      <c r="J1370">
        <v>1</v>
      </c>
      <c r="K1370">
        <v>0</v>
      </c>
      <c r="L1370">
        <v>0</v>
      </c>
      <c r="M1370">
        <v>0</v>
      </c>
      <c r="N1370">
        <v>0</v>
      </c>
      <c r="O1370">
        <v>0</v>
      </c>
    </row>
    <row r="1371" spans="1:15" x14ac:dyDescent="0.25">
      <c r="A1371" t="s">
        <v>9784</v>
      </c>
      <c r="B1371" t="s">
        <v>1994</v>
      </c>
      <c r="C1371" t="s">
        <v>927</v>
      </c>
      <c r="D1371" t="s">
        <v>3052</v>
      </c>
      <c r="E1371" t="s">
        <v>3053</v>
      </c>
      <c r="F1371" t="s">
        <v>365</v>
      </c>
      <c r="G1371" t="s">
        <v>366</v>
      </c>
      <c r="H1371" t="s">
        <v>9923</v>
      </c>
      <c r="I1371">
        <v>11</v>
      </c>
      <c r="J1371">
        <v>0</v>
      </c>
      <c r="K1371">
        <v>0</v>
      </c>
      <c r="L1371">
        <v>11</v>
      </c>
      <c r="M1371">
        <v>0</v>
      </c>
      <c r="N1371">
        <v>0</v>
      </c>
      <c r="O1371">
        <v>0</v>
      </c>
    </row>
    <row r="1372" spans="1:15" x14ac:dyDescent="0.25">
      <c r="A1372" t="s">
        <v>1875</v>
      </c>
      <c r="B1372" t="s">
        <v>2120</v>
      </c>
      <c r="C1372" t="s">
        <v>923</v>
      </c>
      <c r="D1372" t="s">
        <v>3063</v>
      </c>
      <c r="E1372" t="s">
        <v>3053</v>
      </c>
      <c r="F1372" t="s">
        <v>365</v>
      </c>
      <c r="G1372" t="s">
        <v>366</v>
      </c>
      <c r="H1372" t="s">
        <v>3916</v>
      </c>
      <c r="I1372">
        <v>6</v>
      </c>
      <c r="J1372">
        <v>6</v>
      </c>
      <c r="K1372">
        <v>0</v>
      </c>
      <c r="L1372">
        <v>0</v>
      </c>
      <c r="M1372">
        <v>0</v>
      </c>
      <c r="N1372">
        <v>0</v>
      </c>
      <c r="O1372">
        <v>0</v>
      </c>
    </row>
    <row r="1373" spans="1:15" x14ac:dyDescent="0.25">
      <c r="A1373" t="s">
        <v>1876</v>
      </c>
      <c r="B1373" t="s">
        <v>2303</v>
      </c>
      <c r="C1373" t="s">
        <v>923</v>
      </c>
      <c r="D1373" t="s">
        <v>3063</v>
      </c>
      <c r="E1373" t="s">
        <v>3053</v>
      </c>
      <c r="F1373" t="s">
        <v>365</v>
      </c>
      <c r="G1373" t="s">
        <v>366</v>
      </c>
      <c r="H1373" t="s">
        <v>3917</v>
      </c>
      <c r="I1373">
        <v>4</v>
      </c>
      <c r="J1373">
        <v>0</v>
      </c>
      <c r="K1373">
        <v>0</v>
      </c>
      <c r="L1373">
        <v>0</v>
      </c>
      <c r="M1373">
        <v>4</v>
      </c>
      <c r="N1373">
        <v>0</v>
      </c>
      <c r="O1373">
        <v>0</v>
      </c>
    </row>
    <row r="1374" spans="1:15" x14ac:dyDescent="0.25">
      <c r="A1374" t="s">
        <v>1877</v>
      </c>
      <c r="B1374" t="s">
        <v>2070</v>
      </c>
      <c r="C1374" t="s">
        <v>923</v>
      </c>
      <c r="D1374" t="s">
        <v>3063</v>
      </c>
      <c r="E1374" t="s">
        <v>3053</v>
      </c>
      <c r="F1374" t="s">
        <v>365</v>
      </c>
      <c r="G1374" t="s">
        <v>366</v>
      </c>
      <c r="H1374" t="s">
        <v>3918</v>
      </c>
      <c r="I1374">
        <v>75</v>
      </c>
      <c r="J1374">
        <v>0</v>
      </c>
      <c r="K1374">
        <v>0</v>
      </c>
      <c r="L1374">
        <v>75</v>
      </c>
      <c r="M1374">
        <v>0</v>
      </c>
      <c r="N1374">
        <v>0</v>
      </c>
      <c r="O1374">
        <v>0</v>
      </c>
    </row>
    <row r="1375" spans="1:15" x14ac:dyDescent="0.25">
      <c r="A1375" t="s">
        <v>1879</v>
      </c>
      <c r="B1375" t="s">
        <v>2783</v>
      </c>
      <c r="C1375" t="s">
        <v>927</v>
      </c>
      <c r="D1375" t="s">
        <v>3052</v>
      </c>
      <c r="E1375" t="s">
        <v>3053</v>
      </c>
      <c r="F1375" t="s">
        <v>365</v>
      </c>
      <c r="G1375" t="s">
        <v>366</v>
      </c>
      <c r="H1375" t="s">
        <v>3919</v>
      </c>
      <c r="I1375">
        <v>208</v>
      </c>
      <c r="J1375">
        <v>136</v>
      </c>
      <c r="K1375">
        <v>0</v>
      </c>
      <c r="L1375">
        <v>0</v>
      </c>
      <c r="M1375">
        <v>70</v>
      </c>
      <c r="N1375">
        <v>13</v>
      </c>
      <c r="O1375">
        <v>2</v>
      </c>
    </row>
    <row r="1376" spans="1:15" x14ac:dyDescent="0.25">
      <c r="A1376" t="s">
        <v>991</v>
      </c>
      <c r="B1376" t="s">
        <v>1976</v>
      </c>
      <c r="C1376" t="s">
        <v>923</v>
      </c>
      <c r="D1376" t="s">
        <v>3063</v>
      </c>
      <c r="E1376" t="s">
        <v>3053</v>
      </c>
      <c r="F1376" t="s">
        <v>365</v>
      </c>
      <c r="G1376" t="s">
        <v>366</v>
      </c>
      <c r="H1376" t="s">
        <v>3920</v>
      </c>
      <c r="I1376">
        <v>7</v>
      </c>
      <c r="J1376">
        <v>0</v>
      </c>
      <c r="K1376">
        <v>0</v>
      </c>
      <c r="L1376">
        <v>7</v>
      </c>
      <c r="M1376">
        <v>0</v>
      </c>
      <c r="N1376">
        <v>0</v>
      </c>
      <c r="O1376">
        <v>0</v>
      </c>
    </row>
    <row r="1377" spans="1:15" x14ac:dyDescent="0.25">
      <c r="A1377" t="s">
        <v>1884</v>
      </c>
      <c r="B1377" t="s">
        <v>2178</v>
      </c>
      <c r="C1377" t="s">
        <v>923</v>
      </c>
      <c r="D1377" t="s">
        <v>3063</v>
      </c>
      <c r="E1377" t="s">
        <v>3053</v>
      </c>
      <c r="F1377" t="s">
        <v>365</v>
      </c>
      <c r="G1377" t="s">
        <v>366</v>
      </c>
      <c r="H1377" t="s">
        <v>3921</v>
      </c>
      <c r="I1377">
        <v>21</v>
      </c>
      <c r="J1377">
        <v>21</v>
      </c>
      <c r="K1377">
        <v>0</v>
      </c>
      <c r="L1377">
        <v>0</v>
      </c>
      <c r="M1377">
        <v>0</v>
      </c>
      <c r="N1377">
        <v>0</v>
      </c>
      <c r="O1377">
        <v>0</v>
      </c>
    </row>
    <row r="1378" spans="1:15" x14ac:dyDescent="0.25">
      <c r="A1378" t="s">
        <v>10638</v>
      </c>
      <c r="B1378" t="s">
        <v>2057</v>
      </c>
      <c r="C1378" t="s">
        <v>927</v>
      </c>
      <c r="D1378" t="s">
        <v>3052</v>
      </c>
      <c r="E1378" t="s">
        <v>3053</v>
      </c>
      <c r="F1378" t="s">
        <v>365</v>
      </c>
      <c r="G1378" t="s">
        <v>366</v>
      </c>
      <c r="H1378" t="s">
        <v>10900</v>
      </c>
      <c r="I1378">
        <v>34</v>
      </c>
      <c r="J1378">
        <v>0</v>
      </c>
      <c r="K1378">
        <v>0</v>
      </c>
      <c r="L1378">
        <v>34</v>
      </c>
      <c r="M1378">
        <v>0</v>
      </c>
      <c r="N1378">
        <v>0</v>
      </c>
      <c r="O1378">
        <v>0</v>
      </c>
    </row>
    <row r="1379" spans="1:15" x14ac:dyDescent="0.25">
      <c r="A1379" t="s">
        <v>937</v>
      </c>
      <c r="B1379" t="s">
        <v>1962</v>
      </c>
      <c r="C1379" t="s">
        <v>927</v>
      </c>
      <c r="D1379" t="s">
        <v>3052</v>
      </c>
      <c r="E1379" t="s">
        <v>3053</v>
      </c>
      <c r="F1379" t="s">
        <v>365</v>
      </c>
      <c r="G1379" t="s">
        <v>366</v>
      </c>
      <c r="H1379" t="s">
        <v>3922</v>
      </c>
      <c r="I1379">
        <v>8</v>
      </c>
      <c r="J1379">
        <v>0</v>
      </c>
      <c r="K1379">
        <v>0</v>
      </c>
      <c r="L1379">
        <v>0</v>
      </c>
      <c r="M1379">
        <v>0</v>
      </c>
      <c r="N1379">
        <v>0</v>
      </c>
      <c r="O1379">
        <v>8</v>
      </c>
    </row>
    <row r="1380" spans="1:15" x14ac:dyDescent="0.25">
      <c r="A1380" t="s">
        <v>1891</v>
      </c>
      <c r="B1380" t="s">
        <v>2034</v>
      </c>
      <c r="C1380" t="s">
        <v>923</v>
      </c>
      <c r="D1380" t="s">
        <v>3063</v>
      </c>
      <c r="E1380" t="s">
        <v>3053</v>
      </c>
      <c r="F1380" t="s">
        <v>365</v>
      </c>
      <c r="G1380" t="s">
        <v>366</v>
      </c>
      <c r="H1380" t="s">
        <v>3923</v>
      </c>
      <c r="I1380">
        <v>61</v>
      </c>
      <c r="J1380">
        <v>0</v>
      </c>
      <c r="K1380">
        <v>0</v>
      </c>
      <c r="L1380">
        <v>61</v>
      </c>
      <c r="M1380">
        <v>0</v>
      </c>
      <c r="N1380">
        <v>0</v>
      </c>
      <c r="O1380">
        <v>0</v>
      </c>
    </row>
    <row r="1381" spans="1:15" x14ac:dyDescent="0.25">
      <c r="A1381" t="s">
        <v>1011</v>
      </c>
      <c r="B1381" t="s">
        <v>2020</v>
      </c>
      <c r="C1381" t="s">
        <v>927</v>
      </c>
      <c r="D1381" t="s">
        <v>3052</v>
      </c>
      <c r="E1381" t="s">
        <v>3053</v>
      </c>
      <c r="F1381" t="s">
        <v>365</v>
      </c>
      <c r="G1381" t="s">
        <v>366</v>
      </c>
      <c r="H1381" t="s">
        <v>3924</v>
      </c>
      <c r="I1381">
        <v>24</v>
      </c>
      <c r="J1381">
        <v>0</v>
      </c>
      <c r="K1381">
        <v>0</v>
      </c>
      <c r="L1381">
        <v>24</v>
      </c>
      <c r="M1381">
        <v>0</v>
      </c>
      <c r="N1381">
        <v>0</v>
      </c>
      <c r="O1381">
        <v>0</v>
      </c>
    </row>
    <row r="1382" spans="1:15" x14ac:dyDescent="0.25">
      <c r="A1382" t="s">
        <v>938</v>
      </c>
      <c r="B1382" t="s">
        <v>2791</v>
      </c>
      <c r="C1382" t="s">
        <v>927</v>
      </c>
      <c r="D1382" t="s">
        <v>3052</v>
      </c>
      <c r="E1382" t="s">
        <v>3053</v>
      </c>
      <c r="F1382" t="s">
        <v>365</v>
      </c>
      <c r="G1382" t="s">
        <v>366</v>
      </c>
      <c r="H1382" t="s">
        <v>3925</v>
      </c>
      <c r="I1382">
        <v>573</v>
      </c>
      <c r="J1382">
        <v>485</v>
      </c>
      <c r="K1382">
        <v>0</v>
      </c>
      <c r="L1382">
        <v>83</v>
      </c>
      <c r="M1382">
        <v>0</v>
      </c>
      <c r="N1382">
        <v>1</v>
      </c>
      <c r="O1382">
        <v>5</v>
      </c>
    </row>
    <row r="1383" spans="1:15" x14ac:dyDescent="0.25">
      <c r="A1383" t="s">
        <v>940</v>
      </c>
      <c r="B1383" t="s">
        <v>2647</v>
      </c>
      <c r="C1383" t="s">
        <v>927</v>
      </c>
      <c r="D1383" t="s">
        <v>3052</v>
      </c>
      <c r="E1383" t="s">
        <v>3053</v>
      </c>
      <c r="F1383" t="s">
        <v>365</v>
      </c>
      <c r="G1383" t="s">
        <v>366</v>
      </c>
      <c r="H1383" t="s">
        <v>3926</v>
      </c>
      <c r="I1383">
        <v>131</v>
      </c>
      <c r="J1383">
        <v>0</v>
      </c>
      <c r="K1383">
        <v>0</v>
      </c>
      <c r="L1383">
        <v>0</v>
      </c>
      <c r="M1383">
        <v>131</v>
      </c>
      <c r="N1383">
        <v>0</v>
      </c>
      <c r="O1383">
        <v>0</v>
      </c>
    </row>
    <row r="1384" spans="1:15" x14ac:dyDescent="0.25">
      <c r="A1384" t="s">
        <v>1423</v>
      </c>
      <c r="B1384" t="s">
        <v>2071</v>
      </c>
      <c r="C1384" t="s">
        <v>923</v>
      </c>
      <c r="D1384" t="s">
        <v>3063</v>
      </c>
      <c r="E1384" t="s">
        <v>3053</v>
      </c>
      <c r="F1384" t="s">
        <v>365</v>
      </c>
      <c r="G1384" t="s">
        <v>366</v>
      </c>
      <c r="H1384" t="s">
        <v>3927</v>
      </c>
      <c r="I1384">
        <v>5</v>
      </c>
      <c r="J1384">
        <v>0</v>
      </c>
      <c r="K1384">
        <v>0</v>
      </c>
      <c r="L1384">
        <v>5</v>
      </c>
      <c r="M1384">
        <v>0</v>
      </c>
      <c r="N1384">
        <v>0</v>
      </c>
      <c r="O1384">
        <v>0</v>
      </c>
    </row>
    <row r="1385" spans="1:15" x14ac:dyDescent="0.25">
      <c r="A1385" t="s">
        <v>1013</v>
      </c>
      <c r="B1385" t="s">
        <v>1959</v>
      </c>
      <c r="C1385" t="s">
        <v>927</v>
      </c>
      <c r="D1385" t="s">
        <v>3052</v>
      </c>
      <c r="E1385" t="s">
        <v>3053</v>
      </c>
      <c r="F1385" t="s">
        <v>365</v>
      </c>
      <c r="G1385" t="s">
        <v>366</v>
      </c>
      <c r="H1385" t="s">
        <v>3928</v>
      </c>
      <c r="I1385">
        <v>43</v>
      </c>
      <c r="J1385">
        <v>0</v>
      </c>
      <c r="K1385">
        <v>0</v>
      </c>
      <c r="L1385">
        <v>43</v>
      </c>
      <c r="M1385">
        <v>0</v>
      </c>
      <c r="N1385">
        <v>0</v>
      </c>
      <c r="O1385">
        <v>0</v>
      </c>
    </row>
    <row r="1386" spans="1:15" x14ac:dyDescent="0.25">
      <c r="A1386" t="s">
        <v>1899</v>
      </c>
      <c r="B1386" t="s">
        <v>2196</v>
      </c>
      <c r="C1386" t="s">
        <v>923</v>
      </c>
      <c r="D1386" t="s">
        <v>3063</v>
      </c>
      <c r="E1386" t="s">
        <v>3053</v>
      </c>
      <c r="F1386" t="s">
        <v>365</v>
      </c>
      <c r="G1386" t="s">
        <v>366</v>
      </c>
      <c r="H1386" t="s">
        <v>3929</v>
      </c>
      <c r="I1386">
        <v>32</v>
      </c>
      <c r="J1386">
        <v>0</v>
      </c>
      <c r="K1386">
        <v>0</v>
      </c>
      <c r="L1386">
        <v>0</v>
      </c>
      <c r="M1386">
        <v>32</v>
      </c>
      <c r="N1386">
        <v>0</v>
      </c>
      <c r="O1386">
        <v>0</v>
      </c>
    </row>
    <row r="1387" spans="1:15" x14ac:dyDescent="0.25">
      <c r="A1387" t="s">
        <v>1516</v>
      </c>
      <c r="B1387" t="s">
        <v>2098</v>
      </c>
      <c r="C1387" t="s">
        <v>927</v>
      </c>
      <c r="D1387" t="s">
        <v>3052</v>
      </c>
      <c r="E1387" t="s">
        <v>3053</v>
      </c>
      <c r="F1387" t="s">
        <v>365</v>
      </c>
      <c r="G1387" t="s">
        <v>366</v>
      </c>
      <c r="H1387" t="s">
        <v>3930</v>
      </c>
      <c r="I1387">
        <v>158</v>
      </c>
      <c r="J1387">
        <v>119</v>
      </c>
      <c r="K1387">
        <v>0</v>
      </c>
      <c r="L1387">
        <v>26</v>
      </c>
      <c r="M1387">
        <v>0</v>
      </c>
      <c r="N1387">
        <v>0</v>
      </c>
      <c r="O1387">
        <v>13</v>
      </c>
    </row>
    <row r="1388" spans="1:15" x14ac:dyDescent="0.25">
      <c r="A1388" t="s">
        <v>951</v>
      </c>
      <c r="B1388" t="s">
        <v>2680</v>
      </c>
      <c r="C1388" t="s">
        <v>927</v>
      </c>
      <c r="D1388" t="s">
        <v>3052</v>
      </c>
      <c r="E1388" t="s">
        <v>3053</v>
      </c>
      <c r="F1388" t="s">
        <v>365</v>
      </c>
      <c r="G1388" t="s">
        <v>366</v>
      </c>
      <c r="H1388" t="s">
        <v>3931</v>
      </c>
      <c r="I1388">
        <v>519</v>
      </c>
      <c r="J1388">
        <v>342</v>
      </c>
      <c r="K1388">
        <v>0</v>
      </c>
      <c r="L1388">
        <v>0</v>
      </c>
      <c r="M1388">
        <v>104</v>
      </c>
      <c r="N1388">
        <v>0</v>
      </c>
      <c r="O1388">
        <v>73</v>
      </c>
    </row>
    <row r="1389" spans="1:15" x14ac:dyDescent="0.25">
      <c r="A1389" t="s">
        <v>1048</v>
      </c>
      <c r="B1389" t="s">
        <v>2989</v>
      </c>
      <c r="C1389" t="s">
        <v>927</v>
      </c>
      <c r="D1389" t="s">
        <v>3052</v>
      </c>
      <c r="E1389" t="s">
        <v>3053</v>
      </c>
      <c r="F1389" t="s">
        <v>365</v>
      </c>
      <c r="G1389" t="s">
        <v>366</v>
      </c>
      <c r="H1389" t="s">
        <v>3932</v>
      </c>
      <c r="I1389">
        <v>29</v>
      </c>
      <c r="J1389">
        <v>0</v>
      </c>
      <c r="K1389">
        <v>0</v>
      </c>
      <c r="L1389">
        <v>29</v>
      </c>
      <c r="M1389">
        <v>0</v>
      </c>
      <c r="N1389">
        <v>0</v>
      </c>
      <c r="O1389">
        <v>0</v>
      </c>
    </row>
    <row r="1390" spans="1:15" x14ac:dyDescent="0.25">
      <c r="A1390" t="s">
        <v>1057</v>
      </c>
      <c r="B1390" t="s">
        <v>1972</v>
      </c>
      <c r="C1390" t="s">
        <v>927</v>
      </c>
      <c r="D1390" t="s">
        <v>3052</v>
      </c>
      <c r="E1390" t="s">
        <v>3053</v>
      </c>
      <c r="F1390" t="s">
        <v>365</v>
      </c>
      <c r="G1390" t="s">
        <v>366</v>
      </c>
      <c r="H1390" t="s">
        <v>10395</v>
      </c>
      <c r="I1390">
        <v>5</v>
      </c>
      <c r="J1390">
        <v>0</v>
      </c>
      <c r="K1390">
        <v>0</v>
      </c>
      <c r="L1390">
        <v>5</v>
      </c>
      <c r="M1390">
        <v>0</v>
      </c>
      <c r="N1390">
        <v>0</v>
      </c>
      <c r="O1390">
        <v>0</v>
      </c>
    </row>
    <row r="1391" spans="1:15" x14ac:dyDescent="0.25">
      <c r="A1391" t="s">
        <v>955</v>
      </c>
      <c r="B1391" t="s">
        <v>2660</v>
      </c>
      <c r="C1391" t="s">
        <v>927</v>
      </c>
      <c r="D1391" t="s">
        <v>3052</v>
      </c>
      <c r="E1391" t="s">
        <v>3053</v>
      </c>
      <c r="F1391" t="s">
        <v>365</v>
      </c>
      <c r="G1391" t="s">
        <v>366</v>
      </c>
      <c r="H1391" t="s">
        <v>3933</v>
      </c>
      <c r="I1391">
        <v>482</v>
      </c>
      <c r="J1391">
        <v>436</v>
      </c>
      <c r="K1391">
        <v>0</v>
      </c>
      <c r="L1391">
        <v>6</v>
      </c>
      <c r="M1391">
        <v>25</v>
      </c>
      <c r="N1391">
        <v>4</v>
      </c>
      <c r="O1391">
        <v>15</v>
      </c>
    </row>
    <row r="1392" spans="1:15" x14ac:dyDescent="0.25">
      <c r="A1392" t="s">
        <v>962</v>
      </c>
      <c r="B1392" t="s">
        <v>2752</v>
      </c>
      <c r="C1392" t="s">
        <v>927</v>
      </c>
      <c r="D1392" t="s">
        <v>3052</v>
      </c>
      <c r="E1392" t="s">
        <v>3053</v>
      </c>
      <c r="F1392" t="s">
        <v>365</v>
      </c>
      <c r="G1392" t="s">
        <v>366</v>
      </c>
      <c r="H1392" t="s">
        <v>10435</v>
      </c>
      <c r="I1392">
        <v>576</v>
      </c>
      <c r="J1392">
        <v>486</v>
      </c>
      <c r="K1392">
        <v>0</v>
      </c>
      <c r="L1392">
        <v>29</v>
      </c>
      <c r="M1392">
        <v>56</v>
      </c>
      <c r="N1392">
        <v>0</v>
      </c>
      <c r="O1392">
        <v>5</v>
      </c>
    </row>
    <row r="1393" spans="1:15" x14ac:dyDescent="0.25">
      <c r="A1393" t="s">
        <v>1066</v>
      </c>
      <c r="B1393" t="s">
        <v>2557</v>
      </c>
      <c r="C1393" t="s">
        <v>927</v>
      </c>
      <c r="D1393" t="s">
        <v>3052</v>
      </c>
      <c r="E1393" t="s">
        <v>3053</v>
      </c>
      <c r="F1393" t="s">
        <v>365</v>
      </c>
      <c r="G1393" t="s">
        <v>366</v>
      </c>
      <c r="H1393" t="s">
        <v>11915</v>
      </c>
      <c r="I1393">
        <v>30</v>
      </c>
      <c r="J1393">
        <v>0</v>
      </c>
      <c r="K1393">
        <v>0</v>
      </c>
      <c r="L1393">
        <v>0</v>
      </c>
      <c r="M1393">
        <v>22</v>
      </c>
      <c r="N1393">
        <v>0</v>
      </c>
      <c r="O1393">
        <v>8</v>
      </c>
    </row>
    <row r="1394" spans="1:15" x14ac:dyDescent="0.25">
      <c r="A1394" t="s">
        <v>1069</v>
      </c>
      <c r="B1394" t="s">
        <v>2001</v>
      </c>
      <c r="C1394" t="s">
        <v>927</v>
      </c>
      <c r="D1394" t="s">
        <v>3052</v>
      </c>
      <c r="E1394" t="s">
        <v>3053</v>
      </c>
      <c r="F1394" t="s">
        <v>365</v>
      </c>
      <c r="G1394" t="s">
        <v>366</v>
      </c>
      <c r="H1394" t="s">
        <v>3934</v>
      </c>
      <c r="I1394">
        <v>1</v>
      </c>
      <c r="J1394">
        <v>0</v>
      </c>
      <c r="K1394">
        <v>0</v>
      </c>
      <c r="L1394">
        <v>0</v>
      </c>
      <c r="M1394">
        <v>0</v>
      </c>
      <c r="N1394">
        <v>0</v>
      </c>
      <c r="O1394">
        <v>1</v>
      </c>
    </row>
    <row r="1395" spans="1:15" x14ac:dyDescent="0.25">
      <c r="A1395" t="s">
        <v>1072</v>
      </c>
      <c r="B1395" t="s">
        <v>2907</v>
      </c>
      <c r="C1395" t="s">
        <v>927</v>
      </c>
      <c r="D1395" t="s">
        <v>3052</v>
      </c>
      <c r="E1395" t="s">
        <v>3053</v>
      </c>
      <c r="F1395" t="s">
        <v>365</v>
      </c>
      <c r="G1395" t="s">
        <v>366</v>
      </c>
      <c r="H1395" t="s">
        <v>3935</v>
      </c>
      <c r="I1395">
        <v>19</v>
      </c>
      <c r="J1395">
        <v>0</v>
      </c>
      <c r="K1395">
        <v>0</v>
      </c>
      <c r="L1395">
        <v>0</v>
      </c>
      <c r="M1395">
        <v>19</v>
      </c>
      <c r="N1395">
        <v>0</v>
      </c>
      <c r="O1395">
        <v>0</v>
      </c>
    </row>
    <row r="1396" spans="1:15" x14ac:dyDescent="0.25">
      <c r="A1396" t="s">
        <v>9883</v>
      </c>
      <c r="B1396" t="s">
        <v>2351</v>
      </c>
      <c r="C1396" t="s">
        <v>923</v>
      </c>
      <c r="D1396" t="s">
        <v>3063</v>
      </c>
      <c r="E1396" t="s">
        <v>3053</v>
      </c>
      <c r="F1396" t="s">
        <v>365</v>
      </c>
      <c r="G1396" t="s">
        <v>366</v>
      </c>
      <c r="H1396" t="s">
        <v>10497</v>
      </c>
      <c r="I1396">
        <v>4</v>
      </c>
      <c r="J1396">
        <v>0</v>
      </c>
      <c r="K1396">
        <v>0</v>
      </c>
      <c r="L1396">
        <v>0</v>
      </c>
      <c r="M1396">
        <v>4</v>
      </c>
      <c r="N1396">
        <v>0</v>
      </c>
      <c r="O1396">
        <v>0</v>
      </c>
    </row>
    <row r="1397" spans="1:15" x14ac:dyDescent="0.25">
      <c r="A1397" t="s">
        <v>1075</v>
      </c>
      <c r="B1397" t="s">
        <v>2830</v>
      </c>
      <c r="C1397" t="s">
        <v>927</v>
      </c>
      <c r="D1397" t="s">
        <v>3052</v>
      </c>
      <c r="E1397" t="s">
        <v>3053</v>
      </c>
      <c r="F1397" t="s">
        <v>365</v>
      </c>
      <c r="G1397" t="s">
        <v>366</v>
      </c>
      <c r="H1397" t="s">
        <v>3936</v>
      </c>
      <c r="I1397">
        <v>10226</v>
      </c>
      <c r="J1397">
        <v>9953</v>
      </c>
      <c r="K1397">
        <v>0</v>
      </c>
      <c r="L1397">
        <v>42</v>
      </c>
      <c r="M1397">
        <v>120</v>
      </c>
      <c r="N1397">
        <v>6</v>
      </c>
      <c r="O1397">
        <v>111</v>
      </c>
    </row>
    <row r="1398" spans="1:15" x14ac:dyDescent="0.25">
      <c r="A1398" t="s">
        <v>1563</v>
      </c>
      <c r="B1398" t="s">
        <v>2895</v>
      </c>
      <c r="C1398" t="s">
        <v>927</v>
      </c>
      <c r="D1398" t="s">
        <v>3052</v>
      </c>
      <c r="E1398" t="s">
        <v>3053</v>
      </c>
      <c r="F1398" t="s">
        <v>365</v>
      </c>
      <c r="G1398" t="s">
        <v>366</v>
      </c>
      <c r="H1398" t="s">
        <v>3937</v>
      </c>
      <c r="I1398">
        <v>589</v>
      </c>
      <c r="J1398">
        <v>505</v>
      </c>
      <c r="K1398">
        <v>0</v>
      </c>
      <c r="L1398">
        <v>0</v>
      </c>
      <c r="M1398">
        <v>51</v>
      </c>
      <c r="N1398">
        <v>0</v>
      </c>
      <c r="O1398">
        <v>33</v>
      </c>
    </row>
    <row r="1399" spans="1:15" x14ac:dyDescent="0.25">
      <c r="A1399" t="s">
        <v>1083</v>
      </c>
      <c r="B1399" t="s">
        <v>2757</v>
      </c>
      <c r="C1399" t="s">
        <v>927</v>
      </c>
      <c r="D1399" t="s">
        <v>3052</v>
      </c>
      <c r="E1399" t="s">
        <v>3053</v>
      </c>
      <c r="F1399" t="s">
        <v>365</v>
      </c>
      <c r="G1399" t="s">
        <v>366</v>
      </c>
      <c r="H1399" t="s">
        <v>3938</v>
      </c>
      <c r="I1399">
        <v>63</v>
      </c>
      <c r="J1399">
        <v>10</v>
      </c>
      <c r="K1399">
        <v>0</v>
      </c>
      <c r="L1399">
        <v>0</v>
      </c>
      <c r="M1399">
        <v>52</v>
      </c>
      <c r="N1399">
        <v>0</v>
      </c>
      <c r="O1399">
        <v>1</v>
      </c>
    </row>
    <row r="1400" spans="1:15" x14ac:dyDescent="0.25">
      <c r="A1400" t="s">
        <v>929</v>
      </c>
      <c r="B1400" t="s">
        <v>2999</v>
      </c>
      <c r="C1400" t="s">
        <v>927</v>
      </c>
      <c r="D1400" t="s">
        <v>3052</v>
      </c>
      <c r="E1400" t="s">
        <v>3053</v>
      </c>
      <c r="F1400" t="s">
        <v>367</v>
      </c>
      <c r="G1400" t="s">
        <v>368</v>
      </c>
      <c r="H1400" t="s">
        <v>3939</v>
      </c>
      <c r="I1400">
        <v>71</v>
      </c>
      <c r="J1400">
        <v>0</v>
      </c>
      <c r="K1400">
        <v>0</v>
      </c>
      <c r="L1400">
        <v>0</v>
      </c>
      <c r="M1400">
        <v>71</v>
      </c>
      <c r="N1400">
        <v>0</v>
      </c>
      <c r="O1400">
        <v>0</v>
      </c>
    </row>
    <row r="1401" spans="1:15" x14ac:dyDescent="0.25">
      <c r="A1401" t="s">
        <v>1086</v>
      </c>
      <c r="B1401" t="s">
        <v>2363</v>
      </c>
      <c r="C1401" t="s">
        <v>923</v>
      </c>
      <c r="D1401" t="s">
        <v>3063</v>
      </c>
      <c r="E1401" t="s">
        <v>3053</v>
      </c>
      <c r="F1401" t="s">
        <v>367</v>
      </c>
      <c r="G1401" t="s">
        <v>368</v>
      </c>
      <c r="H1401" t="s">
        <v>3940</v>
      </c>
      <c r="I1401">
        <v>84</v>
      </c>
      <c r="J1401">
        <v>9</v>
      </c>
      <c r="K1401">
        <v>75</v>
      </c>
      <c r="L1401">
        <v>0</v>
      </c>
      <c r="M1401">
        <v>0</v>
      </c>
      <c r="N1401">
        <v>0</v>
      </c>
      <c r="O1401">
        <v>0</v>
      </c>
    </row>
    <row r="1402" spans="1:15" x14ac:dyDescent="0.25">
      <c r="A1402" t="s">
        <v>1101</v>
      </c>
      <c r="B1402" t="s">
        <v>2242</v>
      </c>
      <c r="C1402" t="s">
        <v>923</v>
      </c>
      <c r="D1402" t="s">
        <v>3063</v>
      </c>
      <c r="E1402" t="s">
        <v>3053</v>
      </c>
      <c r="F1402" t="s">
        <v>367</v>
      </c>
      <c r="G1402" t="s">
        <v>368</v>
      </c>
      <c r="H1402" t="s">
        <v>3942</v>
      </c>
      <c r="I1402">
        <v>2</v>
      </c>
      <c r="J1402">
        <v>2</v>
      </c>
      <c r="K1402">
        <v>0</v>
      </c>
      <c r="L1402">
        <v>0</v>
      </c>
      <c r="M1402">
        <v>0</v>
      </c>
      <c r="N1402">
        <v>2</v>
      </c>
      <c r="O1402">
        <v>0</v>
      </c>
    </row>
    <row r="1403" spans="1:15" x14ac:dyDescent="0.25">
      <c r="A1403" t="s">
        <v>933</v>
      </c>
      <c r="B1403" t="s">
        <v>2106</v>
      </c>
      <c r="C1403" t="s">
        <v>927</v>
      </c>
      <c r="D1403" t="s">
        <v>3052</v>
      </c>
      <c r="E1403" t="s">
        <v>3053</v>
      </c>
      <c r="F1403" t="s">
        <v>367</v>
      </c>
      <c r="G1403" t="s">
        <v>368</v>
      </c>
      <c r="H1403" t="s">
        <v>3943</v>
      </c>
      <c r="I1403">
        <v>256</v>
      </c>
      <c r="J1403">
        <v>218</v>
      </c>
      <c r="K1403">
        <v>0</v>
      </c>
      <c r="L1403">
        <v>0</v>
      </c>
      <c r="M1403">
        <v>0</v>
      </c>
      <c r="N1403">
        <v>1</v>
      </c>
      <c r="O1403">
        <v>38</v>
      </c>
    </row>
    <row r="1404" spans="1:15" x14ac:dyDescent="0.25">
      <c r="A1404" t="s">
        <v>935</v>
      </c>
      <c r="B1404" t="s">
        <v>1960</v>
      </c>
      <c r="C1404" t="s">
        <v>923</v>
      </c>
      <c r="D1404" t="s">
        <v>3063</v>
      </c>
      <c r="E1404" t="s">
        <v>3053</v>
      </c>
      <c r="F1404" t="s">
        <v>367</v>
      </c>
      <c r="G1404" t="s">
        <v>368</v>
      </c>
      <c r="H1404" t="s">
        <v>11916</v>
      </c>
      <c r="I1404">
        <v>4</v>
      </c>
      <c r="J1404">
        <v>0</v>
      </c>
      <c r="K1404">
        <v>0</v>
      </c>
      <c r="L1404">
        <v>4</v>
      </c>
      <c r="M1404">
        <v>0</v>
      </c>
      <c r="N1404">
        <v>0</v>
      </c>
      <c r="O1404">
        <v>0</v>
      </c>
    </row>
    <row r="1405" spans="1:15" x14ac:dyDescent="0.25">
      <c r="A1405" t="s">
        <v>1113</v>
      </c>
      <c r="B1405" t="s">
        <v>1953</v>
      </c>
      <c r="C1405" t="s">
        <v>927</v>
      </c>
      <c r="D1405" t="s">
        <v>3052</v>
      </c>
      <c r="E1405" t="s">
        <v>3053</v>
      </c>
      <c r="F1405" t="s">
        <v>367</v>
      </c>
      <c r="G1405" t="s">
        <v>368</v>
      </c>
      <c r="H1405" t="s">
        <v>3944</v>
      </c>
      <c r="I1405">
        <v>155</v>
      </c>
      <c r="J1405">
        <v>110</v>
      </c>
      <c r="K1405">
        <v>0</v>
      </c>
      <c r="L1405">
        <v>0</v>
      </c>
      <c r="M1405">
        <v>0</v>
      </c>
      <c r="N1405">
        <v>3</v>
      </c>
      <c r="O1405">
        <v>45</v>
      </c>
    </row>
    <row r="1406" spans="1:15" x14ac:dyDescent="0.25">
      <c r="A1406" t="s">
        <v>1003</v>
      </c>
      <c r="B1406" t="s">
        <v>2862</v>
      </c>
      <c r="C1406" t="s">
        <v>927</v>
      </c>
      <c r="D1406" t="s">
        <v>3052</v>
      </c>
      <c r="E1406" t="s">
        <v>3053</v>
      </c>
      <c r="F1406" t="s">
        <v>367</v>
      </c>
      <c r="G1406" t="s">
        <v>368</v>
      </c>
      <c r="H1406" t="s">
        <v>3945</v>
      </c>
      <c r="I1406">
        <v>6</v>
      </c>
      <c r="J1406">
        <v>3</v>
      </c>
      <c r="K1406">
        <v>0</v>
      </c>
      <c r="L1406">
        <v>0</v>
      </c>
      <c r="M1406">
        <v>0</v>
      </c>
      <c r="N1406">
        <v>0</v>
      </c>
      <c r="O1406">
        <v>3</v>
      </c>
    </row>
    <row r="1407" spans="1:15" x14ac:dyDescent="0.25">
      <c r="A1407" t="s">
        <v>1010</v>
      </c>
      <c r="B1407" t="s">
        <v>2639</v>
      </c>
      <c r="C1407" t="s">
        <v>927</v>
      </c>
      <c r="D1407" t="s">
        <v>3052</v>
      </c>
      <c r="E1407" t="s">
        <v>3053</v>
      </c>
      <c r="F1407" t="s">
        <v>367</v>
      </c>
      <c r="G1407" t="s">
        <v>368</v>
      </c>
      <c r="H1407" t="s">
        <v>3946</v>
      </c>
      <c r="I1407">
        <v>6</v>
      </c>
      <c r="J1407">
        <v>4</v>
      </c>
      <c r="K1407">
        <v>0</v>
      </c>
      <c r="L1407">
        <v>0</v>
      </c>
      <c r="M1407">
        <v>0</v>
      </c>
      <c r="N1407">
        <v>0</v>
      </c>
      <c r="O1407">
        <v>2</v>
      </c>
    </row>
    <row r="1408" spans="1:15" x14ac:dyDescent="0.25">
      <c r="A1408" t="s">
        <v>937</v>
      </c>
      <c r="B1408" t="s">
        <v>1962</v>
      </c>
      <c r="C1408" t="s">
        <v>927</v>
      </c>
      <c r="D1408" t="s">
        <v>3052</v>
      </c>
      <c r="E1408" t="s">
        <v>3053</v>
      </c>
      <c r="F1408" t="s">
        <v>367</v>
      </c>
      <c r="G1408" t="s">
        <v>368</v>
      </c>
      <c r="H1408" t="s">
        <v>3947</v>
      </c>
      <c r="I1408">
        <v>16</v>
      </c>
      <c r="J1408">
        <v>0</v>
      </c>
      <c r="K1408">
        <v>0</v>
      </c>
      <c r="L1408">
        <v>0</v>
      </c>
      <c r="M1408">
        <v>0</v>
      </c>
      <c r="N1408">
        <v>0</v>
      </c>
      <c r="O1408">
        <v>16</v>
      </c>
    </row>
    <row r="1409" spans="1:15" x14ac:dyDescent="0.25">
      <c r="A1409" t="s">
        <v>940</v>
      </c>
      <c r="B1409" t="s">
        <v>2647</v>
      </c>
      <c r="C1409" t="s">
        <v>927</v>
      </c>
      <c r="D1409" t="s">
        <v>3052</v>
      </c>
      <c r="E1409" t="s">
        <v>3053</v>
      </c>
      <c r="F1409" t="s">
        <v>367</v>
      </c>
      <c r="G1409" t="s">
        <v>368</v>
      </c>
      <c r="H1409" t="s">
        <v>3948</v>
      </c>
      <c r="I1409">
        <v>81</v>
      </c>
      <c r="J1409">
        <v>0</v>
      </c>
      <c r="K1409">
        <v>0</v>
      </c>
      <c r="L1409">
        <v>0</v>
      </c>
      <c r="M1409">
        <v>81</v>
      </c>
      <c r="N1409">
        <v>0</v>
      </c>
      <c r="O1409">
        <v>0</v>
      </c>
    </row>
    <row r="1410" spans="1:15" x14ac:dyDescent="0.25">
      <c r="A1410" t="s">
        <v>1123</v>
      </c>
      <c r="B1410" t="s">
        <v>2691</v>
      </c>
      <c r="C1410" t="s">
        <v>927</v>
      </c>
      <c r="D1410" t="s">
        <v>3052</v>
      </c>
      <c r="E1410" t="s">
        <v>3053</v>
      </c>
      <c r="F1410" t="s">
        <v>367</v>
      </c>
      <c r="G1410" t="s">
        <v>368</v>
      </c>
      <c r="H1410" t="s">
        <v>3949</v>
      </c>
      <c r="I1410">
        <v>914</v>
      </c>
      <c r="J1410">
        <v>869</v>
      </c>
      <c r="K1410">
        <v>13</v>
      </c>
      <c r="L1410">
        <v>0</v>
      </c>
      <c r="M1410">
        <v>0</v>
      </c>
      <c r="N1410">
        <v>6</v>
      </c>
      <c r="O1410">
        <v>32</v>
      </c>
    </row>
    <row r="1411" spans="1:15" x14ac:dyDescent="0.25">
      <c r="A1411" t="s">
        <v>1126</v>
      </c>
      <c r="B1411" t="s">
        <v>2130</v>
      </c>
      <c r="C1411" t="s">
        <v>927</v>
      </c>
      <c r="D1411" t="s">
        <v>3052</v>
      </c>
      <c r="E1411" t="s">
        <v>3053</v>
      </c>
      <c r="F1411" t="s">
        <v>367</v>
      </c>
      <c r="G1411" t="s">
        <v>368</v>
      </c>
      <c r="H1411" t="s">
        <v>14549</v>
      </c>
      <c r="I1411">
        <v>1</v>
      </c>
      <c r="J1411">
        <v>0</v>
      </c>
      <c r="K1411">
        <v>0</v>
      </c>
      <c r="L1411">
        <v>0</v>
      </c>
      <c r="M1411">
        <v>0</v>
      </c>
      <c r="N1411">
        <v>0</v>
      </c>
      <c r="O1411">
        <v>1</v>
      </c>
    </row>
    <row r="1412" spans="1:15" x14ac:dyDescent="0.25">
      <c r="A1412" t="s">
        <v>1025</v>
      </c>
      <c r="B1412" t="s">
        <v>2893</v>
      </c>
      <c r="C1412" t="s">
        <v>927</v>
      </c>
      <c r="D1412" t="s">
        <v>3052</v>
      </c>
      <c r="E1412" t="s">
        <v>3053</v>
      </c>
      <c r="F1412" t="s">
        <v>367</v>
      </c>
      <c r="G1412" t="s">
        <v>368</v>
      </c>
      <c r="H1412" t="s">
        <v>3950</v>
      </c>
      <c r="I1412">
        <v>204</v>
      </c>
      <c r="J1412">
        <v>179</v>
      </c>
      <c r="K1412">
        <v>0</v>
      </c>
      <c r="L1412">
        <v>0</v>
      </c>
      <c r="M1412">
        <v>0</v>
      </c>
      <c r="N1412">
        <v>0</v>
      </c>
      <c r="O1412">
        <v>25</v>
      </c>
    </row>
    <row r="1413" spans="1:15" x14ac:dyDescent="0.25">
      <c r="A1413" t="s">
        <v>943</v>
      </c>
      <c r="B1413" t="s">
        <v>2694</v>
      </c>
      <c r="C1413" t="s">
        <v>927</v>
      </c>
      <c r="D1413" t="s">
        <v>3052</v>
      </c>
      <c r="E1413" t="s">
        <v>3053</v>
      </c>
      <c r="F1413" t="s">
        <v>367</v>
      </c>
      <c r="G1413" t="s">
        <v>368</v>
      </c>
      <c r="H1413" t="s">
        <v>3951</v>
      </c>
      <c r="I1413">
        <v>815</v>
      </c>
      <c r="J1413">
        <v>662</v>
      </c>
      <c r="K1413">
        <v>0</v>
      </c>
      <c r="L1413">
        <v>113</v>
      </c>
      <c r="M1413">
        <v>24</v>
      </c>
      <c r="N1413">
        <v>0</v>
      </c>
      <c r="O1413">
        <v>16</v>
      </c>
    </row>
    <row r="1414" spans="1:15" x14ac:dyDescent="0.25">
      <c r="A1414" t="s">
        <v>1041</v>
      </c>
      <c r="B1414" t="s">
        <v>2826</v>
      </c>
      <c r="C1414" t="s">
        <v>927</v>
      </c>
      <c r="D1414" t="s">
        <v>3052</v>
      </c>
      <c r="E1414" t="s">
        <v>3053</v>
      </c>
      <c r="F1414" t="s">
        <v>367</v>
      </c>
      <c r="G1414" t="s">
        <v>368</v>
      </c>
      <c r="H1414" t="s">
        <v>3952</v>
      </c>
      <c r="I1414">
        <v>8</v>
      </c>
      <c r="J1414">
        <v>0</v>
      </c>
      <c r="K1414">
        <v>0</v>
      </c>
      <c r="L1414">
        <v>0</v>
      </c>
      <c r="M1414">
        <v>0</v>
      </c>
      <c r="N1414">
        <v>0</v>
      </c>
      <c r="O1414">
        <v>8</v>
      </c>
    </row>
    <row r="1415" spans="1:15" x14ac:dyDescent="0.25">
      <c r="A1415" t="s">
        <v>1140</v>
      </c>
      <c r="B1415" t="s">
        <v>2697</v>
      </c>
      <c r="C1415" t="s">
        <v>927</v>
      </c>
      <c r="D1415" t="s">
        <v>3052</v>
      </c>
      <c r="E1415" t="s">
        <v>3053</v>
      </c>
      <c r="F1415" t="s">
        <v>367</v>
      </c>
      <c r="G1415" t="s">
        <v>368</v>
      </c>
      <c r="H1415" t="s">
        <v>3953</v>
      </c>
      <c r="I1415">
        <v>57</v>
      </c>
      <c r="J1415">
        <v>12</v>
      </c>
      <c r="K1415">
        <v>0</v>
      </c>
      <c r="L1415">
        <v>0</v>
      </c>
      <c r="M1415">
        <v>44</v>
      </c>
      <c r="N1415">
        <v>0</v>
      </c>
      <c r="O1415">
        <v>1</v>
      </c>
    </row>
    <row r="1416" spans="1:15" x14ac:dyDescent="0.25">
      <c r="A1416" t="s">
        <v>1141</v>
      </c>
      <c r="B1416" t="s">
        <v>2642</v>
      </c>
      <c r="C1416" t="s">
        <v>927</v>
      </c>
      <c r="D1416" t="s">
        <v>3052</v>
      </c>
      <c r="E1416" t="s">
        <v>3053</v>
      </c>
      <c r="F1416" t="s">
        <v>367</v>
      </c>
      <c r="G1416" t="s">
        <v>368</v>
      </c>
      <c r="H1416" t="s">
        <v>3954</v>
      </c>
      <c r="I1416">
        <v>15</v>
      </c>
      <c r="J1416">
        <v>0</v>
      </c>
      <c r="K1416">
        <v>0</v>
      </c>
      <c r="L1416">
        <v>15</v>
      </c>
      <c r="M1416">
        <v>0</v>
      </c>
      <c r="N1416">
        <v>0</v>
      </c>
      <c r="O1416">
        <v>0</v>
      </c>
    </row>
    <row r="1417" spans="1:15" x14ac:dyDescent="0.25">
      <c r="A1417" t="s">
        <v>1143</v>
      </c>
      <c r="B1417" t="s">
        <v>2422</v>
      </c>
      <c r="C1417" t="s">
        <v>923</v>
      </c>
      <c r="D1417" t="s">
        <v>3063</v>
      </c>
      <c r="E1417" t="s">
        <v>3053</v>
      </c>
      <c r="F1417" t="s">
        <v>367</v>
      </c>
      <c r="G1417" t="s">
        <v>368</v>
      </c>
      <c r="H1417" t="s">
        <v>3955</v>
      </c>
      <c r="I1417">
        <v>11</v>
      </c>
      <c r="J1417">
        <v>0</v>
      </c>
      <c r="K1417">
        <v>11</v>
      </c>
      <c r="L1417">
        <v>0</v>
      </c>
      <c r="M1417">
        <v>0</v>
      </c>
      <c r="N1417">
        <v>0</v>
      </c>
      <c r="O1417">
        <v>0</v>
      </c>
    </row>
    <row r="1418" spans="1:15" x14ac:dyDescent="0.25">
      <c r="A1418" t="s">
        <v>1146</v>
      </c>
      <c r="B1418" t="s">
        <v>2117</v>
      </c>
      <c r="C1418" t="s">
        <v>927</v>
      </c>
      <c r="D1418" t="s">
        <v>3052</v>
      </c>
      <c r="E1418" t="s">
        <v>3053</v>
      </c>
      <c r="F1418" t="s">
        <v>367</v>
      </c>
      <c r="G1418" t="s">
        <v>368</v>
      </c>
      <c r="H1418" t="s">
        <v>14550</v>
      </c>
      <c r="I1418">
        <v>164</v>
      </c>
      <c r="J1418">
        <v>87</v>
      </c>
      <c r="K1418">
        <v>0</v>
      </c>
      <c r="L1418">
        <v>0</v>
      </c>
      <c r="M1418">
        <v>21</v>
      </c>
      <c r="N1418">
        <v>0</v>
      </c>
      <c r="O1418">
        <v>56</v>
      </c>
    </row>
    <row r="1419" spans="1:15" x14ac:dyDescent="0.25">
      <c r="A1419" t="s">
        <v>1048</v>
      </c>
      <c r="B1419" t="s">
        <v>2989</v>
      </c>
      <c r="C1419" t="s">
        <v>927</v>
      </c>
      <c r="D1419" t="s">
        <v>3052</v>
      </c>
      <c r="E1419" t="s">
        <v>3053</v>
      </c>
      <c r="F1419" t="s">
        <v>367</v>
      </c>
      <c r="G1419" t="s">
        <v>368</v>
      </c>
      <c r="H1419" t="s">
        <v>11917</v>
      </c>
      <c r="I1419">
        <v>242</v>
      </c>
      <c r="J1419">
        <v>207</v>
      </c>
      <c r="K1419">
        <v>0</v>
      </c>
      <c r="L1419">
        <v>0</v>
      </c>
      <c r="M1419">
        <v>0</v>
      </c>
      <c r="N1419">
        <v>0</v>
      </c>
      <c r="O1419">
        <v>35</v>
      </c>
    </row>
    <row r="1420" spans="1:15" x14ac:dyDescent="0.25">
      <c r="A1420" t="s">
        <v>9788</v>
      </c>
      <c r="B1420" t="s">
        <v>9871</v>
      </c>
      <c r="C1420" t="s">
        <v>927</v>
      </c>
      <c r="D1420" t="s">
        <v>3052</v>
      </c>
      <c r="E1420" t="s">
        <v>3053</v>
      </c>
      <c r="F1420" t="s">
        <v>367</v>
      </c>
      <c r="G1420" t="s">
        <v>368</v>
      </c>
      <c r="H1420" t="s">
        <v>10337</v>
      </c>
      <c r="I1420">
        <v>7</v>
      </c>
      <c r="J1420">
        <v>7</v>
      </c>
      <c r="K1420">
        <v>0</v>
      </c>
      <c r="L1420">
        <v>0</v>
      </c>
      <c r="M1420">
        <v>0</v>
      </c>
      <c r="N1420">
        <v>0</v>
      </c>
      <c r="O1420">
        <v>0</v>
      </c>
    </row>
    <row r="1421" spans="1:15" x14ac:dyDescent="0.25">
      <c r="A1421" t="s">
        <v>1057</v>
      </c>
      <c r="B1421" t="s">
        <v>1972</v>
      </c>
      <c r="C1421" t="s">
        <v>927</v>
      </c>
      <c r="D1421" t="s">
        <v>3052</v>
      </c>
      <c r="E1421" t="s">
        <v>3053</v>
      </c>
      <c r="F1421" t="s">
        <v>367</v>
      </c>
      <c r="G1421" t="s">
        <v>368</v>
      </c>
      <c r="H1421" t="s">
        <v>11918</v>
      </c>
      <c r="I1421">
        <v>7</v>
      </c>
      <c r="J1421">
        <v>7</v>
      </c>
      <c r="K1421">
        <v>0</v>
      </c>
      <c r="L1421">
        <v>0</v>
      </c>
      <c r="M1421">
        <v>0</v>
      </c>
      <c r="N1421">
        <v>0</v>
      </c>
      <c r="O1421">
        <v>0</v>
      </c>
    </row>
    <row r="1422" spans="1:15" x14ac:dyDescent="0.25">
      <c r="A1422" t="s">
        <v>955</v>
      </c>
      <c r="B1422" t="s">
        <v>2660</v>
      </c>
      <c r="C1422" t="s">
        <v>927</v>
      </c>
      <c r="D1422" t="s">
        <v>3052</v>
      </c>
      <c r="E1422" t="s">
        <v>3053</v>
      </c>
      <c r="F1422" t="s">
        <v>367</v>
      </c>
      <c r="G1422" t="s">
        <v>368</v>
      </c>
      <c r="H1422" t="s">
        <v>3956</v>
      </c>
      <c r="I1422">
        <v>504</v>
      </c>
      <c r="J1422">
        <v>8</v>
      </c>
      <c r="K1422">
        <v>496</v>
      </c>
      <c r="L1422">
        <v>0</v>
      </c>
      <c r="M1422">
        <v>0</v>
      </c>
      <c r="N1422">
        <v>0</v>
      </c>
      <c r="O1422">
        <v>0</v>
      </c>
    </row>
    <row r="1423" spans="1:15" x14ac:dyDescent="0.25">
      <c r="A1423" t="s">
        <v>14374</v>
      </c>
      <c r="B1423" t="s">
        <v>1943</v>
      </c>
      <c r="C1423" t="s">
        <v>927</v>
      </c>
      <c r="D1423" t="s">
        <v>3052</v>
      </c>
      <c r="E1423" t="s">
        <v>3053</v>
      </c>
      <c r="F1423" t="s">
        <v>367</v>
      </c>
      <c r="G1423" t="s">
        <v>368</v>
      </c>
      <c r="H1423" t="s">
        <v>14551</v>
      </c>
      <c r="I1423">
        <v>12</v>
      </c>
      <c r="J1423">
        <v>0</v>
      </c>
      <c r="K1423">
        <v>0</v>
      </c>
      <c r="L1423">
        <v>0</v>
      </c>
      <c r="M1423">
        <v>0</v>
      </c>
      <c r="N1423">
        <v>0</v>
      </c>
      <c r="O1423">
        <v>12</v>
      </c>
    </row>
    <row r="1424" spans="1:15" x14ac:dyDescent="0.25">
      <c r="A1424" t="s">
        <v>962</v>
      </c>
      <c r="B1424" t="s">
        <v>2752</v>
      </c>
      <c r="C1424" t="s">
        <v>927</v>
      </c>
      <c r="D1424" t="s">
        <v>3052</v>
      </c>
      <c r="E1424" t="s">
        <v>3053</v>
      </c>
      <c r="F1424" t="s">
        <v>367</v>
      </c>
      <c r="G1424" t="s">
        <v>368</v>
      </c>
      <c r="H1424" t="s">
        <v>3957</v>
      </c>
      <c r="I1424">
        <v>28</v>
      </c>
      <c r="J1424">
        <v>1</v>
      </c>
      <c r="K1424">
        <v>0</v>
      </c>
      <c r="L1424">
        <v>0</v>
      </c>
      <c r="M1424">
        <v>27</v>
      </c>
      <c r="N1424">
        <v>0</v>
      </c>
      <c r="O1424">
        <v>0</v>
      </c>
    </row>
    <row r="1425" spans="1:15" x14ac:dyDescent="0.25">
      <c r="A1425" t="s">
        <v>1168</v>
      </c>
      <c r="B1425" t="s">
        <v>2712</v>
      </c>
      <c r="C1425" t="s">
        <v>927</v>
      </c>
      <c r="D1425" t="s">
        <v>3052</v>
      </c>
      <c r="E1425" t="s">
        <v>3053</v>
      </c>
      <c r="F1425" t="s">
        <v>367</v>
      </c>
      <c r="G1425" t="s">
        <v>368</v>
      </c>
      <c r="H1425" t="s">
        <v>3958</v>
      </c>
      <c r="I1425">
        <v>885</v>
      </c>
      <c r="J1425">
        <v>590</v>
      </c>
      <c r="K1425">
        <v>2</v>
      </c>
      <c r="L1425">
        <v>110</v>
      </c>
      <c r="M1425">
        <v>155</v>
      </c>
      <c r="N1425">
        <v>0</v>
      </c>
      <c r="O1425">
        <v>28</v>
      </c>
    </row>
    <row r="1426" spans="1:15" x14ac:dyDescent="0.25">
      <c r="A1426" t="s">
        <v>9797</v>
      </c>
      <c r="B1426" t="s">
        <v>2316</v>
      </c>
      <c r="C1426" t="s">
        <v>923</v>
      </c>
      <c r="D1426" t="s">
        <v>3063</v>
      </c>
      <c r="E1426" t="s">
        <v>3053</v>
      </c>
      <c r="F1426" t="s">
        <v>367</v>
      </c>
      <c r="G1426" t="s">
        <v>368</v>
      </c>
      <c r="H1426" t="s">
        <v>11919</v>
      </c>
      <c r="I1426">
        <v>6</v>
      </c>
      <c r="J1426">
        <v>6</v>
      </c>
      <c r="K1426">
        <v>0</v>
      </c>
      <c r="L1426">
        <v>0</v>
      </c>
      <c r="M1426">
        <v>0</v>
      </c>
      <c r="N1426">
        <v>0</v>
      </c>
      <c r="O1426">
        <v>0</v>
      </c>
    </row>
    <row r="1427" spans="1:15" x14ac:dyDescent="0.25">
      <c r="A1427" t="s">
        <v>1176</v>
      </c>
      <c r="B1427" t="s">
        <v>2952</v>
      </c>
      <c r="C1427" t="s">
        <v>923</v>
      </c>
      <c r="D1427" t="s">
        <v>3063</v>
      </c>
      <c r="E1427" t="s">
        <v>3053</v>
      </c>
      <c r="F1427" t="s">
        <v>367</v>
      </c>
      <c r="G1427" t="s">
        <v>368</v>
      </c>
      <c r="H1427" t="s">
        <v>3959</v>
      </c>
      <c r="I1427">
        <v>14</v>
      </c>
      <c r="J1427">
        <v>0</v>
      </c>
      <c r="K1427">
        <v>0</v>
      </c>
      <c r="L1427">
        <v>14</v>
      </c>
      <c r="M1427">
        <v>0</v>
      </c>
      <c r="N1427">
        <v>0</v>
      </c>
      <c r="O1427">
        <v>0</v>
      </c>
    </row>
    <row r="1428" spans="1:15" x14ac:dyDescent="0.25">
      <c r="A1428" t="s">
        <v>1072</v>
      </c>
      <c r="B1428" t="s">
        <v>2907</v>
      </c>
      <c r="C1428" t="s">
        <v>927</v>
      </c>
      <c r="D1428" t="s">
        <v>3052</v>
      </c>
      <c r="E1428" t="s">
        <v>3053</v>
      </c>
      <c r="F1428" t="s">
        <v>367</v>
      </c>
      <c r="G1428" t="s">
        <v>368</v>
      </c>
      <c r="H1428" t="s">
        <v>3960</v>
      </c>
      <c r="I1428">
        <v>132</v>
      </c>
      <c r="J1428">
        <v>41</v>
      </c>
      <c r="K1428">
        <v>0</v>
      </c>
      <c r="L1428">
        <v>91</v>
      </c>
      <c r="M1428">
        <v>0</v>
      </c>
      <c r="N1428">
        <v>0</v>
      </c>
      <c r="O1428">
        <v>0</v>
      </c>
    </row>
    <row r="1429" spans="1:15" x14ac:dyDescent="0.25">
      <c r="A1429" t="s">
        <v>1184</v>
      </c>
      <c r="B1429" t="s">
        <v>2152</v>
      </c>
      <c r="C1429" t="s">
        <v>923</v>
      </c>
      <c r="D1429" t="s">
        <v>3063</v>
      </c>
      <c r="E1429" t="s">
        <v>3053</v>
      </c>
      <c r="F1429" t="s">
        <v>367</v>
      </c>
      <c r="G1429" t="s">
        <v>368</v>
      </c>
      <c r="H1429" t="s">
        <v>3961</v>
      </c>
      <c r="I1429">
        <v>6</v>
      </c>
      <c r="J1429">
        <v>6</v>
      </c>
      <c r="K1429">
        <v>0</v>
      </c>
      <c r="L1429">
        <v>0</v>
      </c>
      <c r="M1429">
        <v>0</v>
      </c>
      <c r="N1429">
        <v>0</v>
      </c>
      <c r="O1429">
        <v>0</v>
      </c>
    </row>
    <row r="1430" spans="1:15" x14ac:dyDescent="0.25">
      <c r="A1430" t="s">
        <v>1194</v>
      </c>
      <c r="B1430" t="s">
        <v>2627</v>
      </c>
      <c r="C1430" t="s">
        <v>923</v>
      </c>
      <c r="D1430" t="s">
        <v>3063</v>
      </c>
      <c r="E1430" t="s">
        <v>3053</v>
      </c>
      <c r="F1430" t="s">
        <v>367</v>
      </c>
      <c r="G1430" t="s">
        <v>368</v>
      </c>
      <c r="H1430" t="s">
        <v>3962</v>
      </c>
      <c r="I1430">
        <v>80</v>
      </c>
      <c r="J1430">
        <v>0</v>
      </c>
      <c r="K1430">
        <v>0</v>
      </c>
      <c r="L1430">
        <v>80</v>
      </c>
      <c r="M1430">
        <v>0</v>
      </c>
      <c r="N1430">
        <v>0</v>
      </c>
      <c r="O1430">
        <v>0</v>
      </c>
    </row>
    <row r="1431" spans="1:15" x14ac:dyDescent="0.25">
      <c r="A1431" t="s">
        <v>981</v>
      </c>
      <c r="B1431" t="s">
        <v>2985</v>
      </c>
      <c r="C1431" t="s">
        <v>927</v>
      </c>
      <c r="D1431" t="s">
        <v>3052</v>
      </c>
      <c r="E1431" t="s">
        <v>3053</v>
      </c>
      <c r="F1431" t="s">
        <v>367</v>
      </c>
      <c r="G1431" t="s">
        <v>368</v>
      </c>
      <c r="H1431" t="s">
        <v>3941</v>
      </c>
      <c r="I1431">
        <v>1249</v>
      </c>
      <c r="J1431">
        <v>860</v>
      </c>
      <c r="K1431">
        <v>0</v>
      </c>
      <c r="L1431">
        <v>5</v>
      </c>
      <c r="M1431">
        <v>55</v>
      </c>
      <c r="N1431">
        <v>0</v>
      </c>
      <c r="O1431">
        <v>329</v>
      </c>
    </row>
    <row r="1432" spans="1:15" x14ac:dyDescent="0.25">
      <c r="A1432" t="s">
        <v>1195</v>
      </c>
      <c r="B1432" t="s">
        <v>2924</v>
      </c>
      <c r="C1432" t="s">
        <v>927</v>
      </c>
      <c r="D1432" t="s">
        <v>3052</v>
      </c>
      <c r="E1432" t="s">
        <v>3053</v>
      </c>
      <c r="F1432" t="s">
        <v>369</v>
      </c>
      <c r="G1432" t="s">
        <v>370</v>
      </c>
      <c r="H1432" t="s">
        <v>3963</v>
      </c>
      <c r="I1432">
        <v>162</v>
      </c>
      <c r="J1432">
        <v>122</v>
      </c>
      <c r="K1432">
        <v>0</v>
      </c>
      <c r="L1432">
        <v>0</v>
      </c>
      <c r="M1432">
        <v>0</v>
      </c>
      <c r="N1432">
        <v>0</v>
      </c>
      <c r="O1432">
        <v>40</v>
      </c>
    </row>
    <row r="1433" spans="1:15" x14ac:dyDescent="0.25">
      <c r="A1433" t="s">
        <v>1564</v>
      </c>
      <c r="B1433" t="s">
        <v>3039</v>
      </c>
      <c r="C1433" t="s">
        <v>927</v>
      </c>
      <c r="D1433" t="s">
        <v>3052</v>
      </c>
      <c r="E1433" t="s">
        <v>3053</v>
      </c>
      <c r="F1433" t="s">
        <v>369</v>
      </c>
      <c r="G1433" t="s">
        <v>370</v>
      </c>
      <c r="H1433" t="s">
        <v>11920</v>
      </c>
      <c r="I1433">
        <v>2</v>
      </c>
      <c r="J1433">
        <v>0</v>
      </c>
      <c r="K1433">
        <v>0</v>
      </c>
      <c r="L1433">
        <v>0</v>
      </c>
      <c r="M1433">
        <v>0</v>
      </c>
      <c r="N1433">
        <v>0</v>
      </c>
      <c r="O1433">
        <v>2</v>
      </c>
    </row>
    <row r="1434" spans="1:15" x14ac:dyDescent="0.25">
      <c r="A1434" t="s">
        <v>1198</v>
      </c>
      <c r="B1434" t="s">
        <v>2455</v>
      </c>
      <c r="C1434" t="s">
        <v>923</v>
      </c>
      <c r="D1434" t="s">
        <v>3063</v>
      </c>
      <c r="E1434" t="s">
        <v>3053</v>
      </c>
      <c r="F1434" t="s">
        <v>369</v>
      </c>
      <c r="G1434" t="s">
        <v>370</v>
      </c>
      <c r="H1434" t="s">
        <v>3964</v>
      </c>
      <c r="I1434">
        <v>44</v>
      </c>
      <c r="J1434">
        <v>44</v>
      </c>
      <c r="K1434">
        <v>0</v>
      </c>
      <c r="L1434">
        <v>0</v>
      </c>
      <c r="M1434">
        <v>0</v>
      </c>
      <c r="N1434">
        <v>0</v>
      </c>
      <c r="O1434">
        <v>0</v>
      </c>
    </row>
    <row r="1435" spans="1:15" x14ac:dyDescent="0.25">
      <c r="A1435" t="s">
        <v>1087</v>
      </c>
      <c r="B1435" t="s">
        <v>2979</v>
      </c>
      <c r="C1435" t="s">
        <v>923</v>
      </c>
      <c r="D1435" t="s">
        <v>3063</v>
      </c>
      <c r="E1435" t="s">
        <v>3053</v>
      </c>
      <c r="F1435" t="s">
        <v>369</v>
      </c>
      <c r="G1435" t="s">
        <v>370</v>
      </c>
      <c r="H1435" t="s">
        <v>3965</v>
      </c>
      <c r="I1435">
        <v>59</v>
      </c>
      <c r="J1435">
        <v>59</v>
      </c>
      <c r="K1435">
        <v>0</v>
      </c>
      <c r="L1435">
        <v>0</v>
      </c>
      <c r="M1435">
        <v>0</v>
      </c>
      <c r="N1435">
        <v>2</v>
      </c>
      <c r="O1435">
        <v>0</v>
      </c>
    </row>
    <row r="1436" spans="1:15" x14ac:dyDescent="0.25">
      <c r="A1436" t="s">
        <v>1218</v>
      </c>
      <c r="B1436" t="s">
        <v>2565</v>
      </c>
      <c r="C1436" t="s">
        <v>927</v>
      </c>
      <c r="D1436" t="s">
        <v>3052</v>
      </c>
      <c r="E1436" t="s">
        <v>3053</v>
      </c>
      <c r="F1436" t="s">
        <v>369</v>
      </c>
      <c r="G1436" t="s">
        <v>370</v>
      </c>
      <c r="H1436" t="s">
        <v>3966</v>
      </c>
      <c r="I1436">
        <v>603</v>
      </c>
      <c r="J1436">
        <v>108</v>
      </c>
      <c r="K1436">
        <v>0</v>
      </c>
      <c r="L1436">
        <v>21</v>
      </c>
      <c r="M1436">
        <v>474</v>
      </c>
      <c r="N1436">
        <v>0</v>
      </c>
      <c r="O1436">
        <v>0</v>
      </c>
    </row>
    <row r="1437" spans="1:15" x14ac:dyDescent="0.25">
      <c r="A1437" t="s">
        <v>1219</v>
      </c>
      <c r="B1437" t="s">
        <v>2569</v>
      </c>
      <c r="C1437" t="s">
        <v>923</v>
      </c>
      <c r="D1437" t="s">
        <v>3063</v>
      </c>
      <c r="E1437" t="s">
        <v>3053</v>
      </c>
      <c r="F1437" t="s">
        <v>369</v>
      </c>
      <c r="G1437" t="s">
        <v>370</v>
      </c>
      <c r="H1437" t="s">
        <v>3967</v>
      </c>
      <c r="I1437">
        <v>36</v>
      </c>
      <c r="J1437">
        <v>0</v>
      </c>
      <c r="K1437">
        <v>0</v>
      </c>
      <c r="L1437">
        <v>36</v>
      </c>
      <c r="M1437">
        <v>0</v>
      </c>
      <c r="N1437">
        <v>0</v>
      </c>
      <c r="O1437">
        <v>0</v>
      </c>
    </row>
    <row r="1438" spans="1:15" x14ac:dyDescent="0.25">
      <c r="A1438" t="s">
        <v>933</v>
      </c>
      <c r="B1438" t="s">
        <v>2106</v>
      </c>
      <c r="C1438" t="s">
        <v>927</v>
      </c>
      <c r="D1438" t="s">
        <v>3052</v>
      </c>
      <c r="E1438" t="s">
        <v>3053</v>
      </c>
      <c r="F1438" t="s">
        <v>369</v>
      </c>
      <c r="G1438" t="s">
        <v>370</v>
      </c>
      <c r="H1438" t="s">
        <v>3968</v>
      </c>
      <c r="I1438">
        <v>1249</v>
      </c>
      <c r="J1438">
        <v>995</v>
      </c>
      <c r="K1438">
        <v>14</v>
      </c>
      <c r="L1438">
        <v>146</v>
      </c>
      <c r="M1438">
        <v>74</v>
      </c>
      <c r="N1438">
        <v>62</v>
      </c>
      <c r="O1438">
        <v>20</v>
      </c>
    </row>
    <row r="1439" spans="1:15" x14ac:dyDescent="0.25">
      <c r="A1439" t="s">
        <v>1105</v>
      </c>
      <c r="B1439" t="s">
        <v>2918</v>
      </c>
      <c r="C1439" t="s">
        <v>923</v>
      </c>
      <c r="D1439" t="s">
        <v>3063</v>
      </c>
      <c r="E1439" t="s">
        <v>3053</v>
      </c>
      <c r="F1439" t="s">
        <v>369</v>
      </c>
      <c r="G1439" t="s">
        <v>370</v>
      </c>
      <c r="H1439" t="s">
        <v>3969</v>
      </c>
      <c r="I1439">
        <v>32</v>
      </c>
      <c r="J1439">
        <v>32</v>
      </c>
      <c r="K1439">
        <v>0</v>
      </c>
      <c r="L1439">
        <v>0</v>
      </c>
      <c r="M1439">
        <v>0</v>
      </c>
      <c r="N1439">
        <v>0</v>
      </c>
      <c r="O1439">
        <v>0</v>
      </c>
    </row>
    <row r="1440" spans="1:15" x14ac:dyDescent="0.25">
      <c r="A1440" t="s">
        <v>1244</v>
      </c>
      <c r="B1440" t="s">
        <v>2353</v>
      </c>
      <c r="C1440" t="s">
        <v>923</v>
      </c>
      <c r="D1440" t="s">
        <v>3063</v>
      </c>
      <c r="E1440" t="s">
        <v>3053</v>
      </c>
      <c r="F1440" t="s">
        <v>369</v>
      </c>
      <c r="G1440" t="s">
        <v>370</v>
      </c>
      <c r="H1440" t="s">
        <v>3970</v>
      </c>
      <c r="I1440">
        <v>158</v>
      </c>
      <c r="J1440">
        <v>115</v>
      </c>
      <c r="K1440">
        <v>43</v>
      </c>
      <c r="L1440">
        <v>0</v>
      </c>
      <c r="M1440">
        <v>0</v>
      </c>
      <c r="N1440">
        <v>0</v>
      </c>
      <c r="O1440">
        <v>0</v>
      </c>
    </row>
    <row r="1441" spans="1:15" x14ac:dyDescent="0.25">
      <c r="A1441" t="s">
        <v>1008</v>
      </c>
      <c r="B1441" t="s">
        <v>2928</v>
      </c>
      <c r="C1441" t="s">
        <v>927</v>
      </c>
      <c r="D1441" t="s">
        <v>3052</v>
      </c>
      <c r="E1441" t="s">
        <v>3053</v>
      </c>
      <c r="F1441" t="s">
        <v>369</v>
      </c>
      <c r="G1441" t="s">
        <v>370</v>
      </c>
      <c r="H1441" t="s">
        <v>3971</v>
      </c>
      <c r="I1441">
        <v>2</v>
      </c>
      <c r="J1441">
        <v>0</v>
      </c>
      <c r="K1441">
        <v>0</v>
      </c>
      <c r="L1441">
        <v>2</v>
      </c>
      <c r="M1441">
        <v>0</v>
      </c>
      <c r="N1441">
        <v>0</v>
      </c>
      <c r="O1441">
        <v>0</v>
      </c>
    </row>
    <row r="1442" spans="1:15" x14ac:dyDescent="0.25">
      <c r="A1442" t="s">
        <v>1259</v>
      </c>
      <c r="B1442" t="s">
        <v>2350</v>
      </c>
      <c r="C1442" t="s">
        <v>923</v>
      </c>
      <c r="D1442" t="s">
        <v>3063</v>
      </c>
      <c r="E1442" t="s">
        <v>3053</v>
      </c>
      <c r="F1442" t="s">
        <v>369</v>
      </c>
      <c r="G1442" t="s">
        <v>370</v>
      </c>
      <c r="H1442" t="s">
        <v>3972</v>
      </c>
      <c r="I1442">
        <v>6</v>
      </c>
      <c r="J1442">
        <v>0</v>
      </c>
      <c r="K1442">
        <v>0</v>
      </c>
      <c r="L1442">
        <v>0</v>
      </c>
      <c r="M1442">
        <v>6</v>
      </c>
      <c r="N1442">
        <v>0</v>
      </c>
      <c r="O1442">
        <v>0</v>
      </c>
    </row>
    <row r="1443" spans="1:15" x14ac:dyDescent="0.25">
      <c r="A1443" t="s">
        <v>1261</v>
      </c>
      <c r="B1443" t="s">
        <v>2366</v>
      </c>
      <c r="C1443" t="s">
        <v>923</v>
      </c>
      <c r="D1443" t="s">
        <v>3063</v>
      </c>
      <c r="E1443" t="s">
        <v>3053</v>
      </c>
      <c r="F1443" t="s">
        <v>369</v>
      </c>
      <c r="G1443" t="s">
        <v>370</v>
      </c>
      <c r="H1443" t="s">
        <v>3973</v>
      </c>
      <c r="I1443">
        <v>58</v>
      </c>
      <c r="J1443">
        <v>58</v>
      </c>
      <c r="K1443">
        <v>0</v>
      </c>
      <c r="L1443">
        <v>0</v>
      </c>
      <c r="M1443">
        <v>0</v>
      </c>
      <c r="N1443">
        <v>0</v>
      </c>
      <c r="O1443">
        <v>0</v>
      </c>
    </row>
    <row r="1444" spans="1:15" x14ac:dyDescent="0.25">
      <c r="A1444" t="s">
        <v>1273</v>
      </c>
      <c r="B1444" t="s">
        <v>2709</v>
      </c>
      <c r="C1444" t="s">
        <v>923</v>
      </c>
      <c r="D1444" t="s">
        <v>3063</v>
      </c>
      <c r="E1444" t="s">
        <v>3053</v>
      </c>
      <c r="F1444" t="s">
        <v>369</v>
      </c>
      <c r="G1444" t="s">
        <v>370</v>
      </c>
      <c r="H1444" t="s">
        <v>3974</v>
      </c>
      <c r="I1444">
        <v>10</v>
      </c>
      <c r="J1444">
        <v>10</v>
      </c>
      <c r="K1444">
        <v>0</v>
      </c>
      <c r="L1444">
        <v>0</v>
      </c>
      <c r="M1444">
        <v>0</v>
      </c>
      <c r="N1444">
        <v>2</v>
      </c>
      <c r="O1444">
        <v>0</v>
      </c>
    </row>
    <row r="1445" spans="1:15" x14ac:dyDescent="0.25">
      <c r="A1445" t="s">
        <v>1124</v>
      </c>
      <c r="B1445" t="s">
        <v>2981</v>
      </c>
      <c r="C1445" t="s">
        <v>923</v>
      </c>
      <c r="D1445" t="s">
        <v>3063</v>
      </c>
      <c r="E1445" t="s">
        <v>3053</v>
      </c>
      <c r="F1445" t="s">
        <v>369</v>
      </c>
      <c r="G1445" t="s">
        <v>370</v>
      </c>
      <c r="H1445" t="s">
        <v>3975</v>
      </c>
      <c r="I1445">
        <v>119</v>
      </c>
      <c r="J1445">
        <v>119</v>
      </c>
      <c r="K1445">
        <v>0</v>
      </c>
      <c r="L1445">
        <v>0</v>
      </c>
      <c r="M1445">
        <v>0</v>
      </c>
      <c r="N1445">
        <v>0</v>
      </c>
      <c r="O1445">
        <v>0</v>
      </c>
    </row>
    <row r="1446" spans="1:15" x14ac:dyDescent="0.25">
      <c r="A1446" t="s">
        <v>1278</v>
      </c>
      <c r="B1446" t="s">
        <v>2674</v>
      </c>
      <c r="C1446" t="s">
        <v>927</v>
      </c>
      <c r="D1446" t="s">
        <v>3052</v>
      </c>
      <c r="E1446" t="s">
        <v>3053</v>
      </c>
      <c r="F1446" t="s">
        <v>369</v>
      </c>
      <c r="G1446" t="s">
        <v>370</v>
      </c>
      <c r="H1446" t="s">
        <v>3976</v>
      </c>
      <c r="I1446">
        <v>31</v>
      </c>
      <c r="J1446">
        <v>31</v>
      </c>
      <c r="K1446">
        <v>0</v>
      </c>
      <c r="L1446">
        <v>0</v>
      </c>
      <c r="M1446">
        <v>0</v>
      </c>
      <c r="N1446">
        <v>0</v>
      </c>
      <c r="O1446">
        <v>0</v>
      </c>
    </row>
    <row r="1447" spans="1:15" x14ac:dyDescent="0.25">
      <c r="A1447" t="s">
        <v>1025</v>
      </c>
      <c r="B1447" t="s">
        <v>2893</v>
      </c>
      <c r="C1447" t="s">
        <v>927</v>
      </c>
      <c r="D1447" t="s">
        <v>3052</v>
      </c>
      <c r="E1447" t="s">
        <v>3053</v>
      </c>
      <c r="F1447" t="s">
        <v>369</v>
      </c>
      <c r="G1447" t="s">
        <v>370</v>
      </c>
      <c r="H1447" t="s">
        <v>3977</v>
      </c>
      <c r="I1447">
        <v>41</v>
      </c>
      <c r="J1447">
        <v>40</v>
      </c>
      <c r="K1447">
        <v>0</v>
      </c>
      <c r="L1447">
        <v>0</v>
      </c>
      <c r="M1447">
        <v>0</v>
      </c>
      <c r="N1447">
        <v>0</v>
      </c>
      <c r="O1447">
        <v>1</v>
      </c>
    </row>
    <row r="1448" spans="1:15" x14ac:dyDescent="0.25">
      <c r="A1448" t="s">
        <v>1131</v>
      </c>
      <c r="B1448" t="s">
        <v>2637</v>
      </c>
      <c r="C1448" t="s">
        <v>927</v>
      </c>
      <c r="D1448" t="s">
        <v>3052</v>
      </c>
      <c r="E1448" t="s">
        <v>3053</v>
      </c>
      <c r="F1448" t="s">
        <v>369</v>
      </c>
      <c r="G1448" t="s">
        <v>370</v>
      </c>
      <c r="H1448" t="s">
        <v>3978</v>
      </c>
      <c r="I1448">
        <v>602</v>
      </c>
      <c r="J1448">
        <v>289</v>
      </c>
      <c r="K1448">
        <v>241</v>
      </c>
      <c r="L1448">
        <v>0</v>
      </c>
      <c r="M1448">
        <v>35</v>
      </c>
      <c r="N1448">
        <v>0</v>
      </c>
      <c r="O1448">
        <v>37</v>
      </c>
    </row>
    <row r="1449" spans="1:15" x14ac:dyDescent="0.25">
      <c r="A1449" t="s">
        <v>1306</v>
      </c>
      <c r="B1449" t="s">
        <v>2412</v>
      </c>
      <c r="C1449" t="s">
        <v>923</v>
      </c>
      <c r="D1449" t="s">
        <v>3063</v>
      </c>
      <c r="E1449" t="s">
        <v>3053</v>
      </c>
      <c r="F1449" t="s">
        <v>369</v>
      </c>
      <c r="G1449" t="s">
        <v>370</v>
      </c>
      <c r="H1449" t="s">
        <v>3979</v>
      </c>
      <c r="I1449">
        <v>106</v>
      </c>
      <c r="J1449">
        <v>106</v>
      </c>
      <c r="K1449">
        <v>0</v>
      </c>
      <c r="L1449">
        <v>0</v>
      </c>
      <c r="M1449">
        <v>0</v>
      </c>
      <c r="N1449">
        <v>0</v>
      </c>
      <c r="O1449">
        <v>0</v>
      </c>
    </row>
    <row r="1450" spans="1:15" x14ac:dyDescent="0.25">
      <c r="A1450" t="s">
        <v>1134</v>
      </c>
      <c r="B1450" t="s">
        <v>2118</v>
      </c>
      <c r="C1450" t="s">
        <v>927</v>
      </c>
      <c r="D1450" t="s">
        <v>3052</v>
      </c>
      <c r="E1450" t="s">
        <v>3053</v>
      </c>
      <c r="F1450" t="s">
        <v>369</v>
      </c>
      <c r="G1450" t="s">
        <v>370</v>
      </c>
      <c r="H1450" t="s">
        <v>3980</v>
      </c>
      <c r="I1450">
        <v>1719</v>
      </c>
      <c r="J1450">
        <v>1465</v>
      </c>
      <c r="K1450">
        <v>0</v>
      </c>
      <c r="L1450">
        <v>173</v>
      </c>
      <c r="M1450">
        <v>25</v>
      </c>
      <c r="N1450">
        <v>8</v>
      </c>
      <c r="O1450">
        <v>56</v>
      </c>
    </row>
    <row r="1451" spans="1:15" x14ac:dyDescent="0.25">
      <c r="A1451" t="s">
        <v>949</v>
      </c>
      <c r="B1451" t="s">
        <v>3035</v>
      </c>
      <c r="C1451" t="s">
        <v>927</v>
      </c>
      <c r="D1451" t="s">
        <v>3052</v>
      </c>
      <c r="E1451" t="s">
        <v>3053</v>
      </c>
      <c r="F1451" t="s">
        <v>369</v>
      </c>
      <c r="G1451" t="s">
        <v>370</v>
      </c>
      <c r="H1451" t="s">
        <v>3981</v>
      </c>
      <c r="I1451">
        <v>118</v>
      </c>
      <c r="J1451">
        <v>0</v>
      </c>
      <c r="K1451">
        <v>0</v>
      </c>
      <c r="L1451">
        <v>0</v>
      </c>
      <c r="M1451">
        <v>0</v>
      </c>
      <c r="N1451">
        <v>0</v>
      </c>
      <c r="O1451">
        <v>118</v>
      </c>
    </row>
    <row r="1452" spans="1:15" x14ac:dyDescent="0.25">
      <c r="A1452" t="s">
        <v>1309</v>
      </c>
      <c r="B1452" t="s">
        <v>2690</v>
      </c>
      <c r="C1452" t="s">
        <v>927</v>
      </c>
      <c r="D1452" t="s">
        <v>3052</v>
      </c>
      <c r="E1452" t="s">
        <v>3053</v>
      </c>
      <c r="F1452" t="s">
        <v>369</v>
      </c>
      <c r="G1452" t="s">
        <v>370</v>
      </c>
      <c r="H1452" t="s">
        <v>3982</v>
      </c>
      <c r="I1452">
        <v>89</v>
      </c>
      <c r="J1452">
        <v>75</v>
      </c>
      <c r="K1452">
        <v>4</v>
      </c>
      <c r="L1452">
        <v>0</v>
      </c>
      <c r="M1452">
        <v>0</v>
      </c>
      <c r="N1452">
        <v>0</v>
      </c>
      <c r="O1452">
        <v>10</v>
      </c>
    </row>
    <row r="1453" spans="1:15" x14ac:dyDescent="0.25">
      <c r="A1453" t="s">
        <v>1310</v>
      </c>
      <c r="B1453" t="s">
        <v>2807</v>
      </c>
      <c r="C1453" t="s">
        <v>923</v>
      </c>
      <c r="D1453" t="s">
        <v>3063</v>
      </c>
      <c r="E1453" t="s">
        <v>3053</v>
      </c>
      <c r="F1453" t="s">
        <v>369</v>
      </c>
      <c r="G1453" t="s">
        <v>370</v>
      </c>
      <c r="H1453" t="s">
        <v>3983</v>
      </c>
      <c r="I1453">
        <v>119</v>
      </c>
      <c r="J1453">
        <v>119</v>
      </c>
      <c r="K1453">
        <v>0</v>
      </c>
      <c r="L1453">
        <v>0</v>
      </c>
      <c r="M1453">
        <v>0</v>
      </c>
      <c r="N1453">
        <v>0</v>
      </c>
      <c r="O1453">
        <v>0</v>
      </c>
    </row>
    <row r="1454" spans="1:15" x14ac:dyDescent="0.25">
      <c r="A1454" t="s">
        <v>1139</v>
      </c>
      <c r="B1454" t="s">
        <v>2025</v>
      </c>
      <c r="C1454" t="s">
        <v>923</v>
      </c>
      <c r="D1454" t="s">
        <v>3063</v>
      </c>
      <c r="E1454" t="s">
        <v>3053</v>
      </c>
      <c r="F1454" t="s">
        <v>369</v>
      </c>
      <c r="G1454" t="s">
        <v>370</v>
      </c>
      <c r="H1454" t="s">
        <v>3984</v>
      </c>
      <c r="I1454">
        <v>301</v>
      </c>
      <c r="J1454">
        <v>296</v>
      </c>
      <c r="K1454">
        <v>0</v>
      </c>
      <c r="L1454">
        <v>5</v>
      </c>
      <c r="M1454">
        <v>0</v>
      </c>
      <c r="N1454">
        <v>15</v>
      </c>
      <c r="O1454">
        <v>0</v>
      </c>
    </row>
    <row r="1455" spans="1:15" x14ac:dyDescent="0.25">
      <c r="A1455" t="s">
        <v>1140</v>
      </c>
      <c r="B1455" t="s">
        <v>2697</v>
      </c>
      <c r="C1455" t="s">
        <v>927</v>
      </c>
      <c r="D1455" t="s">
        <v>3052</v>
      </c>
      <c r="E1455" t="s">
        <v>3053</v>
      </c>
      <c r="F1455" t="s">
        <v>369</v>
      </c>
      <c r="G1455" t="s">
        <v>370</v>
      </c>
      <c r="H1455" t="s">
        <v>3985</v>
      </c>
      <c r="I1455">
        <v>2265</v>
      </c>
      <c r="J1455">
        <v>1812</v>
      </c>
      <c r="K1455">
        <v>0</v>
      </c>
      <c r="L1455">
        <v>163</v>
      </c>
      <c r="M1455">
        <v>208</v>
      </c>
      <c r="N1455">
        <v>68</v>
      </c>
      <c r="O1455">
        <v>82</v>
      </c>
    </row>
    <row r="1456" spans="1:15" x14ac:dyDescent="0.25">
      <c r="A1456" t="s">
        <v>1315</v>
      </c>
      <c r="B1456" t="s">
        <v>2481</v>
      </c>
      <c r="C1456" t="s">
        <v>923</v>
      </c>
      <c r="D1456" t="s">
        <v>3063</v>
      </c>
      <c r="E1456" t="s">
        <v>3053</v>
      </c>
      <c r="F1456" t="s">
        <v>369</v>
      </c>
      <c r="G1456" t="s">
        <v>370</v>
      </c>
      <c r="H1456" t="s">
        <v>3986</v>
      </c>
      <c r="I1456">
        <v>49</v>
      </c>
      <c r="J1456">
        <v>49</v>
      </c>
      <c r="K1456">
        <v>0</v>
      </c>
      <c r="L1456">
        <v>0</v>
      </c>
      <c r="M1456">
        <v>0</v>
      </c>
      <c r="N1456">
        <v>0</v>
      </c>
      <c r="O1456">
        <v>0</v>
      </c>
    </row>
    <row r="1457" spans="1:15" x14ac:dyDescent="0.25">
      <c r="A1457" t="s">
        <v>1043</v>
      </c>
      <c r="B1457" t="s">
        <v>2090</v>
      </c>
      <c r="C1457" t="s">
        <v>927</v>
      </c>
      <c r="D1457" t="s">
        <v>3052</v>
      </c>
      <c r="E1457" t="s">
        <v>3053</v>
      </c>
      <c r="F1457" t="s">
        <v>369</v>
      </c>
      <c r="G1457" t="s">
        <v>370</v>
      </c>
      <c r="H1457" t="s">
        <v>3987</v>
      </c>
      <c r="I1457">
        <v>90</v>
      </c>
      <c r="J1457">
        <v>62</v>
      </c>
      <c r="K1457">
        <v>0</v>
      </c>
      <c r="L1457">
        <v>0</v>
      </c>
      <c r="M1457">
        <v>28</v>
      </c>
      <c r="N1457">
        <v>0</v>
      </c>
      <c r="O1457">
        <v>0</v>
      </c>
    </row>
    <row r="1458" spans="1:15" x14ac:dyDescent="0.25">
      <c r="A1458" t="s">
        <v>1146</v>
      </c>
      <c r="B1458" t="s">
        <v>2117</v>
      </c>
      <c r="C1458" t="s">
        <v>927</v>
      </c>
      <c r="D1458" t="s">
        <v>3052</v>
      </c>
      <c r="E1458" t="s">
        <v>3053</v>
      </c>
      <c r="F1458" t="s">
        <v>369</v>
      </c>
      <c r="G1458" t="s">
        <v>370</v>
      </c>
      <c r="H1458" t="s">
        <v>3988</v>
      </c>
      <c r="I1458">
        <v>689</v>
      </c>
      <c r="J1458">
        <v>663</v>
      </c>
      <c r="K1458">
        <v>0</v>
      </c>
      <c r="L1458">
        <v>24</v>
      </c>
      <c r="M1458">
        <v>0</v>
      </c>
      <c r="N1458">
        <v>0</v>
      </c>
      <c r="O1458">
        <v>2</v>
      </c>
    </row>
    <row r="1459" spans="1:15" x14ac:dyDescent="0.25">
      <c r="A1459" t="s">
        <v>951</v>
      </c>
      <c r="B1459" t="s">
        <v>2680</v>
      </c>
      <c r="C1459" t="s">
        <v>927</v>
      </c>
      <c r="D1459" t="s">
        <v>3052</v>
      </c>
      <c r="E1459" t="s">
        <v>3053</v>
      </c>
      <c r="F1459" t="s">
        <v>369</v>
      </c>
      <c r="G1459" t="s">
        <v>370</v>
      </c>
      <c r="H1459" t="s">
        <v>3989</v>
      </c>
      <c r="I1459">
        <v>41</v>
      </c>
      <c r="J1459">
        <v>11</v>
      </c>
      <c r="K1459">
        <v>0</v>
      </c>
      <c r="L1459">
        <v>0</v>
      </c>
      <c r="M1459">
        <v>0</v>
      </c>
      <c r="N1459">
        <v>0</v>
      </c>
      <c r="O1459">
        <v>30</v>
      </c>
    </row>
    <row r="1460" spans="1:15" x14ac:dyDescent="0.25">
      <c r="A1460" t="s">
        <v>1048</v>
      </c>
      <c r="B1460" t="s">
        <v>2989</v>
      </c>
      <c r="C1460" t="s">
        <v>927</v>
      </c>
      <c r="D1460" t="s">
        <v>3052</v>
      </c>
      <c r="E1460" t="s">
        <v>3053</v>
      </c>
      <c r="F1460" t="s">
        <v>369</v>
      </c>
      <c r="G1460" t="s">
        <v>370</v>
      </c>
      <c r="H1460" t="s">
        <v>3990</v>
      </c>
      <c r="I1460">
        <v>12</v>
      </c>
      <c r="J1460">
        <v>0</v>
      </c>
      <c r="K1460">
        <v>0</v>
      </c>
      <c r="L1460">
        <v>12</v>
      </c>
      <c r="M1460">
        <v>0</v>
      </c>
      <c r="N1460">
        <v>0</v>
      </c>
      <c r="O1460">
        <v>0</v>
      </c>
    </row>
    <row r="1461" spans="1:15" x14ac:dyDescent="0.25">
      <c r="A1461" t="s">
        <v>1056</v>
      </c>
      <c r="B1461" t="s">
        <v>2966</v>
      </c>
      <c r="C1461" t="s">
        <v>927</v>
      </c>
      <c r="D1461" t="s">
        <v>3052</v>
      </c>
      <c r="E1461" t="s">
        <v>3053</v>
      </c>
      <c r="F1461" t="s">
        <v>369</v>
      </c>
      <c r="G1461" t="s">
        <v>370</v>
      </c>
      <c r="H1461" t="s">
        <v>3991</v>
      </c>
      <c r="I1461">
        <v>49</v>
      </c>
      <c r="J1461">
        <v>1</v>
      </c>
      <c r="K1461">
        <v>0</v>
      </c>
      <c r="L1461">
        <v>48</v>
      </c>
      <c r="M1461">
        <v>0</v>
      </c>
      <c r="N1461">
        <v>0</v>
      </c>
      <c r="O1461">
        <v>0</v>
      </c>
    </row>
    <row r="1462" spans="1:15" x14ac:dyDescent="0.25">
      <c r="A1462" t="s">
        <v>955</v>
      </c>
      <c r="B1462" t="s">
        <v>2660</v>
      </c>
      <c r="C1462" t="s">
        <v>927</v>
      </c>
      <c r="D1462" t="s">
        <v>3052</v>
      </c>
      <c r="E1462" t="s">
        <v>3053</v>
      </c>
      <c r="F1462" t="s">
        <v>369</v>
      </c>
      <c r="G1462" t="s">
        <v>370</v>
      </c>
      <c r="H1462" t="s">
        <v>3992</v>
      </c>
      <c r="I1462">
        <v>18</v>
      </c>
      <c r="J1462">
        <v>12</v>
      </c>
      <c r="K1462">
        <v>0</v>
      </c>
      <c r="L1462">
        <v>6</v>
      </c>
      <c r="M1462">
        <v>0</v>
      </c>
      <c r="N1462">
        <v>1</v>
      </c>
      <c r="O1462">
        <v>0</v>
      </c>
    </row>
    <row r="1463" spans="1:15" x14ac:dyDescent="0.25">
      <c r="A1463" t="s">
        <v>1153</v>
      </c>
      <c r="B1463" t="s">
        <v>2560</v>
      </c>
      <c r="C1463" t="s">
        <v>923</v>
      </c>
      <c r="D1463" t="s">
        <v>3063</v>
      </c>
      <c r="E1463" t="s">
        <v>3053</v>
      </c>
      <c r="F1463" t="s">
        <v>369</v>
      </c>
      <c r="G1463" t="s">
        <v>370</v>
      </c>
      <c r="H1463" t="s">
        <v>3993</v>
      </c>
      <c r="I1463">
        <v>136</v>
      </c>
      <c r="J1463">
        <v>68</v>
      </c>
      <c r="K1463">
        <v>8</v>
      </c>
      <c r="L1463">
        <v>60</v>
      </c>
      <c r="M1463">
        <v>0</v>
      </c>
      <c r="N1463">
        <v>0</v>
      </c>
      <c r="O1463">
        <v>0</v>
      </c>
    </row>
    <row r="1464" spans="1:15" x14ac:dyDescent="0.25">
      <c r="A1464" t="s">
        <v>9811</v>
      </c>
      <c r="B1464" t="s">
        <v>9872</v>
      </c>
      <c r="C1464" t="s">
        <v>923</v>
      </c>
      <c r="D1464" t="s">
        <v>3063</v>
      </c>
      <c r="E1464" t="s">
        <v>3053</v>
      </c>
      <c r="F1464" t="s">
        <v>369</v>
      </c>
      <c r="G1464" t="s">
        <v>370</v>
      </c>
      <c r="H1464" t="s">
        <v>10410</v>
      </c>
      <c r="I1464">
        <v>3</v>
      </c>
      <c r="J1464">
        <v>3</v>
      </c>
      <c r="K1464">
        <v>0</v>
      </c>
      <c r="L1464">
        <v>0</v>
      </c>
      <c r="M1464">
        <v>0</v>
      </c>
      <c r="N1464">
        <v>0</v>
      </c>
      <c r="O1464">
        <v>0</v>
      </c>
    </row>
    <row r="1465" spans="1:15" x14ac:dyDescent="0.25">
      <c r="A1465" t="s">
        <v>1339</v>
      </c>
      <c r="B1465" t="s">
        <v>2948</v>
      </c>
      <c r="C1465" t="s">
        <v>923</v>
      </c>
      <c r="D1465" t="s">
        <v>3063</v>
      </c>
      <c r="E1465" t="s">
        <v>3053</v>
      </c>
      <c r="F1465" t="s">
        <v>369</v>
      </c>
      <c r="G1465" t="s">
        <v>370</v>
      </c>
      <c r="H1465" t="s">
        <v>3994</v>
      </c>
      <c r="I1465">
        <v>212</v>
      </c>
      <c r="J1465">
        <v>212</v>
      </c>
      <c r="K1465">
        <v>0</v>
      </c>
      <c r="L1465">
        <v>0</v>
      </c>
      <c r="M1465">
        <v>0</v>
      </c>
      <c r="N1465">
        <v>0</v>
      </c>
      <c r="O1465">
        <v>0</v>
      </c>
    </row>
    <row r="1466" spans="1:15" x14ac:dyDescent="0.25">
      <c r="A1466" t="s">
        <v>1340</v>
      </c>
      <c r="B1466" t="s">
        <v>2435</v>
      </c>
      <c r="C1466" t="s">
        <v>923</v>
      </c>
      <c r="D1466" t="s">
        <v>3063</v>
      </c>
      <c r="E1466" t="s">
        <v>3053</v>
      </c>
      <c r="F1466" t="s">
        <v>369</v>
      </c>
      <c r="G1466" t="s">
        <v>370</v>
      </c>
      <c r="H1466" t="s">
        <v>3995</v>
      </c>
      <c r="I1466">
        <v>29</v>
      </c>
      <c r="J1466">
        <v>26</v>
      </c>
      <c r="K1466">
        <v>0</v>
      </c>
      <c r="L1466">
        <v>3</v>
      </c>
      <c r="M1466">
        <v>0</v>
      </c>
      <c r="N1466">
        <v>0</v>
      </c>
      <c r="O1466">
        <v>0</v>
      </c>
    </row>
    <row r="1467" spans="1:15" x14ac:dyDescent="0.25">
      <c r="A1467" t="s">
        <v>11663</v>
      </c>
      <c r="B1467" t="s">
        <v>11768</v>
      </c>
      <c r="C1467" t="s">
        <v>927</v>
      </c>
      <c r="D1467" t="s">
        <v>3052</v>
      </c>
      <c r="E1467" t="s">
        <v>3053</v>
      </c>
      <c r="F1467" t="s">
        <v>369</v>
      </c>
      <c r="G1467" t="s">
        <v>370</v>
      </c>
      <c r="H1467" t="s">
        <v>11921</v>
      </c>
      <c r="I1467">
        <v>20</v>
      </c>
      <c r="J1467">
        <v>15</v>
      </c>
      <c r="K1467">
        <v>3</v>
      </c>
      <c r="L1467">
        <v>0</v>
      </c>
      <c r="M1467">
        <v>0</v>
      </c>
      <c r="N1467">
        <v>0</v>
      </c>
      <c r="O1467">
        <v>2</v>
      </c>
    </row>
    <row r="1468" spans="1:15" x14ac:dyDescent="0.25">
      <c r="A1468" t="s">
        <v>14380</v>
      </c>
      <c r="B1468" t="s">
        <v>2074</v>
      </c>
      <c r="C1468" t="s">
        <v>927</v>
      </c>
      <c r="D1468" t="s">
        <v>3052</v>
      </c>
      <c r="E1468" t="s">
        <v>3053</v>
      </c>
      <c r="F1468" t="s">
        <v>369</v>
      </c>
      <c r="G1468" t="s">
        <v>370</v>
      </c>
      <c r="H1468" t="s">
        <v>14552</v>
      </c>
      <c r="I1468">
        <v>91</v>
      </c>
      <c r="J1468">
        <v>91</v>
      </c>
      <c r="K1468">
        <v>0</v>
      </c>
      <c r="L1468">
        <v>0</v>
      </c>
      <c r="M1468">
        <v>0</v>
      </c>
      <c r="N1468">
        <v>0</v>
      </c>
      <c r="O1468">
        <v>0</v>
      </c>
    </row>
    <row r="1469" spans="1:15" x14ac:dyDescent="0.25">
      <c r="A1469" t="s">
        <v>10731</v>
      </c>
      <c r="B1469" t="s">
        <v>10730</v>
      </c>
      <c r="C1469" t="s">
        <v>923</v>
      </c>
      <c r="D1469" t="s">
        <v>3063</v>
      </c>
      <c r="E1469" t="s">
        <v>3053</v>
      </c>
      <c r="F1469" t="s">
        <v>369</v>
      </c>
      <c r="G1469" t="s">
        <v>370</v>
      </c>
      <c r="H1469" t="s">
        <v>14553</v>
      </c>
      <c r="I1469">
        <v>1</v>
      </c>
      <c r="J1469">
        <v>1</v>
      </c>
      <c r="K1469">
        <v>0</v>
      </c>
      <c r="L1469">
        <v>0</v>
      </c>
      <c r="M1469">
        <v>0</v>
      </c>
      <c r="N1469">
        <v>0</v>
      </c>
      <c r="O1469">
        <v>0</v>
      </c>
    </row>
    <row r="1470" spans="1:15" x14ac:dyDescent="0.25">
      <c r="A1470" t="s">
        <v>1344</v>
      </c>
      <c r="B1470" t="s">
        <v>2957</v>
      </c>
      <c r="C1470" t="s">
        <v>923</v>
      </c>
      <c r="D1470" t="s">
        <v>3063</v>
      </c>
      <c r="E1470" t="s">
        <v>3053</v>
      </c>
      <c r="F1470" t="s">
        <v>369</v>
      </c>
      <c r="G1470" t="s">
        <v>370</v>
      </c>
      <c r="H1470" t="s">
        <v>3996</v>
      </c>
      <c r="I1470">
        <v>15</v>
      </c>
      <c r="J1470">
        <v>0</v>
      </c>
      <c r="K1470">
        <v>0</v>
      </c>
      <c r="L1470">
        <v>15</v>
      </c>
      <c r="M1470">
        <v>0</v>
      </c>
      <c r="N1470">
        <v>0</v>
      </c>
      <c r="O1470">
        <v>0</v>
      </c>
    </row>
    <row r="1471" spans="1:15" x14ac:dyDescent="0.25">
      <c r="A1471" t="s">
        <v>1158</v>
      </c>
      <c r="B1471" t="s">
        <v>2922</v>
      </c>
      <c r="C1471" t="s">
        <v>927</v>
      </c>
      <c r="D1471" t="s">
        <v>3052</v>
      </c>
      <c r="E1471" t="s">
        <v>3053</v>
      </c>
      <c r="F1471" t="s">
        <v>369</v>
      </c>
      <c r="G1471" t="s">
        <v>370</v>
      </c>
      <c r="H1471" t="s">
        <v>3997</v>
      </c>
      <c r="I1471">
        <v>208</v>
      </c>
      <c r="J1471">
        <v>0</v>
      </c>
      <c r="K1471">
        <v>0</v>
      </c>
      <c r="L1471">
        <v>208</v>
      </c>
      <c r="M1471">
        <v>0</v>
      </c>
      <c r="N1471">
        <v>58</v>
      </c>
      <c r="O1471">
        <v>0</v>
      </c>
    </row>
    <row r="1472" spans="1:15" x14ac:dyDescent="0.25">
      <c r="A1472" t="s">
        <v>1352</v>
      </c>
      <c r="B1472" t="s">
        <v>2085</v>
      </c>
      <c r="C1472" t="s">
        <v>923</v>
      </c>
      <c r="D1472" t="s">
        <v>3063</v>
      </c>
      <c r="E1472" t="s">
        <v>3053</v>
      </c>
      <c r="F1472" t="s">
        <v>369</v>
      </c>
      <c r="G1472" t="s">
        <v>370</v>
      </c>
      <c r="H1472" t="s">
        <v>10901</v>
      </c>
      <c r="I1472">
        <v>1</v>
      </c>
      <c r="J1472">
        <v>1</v>
      </c>
      <c r="K1472">
        <v>0</v>
      </c>
      <c r="L1472">
        <v>0</v>
      </c>
      <c r="M1472">
        <v>0</v>
      </c>
      <c r="N1472">
        <v>0</v>
      </c>
      <c r="O1472">
        <v>0</v>
      </c>
    </row>
    <row r="1473" spans="1:15" x14ac:dyDescent="0.25">
      <c r="A1473" t="s">
        <v>1069</v>
      </c>
      <c r="B1473" t="s">
        <v>2001</v>
      </c>
      <c r="C1473" t="s">
        <v>927</v>
      </c>
      <c r="D1473" t="s">
        <v>3052</v>
      </c>
      <c r="E1473" t="s">
        <v>3053</v>
      </c>
      <c r="F1473" t="s">
        <v>369</v>
      </c>
      <c r="G1473" t="s">
        <v>370</v>
      </c>
      <c r="H1473" t="s">
        <v>3998</v>
      </c>
      <c r="I1473">
        <v>36</v>
      </c>
      <c r="J1473">
        <v>36</v>
      </c>
      <c r="K1473">
        <v>0</v>
      </c>
      <c r="L1473">
        <v>0</v>
      </c>
      <c r="M1473">
        <v>0</v>
      </c>
      <c r="N1473">
        <v>0</v>
      </c>
      <c r="O1473">
        <v>0</v>
      </c>
    </row>
    <row r="1474" spans="1:15" x14ac:dyDescent="0.25">
      <c r="A1474" t="s">
        <v>1174</v>
      </c>
      <c r="B1474" t="s">
        <v>2663</v>
      </c>
      <c r="C1474" t="s">
        <v>927</v>
      </c>
      <c r="D1474" t="s">
        <v>3052</v>
      </c>
      <c r="E1474" t="s">
        <v>3053</v>
      </c>
      <c r="F1474" t="s">
        <v>369</v>
      </c>
      <c r="G1474" t="s">
        <v>370</v>
      </c>
      <c r="H1474" t="s">
        <v>3999</v>
      </c>
      <c r="I1474">
        <v>4</v>
      </c>
      <c r="J1474">
        <v>4</v>
      </c>
      <c r="K1474">
        <v>0</v>
      </c>
      <c r="L1474">
        <v>0</v>
      </c>
      <c r="M1474">
        <v>0</v>
      </c>
      <c r="N1474">
        <v>0</v>
      </c>
      <c r="O1474">
        <v>0</v>
      </c>
    </row>
    <row r="1475" spans="1:15" x14ac:dyDescent="0.25">
      <c r="A1475" t="s">
        <v>1072</v>
      </c>
      <c r="B1475" t="s">
        <v>2907</v>
      </c>
      <c r="C1475" t="s">
        <v>927</v>
      </c>
      <c r="D1475" t="s">
        <v>3052</v>
      </c>
      <c r="E1475" t="s">
        <v>3053</v>
      </c>
      <c r="F1475" t="s">
        <v>369</v>
      </c>
      <c r="G1475" t="s">
        <v>370</v>
      </c>
      <c r="H1475" t="s">
        <v>4000</v>
      </c>
      <c r="I1475">
        <v>2795</v>
      </c>
      <c r="J1475">
        <v>2089</v>
      </c>
      <c r="K1475">
        <v>1</v>
      </c>
      <c r="L1475">
        <v>468</v>
      </c>
      <c r="M1475">
        <v>97</v>
      </c>
      <c r="N1475">
        <v>16</v>
      </c>
      <c r="O1475">
        <v>140</v>
      </c>
    </row>
    <row r="1476" spans="1:15" x14ac:dyDescent="0.25">
      <c r="A1476" t="s">
        <v>1386</v>
      </c>
      <c r="B1476" t="s">
        <v>2370</v>
      </c>
      <c r="C1476" t="s">
        <v>923</v>
      </c>
      <c r="D1476" t="s">
        <v>3063</v>
      </c>
      <c r="E1476" t="s">
        <v>3053</v>
      </c>
      <c r="F1476" t="s">
        <v>369</v>
      </c>
      <c r="G1476" t="s">
        <v>370</v>
      </c>
      <c r="H1476" t="s">
        <v>4001</v>
      </c>
      <c r="I1476">
        <v>66</v>
      </c>
      <c r="J1476">
        <v>66</v>
      </c>
      <c r="K1476">
        <v>0</v>
      </c>
      <c r="L1476">
        <v>0</v>
      </c>
      <c r="M1476">
        <v>0</v>
      </c>
      <c r="N1476">
        <v>0</v>
      </c>
      <c r="O1476">
        <v>0</v>
      </c>
    </row>
    <row r="1477" spans="1:15" x14ac:dyDescent="0.25">
      <c r="A1477" t="s">
        <v>1396</v>
      </c>
      <c r="B1477" t="s">
        <v>2750</v>
      </c>
      <c r="C1477" t="s">
        <v>923</v>
      </c>
      <c r="D1477" t="s">
        <v>3063</v>
      </c>
      <c r="E1477" t="s">
        <v>3053</v>
      </c>
      <c r="F1477" t="s">
        <v>369</v>
      </c>
      <c r="G1477" t="s">
        <v>370</v>
      </c>
      <c r="H1477" t="s">
        <v>4002</v>
      </c>
      <c r="I1477">
        <v>19</v>
      </c>
      <c r="J1477">
        <v>19</v>
      </c>
      <c r="K1477">
        <v>0</v>
      </c>
      <c r="L1477">
        <v>0</v>
      </c>
      <c r="M1477">
        <v>0</v>
      </c>
      <c r="N1477">
        <v>1</v>
      </c>
      <c r="O1477">
        <v>0</v>
      </c>
    </row>
    <row r="1478" spans="1:15" x14ac:dyDescent="0.25">
      <c r="A1478" t="s">
        <v>974</v>
      </c>
      <c r="B1478" t="s">
        <v>2949</v>
      </c>
      <c r="C1478" t="s">
        <v>923</v>
      </c>
      <c r="D1478" t="s">
        <v>3063</v>
      </c>
      <c r="E1478" t="s">
        <v>3053</v>
      </c>
      <c r="F1478" t="s">
        <v>371</v>
      </c>
      <c r="G1478" t="s">
        <v>372</v>
      </c>
      <c r="H1478" t="s">
        <v>4003</v>
      </c>
      <c r="I1478">
        <v>6</v>
      </c>
      <c r="J1478">
        <v>0</v>
      </c>
      <c r="K1478">
        <v>0</v>
      </c>
      <c r="L1478">
        <v>6</v>
      </c>
      <c r="M1478">
        <v>0</v>
      </c>
      <c r="N1478">
        <v>0</v>
      </c>
      <c r="O1478">
        <v>0</v>
      </c>
    </row>
    <row r="1479" spans="1:15" x14ac:dyDescent="0.25">
      <c r="A1479" t="s">
        <v>926</v>
      </c>
      <c r="B1479" t="s">
        <v>2923</v>
      </c>
      <c r="C1479" t="s">
        <v>927</v>
      </c>
      <c r="D1479" t="s">
        <v>3052</v>
      </c>
      <c r="E1479" t="s">
        <v>3053</v>
      </c>
      <c r="F1479" t="s">
        <v>371</v>
      </c>
      <c r="G1479" t="s">
        <v>372</v>
      </c>
      <c r="H1479" t="s">
        <v>10902</v>
      </c>
      <c r="I1479">
        <v>1</v>
      </c>
      <c r="J1479">
        <v>0</v>
      </c>
      <c r="K1479">
        <v>0</v>
      </c>
      <c r="L1479">
        <v>0</v>
      </c>
      <c r="M1479">
        <v>0</v>
      </c>
      <c r="N1479">
        <v>0</v>
      </c>
      <c r="O1479">
        <v>1</v>
      </c>
    </row>
    <row r="1480" spans="1:15" x14ac:dyDescent="0.25">
      <c r="A1480" t="s">
        <v>929</v>
      </c>
      <c r="B1480" t="s">
        <v>2999</v>
      </c>
      <c r="C1480" t="s">
        <v>927</v>
      </c>
      <c r="D1480" t="s">
        <v>3052</v>
      </c>
      <c r="E1480" t="s">
        <v>3053</v>
      </c>
      <c r="F1480" t="s">
        <v>371</v>
      </c>
      <c r="G1480" t="s">
        <v>372</v>
      </c>
      <c r="H1480" t="s">
        <v>4004</v>
      </c>
      <c r="I1480">
        <v>29</v>
      </c>
      <c r="J1480">
        <v>0</v>
      </c>
      <c r="K1480">
        <v>0</v>
      </c>
      <c r="L1480">
        <v>0</v>
      </c>
      <c r="M1480">
        <v>29</v>
      </c>
      <c r="N1480">
        <v>0</v>
      </c>
      <c r="O1480">
        <v>0</v>
      </c>
    </row>
    <row r="1481" spans="1:15" x14ac:dyDescent="0.25">
      <c r="A1481" t="s">
        <v>1456</v>
      </c>
      <c r="B1481" t="s">
        <v>2844</v>
      </c>
      <c r="C1481" t="s">
        <v>927</v>
      </c>
      <c r="D1481" t="s">
        <v>3052</v>
      </c>
      <c r="E1481" t="s">
        <v>3053</v>
      </c>
      <c r="F1481" t="s">
        <v>371</v>
      </c>
      <c r="G1481" t="s">
        <v>372</v>
      </c>
      <c r="H1481" t="s">
        <v>4005</v>
      </c>
      <c r="I1481">
        <v>39</v>
      </c>
      <c r="J1481">
        <v>30</v>
      </c>
      <c r="K1481">
        <v>0</v>
      </c>
      <c r="L1481">
        <v>0</v>
      </c>
      <c r="M1481">
        <v>0</v>
      </c>
      <c r="N1481">
        <v>0</v>
      </c>
      <c r="O1481">
        <v>9</v>
      </c>
    </row>
    <row r="1482" spans="1:15" x14ac:dyDescent="0.25">
      <c r="A1482" t="s">
        <v>9784</v>
      </c>
      <c r="B1482" t="s">
        <v>1994</v>
      </c>
      <c r="C1482" t="s">
        <v>927</v>
      </c>
      <c r="D1482" t="s">
        <v>3052</v>
      </c>
      <c r="E1482" t="s">
        <v>3053</v>
      </c>
      <c r="F1482" t="s">
        <v>371</v>
      </c>
      <c r="G1482" t="s">
        <v>372</v>
      </c>
      <c r="H1482" t="s">
        <v>9924</v>
      </c>
      <c r="I1482">
        <v>10</v>
      </c>
      <c r="J1482">
        <v>0</v>
      </c>
      <c r="K1482">
        <v>0</v>
      </c>
      <c r="L1482">
        <v>10</v>
      </c>
      <c r="M1482">
        <v>0</v>
      </c>
      <c r="N1482">
        <v>0</v>
      </c>
      <c r="O1482">
        <v>0</v>
      </c>
    </row>
    <row r="1483" spans="1:15" x14ac:dyDescent="0.25">
      <c r="A1483" t="s">
        <v>983</v>
      </c>
      <c r="B1483" t="s">
        <v>2069</v>
      </c>
      <c r="C1483" t="s">
        <v>927</v>
      </c>
      <c r="D1483" t="s">
        <v>3052</v>
      </c>
      <c r="E1483" t="s">
        <v>3053</v>
      </c>
      <c r="F1483" t="s">
        <v>371</v>
      </c>
      <c r="G1483" t="s">
        <v>372</v>
      </c>
      <c r="H1483" t="s">
        <v>4006</v>
      </c>
      <c r="I1483">
        <v>376</v>
      </c>
      <c r="J1483">
        <v>343</v>
      </c>
      <c r="K1483">
        <v>0</v>
      </c>
      <c r="L1483">
        <v>0</v>
      </c>
      <c r="M1483">
        <v>0</v>
      </c>
      <c r="N1483">
        <v>0</v>
      </c>
      <c r="O1483">
        <v>33</v>
      </c>
    </row>
    <row r="1484" spans="1:15" x14ac:dyDescent="0.25">
      <c r="A1484" t="s">
        <v>1715</v>
      </c>
      <c r="B1484" t="s">
        <v>2136</v>
      </c>
      <c r="C1484" t="s">
        <v>927</v>
      </c>
      <c r="D1484" t="s">
        <v>3052</v>
      </c>
      <c r="E1484" t="s">
        <v>3053</v>
      </c>
      <c r="F1484" t="s">
        <v>371</v>
      </c>
      <c r="G1484" t="s">
        <v>372</v>
      </c>
      <c r="H1484" t="s">
        <v>4007</v>
      </c>
      <c r="I1484">
        <v>1</v>
      </c>
      <c r="J1484">
        <v>1</v>
      </c>
      <c r="K1484">
        <v>0</v>
      </c>
      <c r="L1484">
        <v>0</v>
      </c>
      <c r="M1484">
        <v>0</v>
      </c>
      <c r="N1484">
        <v>0</v>
      </c>
      <c r="O1484">
        <v>0</v>
      </c>
    </row>
    <row r="1485" spans="1:15" x14ac:dyDescent="0.25">
      <c r="A1485" t="s">
        <v>933</v>
      </c>
      <c r="B1485" t="s">
        <v>2106</v>
      </c>
      <c r="C1485" t="s">
        <v>927</v>
      </c>
      <c r="D1485" t="s">
        <v>3052</v>
      </c>
      <c r="E1485" t="s">
        <v>3053</v>
      </c>
      <c r="F1485" t="s">
        <v>371</v>
      </c>
      <c r="G1485" t="s">
        <v>372</v>
      </c>
      <c r="H1485" t="s">
        <v>4008</v>
      </c>
      <c r="I1485">
        <v>1</v>
      </c>
      <c r="J1485">
        <v>0</v>
      </c>
      <c r="K1485">
        <v>0</v>
      </c>
      <c r="L1485">
        <v>0</v>
      </c>
      <c r="M1485">
        <v>0</v>
      </c>
      <c r="N1485">
        <v>0</v>
      </c>
      <c r="O1485">
        <v>1</v>
      </c>
    </row>
    <row r="1486" spans="1:15" x14ac:dyDescent="0.25">
      <c r="A1486" t="s">
        <v>11660</v>
      </c>
      <c r="B1486" t="s">
        <v>2041</v>
      </c>
      <c r="C1486" t="s">
        <v>923</v>
      </c>
      <c r="D1486" t="s">
        <v>3063</v>
      </c>
      <c r="E1486" t="s">
        <v>3053</v>
      </c>
      <c r="F1486" t="s">
        <v>371</v>
      </c>
      <c r="G1486" t="s">
        <v>372</v>
      </c>
      <c r="H1486" t="s">
        <v>14554</v>
      </c>
      <c r="I1486">
        <v>1</v>
      </c>
      <c r="J1486">
        <v>0</v>
      </c>
      <c r="K1486">
        <v>0</v>
      </c>
      <c r="L1486">
        <v>1</v>
      </c>
      <c r="M1486">
        <v>0</v>
      </c>
      <c r="N1486">
        <v>0</v>
      </c>
      <c r="O1486">
        <v>0</v>
      </c>
    </row>
    <row r="1487" spans="1:15" x14ac:dyDescent="0.25">
      <c r="A1487" t="s">
        <v>10643</v>
      </c>
      <c r="B1487" t="s">
        <v>2987</v>
      </c>
      <c r="C1487" t="s">
        <v>927</v>
      </c>
      <c r="D1487" t="s">
        <v>3052</v>
      </c>
      <c r="E1487" t="s">
        <v>3053</v>
      </c>
      <c r="F1487" t="s">
        <v>371</v>
      </c>
      <c r="G1487" t="s">
        <v>372</v>
      </c>
      <c r="H1487" t="s">
        <v>10903</v>
      </c>
      <c r="I1487">
        <v>92</v>
      </c>
      <c r="J1487">
        <v>67</v>
      </c>
      <c r="K1487">
        <v>0</v>
      </c>
      <c r="L1487">
        <v>16</v>
      </c>
      <c r="M1487">
        <v>0</v>
      </c>
      <c r="N1487">
        <v>1</v>
      </c>
      <c r="O1487">
        <v>9</v>
      </c>
    </row>
    <row r="1488" spans="1:15" x14ac:dyDescent="0.25">
      <c r="A1488" t="s">
        <v>10645</v>
      </c>
      <c r="B1488" t="s">
        <v>10644</v>
      </c>
      <c r="C1488" t="s">
        <v>923</v>
      </c>
      <c r="D1488" t="s">
        <v>3063</v>
      </c>
      <c r="E1488" t="s">
        <v>3053</v>
      </c>
      <c r="F1488" t="s">
        <v>371</v>
      </c>
      <c r="G1488" t="s">
        <v>372</v>
      </c>
      <c r="H1488" t="s">
        <v>10904</v>
      </c>
      <c r="I1488">
        <v>1</v>
      </c>
      <c r="J1488">
        <v>1</v>
      </c>
      <c r="K1488">
        <v>0</v>
      </c>
      <c r="L1488">
        <v>0</v>
      </c>
      <c r="M1488">
        <v>0</v>
      </c>
      <c r="N1488">
        <v>0</v>
      </c>
      <c r="O1488">
        <v>0</v>
      </c>
    </row>
    <row r="1489" spans="1:15" x14ac:dyDescent="0.25">
      <c r="A1489" t="s">
        <v>937</v>
      </c>
      <c r="B1489" t="s">
        <v>1962</v>
      </c>
      <c r="C1489" t="s">
        <v>927</v>
      </c>
      <c r="D1489" t="s">
        <v>3052</v>
      </c>
      <c r="E1489" t="s">
        <v>3053</v>
      </c>
      <c r="F1489" t="s">
        <v>371</v>
      </c>
      <c r="G1489" t="s">
        <v>372</v>
      </c>
      <c r="H1489" t="s">
        <v>4009</v>
      </c>
      <c r="I1489">
        <v>15</v>
      </c>
      <c r="J1489">
        <v>0</v>
      </c>
      <c r="K1489">
        <v>0</v>
      </c>
      <c r="L1489">
        <v>0</v>
      </c>
      <c r="M1489">
        <v>0</v>
      </c>
      <c r="N1489">
        <v>0</v>
      </c>
      <c r="O1489">
        <v>15</v>
      </c>
    </row>
    <row r="1490" spans="1:15" x14ac:dyDescent="0.25">
      <c r="A1490" t="s">
        <v>10652</v>
      </c>
      <c r="B1490" t="s">
        <v>3002</v>
      </c>
      <c r="C1490" t="s">
        <v>927</v>
      </c>
      <c r="D1490" t="s">
        <v>3052</v>
      </c>
      <c r="E1490" t="s">
        <v>3053</v>
      </c>
      <c r="F1490" t="s">
        <v>371</v>
      </c>
      <c r="G1490" t="s">
        <v>372</v>
      </c>
      <c r="H1490" t="s">
        <v>10905</v>
      </c>
      <c r="I1490">
        <v>272</v>
      </c>
      <c r="J1490">
        <v>140</v>
      </c>
      <c r="K1490">
        <v>0</v>
      </c>
      <c r="L1490">
        <v>79</v>
      </c>
      <c r="M1490">
        <v>0</v>
      </c>
      <c r="N1490">
        <v>4</v>
      </c>
      <c r="O1490">
        <v>53</v>
      </c>
    </row>
    <row r="1491" spans="1:15" x14ac:dyDescent="0.25">
      <c r="A1491" t="s">
        <v>940</v>
      </c>
      <c r="B1491" t="s">
        <v>2647</v>
      </c>
      <c r="C1491" t="s">
        <v>927</v>
      </c>
      <c r="D1491" t="s">
        <v>3052</v>
      </c>
      <c r="E1491" t="s">
        <v>3053</v>
      </c>
      <c r="F1491" t="s">
        <v>371</v>
      </c>
      <c r="G1491" t="s">
        <v>372</v>
      </c>
      <c r="H1491" t="s">
        <v>4010</v>
      </c>
      <c r="I1491">
        <v>30</v>
      </c>
      <c r="J1491">
        <v>0</v>
      </c>
      <c r="K1491">
        <v>0</v>
      </c>
      <c r="L1491">
        <v>0</v>
      </c>
      <c r="M1491">
        <v>30</v>
      </c>
      <c r="N1491">
        <v>0</v>
      </c>
      <c r="O1491">
        <v>0</v>
      </c>
    </row>
    <row r="1492" spans="1:15" x14ac:dyDescent="0.25">
      <c r="A1492" t="s">
        <v>1013</v>
      </c>
      <c r="B1492" t="s">
        <v>1959</v>
      </c>
      <c r="C1492" t="s">
        <v>927</v>
      </c>
      <c r="D1492" t="s">
        <v>3052</v>
      </c>
      <c r="E1492" t="s">
        <v>3053</v>
      </c>
      <c r="F1492" t="s">
        <v>371</v>
      </c>
      <c r="G1492" t="s">
        <v>372</v>
      </c>
      <c r="H1492" t="s">
        <v>4011</v>
      </c>
      <c r="I1492">
        <v>13</v>
      </c>
      <c r="J1492">
        <v>0</v>
      </c>
      <c r="K1492">
        <v>0</v>
      </c>
      <c r="L1492">
        <v>13</v>
      </c>
      <c r="M1492">
        <v>0</v>
      </c>
      <c r="N1492">
        <v>0</v>
      </c>
      <c r="O1492">
        <v>0</v>
      </c>
    </row>
    <row r="1493" spans="1:15" x14ac:dyDescent="0.25">
      <c r="A1493" t="s">
        <v>1028</v>
      </c>
      <c r="B1493" t="s">
        <v>2682</v>
      </c>
      <c r="C1493" t="s">
        <v>923</v>
      </c>
      <c r="D1493" t="s">
        <v>3063</v>
      </c>
      <c r="E1493" t="s">
        <v>3053</v>
      </c>
      <c r="F1493" t="s">
        <v>371</v>
      </c>
      <c r="G1493" t="s">
        <v>372</v>
      </c>
      <c r="H1493" t="s">
        <v>4012</v>
      </c>
      <c r="I1493">
        <v>35</v>
      </c>
      <c r="J1493">
        <v>0</v>
      </c>
      <c r="K1493">
        <v>0</v>
      </c>
      <c r="L1493">
        <v>0</v>
      </c>
      <c r="M1493">
        <v>35</v>
      </c>
      <c r="N1493">
        <v>0</v>
      </c>
      <c r="O1493">
        <v>0</v>
      </c>
    </row>
    <row r="1494" spans="1:15" x14ac:dyDescent="0.25">
      <c r="A1494" t="s">
        <v>1030</v>
      </c>
      <c r="B1494" t="s">
        <v>2880</v>
      </c>
      <c r="C1494" t="s">
        <v>927</v>
      </c>
      <c r="D1494" t="s">
        <v>3052</v>
      </c>
      <c r="E1494" t="s">
        <v>3053</v>
      </c>
      <c r="F1494" t="s">
        <v>371</v>
      </c>
      <c r="G1494" t="s">
        <v>372</v>
      </c>
      <c r="H1494" t="s">
        <v>4013</v>
      </c>
      <c r="I1494">
        <v>491</v>
      </c>
      <c r="J1494">
        <v>336</v>
      </c>
      <c r="K1494">
        <v>2</v>
      </c>
      <c r="L1494">
        <v>0</v>
      </c>
      <c r="M1494">
        <v>141</v>
      </c>
      <c r="N1494">
        <v>0</v>
      </c>
      <c r="O1494">
        <v>12</v>
      </c>
    </row>
    <row r="1495" spans="1:15" x14ac:dyDescent="0.25">
      <c r="A1495" t="s">
        <v>1041</v>
      </c>
      <c r="B1495" t="s">
        <v>2826</v>
      </c>
      <c r="C1495" t="s">
        <v>927</v>
      </c>
      <c r="D1495" t="s">
        <v>3052</v>
      </c>
      <c r="E1495" t="s">
        <v>3053</v>
      </c>
      <c r="F1495" t="s">
        <v>371</v>
      </c>
      <c r="G1495" t="s">
        <v>372</v>
      </c>
      <c r="H1495" t="s">
        <v>11922</v>
      </c>
      <c r="I1495">
        <v>6</v>
      </c>
      <c r="J1495">
        <v>0</v>
      </c>
      <c r="K1495">
        <v>0</v>
      </c>
      <c r="L1495">
        <v>0</v>
      </c>
      <c r="M1495">
        <v>0</v>
      </c>
      <c r="N1495">
        <v>0</v>
      </c>
      <c r="O1495">
        <v>6</v>
      </c>
    </row>
    <row r="1496" spans="1:15" x14ac:dyDescent="0.25">
      <c r="A1496" t="s">
        <v>9787</v>
      </c>
      <c r="B1496" t="s">
        <v>2822</v>
      </c>
      <c r="C1496" t="s">
        <v>927</v>
      </c>
      <c r="D1496" t="s">
        <v>3052</v>
      </c>
      <c r="E1496" t="s">
        <v>3053</v>
      </c>
      <c r="F1496" t="s">
        <v>371</v>
      </c>
      <c r="G1496" t="s">
        <v>372</v>
      </c>
      <c r="H1496" t="s">
        <v>11923</v>
      </c>
      <c r="I1496">
        <v>8</v>
      </c>
      <c r="J1496">
        <v>8</v>
      </c>
      <c r="K1496">
        <v>0</v>
      </c>
      <c r="L1496">
        <v>0</v>
      </c>
      <c r="M1496">
        <v>0</v>
      </c>
      <c r="N1496">
        <v>0</v>
      </c>
      <c r="O1496">
        <v>0</v>
      </c>
    </row>
    <row r="1497" spans="1:15" x14ac:dyDescent="0.25">
      <c r="A1497" t="s">
        <v>1049</v>
      </c>
      <c r="B1497" t="s">
        <v>2138</v>
      </c>
      <c r="C1497" t="s">
        <v>927</v>
      </c>
      <c r="D1497" t="s">
        <v>3052</v>
      </c>
      <c r="E1497" t="s">
        <v>3053</v>
      </c>
      <c r="F1497" t="s">
        <v>371</v>
      </c>
      <c r="G1497" t="s">
        <v>372</v>
      </c>
      <c r="H1497" t="s">
        <v>4014</v>
      </c>
      <c r="I1497">
        <v>329</v>
      </c>
      <c r="J1497">
        <v>257</v>
      </c>
      <c r="K1497">
        <v>0</v>
      </c>
      <c r="L1497">
        <v>0</v>
      </c>
      <c r="M1497">
        <v>0</v>
      </c>
      <c r="N1497">
        <v>0</v>
      </c>
      <c r="O1497">
        <v>72</v>
      </c>
    </row>
    <row r="1498" spans="1:15" x14ac:dyDescent="0.25">
      <c r="A1498" t="s">
        <v>11720</v>
      </c>
      <c r="B1498" t="s">
        <v>10718</v>
      </c>
      <c r="C1498" t="s">
        <v>927</v>
      </c>
      <c r="D1498" t="s">
        <v>3052</v>
      </c>
      <c r="E1498" t="s">
        <v>3053</v>
      </c>
      <c r="F1498" t="s">
        <v>371</v>
      </c>
      <c r="G1498" t="s">
        <v>372</v>
      </c>
      <c r="H1498" t="s">
        <v>14555</v>
      </c>
      <c r="I1498">
        <v>14</v>
      </c>
      <c r="J1498">
        <v>10</v>
      </c>
      <c r="K1498">
        <v>0</v>
      </c>
      <c r="L1498">
        <v>0</v>
      </c>
      <c r="M1498">
        <v>0</v>
      </c>
      <c r="N1498">
        <v>0</v>
      </c>
      <c r="O1498">
        <v>4</v>
      </c>
    </row>
    <row r="1499" spans="1:15" x14ac:dyDescent="0.25">
      <c r="A1499" t="s">
        <v>955</v>
      </c>
      <c r="B1499" t="s">
        <v>2660</v>
      </c>
      <c r="C1499" t="s">
        <v>927</v>
      </c>
      <c r="D1499" t="s">
        <v>3052</v>
      </c>
      <c r="E1499" t="s">
        <v>3053</v>
      </c>
      <c r="F1499" t="s">
        <v>371</v>
      </c>
      <c r="G1499" t="s">
        <v>372</v>
      </c>
      <c r="H1499" t="s">
        <v>4015</v>
      </c>
      <c r="I1499">
        <v>285</v>
      </c>
      <c r="J1499">
        <v>264</v>
      </c>
      <c r="K1499">
        <v>0</v>
      </c>
      <c r="L1499">
        <v>6</v>
      </c>
      <c r="M1499">
        <v>0</v>
      </c>
      <c r="N1499">
        <v>0</v>
      </c>
      <c r="O1499">
        <v>15</v>
      </c>
    </row>
    <row r="1500" spans="1:15" x14ac:dyDescent="0.25">
      <c r="A1500" t="s">
        <v>1856</v>
      </c>
      <c r="B1500" t="s">
        <v>2329</v>
      </c>
      <c r="C1500" t="s">
        <v>923</v>
      </c>
      <c r="D1500" t="s">
        <v>3063</v>
      </c>
      <c r="E1500" t="s">
        <v>3053</v>
      </c>
      <c r="F1500" t="s">
        <v>371</v>
      </c>
      <c r="G1500" t="s">
        <v>372</v>
      </c>
      <c r="H1500" t="s">
        <v>4016</v>
      </c>
      <c r="I1500">
        <v>11</v>
      </c>
      <c r="J1500">
        <v>11</v>
      </c>
      <c r="K1500">
        <v>0</v>
      </c>
      <c r="L1500">
        <v>0</v>
      </c>
      <c r="M1500">
        <v>0</v>
      </c>
      <c r="N1500">
        <v>0</v>
      </c>
      <c r="O1500">
        <v>0</v>
      </c>
    </row>
    <row r="1501" spans="1:15" x14ac:dyDescent="0.25">
      <c r="A1501" t="s">
        <v>9844</v>
      </c>
      <c r="B1501" t="s">
        <v>2241</v>
      </c>
      <c r="C1501" t="s">
        <v>923</v>
      </c>
      <c r="D1501" t="s">
        <v>3063</v>
      </c>
      <c r="E1501" t="s">
        <v>3053</v>
      </c>
      <c r="F1501" t="s">
        <v>371</v>
      </c>
      <c r="G1501" t="s">
        <v>372</v>
      </c>
      <c r="H1501" t="s">
        <v>10482</v>
      </c>
      <c r="I1501">
        <v>47</v>
      </c>
      <c r="J1501">
        <v>11</v>
      </c>
      <c r="K1501">
        <v>0</v>
      </c>
      <c r="L1501">
        <v>0</v>
      </c>
      <c r="M1501">
        <v>36</v>
      </c>
      <c r="N1501">
        <v>0</v>
      </c>
      <c r="O1501">
        <v>0</v>
      </c>
    </row>
    <row r="1502" spans="1:15" x14ac:dyDescent="0.25">
      <c r="A1502" t="s">
        <v>1861</v>
      </c>
      <c r="B1502" t="s">
        <v>3011</v>
      </c>
      <c r="C1502" t="s">
        <v>927</v>
      </c>
      <c r="D1502" t="s">
        <v>3052</v>
      </c>
      <c r="E1502" t="s">
        <v>3053</v>
      </c>
      <c r="F1502" t="s">
        <v>371</v>
      </c>
      <c r="G1502" t="s">
        <v>372</v>
      </c>
      <c r="H1502" t="s">
        <v>4017</v>
      </c>
      <c r="I1502">
        <v>279</v>
      </c>
      <c r="J1502">
        <v>209</v>
      </c>
      <c r="K1502">
        <v>0</v>
      </c>
      <c r="L1502">
        <v>63</v>
      </c>
      <c r="M1502">
        <v>0</v>
      </c>
      <c r="N1502">
        <v>0</v>
      </c>
      <c r="O1502">
        <v>7</v>
      </c>
    </row>
    <row r="1503" spans="1:15" x14ac:dyDescent="0.25">
      <c r="A1503" t="s">
        <v>1077</v>
      </c>
      <c r="B1503" t="s">
        <v>2711</v>
      </c>
      <c r="C1503" t="s">
        <v>927</v>
      </c>
      <c r="D1503" t="s">
        <v>3052</v>
      </c>
      <c r="E1503" t="s">
        <v>3053</v>
      </c>
      <c r="F1503" t="s">
        <v>371</v>
      </c>
      <c r="G1503" t="s">
        <v>372</v>
      </c>
      <c r="H1503" t="s">
        <v>4018</v>
      </c>
      <c r="I1503">
        <v>10</v>
      </c>
      <c r="J1503">
        <v>10</v>
      </c>
      <c r="K1503">
        <v>0</v>
      </c>
      <c r="L1503">
        <v>0</v>
      </c>
      <c r="M1503">
        <v>0</v>
      </c>
      <c r="N1503">
        <v>0</v>
      </c>
      <c r="O1503">
        <v>0</v>
      </c>
    </row>
    <row r="1504" spans="1:15" x14ac:dyDescent="0.25">
      <c r="A1504" t="s">
        <v>1865</v>
      </c>
      <c r="B1504" t="s">
        <v>2866</v>
      </c>
      <c r="C1504" t="s">
        <v>927</v>
      </c>
      <c r="D1504" t="s">
        <v>3052</v>
      </c>
      <c r="E1504" t="s">
        <v>3053</v>
      </c>
      <c r="F1504" t="s">
        <v>371</v>
      </c>
      <c r="G1504" t="s">
        <v>372</v>
      </c>
      <c r="H1504" t="s">
        <v>4019</v>
      </c>
      <c r="I1504">
        <v>436</v>
      </c>
      <c r="J1504">
        <v>364</v>
      </c>
      <c r="K1504">
        <v>0</v>
      </c>
      <c r="L1504">
        <v>0</v>
      </c>
      <c r="M1504">
        <v>0</v>
      </c>
      <c r="N1504">
        <v>0</v>
      </c>
      <c r="O1504">
        <v>72</v>
      </c>
    </row>
    <row r="1505" spans="1:15" x14ac:dyDescent="0.25">
      <c r="A1505" t="s">
        <v>926</v>
      </c>
      <c r="B1505" t="s">
        <v>2923</v>
      </c>
      <c r="C1505" t="s">
        <v>927</v>
      </c>
      <c r="D1505" t="s">
        <v>3052</v>
      </c>
      <c r="E1505" t="s">
        <v>3053</v>
      </c>
      <c r="F1505" t="s">
        <v>373</v>
      </c>
      <c r="G1505" t="s">
        <v>374</v>
      </c>
      <c r="H1505" t="s">
        <v>4020</v>
      </c>
      <c r="I1505">
        <v>1</v>
      </c>
      <c r="J1505">
        <v>0</v>
      </c>
      <c r="K1505">
        <v>0</v>
      </c>
      <c r="L1505">
        <v>0</v>
      </c>
      <c r="M1505">
        <v>0</v>
      </c>
      <c r="N1505">
        <v>0</v>
      </c>
      <c r="O1505">
        <v>1</v>
      </c>
    </row>
    <row r="1506" spans="1:15" x14ac:dyDescent="0.25">
      <c r="A1506" t="s">
        <v>929</v>
      </c>
      <c r="B1506" t="s">
        <v>2999</v>
      </c>
      <c r="C1506" t="s">
        <v>927</v>
      </c>
      <c r="D1506" t="s">
        <v>3052</v>
      </c>
      <c r="E1506" t="s">
        <v>3053</v>
      </c>
      <c r="F1506" t="s">
        <v>373</v>
      </c>
      <c r="G1506" t="s">
        <v>374</v>
      </c>
      <c r="H1506" t="s">
        <v>4021</v>
      </c>
      <c r="I1506">
        <v>166</v>
      </c>
      <c r="J1506">
        <v>0</v>
      </c>
      <c r="K1506">
        <v>0</v>
      </c>
      <c r="L1506">
        <v>0</v>
      </c>
      <c r="M1506">
        <v>166</v>
      </c>
      <c r="N1506">
        <v>0</v>
      </c>
      <c r="O1506">
        <v>0</v>
      </c>
    </row>
    <row r="1507" spans="1:15" x14ac:dyDescent="0.25">
      <c r="A1507" t="s">
        <v>1105</v>
      </c>
      <c r="B1507" t="s">
        <v>2918</v>
      </c>
      <c r="C1507" t="s">
        <v>923</v>
      </c>
      <c r="D1507" t="s">
        <v>3063</v>
      </c>
      <c r="E1507" t="s">
        <v>3053</v>
      </c>
      <c r="F1507" t="s">
        <v>373</v>
      </c>
      <c r="G1507" t="s">
        <v>374</v>
      </c>
      <c r="H1507" t="s">
        <v>4022</v>
      </c>
      <c r="I1507">
        <v>21</v>
      </c>
      <c r="J1507">
        <v>21</v>
      </c>
      <c r="K1507">
        <v>0</v>
      </c>
      <c r="L1507">
        <v>0</v>
      </c>
      <c r="M1507">
        <v>0</v>
      </c>
      <c r="N1507">
        <v>0</v>
      </c>
      <c r="O1507">
        <v>0</v>
      </c>
    </row>
    <row r="1508" spans="1:15" x14ac:dyDescent="0.25">
      <c r="A1508" t="s">
        <v>1416</v>
      </c>
      <c r="B1508" t="s">
        <v>2029</v>
      </c>
      <c r="C1508" t="s">
        <v>923</v>
      </c>
      <c r="D1508" t="s">
        <v>3063</v>
      </c>
      <c r="E1508" t="s">
        <v>3053</v>
      </c>
      <c r="F1508" t="s">
        <v>373</v>
      </c>
      <c r="G1508" t="s">
        <v>374</v>
      </c>
      <c r="H1508" t="s">
        <v>11924</v>
      </c>
      <c r="I1508">
        <v>5</v>
      </c>
      <c r="J1508">
        <v>0</v>
      </c>
      <c r="K1508">
        <v>0</v>
      </c>
      <c r="L1508">
        <v>5</v>
      </c>
      <c r="M1508">
        <v>0</v>
      </c>
      <c r="N1508">
        <v>0</v>
      </c>
      <c r="O1508">
        <v>0</v>
      </c>
    </row>
    <row r="1509" spans="1:15" x14ac:dyDescent="0.25">
      <c r="A1509" t="s">
        <v>1607</v>
      </c>
      <c r="B1509" t="s">
        <v>2511</v>
      </c>
      <c r="C1509" t="s">
        <v>923</v>
      </c>
      <c r="D1509" t="s">
        <v>3063</v>
      </c>
      <c r="E1509" t="s">
        <v>3053</v>
      </c>
      <c r="F1509" t="s">
        <v>373</v>
      </c>
      <c r="G1509" t="s">
        <v>374</v>
      </c>
      <c r="H1509" t="s">
        <v>4023</v>
      </c>
      <c r="I1509">
        <v>59</v>
      </c>
      <c r="J1509">
        <v>59</v>
      </c>
      <c r="K1509">
        <v>0</v>
      </c>
      <c r="L1509">
        <v>0</v>
      </c>
      <c r="M1509">
        <v>0</v>
      </c>
      <c r="N1509">
        <v>0</v>
      </c>
      <c r="O1509">
        <v>0</v>
      </c>
    </row>
    <row r="1510" spans="1:15" x14ac:dyDescent="0.25">
      <c r="A1510" t="s">
        <v>1608</v>
      </c>
      <c r="B1510" t="s">
        <v>2527</v>
      </c>
      <c r="C1510" t="s">
        <v>923</v>
      </c>
      <c r="D1510" t="s">
        <v>3063</v>
      </c>
      <c r="E1510" t="s">
        <v>3053</v>
      </c>
      <c r="F1510" t="s">
        <v>373</v>
      </c>
      <c r="G1510" t="s">
        <v>374</v>
      </c>
      <c r="H1510" t="s">
        <v>4024</v>
      </c>
      <c r="I1510">
        <v>35</v>
      </c>
      <c r="J1510">
        <v>35</v>
      </c>
      <c r="K1510">
        <v>0</v>
      </c>
      <c r="L1510">
        <v>0</v>
      </c>
      <c r="M1510">
        <v>0</v>
      </c>
      <c r="N1510">
        <v>0</v>
      </c>
      <c r="O1510">
        <v>0</v>
      </c>
    </row>
    <row r="1511" spans="1:15" x14ac:dyDescent="0.25">
      <c r="A1511" t="s">
        <v>10638</v>
      </c>
      <c r="B1511" t="s">
        <v>2057</v>
      </c>
      <c r="C1511" t="s">
        <v>927</v>
      </c>
      <c r="D1511" t="s">
        <v>3052</v>
      </c>
      <c r="E1511" t="s">
        <v>3053</v>
      </c>
      <c r="F1511" t="s">
        <v>373</v>
      </c>
      <c r="G1511" t="s">
        <v>374</v>
      </c>
      <c r="H1511" t="s">
        <v>10906</v>
      </c>
      <c r="I1511">
        <v>4</v>
      </c>
      <c r="J1511">
        <v>0</v>
      </c>
      <c r="K1511">
        <v>0</v>
      </c>
      <c r="L1511">
        <v>4</v>
      </c>
      <c r="M1511">
        <v>0</v>
      </c>
      <c r="N1511">
        <v>0</v>
      </c>
      <c r="O1511">
        <v>0</v>
      </c>
    </row>
    <row r="1512" spans="1:15" x14ac:dyDescent="0.25">
      <c r="A1512" t="s">
        <v>1249</v>
      </c>
      <c r="B1512" t="s">
        <v>3029</v>
      </c>
      <c r="C1512" t="s">
        <v>927</v>
      </c>
      <c r="D1512" t="s">
        <v>3052</v>
      </c>
      <c r="E1512" t="s">
        <v>3053</v>
      </c>
      <c r="F1512" t="s">
        <v>373</v>
      </c>
      <c r="G1512" t="s">
        <v>374</v>
      </c>
      <c r="H1512" t="s">
        <v>4025</v>
      </c>
      <c r="I1512">
        <v>125</v>
      </c>
      <c r="J1512">
        <v>80</v>
      </c>
      <c r="K1512">
        <v>0</v>
      </c>
      <c r="L1512">
        <v>0</v>
      </c>
      <c r="M1512">
        <v>0</v>
      </c>
      <c r="N1512">
        <v>0</v>
      </c>
      <c r="O1512">
        <v>45</v>
      </c>
    </row>
    <row r="1513" spans="1:15" x14ac:dyDescent="0.25">
      <c r="A1513" t="s">
        <v>1011</v>
      </c>
      <c r="B1513" t="s">
        <v>2020</v>
      </c>
      <c r="C1513" t="s">
        <v>927</v>
      </c>
      <c r="D1513" t="s">
        <v>3052</v>
      </c>
      <c r="E1513" t="s">
        <v>3053</v>
      </c>
      <c r="F1513" t="s">
        <v>373</v>
      </c>
      <c r="G1513" t="s">
        <v>374</v>
      </c>
      <c r="H1513" t="s">
        <v>4026</v>
      </c>
      <c r="I1513">
        <v>5</v>
      </c>
      <c r="J1513">
        <v>0</v>
      </c>
      <c r="K1513">
        <v>0</v>
      </c>
      <c r="L1513">
        <v>5</v>
      </c>
      <c r="M1513">
        <v>0</v>
      </c>
      <c r="N1513">
        <v>0</v>
      </c>
      <c r="O1513">
        <v>0</v>
      </c>
    </row>
    <row r="1514" spans="1:15" x14ac:dyDescent="0.25">
      <c r="A1514" t="s">
        <v>938</v>
      </c>
      <c r="B1514" t="s">
        <v>2791</v>
      </c>
      <c r="C1514" t="s">
        <v>927</v>
      </c>
      <c r="D1514" t="s">
        <v>3052</v>
      </c>
      <c r="E1514" t="s">
        <v>3053</v>
      </c>
      <c r="F1514" t="s">
        <v>373</v>
      </c>
      <c r="G1514" t="s">
        <v>374</v>
      </c>
      <c r="H1514" t="s">
        <v>4027</v>
      </c>
      <c r="I1514">
        <v>35</v>
      </c>
      <c r="J1514">
        <v>20</v>
      </c>
      <c r="K1514">
        <v>0</v>
      </c>
      <c r="L1514">
        <v>15</v>
      </c>
      <c r="M1514">
        <v>0</v>
      </c>
      <c r="N1514">
        <v>1</v>
      </c>
      <c r="O1514">
        <v>0</v>
      </c>
    </row>
    <row r="1515" spans="1:15" x14ac:dyDescent="0.25">
      <c r="A1515" t="s">
        <v>940</v>
      </c>
      <c r="B1515" t="s">
        <v>2647</v>
      </c>
      <c r="C1515" t="s">
        <v>927</v>
      </c>
      <c r="D1515" t="s">
        <v>3052</v>
      </c>
      <c r="E1515" t="s">
        <v>3053</v>
      </c>
      <c r="F1515" t="s">
        <v>373</v>
      </c>
      <c r="G1515" t="s">
        <v>374</v>
      </c>
      <c r="H1515" t="s">
        <v>4028</v>
      </c>
      <c r="I1515">
        <v>86</v>
      </c>
      <c r="J1515">
        <v>0</v>
      </c>
      <c r="K1515">
        <v>0</v>
      </c>
      <c r="L1515">
        <v>0</v>
      </c>
      <c r="M1515">
        <v>86</v>
      </c>
      <c r="N1515">
        <v>0</v>
      </c>
      <c r="O1515">
        <v>0</v>
      </c>
    </row>
    <row r="1516" spans="1:15" x14ac:dyDescent="0.25">
      <c r="A1516" t="s">
        <v>1012</v>
      </c>
      <c r="B1516" t="s">
        <v>2911</v>
      </c>
      <c r="C1516" t="s">
        <v>927</v>
      </c>
      <c r="D1516" t="s">
        <v>3052</v>
      </c>
      <c r="E1516" t="s">
        <v>3053</v>
      </c>
      <c r="F1516" t="s">
        <v>373</v>
      </c>
      <c r="G1516" t="s">
        <v>374</v>
      </c>
      <c r="H1516" t="s">
        <v>4029</v>
      </c>
      <c r="I1516">
        <v>460</v>
      </c>
      <c r="J1516">
        <v>328</v>
      </c>
      <c r="K1516">
        <v>0</v>
      </c>
      <c r="L1516">
        <v>9</v>
      </c>
      <c r="M1516">
        <v>38</v>
      </c>
      <c r="N1516">
        <v>5</v>
      </c>
      <c r="O1516">
        <v>85</v>
      </c>
    </row>
    <row r="1517" spans="1:15" x14ac:dyDescent="0.25">
      <c r="A1517" t="s">
        <v>1013</v>
      </c>
      <c r="B1517" t="s">
        <v>1959</v>
      </c>
      <c r="C1517" t="s">
        <v>927</v>
      </c>
      <c r="D1517" t="s">
        <v>3052</v>
      </c>
      <c r="E1517" t="s">
        <v>3053</v>
      </c>
      <c r="F1517" t="s">
        <v>373</v>
      </c>
      <c r="G1517" t="s">
        <v>374</v>
      </c>
      <c r="H1517" t="s">
        <v>4030</v>
      </c>
      <c r="I1517">
        <v>27</v>
      </c>
      <c r="J1517">
        <v>0</v>
      </c>
      <c r="K1517">
        <v>0</v>
      </c>
      <c r="L1517">
        <v>27</v>
      </c>
      <c r="M1517">
        <v>0</v>
      </c>
      <c r="N1517">
        <v>0</v>
      </c>
      <c r="O1517">
        <v>0</v>
      </c>
    </row>
    <row r="1518" spans="1:15" x14ac:dyDescent="0.25">
      <c r="A1518" t="s">
        <v>1126</v>
      </c>
      <c r="B1518" t="s">
        <v>2130</v>
      </c>
      <c r="C1518" t="s">
        <v>927</v>
      </c>
      <c r="D1518" t="s">
        <v>3052</v>
      </c>
      <c r="E1518" t="s">
        <v>3053</v>
      </c>
      <c r="F1518" t="s">
        <v>373</v>
      </c>
      <c r="G1518" t="s">
        <v>374</v>
      </c>
      <c r="H1518" t="s">
        <v>14556</v>
      </c>
      <c r="I1518">
        <v>3</v>
      </c>
      <c r="J1518">
        <v>0</v>
      </c>
      <c r="K1518">
        <v>0</v>
      </c>
      <c r="L1518">
        <v>0</v>
      </c>
      <c r="M1518">
        <v>0</v>
      </c>
      <c r="N1518">
        <v>0</v>
      </c>
      <c r="O1518">
        <v>3</v>
      </c>
    </row>
    <row r="1519" spans="1:15" x14ac:dyDescent="0.25">
      <c r="A1519" t="s">
        <v>1025</v>
      </c>
      <c r="B1519" t="s">
        <v>2893</v>
      </c>
      <c r="C1519" t="s">
        <v>927</v>
      </c>
      <c r="D1519" t="s">
        <v>3052</v>
      </c>
      <c r="E1519" t="s">
        <v>3053</v>
      </c>
      <c r="F1519" t="s">
        <v>373</v>
      </c>
      <c r="G1519" t="s">
        <v>374</v>
      </c>
      <c r="H1519" t="s">
        <v>10180</v>
      </c>
      <c r="I1519">
        <v>5</v>
      </c>
      <c r="J1519">
        <v>0</v>
      </c>
      <c r="K1519">
        <v>0</v>
      </c>
      <c r="L1519">
        <v>0</v>
      </c>
      <c r="M1519">
        <v>0</v>
      </c>
      <c r="N1519">
        <v>0</v>
      </c>
      <c r="O1519">
        <v>5</v>
      </c>
    </row>
    <row r="1520" spans="1:15" x14ac:dyDescent="0.25">
      <c r="A1520" t="s">
        <v>945</v>
      </c>
      <c r="B1520" t="s">
        <v>2668</v>
      </c>
      <c r="C1520" t="s">
        <v>927</v>
      </c>
      <c r="D1520" t="s">
        <v>3052</v>
      </c>
      <c r="E1520" t="s">
        <v>3053</v>
      </c>
      <c r="F1520" t="s">
        <v>373</v>
      </c>
      <c r="G1520" t="s">
        <v>374</v>
      </c>
      <c r="H1520" t="s">
        <v>4031</v>
      </c>
      <c r="I1520">
        <v>579</v>
      </c>
      <c r="J1520">
        <v>319</v>
      </c>
      <c r="K1520">
        <v>0</v>
      </c>
      <c r="L1520">
        <v>0</v>
      </c>
      <c r="M1520">
        <v>35</v>
      </c>
      <c r="N1520">
        <v>0</v>
      </c>
      <c r="O1520">
        <v>225</v>
      </c>
    </row>
    <row r="1521" spans="1:15" x14ac:dyDescent="0.25">
      <c r="A1521" t="s">
        <v>1041</v>
      </c>
      <c r="B1521" t="s">
        <v>2826</v>
      </c>
      <c r="C1521" t="s">
        <v>927</v>
      </c>
      <c r="D1521" t="s">
        <v>3052</v>
      </c>
      <c r="E1521" t="s">
        <v>3053</v>
      </c>
      <c r="F1521" t="s">
        <v>373</v>
      </c>
      <c r="G1521" t="s">
        <v>374</v>
      </c>
      <c r="H1521" t="s">
        <v>4032</v>
      </c>
      <c r="I1521">
        <v>75</v>
      </c>
      <c r="J1521">
        <v>8</v>
      </c>
      <c r="K1521">
        <v>0</v>
      </c>
      <c r="L1521">
        <v>0</v>
      </c>
      <c r="M1521">
        <v>0</v>
      </c>
      <c r="N1521">
        <v>0</v>
      </c>
      <c r="O1521">
        <v>67</v>
      </c>
    </row>
    <row r="1522" spans="1:15" x14ac:dyDescent="0.25">
      <c r="A1522" t="s">
        <v>9787</v>
      </c>
      <c r="B1522" t="s">
        <v>2822</v>
      </c>
      <c r="C1522" t="s">
        <v>927</v>
      </c>
      <c r="D1522" t="s">
        <v>3052</v>
      </c>
      <c r="E1522" t="s">
        <v>3053</v>
      </c>
      <c r="F1522" t="s">
        <v>373</v>
      </c>
      <c r="G1522" t="s">
        <v>374</v>
      </c>
      <c r="H1522" t="s">
        <v>10241</v>
      </c>
      <c r="I1522">
        <v>119</v>
      </c>
      <c r="J1522">
        <v>119</v>
      </c>
      <c r="K1522">
        <v>0</v>
      </c>
      <c r="L1522">
        <v>0</v>
      </c>
      <c r="M1522">
        <v>0</v>
      </c>
      <c r="N1522">
        <v>0</v>
      </c>
      <c r="O1522">
        <v>0</v>
      </c>
    </row>
    <row r="1523" spans="1:15" x14ac:dyDescent="0.25">
      <c r="A1523" t="s">
        <v>1641</v>
      </c>
      <c r="B1523" t="s">
        <v>2520</v>
      </c>
      <c r="C1523" t="s">
        <v>923</v>
      </c>
      <c r="D1523" t="s">
        <v>3063</v>
      </c>
      <c r="E1523" t="s">
        <v>3053</v>
      </c>
      <c r="F1523" t="s">
        <v>373</v>
      </c>
      <c r="G1523" t="s">
        <v>374</v>
      </c>
      <c r="H1523" t="s">
        <v>4033</v>
      </c>
      <c r="I1523">
        <v>25</v>
      </c>
      <c r="J1523">
        <v>25</v>
      </c>
      <c r="K1523">
        <v>0</v>
      </c>
      <c r="L1523">
        <v>0</v>
      </c>
      <c r="M1523">
        <v>0</v>
      </c>
      <c r="N1523">
        <v>0</v>
      </c>
      <c r="O1523">
        <v>0</v>
      </c>
    </row>
    <row r="1524" spans="1:15" x14ac:dyDescent="0.25">
      <c r="A1524" t="s">
        <v>951</v>
      </c>
      <c r="B1524" t="s">
        <v>2680</v>
      </c>
      <c r="C1524" t="s">
        <v>927</v>
      </c>
      <c r="D1524" t="s">
        <v>3052</v>
      </c>
      <c r="E1524" t="s">
        <v>3053</v>
      </c>
      <c r="F1524" t="s">
        <v>373</v>
      </c>
      <c r="G1524" t="s">
        <v>374</v>
      </c>
      <c r="H1524" t="s">
        <v>4034</v>
      </c>
      <c r="I1524">
        <v>138</v>
      </c>
      <c r="J1524">
        <v>138</v>
      </c>
      <c r="K1524">
        <v>0</v>
      </c>
      <c r="L1524">
        <v>0</v>
      </c>
      <c r="M1524">
        <v>0</v>
      </c>
      <c r="N1524">
        <v>1</v>
      </c>
      <c r="O1524">
        <v>0</v>
      </c>
    </row>
    <row r="1525" spans="1:15" x14ac:dyDescent="0.25">
      <c r="A1525" t="s">
        <v>1048</v>
      </c>
      <c r="B1525" t="s">
        <v>2989</v>
      </c>
      <c r="C1525" t="s">
        <v>927</v>
      </c>
      <c r="D1525" t="s">
        <v>3052</v>
      </c>
      <c r="E1525" t="s">
        <v>3053</v>
      </c>
      <c r="F1525" t="s">
        <v>373</v>
      </c>
      <c r="G1525" t="s">
        <v>374</v>
      </c>
      <c r="H1525" t="s">
        <v>10310</v>
      </c>
      <c r="I1525">
        <v>3</v>
      </c>
      <c r="J1525">
        <v>0</v>
      </c>
      <c r="K1525">
        <v>0</v>
      </c>
      <c r="L1525">
        <v>3</v>
      </c>
      <c r="M1525">
        <v>0</v>
      </c>
      <c r="N1525">
        <v>0</v>
      </c>
      <c r="O1525">
        <v>0</v>
      </c>
    </row>
    <row r="1526" spans="1:15" x14ac:dyDescent="0.25">
      <c r="A1526" t="s">
        <v>955</v>
      </c>
      <c r="B1526" t="s">
        <v>2660</v>
      </c>
      <c r="C1526" t="s">
        <v>927</v>
      </c>
      <c r="D1526" t="s">
        <v>3052</v>
      </c>
      <c r="E1526" t="s">
        <v>3053</v>
      </c>
      <c r="F1526" t="s">
        <v>373</v>
      </c>
      <c r="G1526" t="s">
        <v>374</v>
      </c>
      <c r="H1526" t="s">
        <v>4035</v>
      </c>
      <c r="I1526">
        <v>586</v>
      </c>
      <c r="J1526">
        <v>445</v>
      </c>
      <c r="K1526">
        <v>0</v>
      </c>
      <c r="L1526">
        <v>52</v>
      </c>
      <c r="M1526">
        <v>33</v>
      </c>
      <c r="N1526">
        <v>1</v>
      </c>
      <c r="O1526">
        <v>56</v>
      </c>
    </row>
    <row r="1527" spans="1:15" x14ac:dyDescent="0.25">
      <c r="A1527" t="s">
        <v>11663</v>
      </c>
      <c r="B1527" t="s">
        <v>11768</v>
      </c>
      <c r="C1527" t="s">
        <v>927</v>
      </c>
      <c r="D1527" t="s">
        <v>3052</v>
      </c>
      <c r="E1527" t="s">
        <v>3053</v>
      </c>
      <c r="F1527" t="s">
        <v>373</v>
      </c>
      <c r="G1527" t="s">
        <v>374</v>
      </c>
      <c r="H1527" t="s">
        <v>11925</v>
      </c>
      <c r="I1527">
        <v>399</v>
      </c>
      <c r="J1527">
        <v>316</v>
      </c>
      <c r="K1527">
        <v>0</v>
      </c>
      <c r="L1527">
        <v>46</v>
      </c>
      <c r="M1527">
        <v>0</v>
      </c>
      <c r="N1527">
        <v>2</v>
      </c>
      <c r="O1527">
        <v>37</v>
      </c>
    </row>
    <row r="1528" spans="1:15" x14ac:dyDescent="0.25">
      <c r="A1528" t="s">
        <v>1159</v>
      </c>
      <c r="B1528" t="s">
        <v>2829</v>
      </c>
      <c r="C1528" t="s">
        <v>927</v>
      </c>
      <c r="D1528" t="s">
        <v>3052</v>
      </c>
      <c r="E1528" t="s">
        <v>3053</v>
      </c>
      <c r="F1528" t="s">
        <v>373</v>
      </c>
      <c r="G1528" t="s">
        <v>374</v>
      </c>
      <c r="H1528" t="s">
        <v>11926</v>
      </c>
      <c r="I1528">
        <v>1</v>
      </c>
      <c r="J1528">
        <v>0</v>
      </c>
      <c r="K1528">
        <v>0</v>
      </c>
      <c r="L1528">
        <v>0</v>
      </c>
      <c r="M1528">
        <v>0</v>
      </c>
      <c r="N1528">
        <v>0</v>
      </c>
      <c r="O1528">
        <v>1</v>
      </c>
    </row>
    <row r="1529" spans="1:15" x14ac:dyDescent="0.25">
      <c r="A1529" t="s">
        <v>10755</v>
      </c>
      <c r="B1529" t="s">
        <v>2313</v>
      </c>
      <c r="C1529" t="s">
        <v>923</v>
      </c>
      <c r="D1529" t="s">
        <v>3063</v>
      </c>
      <c r="E1529" t="s">
        <v>3053</v>
      </c>
      <c r="F1529" t="s">
        <v>373</v>
      </c>
      <c r="G1529" t="s">
        <v>374</v>
      </c>
      <c r="H1529" t="s">
        <v>10907</v>
      </c>
      <c r="I1529">
        <v>6</v>
      </c>
      <c r="J1529">
        <v>6</v>
      </c>
      <c r="K1529">
        <v>0</v>
      </c>
      <c r="L1529">
        <v>0</v>
      </c>
      <c r="M1529">
        <v>0</v>
      </c>
      <c r="N1529">
        <v>0</v>
      </c>
      <c r="O1529">
        <v>0</v>
      </c>
    </row>
    <row r="1530" spans="1:15" x14ac:dyDescent="0.25">
      <c r="A1530" t="s">
        <v>1072</v>
      </c>
      <c r="B1530" t="s">
        <v>2907</v>
      </c>
      <c r="C1530" t="s">
        <v>927</v>
      </c>
      <c r="D1530" t="s">
        <v>3052</v>
      </c>
      <c r="E1530" t="s">
        <v>3053</v>
      </c>
      <c r="F1530" t="s">
        <v>373</v>
      </c>
      <c r="G1530" t="s">
        <v>374</v>
      </c>
      <c r="H1530" t="s">
        <v>4036</v>
      </c>
      <c r="I1530">
        <v>34</v>
      </c>
      <c r="J1530">
        <v>20</v>
      </c>
      <c r="K1530">
        <v>0</v>
      </c>
      <c r="L1530">
        <v>0</v>
      </c>
      <c r="M1530">
        <v>14</v>
      </c>
      <c r="N1530">
        <v>0</v>
      </c>
      <c r="O1530">
        <v>0</v>
      </c>
    </row>
    <row r="1531" spans="1:15" x14ac:dyDescent="0.25">
      <c r="A1531" t="s">
        <v>1684</v>
      </c>
      <c r="B1531" t="s">
        <v>2845</v>
      </c>
      <c r="C1531" t="s">
        <v>927</v>
      </c>
      <c r="D1531" t="s">
        <v>3052</v>
      </c>
      <c r="E1531" t="s">
        <v>3053</v>
      </c>
      <c r="F1531" t="s">
        <v>373</v>
      </c>
      <c r="G1531" t="s">
        <v>374</v>
      </c>
      <c r="H1531" t="s">
        <v>4037</v>
      </c>
      <c r="I1531">
        <v>534</v>
      </c>
      <c r="J1531">
        <v>403</v>
      </c>
      <c r="K1531">
        <v>0</v>
      </c>
      <c r="L1531">
        <v>12</v>
      </c>
      <c r="M1531">
        <v>0</v>
      </c>
      <c r="N1531">
        <v>0</v>
      </c>
      <c r="O1531">
        <v>119</v>
      </c>
    </row>
    <row r="1532" spans="1:15" x14ac:dyDescent="0.25">
      <c r="A1532" t="s">
        <v>1690</v>
      </c>
      <c r="B1532" t="s">
        <v>2514</v>
      </c>
      <c r="C1532" t="s">
        <v>923</v>
      </c>
      <c r="D1532" t="s">
        <v>3063</v>
      </c>
      <c r="E1532" t="s">
        <v>3053</v>
      </c>
      <c r="F1532" t="s">
        <v>373</v>
      </c>
      <c r="G1532" t="s">
        <v>374</v>
      </c>
      <c r="H1532" t="s">
        <v>4038</v>
      </c>
      <c r="I1532">
        <v>40</v>
      </c>
      <c r="J1532">
        <v>40</v>
      </c>
      <c r="K1532">
        <v>0</v>
      </c>
      <c r="L1532">
        <v>0</v>
      </c>
      <c r="M1532">
        <v>0</v>
      </c>
      <c r="N1532">
        <v>0</v>
      </c>
      <c r="O1532">
        <v>0</v>
      </c>
    </row>
    <row r="1533" spans="1:15" x14ac:dyDescent="0.25">
      <c r="A1533" t="s">
        <v>1691</v>
      </c>
      <c r="B1533" t="s">
        <v>2980</v>
      </c>
      <c r="C1533" t="s">
        <v>927</v>
      </c>
      <c r="D1533" t="s">
        <v>3052</v>
      </c>
      <c r="E1533" t="s">
        <v>3053</v>
      </c>
      <c r="F1533" t="s">
        <v>373</v>
      </c>
      <c r="G1533" t="s">
        <v>374</v>
      </c>
      <c r="H1533" t="s">
        <v>4039</v>
      </c>
      <c r="I1533">
        <v>47</v>
      </c>
      <c r="J1533">
        <v>18</v>
      </c>
      <c r="K1533">
        <v>0</v>
      </c>
      <c r="L1533">
        <v>0</v>
      </c>
      <c r="M1533">
        <v>0</v>
      </c>
      <c r="N1533">
        <v>0</v>
      </c>
      <c r="O1533">
        <v>29</v>
      </c>
    </row>
    <row r="1534" spans="1:15" x14ac:dyDescent="0.25">
      <c r="A1534" t="s">
        <v>1080</v>
      </c>
      <c r="B1534" t="s">
        <v>2030</v>
      </c>
      <c r="C1534" t="s">
        <v>923</v>
      </c>
      <c r="D1534" t="s">
        <v>3063</v>
      </c>
      <c r="E1534" t="s">
        <v>3053</v>
      </c>
      <c r="F1534" t="s">
        <v>373</v>
      </c>
      <c r="G1534" t="s">
        <v>374</v>
      </c>
      <c r="H1534" t="s">
        <v>4040</v>
      </c>
      <c r="I1534">
        <v>11</v>
      </c>
      <c r="J1534">
        <v>0</v>
      </c>
      <c r="K1534">
        <v>0</v>
      </c>
      <c r="L1534">
        <v>11</v>
      </c>
      <c r="M1534">
        <v>0</v>
      </c>
      <c r="N1534">
        <v>0</v>
      </c>
      <c r="O1534">
        <v>0</v>
      </c>
    </row>
    <row r="1535" spans="1:15" x14ac:dyDescent="0.25">
      <c r="A1535" t="s">
        <v>926</v>
      </c>
      <c r="B1535" t="s">
        <v>2923</v>
      </c>
      <c r="C1535" t="s">
        <v>927</v>
      </c>
      <c r="D1535" t="s">
        <v>3052</v>
      </c>
      <c r="E1535" t="s">
        <v>3053</v>
      </c>
      <c r="F1535" t="s">
        <v>375</v>
      </c>
      <c r="G1535" t="s">
        <v>376</v>
      </c>
      <c r="H1535" t="s">
        <v>4041</v>
      </c>
      <c r="I1535">
        <v>12</v>
      </c>
      <c r="J1535">
        <v>0</v>
      </c>
      <c r="K1535">
        <v>0</v>
      </c>
      <c r="L1535">
        <v>12</v>
      </c>
      <c r="M1535">
        <v>0</v>
      </c>
      <c r="N1535">
        <v>0</v>
      </c>
      <c r="O1535">
        <v>0</v>
      </c>
    </row>
    <row r="1536" spans="1:15" x14ac:dyDescent="0.25">
      <c r="A1536" t="s">
        <v>929</v>
      </c>
      <c r="B1536" t="s">
        <v>2999</v>
      </c>
      <c r="C1536" t="s">
        <v>927</v>
      </c>
      <c r="D1536" t="s">
        <v>3052</v>
      </c>
      <c r="E1536" t="s">
        <v>3053</v>
      </c>
      <c r="F1536" t="s">
        <v>375</v>
      </c>
      <c r="G1536" t="s">
        <v>376</v>
      </c>
      <c r="H1536" t="s">
        <v>4042</v>
      </c>
      <c r="I1536">
        <v>48</v>
      </c>
      <c r="J1536">
        <v>0</v>
      </c>
      <c r="K1536">
        <v>0</v>
      </c>
      <c r="L1536">
        <v>0</v>
      </c>
      <c r="M1536">
        <v>48</v>
      </c>
      <c r="N1536">
        <v>0</v>
      </c>
      <c r="O1536">
        <v>0</v>
      </c>
    </row>
    <row r="1537" spans="1:15" x14ac:dyDescent="0.25">
      <c r="A1537" t="s">
        <v>1100</v>
      </c>
      <c r="B1537" t="s">
        <v>2855</v>
      </c>
      <c r="C1537" t="s">
        <v>927</v>
      </c>
      <c r="D1537" t="s">
        <v>3052</v>
      </c>
      <c r="E1537" t="s">
        <v>3053</v>
      </c>
      <c r="F1537" t="s">
        <v>375</v>
      </c>
      <c r="G1537" t="s">
        <v>376</v>
      </c>
      <c r="H1537" t="s">
        <v>4043</v>
      </c>
      <c r="I1537">
        <v>17</v>
      </c>
      <c r="J1537">
        <v>11</v>
      </c>
      <c r="K1537">
        <v>0</v>
      </c>
      <c r="L1537">
        <v>6</v>
      </c>
      <c r="M1537">
        <v>0</v>
      </c>
      <c r="N1537">
        <v>0</v>
      </c>
      <c r="O1537">
        <v>0</v>
      </c>
    </row>
    <row r="1538" spans="1:15" x14ac:dyDescent="0.25">
      <c r="A1538" t="s">
        <v>1111</v>
      </c>
      <c r="B1538" t="s">
        <v>2795</v>
      </c>
      <c r="C1538" t="s">
        <v>927</v>
      </c>
      <c r="D1538" t="s">
        <v>3052</v>
      </c>
      <c r="E1538" t="s">
        <v>3053</v>
      </c>
      <c r="F1538" t="s">
        <v>375</v>
      </c>
      <c r="G1538" t="s">
        <v>376</v>
      </c>
      <c r="H1538" t="s">
        <v>4044</v>
      </c>
      <c r="I1538">
        <v>150</v>
      </c>
      <c r="J1538">
        <v>112</v>
      </c>
      <c r="K1538">
        <v>0</v>
      </c>
      <c r="L1538">
        <v>12</v>
      </c>
      <c r="M1538">
        <v>0</v>
      </c>
      <c r="N1538">
        <v>0</v>
      </c>
      <c r="O1538">
        <v>26</v>
      </c>
    </row>
    <row r="1539" spans="1:15" x14ac:dyDescent="0.25">
      <c r="A1539" t="s">
        <v>938</v>
      </c>
      <c r="B1539" t="s">
        <v>2791</v>
      </c>
      <c r="C1539" t="s">
        <v>927</v>
      </c>
      <c r="D1539" t="s">
        <v>3052</v>
      </c>
      <c r="E1539" t="s">
        <v>3053</v>
      </c>
      <c r="F1539" t="s">
        <v>375</v>
      </c>
      <c r="G1539" t="s">
        <v>376</v>
      </c>
      <c r="H1539" t="s">
        <v>4045</v>
      </c>
      <c r="I1539">
        <v>132</v>
      </c>
      <c r="J1539">
        <v>132</v>
      </c>
      <c r="K1539">
        <v>0</v>
      </c>
      <c r="L1539">
        <v>0</v>
      </c>
      <c r="M1539">
        <v>0</v>
      </c>
      <c r="N1539">
        <v>0</v>
      </c>
      <c r="O1539">
        <v>0</v>
      </c>
    </row>
    <row r="1540" spans="1:15" x14ac:dyDescent="0.25">
      <c r="A1540" t="s">
        <v>1013</v>
      </c>
      <c r="B1540" t="s">
        <v>1959</v>
      </c>
      <c r="C1540" t="s">
        <v>927</v>
      </c>
      <c r="D1540" t="s">
        <v>3052</v>
      </c>
      <c r="E1540" t="s">
        <v>3053</v>
      </c>
      <c r="F1540" t="s">
        <v>375</v>
      </c>
      <c r="G1540" t="s">
        <v>376</v>
      </c>
      <c r="H1540" t="s">
        <v>10908</v>
      </c>
      <c r="I1540">
        <v>3</v>
      </c>
      <c r="J1540">
        <v>0</v>
      </c>
      <c r="K1540">
        <v>0</v>
      </c>
      <c r="L1540">
        <v>3</v>
      </c>
      <c r="M1540">
        <v>0</v>
      </c>
      <c r="N1540">
        <v>0</v>
      </c>
      <c r="O1540">
        <v>0</v>
      </c>
    </row>
    <row r="1541" spans="1:15" x14ac:dyDescent="0.25">
      <c r="A1541" t="s">
        <v>1127</v>
      </c>
      <c r="B1541" t="s">
        <v>3034</v>
      </c>
      <c r="C1541" t="s">
        <v>927</v>
      </c>
      <c r="D1541" t="s">
        <v>3052</v>
      </c>
      <c r="E1541" t="s">
        <v>3053</v>
      </c>
      <c r="F1541" t="s">
        <v>375</v>
      </c>
      <c r="G1541" t="s">
        <v>376</v>
      </c>
      <c r="H1541" t="s">
        <v>4046</v>
      </c>
      <c r="I1541">
        <v>5</v>
      </c>
      <c r="J1541">
        <v>5</v>
      </c>
      <c r="K1541">
        <v>0</v>
      </c>
      <c r="L1541">
        <v>0</v>
      </c>
      <c r="M1541">
        <v>0</v>
      </c>
      <c r="N1541">
        <v>0</v>
      </c>
      <c r="O1541">
        <v>0</v>
      </c>
    </row>
    <row r="1542" spans="1:15" x14ac:dyDescent="0.25">
      <c r="A1542" t="s">
        <v>1025</v>
      </c>
      <c r="B1542" t="s">
        <v>2893</v>
      </c>
      <c r="C1542" t="s">
        <v>927</v>
      </c>
      <c r="D1542" t="s">
        <v>3052</v>
      </c>
      <c r="E1542" t="s">
        <v>3053</v>
      </c>
      <c r="F1542" t="s">
        <v>375</v>
      </c>
      <c r="G1542" t="s">
        <v>376</v>
      </c>
      <c r="H1542" t="s">
        <v>4047</v>
      </c>
      <c r="I1542">
        <v>2</v>
      </c>
      <c r="J1542">
        <v>0</v>
      </c>
      <c r="K1542">
        <v>0</v>
      </c>
      <c r="L1542">
        <v>0</v>
      </c>
      <c r="M1542">
        <v>0</v>
      </c>
      <c r="N1542">
        <v>0</v>
      </c>
      <c r="O1542">
        <v>2</v>
      </c>
    </row>
    <row r="1543" spans="1:15" x14ac:dyDescent="0.25">
      <c r="A1543" t="s">
        <v>945</v>
      </c>
      <c r="B1543" t="s">
        <v>2668</v>
      </c>
      <c r="C1543" t="s">
        <v>927</v>
      </c>
      <c r="D1543" t="s">
        <v>3052</v>
      </c>
      <c r="E1543" t="s">
        <v>3053</v>
      </c>
      <c r="F1543" t="s">
        <v>375</v>
      </c>
      <c r="G1543" t="s">
        <v>376</v>
      </c>
      <c r="H1543" t="s">
        <v>4048</v>
      </c>
      <c r="I1543">
        <v>146</v>
      </c>
      <c r="J1543">
        <v>102</v>
      </c>
      <c r="K1543">
        <v>0</v>
      </c>
      <c r="L1543">
        <v>6</v>
      </c>
      <c r="M1543">
        <v>0</v>
      </c>
      <c r="N1543">
        <v>0</v>
      </c>
      <c r="O1543">
        <v>38</v>
      </c>
    </row>
    <row r="1544" spans="1:15" x14ac:dyDescent="0.25">
      <c r="A1544" t="s">
        <v>1033</v>
      </c>
      <c r="B1544" t="s">
        <v>2039</v>
      </c>
      <c r="C1544" t="s">
        <v>923</v>
      </c>
      <c r="D1544" t="s">
        <v>3063</v>
      </c>
      <c r="E1544" t="s">
        <v>3053</v>
      </c>
      <c r="F1544" t="s">
        <v>375</v>
      </c>
      <c r="G1544" t="s">
        <v>376</v>
      </c>
      <c r="H1544" t="s">
        <v>4049</v>
      </c>
      <c r="I1544">
        <v>1</v>
      </c>
      <c r="J1544">
        <v>0</v>
      </c>
      <c r="K1544">
        <v>0</v>
      </c>
      <c r="L1544">
        <v>1</v>
      </c>
      <c r="M1544">
        <v>0</v>
      </c>
      <c r="N1544">
        <v>0</v>
      </c>
      <c r="O1544">
        <v>0</v>
      </c>
    </row>
    <row r="1545" spans="1:15" x14ac:dyDescent="0.25">
      <c r="A1545" t="s">
        <v>1134</v>
      </c>
      <c r="B1545" t="s">
        <v>2118</v>
      </c>
      <c r="C1545" t="s">
        <v>927</v>
      </c>
      <c r="D1545" t="s">
        <v>3052</v>
      </c>
      <c r="E1545" t="s">
        <v>3053</v>
      </c>
      <c r="F1545" t="s">
        <v>375</v>
      </c>
      <c r="G1545" t="s">
        <v>376</v>
      </c>
      <c r="H1545" t="s">
        <v>4050</v>
      </c>
      <c r="I1545">
        <v>22</v>
      </c>
      <c r="J1545">
        <v>19</v>
      </c>
      <c r="K1545">
        <v>0</v>
      </c>
      <c r="L1545">
        <v>0</v>
      </c>
      <c r="M1545">
        <v>0</v>
      </c>
      <c r="N1545">
        <v>0</v>
      </c>
      <c r="O1545">
        <v>3</v>
      </c>
    </row>
    <row r="1546" spans="1:15" x14ac:dyDescent="0.25">
      <c r="A1546" t="s">
        <v>949</v>
      </c>
      <c r="B1546" t="s">
        <v>3035</v>
      </c>
      <c r="C1546" t="s">
        <v>927</v>
      </c>
      <c r="D1546" t="s">
        <v>3052</v>
      </c>
      <c r="E1546" t="s">
        <v>3053</v>
      </c>
      <c r="F1546" t="s">
        <v>375</v>
      </c>
      <c r="G1546" t="s">
        <v>376</v>
      </c>
      <c r="H1546" t="s">
        <v>4051</v>
      </c>
      <c r="I1546">
        <v>1</v>
      </c>
      <c r="J1546">
        <v>0</v>
      </c>
      <c r="K1546">
        <v>0</v>
      </c>
      <c r="L1546">
        <v>0</v>
      </c>
      <c r="M1546">
        <v>0</v>
      </c>
      <c r="N1546">
        <v>0</v>
      </c>
      <c r="O1546">
        <v>1</v>
      </c>
    </row>
    <row r="1547" spans="1:15" x14ac:dyDescent="0.25">
      <c r="A1547" t="s">
        <v>1041</v>
      </c>
      <c r="B1547" t="s">
        <v>2826</v>
      </c>
      <c r="C1547" t="s">
        <v>927</v>
      </c>
      <c r="D1547" t="s">
        <v>3052</v>
      </c>
      <c r="E1547" t="s">
        <v>3053</v>
      </c>
      <c r="F1547" t="s">
        <v>375</v>
      </c>
      <c r="G1547" t="s">
        <v>376</v>
      </c>
      <c r="H1547" t="s">
        <v>10909</v>
      </c>
      <c r="I1547">
        <v>8</v>
      </c>
      <c r="J1547">
        <v>0</v>
      </c>
      <c r="K1547">
        <v>0</v>
      </c>
      <c r="L1547">
        <v>0</v>
      </c>
      <c r="M1547">
        <v>0</v>
      </c>
      <c r="N1547">
        <v>0</v>
      </c>
      <c r="O1547">
        <v>8</v>
      </c>
    </row>
    <row r="1548" spans="1:15" x14ac:dyDescent="0.25">
      <c r="A1548" t="s">
        <v>1140</v>
      </c>
      <c r="B1548" t="s">
        <v>2697</v>
      </c>
      <c r="C1548" t="s">
        <v>927</v>
      </c>
      <c r="D1548" t="s">
        <v>3052</v>
      </c>
      <c r="E1548" t="s">
        <v>3053</v>
      </c>
      <c r="F1548" t="s">
        <v>375</v>
      </c>
      <c r="G1548" t="s">
        <v>376</v>
      </c>
      <c r="H1548" t="s">
        <v>4052</v>
      </c>
      <c r="I1548">
        <v>1</v>
      </c>
      <c r="J1548">
        <v>0</v>
      </c>
      <c r="K1548">
        <v>0</v>
      </c>
      <c r="L1548">
        <v>0</v>
      </c>
      <c r="M1548">
        <v>0</v>
      </c>
      <c r="N1548">
        <v>0</v>
      </c>
      <c r="O1548">
        <v>1</v>
      </c>
    </row>
    <row r="1549" spans="1:15" x14ac:dyDescent="0.25">
      <c r="A1549" t="s">
        <v>1146</v>
      </c>
      <c r="B1549" t="s">
        <v>2117</v>
      </c>
      <c r="C1549" t="s">
        <v>927</v>
      </c>
      <c r="D1549" t="s">
        <v>3052</v>
      </c>
      <c r="E1549" t="s">
        <v>3053</v>
      </c>
      <c r="F1549" t="s">
        <v>375</v>
      </c>
      <c r="G1549" t="s">
        <v>376</v>
      </c>
      <c r="H1549" t="s">
        <v>10910</v>
      </c>
      <c r="I1549">
        <v>32</v>
      </c>
      <c r="J1549">
        <v>16</v>
      </c>
      <c r="K1549">
        <v>0</v>
      </c>
      <c r="L1549">
        <v>16</v>
      </c>
      <c r="M1549">
        <v>0</v>
      </c>
      <c r="N1549">
        <v>0</v>
      </c>
      <c r="O1549">
        <v>0</v>
      </c>
    </row>
    <row r="1550" spans="1:15" x14ac:dyDescent="0.25">
      <c r="A1550" t="s">
        <v>951</v>
      </c>
      <c r="B1550" t="s">
        <v>2680</v>
      </c>
      <c r="C1550" t="s">
        <v>927</v>
      </c>
      <c r="D1550" t="s">
        <v>3052</v>
      </c>
      <c r="E1550" t="s">
        <v>3053</v>
      </c>
      <c r="F1550" t="s">
        <v>375</v>
      </c>
      <c r="G1550" t="s">
        <v>376</v>
      </c>
      <c r="H1550" t="s">
        <v>4053</v>
      </c>
      <c r="I1550">
        <v>12</v>
      </c>
      <c r="J1550">
        <v>5</v>
      </c>
      <c r="K1550">
        <v>0</v>
      </c>
      <c r="L1550">
        <v>0</v>
      </c>
      <c r="M1550">
        <v>0</v>
      </c>
      <c r="N1550">
        <v>0</v>
      </c>
      <c r="O1550">
        <v>7</v>
      </c>
    </row>
    <row r="1551" spans="1:15" x14ac:dyDescent="0.25">
      <c r="A1551" t="s">
        <v>1152</v>
      </c>
      <c r="B1551" t="s">
        <v>3031</v>
      </c>
      <c r="C1551" t="s">
        <v>927</v>
      </c>
      <c r="D1551" t="s">
        <v>3052</v>
      </c>
      <c r="E1551" t="s">
        <v>3053</v>
      </c>
      <c r="F1551" t="s">
        <v>375</v>
      </c>
      <c r="G1551" t="s">
        <v>376</v>
      </c>
      <c r="H1551" t="s">
        <v>4054</v>
      </c>
      <c r="I1551">
        <v>2</v>
      </c>
      <c r="J1551">
        <v>0</v>
      </c>
      <c r="K1551">
        <v>0</v>
      </c>
      <c r="L1551">
        <v>0</v>
      </c>
      <c r="M1551">
        <v>0</v>
      </c>
      <c r="N1551">
        <v>0</v>
      </c>
      <c r="O1551">
        <v>2</v>
      </c>
    </row>
    <row r="1552" spans="1:15" x14ac:dyDescent="0.25">
      <c r="A1552" t="s">
        <v>11663</v>
      </c>
      <c r="B1552" t="s">
        <v>11768</v>
      </c>
      <c r="C1552" t="s">
        <v>927</v>
      </c>
      <c r="D1552" t="s">
        <v>3052</v>
      </c>
      <c r="E1552" t="s">
        <v>3053</v>
      </c>
      <c r="F1552" t="s">
        <v>375</v>
      </c>
      <c r="G1552" t="s">
        <v>376</v>
      </c>
      <c r="H1552" t="s">
        <v>11927</v>
      </c>
      <c r="I1552">
        <v>1</v>
      </c>
      <c r="J1552">
        <v>0</v>
      </c>
      <c r="K1552">
        <v>0</v>
      </c>
      <c r="L1552">
        <v>0</v>
      </c>
      <c r="M1552">
        <v>0</v>
      </c>
      <c r="N1552">
        <v>0</v>
      </c>
      <c r="O1552">
        <v>1</v>
      </c>
    </row>
    <row r="1553" spans="1:15" x14ac:dyDescent="0.25">
      <c r="A1553" t="s">
        <v>1159</v>
      </c>
      <c r="B1553" t="s">
        <v>2829</v>
      </c>
      <c r="C1553" t="s">
        <v>927</v>
      </c>
      <c r="D1553" t="s">
        <v>3052</v>
      </c>
      <c r="E1553" t="s">
        <v>3053</v>
      </c>
      <c r="F1553" t="s">
        <v>375</v>
      </c>
      <c r="G1553" t="s">
        <v>376</v>
      </c>
      <c r="H1553" t="s">
        <v>4055</v>
      </c>
      <c r="I1553">
        <v>57</v>
      </c>
      <c r="J1553">
        <v>48</v>
      </c>
      <c r="K1553">
        <v>0</v>
      </c>
      <c r="L1553">
        <v>9</v>
      </c>
      <c r="M1553">
        <v>0</v>
      </c>
      <c r="N1553">
        <v>6</v>
      </c>
      <c r="O1553">
        <v>0</v>
      </c>
    </row>
    <row r="1554" spans="1:15" x14ac:dyDescent="0.25">
      <c r="A1554" t="s">
        <v>1163</v>
      </c>
      <c r="B1554" t="s">
        <v>2562</v>
      </c>
      <c r="C1554" t="s">
        <v>923</v>
      </c>
      <c r="D1554" t="s">
        <v>3063</v>
      </c>
      <c r="E1554" t="s">
        <v>3053</v>
      </c>
      <c r="F1554" t="s">
        <v>375</v>
      </c>
      <c r="G1554" t="s">
        <v>376</v>
      </c>
      <c r="H1554" t="s">
        <v>4056</v>
      </c>
      <c r="I1554">
        <v>11</v>
      </c>
      <c r="J1554">
        <v>0</v>
      </c>
      <c r="K1554">
        <v>0</v>
      </c>
      <c r="L1554">
        <v>0</v>
      </c>
      <c r="M1554">
        <v>11</v>
      </c>
      <c r="N1554">
        <v>0</v>
      </c>
      <c r="O1554">
        <v>0</v>
      </c>
    </row>
    <row r="1555" spans="1:15" x14ac:dyDescent="0.25">
      <c r="A1555" t="s">
        <v>1066</v>
      </c>
      <c r="B1555" t="s">
        <v>2557</v>
      </c>
      <c r="C1555" t="s">
        <v>927</v>
      </c>
      <c r="D1555" t="s">
        <v>3052</v>
      </c>
      <c r="E1555" t="s">
        <v>3053</v>
      </c>
      <c r="F1555" t="s">
        <v>375</v>
      </c>
      <c r="G1555" t="s">
        <v>376</v>
      </c>
      <c r="H1555" t="s">
        <v>4057</v>
      </c>
      <c r="I1555">
        <v>14</v>
      </c>
      <c r="J1555">
        <v>0</v>
      </c>
      <c r="K1555">
        <v>0</v>
      </c>
      <c r="L1555">
        <v>0</v>
      </c>
      <c r="M1555">
        <v>14</v>
      </c>
      <c r="N1555">
        <v>0</v>
      </c>
      <c r="O1555">
        <v>0</v>
      </c>
    </row>
    <row r="1556" spans="1:15" x14ac:dyDescent="0.25">
      <c r="A1556" t="s">
        <v>1174</v>
      </c>
      <c r="B1556" t="s">
        <v>2663</v>
      </c>
      <c r="C1556" t="s">
        <v>927</v>
      </c>
      <c r="D1556" t="s">
        <v>3052</v>
      </c>
      <c r="E1556" t="s">
        <v>3053</v>
      </c>
      <c r="F1556" t="s">
        <v>375</v>
      </c>
      <c r="G1556" t="s">
        <v>376</v>
      </c>
      <c r="H1556" t="s">
        <v>4058</v>
      </c>
      <c r="I1556">
        <v>5</v>
      </c>
      <c r="J1556">
        <v>5</v>
      </c>
      <c r="K1556">
        <v>0</v>
      </c>
      <c r="L1556">
        <v>0</v>
      </c>
      <c r="M1556">
        <v>0</v>
      </c>
      <c r="N1556">
        <v>0</v>
      </c>
      <c r="O1556">
        <v>0</v>
      </c>
    </row>
    <row r="1557" spans="1:15" x14ac:dyDescent="0.25">
      <c r="A1557" t="s">
        <v>1176</v>
      </c>
      <c r="B1557" t="s">
        <v>2952</v>
      </c>
      <c r="C1557" t="s">
        <v>923</v>
      </c>
      <c r="D1557" t="s">
        <v>3063</v>
      </c>
      <c r="E1557" t="s">
        <v>3053</v>
      </c>
      <c r="F1557" t="s">
        <v>375</v>
      </c>
      <c r="G1557" t="s">
        <v>376</v>
      </c>
      <c r="H1557" t="s">
        <v>4059</v>
      </c>
      <c r="I1557">
        <v>4</v>
      </c>
      <c r="J1557">
        <v>0</v>
      </c>
      <c r="K1557">
        <v>0</v>
      </c>
      <c r="L1557">
        <v>4</v>
      </c>
      <c r="M1557">
        <v>0</v>
      </c>
      <c r="N1557">
        <v>0</v>
      </c>
      <c r="O1557">
        <v>0</v>
      </c>
    </row>
    <row r="1558" spans="1:15" x14ac:dyDescent="0.25">
      <c r="A1558" t="s">
        <v>1072</v>
      </c>
      <c r="B1558" t="s">
        <v>2907</v>
      </c>
      <c r="C1558" t="s">
        <v>927</v>
      </c>
      <c r="D1558" t="s">
        <v>3052</v>
      </c>
      <c r="E1558" t="s">
        <v>3053</v>
      </c>
      <c r="F1558" t="s">
        <v>375</v>
      </c>
      <c r="G1558" t="s">
        <v>376</v>
      </c>
      <c r="H1558" t="s">
        <v>14557</v>
      </c>
      <c r="I1558">
        <v>2</v>
      </c>
      <c r="J1558">
        <v>0</v>
      </c>
      <c r="K1558">
        <v>0</v>
      </c>
      <c r="L1558">
        <v>0</v>
      </c>
      <c r="M1558">
        <v>0</v>
      </c>
      <c r="N1558">
        <v>0</v>
      </c>
      <c r="O1558">
        <v>2</v>
      </c>
    </row>
    <row r="1559" spans="1:15" x14ac:dyDescent="0.25">
      <c r="A1559" t="s">
        <v>926</v>
      </c>
      <c r="B1559" t="s">
        <v>2923</v>
      </c>
      <c r="C1559" t="s">
        <v>927</v>
      </c>
      <c r="D1559" t="s">
        <v>3052</v>
      </c>
      <c r="E1559" t="s">
        <v>3053</v>
      </c>
      <c r="F1559" t="s">
        <v>377</v>
      </c>
      <c r="G1559" t="s">
        <v>378</v>
      </c>
      <c r="H1559" t="s">
        <v>4060</v>
      </c>
      <c r="I1559">
        <v>5</v>
      </c>
      <c r="J1559">
        <v>0</v>
      </c>
      <c r="K1559">
        <v>0</v>
      </c>
      <c r="L1559">
        <v>0</v>
      </c>
      <c r="M1559">
        <v>0</v>
      </c>
      <c r="N1559">
        <v>0</v>
      </c>
      <c r="O1559">
        <v>5</v>
      </c>
    </row>
    <row r="1560" spans="1:15" x14ac:dyDescent="0.25">
      <c r="A1560" t="s">
        <v>929</v>
      </c>
      <c r="B1560" t="s">
        <v>2999</v>
      </c>
      <c r="C1560" t="s">
        <v>927</v>
      </c>
      <c r="D1560" t="s">
        <v>3052</v>
      </c>
      <c r="E1560" t="s">
        <v>3053</v>
      </c>
      <c r="F1560" t="s">
        <v>377</v>
      </c>
      <c r="G1560" t="s">
        <v>378</v>
      </c>
      <c r="H1560" t="s">
        <v>4061</v>
      </c>
      <c r="I1560">
        <v>112</v>
      </c>
      <c r="J1560">
        <v>0</v>
      </c>
      <c r="K1560">
        <v>0</v>
      </c>
      <c r="L1560">
        <v>0</v>
      </c>
      <c r="M1560">
        <v>112</v>
      </c>
      <c r="N1560">
        <v>0</v>
      </c>
      <c r="O1560">
        <v>0</v>
      </c>
    </row>
    <row r="1561" spans="1:15" x14ac:dyDescent="0.25">
      <c r="A1561" t="s">
        <v>933</v>
      </c>
      <c r="B1561" t="s">
        <v>2106</v>
      </c>
      <c r="C1561" t="s">
        <v>927</v>
      </c>
      <c r="D1561" t="s">
        <v>3052</v>
      </c>
      <c r="E1561" t="s">
        <v>3053</v>
      </c>
      <c r="F1561" t="s">
        <v>377</v>
      </c>
      <c r="G1561" t="s">
        <v>378</v>
      </c>
      <c r="H1561" t="s">
        <v>4063</v>
      </c>
      <c r="I1561">
        <v>15</v>
      </c>
      <c r="J1561">
        <v>0</v>
      </c>
      <c r="K1561">
        <v>0</v>
      </c>
      <c r="L1561">
        <v>0</v>
      </c>
      <c r="M1561">
        <v>0</v>
      </c>
      <c r="N1561">
        <v>0</v>
      </c>
      <c r="O1561">
        <v>15</v>
      </c>
    </row>
    <row r="1562" spans="1:15" x14ac:dyDescent="0.25">
      <c r="A1562" t="s">
        <v>992</v>
      </c>
      <c r="B1562" t="s">
        <v>3033</v>
      </c>
      <c r="C1562" t="s">
        <v>927</v>
      </c>
      <c r="D1562" t="s">
        <v>3052</v>
      </c>
      <c r="E1562" t="s">
        <v>3053</v>
      </c>
      <c r="F1562" t="s">
        <v>377</v>
      </c>
      <c r="G1562" t="s">
        <v>378</v>
      </c>
      <c r="H1562" t="s">
        <v>4064</v>
      </c>
      <c r="I1562">
        <v>80</v>
      </c>
      <c r="J1562">
        <v>44</v>
      </c>
      <c r="K1562">
        <v>0</v>
      </c>
      <c r="L1562">
        <v>0</v>
      </c>
      <c r="M1562">
        <v>0</v>
      </c>
      <c r="N1562">
        <v>0</v>
      </c>
      <c r="O1562">
        <v>36</v>
      </c>
    </row>
    <row r="1563" spans="1:15" x14ac:dyDescent="0.25">
      <c r="A1563" t="s">
        <v>996</v>
      </c>
      <c r="B1563" t="s">
        <v>1952</v>
      </c>
      <c r="C1563" t="s">
        <v>923</v>
      </c>
      <c r="D1563" t="s">
        <v>3063</v>
      </c>
      <c r="E1563" t="s">
        <v>3053</v>
      </c>
      <c r="F1563" t="s">
        <v>377</v>
      </c>
      <c r="G1563" t="s">
        <v>378</v>
      </c>
      <c r="H1563" t="s">
        <v>4065</v>
      </c>
      <c r="I1563">
        <v>13</v>
      </c>
      <c r="J1563">
        <v>0</v>
      </c>
      <c r="K1563">
        <v>0</v>
      </c>
      <c r="L1563">
        <v>13</v>
      </c>
      <c r="M1563">
        <v>0</v>
      </c>
      <c r="N1563">
        <v>0</v>
      </c>
      <c r="O1563">
        <v>0</v>
      </c>
    </row>
    <row r="1564" spans="1:15" x14ac:dyDescent="0.25">
      <c r="A1564" t="s">
        <v>10624</v>
      </c>
      <c r="B1564" t="s">
        <v>2882</v>
      </c>
      <c r="C1564" t="s">
        <v>927</v>
      </c>
      <c r="D1564" t="s">
        <v>3052</v>
      </c>
      <c r="E1564" t="s">
        <v>3053</v>
      </c>
      <c r="F1564" t="s">
        <v>377</v>
      </c>
      <c r="G1564" t="s">
        <v>378</v>
      </c>
      <c r="H1564" t="s">
        <v>14558</v>
      </c>
      <c r="I1564">
        <v>45</v>
      </c>
      <c r="J1564">
        <v>23</v>
      </c>
      <c r="K1564">
        <v>0</v>
      </c>
      <c r="L1564">
        <v>0</v>
      </c>
      <c r="M1564">
        <v>0</v>
      </c>
      <c r="N1564">
        <v>0</v>
      </c>
      <c r="O1564">
        <v>22</v>
      </c>
    </row>
    <row r="1565" spans="1:15" x14ac:dyDescent="0.25">
      <c r="A1565" t="s">
        <v>1112</v>
      </c>
      <c r="B1565" t="s">
        <v>2143</v>
      </c>
      <c r="C1565" t="s">
        <v>927</v>
      </c>
      <c r="D1565" t="s">
        <v>3052</v>
      </c>
      <c r="E1565" t="s">
        <v>3053</v>
      </c>
      <c r="F1565" t="s">
        <v>377</v>
      </c>
      <c r="G1565" t="s">
        <v>378</v>
      </c>
      <c r="H1565" t="s">
        <v>4066</v>
      </c>
      <c r="I1565">
        <v>512</v>
      </c>
      <c r="J1565">
        <v>388</v>
      </c>
      <c r="K1565">
        <v>0</v>
      </c>
      <c r="L1565">
        <v>0</v>
      </c>
      <c r="M1565">
        <v>0</v>
      </c>
      <c r="N1565">
        <v>0</v>
      </c>
      <c r="O1565">
        <v>124</v>
      </c>
    </row>
    <row r="1566" spans="1:15" x14ac:dyDescent="0.25">
      <c r="A1566" t="s">
        <v>10638</v>
      </c>
      <c r="B1566" t="s">
        <v>2057</v>
      </c>
      <c r="C1566" t="s">
        <v>927</v>
      </c>
      <c r="D1566" t="s">
        <v>3052</v>
      </c>
      <c r="E1566" t="s">
        <v>3053</v>
      </c>
      <c r="F1566" t="s">
        <v>377</v>
      </c>
      <c r="G1566" t="s">
        <v>378</v>
      </c>
      <c r="H1566" t="s">
        <v>10911</v>
      </c>
      <c r="I1566">
        <v>22</v>
      </c>
      <c r="J1566">
        <v>0</v>
      </c>
      <c r="K1566">
        <v>0</v>
      </c>
      <c r="L1566">
        <v>22</v>
      </c>
      <c r="M1566">
        <v>0</v>
      </c>
      <c r="N1566">
        <v>0</v>
      </c>
      <c r="O1566">
        <v>0</v>
      </c>
    </row>
    <row r="1567" spans="1:15" x14ac:dyDescent="0.25">
      <c r="A1567" t="s">
        <v>1005</v>
      </c>
      <c r="B1567" t="s">
        <v>2128</v>
      </c>
      <c r="C1567" t="s">
        <v>927</v>
      </c>
      <c r="D1567" t="s">
        <v>3052</v>
      </c>
      <c r="E1567" t="s">
        <v>3053</v>
      </c>
      <c r="F1567" t="s">
        <v>377</v>
      </c>
      <c r="G1567" t="s">
        <v>378</v>
      </c>
      <c r="H1567" t="s">
        <v>4067</v>
      </c>
      <c r="I1567">
        <v>6910</v>
      </c>
      <c r="J1567">
        <v>5876</v>
      </c>
      <c r="K1567">
        <v>0</v>
      </c>
      <c r="L1567">
        <v>251</v>
      </c>
      <c r="M1567">
        <v>355</v>
      </c>
      <c r="N1567">
        <v>1</v>
      </c>
      <c r="O1567">
        <v>428</v>
      </c>
    </row>
    <row r="1568" spans="1:15" x14ac:dyDescent="0.25">
      <c r="A1568" t="s">
        <v>1008</v>
      </c>
      <c r="B1568" t="s">
        <v>2928</v>
      </c>
      <c r="C1568" t="s">
        <v>927</v>
      </c>
      <c r="D1568" t="s">
        <v>3052</v>
      </c>
      <c r="E1568" t="s">
        <v>3053</v>
      </c>
      <c r="F1568" t="s">
        <v>377</v>
      </c>
      <c r="G1568" t="s">
        <v>378</v>
      </c>
      <c r="H1568" t="s">
        <v>4068</v>
      </c>
      <c r="I1568">
        <v>46</v>
      </c>
      <c r="J1568">
        <v>46</v>
      </c>
      <c r="K1568">
        <v>0</v>
      </c>
      <c r="L1568">
        <v>0</v>
      </c>
      <c r="M1568">
        <v>0</v>
      </c>
      <c r="N1568">
        <v>3</v>
      </c>
      <c r="O1568">
        <v>0</v>
      </c>
    </row>
    <row r="1569" spans="1:15" x14ac:dyDescent="0.25">
      <c r="A1569" t="s">
        <v>937</v>
      </c>
      <c r="B1569" t="s">
        <v>1962</v>
      </c>
      <c r="C1569" t="s">
        <v>927</v>
      </c>
      <c r="D1569" t="s">
        <v>3052</v>
      </c>
      <c r="E1569" t="s">
        <v>3053</v>
      </c>
      <c r="F1569" t="s">
        <v>377</v>
      </c>
      <c r="G1569" t="s">
        <v>378</v>
      </c>
      <c r="H1569" t="s">
        <v>4069</v>
      </c>
      <c r="I1569">
        <v>86</v>
      </c>
      <c r="J1569">
        <v>0</v>
      </c>
      <c r="K1569">
        <v>0</v>
      </c>
      <c r="L1569">
        <v>0</v>
      </c>
      <c r="M1569">
        <v>0</v>
      </c>
      <c r="N1569">
        <v>0</v>
      </c>
      <c r="O1569">
        <v>86</v>
      </c>
    </row>
    <row r="1570" spans="1:15" x14ac:dyDescent="0.25">
      <c r="A1570" t="s">
        <v>1119</v>
      </c>
      <c r="B1570" t="s">
        <v>2777</v>
      </c>
      <c r="C1570" t="s">
        <v>927</v>
      </c>
      <c r="D1570" t="s">
        <v>3052</v>
      </c>
      <c r="E1570" t="s">
        <v>3053</v>
      </c>
      <c r="F1570" t="s">
        <v>377</v>
      </c>
      <c r="G1570" t="s">
        <v>378</v>
      </c>
      <c r="H1570" t="s">
        <v>4070</v>
      </c>
      <c r="I1570">
        <v>819</v>
      </c>
      <c r="J1570">
        <v>558</v>
      </c>
      <c r="K1570">
        <v>0</v>
      </c>
      <c r="L1570">
        <v>0</v>
      </c>
      <c r="M1570">
        <v>0</v>
      </c>
      <c r="N1570">
        <v>0</v>
      </c>
      <c r="O1570">
        <v>261</v>
      </c>
    </row>
    <row r="1571" spans="1:15" x14ac:dyDescent="0.25">
      <c r="A1571" t="s">
        <v>938</v>
      </c>
      <c r="B1571" t="s">
        <v>2791</v>
      </c>
      <c r="C1571" t="s">
        <v>927</v>
      </c>
      <c r="D1571" t="s">
        <v>3052</v>
      </c>
      <c r="E1571" t="s">
        <v>3053</v>
      </c>
      <c r="F1571" t="s">
        <v>377</v>
      </c>
      <c r="G1571" t="s">
        <v>378</v>
      </c>
      <c r="H1571" t="s">
        <v>4071</v>
      </c>
      <c r="I1571">
        <v>74</v>
      </c>
      <c r="J1571">
        <v>0</v>
      </c>
      <c r="K1571">
        <v>0</v>
      </c>
      <c r="L1571">
        <v>0</v>
      </c>
      <c r="M1571">
        <v>74</v>
      </c>
      <c r="N1571">
        <v>0</v>
      </c>
      <c r="O1571">
        <v>0</v>
      </c>
    </row>
    <row r="1572" spans="1:15" x14ac:dyDescent="0.25">
      <c r="A1572" t="s">
        <v>940</v>
      </c>
      <c r="B1572" t="s">
        <v>2647</v>
      </c>
      <c r="C1572" t="s">
        <v>927</v>
      </c>
      <c r="D1572" t="s">
        <v>3052</v>
      </c>
      <c r="E1572" t="s">
        <v>3053</v>
      </c>
      <c r="F1572" t="s">
        <v>377</v>
      </c>
      <c r="G1572" t="s">
        <v>378</v>
      </c>
      <c r="H1572" t="s">
        <v>4072</v>
      </c>
      <c r="I1572">
        <v>112</v>
      </c>
      <c r="J1572">
        <v>0</v>
      </c>
      <c r="K1572">
        <v>0</v>
      </c>
      <c r="L1572">
        <v>0</v>
      </c>
      <c r="M1572">
        <v>112</v>
      </c>
      <c r="N1572">
        <v>0</v>
      </c>
      <c r="O1572">
        <v>0</v>
      </c>
    </row>
    <row r="1573" spans="1:15" x14ac:dyDescent="0.25">
      <c r="A1573" t="s">
        <v>1013</v>
      </c>
      <c r="B1573" t="s">
        <v>1959</v>
      </c>
      <c r="C1573" t="s">
        <v>927</v>
      </c>
      <c r="D1573" t="s">
        <v>3052</v>
      </c>
      <c r="E1573" t="s">
        <v>3053</v>
      </c>
      <c r="F1573" t="s">
        <v>377</v>
      </c>
      <c r="G1573" t="s">
        <v>378</v>
      </c>
      <c r="H1573" t="s">
        <v>4073</v>
      </c>
      <c r="I1573">
        <v>42</v>
      </c>
      <c r="J1573">
        <v>0</v>
      </c>
      <c r="K1573">
        <v>0</v>
      </c>
      <c r="L1573">
        <v>42</v>
      </c>
      <c r="M1573">
        <v>0</v>
      </c>
      <c r="N1573">
        <v>0</v>
      </c>
      <c r="O1573">
        <v>0</v>
      </c>
    </row>
    <row r="1574" spans="1:15" x14ac:dyDescent="0.25">
      <c r="A1574" t="s">
        <v>1018</v>
      </c>
      <c r="B1574" t="s">
        <v>1980</v>
      </c>
      <c r="C1574" t="s">
        <v>923</v>
      </c>
      <c r="D1574" t="s">
        <v>3063</v>
      </c>
      <c r="E1574" t="s">
        <v>3053</v>
      </c>
      <c r="F1574" t="s">
        <v>377</v>
      </c>
      <c r="G1574" t="s">
        <v>378</v>
      </c>
      <c r="H1574" t="s">
        <v>10158</v>
      </c>
      <c r="I1574">
        <v>3</v>
      </c>
      <c r="J1574">
        <v>0</v>
      </c>
      <c r="K1574">
        <v>0</v>
      </c>
      <c r="L1574">
        <v>3</v>
      </c>
      <c r="M1574">
        <v>0</v>
      </c>
      <c r="N1574">
        <v>0</v>
      </c>
      <c r="O1574">
        <v>0</v>
      </c>
    </row>
    <row r="1575" spans="1:15" x14ac:dyDescent="0.25">
      <c r="A1575" t="s">
        <v>1126</v>
      </c>
      <c r="B1575" t="s">
        <v>2130</v>
      </c>
      <c r="C1575" t="s">
        <v>927</v>
      </c>
      <c r="D1575" t="s">
        <v>3052</v>
      </c>
      <c r="E1575" t="s">
        <v>3053</v>
      </c>
      <c r="F1575" t="s">
        <v>377</v>
      </c>
      <c r="G1575" t="s">
        <v>378</v>
      </c>
      <c r="H1575" t="s">
        <v>10912</v>
      </c>
      <c r="I1575">
        <v>23</v>
      </c>
      <c r="J1575">
        <v>0</v>
      </c>
      <c r="K1575">
        <v>0</v>
      </c>
      <c r="L1575">
        <v>0</v>
      </c>
      <c r="M1575">
        <v>0</v>
      </c>
      <c r="N1575">
        <v>0</v>
      </c>
      <c r="O1575">
        <v>23</v>
      </c>
    </row>
    <row r="1576" spans="1:15" x14ac:dyDescent="0.25">
      <c r="A1576" t="s">
        <v>1025</v>
      </c>
      <c r="B1576" t="s">
        <v>2893</v>
      </c>
      <c r="C1576" t="s">
        <v>927</v>
      </c>
      <c r="D1576" t="s">
        <v>3052</v>
      </c>
      <c r="E1576" t="s">
        <v>3053</v>
      </c>
      <c r="F1576" t="s">
        <v>377</v>
      </c>
      <c r="G1576" t="s">
        <v>378</v>
      </c>
      <c r="H1576" t="s">
        <v>10181</v>
      </c>
      <c r="I1576">
        <v>2</v>
      </c>
      <c r="J1576">
        <v>0</v>
      </c>
      <c r="K1576">
        <v>0</v>
      </c>
      <c r="L1576">
        <v>0</v>
      </c>
      <c r="M1576">
        <v>0</v>
      </c>
      <c r="N1576">
        <v>0</v>
      </c>
      <c r="O1576">
        <v>2</v>
      </c>
    </row>
    <row r="1577" spans="1:15" x14ac:dyDescent="0.25">
      <c r="A1577" t="s">
        <v>9794</v>
      </c>
      <c r="B1577" t="s">
        <v>2745</v>
      </c>
      <c r="C1577" t="s">
        <v>923</v>
      </c>
      <c r="D1577" t="s">
        <v>3063</v>
      </c>
      <c r="E1577" t="s">
        <v>3053</v>
      </c>
      <c r="F1577" t="s">
        <v>377</v>
      </c>
      <c r="G1577" t="s">
        <v>378</v>
      </c>
      <c r="H1577" t="s">
        <v>14559</v>
      </c>
      <c r="I1577">
        <v>76</v>
      </c>
      <c r="J1577">
        <v>76</v>
      </c>
      <c r="K1577">
        <v>0</v>
      </c>
      <c r="L1577">
        <v>0</v>
      </c>
      <c r="M1577">
        <v>0</v>
      </c>
      <c r="N1577">
        <v>0</v>
      </c>
      <c r="O1577">
        <v>0</v>
      </c>
    </row>
    <row r="1578" spans="1:15" x14ac:dyDescent="0.25">
      <c r="A1578" t="s">
        <v>949</v>
      </c>
      <c r="B1578" t="s">
        <v>3035</v>
      </c>
      <c r="C1578" t="s">
        <v>927</v>
      </c>
      <c r="D1578" t="s">
        <v>3052</v>
      </c>
      <c r="E1578" t="s">
        <v>3053</v>
      </c>
      <c r="F1578" t="s">
        <v>377</v>
      </c>
      <c r="G1578" t="s">
        <v>378</v>
      </c>
      <c r="H1578" t="s">
        <v>4074</v>
      </c>
      <c r="I1578">
        <v>2</v>
      </c>
      <c r="J1578">
        <v>0</v>
      </c>
      <c r="K1578">
        <v>0</v>
      </c>
      <c r="L1578">
        <v>0</v>
      </c>
      <c r="M1578">
        <v>0</v>
      </c>
      <c r="N1578">
        <v>0</v>
      </c>
      <c r="O1578">
        <v>2</v>
      </c>
    </row>
    <row r="1579" spans="1:15" x14ac:dyDescent="0.25">
      <c r="A1579" t="s">
        <v>1041</v>
      </c>
      <c r="B1579" t="s">
        <v>2826</v>
      </c>
      <c r="C1579" t="s">
        <v>927</v>
      </c>
      <c r="D1579" t="s">
        <v>3052</v>
      </c>
      <c r="E1579" t="s">
        <v>3053</v>
      </c>
      <c r="F1579" t="s">
        <v>377</v>
      </c>
      <c r="G1579" t="s">
        <v>378</v>
      </c>
      <c r="H1579" t="s">
        <v>10913</v>
      </c>
      <c r="I1579">
        <v>31</v>
      </c>
      <c r="J1579">
        <v>0</v>
      </c>
      <c r="K1579">
        <v>0</v>
      </c>
      <c r="L1579">
        <v>0</v>
      </c>
      <c r="M1579">
        <v>0</v>
      </c>
      <c r="N1579">
        <v>0</v>
      </c>
      <c r="O1579">
        <v>31</v>
      </c>
    </row>
    <row r="1580" spans="1:15" x14ac:dyDescent="0.25">
      <c r="A1580" t="s">
        <v>9787</v>
      </c>
      <c r="B1580" t="s">
        <v>2822</v>
      </c>
      <c r="C1580" t="s">
        <v>927</v>
      </c>
      <c r="D1580" t="s">
        <v>3052</v>
      </c>
      <c r="E1580" t="s">
        <v>3053</v>
      </c>
      <c r="F1580" t="s">
        <v>377</v>
      </c>
      <c r="G1580" t="s">
        <v>378</v>
      </c>
      <c r="H1580" t="s">
        <v>10242</v>
      </c>
      <c r="I1580">
        <v>61</v>
      </c>
      <c r="J1580">
        <v>59</v>
      </c>
      <c r="K1580">
        <v>0</v>
      </c>
      <c r="L1580">
        <v>0</v>
      </c>
      <c r="M1580">
        <v>0</v>
      </c>
      <c r="N1580">
        <v>0</v>
      </c>
      <c r="O1580">
        <v>2</v>
      </c>
    </row>
    <row r="1581" spans="1:15" x14ac:dyDescent="0.25">
      <c r="A1581" t="s">
        <v>1142</v>
      </c>
      <c r="B1581" t="s">
        <v>3003</v>
      </c>
      <c r="C1581" t="s">
        <v>927</v>
      </c>
      <c r="D1581" t="s">
        <v>3052</v>
      </c>
      <c r="E1581" t="s">
        <v>3053</v>
      </c>
      <c r="F1581" t="s">
        <v>377</v>
      </c>
      <c r="G1581" t="s">
        <v>378</v>
      </c>
      <c r="H1581" t="s">
        <v>4075</v>
      </c>
      <c r="I1581">
        <v>893</v>
      </c>
      <c r="J1581">
        <v>591</v>
      </c>
      <c r="K1581">
        <v>0</v>
      </c>
      <c r="L1581">
        <v>7</v>
      </c>
      <c r="M1581">
        <v>0</v>
      </c>
      <c r="N1581">
        <v>0</v>
      </c>
      <c r="O1581">
        <v>295</v>
      </c>
    </row>
    <row r="1582" spans="1:15" x14ac:dyDescent="0.25">
      <c r="A1582" t="s">
        <v>1146</v>
      </c>
      <c r="B1582" t="s">
        <v>2117</v>
      </c>
      <c r="C1582" t="s">
        <v>927</v>
      </c>
      <c r="D1582" t="s">
        <v>3052</v>
      </c>
      <c r="E1582" t="s">
        <v>3053</v>
      </c>
      <c r="F1582" t="s">
        <v>377</v>
      </c>
      <c r="G1582" t="s">
        <v>378</v>
      </c>
      <c r="H1582" t="s">
        <v>14560</v>
      </c>
      <c r="I1582">
        <v>1770</v>
      </c>
      <c r="J1582">
        <v>1119</v>
      </c>
      <c r="K1582">
        <v>0</v>
      </c>
      <c r="L1582">
        <v>27</v>
      </c>
      <c r="M1582">
        <v>89</v>
      </c>
      <c r="N1582">
        <v>0</v>
      </c>
      <c r="O1582">
        <v>535</v>
      </c>
    </row>
    <row r="1583" spans="1:15" x14ac:dyDescent="0.25">
      <c r="A1583" t="s">
        <v>951</v>
      </c>
      <c r="B1583" t="s">
        <v>2680</v>
      </c>
      <c r="C1583" t="s">
        <v>927</v>
      </c>
      <c r="D1583" t="s">
        <v>3052</v>
      </c>
      <c r="E1583" t="s">
        <v>3053</v>
      </c>
      <c r="F1583" t="s">
        <v>377</v>
      </c>
      <c r="G1583" t="s">
        <v>378</v>
      </c>
      <c r="H1583" t="s">
        <v>4076</v>
      </c>
      <c r="I1583">
        <v>17</v>
      </c>
      <c r="J1583">
        <v>11</v>
      </c>
      <c r="K1583">
        <v>0</v>
      </c>
      <c r="L1583">
        <v>0</v>
      </c>
      <c r="M1583">
        <v>0</v>
      </c>
      <c r="N1583">
        <v>0</v>
      </c>
      <c r="O1583">
        <v>6</v>
      </c>
    </row>
    <row r="1584" spans="1:15" x14ac:dyDescent="0.25">
      <c r="A1584" t="s">
        <v>1048</v>
      </c>
      <c r="B1584" t="s">
        <v>2989</v>
      </c>
      <c r="C1584" t="s">
        <v>927</v>
      </c>
      <c r="D1584" t="s">
        <v>3052</v>
      </c>
      <c r="E1584" t="s">
        <v>3053</v>
      </c>
      <c r="F1584" t="s">
        <v>377</v>
      </c>
      <c r="G1584" t="s">
        <v>378</v>
      </c>
      <c r="H1584" t="s">
        <v>4077</v>
      </c>
      <c r="I1584">
        <v>36</v>
      </c>
      <c r="J1584">
        <v>2</v>
      </c>
      <c r="K1584">
        <v>0</v>
      </c>
      <c r="L1584">
        <v>34</v>
      </c>
      <c r="M1584">
        <v>0</v>
      </c>
      <c r="N1584">
        <v>0</v>
      </c>
      <c r="O1584">
        <v>0</v>
      </c>
    </row>
    <row r="1585" spans="1:15" x14ac:dyDescent="0.25">
      <c r="A1585" t="s">
        <v>953</v>
      </c>
      <c r="B1585" t="s">
        <v>2014</v>
      </c>
      <c r="C1585" t="s">
        <v>927</v>
      </c>
      <c r="D1585" t="s">
        <v>3052</v>
      </c>
      <c r="E1585" t="s">
        <v>3053</v>
      </c>
      <c r="F1585" t="s">
        <v>377</v>
      </c>
      <c r="G1585" t="s">
        <v>378</v>
      </c>
      <c r="H1585" t="s">
        <v>4078</v>
      </c>
      <c r="I1585">
        <v>8</v>
      </c>
      <c r="J1585">
        <v>0</v>
      </c>
      <c r="K1585">
        <v>0</v>
      </c>
      <c r="L1585">
        <v>8</v>
      </c>
      <c r="M1585">
        <v>0</v>
      </c>
      <c r="N1585">
        <v>0</v>
      </c>
      <c r="O1585">
        <v>0</v>
      </c>
    </row>
    <row r="1586" spans="1:15" x14ac:dyDescent="0.25">
      <c r="A1586" t="s">
        <v>11720</v>
      </c>
      <c r="B1586" t="s">
        <v>10718</v>
      </c>
      <c r="C1586" t="s">
        <v>927</v>
      </c>
      <c r="D1586" t="s">
        <v>3052</v>
      </c>
      <c r="E1586" t="s">
        <v>3053</v>
      </c>
      <c r="F1586" t="s">
        <v>377</v>
      </c>
      <c r="G1586" t="s">
        <v>378</v>
      </c>
      <c r="H1586" t="s">
        <v>14561</v>
      </c>
      <c r="I1586">
        <v>191</v>
      </c>
      <c r="J1586">
        <v>49</v>
      </c>
      <c r="K1586">
        <v>0</v>
      </c>
      <c r="L1586">
        <v>0</v>
      </c>
      <c r="M1586">
        <v>0</v>
      </c>
      <c r="N1586">
        <v>0</v>
      </c>
      <c r="O1586">
        <v>142</v>
      </c>
    </row>
    <row r="1587" spans="1:15" x14ac:dyDescent="0.25">
      <c r="A1587" t="s">
        <v>9788</v>
      </c>
      <c r="B1587" t="s">
        <v>9871</v>
      </c>
      <c r="C1587" t="s">
        <v>927</v>
      </c>
      <c r="D1587" t="s">
        <v>3052</v>
      </c>
      <c r="E1587" t="s">
        <v>3053</v>
      </c>
      <c r="F1587" t="s">
        <v>377</v>
      </c>
      <c r="G1587" t="s">
        <v>378</v>
      </c>
      <c r="H1587" t="s">
        <v>10338</v>
      </c>
      <c r="I1587">
        <v>285</v>
      </c>
      <c r="J1587">
        <v>285</v>
      </c>
      <c r="K1587">
        <v>0</v>
      </c>
      <c r="L1587">
        <v>0</v>
      </c>
      <c r="M1587">
        <v>0</v>
      </c>
      <c r="N1587">
        <v>0</v>
      </c>
      <c r="O1587">
        <v>0</v>
      </c>
    </row>
    <row r="1588" spans="1:15" x14ac:dyDescent="0.25">
      <c r="A1588" t="s">
        <v>1154</v>
      </c>
      <c r="B1588" t="s">
        <v>2861</v>
      </c>
      <c r="C1588" t="s">
        <v>927</v>
      </c>
      <c r="D1588" t="s">
        <v>3052</v>
      </c>
      <c r="E1588" t="s">
        <v>3053</v>
      </c>
      <c r="F1588" t="s">
        <v>377</v>
      </c>
      <c r="G1588" t="s">
        <v>378</v>
      </c>
      <c r="H1588" t="s">
        <v>4079</v>
      </c>
      <c r="I1588">
        <v>595</v>
      </c>
      <c r="J1588">
        <v>341</v>
      </c>
      <c r="K1588">
        <v>0</v>
      </c>
      <c r="L1588">
        <v>0</v>
      </c>
      <c r="M1588">
        <v>0</v>
      </c>
      <c r="N1588">
        <v>0</v>
      </c>
      <c r="O1588">
        <v>254</v>
      </c>
    </row>
    <row r="1589" spans="1:15" x14ac:dyDescent="0.25">
      <c r="A1589" t="s">
        <v>14380</v>
      </c>
      <c r="B1589" t="s">
        <v>2074</v>
      </c>
      <c r="C1589" t="s">
        <v>927</v>
      </c>
      <c r="D1589" t="s">
        <v>3052</v>
      </c>
      <c r="E1589" t="s">
        <v>3053</v>
      </c>
      <c r="F1589" t="s">
        <v>377</v>
      </c>
      <c r="G1589" t="s">
        <v>378</v>
      </c>
      <c r="H1589" t="s">
        <v>14562</v>
      </c>
      <c r="I1589">
        <v>99</v>
      </c>
      <c r="J1589">
        <v>84</v>
      </c>
      <c r="K1589">
        <v>0</v>
      </c>
      <c r="L1589">
        <v>0</v>
      </c>
      <c r="M1589">
        <v>0</v>
      </c>
      <c r="N1589">
        <v>0</v>
      </c>
      <c r="O1589">
        <v>15</v>
      </c>
    </row>
    <row r="1590" spans="1:15" x14ac:dyDescent="0.25">
      <c r="A1590" t="s">
        <v>14374</v>
      </c>
      <c r="B1590" t="s">
        <v>1943</v>
      </c>
      <c r="C1590" t="s">
        <v>927</v>
      </c>
      <c r="D1590" t="s">
        <v>3052</v>
      </c>
      <c r="E1590" t="s">
        <v>3053</v>
      </c>
      <c r="F1590" t="s">
        <v>377</v>
      </c>
      <c r="G1590" t="s">
        <v>378</v>
      </c>
      <c r="H1590" t="s">
        <v>14563</v>
      </c>
      <c r="I1590">
        <v>201</v>
      </c>
      <c r="J1590">
        <v>0</v>
      </c>
      <c r="K1590">
        <v>0</v>
      </c>
      <c r="L1590">
        <v>0</v>
      </c>
      <c r="M1590">
        <v>0</v>
      </c>
      <c r="N1590">
        <v>0</v>
      </c>
      <c r="O1590">
        <v>201</v>
      </c>
    </row>
    <row r="1591" spans="1:15" x14ac:dyDescent="0.25">
      <c r="A1591" t="s">
        <v>1062</v>
      </c>
      <c r="B1591" t="s">
        <v>1993</v>
      </c>
      <c r="C1591" t="s">
        <v>927</v>
      </c>
      <c r="D1591" t="s">
        <v>3052</v>
      </c>
      <c r="E1591" t="s">
        <v>3053</v>
      </c>
      <c r="F1591" t="s">
        <v>377</v>
      </c>
      <c r="G1591" t="s">
        <v>378</v>
      </c>
      <c r="H1591" t="s">
        <v>4080</v>
      </c>
      <c r="I1591">
        <v>20</v>
      </c>
      <c r="J1591">
        <v>20</v>
      </c>
      <c r="K1591">
        <v>0</v>
      </c>
      <c r="L1591">
        <v>0</v>
      </c>
      <c r="M1591">
        <v>0</v>
      </c>
      <c r="N1591">
        <v>0</v>
      </c>
      <c r="O1591">
        <v>0</v>
      </c>
    </row>
    <row r="1592" spans="1:15" x14ac:dyDescent="0.25">
      <c r="A1592" t="s">
        <v>962</v>
      </c>
      <c r="B1592" t="s">
        <v>2752</v>
      </c>
      <c r="C1592" t="s">
        <v>927</v>
      </c>
      <c r="D1592" t="s">
        <v>3052</v>
      </c>
      <c r="E1592" t="s">
        <v>3053</v>
      </c>
      <c r="F1592" t="s">
        <v>377</v>
      </c>
      <c r="G1592" t="s">
        <v>378</v>
      </c>
      <c r="H1592" t="s">
        <v>4081</v>
      </c>
      <c r="I1592">
        <v>1345</v>
      </c>
      <c r="J1592">
        <v>1174</v>
      </c>
      <c r="K1592">
        <v>0</v>
      </c>
      <c r="L1592">
        <v>0</v>
      </c>
      <c r="M1592">
        <v>0</v>
      </c>
      <c r="N1592">
        <v>1</v>
      </c>
      <c r="O1592">
        <v>171</v>
      </c>
    </row>
    <row r="1593" spans="1:15" x14ac:dyDescent="0.25">
      <c r="A1593" t="s">
        <v>1352</v>
      </c>
      <c r="B1593" t="s">
        <v>2085</v>
      </c>
      <c r="C1593" t="s">
        <v>923</v>
      </c>
      <c r="D1593" t="s">
        <v>3063</v>
      </c>
      <c r="E1593" t="s">
        <v>3053</v>
      </c>
      <c r="F1593" t="s">
        <v>377</v>
      </c>
      <c r="G1593" t="s">
        <v>378</v>
      </c>
      <c r="H1593" t="s">
        <v>11928</v>
      </c>
      <c r="I1593">
        <v>1</v>
      </c>
      <c r="J1593">
        <v>1</v>
      </c>
      <c r="K1593">
        <v>0</v>
      </c>
      <c r="L1593">
        <v>0</v>
      </c>
      <c r="M1593">
        <v>0</v>
      </c>
      <c r="N1593">
        <v>0</v>
      </c>
      <c r="O1593">
        <v>0</v>
      </c>
    </row>
    <row r="1594" spans="1:15" x14ac:dyDescent="0.25">
      <c r="A1594" t="s">
        <v>1069</v>
      </c>
      <c r="B1594" t="s">
        <v>2001</v>
      </c>
      <c r="C1594" t="s">
        <v>927</v>
      </c>
      <c r="D1594" t="s">
        <v>3052</v>
      </c>
      <c r="E1594" t="s">
        <v>3053</v>
      </c>
      <c r="F1594" t="s">
        <v>377</v>
      </c>
      <c r="G1594" t="s">
        <v>378</v>
      </c>
      <c r="H1594" t="s">
        <v>4082</v>
      </c>
      <c r="I1594">
        <v>237</v>
      </c>
      <c r="J1594">
        <v>169</v>
      </c>
      <c r="K1594">
        <v>0</v>
      </c>
      <c r="L1594">
        <v>0</v>
      </c>
      <c r="M1594">
        <v>0</v>
      </c>
      <c r="N1594">
        <v>0</v>
      </c>
      <c r="O1594">
        <v>68</v>
      </c>
    </row>
    <row r="1595" spans="1:15" x14ac:dyDescent="0.25">
      <c r="A1595" t="s">
        <v>1072</v>
      </c>
      <c r="B1595" t="s">
        <v>2907</v>
      </c>
      <c r="C1595" t="s">
        <v>927</v>
      </c>
      <c r="D1595" t="s">
        <v>3052</v>
      </c>
      <c r="E1595" t="s">
        <v>3053</v>
      </c>
      <c r="F1595" t="s">
        <v>377</v>
      </c>
      <c r="G1595" t="s">
        <v>378</v>
      </c>
      <c r="H1595" t="s">
        <v>4083</v>
      </c>
      <c r="I1595">
        <v>8</v>
      </c>
      <c r="J1595">
        <v>0</v>
      </c>
      <c r="K1595">
        <v>0</v>
      </c>
      <c r="L1595">
        <v>0</v>
      </c>
      <c r="M1595">
        <v>8</v>
      </c>
      <c r="N1595">
        <v>0</v>
      </c>
      <c r="O1595">
        <v>0</v>
      </c>
    </row>
    <row r="1596" spans="1:15" x14ac:dyDescent="0.25">
      <c r="A1596" t="s">
        <v>1181</v>
      </c>
      <c r="B1596" t="s">
        <v>2894</v>
      </c>
      <c r="C1596" t="s">
        <v>927</v>
      </c>
      <c r="D1596" t="s">
        <v>3052</v>
      </c>
      <c r="E1596" t="s">
        <v>3053</v>
      </c>
      <c r="F1596" t="s">
        <v>377</v>
      </c>
      <c r="G1596" t="s">
        <v>378</v>
      </c>
      <c r="H1596" t="s">
        <v>4084</v>
      </c>
      <c r="I1596">
        <v>65</v>
      </c>
      <c r="J1596">
        <v>34</v>
      </c>
      <c r="K1596">
        <v>0</v>
      </c>
      <c r="L1596">
        <v>0</v>
      </c>
      <c r="M1596">
        <v>0</v>
      </c>
      <c r="N1596">
        <v>0</v>
      </c>
      <c r="O1596">
        <v>31</v>
      </c>
    </row>
    <row r="1597" spans="1:15" x14ac:dyDescent="0.25">
      <c r="A1597" t="s">
        <v>11673</v>
      </c>
      <c r="B1597" t="s">
        <v>2186</v>
      </c>
      <c r="C1597" t="s">
        <v>923</v>
      </c>
      <c r="D1597" t="s">
        <v>3063</v>
      </c>
      <c r="E1597" t="s">
        <v>3053</v>
      </c>
      <c r="F1597" t="s">
        <v>377</v>
      </c>
      <c r="G1597" t="s">
        <v>378</v>
      </c>
      <c r="H1597" t="s">
        <v>11929</v>
      </c>
      <c r="I1597">
        <v>4</v>
      </c>
      <c r="J1597">
        <v>0</v>
      </c>
      <c r="K1597">
        <v>0</v>
      </c>
      <c r="L1597">
        <v>0</v>
      </c>
      <c r="M1597">
        <v>4</v>
      </c>
      <c r="N1597">
        <v>0</v>
      </c>
      <c r="O1597">
        <v>0</v>
      </c>
    </row>
    <row r="1598" spans="1:15" x14ac:dyDescent="0.25">
      <c r="A1598" t="s">
        <v>981</v>
      </c>
      <c r="B1598" t="s">
        <v>2985</v>
      </c>
      <c r="C1598" t="s">
        <v>927</v>
      </c>
      <c r="D1598" t="s">
        <v>3052</v>
      </c>
      <c r="E1598" t="s">
        <v>3053</v>
      </c>
      <c r="F1598" t="s">
        <v>377</v>
      </c>
      <c r="G1598" t="s">
        <v>378</v>
      </c>
      <c r="H1598" t="s">
        <v>4062</v>
      </c>
      <c r="I1598">
        <v>741</v>
      </c>
      <c r="J1598">
        <v>494</v>
      </c>
      <c r="K1598">
        <v>0</v>
      </c>
      <c r="L1598">
        <v>0</v>
      </c>
      <c r="M1598">
        <v>0</v>
      </c>
      <c r="N1598">
        <v>0</v>
      </c>
      <c r="O1598">
        <v>247</v>
      </c>
    </row>
    <row r="1599" spans="1:15" x14ac:dyDescent="0.25">
      <c r="A1599" t="s">
        <v>974</v>
      </c>
      <c r="B1599" t="s">
        <v>2949</v>
      </c>
      <c r="C1599" t="s">
        <v>923</v>
      </c>
      <c r="D1599" t="s">
        <v>3063</v>
      </c>
      <c r="E1599" t="s">
        <v>3053</v>
      </c>
      <c r="F1599" t="s">
        <v>379</v>
      </c>
      <c r="G1599" t="s">
        <v>380</v>
      </c>
      <c r="H1599" t="s">
        <v>4085</v>
      </c>
      <c r="I1599">
        <v>2</v>
      </c>
      <c r="J1599">
        <v>0</v>
      </c>
      <c r="K1599">
        <v>0</v>
      </c>
      <c r="L1599">
        <v>2</v>
      </c>
      <c r="M1599">
        <v>0</v>
      </c>
      <c r="N1599">
        <v>0</v>
      </c>
      <c r="O1599">
        <v>0</v>
      </c>
    </row>
    <row r="1600" spans="1:15" x14ac:dyDescent="0.25">
      <c r="A1600" t="s">
        <v>926</v>
      </c>
      <c r="B1600" t="s">
        <v>2923</v>
      </c>
      <c r="C1600" t="s">
        <v>927</v>
      </c>
      <c r="D1600" t="s">
        <v>3052</v>
      </c>
      <c r="E1600" t="s">
        <v>3053</v>
      </c>
      <c r="F1600" t="s">
        <v>379</v>
      </c>
      <c r="G1600" t="s">
        <v>380</v>
      </c>
      <c r="H1600" t="s">
        <v>4086</v>
      </c>
      <c r="I1600">
        <v>59</v>
      </c>
      <c r="J1600">
        <v>0</v>
      </c>
      <c r="K1600">
        <v>0</v>
      </c>
      <c r="L1600">
        <v>47</v>
      </c>
      <c r="M1600">
        <v>0</v>
      </c>
      <c r="N1600">
        <v>0</v>
      </c>
      <c r="O1600">
        <v>12</v>
      </c>
    </row>
    <row r="1601" spans="1:15" x14ac:dyDescent="0.25">
      <c r="A1601" t="s">
        <v>929</v>
      </c>
      <c r="B1601" t="s">
        <v>2999</v>
      </c>
      <c r="C1601" t="s">
        <v>927</v>
      </c>
      <c r="D1601" t="s">
        <v>3052</v>
      </c>
      <c r="E1601" t="s">
        <v>3053</v>
      </c>
      <c r="F1601" t="s">
        <v>379</v>
      </c>
      <c r="G1601" t="s">
        <v>380</v>
      </c>
      <c r="H1601" t="s">
        <v>4087</v>
      </c>
      <c r="I1601">
        <v>58</v>
      </c>
      <c r="J1601">
        <v>0</v>
      </c>
      <c r="K1601">
        <v>0</v>
      </c>
      <c r="L1601">
        <v>0</v>
      </c>
      <c r="M1601">
        <v>58</v>
      </c>
      <c r="N1601">
        <v>0</v>
      </c>
      <c r="O1601">
        <v>0</v>
      </c>
    </row>
    <row r="1602" spans="1:15" x14ac:dyDescent="0.25">
      <c r="A1602" t="s">
        <v>1212</v>
      </c>
      <c r="B1602" t="s">
        <v>2004</v>
      </c>
      <c r="C1602" t="s">
        <v>923</v>
      </c>
      <c r="D1602" t="s">
        <v>3063</v>
      </c>
      <c r="E1602" t="s">
        <v>3053</v>
      </c>
      <c r="F1602" t="s">
        <v>379</v>
      </c>
      <c r="G1602" t="s">
        <v>380</v>
      </c>
      <c r="H1602" t="s">
        <v>14564</v>
      </c>
      <c r="I1602">
        <v>16</v>
      </c>
      <c r="J1602">
        <v>0</v>
      </c>
      <c r="K1602">
        <v>0</v>
      </c>
      <c r="L1602">
        <v>16</v>
      </c>
      <c r="M1602">
        <v>0</v>
      </c>
      <c r="N1602">
        <v>0</v>
      </c>
      <c r="O1602">
        <v>0</v>
      </c>
    </row>
    <row r="1603" spans="1:15" x14ac:dyDescent="0.25">
      <c r="A1603" t="s">
        <v>997</v>
      </c>
      <c r="B1603" t="s">
        <v>2033</v>
      </c>
      <c r="C1603" t="s">
        <v>927</v>
      </c>
      <c r="D1603" t="s">
        <v>3052</v>
      </c>
      <c r="E1603" t="s">
        <v>3053</v>
      </c>
      <c r="F1603" t="s">
        <v>379</v>
      </c>
      <c r="G1603" t="s">
        <v>380</v>
      </c>
      <c r="H1603" t="s">
        <v>4088</v>
      </c>
      <c r="I1603">
        <v>945</v>
      </c>
      <c r="J1603">
        <v>652</v>
      </c>
      <c r="K1603">
        <v>0</v>
      </c>
      <c r="L1603">
        <v>121</v>
      </c>
      <c r="M1603">
        <v>34</v>
      </c>
      <c r="N1603">
        <v>2</v>
      </c>
      <c r="O1603">
        <v>138</v>
      </c>
    </row>
    <row r="1604" spans="1:15" x14ac:dyDescent="0.25">
      <c r="A1604" t="s">
        <v>935</v>
      </c>
      <c r="B1604" t="s">
        <v>1960</v>
      </c>
      <c r="C1604" t="s">
        <v>923</v>
      </c>
      <c r="D1604" t="s">
        <v>3063</v>
      </c>
      <c r="E1604" t="s">
        <v>3053</v>
      </c>
      <c r="F1604" t="s">
        <v>379</v>
      </c>
      <c r="G1604" t="s">
        <v>380</v>
      </c>
      <c r="H1604" t="s">
        <v>4089</v>
      </c>
      <c r="I1604">
        <v>5</v>
      </c>
      <c r="J1604">
        <v>0</v>
      </c>
      <c r="K1604">
        <v>0</v>
      </c>
      <c r="L1604">
        <v>5</v>
      </c>
      <c r="M1604">
        <v>0</v>
      </c>
      <c r="N1604">
        <v>0</v>
      </c>
      <c r="O1604">
        <v>0</v>
      </c>
    </row>
    <row r="1605" spans="1:15" x14ac:dyDescent="0.25">
      <c r="A1605" t="s">
        <v>11660</v>
      </c>
      <c r="B1605" t="s">
        <v>2041</v>
      </c>
      <c r="C1605" t="s">
        <v>923</v>
      </c>
      <c r="D1605" t="s">
        <v>3063</v>
      </c>
      <c r="E1605" t="s">
        <v>3053</v>
      </c>
      <c r="F1605" t="s">
        <v>379</v>
      </c>
      <c r="G1605" t="s">
        <v>380</v>
      </c>
      <c r="H1605" t="s">
        <v>11930</v>
      </c>
      <c r="I1605">
        <v>13</v>
      </c>
      <c r="J1605">
        <v>0</v>
      </c>
      <c r="K1605">
        <v>0</v>
      </c>
      <c r="L1605">
        <v>13</v>
      </c>
      <c r="M1605">
        <v>0</v>
      </c>
      <c r="N1605">
        <v>0</v>
      </c>
      <c r="O1605">
        <v>0</v>
      </c>
    </row>
    <row r="1606" spans="1:15" x14ac:dyDescent="0.25">
      <c r="A1606" t="s">
        <v>1416</v>
      </c>
      <c r="B1606" t="s">
        <v>2029</v>
      </c>
      <c r="C1606" t="s">
        <v>923</v>
      </c>
      <c r="D1606" t="s">
        <v>3063</v>
      </c>
      <c r="E1606" t="s">
        <v>3053</v>
      </c>
      <c r="F1606" t="s">
        <v>379</v>
      </c>
      <c r="G1606" t="s">
        <v>380</v>
      </c>
      <c r="H1606" t="s">
        <v>11931</v>
      </c>
      <c r="I1606">
        <v>3</v>
      </c>
      <c r="J1606">
        <v>0</v>
      </c>
      <c r="K1606">
        <v>0</v>
      </c>
      <c r="L1606">
        <v>3</v>
      </c>
      <c r="M1606">
        <v>0</v>
      </c>
      <c r="N1606">
        <v>0</v>
      </c>
      <c r="O1606">
        <v>0</v>
      </c>
    </row>
    <row r="1607" spans="1:15" x14ac:dyDescent="0.25">
      <c r="A1607" t="s">
        <v>10638</v>
      </c>
      <c r="B1607" t="s">
        <v>2057</v>
      </c>
      <c r="C1607" t="s">
        <v>927</v>
      </c>
      <c r="D1607" t="s">
        <v>3052</v>
      </c>
      <c r="E1607" t="s">
        <v>3053</v>
      </c>
      <c r="F1607" t="s">
        <v>379</v>
      </c>
      <c r="G1607" t="s">
        <v>380</v>
      </c>
      <c r="H1607" t="s">
        <v>10914</v>
      </c>
      <c r="I1607">
        <v>20</v>
      </c>
      <c r="J1607">
        <v>0</v>
      </c>
      <c r="K1607">
        <v>0</v>
      </c>
      <c r="L1607">
        <v>20</v>
      </c>
      <c r="M1607">
        <v>0</v>
      </c>
      <c r="N1607">
        <v>0</v>
      </c>
      <c r="O1607">
        <v>0</v>
      </c>
    </row>
    <row r="1608" spans="1:15" x14ac:dyDescent="0.25">
      <c r="A1608" t="s">
        <v>1006</v>
      </c>
      <c r="B1608" t="s">
        <v>2724</v>
      </c>
      <c r="C1608" t="s">
        <v>927</v>
      </c>
      <c r="D1608" t="s">
        <v>3052</v>
      </c>
      <c r="E1608" t="s">
        <v>3053</v>
      </c>
      <c r="F1608" t="s">
        <v>379</v>
      </c>
      <c r="G1608" t="s">
        <v>380</v>
      </c>
      <c r="H1608" t="s">
        <v>10073</v>
      </c>
      <c r="I1608">
        <v>1</v>
      </c>
      <c r="J1608">
        <v>0</v>
      </c>
      <c r="K1608">
        <v>0</v>
      </c>
      <c r="L1608">
        <v>0</v>
      </c>
      <c r="M1608">
        <v>0</v>
      </c>
      <c r="N1608">
        <v>0</v>
      </c>
      <c r="O1608">
        <v>1</v>
      </c>
    </row>
    <row r="1609" spans="1:15" x14ac:dyDescent="0.25">
      <c r="A1609" t="s">
        <v>1009</v>
      </c>
      <c r="B1609" t="s">
        <v>1958</v>
      </c>
      <c r="C1609" t="s">
        <v>923</v>
      </c>
      <c r="D1609" t="s">
        <v>3063</v>
      </c>
      <c r="E1609" t="s">
        <v>3053</v>
      </c>
      <c r="F1609" t="s">
        <v>379</v>
      </c>
      <c r="G1609" t="s">
        <v>380</v>
      </c>
      <c r="H1609" t="s">
        <v>4090</v>
      </c>
      <c r="I1609">
        <v>8</v>
      </c>
      <c r="J1609">
        <v>0</v>
      </c>
      <c r="K1609">
        <v>0</v>
      </c>
      <c r="L1609">
        <v>8</v>
      </c>
      <c r="M1609">
        <v>0</v>
      </c>
      <c r="N1609">
        <v>0</v>
      </c>
      <c r="O1609">
        <v>0</v>
      </c>
    </row>
    <row r="1610" spans="1:15" x14ac:dyDescent="0.25">
      <c r="A1610" t="s">
        <v>937</v>
      </c>
      <c r="B1610" t="s">
        <v>1962</v>
      </c>
      <c r="C1610" t="s">
        <v>927</v>
      </c>
      <c r="D1610" t="s">
        <v>3052</v>
      </c>
      <c r="E1610" t="s">
        <v>3053</v>
      </c>
      <c r="F1610" t="s">
        <v>379</v>
      </c>
      <c r="G1610" t="s">
        <v>380</v>
      </c>
      <c r="H1610" t="s">
        <v>4091</v>
      </c>
      <c r="I1610">
        <v>10</v>
      </c>
      <c r="J1610">
        <v>0</v>
      </c>
      <c r="K1610">
        <v>0</v>
      </c>
      <c r="L1610">
        <v>0</v>
      </c>
      <c r="M1610">
        <v>0</v>
      </c>
      <c r="N1610">
        <v>0</v>
      </c>
      <c r="O1610">
        <v>10</v>
      </c>
    </row>
    <row r="1611" spans="1:15" x14ac:dyDescent="0.25">
      <c r="A1611" t="s">
        <v>940</v>
      </c>
      <c r="B1611" t="s">
        <v>2647</v>
      </c>
      <c r="C1611" t="s">
        <v>927</v>
      </c>
      <c r="D1611" t="s">
        <v>3052</v>
      </c>
      <c r="E1611" t="s">
        <v>3053</v>
      </c>
      <c r="F1611" t="s">
        <v>379</v>
      </c>
      <c r="G1611" t="s">
        <v>380</v>
      </c>
      <c r="H1611" t="s">
        <v>4092</v>
      </c>
      <c r="I1611">
        <v>79</v>
      </c>
      <c r="J1611">
        <v>0</v>
      </c>
      <c r="K1611">
        <v>0</v>
      </c>
      <c r="L1611">
        <v>0</v>
      </c>
      <c r="M1611">
        <v>79</v>
      </c>
      <c r="N1611">
        <v>0</v>
      </c>
      <c r="O1611">
        <v>0</v>
      </c>
    </row>
    <row r="1612" spans="1:15" x14ac:dyDescent="0.25">
      <c r="A1612" t="s">
        <v>1013</v>
      </c>
      <c r="B1612" t="s">
        <v>1959</v>
      </c>
      <c r="C1612" t="s">
        <v>927</v>
      </c>
      <c r="D1612" t="s">
        <v>3052</v>
      </c>
      <c r="E1612" t="s">
        <v>3053</v>
      </c>
      <c r="F1612" t="s">
        <v>379</v>
      </c>
      <c r="G1612" t="s">
        <v>380</v>
      </c>
      <c r="H1612" t="s">
        <v>4093</v>
      </c>
      <c r="I1612">
        <v>27</v>
      </c>
      <c r="J1612">
        <v>0</v>
      </c>
      <c r="K1612">
        <v>0</v>
      </c>
      <c r="L1612">
        <v>27</v>
      </c>
      <c r="M1612">
        <v>0</v>
      </c>
      <c r="N1612">
        <v>0</v>
      </c>
      <c r="O1612">
        <v>0</v>
      </c>
    </row>
    <row r="1613" spans="1:15" x14ac:dyDescent="0.25">
      <c r="A1613" t="s">
        <v>1026</v>
      </c>
      <c r="B1613" t="s">
        <v>2848</v>
      </c>
      <c r="C1613" t="s">
        <v>927</v>
      </c>
      <c r="D1613" t="s">
        <v>3052</v>
      </c>
      <c r="E1613" t="s">
        <v>3053</v>
      </c>
      <c r="F1613" t="s">
        <v>379</v>
      </c>
      <c r="G1613" t="s">
        <v>380</v>
      </c>
      <c r="H1613" t="s">
        <v>4094</v>
      </c>
      <c r="I1613">
        <v>677</v>
      </c>
      <c r="J1613">
        <v>594</v>
      </c>
      <c r="K1613">
        <v>0</v>
      </c>
      <c r="L1613">
        <v>4</v>
      </c>
      <c r="M1613">
        <v>0</v>
      </c>
      <c r="N1613">
        <v>5</v>
      </c>
      <c r="O1613">
        <v>79</v>
      </c>
    </row>
    <row r="1614" spans="1:15" x14ac:dyDescent="0.25">
      <c r="A1614" t="s">
        <v>10681</v>
      </c>
      <c r="B1614" t="s">
        <v>10680</v>
      </c>
      <c r="C1614" t="s">
        <v>927</v>
      </c>
      <c r="D1614" t="s">
        <v>3052</v>
      </c>
      <c r="E1614" t="s">
        <v>3053</v>
      </c>
      <c r="F1614" t="s">
        <v>379</v>
      </c>
      <c r="G1614" t="s">
        <v>380</v>
      </c>
      <c r="H1614" t="s">
        <v>14565</v>
      </c>
      <c r="I1614">
        <v>2</v>
      </c>
      <c r="J1614">
        <v>0</v>
      </c>
      <c r="K1614">
        <v>0</v>
      </c>
      <c r="L1614">
        <v>0</v>
      </c>
      <c r="M1614">
        <v>0</v>
      </c>
      <c r="N1614">
        <v>0</v>
      </c>
      <c r="O1614">
        <v>2</v>
      </c>
    </row>
    <row r="1615" spans="1:15" x14ac:dyDescent="0.25">
      <c r="A1615" t="s">
        <v>943</v>
      </c>
      <c r="B1615" t="s">
        <v>2694</v>
      </c>
      <c r="C1615" t="s">
        <v>927</v>
      </c>
      <c r="D1615" t="s">
        <v>3052</v>
      </c>
      <c r="E1615" t="s">
        <v>3053</v>
      </c>
      <c r="F1615" t="s">
        <v>379</v>
      </c>
      <c r="G1615" t="s">
        <v>380</v>
      </c>
      <c r="H1615" t="s">
        <v>4095</v>
      </c>
      <c r="I1615">
        <v>113</v>
      </c>
      <c r="J1615">
        <v>62</v>
      </c>
      <c r="K1615">
        <v>0</v>
      </c>
      <c r="L1615">
        <v>0</v>
      </c>
      <c r="M1615">
        <v>18</v>
      </c>
      <c r="N1615">
        <v>0</v>
      </c>
      <c r="O1615">
        <v>33</v>
      </c>
    </row>
    <row r="1616" spans="1:15" x14ac:dyDescent="0.25">
      <c r="A1616" t="s">
        <v>1030</v>
      </c>
      <c r="B1616" t="s">
        <v>2880</v>
      </c>
      <c r="C1616" t="s">
        <v>927</v>
      </c>
      <c r="D1616" t="s">
        <v>3052</v>
      </c>
      <c r="E1616" t="s">
        <v>3053</v>
      </c>
      <c r="F1616" t="s">
        <v>379</v>
      </c>
      <c r="G1616" t="s">
        <v>380</v>
      </c>
      <c r="H1616" t="s">
        <v>4096</v>
      </c>
      <c r="I1616">
        <v>341</v>
      </c>
      <c r="J1616">
        <v>238</v>
      </c>
      <c r="K1616">
        <v>0</v>
      </c>
      <c r="L1616">
        <v>0</v>
      </c>
      <c r="M1616">
        <v>10</v>
      </c>
      <c r="N1616">
        <v>0</v>
      </c>
      <c r="O1616">
        <v>93</v>
      </c>
    </row>
    <row r="1617" spans="1:15" x14ac:dyDescent="0.25">
      <c r="A1617" t="s">
        <v>1038</v>
      </c>
      <c r="B1617" t="s">
        <v>2068</v>
      </c>
      <c r="C1617" t="s">
        <v>927</v>
      </c>
      <c r="D1617" t="s">
        <v>3052</v>
      </c>
      <c r="E1617" t="s">
        <v>3053</v>
      </c>
      <c r="F1617" t="s">
        <v>379</v>
      </c>
      <c r="G1617" t="s">
        <v>380</v>
      </c>
      <c r="H1617" t="s">
        <v>4097</v>
      </c>
      <c r="I1617">
        <v>688</v>
      </c>
      <c r="J1617">
        <v>511</v>
      </c>
      <c r="K1617">
        <v>0</v>
      </c>
      <c r="L1617">
        <v>71</v>
      </c>
      <c r="M1617">
        <v>0</v>
      </c>
      <c r="N1617">
        <v>0</v>
      </c>
      <c r="O1617">
        <v>106</v>
      </c>
    </row>
    <row r="1618" spans="1:15" x14ac:dyDescent="0.25">
      <c r="A1618" t="s">
        <v>1043</v>
      </c>
      <c r="B1618" t="s">
        <v>2090</v>
      </c>
      <c r="C1618" t="s">
        <v>927</v>
      </c>
      <c r="D1618" t="s">
        <v>3052</v>
      </c>
      <c r="E1618" t="s">
        <v>3053</v>
      </c>
      <c r="F1618" t="s">
        <v>379</v>
      </c>
      <c r="G1618" t="s">
        <v>380</v>
      </c>
      <c r="H1618" t="s">
        <v>4098</v>
      </c>
      <c r="I1618">
        <v>274</v>
      </c>
      <c r="J1618">
        <v>225</v>
      </c>
      <c r="K1618">
        <v>0</v>
      </c>
      <c r="L1618">
        <v>0</v>
      </c>
      <c r="M1618">
        <v>3</v>
      </c>
      <c r="N1618">
        <v>0</v>
      </c>
      <c r="O1618">
        <v>46</v>
      </c>
    </row>
    <row r="1619" spans="1:15" x14ac:dyDescent="0.25">
      <c r="A1619" t="s">
        <v>951</v>
      </c>
      <c r="B1619" t="s">
        <v>2680</v>
      </c>
      <c r="C1619" t="s">
        <v>927</v>
      </c>
      <c r="D1619" t="s">
        <v>3052</v>
      </c>
      <c r="E1619" t="s">
        <v>3053</v>
      </c>
      <c r="F1619" t="s">
        <v>379</v>
      </c>
      <c r="G1619" t="s">
        <v>380</v>
      </c>
      <c r="H1619" t="s">
        <v>4099</v>
      </c>
      <c r="I1619">
        <v>41</v>
      </c>
      <c r="J1619">
        <v>3</v>
      </c>
      <c r="K1619">
        <v>0</v>
      </c>
      <c r="L1619">
        <v>0</v>
      </c>
      <c r="M1619">
        <v>38</v>
      </c>
      <c r="N1619">
        <v>0</v>
      </c>
      <c r="O1619">
        <v>0</v>
      </c>
    </row>
    <row r="1620" spans="1:15" x14ac:dyDescent="0.25">
      <c r="A1620" t="s">
        <v>1048</v>
      </c>
      <c r="B1620" t="s">
        <v>2989</v>
      </c>
      <c r="C1620" t="s">
        <v>927</v>
      </c>
      <c r="D1620" t="s">
        <v>3052</v>
      </c>
      <c r="E1620" t="s">
        <v>3053</v>
      </c>
      <c r="F1620" t="s">
        <v>379</v>
      </c>
      <c r="G1620" t="s">
        <v>380</v>
      </c>
      <c r="H1620" t="s">
        <v>11932</v>
      </c>
      <c r="I1620">
        <v>111</v>
      </c>
      <c r="J1620">
        <v>106</v>
      </c>
      <c r="K1620">
        <v>0</v>
      </c>
      <c r="L1620">
        <v>0</v>
      </c>
      <c r="M1620">
        <v>0</v>
      </c>
      <c r="N1620">
        <v>0</v>
      </c>
      <c r="O1620">
        <v>5</v>
      </c>
    </row>
    <row r="1621" spans="1:15" x14ac:dyDescent="0.25">
      <c r="A1621" t="s">
        <v>1049</v>
      </c>
      <c r="B1621" t="s">
        <v>2138</v>
      </c>
      <c r="C1621" t="s">
        <v>927</v>
      </c>
      <c r="D1621" t="s">
        <v>3052</v>
      </c>
      <c r="E1621" t="s">
        <v>3053</v>
      </c>
      <c r="F1621" t="s">
        <v>379</v>
      </c>
      <c r="G1621" t="s">
        <v>380</v>
      </c>
      <c r="H1621" t="s">
        <v>4100</v>
      </c>
      <c r="I1621">
        <v>559</v>
      </c>
      <c r="J1621">
        <v>466</v>
      </c>
      <c r="K1621">
        <v>0</v>
      </c>
      <c r="L1621">
        <v>0</v>
      </c>
      <c r="M1621">
        <v>0</v>
      </c>
      <c r="N1621">
        <v>0</v>
      </c>
      <c r="O1621">
        <v>93</v>
      </c>
    </row>
    <row r="1622" spans="1:15" x14ac:dyDescent="0.25">
      <c r="A1622" t="s">
        <v>1051</v>
      </c>
      <c r="B1622" t="s">
        <v>2995</v>
      </c>
      <c r="C1622" t="s">
        <v>927</v>
      </c>
      <c r="D1622" t="s">
        <v>3052</v>
      </c>
      <c r="E1622" t="s">
        <v>3053</v>
      </c>
      <c r="F1622" t="s">
        <v>379</v>
      </c>
      <c r="G1622" t="s">
        <v>380</v>
      </c>
      <c r="H1622" t="s">
        <v>4101</v>
      </c>
      <c r="I1622">
        <v>12</v>
      </c>
      <c r="J1622">
        <v>0</v>
      </c>
      <c r="K1622">
        <v>0</v>
      </c>
      <c r="L1622">
        <v>12</v>
      </c>
      <c r="M1622">
        <v>0</v>
      </c>
      <c r="N1622">
        <v>0</v>
      </c>
      <c r="O1622">
        <v>0</v>
      </c>
    </row>
    <row r="1623" spans="1:15" x14ac:dyDescent="0.25">
      <c r="A1623" t="s">
        <v>953</v>
      </c>
      <c r="B1623" t="s">
        <v>2014</v>
      </c>
      <c r="C1623" t="s">
        <v>927</v>
      </c>
      <c r="D1623" t="s">
        <v>3052</v>
      </c>
      <c r="E1623" t="s">
        <v>3053</v>
      </c>
      <c r="F1623" t="s">
        <v>379</v>
      </c>
      <c r="G1623" t="s">
        <v>380</v>
      </c>
      <c r="H1623" t="s">
        <v>10915</v>
      </c>
      <c r="I1623">
        <v>1</v>
      </c>
      <c r="J1623">
        <v>0</v>
      </c>
      <c r="K1623">
        <v>0</v>
      </c>
      <c r="L1623">
        <v>1</v>
      </c>
      <c r="M1623">
        <v>0</v>
      </c>
      <c r="N1623">
        <v>0</v>
      </c>
      <c r="O1623">
        <v>0</v>
      </c>
    </row>
    <row r="1624" spans="1:15" x14ac:dyDescent="0.25">
      <c r="A1624" t="s">
        <v>9788</v>
      </c>
      <c r="B1624" t="s">
        <v>9871</v>
      </c>
      <c r="C1624" t="s">
        <v>927</v>
      </c>
      <c r="D1624" t="s">
        <v>3052</v>
      </c>
      <c r="E1624" t="s">
        <v>3053</v>
      </c>
      <c r="F1624" t="s">
        <v>379</v>
      </c>
      <c r="G1624" t="s">
        <v>380</v>
      </c>
      <c r="H1624" t="s">
        <v>10916</v>
      </c>
      <c r="I1624">
        <v>6</v>
      </c>
      <c r="J1624">
        <v>6</v>
      </c>
      <c r="K1624">
        <v>0</v>
      </c>
      <c r="L1624">
        <v>0</v>
      </c>
      <c r="M1624">
        <v>0</v>
      </c>
      <c r="N1624">
        <v>0</v>
      </c>
      <c r="O1624">
        <v>0</v>
      </c>
    </row>
    <row r="1625" spans="1:15" x14ac:dyDescent="0.25">
      <c r="A1625" t="s">
        <v>14374</v>
      </c>
      <c r="B1625" t="s">
        <v>1943</v>
      </c>
      <c r="C1625" t="s">
        <v>927</v>
      </c>
      <c r="D1625" t="s">
        <v>3052</v>
      </c>
      <c r="E1625" t="s">
        <v>3053</v>
      </c>
      <c r="F1625" t="s">
        <v>379</v>
      </c>
      <c r="G1625" t="s">
        <v>380</v>
      </c>
      <c r="H1625" t="s">
        <v>14566</v>
      </c>
      <c r="I1625">
        <v>3</v>
      </c>
      <c r="J1625">
        <v>0</v>
      </c>
      <c r="K1625">
        <v>0</v>
      </c>
      <c r="L1625">
        <v>0</v>
      </c>
      <c r="M1625">
        <v>0</v>
      </c>
      <c r="N1625">
        <v>0</v>
      </c>
      <c r="O1625">
        <v>3</v>
      </c>
    </row>
    <row r="1626" spans="1:15" x14ac:dyDescent="0.25">
      <c r="A1626" t="s">
        <v>1062</v>
      </c>
      <c r="B1626" t="s">
        <v>1993</v>
      </c>
      <c r="C1626" t="s">
        <v>927</v>
      </c>
      <c r="D1626" t="s">
        <v>3052</v>
      </c>
      <c r="E1626" t="s">
        <v>3053</v>
      </c>
      <c r="F1626" t="s">
        <v>379</v>
      </c>
      <c r="G1626" t="s">
        <v>380</v>
      </c>
      <c r="H1626" t="s">
        <v>4102</v>
      </c>
      <c r="I1626">
        <v>146</v>
      </c>
      <c r="J1626">
        <v>146</v>
      </c>
      <c r="K1626">
        <v>0</v>
      </c>
      <c r="L1626">
        <v>0</v>
      </c>
      <c r="M1626">
        <v>0</v>
      </c>
      <c r="N1626">
        <v>0</v>
      </c>
      <c r="O1626">
        <v>0</v>
      </c>
    </row>
    <row r="1627" spans="1:15" x14ac:dyDescent="0.25">
      <c r="A1627" t="s">
        <v>962</v>
      </c>
      <c r="B1627" t="s">
        <v>2752</v>
      </c>
      <c r="C1627" t="s">
        <v>927</v>
      </c>
      <c r="D1627" t="s">
        <v>3052</v>
      </c>
      <c r="E1627" t="s">
        <v>3053</v>
      </c>
      <c r="F1627" t="s">
        <v>379</v>
      </c>
      <c r="G1627" t="s">
        <v>380</v>
      </c>
      <c r="H1627" t="s">
        <v>4103</v>
      </c>
      <c r="I1627">
        <v>273</v>
      </c>
      <c r="J1627">
        <v>219</v>
      </c>
      <c r="K1627">
        <v>0</v>
      </c>
      <c r="L1627">
        <v>0</v>
      </c>
      <c r="M1627">
        <v>0</v>
      </c>
      <c r="N1627">
        <v>0</v>
      </c>
      <c r="O1627">
        <v>54</v>
      </c>
    </row>
    <row r="1628" spans="1:15" x14ac:dyDescent="0.25">
      <c r="A1628" t="s">
        <v>1066</v>
      </c>
      <c r="B1628" t="s">
        <v>2557</v>
      </c>
      <c r="C1628" t="s">
        <v>927</v>
      </c>
      <c r="D1628" t="s">
        <v>3052</v>
      </c>
      <c r="E1628" t="s">
        <v>3053</v>
      </c>
      <c r="F1628" t="s">
        <v>379</v>
      </c>
      <c r="G1628" t="s">
        <v>380</v>
      </c>
      <c r="H1628" t="s">
        <v>4104</v>
      </c>
      <c r="I1628">
        <v>14</v>
      </c>
      <c r="J1628">
        <v>0</v>
      </c>
      <c r="K1628">
        <v>0</v>
      </c>
      <c r="L1628">
        <v>0</v>
      </c>
      <c r="M1628">
        <v>14</v>
      </c>
      <c r="N1628">
        <v>0</v>
      </c>
      <c r="O1628">
        <v>0</v>
      </c>
    </row>
    <row r="1629" spans="1:15" x14ac:dyDescent="0.25">
      <c r="A1629" t="s">
        <v>11666</v>
      </c>
      <c r="B1629" t="s">
        <v>11780</v>
      </c>
      <c r="C1629" t="s">
        <v>923</v>
      </c>
      <c r="D1629" t="s">
        <v>3063</v>
      </c>
      <c r="E1629" t="s">
        <v>3053</v>
      </c>
      <c r="F1629" t="s">
        <v>379</v>
      </c>
      <c r="G1629" t="s">
        <v>380</v>
      </c>
      <c r="H1629" t="s">
        <v>14567</v>
      </c>
      <c r="I1629">
        <v>8</v>
      </c>
      <c r="J1629">
        <v>0</v>
      </c>
      <c r="K1629">
        <v>0</v>
      </c>
      <c r="L1629">
        <v>0</v>
      </c>
      <c r="M1629">
        <v>8</v>
      </c>
      <c r="N1629">
        <v>0</v>
      </c>
      <c r="O1629">
        <v>0</v>
      </c>
    </row>
    <row r="1630" spans="1:15" x14ac:dyDescent="0.25">
      <c r="A1630" t="s">
        <v>1068</v>
      </c>
      <c r="B1630" t="s">
        <v>2081</v>
      </c>
      <c r="C1630" t="s">
        <v>923</v>
      </c>
      <c r="D1630" t="s">
        <v>3063</v>
      </c>
      <c r="E1630" t="s">
        <v>3053</v>
      </c>
      <c r="F1630" t="s">
        <v>379</v>
      </c>
      <c r="G1630" t="s">
        <v>380</v>
      </c>
      <c r="H1630" t="s">
        <v>4105</v>
      </c>
      <c r="I1630">
        <v>111</v>
      </c>
      <c r="J1630">
        <v>0</v>
      </c>
      <c r="K1630">
        <v>3</v>
      </c>
      <c r="L1630">
        <v>108</v>
      </c>
      <c r="M1630">
        <v>0</v>
      </c>
      <c r="N1630">
        <v>0</v>
      </c>
      <c r="O1630">
        <v>0</v>
      </c>
    </row>
    <row r="1631" spans="1:15" x14ac:dyDescent="0.25">
      <c r="A1631" t="s">
        <v>1072</v>
      </c>
      <c r="B1631" t="s">
        <v>2907</v>
      </c>
      <c r="C1631" t="s">
        <v>927</v>
      </c>
      <c r="D1631" t="s">
        <v>3052</v>
      </c>
      <c r="E1631" t="s">
        <v>3053</v>
      </c>
      <c r="F1631" t="s">
        <v>379</v>
      </c>
      <c r="G1631" t="s">
        <v>380</v>
      </c>
      <c r="H1631" t="s">
        <v>4106</v>
      </c>
      <c r="I1631">
        <v>431</v>
      </c>
      <c r="J1631">
        <v>329</v>
      </c>
      <c r="K1631">
        <v>0</v>
      </c>
      <c r="L1631">
        <v>0</v>
      </c>
      <c r="M1631">
        <v>0</v>
      </c>
      <c r="N1631">
        <v>0</v>
      </c>
      <c r="O1631">
        <v>102</v>
      </c>
    </row>
    <row r="1632" spans="1:15" x14ac:dyDescent="0.25">
      <c r="A1632" t="s">
        <v>1078</v>
      </c>
      <c r="B1632" t="s">
        <v>1950</v>
      </c>
      <c r="C1632" t="s">
        <v>923</v>
      </c>
      <c r="D1632" t="s">
        <v>3063</v>
      </c>
      <c r="E1632" t="s">
        <v>3053</v>
      </c>
      <c r="F1632" t="s">
        <v>379</v>
      </c>
      <c r="G1632" t="s">
        <v>380</v>
      </c>
      <c r="H1632" t="s">
        <v>4107</v>
      </c>
      <c r="I1632">
        <v>1</v>
      </c>
      <c r="J1632">
        <v>0</v>
      </c>
      <c r="K1632">
        <v>0</v>
      </c>
      <c r="L1632">
        <v>1</v>
      </c>
      <c r="M1632">
        <v>0</v>
      </c>
      <c r="N1632">
        <v>0</v>
      </c>
      <c r="O1632">
        <v>0</v>
      </c>
    </row>
    <row r="1633" spans="1:15" x14ac:dyDescent="0.25">
      <c r="A1633" t="s">
        <v>1079</v>
      </c>
      <c r="B1633" t="s">
        <v>2810</v>
      </c>
      <c r="C1633" t="s">
        <v>927</v>
      </c>
      <c r="D1633" t="s">
        <v>3052</v>
      </c>
      <c r="E1633" t="s">
        <v>3053</v>
      </c>
      <c r="F1633" t="s">
        <v>379</v>
      </c>
      <c r="G1633" t="s">
        <v>380</v>
      </c>
      <c r="H1633" t="s">
        <v>4108</v>
      </c>
      <c r="I1633">
        <v>12</v>
      </c>
      <c r="J1633">
        <v>12</v>
      </c>
      <c r="K1633">
        <v>0</v>
      </c>
      <c r="L1633">
        <v>0</v>
      </c>
      <c r="M1633">
        <v>0</v>
      </c>
      <c r="N1633">
        <v>0</v>
      </c>
      <c r="O1633">
        <v>0</v>
      </c>
    </row>
    <row r="1634" spans="1:15" x14ac:dyDescent="0.25">
      <c r="A1634" t="s">
        <v>926</v>
      </c>
      <c r="B1634" t="s">
        <v>2923</v>
      </c>
      <c r="C1634" t="s">
        <v>927</v>
      </c>
      <c r="D1634" t="s">
        <v>3052</v>
      </c>
      <c r="E1634" t="s">
        <v>3053</v>
      </c>
      <c r="F1634" t="s">
        <v>381</v>
      </c>
      <c r="G1634" t="s">
        <v>382</v>
      </c>
      <c r="H1634" t="s">
        <v>14568</v>
      </c>
      <c r="I1634">
        <v>1</v>
      </c>
      <c r="J1634">
        <v>0</v>
      </c>
      <c r="K1634">
        <v>0</v>
      </c>
      <c r="L1634">
        <v>0</v>
      </c>
      <c r="M1634">
        <v>0</v>
      </c>
      <c r="N1634">
        <v>0</v>
      </c>
      <c r="O1634">
        <v>1</v>
      </c>
    </row>
    <row r="1635" spans="1:15" x14ac:dyDescent="0.25">
      <c r="A1635" t="s">
        <v>1100</v>
      </c>
      <c r="B1635" t="s">
        <v>2855</v>
      </c>
      <c r="C1635" t="s">
        <v>927</v>
      </c>
      <c r="D1635" t="s">
        <v>3052</v>
      </c>
      <c r="E1635" t="s">
        <v>3053</v>
      </c>
      <c r="F1635" t="s">
        <v>381</v>
      </c>
      <c r="G1635" t="s">
        <v>382</v>
      </c>
      <c r="H1635" t="s">
        <v>4109</v>
      </c>
      <c r="I1635">
        <v>6953</v>
      </c>
      <c r="J1635">
        <v>6839</v>
      </c>
      <c r="K1635">
        <v>0</v>
      </c>
      <c r="L1635">
        <v>22</v>
      </c>
      <c r="M1635">
        <v>0</v>
      </c>
      <c r="N1635">
        <v>35</v>
      </c>
      <c r="O1635">
        <v>92</v>
      </c>
    </row>
    <row r="1636" spans="1:15" x14ac:dyDescent="0.25">
      <c r="A1636" t="s">
        <v>933</v>
      </c>
      <c r="B1636" t="s">
        <v>2106</v>
      </c>
      <c r="C1636" t="s">
        <v>927</v>
      </c>
      <c r="D1636" t="s">
        <v>3052</v>
      </c>
      <c r="E1636" t="s">
        <v>3053</v>
      </c>
      <c r="F1636" t="s">
        <v>381</v>
      </c>
      <c r="G1636" t="s">
        <v>382</v>
      </c>
      <c r="H1636" t="s">
        <v>4110</v>
      </c>
      <c r="I1636">
        <v>781</v>
      </c>
      <c r="J1636">
        <v>714</v>
      </c>
      <c r="K1636">
        <v>0</v>
      </c>
      <c r="L1636">
        <v>3</v>
      </c>
      <c r="M1636">
        <v>9</v>
      </c>
      <c r="N1636">
        <v>0</v>
      </c>
      <c r="O1636">
        <v>55</v>
      </c>
    </row>
    <row r="1637" spans="1:15" x14ac:dyDescent="0.25">
      <c r="A1637" t="s">
        <v>1110</v>
      </c>
      <c r="B1637" t="s">
        <v>2888</v>
      </c>
      <c r="C1637" t="s">
        <v>927</v>
      </c>
      <c r="D1637" t="s">
        <v>3052</v>
      </c>
      <c r="E1637" t="s">
        <v>3053</v>
      </c>
      <c r="F1637" t="s">
        <v>381</v>
      </c>
      <c r="G1637" t="s">
        <v>382</v>
      </c>
      <c r="H1637" t="s">
        <v>4111</v>
      </c>
      <c r="I1637">
        <v>263</v>
      </c>
      <c r="J1637">
        <v>201</v>
      </c>
      <c r="K1637">
        <v>0</v>
      </c>
      <c r="L1637">
        <v>0</v>
      </c>
      <c r="M1637">
        <v>0</v>
      </c>
      <c r="N1637">
        <v>0</v>
      </c>
      <c r="O1637">
        <v>62</v>
      </c>
    </row>
    <row r="1638" spans="1:15" x14ac:dyDescent="0.25">
      <c r="A1638" t="s">
        <v>998</v>
      </c>
      <c r="B1638" t="s">
        <v>2820</v>
      </c>
      <c r="C1638" t="s">
        <v>927</v>
      </c>
      <c r="D1638" t="s">
        <v>3052</v>
      </c>
      <c r="E1638" t="s">
        <v>3053</v>
      </c>
      <c r="F1638" t="s">
        <v>381</v>
      </c>
      <c r="G1638" t="s">
        <v>382</v>
      </c>
      <c r="H1638" t="s">
        <v>4112</v>
      </c>
      <c r="I1638">
        <v>5</v>
      </c>
      <c r="J1638">
        <v>5</v>
      </c>
      <c r="K1638">
        <v>0</v>
      </c>
      <c r="L1638">
        <v>0</v>
      </c>
      <c r="M1638">
        <v>0</v>
      </c>
      <c r="N1638">
        <v>0</v>
      </c>
      <c r="O1638">
        <v>0</v>
      </c>
    </row>
    <row r="1639" spans="1:15" x14ac:dyDescent="0.25">
      <c r="A1639" t="s">
        <v>1111</v>
      </c>
      <c r="B1639" t="s">
        <v>2795</v>
      </c>
      <c r="C1639" t="s">
        <v>927</v>
      </c>
      <c r="D1639" t="s">
        <v>3052</v>
      </c>
      <c r="E1639" t="s">
        <v>3053</v>
      </c>
      <c r="F1639" t="s">
        <v>381</v>
      </c>
      <c r="G1639" t="s">
        <v>382</v>
      </c>
      <c r="H1639" t="s">
        <v>4113</v>
      </c>
      <c r="I1639">
        <v>49</v>
      </c>
      <c r="J1639">
        <v>20</v>
      </c>
      <c r="K1639">
        <v>0</v>
      </c>
      <c r="L1639">
        <v>8</v>
      </c>
      <c r="M1639">
        <v>0</v>
      </c>
      <c r="N1639">
        <v>0</v>
      </c>
      <c r="O1639">
        <v>21</v>
      </c>
    </row>
    <row r="1640" spans="1:15" x14ac:dyDescent="0.25">
      <c r="A1640" t="s">
        <v>10638</v>
      </c>
      <c r="B1640" t="s">
        <v>2057</v>
      </c>
      <c r="C1640" t="s">
        <v>927</v>
      </c>
      <c r="D1640" t="s">
        <v>3052</v>
      </c>
      <c r="E1640" t="s">
        <v>3053</v>
      </c>
      <c r="F1640" t="s">
        <v>381</v>
      </c>
      <c r="G1640" t="s">
        <v>382</v>
      </c>
      <c r="H1640" t="s">
        <v>10917</v>
      </c>
      <c r="I1640">
        <v>12</v>
      </c>
      <c r="J1640">
        <v>0</v>
      </c>
      <c r="K1640">
        <v>0</v>
      </c>
      <c r="L1640">
        <v>12</v>
      </c>
      <c r="M1640">
        <v>0</v>
      </c>
      <c r="N1640">
        <v>0</v>
      </c>
      <c r="O1640">
        <v>0</v>
      </c>
    </row>
    <row r="1641" spans="1:15" x14ac:dyDescent="0.25">
      <c r="A1641" t="s">
        <v>1008</v>
      </c>
      <c r="B1641" t="s">
        <v>2928</v>
      </c>
      <c r="C1641" t="s">
        <v>927</v>
      </c>
      <c r="D1641" t="s">
        <v>3052</v>
      </c>
      <c r="E1641" t="s">
        <v>3053</v>
      </c>
      <c r="F1641" t="s">
        <v>381</v>
      </c>
      <c r="G1641" t="s">
        <v>382</v>
      </c>
      <c r="H1641" t="s">
        <v>4114</v>
      </c>
      <c r="I1641">
        <v>42</v>
      </c>
      <c r="J1641">
        <v>16</v>
      </c>
      <c r="K1641">
        <v>0</v>
      </c>
      <c r="L1641">
        <v>0</v>
      </c>
      <c r="M1641">
        <v>26</v>
      </c>
      <c r="N1641">
        <v>0</v>
      </c>
      <c r="O1641">
        <v>0</v>
      </c>
    </row>
    <row r="1642" spans="1:15" x14ac:dyDescent="0.25">
      <c r="A1642" t="s">
        <v>1010</v>
      </c>
      <c r="B1642" t="s">
        <v>2639</v>
      </c>
      <c r="C1642" t="s">
        <v>927</v>
      </c>
      <c r="D1642" t="s">
        <v>3052</v>
      </c>
      <c r="E1642" t="s">
        <v>3053</v>
      </c>
      <c r="F1642" t="s">
        <v>381</v>
      </c>
      <c r="G1642" t="s">
        <v>382</v>
      </c>
      <c r="H1642" t="s">
        <v>4115</v>
      </c>
      <c r="I1642">
        <v>20</v>
      </c>
      <c r="J1642">
        <v>14</v>
      </c>
      <c r="K1642">
        <v>0</v>
      </c>
      <c r="L1642">
        <v>0</v>
      </c>
      <c r="M1642">
        <v>0</v>
      </c>
      <c r="N1642">
        <v>0</v>
      </c>
      <c r="O1642">
        <v>6</v>
      </c>
    </row>
    <row r="1643" spans="1:15" x14ac:dyDescent="0.25">
      <c r="A1643" t="s">
        <v>937</v>
      </c>
      <c r="B1643" t="s">
        <v>1962</v>
      </c>
      <c r="C1643" t="s">
        <v>927</v>
      </c>
      <c r="D1643" t="s">
        <v>3052</v>
      </c>
      <c r="E1643" t="s">
        <v>3053</v>
      </c>
      <c r="F1643" t="s">
        <v>381</v>
      </c>
      <c r="G1643" t="s">
        <v>382</v>
      </c>
      <c r="H1643" t="s">
        <v>4116</v>
      </c>
      <c r="I1643">
        <v>7</v>
      </c>
      <c r="J1643">
        <v>0</v>
      </c>
      <c r="K1643">
        <v>0</v>
      </c>
      <c r="L1643">
        <v>0</v>
      </c>
      <c r="M1643">
        <v>0</v>
      </c>
      <c r="N1643">
        <v>0</v>
      </c>
      <c r="O1643">
        <v>7</v>
      </c>
    </row>
    <row r="1644" spans="1:15" x14ac:dyDescent="0.25">
      <c r="A1644" t="s">
        <v>1011</v>
      </c>
      <c r="B1644" t="s">
        <v>2020</v>
      </c>
      <c r="C1644" t="s">
        <v>927</v>
      </c>
      <c r="D1644" t="s">
        <v>3052</v>
      </c>
      <c r="E1644" t="s">
        <v>3053</v>
      </c>
      <c r="F1644" t="s">
        <v>381</v>
      </c>
      <c r="G1644" t="s">
        <v>382</v>
      </c>
      <c r="H1644" t="s">
        <v>10918</v>
      </c>
      <c r="I1644">
        <v>5</v>
      </c>
      <c r="J1644">
        <v>0</v>
      </c>
      <c r="K1644">
        <v>0</v>
      </c>
      <c r="L1644">
        <v>5</v>
      </c>
      <c r="M1644">
        <v>0</v>
      </c>
      <c r="N1644">
        <v>0</v>
      </c>
      <c r="O1644">
        <v>0</v>
      </c>
    </row>
    <row r="1645" spans="1:15" x14ac:dyDescent="0.25">
      <c r="A1645" t="s">
        <v>938</v>
      </c>
      <c r="B1645" t="s">
        <v>2791</v>
      </c>
      <c r="C1645" t="s">
        <v>927</v>
      </c>
      <c r="D1645" t="s">
        <v>3052</v>
      </c>
      <c r="E1645" t="s">
        <v>3053</v>
      </c>
      <c r="F1645" t="s">
        <v>381</v>
      </c>
      <c r="G1645" t="s">
        <v>382</v>
      </c>
      <c r="H1645" t="s">
        <v>4117</v>
      </c>
      <c r="I1645">
        <v>583</v>
      </c>
      <c r="J1645">
        <v>455</v>
      </c>
      <c r="K1645">
        <v>0</v>
      </c>
      <c r="L1645">
        <v>8</v>
      </c>
      <c r="M1645">
        <v>0</v>
      </c>
      <c r="N1645">
        <v>0</v>
      </c>
      <c r="O1645">
        <v>120</v>
      </c>
    </row>
    <row r="1646" spans="1:15" x14ac:dyDescent="0.25">
      <c r="A1646" t="s">
        <v>10667</v>
      </c>
      <c r="B1646" t="s">
        <v>10666</v>
      </c>
      <c r="C1646" t="s">
        <v>927</v>
      </c>
      <c r="D1646" t="s">
        <v>3052</v>
      </c>
      <c r="E1646" t="s">
        <v>3053</v>
      </c>
      <c r="F1646" t="s">
        <v>381</v>
      </c>
      <c r="G1646" t="s">
        <v>382</v>
      </c>
      <c r="H1646" t="s">
        <v>10919</v>
      </c>
      <c r="I1646">
        <v>30</v>
      </c>
      <c r="J1646">
        <v>30</v>
      </c>
      <c r="K1646">
        <v>0</v>
      </c>
      <c r="L1646">
        <v>0</v>
      </c>
      <c r="M1646">
        <v>0</v>
      </c>
      <c r="N1646">
        <v>0</v>
      </c>
      <c r="O1646">
        <v>0</v>
      </c>
    </row>
    <row r="1647" spans="1:15" x14ac:dyDescent="0.25">
      <c r="A1647" t="s">
        <v>1126</v>
      </c>
      <c r="B1647" t="s">
        <v>2130</v>
      </c>
      <c r="C1647" t="s">
        <v>927</v>
      </c>
      <c r="D1647" t="s">
        <v>3052</v>
      </c>
      <c r="E1647" t="s">
        <v>3053</v>
      </c>
      <c r="F1647" t="s">
        <v>381</v>
      </c>
      <c r="G1647" t="s">
        <v>382</v>
      </c>
      <c r="H1647" t="s">
        <v>10920</v>
      </c>
      <c r="I1647">
        <v>56</v>
      </c>
      <c r="J1647">
        <v>0</v>
      </c>
      <c r="K1647">
        <v>0</v>
      </c>
      <c r="L1647">
        <v>0</v>
      </c>
      <c r="M1647">
        <v>0</v>
      </c>
      <c r="N1647">
        <v>0</v>
      </c>
      <c r="O1647">
        <v>56</v>
      </c>
    </row>
    <row r="1648" spans="1:15" x14ac:dyDescent="0.25">
      <c r="A1648" t="s">
        <v>1025</v>
      </c>
      <c r="B1648" t="s">
        <v>2893</v>
      </c>
      <c r="C1648" t="s">
        <v>927</v>
      </c>
      <c r="D1648" t="s">
        <v>3052</v>
      </c>
      <c r="E1648" t="s">
        <v>3053</v>
      </c>
      <c r="F1648" t="s">
        <v>381</v>
      </c>
      <c r="G1648" t="s">
        <v>382</v>
      </c>
      <c r="H1648" t="s">
        <v>4118</v>
      </c>
      <c r="I1648">
        <v>655</v>
      </c>
      <c r="J1648">
        <v>238</v>
      </c>
      <c r="K1648">
        <v>0</v>
      </c>
      <c r="L1648">
        <v>8</v>
      </c>
      <c r="M1648">
        <v>0</v>
      </c>
      <c r="N1648">
        <v>0</v>
      </c>
      <c r="O1648">
        <v>409</v>
      </c>
    </row>
    <row r="1649" spans="1:15" x14ac:dyDescent="0.25">
      <c r="A1649" t="s">
        <v>10681</v>
      </c>
      <c r="B1649" t="s">
        <v>10680</v>
      </c>
      <c r="C1649" t="s">
        <v>927</v>
      </c>
      <c r="D1649" t="s">
        <v>3052</v>
      </c>
      <c r="E1649" t="s">
        <v>3053</v>
      </c>
      <c r="F1649" t="s">
        <v>381</v>
      </c>
      <c r="G1649" t="s">
        <v>382</v>
      </c>
      <c r="H1649" t="s">
        <v>14569</v>
      </c>
      <c r="I1649">
        <v>32</v>
      </c>
      <c r="J1649">
        <v>0</v>
      </c>
      <c r="K1649">
        <v>0</v>
      </c>
      <c r="L1649">
        <v>0</v>
      </c>
      <c r="M1649">
        <v>0</v>
      </c>
      <c r="N1649">
        <v>0</v>
      </c>
      <c r="O1649">
        <v>32</v>
      </c>
    </row>
    <row r="1650" spans="1:15" x14ac:dyDescent="0.25">
      <c r="A1650" t="s">
        <v>1028</v>
      </c>
      <c r="B1650" t="s">
        <v>2682</v>
      </c>
      <c r="C1650" t="s">
        <v>923</v>
      </c>
      <c r="D1650" t="s">
        <v>3063</v>
      </c>
      <c r="E1650" t="s">
        <v>3053</v>
      </c>
      <c r="F1650" t="s">
        <v>381</v>
      </c>
      <c r="G1650" t="s">
        <v>382</v>
      </c>
      <c r="H1650" t="s">
        <v>4119</v>
      </c>
      <c r="I1650">
        <v>43</v>
      </c>
      <c r="J1650">
        <v>0</v>
      </c>
      <c r="K1650">
        <v>0</v>
      </c>
      <c r="L1650">
        <v>0</v>
      </c>
      <c r="M1650">
        <v>43</v>
      </c>
      <c r="N1650">
        <v>0</v>
      </c>
      <c r="O1650">
        <v>0</v>
      </c>
    </row>
    <row r="1651" spans="1:15" x14ac:dyDescent="0.25">
      <c r="A1651" t="s">
        <v>943</v>
      </c>
      <c r="B1651" t="s">
        <v>2694</v>
      </c>
      <c r="C1651" t="s">
        <v>927</v>
      </c>
      <c r="D1651" t="s">
        <v>3052</v>
      </c>
      <c r="E1651" t="s">
        <v>3053</v>
      </c>
      <c r="F1651" t="s">
        <v>381</v>
      </c>
      <c r="G1651" t="s">
        <v>382</v>
      </c>
      <c r="H1651" t="s">
        <v>4120</v>
      </c>
      <c r="I1651">
        <v>1</v>
      </c>
      <c r="J1651">
        <v>0</v>
      </c>
      <c r="K1651">
        <v>0</v>
      </c>
      <c r="L1651">
        <v>0</v>
      </c>
      <c r="M1651">
        <v>0</v>
      </c>
      <c r="N1651">
        <v>0</v>
      </c>
      <c r="O1651">
        <v>1</v>
      </c>
    </row>
    <row r="1652" spans="1:15" x14ac:dyDescent="0.25">
      <c r="A1652" t="s">
        <v>945</v>
      </c>
      <c r="B1652" t="s">
        <v>2668</v>
      </c>
      <c r="C1652" t="s">
        <v>927</v>
      </c>
      <c r="D1652" t="s">
        <v>3052</v>
      </c>
      <c r="E1652" t="s">
        <v>3053</v>
      </c>
      <c r="F1652" t="s">
        <v>381</v>
      </c>
      <c r="G1652" t="s">
        <v>382</v>
      </c>
      <c r="H1652" t="s">
        <v>4121</v>
      </c>
      <c r="I1652">
        <v>153</v>
      </c>
      <c r="J1652">
        <v>128</v>
      </c>
      <c r="K1652">
        <v>0</v>
      </c>
      <c r="L1652">
        <v>6</v>
      </c>
      <c r="M1652">
        <v>0</v>
      </c>
      <c r="N1652">
        <v>0</v>
      </c>
      <c r="O1652">
        <v>19</v>
      </c>
    </row>
    <row r="1653" spans="1:15" x14ac:dyDescent="0.25">
      <c r="A1653" t="s">
        <v>1033</v>
      </c>
      <c r="B1653" t="s">
        <v>2039</v>
      </c>
      <c r="C1653" t="s">
        <v>923</v>
      </c>
      <c r="D1653" t="s">
        <v>3063</v>
      </c>
      <c r="E1653" t="s">
        <v>3053</v>
      </c>
      <c r="F1653" t="s">
        <v>381</v>
      </c>
      <c r="G1653" t="s">
        <v>382</v>
      </c>
      <c r="H1653" t="s">
        <v>4122</v>
      </c>
      <c r="I1653">
        <v>12</v>
      </c>
      <c r="J1653">
        <v>0</v>
      </c>
      <c r="K1653">
        <v>0</v>
      </c>
      <c r="L1653">
        <v>12</v>
      </c>
      <c r="M1653">
        <v>0</v>
      </c>
      <c r="N1653">
        <v>0</v>
      </c>
      <c r="O1653">
        <v>0</v>
      </c>
    </row>
    <row r="1654" spans="1:15" x14ac:dyDescent="0.25">
      <c r="A1654" t="s">
        <v>1134</v>
      </c>
      <c r="B1654" t="s">
        <v>2118</v>
      </c>
      <c r="C1654" t="s">
        <v>927</v>
      </c>
      <c r="D1654" t="s">
        <v>3052</v>
      </c>
      <c r="E1654" t="s">
        <v>3053</v>
      </c>
      <c r="F1654" t="s">
        <v>381</v>
      </c>
      <c r="G1654" t="s">
        <v>382</v>
      </c>
      <c r="H1654" t="s">
        <v>4123</v>
      </c>
      <c r="I1654">
        <v>499</v>
      </c>
      <c r="J1654">
        <v>193</v>
      </c>
      <c r="K1654">
        <v>0</v>
      </c>
      <c r="L1654">
        <v>137</v>
      </c>
      <c r="M1654">
        <v>86</v>
      </c>
      <c r="N1654">
        <v>2</v>
      </c>
      <c r="O1654">
        <v>83</v>
      </c>
    </row>
    <row r="1655" spans="1:15" x14ac:dyDescent="0.25">
      <c r="A1655" t="s">
        <v>949</v>
      </c>
      <c r="B1655" t="s">
        <v>3035</v>
      </c>
      <c r="C1655" t="s">
        <v>927</v>
      </c>
      <c r="D1655" t="s">
        <v>3052</v>
      </c>
      <c r="E1655" t="s">
        <v>3053</v>
      </c>
      <c r="F1655" t="s">
        <v>381</v>
      </c>
      <c r="G1655" t="s">
        <v>382</v>
      </c>
      <c r="H1655" t="s">
        <v>4124</v>
      </c>
      <c r="I1655">
        <v>29</v>
      </c>
      <c r="J1655">
        <v>0</v>
      </c>
      <c r="K1655">
        <v>0</v>
      </c>
      <c r="L1655">
        <v>0</v>
      </c>
      <c r="M1655">
        <v>0</v>
      </c>
      <c r="N1655">
        <v>0</v>
      </c>
      <c r="O1655">
        <v>29</v>
      </c>
    </row>
    <row r="1656" spans="1:15" x14ac:dyDescent="0.25">
      <c r="A1656" t="s">
        <v>1041</v>
      </c>
      <c r="B1656" t="s">
        <v>2826</v>
      </c>
      <c r="C1656" t="s">
        <v>927</v>
      </c>
      <c r="D1656" t="s">
        <v>3052</v>
      </c>
      <c r="E1656" t="s">
        <v>3053</v>
      </c>
      <c r="F1656" t="s">
        <v>381</v>
      </c>
      <c r="G1656" t="s">
        <v>382</v>
      </c>
      <c r="H1656" t="s">
        <v>10921</v>
      </c>
      <c r="I1656">
        <v>9</v>
      </c>
      <c r="J1656">
        <v>0</v>
      </c>
      <c r="K1656">
        <v>0</v>
      </c>
      <c r="L1656">
        <v>0</v>
      </c>
      <c r="M1656">
        <v>0</v>
      </c>
      <c r="N1656">
        <v>0</v>
      </c>
      <c r="O1656">
        <v>9</v>
      </c>
    </row>
    <row r="1657" spans="1:15" x14ac:dyDescent="0.25">
      <c r="A1657" t="s">
        <v>1140</v>
      </c>
      <c r="B1657" t="s">
        <v>2697</v>
      </c>
      <c r="C1657" t="s">
        <v>927</v>
      </c>
      <c r="D1657" t="s">
        <v>3052</v>
      </c>
      <c r="E1657" t="s">
        <v>3053</v>
      </c>
      <c r="F1657" t="s">
        <v>381</v>
      </c>
      <c r="G1657" t="s">
        <v>382</v>
      </c>
      <c r="H1657" t="s">
        <v>4125</v>
      </c>
      <c r="I1657">
        <v>66</v>
      </c>
      <c r="J1657">
        <v>9</v>
      </c>
      <c r="K1657">
        <v>0</v>
      </c>
      <c r="L1657">
        <v>0</v>
      </c>
      <c r="M1657">
        <v>57</v>
      </c>
      <c r="N1657">
        <v>0</v>
      </c>
      <c r="O1657">
        <v>0</v>
      </c>
    </row>
    <row r="1658" spans="1:15" x14ac:dyDescent="0.25">
      <c r="A1658" t="s">
        <v>1146</v>
      </c>
      <c r="B1658" t="s">
        <v>2117</v>
      </c>
      <c r="C1658" t="s">
        <v>927</v>
      </c>
      <c r="D1658" t="s">
        <v>3052</v>
      </c>
      <c r="E1658" t="s">
        <v>3053</v>
      </c>
      <c r="F1658" t="s">
        <v>381</v>
      </c>
      <c r="G1658" t="s">
        <v>382</v>
      </c>
      <c r="H1658" t="s">
        <v>10922</v>
      </c>
      <c r="I1658">
        <v>11</v>
      </c>
      <c r="J1658">
        <v>5</v>
      </c>
      <c r="K1658">
        <v>0</v>
      </c>
      <c r="L1658">
        <v>6</v>
      </c>
      <c r="M1658">
        <v>0</v>
      </c>
      <c r="N1658">
        <v>0</v>
      </c>
      <c r="O1658">
        <v>0</v>
      </c>
    </row>
    <row r="1659" spans="1:15" x14ac:dyDescent="0.25">
      <c r="A1659" t="s">
        <v>951</v>
      </c>
      <c r="B1659" t="s">
        <v>2680</v>
      </c>
      <c r="C1659" t="s">
        <v>927</v>
      </c>
      <c r="D1659" t="s">
        <v>3052</v>
      </c>
      <c r="E1659" t="s">
        <v>3053</v>
      </c>
      <c r="F1659" t="s">
        <v>381</v>
      </c>
      <c r="G1659" t="s">
        <v>382</v>
      </c>
      <c r="H1659" t="s">
        <v>4126</v>
      </c>
      <c r="I1659">
        <v>15</v>
      </c>
      <c r="J1659">
        <v>15</v>
      </c>
      <c r="K1659">
        <v>0</v>
      </c>
      <c r="L1659">
        <v>0</v>
      </c>
      <c r="M1659">
        <v>0</v>
      </c>
      <c r="N1659">
        <v>0</v>
      </c>
      <c r="O1659">
        <v>0</v>
      </c>
    </row>
    <row r="1660" spans="1:15" x14ac:dyDescent="0.25">
      <c r="A1660" t="s">
        <v>1152</v>
      </c>
      <c r="B1660" t="s">
        <v>3031</v>
      </c>
      <c r="C1660" t="s">
        <v>927</v>
      </c>
      <c r="D1660" t="s">
        <v>3052</v>
      </c>
      <c r="E1660" t="s">
        <v>3053</v>
      </c>
      <c r="F1660" t="s">
        <v>381</v>
      </c>
      <c r="G1660" t="s">
        <v>382</v>
      </c>
      <c r="H1660" t="s">
        <v>4127</v>
      </c>
      <c r="I1660">
        <v>6</v>
      </c>
      <c r="J1660">
        <v>0</v>
      </c>
      <c r="K1660">
        <v>0</v>
      </c>
      <c r="L1660">
        <v>4</v>
      </c>
      <c r="M1660">
        <v>0</v>
      </c>
      <c r="N1660">
        <v>0</v>
      </c>
      <c r="O1660">
        <v>2</v>
      </c>
    </row>
    <row r="1661" spans="1:15" x14ac:dyDescent="0.25">
      <c r="A1661" t="s">
        <v>11720</v>
      </c>
      <c r="B1661" t="s">
        <v>10718</v>
      </c>
      <c r="C1661" t="s">
        <v>927</v>
      </c>
      <c r="D1661" t="s">
        <v>3052</v>
      </c>
      <c r="E1661" t="s">
        <v>3053</v>
      </c>
      <c r="F1661" t="s">
        <v>381</v>
      </c>
      <c r="G1661" t="s">
        <v>382</v>
      </c>
      <c r="H1661" t="s">
        <v>14570</v>
      </c>
      <c r="I1661">
        <v>17</v>
      </c>
      <c r="J1661">
        <v>0</v>
      </c>
      <c r="K1661">
        <v>0</v>
      </c>
      <c r="L1661">
        <v>0</v>
      </c>
      <c r="M1661">
        <v>0</v>
      </c>
      <c r="N1661">
        <v>0</v>
      </c>
      <c r="O1661">
        <v>17</v>
      </c>
    </row>
    <row r="1662" spans="1:15" x14ac:dyDescent="0.25">
      <c r="A1662" t="s">
        <v>9788</v>
      </c>
      <c r="B1662" t="s">
        <v>9871</v>
      </c>
      <c r="C1662" t="s">
        <v>927</v>
      </c>
      <c r="D1662" t="s">
        <v>3052</v>
      </c>
      <c r="E1662" t="s">
        <v>3053</v>
      </c>
      <c r="F1662" t="s">
        <v>381</v>
      </c>
      <c r="G1662" t="s">
        <v>382</v>
      </c>
      <c r="H1662" t="s">
        <v>10923</v>
      </c>
      <c r="I1662">
        <v>93</v>
      </c>
      <c r="J1662">
        <v>93</v>
      </c>
      <c r="K1662">
        <v>0</v>
      </c>
      <c r="L1662">
        <v>0</v>
      </c>
      <c r="M1662">
        <v>0</v>
      </c>
      <c r="N1662">
        <v>0</v>
      </c>
      <c r="O1662">
        <v>0</v>
      </c>
    </row>
    <row r="1663" spans="1:15" x14ac:dyDescent="0.25">
      <c r="A1663" t="s">
        <v>955</v>
      </c>
      <c r="B1663" t="s">
        <v>2660</v>
      </c>
      <c r="C1663" t="s">
        <v>927</v>
      </c>
      <c r="D1663" t="s">
        <v>3052</v>
      </c>
      <c r="E1663" t="s">
        <v>3053</v>
      </c>
      <c r="F1663" t="s">
        <v>381</v>
      </c>
      <c r="G1663" t="s">
        <v>382</v>
      </c>
      <c r="H1663" t="s">
        <v>4128</v>
      </c>
      <c r="I1663">
        <v>316</v>
      </c>
      <c r="J1663">
        <v>220</v>
      </c>
      <c r="K1663">
        <v>0</v>
      </c>
      <c r="L1663">
        <v>65</v>
      </c>
      <c r="M1663">
        <v>19</v>
      </c>
      <c r="N1663">
        <v>0</v>
      </c>
      <c r="O1663">
        <v>12</v>
      </c>
    </row>
    <row r="1664" spans="1:15" x14ac:dyDescent="0.25">
      <c r="A1664" t="s">
        <v>14374</v>
      </c>
      <c r="B1664" t="s">
        <v>1943</v>
      </c>
      <c r="C1664" t="s">
        <v>927</v>
      </c>
      <c r="D1664" t="s">
        <v>3052</v>
      </c>
      <c r="E1664" t="s">
        <v>3053</v>
      </c>
      <c r="F1664" t="s">
        <v>381</v>
      </c>
      <c r="G1664" t="s">
        <v>382</v>
      </c>
      <c r="H1664" t="s">
        <v>14571</v>
      </c>
      <c r="I1664">
        <v>31</v>
      </c>
      <c r="J1664">
        <v>0</v>
      </c>
      <c r="K1664">
        <v>0</v>
      </c>
      <c r="L1664">
        <v>0</v>
      </c>
      <c r="M1664">
        <v>0</v>
      </c>
      <c r="N1664">
        <v>0</v>
      </c>
      <c r="O1664">
        <v>31</v>
      </c>
    </row>
    <row r="1665" spans="1:15" x14ac:dyDescent="0.25">
      <c r="A1665" t="s">
        <v>1159</v>
      </c>
      <c r="B1665" t="s">
        <v>2829</v>
      </c>
      <c r="C1665" t="s">
        <v>927</v>
      </c>
      <c r="D1665" t="s">
        <v>3052</v>
      </c>
      <c r="E1665" t="s">
        <v>3053</v>
      </c>
      <c r="F1665" t="s">
        <v>381</v>
      </c>
      <c r="G1665" t="s">
        <v>382</v>
      </c>
      <c r="H1665" t="s">
        <v>4129</v>
      </c>
      <c r="I1665">
        <v>691</v>
      </c>
      <c r="J1665">
        <v>423</v>
      </c>
      <c r="K1665">
        <v>250</v>
      </c>
      <c r="L1665">
        <v>11</v>
      </c>
      <c r="M1665">
        <v>0</v>
      </c>
      <c r="N1665">
        <v>3</v>
      </c>
      <c r="O1665">
        <v>7</v>
      </c>
    </row>
    <row r="1666" spans="1:15" x14ac:dyDescent="0.25">
      <c r="A1666" t="s">
        <v>1069</v>
      </c>
      <c r="B1666" t="s">
        <v>2001</v>
      </c>
      <c r="C1666" t="s">
        <v>927</v>
      </c>
      <c r="D1666" t="s">
        <v>3052</v>
      </c>
      <c r="E1666" t="s">
        <v>3053</v>
      </c>
      <c r="F1666" t="s">
        <v>381</v>
      </c>
      <c r="G1666" t="s">
        <v>382</v>
      </c>
      <c r="H1666" t="s">
        <v>4130</v>
      </c>
      <c r="I1666">
        <v>494</v>
      </c>
      <c r="J1666">
        <v>490</v>
      </c>
      <c r="K1666">
        <v>0</v>
      </c>
      <c r="L1666">
        <v>0</v>
      </c>
      <c r="M1666">
        <v>0</v>
      </c>
      <c r="N1666">
        <v>0</v>
      </c>
      <c r="O1666">
        <v>4</v>
      </c>
    </row>
    <row r="1667" spans="1:15" x14ac:dyDescent="0.25">
      <c r="A1667" t="s">
        <v>1175</v>
      </c>
      <c r="B1667" t="s">
        <v>2318</v>
      </c>
      <c r="C1667" t="s">
        <v>923</v>
      </c>
      <c r="D1667" t="s">
        <v>3063</v>
      </c>
      <c r="E1667" t="s">
        <v>3053</v>
      </c>
      <c r="F1667" t="s">
        <v>381</v>
      </c>
      <c r="G1667" t="s">
        <v>382</v>
      </c>
      <c r="H1667" t="s">
        <v>4131</v>
      </c>
      <c r="I1667">
        <v>41</v>
      </c>
      <c r="J1667">
        <v>0</v>
      </c>
      <c r="K1667">
        <v>0</v>
      </c>
      <c r="L1667">
        <v>0</v>
      </c>
      <c r="M1667">
        <v>41</v>
      </c>
      <c r="N1667">
        <v>0</v>
      </c>
      <c r="O1667">
        <v>0</v>
      </c>
    </row>
    <row r="1668" spans="1:15" x14ac:dyDescent="0.25">
      <c r="A1668" t="s">
        <v>922</v>
      </c>
      <c r="B1668" t="s">
        <v>2573</v>
      </c>
      <c r="C1668" t="s">
        <v>923</v>
      </c>
      <c r="D1668" t="s">
        <v>3063</v>
      </c>
      <c r="E1668" t="s">
        <v>3053</v>
      </c>
      <c r="F1668" t="s">
        <v>383</v>
      </c>
      <c r="G1668" t="s">
        <v>384</v>
      </c>
      <c r="H1668" t="s">
        <v>14572</v>
      </c>
      <c r="I1668">
        <v>17</v>
      </c>
      <c r="J1668">
        <v>0</v>
      </c>
      <c r="K1668">
        <v>0</v>
      </c>
      <c r="L1668">
        <v>0</v>
      </c>
      <c r="M1668">
        <v>17</v>
      </c>
      <c r="N1668">
        <v>0</v>
      </c>
      <c r="O1668">
        <v>0</v>
      </c>
    </row>
    <row r="1669" spans="1:15" x14ac:dyDescent="0.25">
      <c r="A1669" t="s">
        <v>926</v>
      </c>
      <c r="B1669" t="s">
        <v>2923</v>
      </c>
      <c r="C1669" t="s">
        <v>927</v>
      </c>
      <c r="D1669" t="s">
        <v>3052</v>
      </c>
      <c r="E1669" t="s">
        <v>3053</v>
      </c>
      <c r="F1669" t="s">
        <v>383</v>
      </c>
      <c r="G1669" t="s">
        <v>384</v>
      </c>
      <c r="H1669" t="s">
        <v>4132</v>
      </c>
      <c r="I1669">
        <v>42</v>
      </c>
      <c r="J1669">
        <v>0</v>
      </c>
      <c r="K1669">
        <v>0</v>
      </c>
      <c r="L1669">
        <v>42</v>
      </c>
      <c r="M1669">
        <v>0</v>
      </c>
      <c r="N1669">
        <v>0</v>
      </c>
      <c r="O1669">
        <v>0</v>
      </c>
    </row>
    <row r="1670" spans="1:15" x14ac:dyDescent="0.25">
      <c r="A1670" t="s">
        <v>929</v>
      </c>
      <c r="B1670" t="s">
        <v>2999</v>
      </c>
      <c r="C1670" t="s">
        <v>927</v>
      </c>
      <c r="D1670" t="s">
        <v>3052</v>
      </c>
      <c r="E1670" t="s">
        <v>3053</v>
      </c>
      <c r="F1670" t="s">
        <v>383</v>
      </c>
      <c r="G1670" t="s">
        <v>384</v>
      </c>
      <c r="H1670" t="s">
        <v>4133</v>
      </c>
      <c r="I1670">
        <v>106</v>
      </c>
      <c r="J1670">
        <v>0</v>
      </c>
      <c r="K1670">
        <v>0</v>
      </c>
      <c r="L1670">
        <v>0</v>
      </c>
      <c r="M1670">
        <v>56</v>
      </c>
      <c r="N1670">
        <v>0</v>
      </c>
      <c r="O1670">
        <v>50</v>
      </c>
    </row>
    <row r="1671" spans="1:15" x14ac:dyDescent="0.25">
      <c r="A1671" t="s">
        <v>9790</v>
      </c>
      <c r="B1671" t="s">
        <v>1977</v>
      </c>
      <c r="C1671" t="s">
        <v>923</v>
      </c>
      <c r="D1671" t="s">
        <v>3063</v>
      </c>
      <c r="E1671" t="s">
        <v>3053</v>
      </c>
      <c r="F1671" t="s">
        <v>383</v>
      </c>
      <c r="G1671" t="s">
        <v>384</v>
      </c>
      <c r="H1671" t="s">
        <v>11933</v>
      </c>
      <c r="I1671">
        <v>8</v>
      </c>
      <c r="J1671">
        <v>0</v>
      </c>
      <c r="K1671">
        <v>0</v>
      </c>
      <c r="L1671">
        <v>8</v>
      </c>
      <c r="M1671">
        <v>0</v>
      </c>
      <c r="N1671">
        <v>0</v>
      </c>
      <c r="O1671">
        <v>0</v>
      </c>
    </row>
    <row r="1672" spans="1:15" x14ac:dyDescent="0.25">
      <c r="A1672" t="s">
        <v>9784</v>
      </c>
      <c r="B1672" t="s">
        <v>1994</v>
      </c>
      <c r="C1672" t="s">
        <v>927</v>
      </c>
      <c r="D1672" t="s">
        <v>3052</v>
      </c>
      <c r="E1672" t="s">
        <v>3053</v>
      </c>
      <c r="F1672" t="s">
        <v>383</v>
      </c>
      <c r="G1672" t="s">
        <v>384</v>
      </c>
      <c r="H1672" t="s">
        <v>9925</v>
      </c>
      <c r="I1672">
        <v>1</v>
      </c>
      <c r="J1672">
        <v>0</v>
      </c>
      <c r="K1672">
        <v>0</v>
      </c>
      <c r="L1672">
        <v>1</v>
      </c>
      <c r="M1672">
        <v>0</v>
      </c>
      <c r="N1672">
        <v>0</v>
      </c>
      <c r="O1672">
        <v>0</v>
      </c>
    </row>
    <row r="1673" spans="1:15" x14ac:dyDescent="0.25">
      <c r="A1673" t="s">
        <v>983</v>
      </c>
      <c r="B1673" t="s">
        <v>2069</v>
      </c>
      <c r="C1673" t="s">
        <v>927</v>
      </c>
      <c r="D1673" t="s">
        <v>3052</v>
      </c>
      <c r="E1673" t="s">
        <v>3053</v>
      </c>
      <c r="F1673" t="s">
        <v>383</v>
      </c>
      <c r="G1673" t="s">
        <v>384</v>
      </c>
      <c r="H1673" t="s">
        <v>4134</v>
      </c>
      <c r="I1673">
        <v>812</v>
      </c>
      <c r="J1673">
        <v>637</v>
      </c>
      <c r="K1673">
        <v>0</v>
      </c>
      <c r="L1673">
        <v>46</v>
      </c>
      <c r="M1673">
        <v>28</v>
      </c>
      <c r="N1673">
        <v>0</v>
      </c>
      <c r="O1673">
        <v>101</v>
      </c>
    </row>
    <row r="1674" spans="1:15" x14ac:dyDescent="0.25">
      <c r="A1674" t="s">
        <v>10601</v>
      </c>
      <c r="B1674" t="s">
        <v>11740</v>
      </c>
      <c r="C1674" t="s">
        <v>923</v>
      </c>
      <c r="D1674" t="s">
        <v>3063</v>
      </c>
      <c r="E1674" t="s">
        <v>3053</v>
      </c>
      <c r="F1674" t="s">
        <v>383</v>
      </c>
      <c r="G1674" t="s">
        <v>384</v>
      </c>
      <c r="H1674" t="s">
        <v>10924</v>
      </c>
      <c r="I1674">
        <v>26</v>
      </c>
      <c r="J1674">
        <v>0</v>
      </c>
      <c r="K1674">
        <v>0</v>
      </c>
      <c r="L1674">
        <v>0</v>
      </c>
      <c r="M1674">
        <v>26</v>
      </c>
      <c r="N1674">
        <v>0</v>
      </c>
      <c r="O1674">
        <v>0</v>
      </c>
    </row>
    <row r="1675" spans="1:15" x14ac:dyDescent="0.25">
      <c r="A1675" t="s">
        <v>1712</v>
      </c>
      <c r="B1675" t="s">
        <v>1930</v>
      </c>
      <c r="C1675" t="s">
        <v>923</v>
      </c>
      <c r="D1675" t="s">
        <v>3063</v>
      </c>
      <c r="E1675" t="s">
        <v>3053</v>
      </c>
      <c r="F1675" t="s">
        <v>383</v>
      </c>
      <c r="G1675" t="s">
        <v>384</v>
      </c>
      <c r="H1675" t="s">
        <v>4135</v>
      </c>
      <c r="I1675">
        <v>95</v>
      </c>
      <c r="J1675">
        <v>95</v>
      </c>
      <c r="K1675">
        <v>0</v>
      </c>
      <c r="L1675">
        <v>0</v>
      </c>
      <c r="M1675">
        <v>0</v>
      </c>
      <c r="N1675">
        <v>7</v>
      </c>
      <c r="O1675">
        <v>0</v>
      </c>
    </row>
    <row r="1676" spans="1:15" x14ac:dyDescent="0.25">
      <c r="A1676" t="s">
        <v>1713</v>
      </c>
      <c r="B1676" t="s">
        <v>2630</v>
      </c>
      <c r="C1676" t="s">
        <v>923</v>
      </c>
      <c r="D1676" t="s">
        <v>3063</v>
      </c>
      <c r="E1676" t="s">
        <v>3053</v>
      </c>
      <c r="F1676" t="s">
        <v>383</v>
      </c>
      <c r="G1676" t="s">
        <v>384</v>
      </c>
      <c r="H1676" t="s">
        <v>4136</v>
      </c>
      <c r="I1676">
        <v>104</v>
      </c>
      <c r="J1676">
        <v>31</v>
      </c>
      <c r="K1676">
        <v>0</v>
      </c>
      <c r="L1676">
        <v>73</v>
      </c>
      <c r="M1676">
        <v>0</v>
      </c>
      <c r="N1676">
        <v>0</v>
      </c>
      <c r="O1676">
        <v>0</v>
      </c>
    </row>
    <row r="1677" spans="1:15" x14ac:dyDescent="0.25">
      <c r="A1677" t="s">
        <v>1590</v>
      </c>
      <c r="B1677" t="s">
        <v>2853</v>
      </c>
      <c r="C1677" t="s">
        <v>927</v>
      </c>
      <c r="D1677" t="s">
        <v>3052</v>
      </c>
      <c r="E1677" t="s">
        <v>3053</v>
      </c>
      <c r="F1677" t="s">
        <v>383</v>
      </c>
      <c r="G1677" t="s">
        <v>384</v>
      </c>
      <c r="H1677" t="s">
        <v>4137</v>
      </c>
      <c r="I1677">
        <v>182</v>
      </c>
      <c r="J1677">
        <v>139</v>
      </c>
      <c r="K1677">
        <v>0</v>
      </c>
      <c r="L1677">
        <v>0</v>
      </c>
      <c r="M1677">
        <v>0</v>
      </c>
      <c r="N1677">
        <v>4</v>
      </c>
      <c r="O1677">
        <v>43</v>
      </c>
    </row>
    <row r="1678" spans="1:15" x14ac:dyDescent="0.25">
      <c r="A1678" t="s">
        <v>1729</v>
      </c>
      <c r="B1678" t="s">
        <v>2943</v>
      </c>
      <c r="C1678" t="s">
        <v>923</v>
      </c>
      <c r="D1678" t="s">
        <v>3063</v>
      </c>
      <c r="E1678" t="s">
        <v>3053</v>
      </c>
      <c r="F1678" t="s">
        <v>383</v>
      </c>
      <c r="G1678" t="s">
        <v>384</v>
      </c>
      <c r="H1678" t="s">
        <v>4138</v>
      </c>
      <c r="I1678">
        <v>5</v>
      </c>
      <c r="J1678">
        <v>5</v>
      </c>
      <c r="K1678">
        <v>0</v>
      </c>
      <c r="L1678">
        <v>0</v>
      </c>
      <c r="M1678">
        <v>0</v>
      </c>
      <c r="N1678">
        <v>0</v>
      </c>
      <c r="O1678">
        <v>0</v>
      </c>
    </row>
    <row r="1679" spans="1:15" x14ac:dyDescent="0.25">
      <c r="A1679" t="s">
        <v>1000</v>
      </c>
      <c r="B1679" t="s">
        <v>1984</v>
      </c>
      <c r="C1679" t="s">
        <v>923</v>
      </c>
      <c r="D1679" t="s">
        <v>3063</v>
      </c>
      <c r="E1679" t="s">
        <v>3053</v>
      </c>
      <c r="F1679" t="s">
        <v>383</v>
      </c>
      <c r="G1679" t="s">
        <v>384</v>
      </c>
      <c r="H1679" t="s">
        <v>4139</v>
      </c>
      <c r="I1679">
        <v>2</v>
      </c>
      <c r="J1679">
        <v>0</v>
      </c>
      <c r="K1679">
        <v>0</v>
      </c>
      <c r="L1679">
        <v>2</v>
      </c>
      <c r="M1679">
        <v>0</v>
      </c>
      <c r="N1679">
        <v>0</v>
      </c>
      <c r="O1679">
        <v>0</v>
      </c>
    </row>
    <row r="1680" spans="1:15" x14ac:dyDescent="0.25">
      <c r="A1680" t="s">
        <v>1737</v>
      </c>
      <c r="B1680" t="s">
        <v>1933</v>
      </c>
      <c r="C1680" t="s">
        <v>927</v>
      </c>
      <c r="D1680" t="s">
        <v>3052</v>
      </c>
      <c r="E1680" t="s">
        <v>3053</v>
      </c>
      <c r="F1680" t="s">
        <v>383</v>
      </c>
      <c r="G1680" t="s">
        <v>384</v>
      </c>
      <c r="H1680" t="s">
        <v>4140</v>
      </c>
      <c r="I1680">
        <v>16</v>
      </c>
      <c r="J1680">
        <v>12</v>
      </c>
      <c r="K1680">
        <v>0</v>
      </c>
      <c r="L1680">
        <v>0</v>
      </c>
      <c r="M1680">
        <v>0</v>
      </c>
      <c r="N1680">
        <v>0</v>
      </c>
      <c r="O1680">
        <v>4</v>
      </c>
    </row>
    <row r="1681" spans="1:15" x14ac:dyDescent="0.25">
      <c r="A1681" t="s">
        <v>10643</v>
      </c>
      <c r="B1681" t="s">
        <v>2987</v>
      </c>
      <c r="C1681" t="s">
        <v>927</v>
      </c>
      <c r="D1681" t="s">
        <v>3052</v>
      </c>
      <c r="E1681" t="s">
        <v>3053</v>
      </c>
      <c r="F1681" t="s">
        <v>383</v>
      </c>
      <c r="G1681" t="s">
        <v>384</v>
      </c>
      <c r="H1681" t="s">
        <v>10925</v>
      </c>
      <c r="I1681">
        <v>3</v>
      </c>
      <c r="J1681">
        <v>1</v>
      </c>
      <c r="K1681">
        <v>0</v>
      </c>
      <c r="L1681">
        <v>2</v>
      </c>
      <c r="M1681">
        <v>0</v>
      </c>
      <c r="N1681">
        <v>0</v>
      </c>
      <c r="O1681">
        <v>0</v>
      </c>
    </row>
    <row r="1682" spans="1:15" x14ac:dyDescent="0.25">
      <c r="A1682" t="s">
        <v>937</v>
      </c>
      <c r="B1682" t="s">
        <v>1962</v>
      </c>
      <c r="C1682" t="s">
        <v>927</v>
      </c>
      <c r="D1682" t="s">
        <v>3052</v>
      </c>
      <c r="E1682" t="s">
        <v>3053</v>
      </c>
      <c r="F1682" t="s">
        <v>383</v>
      </c>
      <c r="G1682" t="s">
        <v>384</v>
      </c>
      <c r="H1682" t="s">
        <v>4141</v>
      </c>
      <c r="I1682">
        <v>12</v>
      </c>
      <c r="J1682">
        <v>0</v>
      </c>
      <c r="K1682">
        <v>0</v>
      </c>
      <c r="L1682">
        <v>0</v>
      </c>
      <c r="M1682">
        <v>0</v>
      </c>
      <c r="N1682">
        <v>0</v>
      </c>
      <c r="O1682">
        <v>12</v>
      </c>
    </row>
    <row r="1683" spans="1:15" x14ac:dyDescent="0.25">
      <c r="A1683" t="s">
        <v>1011</v>
      </c>
      <c r="B1683" t="s">
        <v>2020</v>
      </c>
      <c r="C1683" t="s">
        <v>927</v>
      </c>
      <c r="D1683" t="s">
        <v>3052</v>
      </c>
      <c r="E1683" t="s">
        <v>3053</v>
      </c>
      <c r="F1683" t="s">
        <v>383</v>
      </c>
      <c r="G1683" t="s">
        <v>384</v>
      </c>
      <c r="H1683" t="s">
        <v>4142</v>
      </c>
      <c r="I1683">
        <v>40</v>
      </c>
      <c r="J1683">
        <v>0</v>
      </c>
      <c r="K1683">
        <v>0</v>
      </c>
      <c r="L1683">
        <v>40</v>
      </c>
      <c r="M1683">
        <v>0</v>
      </c>
      <c r="N1683">
        <v>0</v>
      </c>
      <c r="O1683">
        <v>0</v>
      </c>
    </row>
    <row r="1684" spans="1:15" x14ac:dyDescent="0.25">
      <c r="A1684" t="s">
        <v>938</v>
      </c>
      <c r="B1684" t="s">
        <v>2791</v>
      </c>
      <c r="C1684" t="s">
        <v>927</v>
      </c>
      <c r="D1684" t="s">
        <v>3052</v>
      </c>
      <c r="E1684" t="s">
        <v>3053</v>
      </c>
      <c r="F1684" t="s">
        <v>383</v>
      </c>
      <c r="G1684" t="s">
        <v>384</v>
      </c>
      <c r="H1684" t="s">
        <v>4143</v>
      </c>
      <c r="I1684">
        <v>140</v>
      </c>
      <c r="J1684">
        <v>0</v>
      </c>
      <c r="K1684">
        <v>0</v>
      </c>
      <c r="L1684">
        <v>140</v>
      </c>
      <c r="M1684">
        <v>0</v>
      </c>
      <c r="N1684">
        <v>0</v>
      </c>
      <c r="O1684">
        <v>0</v>
      </c>
    </row>
    <row r="1685" spans="1:15" x14ac:dyDescent="0.25">
      <c r="A1685" t="s">
        <v>940</v>
      </c>
      <c r="B1685" t="s">
        <v>2647</v>
      </c>
      <c r="C1685" t="s">
        <v>927</v>
      </c>
      <c r="D1685" t="s">
        <v>3052</v>
      </c>
      <c r="E1685" t="s">
        <v>3053</v>
      </c>
      <c r="F1685" t="s">
        <v>383</v>
      </c>
      <c r="G1685" t="s">
        <v>384</v>
      </c>
      <c r="H1685" t="s">
        <v>4144</v>
      </c>
      <c r="I1685">
        <v>33</v>
      </c>
      <c r="J1685">
        <v>0</v>
      </c>
      <c r="K1685">
        <v>0</v>
      </c>
      <c r="L1685">
        <v>0</v>
      </c>
      <c r="M1685">
        <v>33</v>
      </c>
      <c r="N1685">
        <v>0</v>
      </c>
      <c r="O1685">
        <v>0</v>
      </c>
    </row>
    <row r="1686" spans="1:15" x14ac:dyDescent="0.25">
      <c r="A1686" t="s">
        <v>1018</v>
      </c>
      <c r="B1686" t="s">
        <v>1980</v>
      </c>
      <c r="C1686" t="s">
        <v>923</v>
      </c>
      <c r="D1686" t="s">
        <v>3063</v>
      </c>
      <c r="E1686" t="s">
        <v>3053</v>
      </c>
      <c r="F1686" t="s">
        <v>383</v>
      </c>
      <c r="G1686" t="s">
        <v>384</v>
      </c>
      <c r="H1686" t="s">
        <v>11934</v>
      </c>
      <c r="I1686">
        <v>1</v>
      </c>
      <c r="J1686">
        <v>1</v>
      </c>
      <c r="K1686">
        <v>0</v>
      </c>
      <c r="L1686">
        <v>0</v>
      </c>
      <c r="M1686">
        <v>0</v>
      </c>
      <c r="N1686">
        <v>0</v>
      </c>
      <c r="O1686">
        <v>0</v>
      </c>
    </row>
    <row r="1687" spans="1:15" x14ac:dyDescent="0.25">
      <c r="A1687" t="s">
        <v>942</v>
      </c>
      <c r="B1687" t="s">
        <v>2113</v>
      </c>
      <c r="C1687" t="s">
        <v>927</v>
      </c>
      <c r="D1687" t="s">
        <v>3052</v>
      </c>
      <c r="E1687" t="s">
        <v>3053</v>
      </c>
      <c r="F1687" t="s">
        <v>383</v>
      </c>
      <c r="G1687" t="s">
        <v>384</v>
      </c>
      <c r="H1687" t="s">
        <v>4145</v>
      </c>
      <c r="I1687">
        <v>56</v>
      </c>
      <c r="J1687">
        <v>35</v>
      </c>
      <c r="K1687">
        <v>0</v>
      </c>
      <c r="L1687">
        <v>6</v>
      </c>
      <c r="M1687">
        <v>0</v>
      </c>
      <c r="N1687">
        <v>0</v>
      </c>
      <c r="O1687">
        <v>15</v>
      </c>
    </row>
    <row r="1688" spans="1:15" x14ac:dyDescent="0.25">
      <c r="A1688" t="s">
        <v>1745</v>
      </c>
      <c r="B1688" t="s">
        <v>2884</v>
      </c>
      <c r="C1688" t="s">
        <v>927</v>
      </c>
      <c r="D1688" t="s">
        <v>3052</v>
      </c>
      <c r="E1688" t="s">
        <v>3053</v>
      </c>
      <c r="F1688" t="s">
        <v>383</v>
      </c>
      <c r="G1688" t="s">
        <v>384</v>
      </c>
      <c r="H1688" t="s">
        <v>4146</v>
      </c>
      <c r="I1688">
        <v>5</v>
      </c>
      <c r="J1688">
        <v>4</v>
      </c>
      <c r="K1688">
        <v>0</v>
      </c>
      <c r="L1688">
        <v>0</v>
      </c>
      <c r="M1688">
        <v>0</v>
      </c>
      <c r="N1688">
        <v>0</v>
      </c>
      <c r="O1688">
        <v>1</v>
      </c>
    </row>
    <row r="1689" spans="1:15" x14ac:dyDescent="0.25">
      <c r="A1689" t="s">
        <v>1049</v>
      </c>
      <c r="B1689" t="s">
        <v>2138</v>
      </c>
      <c r="C1689" t="s">
        <v>927</v>
      </c>
      <c r="D1689" t="s">
        <v>3052</v>
      </c>
      <c r="E1689" t="s">
        <v>3053</v>
      </c>
      <c r="F1689" t="s">
        <v>383</v>
      </c>
      <c r="G1689" t="s">
        <v>384</v>
      </c>
      <c r="H1689" t="s">
        <v>4147</v>
      </c>
      <c r="I1689">
        <v>36</v>
      </c>
      <c r="J1689">
        <v>26</v>
      </c>
      <c r="K1689">
        <v>0</v>
      </c>
      <c r="L1689">
        <v>0</v>
      </c>
      <c r="M1689">
        <v>0</v>
      </c>
      <c r="N1689">
        <v>0</v>
      </c>
      <c r="O1689">
        <v>10</v>
      </c>
    </row>
    <row r="1690" spans="1:15" x14ac:dyDescent="0.25">
      <c r="A1690" t="s">
        <v>1758</v>
      </c>
      <c r="B1690" t="s">
        <v>2997</v>
      </c>
      <c r="C1690" t="s">
        <v>927</v>
      </c>
      <c r="D1690" t="s">
        <v>3052</v>
      </c>
      <c r="E1690" t="s">
        <v>3053</v>
      </c>
      <c r="F1690" t="s">
        <v>383</v>
      </c>
      <c r="G1690" t="s">
        <v>384</v>
      </c>
      <c r="H1690" t="s">
        <v>4148</v>
      </c>
      <c r="I1690">
        <v>54</v>
      </c>
      <c r="J1690">
        <v>42</v>
      </c>
      <c r="K1690">
        <v>0</v>
      </c>
      <c r="L1690">
        <v>0</v>
      </c>
      <c r="M1690">
        <v>0</v>
      </c>
      <c r="N1690">
        <v>2</v>
      </c>
      <c r="O1690">
        <v>12</v>
      </c>
    </row>
    <row r="1691" spans="1:15" x14ac:dyDescent="0.25">
      <c r="A1691" t="s">
        <v>1056</v>
      </c>
      <c r="B1691" t="s">
        <v>2966</v>
      </c>
      <c r="C1691" t="s">
        <v>927</v>
      </c>
      <c r="D1691" t="s">
        <v>3052</v>
      </c>
      <c r="E1691" t="s">
        <v>3053</v>
      </c>
      <c r="F1691" t="s">
        <v>383</v>
      </c>
      <c r="G1691" t="s">
        <v>384</v>
      </c>
      <c r="H1691" t="s">
        <v>4149</v>
      </c>
      <c r="I1691">
        <v>8</v>
      </c>
      <c r="J1691">
        <v>8</v>
      </c>
      <c r="K1691">
        <v>0</v>
      </c>
      <c r="L1691">
        <v>0</v>
      </c>
      <c r="M1691">
        <v>0</v>
      </c>
      <c r="N1691">
        <v>0</v>
      </c>
      <c r="O1691">
        <v>0</v>
      </c>
    </row>
    <row r="1692" spans="1:15" x14ac:dyDescent="0.25">
      <c r="A1692" t="s">
        <v>1057</v>
      </c>
      <c r="B1692" t="s">
        <v>1972</v>
      </c>
      <c r="C1692" t="s">
        <v>927</v>
      </c>
      <c r="D1692" t="s">
        <v>3052</v>
      </c>
      <c r="E1692" t="s">
        <v>3053</v>
      </c>
      <c r="F1692" t="s">
        <v>383</v>
      </c>
      <c r="G1692" t="s">
        <v>384</v>
      </c>
      <c r="H1692" t="s">
        <v>4150</v>
      </c>
      <c r="I1692">
        <v>49</v>
      </c>
      <c r="J1692">
        <v>0</v>
      </c>
      <c r="K1692">
        <v>0</v>
      </c>
      <c r="L1692">
        <v>0</v>
      </c>
      <c r="M1692">
        <v>37</v>
      </c>
      <c r="N1692">
        <v>0</v>
      </c>
      <c r="O1692">
        <v>12</v>
      </c>
    </row>
    <row r="1693" spans="1:15" x14ac:dyDescent="0.25">
      <c r="A1693" t="s">
        <v>955</v>
      </c>
      <c r="B1693" t="s">
        <v>2660</v>
      </c>
      <c r="C1693" t="s">
        <v>927</v>
      </c>
      <c r="D1693" t="s">
        <v>3052</v>
      </c>
      <c r="E1693" t="s">
        <v>3053</v>
      </c>
      <c r="F1693" t="s">
        <v>383</v>
      </c>
      <c r="G1693" t="s">
        <v>384</v>
      </c>
      <c r="H1693" t="s">
        <v>4151</v>
      </c>
      <c r="I1693">
        <v>114</v>
      </c>
      <c r="J1693">
        <v>104</v>
      </c>
      <c r="K1693">
        <v>0</v>
      </c>
      <c r="L1693">
        <v>10</v>
      </c>
      <c r="M1693">
        <v>0</v>
      </c>
      <c r="N1693">
        <v>40</v>
      </c>
      <c r="O1693">
        <v>0</v>
      </c>
    </row>
    <row r="1694" spans="1:15" x14ac:dyDescent="0.25">
      <c r="A1694" t="s">
        <v>960</v>
      </c>
      <c r="B1694" t="s">
        <v>2080</v>
      </c>
      <c r="C1694" t="s">
        <v>927</v>
      </c>
      <c r="D1694" t="s">
        <v>3052</v>
      </c>
      <c r="E1694" t="s">
        <v>3053</v>
      </c>
      <c r="F1694" t="s">
        <v>383</v>
      </c>
      <c r="G1694" t="s">
        <v>384</v>
      </c>
      <c r="H1694" t="s">
        <v>4152</v>
      </c>
      <c r="I1694">
        <v>161</v>
      </c>
      <c r="J1694">
        <v>155</v>
      </c>
      <c r="K1694">
        <v>0</v>
      </c>
      <c r="L1694">
        <v>0</v>
      </c>
      <c r="M1694">
        <v>0</v>
      </c>
      <c r="N1694">
        <v>0</v>
      </c>
      <c r="O1694">
        <v>6</v>
      </c>
    </row>
    <row r="1695" spans="1:15" x14ac:dyDescent="0.25">
      <c r="A1695" t="s">
        <v>1069</v>
      </c>
      <c r="B1695" t="s">
        <v>2001</v>
      </c>
      <c r="C1695" t="s">
        <v>927</v>
      </c>
      <c r="D1695" t="s">
        <v>3052</v>
      </c>
      <c r="E1695" t="s">
        <v>3053</v>
      </c>
      <c r="F1695" t="s">
        <v>383</v>
      </c>
      <c r="G1695" t="s">
        <v>384</v>
      </c>
      <c r="H1695" t="s">
        <v>4153</v>
      </c>
      <c r="I1695">
        <v>720</v>
      </c>
      <c r="J1695">
        <v>582</v>
      </c>
      <c r="K1695">
        <v>0</v>
      </c>
      <c r="L1695">
        <v>16</v>
      </c>
      <c r="M1695">
        <v>19</v>
      </c>
      <c r="N1695">
        <v>0</v>
      </c>
      <c r="O1695">
        <v>103</v>
      </c>
    </row>
    <row r="1696" spans="1:15" x14ac:dyDescent="0.25">
      <c r="A1696" t="s">
        <v>1072</v>
      </c>
      <c r="B1696" t="s">
        <v>2907</v>
      </c>
      <c r="C1696" t="s">
        <v>927</v>
      </c>
      <c r="D1696" t="s">
        <v>3052</v>
      </c>
      <c r="E1696" t="s">
        <v>3053</v>
      </c>
      <c r="F1696" t="s">
        <v>383</v>
      </c>
      <c r="G1696" t="s">
        <v>384</v>
      </c>
      <c r="H1696" t="s">
        <v>4154</v>
      </c>
      <c r="I1696">
        <v>34</v>
      </c>
      <c r="J1696">
        <v>0</v>
      </c>
      <c r="K1696">
        <v>0</v>
      </c>
      <c r="L1696">
        <v>8</v>
      </c>
      <c r="M1696">
        <v>26</v>
      </c>
      <c r="N1696">
        <v>0</v>
      </c>
      <c r="O1696">
        <v>0</v>
      </c>
    </row>
    <row r="1697" spans="1:15" x14ac:dyDescent="0.25">
      <c r="A1697" t="s">
        <v>1195</v>
      </c>
      <c r="B1697" t="s">
        <v>2924</v>
      </c>
      <c r="C1697" t="s">
        <v>927</v>
      </c>
      <c r="D1697" t="s">
        <v>3052</v>
      </c>
      <c r="E1697" t="s">
        <v>3053</v>
      </c>
      <c r="F1697" t="s">
        <v>385</v>
      </c>
      <c r="G1697" t="s">
        <v>386</v>
      </c>
      <c r="H1697" t="s">
        <v>4155</v>
      </c>
      <c r="I1697">
        <v>153</v>
      </c>
      <c r="J1697">
        <v>135</v>
      </c>
      <c r="K1697">
        <v>0</v>
      </c>
      <c r="L1697">
        <v>12</v>
      </c>
      <c r="M1697">
        <v>0</v>
      </c>
      <c r="N1697">
        <v>0</v>
      </c>
      <c r="O1697">
        <v>6</v>
      </c>
    </row>
    <row r="1698" spans="1:15" x14ac:dyDescent="0.25">
      <c r="A1698" t="s">
        <v>1196</v>
      </c>
      <c r="B1698" t="s">
        <v>3004</v>
      </c>
      <c r="C1698" t="s">
        <v>927</v>
      </c>
      <c r="D1698" t="s">
        <v>3052</v>
      </c>
      <c r="E1698" t="s">
        <v>3053</v>
      </c>
      <c r="F1698" t="s">
        <v>385</v>
      </c>
      <c r="G1698" t="s">
        <v>386</v>
      </c>
      <c r="H1698" t="s">
        <v>4156</v>
      </c>
      <c r="I1698">
        <v>97</v>
      </c>
      <c r="J1698">
        <v>76</v>
      </c>
      <c r="K1698">
        <v>0</v>
      </c>
      <c r="L1698">
        <v>0</v>
      </c>
      <c r="M1698">
        <v>0</v>
      </c>
      <c r="N1698">
        <v>0</v>
      </c>
      <c r="O1698">
        <v>21</v>
      </c>
    </row>
    <row r="1699" spans="1:15" x14ac:dyDescent="0.25">
      <c r="A1699" t="s">
        <v>924</v>
      </c>
      <c r="B1699" t="s">
        <v>2963</v>
      </c>
      <c r="C1699" t="s">
        <v>923</v>
      </c>
      <c r="D1699" t="s">
        <v>3063</v>
      </c>
      <c r="E1699" t="s">
        <v>3053</v>
      </c>
      <c r="F1699" t="s">
        <v>385</v>
      </c>
      <c r="G1699" t="s">
        <v>386</v>
      </c>
      <c r="H1699" t="s">
        <v>4157</v>
      </c>
      <c r="I1699">
        <v>12</v>
      </c>
      <c r="J1699">
        <v>0</v>
      </c>
      <c r="K1699">
        <v>0</v>
      </c>
      <c r="L1699">
        <v>12</v>
      </c>
      <c r="M1699">
        <v>0</v>
      </c>
      <c r="N1699">
        <v>0</v>
      </c>
      <c r="O1699">
        <v>0</v>
      </c>
    </row>
    <row r="1700" spans="1:15" x14ac:dyDescent="0.25">
      <c r="A1700" t="s">
        <v>926</v>
      </c>
      <c r="B1700" t="s">
        <v>2923</v>
      </c>
      <c r="C1700" t="s">
        <v>927</v>
      </c>
      <c r="D1700" t="s">
        <v>3052</v>
      </c>
      <c r="E1700" t="s">
        <v>3053</v>
      </c>
      <c r="F1700" t="s">
        <v>385</v>
      </c>
      <c r="G1700" t="s">
        <v>386</v>
      </c>
      <c r="H1700" t="s">
        <v>4158</v>
      </c>
      <c r="I1700">
        <v>13</v>
      </c>
      <c r="J1700">
        <v>0</v>
      </c>
      <c r="K1700">
        <v>0</v>
      </c>
      <c r="L1700">
        <v>8</v>
      </c>
      <c r="M1700">
        <v>0</v>
      </c>
      <c r="N1700">
        <v>0</v>
      </c>
      <c r="O1700">
        <v>5</v>
      </c>
    </row>
    <row r="1701" spans="1:15" x14ac:dyDescent="0.25">
      <c r="A1701" t="s">
        <v>929</v>
      </c>
      <c r="B1701" t="s">
        <v>2999</v>
      </c>
      <c r="C1701" t="s">
        <v>927</v>
      </c>
      <c r="D1701" t="s">
        <v>3052</v>
      </c>
      <c r="E1701" t="s">
        <v>3053</v>
      </c>
      <c r="F1701" t="s">
        <v>385</v>
      </c>
      <c r="G1701" t="s">
        <v>386</v>
      </c>
      <c r="H1701" t="s">
        <v>4159</v>
      </c>
      <c r="I1701">
        <v>96</v>
      </c>
      <c r="J1701">
        <v>0</v>
      </c>
      <c r="K1701">
        <v>0</v>
      </c>
      <c r="L1701">
        <v>0</v>
      </c>
      <c r="M1701">
        <v>96</v>
      </c>
      <c r="N1701">
        <v>0</v>
      </c>
      <c r="O1701">
        <v>0</v>
      </c>
    </row>
    <row r="1702" spans="1:15" x14ac:dyDescent="0.25">
      <c r="A1702" t="s">
        <v>982</v>
      </c>
      <c r="B1702" t="s">
        <v>2874</v>
      </c>
      <c r="C1702" t="s">
        <v>923</v>
      </c>
      <c r="D1702" t="s">
        <v>3063</v>
      </c>
      <c r="E1702" t="s">
        <v>3053</v>
      </c>
      <c r="F1702" t="s">
        <v>385</v>
      </c>
      <c r="G1702" t="s">
        <v>386</v>
      </c>
      <c r="H1702" t="s">
        <v>4161</v>
      </c>
      <c r="I1702">
        <v>16</v>
      </c>
      <c r="J1702">
        <v>0</v>
      </c>
      <c r="K1702">
        <v>0</v>
      </c>
      <c r="L1702">
        <v>0</v>
      </c>
      <c r="M1702">
        <v>16</v>
      </c>
      <c r="N1702">
        <v>0</v>
      </c>
      <c r="O1702">
        <v>0</v>
      </c>
    </row>
    <row r="1703" spans="1:15" x14ac:dyDescent="0.25">
      <c r="A1703" t="s">
        <v>983</v>
      </c>
      <c r="B1703" t="s">
        <v>2069</v>
      </c>
      <c r="C1703" t="s">
        <v>927</v>
      </c>
      <c r="D1703" t="s">
        <v>3052</v>
      </c>
      <c r="E1703" t="s">
        <v>3053</v>
      </c>
      <c r="F1703" t="s">
        <v>385</v>
      </c>
      <c r="G1703" t="s">
        <v>386</v>
      </c>
      <c r="H1703" t="s">
        <v>4162</v>
      </c>
      <c r="I1703">
        <v>1152</v>
      </c>
      <c r="J1703">
        <v>835</v>
      </c>
      <c r="K1703">
        <v>0</v>
      </c>
      <c r="L1703">
        <v>56</v>
      </c>
      <c r="M1703">
        <v>0</v>
      </c>
      <c r="N1703">
        <v>0</v>
      </c>
      <c r="O1703">
        <v>261</v>
      </c>
    </row>
    <row r="1704" spans="1:15" x14ac:dyDescent="0.25">
      <c r="A1704" t="s">
        <v>989</v>
      </c>
      <c r="B1704" t="s">
        <v>2016</v>
      </c>
      <c r="C1704" t="s">
        <v>923</v>
      </c>
      <c r="D1704" t="s">
        <v>3063</v>
      </c>
      <c r="E1704" t="s">
        <v>3053</v>
      </c>
      <c r="F1704" t="s">
        <v>385</v>
      </c>
      <c r="G1704" t="s">
        <v>386</v>
      </c>
      <c r="H1704" t="s">
        <v>10926</v>
      </c>
      <c r="I1704">
        <v>4</v>
      </c>
      <c r="J1704">
        <v>0</v>
      </c>
      <c r="K1704">
        <v>0</v>
      </c>
      <c r="L1704">
        <v>4</v>
      </c>
      <c r="M1704">
        <v>0</v>
      </c>
      <c r="N1704">
        <v>0</v>
      </c>
      <c r="O1704">
        <v>0</v>
      </c>
    </row>
    <row r="1705" spans="1:15" x14ac:dyDescent="0.25">
      <c r="A1705" t="s">
        <v>933</v>
      </c>
      <c r="B1705" t="s">
        <v>2106</v>
      </c>
      <c r="C1705" t="s">
        <v>927</v>
      </c>
      <c r="D1705" t="s">
        <v>3052</v>
      </c>
      <c r="E1705" t="s">
        <v>3053</v>
      </c>
      <c r="F1705" t="s">
        <v>385</v>
      </c>
      <c r="G1705" t="s">
        <v>386</v>
      </c>
      <c r="H1705" t="s">
        <v>4163</v>
      </c>
      <c r="I1705">
        <v>106</v>
      </c>
      <c r="J1705">
        <v>69</v>
      </c>
      <c r="K1705">
        <v>0</v>
      </c>
      <c r="L1705">
        <v>0</v>
      </c>
      <c r="M1705">
        <v>0</v>
      </c>
      <c r="N1705">
        <v>0</v>
      </c>
      <c r="O1705">
        <v>37</v>
      </c>
    </row>
    <row r="1706" spans="1:15" x14ac:dyDescent="0.25">
      <c r="A1706" t="s">
        <v>998</v>
      </c>
      <c r="B1706" t="s">
        <v>2820</v>
      </c>
      <c r="C1706" t="s">
        <v>927</v>
      </c>
      <c r="D1706" t="s">
        <v>3052</v>
      </c>
      <c r="E1706" t="s">
        <v>3053</v>
      </c>
      <c r="F1706" t="s">
        <v>385</v>
      </c>
      <c r="G1706" t="s">
        <v>386</v>
      </c>
      <c r="H1706" t="s">
        <v>4164</v>
      </c>
      <c r="I1706">
        <v>6</v>
      </c>
      <c r="J1706">
        <v>4</v>
      </c>
      <c r="K1706">
        <v>0</v>
      </c>
      <c r="L1706">
        <v>0</v>
      </c>
      <c r="M1706">
        <v>0</v>
      </c>
      <c r="N1706">
        <v>0</v>
      </c>
      <c r="O1706">
        <v>2</v>
      </c>
    </row>
    <row r="1707" spans="1:15" x14ac:dyDescent="0.25">
      <c r="A1707" t="s">
        <v>10624</v>
      </c>
      <c r="B1707" t="s">
        <v>2882</v>
      </c>
      <c r="C1707" t="s">
        <v>927</v>
      </c>
      <c r="D1707" t="s">
        <v>3052</v>
      </c>
      <c r="E1707" t="s">
        <v>3053</v>
      </c>
      <c r="F1707" t="s">
        <v>385</v>
      </c>
      <c r="G1707" t="s">
        <v>386</v>
      </c>
      <c r="H1707" t="s">
        <v>14573</v>
      </c>
      <c r="I1707">
        <v>2</v>
      </c>
      <c r="J1707">
        <v>0</v>
      </c>
      <c r="K1707">
        <v>0</v>
      </c>
      <c r="L1707">
        <v>0</v>
      </c>
      <c r="M1707">
        <v>0</v>
      </c>
      <c r="N1707">
        <v>0</v>
      </c>
      <c r="O1707">
        <v>2</v>
      </c>
    </row>
    <row r="1708" spans="1:15" x14ac:dyDescent="0.25">
      <c r="A1708" t="s">
        <v>10638</v>
      </c>
      <c r="B1708" t="s">
        <v>2057</v>
      </c>
      <c r="C1708" t="s">
        <v>927</v>
      </c>
      <c r="D1708" t="s">
        <v>3052</v>
      </c>
      <c r="E1708" t="s">
        <v>3053</v>
      </c>
      <c r="F1708" t="s">
        <v>385</v>
      </c>
      <c r="G1708" t="s">
        <v>386</v>
      </c>
      <c r="H1708" t="s">
        <v>10927</v>
      </c>
      <c r="I1708">
        <v>5</v>
      </c>
      <c r="J1708">
        <v>0</v>
      </c>
      <c r="K1708">
        <v>0</v>
      </c>
      <c r="L1708">
        <v>5</v>
      </c>
      <c r="M1708">
        <v>0</v>
      </c>
      <c r="N1708">
        <v>0</v>
      </c>
      <c r="O1708">
        <v>0</v>
      </c>
    </row>
    <row r="1709" spans="1:15" x14ac:dyDescent="0.25">
      <c r="A1709" t="s">
        <v>1005</v>
      </c>
      <c r="B1709" t="s">
        <v>2128</v>
      </c>
      <c r="C1709" t="s">
        <v>927</v>
      </c>
      <c r="D1709" t="s">
        <v>3052</v>
      </c>
      <c r="E1709" t="s">
        <v>3053</v>
      </c>
      <c r="F1709" t="s">
        <v>385</v>
      </c>
      <c r="G1709" t="s">
        <v>386</v>
      </c>
      <c r="H1709" t="s">
        <v>4165</v>
      </c>
      <c r="I1709">
        <v>20</v>
      </c>
      <c r="J1709">
        <v>14</v>
      </c>
      <c r="K1709">
        <v>0</v>
      </c>
      <c r="L1709">
        <v>0</v>
      </c>
      <c r="M1709">
        <v>0</v>
      </c>
      <c r="N1709">
        <v>0</v>
      </c>
      <c r="O1709">
        <v>6</v>
      </c>
    </row>
    <row r="1710" spans="1:15" x14ac:dyDescent="0.25">
      <c r="A1710" t="s">
        <v>10643</v>
      </c>
      <c r="B1710" t="s">
        <v>2987</v>
      </c>
      <c r="C1710" t="s">
        <v>927</v>
      </c>
      <c r="D1710" t="s">
        <v>3052</v>
      </c>
      <c r="E1710" t="s">
        <v>3053</v>
      </c>
      <c r="F1710" t="s">
        <v>385</v>
      </c>
      <c r="G1710" t="s">
        <v>386</v>
      </c>
      <c r="H1710" t="s">
        <v>10928</v>
      </c>
      <c r="I1710">
        <v>464</v>
      </c>
      <c r="J1710">
        <v>384</v>
      </c>
      <c r="K1710">
        <v>0</v>
      </c>
      <c r="L1710">
        <v>22</v>
      </c>
      <c r="M1710">
        <v>0</v>
      </c>
      <c r="N1710">
        <v>8</v>
      </c>
      <c r="O1710">
        <v>58</v>
      </c>
    </row>
    <row r="1711" spans="1:15" x14ac:dyDescent="0.25">
      <c r="A1711" t="s">
        <v>937</v>
      </c>
      <c r="B1711" t="s">
        <v>1962</v>
      </c>
      <c r="C1711" t="s">
        <v>927</v>
      </c>
      <c r="D1711" t="s">
        <v>3052</v>
      </c>
      <c r="E1711" t="s">
        <v>3053</v>
      </c>
      <c r="F1711" t="s">
        <v>385</v>
      </c>
      <c r="G1711" t="s">
        <v>386</v>
      </c>
      <c r="H1711" t="s">
        <v>4166</v>
      </c>
      <c r="I1711">
        <v>38</v>
      </c>
      <c r="J1711">
        <v>0</v>
      </c>
      <c r="K1711">
        <v>0</v>
      </c>
      <c r="L1711">
        <v>0</v>
      </c>
      <c r="M1711">
        <v>0</v>
      </c>
      <c r="N1711">
        <v>0</v>
      </c>
      <c r="O1711">
        <v>38</v>
      </c>
    </row>
    <row r="1712" spans="1:15" x14ac:dyDescent="0.25">
      <c r="A1712" t="s">
        <v>938</v>
      </c>
      <c r="B1712" t="s">
        <v>2791</v>
      </c>
      <c r="C1712" t="s">
        <v>927</v>
      </c>
      <c r="D1712" t="s">
        <v>3052</v>
      </c>
      <c r="E1712" t="s">
        <v>3053</v>
      </c>
      <c r="F1712" t="s">
        <v>385</v>
      </c>
      <c r="G1712" t="s">
        <v>386</v>
      </c>
      <c r="H1712" t="s">
        <v>4167</v>
      </c>
      <c r="I1712">
        <v>9</v>
      </c>
      <c r="J1712">
        <v>0</v>
      </c>
      <c r="K1712">
        <v>0</v>
      </c>
      <c r="L1712">
        <v>9</v>
      </c>
      <c r="M1712">
        <v>0</v>
      </c>
      <c r="N1712">
        <v>0</v>
      </c>
      <c r="O1712">
        <v>0</v>
      </c>
    </row>
    <row r="1713" spans="1:15" x14ac:dyDescent="0.25">
      <c r="A1713" t="s">
        <v>940</v>
      </c>
      <c r="B1713" t="s">
        <v>2647</v>
      </c>
      <c r="C1713" t="s">
        <v>927</v>
      </c>
      <c r="D1713" t="s">
        <v>3052</v>
      </c>
      <c r="E1713" t="s">
        <v>3053</v>
      </c>
      <c r="F1713" t="s">
        <v>385</v>
      </c>
      <c r="G1713" t="s">
        <v>386</v>
      </c>
      <c r="H1713" t="s">
        <v>4168</v>
      </c>
      <c r="I1713">
        <v>221</v>
      </c>
      <c r="J1713">
        <v>0</v>
      </c>
      <c r="K1713">
        <v>0</v>
      </c>
      <c r="L1713">
        <v>0</v>
      </c>
      <c r="M1713">
        <v>198</v>
      </c>
      <c r="N1713">
        <v>0</v>
      </c>
      <c r="O1713">
        <v>23</v>
      </c>
    </row>
    <row r="1714" spans="1:15" x14ac:dyDescent="0.25">
      <c r="A1714" t="s">
        <v>1013</v>
      </c>
      <c r="B1714" t="s">
        <v>1959</v>
      </c>
      <c r="C1714" t="s">
        <v>927</v>
      </c>
      <c r="D1714" t="s">
        <v>3052</v>
      </c>
      <c r="E1714" t="s">
        <v>3053</v>
      </c>
      <c r="F1714" t="s">
        <v>385</v>
      </c>
      <c r="G1714" t="s">
        <v>386</v>
      </c>
      <c r="H1714" t="s">
        <v>10929</v>
      </c>
      <c r="I1714">
        <v>3</v>
      </c>
      <c r="J1714">
        <v>0</v>
      </c>
      <c r="K1714">
        <v>0</v>
      </c>
      <c r="L1714">
        <v>3</v>
      </c>
      <c r="M1714">
        <v>0</v>
      </c>
      <c r="N1714">
        <v>0</v>
      </c>
      <c r="O1714">
        <v>0</v>
      </c>
    </row>
    <row r="1715" spans="1:15" x14ac:dyDescent="0.25">
      <c r="A1715" t="s">
        <v>10681</v>
      </c>
      <c r="B1715" t="s">
        <v>10680</v>
      </c>
      <c r="C1715" t="s">
        <v>927</v>
      </c>
      <c r="D1715" t="s">
        <v>3052</v>
      </c>
      <c r="E1715" t="s">
        <v>3053</v>
      </c>
      <c r="F1715" t="s">
        <v>385</v>
      </c>
      <c r="G1715" t="s">
        <v>386</v>
      </c>
      <c r="H1715" t="s">
        <v>14574</v>
      </c>
      <c r="I1715">
        <v>9</v>
      </c>
      <c r="J1715">
        <v>0</v>
      </c>
      <c r="K1715">
        <v>0</v>
      </c>
      <c r="L1715">
        <v>0</v>
      </c>
      <c r="M1715">
        <v>0</v>
      </c>
      <c r="N1715">
        <v>0</v>
      </c>
      <c r="O1715">
        <v>9</v>
      </c>
    </row>
    <row r="1716" spans="1:15" x14ac:dyDescent="0.25">
      <c r="A1716" t="s">
        <v>1296</v>
      </c>
      <c r="B1716" t="s">
        <v>2965</v>
      </c>
      <c r="C1716" t="s">
        <v>923</v>
      </c>
      <c r="D1716" t="s">
        <v>3063</v>
      </c>
      <c r="E1716" t="s">
        <v>3053</v>
      </c>
      <c r="F1716" t="s">
        <v>385</v>
      </c>
      <c r="G1716" t="s">
        <v>386</v>
      </c>
      <c r="H1716" t="s">
        <v>4169</v>
      </c>
      <c r="I1716">
        <v>23</v>
      </c>
      <c r="J1716">
        <v>0</v>
      </c>
      <c r="K1716">
        <v>0</v>
      </c>
      <c r="L1716">
        <v>0</v>
      </c>
      <c r="M1716">
        <v>23</v>
      </c>
      <c r="N1716">
        <v>0</v>
      </c>
      <c r="O1716">
        <v>0</v>
      </c>
    </row>
    <row r="1717" spans="1:15" x14ac:dyDescent="0.25">
      <c r="A1717" t="s">
        <v>945</v>
      </c>
      <c r="B1717" t="s">
        <v>2668</v>
      </c>
      <c r="C1717" t="s">
        <v>927</v>
      </c>
      <c r="D1717" t="s">
        <v>3052</v>
      </c>
      <c r="E1717" t="s">
        <v>3053</v>
      </c>
      <c r="F1717" t="s">
        <v>385</v>
      </c>
      <c r="G1717" t="s">
        <v>386</v>
      </c>
      <c r="H1717" t="s">
        <v>4170</v>
      </c>
      <c r="I1717">
        <v>2</v>
      </c>
      <c r="J1717">
        <v>0</v>
      </c>
      <c r="K1717">
        <v>0</v>
      </c>
      <c r="L1717">
        <v>0</v>
      </c>
      <c r="M1717">
        <v>0</v>
      </c>
      <c r="N1717">
        <v>0</v>
      </c>
      <c r="O1717">
        <v>2</v>
      </c>
    </row>
    <row r="1718" spans="1:15" x14ac:dyDescent="0.25">
      <c r="A1718" t="s">
        <v>1041</v>
      </c>
      <c r="B1718" t="s">
        <v>2826</v>
      </c>
      <c r="C1718" t="s">
        <v>927</v>
      </c>
      <c r="D1718" t="s">
        <v>3052</v>
      </c>
      <c r="E1718" t="s">
        <v>3053</v>
      </c>
      <c r="F1718" t="s">
        <v>385</v>
      </c>
      <c r="G1718" t="s">
        <v>386</v>
      </c>
      <c r="H1718" t="s">
        <v>14575</v>
      </c>
      <c r="I1718">
        <v>7</v>
      </c>
      <c r="J1718">
        <v>0</v>
      </c>
      <c r="K1718">
        <v>0</v>
      </c>
      <c r="L1718">
        <v>0</v>
      </c>
      <c r="M1718">
        <v>0</v>
      </c>
      <c r="N1718">
        <v>0</v>
      </c>
      <c r="O1718">
        <v>7</v>
      </c>
    </row>
    <row r="1719" spans="1:15" x14ac:dyDescent="0.25">
      <c r="A1719" t="s">
        <v>1142</v>
      </c>
      <c r="B1719" t="s">
        <v>3003</v>
      </c>
      <c r="C1719" t="s">
        <v>927</v>
      </c>
      <c r="D1719" t="s">
        <v>3052</v>
      </c>
      <c r="E1719" t="s">
        <v>3053</v>
      </c>
      <c r="F1719" t="s">
        <v>385</v>
      </c>
      <c r="G1719" t="s">
        <v>386</v>
      </c>
      <c r="H1719" t="s">
        <v>4171</v>
      </c>
      <c r="I1719">
        <v>787</v>
      </c>
      <c r="J1719">
        <v>569</v>
      </c>
      <c r="K1719">
        <v>0</v>
      </c>
      <c r="L1719">
        <v>8</v>
      </c>
      <c r="M1719">
        <v>0</v>
      </c>
      <c r="N1719">
        <v>5</v>
      </c>
      <c r="O1719">
        <v>210</v>
      </c>
    </row>
    <row r="1720" spans="1:15" x14ac:dyDescent="0.25">
      <c r="A1720" t="s">
        <v>1146</v>
      </c>
      <c r="B1720" t="s">
        <v>2117</v>
      </c>
      <c r="C1720" t="s">
        <v>927</v>
      </c>
      <c r="D1720" t="s">
        <v>3052</v>
      </c>
      <c r="E1720" t="s">
        <v>3053</v>
      </c>
      <c r="F1720" t="s">
        <v>385</v>
      </c>
      <c r="G1720" t="s">
        <v>386</v>
      </c>
      <c r="H1720" t="s">
        <v>14576</v>
      </c>
      <c r="I1720">
        <v>210</v>
      </c>
      <c r="J1720">
        <v>120</v>
      </c>
      <c r="K1720">
        <v>0</v>
      </c>
      <c r="L1720">
        <v>0</v>
      </c>
      <c r="M1720">
        <v>0</v>
      </c>
      <c r="N1720">
        <v>0</v>
      </c>
      <c r="O1720">
        <v>90</v>
      </c>
    </row>
    <row r="1721" spans="1:15" x14ac:dyDescent="0.25">
      <c r="A1721" t="s">
        <v>951</v>
      </c>
      <c r="B1721" t="s">
        <v>2680</v>
      </c>
      <c r="C1721" t="s">
        <v>927</v>
      </c>
      <c r="D1721" t="s">
        <v>3052</v>
      </c>
      <c r="E1721" t="s">
        <v>3053</v>
      </c>
      <c r="F1721" t="s">
        <v>385</v>
      </c>
      <c r="G1721" t="s">
        <v>386</v>
      </c>
      <c r="H1721" t="s">
        <v>4172</v>
      </c>
      <c r="I1721">
        <v>21</v>
      </c>
      <c r="J1721">
        <v>11</v>
      </c>
      <c r="K1721">
        <v>0</v>
      </c>
      <c r="L1721">
        <v>0</v>
      </c>
      <c r="M1721">
        <v>0</v>
      </c>
      <c r="N1721">
        <v>0</v>
      </c>
      <c r="O1721">
        <v>10</v>
      </c>
    </row>
    <row r="1722" spans="1:15" x14ac:dyDescent="0.25">
      <c r="A1722" t="s">
        <v>1049</v>
      </c>
      <c r="B1722" t="s">
        <v>2138</v>
      </c>
      <c r="C1722" t="s">
        <v>927</v>
      </c>
      <c r="D1722" t="s">
        <v>3052</v>
      </c>
      <c r="E1722" t="s">
        <v>3053</v>
      </c>
      <c r="F1722" t="s">
        <v>385</v>
      </c>
      <c r="G1722" t="s">
        <v>386</v>
      </c>
      <c r="H1722" t="s">
        <v>4173</v>
      </c>
      <c r="I1722">
        <v>270</v>
      </c>
      <c r="J1722">
        <v>173</v>
      </c>
      <c r="K1722">
        <v>0</v>
      </c>
      <c r="L1722">
        <v>0</v>
      </c>
      <c r="M1722">
        <v>0</v>
      </c>
      <c r="N1722">
        <v>0</v>
      </c>
      <c r="O1722">
        <v>97</v>
      </c>
    </row>
    <row r="1723" spans="1:15" x14ac:dyDescent="0.25">
      <c r="A1723" t="s">
        <v>11720</v>
      </c>
      <c r="B1723" t="s">
        <v>10718</v>
      </c>
      <c r="C1723" t="s">
        <v>927</v>
      </c>
      <c r="D1723" t="s">
        <v>3052</v>
      </c>
      <c r="E1723" t="s">
        <v>3053</v>
      </c>
      <c r="F1723" t="s">
        <v>385</v>
      </c>
      <c r="G1723" t="s">
        <v>386</v>
      </c>
      <c r="H1723" t="s">
        <v>14577</v>
      </c>
      <c r="I1723">
        <v>38</v>
      </c>
      <c r="J1723">
        <v>11</v>
      </c>
      <c r="K1723">
        <v>0</v>
      </c>
      <c r="L1723">
        <v>0</v>
      </c>
      <c r="M1723">
        <v>0</v>
      </c>
      <c r="N1723">
        <v>0</v>
      </c>
      <c r="O1723">
        <v>27</v>
      </c>
    </row>
    <row r="1724" spans="1:15" x14ac:dyDescent="0.25">
      <c r="A1724" t="s">
        <v>9788</v>
      </c>
      <c r="B1724" t="s">
        <v>9871</v>
      </c>
      <c r="C1724" t="s">
        <v>927</v>
      </c>
      <c r="D1724" t="s">
        <v>3052</v>
      </c>
      <c r="E1724" t="s">
        <v>3053</v>
      </c>
      <c r="F1724" t="s">
        <v>385</v>
      </c>
      <c r="G1724" t="s">
        <v>386</v>
      </c>
      <c r="H1724" t="s">
        <v>10339</v>
      </c>
      <c r="I1724">
        <v>77</v>
      </c>
      <c r="J1724">
        <v>77</v>
      </c>
      <c r="K1724">
        <v>0</v>
      </c>
      <c r="L1724">
        <v>0</v>
      </c>
      <c r="M1724">
        <v>0</v>
      </c>
      <c r="N1724">
        <v>0</v>
      </c>
      <c r="O1724">
        <v>0</v>
      </c>
    </row>
    <row r="1725" spans="1:15" x14ac:dyDescent="0.25">
      <c r="A1725" t="s">
        <v>1057</v>
      </c>
      <c r="B1725" t="s">
        <v>1972</v>
      </c>
      <c r="C1725" t="s">
        <v>927</v>
      </c>
      <c r="D1725" t="s">
        <v>3052</v>
      </c>
      <c r="E1725" t="s">
        <v>3053</v>
      </c>
      <c r="F1725" t="s">
        <v>385</v>
      </c>
      <c r="G1725" t="s">
        <v>386</v>
      </c>
      <c r="H1725" t="s">
        <v>4174</v>
      </c>
      <c r="I1725">
        <v>234</v>
      </c>
      <c r="J1725">
        <v>111</v>
      </c>
      <c r="K1725">
        <v>0</v>
      </c>
      <c r="L1725">
        <v>0</v>
      </c>
      <c r="M1725">
        <v>54</v>
      </c>
      <c r="N1725">
        <v>0</v>
      </c>
      <c r="O1725">
        <v>69</v>
      </c>
    </row>
    <row r="1726" spans="1:15" x14ac:dyDescent="0.25">
      <c r="A1726" t="s">
        <v>955</v>
      </c>
      <c r="B1726" t="s">
        <v>2660</v>
      </c>
      <c r="C1726" t="s">
        <v>927</v>
      </c>
      <c r="D1726" t="s">
        <v>3052</v>
      </c>
      <c r="E1726" t="s">
        <v>3053</v>
      </c>
      <c r="F1726" t="s">
        <v>385</v>
      </c>
      <c r="G1726" t="s">
        <v>386</v>
      </c>
      <c r="H1726" t="s">
        <v>4175</v>
      </c>
      <c r="I1726">
        <v>5134</v>
      </c>
      <c r="J1726">
        <v>4047</v>
      </c>
      <c r="K1726">
        <v>7</v>
      </c>
      <c r="L1726">
        <v>53</v>
      </c>
      <c r="M1726">
        <v>997</v>
      </c>
      <c r="N1726">
        <v>0</v>
      </c>
      <c r="O1726">
        <v>30</v>
      </c>
    </row>
    <row r="1727" spans="1:15" x14ac:dyDescent="0.25">
      <c r="A1727" t="s">
        <v>1155</v>
      </c>
      <c r="B1727" t="s">
        <v>2912</v>
      </c>
      <c r="C1727" t="s">
        <v>927</v>
      </c>
      <c r="D1727" t="s">
        <v>3052</v>
      </c>
      <c r="E1727" t="s">
        <v>3053</v>
      </c>
      <c r="F1727" t="s">
        <v>385</v>
      </c>
      <c r="G1727" t="s">
        <v>386</v>
      </c>
      <c r="H1727" t="s">
        <v>4176</v>
      </c>
      <c r="I1727">
        <v>1</v>
      </c>
      <c r="J1727">
        <v>0</v>
      </c>
      <c r="K1727">
        <v>0</v>
      </c>
      <c r="L1727">
        <v>0</v>
      </c>
      <c r="M1727">
        <v>0</v>
      </c>
      <c r="N1727">
        <v>0</v>
      </c>
      <c r="O1727">
        <v>1</v>
      </c>
    </row>
    <row r="1728" spans="1:15" x14ac:dyDescent="0.25">
      <c r="A1728" t="s">
        <v>1660</v>
      </c>
      <c r="B1728" t="s">
        <v>2827</v>
      </c>
      <c r="C1728" t="s">
        <v>927</v>
      </c>
      <c r="D1728" t="s">
        <v>3052</v>
      </c>
      <c r="E1728" t="s">
        <v>3053</v>
      </c>
      <c r="F1728" t="s">
        <v>385</v>
      </c>
      <c r="G1728" t="s">
        <v>386</v>
      </c>
      <c r="H1728" t="s">
        <v>4177</v>
      </c>
      <c r="I1728">
        <v>85</v>
      </c>
      <c r="J1728">
        <v>62</v>
      </c>
      <c r="K1728">
        <v>0</v>
      </c>
      <c r="L1728">
        <v>0</v>
      </c>
      <c r="M1728">
        <v>0</v>
      </c>
      <c r="N1728">
        <v>0</v>
      </c>
      <c r="O1728">
        <v>23</v>
      </c>
    </row>
    <row r="1729" spans="1:15" x14ac:dyDescent="0.25">
      <c r="A1729" t="s">
        <v>960</v>
      </c>
      <c r="B1729" t="s">
        <v>2080</v>
      </c>
      <c r="C1729" t="s">
        <v>927</v>
      </c>
      <c r="D1729" t="s">
        <v>3052</v>
      </c>
      <c r="E1729" t="s">
        <v>3053</v>
      </c>
      <c r="F1729" t="s">
        <v>385</v>
      </c>
      <c r="G1729" t="s">
        <v>386</v>
      </c>
      <c r="H1729" t="s">
        <v>4178</v>
      </c>
      <c r="I1729">
        <v>176</v>
      </c>
      <c r="J1729">
        <v>130</v>
      </c>
      <c r="K1729">
        <v>0</v>
      </c>
      <c r="L1729">
        <v>0</v>
      </c>
      <c r="M1729">
        <v>20</v>
      </c>
      <c r="N1729">
        <v>0</v>
      </c>
      <c r="O1729">
        <v>26</v>
      </c>
    </row>
    <row r="1730" spans="1:15" x14ac:dyDescent="0.25">
      <c r="A1730" t="s">
        <v>14374</v>
      </c>
      <c r="B1730" t="s">
        <v>1943</v>
      </c>
      <c r="C1730" t="s">
        <v>927</v>
      </c>
      <c r="D1730" t="s">
        <v>3052</v>
      </c>
      <c r="E1730" t="s">
        <v>3053</v>
      </c>
      <c r="F1730" t="s">
        <v>385</v>
      </c>
      <c r="G1730" t="s">
        <v>386</v>
      </c>
      <c r="H1730" t="s">
        <v>14578</v>
      </c>
      <c r="I1730">
        <v>35</v>
      </c>
      <c r="J1730">
        <v>0</v>
      </c>
      <c r="K1730">
        <v>0</v>
      </c>
      <c r="L1730">
        <v>0</v>
      </c>
      <c r="M1730">
        <v>0</v>
      </c>
      <c r="N1730">
        <v>0</v>
      </c>
      <c r="O1730">
        <v>35</v>
      </c>
    </row>
    <row r="1731" spans="1:15" x14ac:dyDescent="0.25">
      <c r="A1731" t="s">
        <v>1062</v>
      </c>
      <c r="B1731" t="s">
        <v>1993</v>
      </c>
      <c r="C1731" t="s">
        <v>927</v>
      </c>
      <c r="D1731" t="s">
        <v>3052</v>
      </c>
      <c r="E1731" t="s">
        <v>3053</v>
      </c>
      <c r="F1731" t="s">
        <v>385</v>
      </c>
      <c r="G1731" t="s">
        <v>386</v>
      </c>
      <c r="H1731" t="s">
        <v>4179</v>
      </c>
      <c r="I1731">
        <v>35</v>
      </c>
      <c r="J1731">
        <v>35</v>
      </c>
      <c r="K1731">
        <v>0</v>
      </c>
      <c r="L1731">
        <v>0</v>
      </c>
      <c r="M1731">
        <v>0</v>
      </c>
      <c r="N1731">
        <v>0</v>
      </c>
      <c r="O1731">
        <v>0</v>
      </c>
    </row>
    <row r="1732" spans="1:15" x14ac:dyDescent="0.25">
      <c r="A1732" t="s">
        <v>962</v>
      </c>
      <c r="B1732" t="s">
        <v>2752</v>
      </c>
      <c r="C1732" t="s">
        <v>927</v>
      </c>
      <c r="D1732" t="s">
        <v>3052</v>
      </c>
      <c r="E1732" t="s">
        <v>3053</v>
      </c>
      <c r="F1732" t="s">
        <v>385</v>
      </c>
      <c r="G1732" t="s">
        <v>386</v>
      </c>
      <c r="H1732" t="s">
        <v>4180</v>
      </c>
      <c r="I1732">
        <v>390</v>
      </c>
      <c r="J1732">
        <v>283</v>
      </c>
      <c r="K1732">
        <v>0</v>
      </c>
      <c r="L1732">
        <v>1</v>
      </c>
      <c r="M1732">
        <v>34</v>
      </c>
      <c r="N1732">
        <v>0</v>
      </c>
      <c r="O1732">
        <v>72</v>
      </c>
    </row>
    <row r="1733" spans="1:15" x14ac:dyDescent="0.25">
      <c r="A1733" t="s">
        <v>964</v>
      </c>
      <c r="B1733" t="s">
        <v>1969</v>
      </c>
      <c r="C1733" t="s">
        <v>927</v>
      </c>
      <c r="D1733" t="s">
        <v>3052</v>
      </c>
      <c r="E1733" t="s">
        <v>3053</v>
      </c>
      <c r="F1733" t="s">
        <v>385</v>
      </c>
      <c r="G1733" t="s">
        <v>386</v>
      </c>
      <c r="H1733" t="s">
        <v>10930</v>
      </c>
      <c r="I1733">
        <v>83</v>
      </c>
      <c r="J1733">
        <v>59</v>
      </c>
      <c r="K1733">
        <v>0</v>
      </c>
      <c r="L1733">
        <v>0</v>
      </c>
      <c r="M1733">
        <v>0</v>
      </c>
      <c r="N1733">
        <v>0</v>
      </c>
      <c r="O1733">
        <v>24</v>
      </c>
    </row>
    <row r="1734" spans="1:15" x14ac:dyDescent="0.25">
      <c r="A1734" t="s">
        <v>1066</v>
      </c>
      <c r="B1734" t="s">
        <v>2557</v>
      </c>
      <c r="C1734" t="s">
        <v>927</v>
      </c>
      <c r="D1734" t="s">
        <v>3052</v>
      </c>
      <c r="E1734" t="s">
        <v>3053</v>
      </c>
      <c r="F1734" t="s">
        <v>385</v>
      </c>
      <c r="G1734" t="s">
        <v>386</v>
      </c>
      <c r="H1734" t="s">
        <v>4181</v>
      </c>
      <c r="I1734">
        <v>10</v>
      </c>
      <c r="J1734">
        <v>0</v>
      </c>
      <c r="K1734">
        <v>0</v>
      </c>
      <c r="L1734">
        <v>0</v>
      </c>
      <c r="M1734">
        <v>10</v>
      </c>
      <c r="N1734">
        <v>0</v>
      </c>
      <c r="O1734">
        <v>0</v>
      </c>
    </row>
    <row r="1735" spans="1:15" x14ac:dyDescent="0.25">
      <c r="A1735" t="s">
        <v>1181</v>
      </c>
      <c r="B1735" t="s">
        <v>2894</v>
      </c>
      <c r="C1735" t="s">
        <v>927</v>
      </c>
      <c r="D1735" t="s">
        <v>3052</v>
      </c>
      <c r="E1735" t="s">
        <v>3053</v>
      </c>
      <c r="F1735" t="s">
        <v>385</v>
      </c>
      <c r="G1735" t="s">
        <v>386</v>
      </c>
      <c r="H1735" t="s">
        <v>4182</v>
      </c>
      <c r="I1735">
        <v>32</v>
      </c>
      <c r="J1735">
        <v>21</v>
      </c>
      <c r="K1735">
        <v>0</v>
      </c>
      <c r="L1735">
        <v>0</v>
      </c>
      <c r="M1735">
        <v>0</v>
      </c>
      <c r="N1735">
        <v>0</v>
      </c>
      <c r="O1735">
        <v>11</v>
      </c>
    </row>
    <row r="1736" spans="1:15" x14ac:dyDescent="0.25">
      <c r="A1736" t="s">
        <v>14397</v>
      </c>
      <c r="B1736" t="s">
        <v>2052</v>
      </c>
      <c r="C1736" t="s">
        <v>923</v>
      </c>
      <c r="D1736" t="s">
        <v>3063</v>
      </c>
      <c r="E1736" t="s">
        <v>3053</v>
      </c>
      <c r="F1736" t="s">
        <v>385</v>
      </c>
      <c r="G1736" t="s">
        <v>386</v>
      </c>
      <c r="H1736" t="s">
        <v>14579</v>
      </c>
      <c r="I1736">
        <v>91</v>
      </c>
      <c r="J1736">
        <v>91</v>
      </c>
      <c r="K1736">
        <v>0</v>
      </c>
      <c r="L1736">
        <v>0</v>
      </c>
      <c r="M1736">
        <v>0</v>
      </c>
      <c r="N1736">
        <v>0</v>
      </c>
      <c r="O1736">
        <v>0</v>
      </c>
    </row>
    <row r="1737" spans="1:15" x14ac:dyDescent="0.25">
      <c r="A1737" t="s">
        <v>981</v>
      </c>
      <c r="B1737" t="s">
        <v>2985</v>
      </c>
      <c r="C1737" t="s">
        <v>927</v>
      </c>
      <c r="D1737" t="s">
        <v>3052</v>
      </c>
      <c r="E1737" t="s">
        <v>3053</v>
      </c>
      <c r="F1737" t="s">
        <v>385</v>
      </c>
      <c r="G1737" t="s">
        <v>386</v>
      </c>
      <c r="H1737" t="s">
        <v>4160</v>
      </c>
      <c r="I1737">
        <v>399</v>
      </c>
      <c r="J1737">
        <v>209</v>
      </c>
      <c r="K1737">
        <v>0</v>
      </c>
      <c r="L1737">
        <v>0</v>
      </c>
      <c r="M1737">
        <v>87</v>
      </c>
      <c r="N1737">
        <v>0</v>
      </c>
      <c r="O1737">
        <v>103</v>
      </c>
    </row>
    <row r="1738" spans="1:15" x14ac:dyDescent="0.25">
      <c r="A1738" t="s">
        <v>1016</v>
      </c>
      <c r="B1738" t="s">
        <v>2725</v>
      </c>
      <c r="C1738" t="s">
        <v>927</v>
      </c>
      <c r="D1738" t="s">
        <v>3052</v>
      </c>
      <c r="E1738" t="s">
        <v>3053</v>
      </c>
      <c r="F1738" t="s">
        <v>387</v>
      </c>
      <c r="G1738" t="s">
        <v>388</v>
      </c>
      <c r="H1738" t="s">
        <v>4197</v>
      </c>
      <c r="I1738">
        <v>145</v>
      </c>
      <c r="J1738">
        <v>128</v>
      </c>
      <c r="K1738">
        <v>0</v>
      </c>
      <c r="L1738">
        <v>0</v>
      </c>
      <c r="M1738">
        <v>0</v>
      </c>
      <c r="N1738">
        <v>0</v>
      </c>
      <c r="O1738">
        <v>17</v>
      </c>
    </row>
    <row r="1739" spans="1:15" x14ac:dyDescent="0.25">
      <c r="A1739" t="s">
        <v>974</v>
      </c>
      <c r="B1739" t="s">
        <v>2949</v>
      </c>
      <c r="C1739" t="s">
        <v>923</v>
      </c>
      <c r="D1739" t="s">
        <v>3063</v>
      </c>
      <c r="E1739" t="s">
        <v>3053</v>
      </c>
      <c r="F1739" t="s">
        <v>387</v>
      </c>
      <c r="G1739" t="s">
        <v>388</v>
      </c>
      <c r="H1739" t="s">
        <v>4183</v>
      </c>
      <c r="I1739">
        <v>44</v>
      </c>
      <c r="J1739">
        <v>0</v>
      </c>
      <c r="K1739">
        <v>0</v>
      </c>
      <c r="L1739">
        <v>44</v>
      </c>
      <c r="M1739">
        <v>0</v>
      </c>
      <c r="N1739">
        <v>0</v>
      </c>
      <c r="O1739">
        <v>0</v>
      </c>
    </row>
    <row r="1740" spans="1:15" x14ac:dyDescent="0.25">
      <c r="A1740" t="s">
        <v>1452</v>
      </c>
      <c r="B1740" t="s">
        <v>2721</v>
      </c>
      <c r="C1740" t="s">
        <v>923</v>
      </c>
      <c r="D1740" t="s">
        <v>3063</v>
      </c>
      <c r="E1740" t="s">
        <v>3053</v>
      </c>
      <c r="F1740" t="s">
        <v>387</v>
      </c>
      <c r="G1740" t="s">
        <v>388</v>
      </c>
      <c r="H1740" t="s">
        <v>4184</v>
      </c>
      <c r="I1740">
        <v>32</v>
      </c>
      <c r="J1740">
        <v>0</v>
      </c>
      <c r="K1740">
        <v>0</v>
      </c>
      <c r="L1740">
        <v>0</v>
      </c>
      <c r="M1740">
        <v>32</v>
      </c>
      <c r="N1740">
        <v>0</v>
      </c>
      <c r="O1740">
        <v>0</v>
      </c>
    </row>
    <row r="1741" spans="1:15" x14ac:dyDescent="0.25">
      <c r="A1741" t="s">
        <v>929</v>
      </c>
      <c r="B1741" t="s">
        <v>2999</v>
      </c>
      <c r="C1741" t="s">
        <v>927</v>
      </c>
      <c r="D1741" t="s">
        <v>3052</v>
      </c>
      <c r="E1741" t="s">
        <v>3053</v>
      </c>
      <c r="F1741" t="s">
        <v>387</v>
      </c>
      <c r="G1741" t="s">
        <v>388</v>
      </c>
      <c r="H1741" t="s">
        <v>4185</v>
      </c>
      <c r="I1741">
        <v>260</v>
      </c>
      <c r="J1741">
        <v>0</v>
      </c>
      <c r="K1741">
        <v>0</v>
      </c>
      <c r="L1741">
        <v>0</v>
      </c>
      <c r="M1741">
        <v>249</v>
      </c>
      <c r="N1741">
        <v>0</v>
      </c>
      <c r="O1741">
        <v>11</v>
      </c>
    </row>
    <row r="1742" spans="1:15" x14ac:dyDescent="0.25">
      <c r="A1742" t="s">
        <v>978</v>
      </c>
      <c r="B1742" t="s">
        <v>1999</v>
      </c>
      <c r="C1742" t="s">
        <v>923</v>
      </c>
      <c r="D1742" t="s">
        <v>3063</v>
      </c>
      <c r="E1742" t="s">
        <v>3053</v>
      </c>
      <c r="F1742" t="s">
        <v>387</v>
      </c>
      <c r="G1742" t="s">
        <v>388</v>
      </c>
      <c r="H1742" t="s">
        <v>4186</v>
      </c>
      <c r="I1742">
        <v>5</v>
      </c>
      <c r="J1742">
        <v>5</v>
      </c>
      <c r="K1742">
        <v>0</v>
      </c>
      <c r="L1742">
        <v>0</v>
      </c>
      <c r="M1742">
        <v>0</v>
      </c>
      <c r="N1742">
        <v>0</v>
      </c>
      <c r="O1742">
        <v>0</v>
      </c>
    </row>
    <row r="1743" spans="1:15" x14ac:dyDescent="0.25">
      <c r="A1743" t="s">
        <v>1456</v>
      </c>
      <c r="B1743" t="s">
        <v>2844</v>
      </c>
      <c r="C1743" t="s">
        <v>927</v>
      </c>
      <c r="D1743" t="s">
        <v>3052</v>
      </c>
      <c r="E1743" t="s">
        <v>3053</v>
      </c>
      <c r="F1743" t="s">
        <v>387</v>
      </c>
      <c r="G1743" t="s">
        <v>388</v>
      </c>
      <c r="H1743" t="s">
        <v>4187</v>
      </c>
      <c r="I1743">
        <v>850</v>
      </c>
      <c r="J1743">
        <v>565</v>
      </c>
      <c r="K1743">
        <v>0</v>
      </c>
      <c r="L1743">
        <v>0</v>
      </c>
      <c r="M1743">
        <v>0</v>
      </c>
      <c r="N1743">
        <v>0</v>
      </c>
      <c r="O1743">
        <v>285</v>
      </c>
    </row>
    <row r="1744" spans="1:15" x14ac:dyDescent="0.25">
      <c r="A1744" t="s">
        <v>9790</v>
      </c>
      <c r="B1744" t="s">
        <v>1977</v>
      </c>
      <c r="C1744" t="s">
        <v>923</v>
      </c>
      <c r="D1744" t="s">
        <v>3063</v>
      </c>
      <c r="E1744" t="s">
        <v>3053</v>
      </c>
      <c r="F1744" t="s">
        <v>387</v>
      </c>
      <c r="G1744" t="s">
        <v>388</v>
      </c>
      <c r="H1744" t="s">
        <v>11935</v>
      </c>
      <c r="I1744">
        <v>6</v>
      </c>
      <c r="J1744">
        <v>0</v>
      </c>
      <c r="K1744">
        <v>0</v>
      </c>
      <c r="L1744">
        <v>6</v>
      </c>
      <c r="M1744">
        <v>0</v>
      </c>
      <c r="N1744">
        <v>0</v>
      </c>
      <c r="O1744">
        <v>0</v>
      </c>
    </row>
    <row r="1745" spans="1:15" x14ac:dyDescent="0.25">
      <c r="A1745" t="s">
        <v>1458</v>
      </c>
      <c r="B1745" t="s">
        <v>2024</v>
      </c>
      <c r="C1745" t="s">
        <v>923</v>
      </c>
      <c r="D1745" t="s">
        <v>3063</v>
      </c>
      <c r="E1745" t="s">
        <v>3053</v>
      </c>
      <c r="F1745" t="s">
        <v>387</v>
      </c>
      <c r="G1745" t="s">
        <v>388</v>
      </c>
      <c r="H1745" t="s">
        <v>4188</v>
      </c>
      <c r="I1745">
        <v>39</v>
      </c>
      <c r="J1745">
        <v>39</v>
      </c>
      <c r="K1745">
        <v>0</v>
      </c>
      <c r="L1745">
        <v>0</v>
      </c>
      <c r="M1745">
        <v>0</v>
      </c>
      <c r="N1745">
        <v>0</v>
      </c>
      <c r="O1745">
        <v>0</v>
      </c>
    </row>
    <row r="1746" spans="1:15" x14ac:dyDescent="0.25">
      <c r="A1746" t="s">
        <v>9784</v>
      </c>
      <c r="B1746" t="s">
        <v>1994</v>
      </c>
      <c r="C1746" t="s">
        <v>927</v>
      </c>
      <c r="D1746" t="s">
        <v>3052</v>
      </c>
      <c r="E1746" t="s">
        <v>3053</v>
      </c>
      <c r="F1746" t="s">
        <v>387</v>
      </c>
      <c r="G1746" t="s">
        <v>388</v>
      </c>
      <c r="H1746" t="s">
        <v>9926</v>
      </c>
      <c r="I1746">
        <v>4</v>
      </c>
      <c r="J1746">
        <v>0</v>
      </c>
      <c r="K1746">
        <v>0</v>
      </c>
      <c r="L1746">
        <v>4</v>
      </c>
      <c r="M1746">
        <v>0</v>
      </c>
      <c r="N1746">
        <v>0</v>
      </c>
      <c r="O1746">
        <v>0</v>
      </c>
    </row>
    <row r="1747" spans="1:15" x14ac:dyDescent="0.25">
      <c r="A1747" t="s">
        <v>1212</v>
      </c>
      <c r="B1747" t="s">
        <v>2004</v>
      </c>
      <c r="C1747" t="s">
        <v>923</v>
      </c>
      <c r="D1747" t="s">
        <v>3063</v>
      </c>
      <c r="E1747" t="s">
        <v>3053</v>
      </c>
      <c r="F1747" t="s">
        <v>387</v>
      </c>
      <c r="G1747" t="s">
        <v>388</v>
      </c>
      <c r="H1747" t="s">
        <v>10002</v>
      </c>
      <c r="I1747">
        <v>21</v>
      </c>
      <c r="J1747">
        <v>0</v>
      </c>
      <c r="K1747">
        <v>0</v>
      </c>
      <c r="L1747">
        <v>21</v>
      </c>
      <c r="M1747">
        <v>0</v>
      </c>
      <c r="N1747">
        <v>0</v>
      </c>
      <c r="O1747">
        <v>0</v>
      </c>
    </row>
    <row r="1748" spans="1:15" x14ac:dyDescent="0.25">
      <c r="A1748" t="s">
        <v>1461</v>
      </c>
      <c r="B1748" t="s">
        <v>1927</v>
      </c>
      <c r="C1748" t="s">
        <v>927</v>
      </c>
      <c r="D1748" t="s">
        <v>3052</v>
      </c>
      <c r="E1748" t="s">
        <v>3053</v>
      </c>
      <c r="F1748" t="s">
        <v>387</v>
      </c>
      <c r="G1748" t="s">
        <v>388</v>
      </c>
      <c r="H1748" t="s">
        <v>14580</v>
      </c>
      <c r="I1748">
        <v>120</v>
      </c>
      <c r="J1748">
        <v>81</v>
      </c>
      <c r="K1748">
        <v>0</v>
      </c>
      <c r="L1748">
        <v>0</v>
      </c>
      <c r="M1748">
        <v>0</v>
      </c>
      <c r="N1748">
        <v>0</v>
      </c>
      <c r="O1748">
        <v>39</v>
      </c>
    </row>
    <row r="1749" spans="1:15" x14ac:dyDescent="0.25">
      <c r="A1749" t="s">
        <v>1467</v>
      </c>
      <c r="B1749" t="s">
        <v>2334</v>
      </c>
      <c r="C1749" t="s">
        <v>923</v>
      </c>
      <c r="D1749" t="s">
        <v>3063</v>
      </c>
      <c r="E1749" t="s">
        <v>3053</v>
      </c>
      <c r="F1749" t="s">
        <v>387</v>
      </c>
      <c r="G1749" t="s">
        <v>388</v>
      </c>
      <c r="H1749" t="s">
        <v>4189</v>
      </c>
      <c r="I1749">
        <v>10</v>
      </c>
      <c r="J1749">
        <v>10</v>
      </c>
      <c r="K1749">
        <v>0</v>
      </c>
      <c r="L1749">
        <v>0</v>
      </c>
      <c r="M1749">
        <v>0</v>
      </c>
      <c r="N1749">
        <v>0</v>
      </c>
      <c r="O1749">
        <v>0</v>
      </c>
    </row>
    <row r="1750" spans="1:15" x14ac:dyDescent="0.25">
      <c r="A1750" t="s">
        <v>14392</v>
      </c>
      <c r="B1750" t="s">
        <v>14581</v>
      </c>
      <c r="C1750" t="s">
        <v>923</v>
      </c>
      <c r="D1750" t="s">
        <v>3063</v>
      </c>
      <c r="E1750" t="s">
        <v>3053</v>
      </c>
      <c r="F1750" t="s">
        <v>387</v>
      </c>
      <c r="G1750" t="s">
        <v>388</v>
      </c>
      <c r="H1750" t="s">
        <v>14582</v>
      </c>
      <c r="I1750">
        <v>15</v>
      </c>
      <c r="J1750">
        <v>0</v>
      </c>
      <c r="K1750">
        <v>0</v>
      </c>
      <c r="L1750">
        <v>0</v>
      </c>
      <c r="M1750">
        <v>15</v>
      </c>
      <c r="N1750">
        <v>0</v>
      </c>
      <c r="O1750">
        <v>0</v>
      </c>
    </row>
    <row r="1751" spans="1:15" x14ac:dyDescent="0.25">
      <c r="A1751" t="s">
        <v>987</v>
      </c>
      <c r="B1751" t="s">
        <v>2881</v>
      </c>
      <c r="C1751" t="s">
        <v>927</v>
      </c>
      <c r="D1751" t="s">
        <v>3052</v>
      </c>
      <c r="E1751" t="s">
        <v>3053</v>
      </c>
      <c r="F1751" t="s">
        <v>387</v>
      </c>
      <c r="G1751" t="s">
        <v>388</v>
      </c>
      <c r="H1751" t="s">
        <v>4190</v>
      </c>
      <c r="I1751">
        <v>5034</v>
      </c>
      <c r="J1751">
        <v>3771</v>
      </c>
      <c r="K1751">
        <v>0</v>
      </c>
      <c r="L1751">
        <v>5</v>
      </c>
      <c r="M1751">
        <v>1182</v>
      </c>
      <c r="N1751">
        <v>34</v>
      </c>
      <c r="O1751">
        <v>76</v>
      </c>
    </row>
    <row r="1752" spans="1:15" x14ac:dyDescent="0.25">
      <c r="A1752" t="s">
        <v>933</v>
      </c>
      <c r="B1752" t="s">
        <v>2106</v>
      </c>
      <c r="C1752" t="s">
        <v>927</v>
      </c>
      <c r="D1752" t="s">
        <v>3052</v>
      </c>
      <c r="E1752" t="s">
        <v>3053</v>
      </c>
      <c r="F1752" t="s">
        <v>387</v>
      </c>
      <c r="G1752" t="s">
        <v>388</v>
      </c>
      <c r="H1752" t="s">
        <v>10027</v>
      </c>
      <c r="I1752">
        <v>150</v>
      </c>
      <c r="J1752">
        <v>98</v>
      </c>
      <c r="K1752">
        <v>0</v>
      </c>
      <c r="L1752">
        <v>0</v>
      </c>
      <c r="M1752">
        <v>0</v>
      </c>
      <c r="N1752">
        <v>0</v>
      </c>
      <c r="O1752">
        <v>52</v>
      </c>
    </row>
    <row r="1753" spans="1:15" x14ac:dyDescent="0.25">
      <c r="A1753" t="s">
        <v>9818</v>
      </c>
      <c r="B1753" t="s">
        <v>2621</v>
      </c>
      <c r="C1753" t="s">
        <v>923</v>
      </c>
      <c r="D1753" t="s">
        <v>3063</v>
      </c>
      <c r="E1753" t="s">
        <v>3053</v>
      </c>
      <c r="F1753" t="s">
        <v>387</v>
      </c>
      <c r="G1753" t="s">
        <v>388</v>
      </c>
      <c r="H1753" t="s">
        <v>10034</v>
      </c>
      <c r="I1753">
        <v>77</v>
      </c>
      <c r="J1753">
        <v>0</v>
      </c>
      <c r="K1753">
        <v>0</v>
      </c>
      <c r="L1753">
        <v>77</v>
      </c>
      <c r="M1753">
        <v>0</v>
      </c>
      <c r="N1753">
        <v>0</v>
      </c>
      <c r="O1753">
        <v>0</v>
      </c>
    </row>
    <row r="1754" spans="1:15" x14ac:dyDescent="0.25">
      <c r="A1754" t="s">
        <v>11660</v>
      </c>
      <c r="B1754" t="s">
        <v>2041</v>
      </c>
      <c r="C1754" t="s">
        <v>923</v>
      </c>
      <c r="D1754" t="s">
        <v>3063</v>
      </c>
      <c r="E1754" t="s">
        <v>3053</v>
      </c>
      <c r="F1754" t="s">
        <v>387</v>
      </c>
      <c r="G1754" t="s">
        <v>388</v>
      </c>
      <c r="H1754" t="s">
        <v>11936</v>
      </c>
      <c r="I1754">
        <v>8</v>
      </c>
      <c r="J1754">
        <v>0</v>
      </c>
      <c r="K1754">
        <v>0</v>
      </c>
      <c r="L1754">
        <v>8</v>
      </c>
      <c r="M1754">
        <v>0</v>
      </c>
      <c r="N1754">
        <v>0</v>
      </c>
      <c r="O1754">
        <v>0</v>
      </c>
    </row>
    <row r="1755" spans="1:15" x14ac:dyDescent="0.25">
      <c r="A1755" t="s">
        <v>1482</v>
      </c>
      <c r="B1755" t="s">
        <v>2322</v>
      </c>
      <c r="C1755" t="s">
        <v>923</v>
      </c>
      <c r="D1755" t="s">
        <v>3063</v>
      </c>
      <c r="E1755" t="s">
        <v>3053</v>
      </c>
      <c r="F1755" t="s">
        <v>387</v>
      </c>
      <c r="G1755" t="s">
        <v>388</v>
      </c>
      <c r="H1755" t="s">
        <v>4191</v>
      </c>
      <c r="I1755">
        <v>7</v>
      </c>
      <c r="J1755">
        <v>0</v>
      </c>
      <c r="K1755">
        <v>0</v>
      </c>
      <c r="L1755">
        <v>0</v>
      </c>
      <c r="M1755">
        <v>7</v>
      </c>
      <c r="N1755">
        <v>0</v>
      </c>
      <c r="O1755">
        <v>0</v>
      </c>
    </row>
    <row r="1756" spans="1:15" x14ac:dyDescent="0.25">
      <c r="A1756" t="s">
        <v>1006</v>
      </c>
      <c r="B1756" t="s">
        <v>2724</v>
      </c>
      <c r="C1756" t="s">
        <v>927</v>
      </c>
      <c r="D1756" t="s">
        <v>3052</v>
      </c>
      <c r="E1756" t="s">
        <v>3053</v>
      </c>
      <c r="F1756" t="s">
        <v>387</v>
      </c>
      <c r="G1756" t="s">
        <v>388</v>
      </c>
      <c r="H1756" t="s">
        <v>4192</v>
      </c>
      <c r="I1756">
        <v>947</v>
      </c>
      <c r="J1756">
        <v>710</v>
      </c>
      <c r="K1756">
        <v>0</v>
      </c>
      <c r="L1756">
        <v>0</v>
      </c>
      <c r="M1756">
        <v>0</v>
      </c>
      <c r="N1756">
        <v>0</v>
      </c>
      <c r="O1756">
        <v>237</v>
      </c>
    </row>
    <row r="1757" spans="1:15" x14ac:dyDescent="0.25">
      <c r="A1757" t="s">
        <v>1009</v>
      </c>
      <c r="B1757" t="s">
        <v>1958</v>
      </c>
      <c r="C1757" t="s">
        <v>923</v>
      </c>
      <c r="D1757" t="s">
        <v>3063</v>
      </c>
      <c r="E1757" t="s">
        <v>3053</v>
      </c>
      <c r="F1757" t="s">
        <v>387</v>
      </c>
      <c r="G1757" t="s">
        <v>388</v>
      </c>
      <c r="H1757" t="s">
        <v>10087</v>
      </c>
      <c r="I1757">
        <v>14</v>
      </c>
      <c r="J1757">
        <v>0</v>
      </c>
      <c r="K1757">
        <v>0</v>
      </c>
      <c r="L1757">
        <v>14</v>
      </c>
      <c r="M1757">
        <v>0</v>
      </c>
      <c r="N1757">
        <v>0</v>
      </c>
      <c r="O1757">
        <v>0</v>
      </c>
    </row>
    <row r="1758" spans="1:15" x14ac:dyDescent="0.25">
      <c r="A1758" t="s">
        <v>1487</v>
      </c>
      <c r="B1758" t="s">
        <v>2876</v>
      </c>
      <c r="C1758" t="s">
        <v>927</v>
      </c>
      <c r="D1758" t="s">
        <v>3052</v>
      </c>
      <c r="E1758" t="s">
        <v>3053</v>
      </c>
      <c r="F1758" t="s">
        <v>387</v>
      </c>
      <c r="G1758" t="s">
        <v>388</v>
      </c>
      <c r="H1758" t="s">
        <v>10089</v>
      </c>
      <c r="I1758">
        <v>123</v>
      </c>
      <c r="J1758">
        <v>58</v>
      </c>
      <c r="K1758">
        <v>0</v>
      </c>
      <c r="L1758">
        <v>0</v>
      </c>
      <c r="M1758">
        <v>0</v>
      </c>
      <c r="N1758">
        <v>0</v>
      </c>
      <c r="O1758">
        <v>65</v>
      </c>
    </row>
    <row r="1759" spans="1:15" x14ac:dyDescent="0.25">
      <c r="A1759" t="s">
        <v>937</v>
      </c>
      <c r="B1759" t="s">
        <v>1962</v>
      </c>
      <c r="C1759" t="s">
        <v>927</v>
      </c>
      <c r="D1759" t="s">
        <v>3052</v>
      </c>
      <c r="E1759" t="s">
        <v>3053</v>
      </c>
      <c r="F1759" t="s">
        <v>387</v>
      </c>
      <c r="G1759" t="s">
        <v>388</v>
      </c>
      <c r="H1759" t="s">
        <v>4193</v>
      </c>
      <c r="I1759">
        <v>188</v>
      </c>
      <c r="J1759">
        <v>0</v>
      </c>
      <c r="K1759">
        <v>0</v>
      </c>
      <c r="L1759">
        <v>0</v>
      </c>
      <c r="M1759">
        <v>0</v>
      </c>
      <c r="N1759">
        <v>0</v>
      </c>
      <c r="O1759">
        <v>188</v>
      </c>
    </row>
    <row r="1760" spans="1:15" x14ac:dyDescent="0.25">
      <c r="A1760" t="s">
        <v>1011</v>
      </c>
      <c r="B1760" t="s">
        <v>2020</v>
      </c>
      <c r="C1760" t="s">
        <v>927</v>
      </c>
      <c r="D1760" t="s">
        <v>3052</v>
      </c>
      <c r="E1760" t="s">
        <v>3053</v>
      </c>
      <c r="F1760" t="s">
        <v>387</v>
      </c>
      <c r="G1760" t="s">
        <v>388</v>
      </c>
      <c r="H1760" t="s">
        <v>4194</v>
      </c>
      <c r="I1760">
        <v>56</v>
      </c>
      <c r="J1760">
        <v>0</v>
      </c>
      <c r="K1760">
        <v>0</v>
      </c>
      <c r="L1760">
        <v>56</v>
      </c>
      <c r="M1760">
        <v>0</v>
      </c>
      <c r="N1760">
        <v>0</v>
      </c>
      <c r="O1760">
        <v>0</v>
      </c>
    </row>
    <row r="1761" spans="1:15" x14ac:dyDescent="0.25">
      <c r="A1761" t="s">
        <v>1493</v>
      </c>
      <c r="B1761" t="s">
        <v>2962</v>
      </c>
      <c r="C1761" t="s">
        <v>927</v>
      </c>
      <c r="D1761" t="s">
        <v>3052</v>
      </c>
      <c r="E1761" t="s">
        <v>3053</v>
      </c>
      <c r="F1761" t="s">
        <v>387</v>
      </c>
      <c r="G1761" t="s">
        <v>388</v>
      </c>
      <c r="H1761" t="s">
        <v>4195</v>
      </c>
      <c r="I1761">
        <v>101</v>
      </c>
      <c r="J1761">
        <v>54</v>
      </c>
      <c r="K1761">
        <v>0</v>
      </c>
      <c r="L1761">
        <v>0</v>
      </c>
      <c r="M1761">
        <v>0</v>
      </c>
      <c r="N1761">
        <v>0</v>
      </c>
      <c r="O1761">
        <v>47</v>
      </c>
    </row>
    <row r="1762" spans="1:15" x14ac:dyDescent="0.25">
      <c r="A1762" t="s">
        <v>1013</v>
      </c>
      <c r="B1762" t="s">
        <v>1959</v>
      </c>
      <c r="C1762" t="s">
        <v>927</v>
      </c>
      <c r="D1762" t="s">
        <v>3052</v>
      </c>
      <c r="E1762" t="s">
        <v>3053</v>
      </c>
      <c r="F1762" t="s">
        <v>387</v>
      </c>
      <c r="G1762" t="s">
        <v>388</v>
      </c>
      <c r="H1762" t="s">
        <v>4196</v>
      </c>
      <c r="I1762">
        <v>50</v>
      </c>
      <c r="J1762">
        <v>0</v>
      </c>
      <c r="K1762">
        <v>0</v>
      </c>
      <c r="L1762">
        <v>50</v>
      </c>
      <c r="M1762">
        <v>0</v>
      </c>
      <c r="N1762">
        <v>0</v>
      </c>
      <c r="O1762">
        <v>0</v>
      </c>
    </row>
    <row r="1763" spans="1:15" x14ac:dyDescent="0.25">
      <c r="A1763" t="s">
        <v>9819</v>
      </c>
      <c r="B1763" t="s">
        <v>2916</v>
      </c>
      <c r="C1763" t="s">
        <v>927</v>
      </c>
      <c r="D1763" t="s">
        <v>3052</v>
      </c>
      <c r="E1763" t="s">
        <v>3053</v>
      </c>
      <c r="F1763" t="s">
        <v>387</v>
      </c>
      <c r="G1763" t="s">
        <v>388</v>
      </c>
      <c r="H1763" t="s">
        <v>10135</v>
      </c>
      <c r="I1763">
        <v>335</v>
      </c>
      <c r="J1763">
        <v>297</v>
      </c>
      <c r="K1763">
        <v>0</v>
      </c>
      <c r="L1763">
        <v>0</v>
      </c>
      <c r="M1763">
        <v>7</v>
      </c>
      <c r="N1763">
        <v>0</v>
      </c>
      <c r="O1763">
        <v>31</v>
      </c>
    </row>
    <row r="1764" spans="1:15" x14ac:dyDescent="0.25">
      <c r="A1764" t="s">
        <v>10667</v>
      </c>
      <c r="B1764" t="s">
        <v>10666</v>
      </c>
      <c r="C1764" t="s">
        <v>927</v>
      </c>
      <c r="D1764" t="s">
        <v>3052</v>
      </c>
      <c r="E1764" t="s">
        <v>3053</v>
      </c>
      <c r="F1764" t="s">
        <v>387</v>
      </c>
      <c r="G1764" t="s">
        <v>388</v>
      </c>
      <c r="H1764" t="s">
        <v>10931</v>
      </c>
      <c r="I1764">
        <v>6</v>
      </c>
      <c r="J1764">
        <v>6</v>
      </c>
      <c r="K1764">
        <v>0</v>
      </c>
      <c r="L1764">
        <v>0</v>
      </c>
      <c r="M1764">
        <v>0</v>
      </c>
      <c r="N1764">
        <v>0</v>
      </c>
      <c r="O1764">
        <v>0</v>
      </c>
    </row>
    <row r="1765" spans="1:15" x14ac:dyDescent="0.25">
      <c r="A1765" t="s">
        <v>1126</v>
      </c>
      <c r="B1765" t="s">
        <v>2130</v>
      </c>
      <c r="C1765" t="s">
        <v>927</v>
      </c>
      <c r="D1765" t="s">
        <v>3052</v>
      </c>
      <c r="E1765" t="s">
        <v>3053</v>
      </c>
      <c r="F1765" t="s">
        <v>387</v>
      </c>
      <c r="G1765" t="s">
        <v>388</v>
      </c>
      <c r="H1765" t="s">
        <v>10160</v>
      </c>
      <c r="I1765">
        <v>3</v>
      </c>
      <c r="J1765">
        <v>0</v>
      </c>
      <c r="K1765">
        <v>0</v>
      </c>
      <c r="L1765">
        <v>0</v>
      </c>
      <c r="M1765">
        <v>0</v>
      </c>
      <c r="N1765">
        <v>0</v>
      </c>
      <c r="O1765">
        <v>3</v>
      </c>
    </row>
    <row r="1766" spans="1:15" x14ac:dyDescent="0.25">
      <c r="A1766" t="s">
        <v>1025</v>
      </c>
      <c r="B1766" t="s">
        <v>2893</v>
      </c>
      <c r="C1766" t="s">
        <v>927</v>
      </c>
      <c r="D1766" t="s">
        <v>3052</v>
      </c>
      <c r="E1766" t="s">
        <v>3053</v>
      </c>
      <c r="F1766" t="s">
        <v>387</v>
      </c>
      <c r="G1766" t="s">
        <v>388</v>
      </c>
      <c r="H1766" t="s">
        <v>11937</v>
      </c>
      <c r="I1766">
        <v>120</v>
      </c>
      <c r="J1766">
        <v>81</v>
      </c>
      <c r="K1766">
        <v>0</v>
      </c>
      <c r="L1766">
        <v>0</v>
      </c>
      <c r="M1766">
        <v>0</v>
      </c>
      <c r="N1766">
        <v>0</v>
      </c>
      <c r="O1766">
        <v>39</v>
      </c>
    </row>
    <row r="1767" spans="1:15" x14ac:dyDescent="0.25">
      <c r="A1767" t="s">
        <v>10681</v>
      </c>
      <c r="B1767" t="s">
        <v>10680</v>
      </c>
      <c r="C1767" t="s">
        <v>927</v>
      </c>
      <c r="D1767" t="s">
        <v>3052</v>
      </c>
      <c r="E1767" t="s">
        <v>3053</v>
      </c>
      <c r="F1767" t="s">
        <v>387</v>
      </c>
      <c r="G1767" t="s">
        <v>388</v>
      </c>
      <c r="H1767" t="s">
        <v>14583</v>
      </c>
      <c r="I1767">
        <v>27</v>
      </c>
      <c r="J1767">
        <v>0</v>
      </c>
      <c r="K1767">
        <v>0</v>
      </c>
      <c r="L1767">
        <v>0</v>
      </c>
      <c r="M1767">
        <v>0</v>
      </c>
      <c r="N1767">
        <v>0</v>
      </c>
      <c r="O1767">
        <v>27</v>
      </c>
    </row>
    <row r="1768" spans="1:15" x14ac:dyDescent="0.25">
      <c r="A1768" t="s">
        <v>1512</v>
      </c>
      <c r="B1768" t="s">
        <v>2869</v>
      </c>
      <c r="C1768" t="s">
        <v>927</v>
      </c>
      <c r="D1768" t="s">
        <v>3052</v>
      </c>
      <c r="E1768" t="s">
        <v>3053</v>
      </c>
      <c r="F1768" t="s">
        <v>387</v>
      </c>
      <c r="G1768" t="s">
        <v>388</v>
      </c>
      <c r="H1768" t="s">
        <v>4198</v>
      </c>
      <c r="I1768">
        <v>92</v>
      </c>
      <c r="J1768">
        <v>61</v>
      </c>
      <c r="K1768">
        <v>0</v>
      </c>
      <c r="L1768">
        <v>0</v>
      </c>
      <c r="M1768">
        <v>2</v>
      </c>
      <c r="N1768">
        <v>0</v>
      </c>
      <c r="O1768">
        <v>29</v>
      </c>
    </row>
    <row r="1769" spans="1:15" x14ac:dyDescent="0.25">
      <c r="A1769" t="s">
        <v>1516</v>
      </c>
      <c r="B1769" t="s">
        <v>2098</v>
      </c>
      <c r="C1769" t="s">
        <v>927</v>
      </c>
      <c r="D1769" t="s">
        <v>3052</v>
      </c>
      <c r="E1769" t="s">
        <v>3053</v>
      </c>
      <c r="F1769" t="s">
        <v>387</v>
      </c>
      <c r="G1769" t="s">
        <v>388</v>
      </c>
      <c r="H1769" t="s">
        <v>4199</v>
      </c>
      <c r="I1769">
        <v>17</v>
      </c>
      <c r="J1769">
        <v>8</v>
      </c>
      <c r="K1769">
        <v>0</v>
      </c>
      <c r="L1769">
        <v>0</v>
      </c>
      <c r="M1769">
        <v>0</v>
      </c>
      <c r="N1769">
        <v>0</v>
      </c>
      <c r="O1769">
        <v>9</v>
      </c>
    </row>
    <row r="1770" spans="1:15" x14ac:dyDescent="0.25">
      <c r="A1770" t="s">
        <v>1031</v>
      </c>
      <c r="B1770" t="s">
        <v>2779</v>
      </c>
      <c r="C1770" t="s">
        <v>927</v>
      </c>
      <c r="D1770" t="s">
        <v>3052</v>
      </c>
      <c r="E1770" t="s">
        <v>3053</v>
      </c>
      <c r="F1770" t="s">
        <v>387</v>
      </c>
      <c r="G1770" t="s">
        <v>388</v>
      </c>
      <c r="H1770" t="s">
        <v>4200</v>
      </c>
      <c r="I1770">
        <v>462</v>
      </c>
      <c r="J1770">
        <v>400</v>
      </c>
      <c r="K1770">
        <v>0</v>
      </c>
      <c r="L1770">
        <v>23</v>
      </c>
      <c r="M1770">
        <v>0</v>
      </c>
      <c r="N1770">
        <v>28</v>
      </c>
      <c r="O1770">
        <v>39</v>
      </c>
    </row>
    <row r="1771" spans="1:15" x14ac:dyDescent="0.25">
      <c r="A1771" t="s">
        <v>1520</v>
      </c>
      <c r="B1771" t="s">
        <v>2058</v>
      </c>
      <c r="C1771" t="s">
        <v>927</v>
      </c>
      <c r="D1771" t="s">
        <v>3052</v>
      </c>
      <c r="E1771" t="s">
        <v>3053</v>
      </c>
      <c r="F1771" t="s">
        <v>387</v>
      </c>
      <c r="G1771" t="s">
        <v>388</v>
      </c>
      <c r="H1771" t="s">
        <v>4201</v>
      </c>
      <c r="I1771">
        <v>141</v>
      </c>
      <c r="J1771">
        <v>104</v>
      </c>
      <c r="K1771">
        <v>0</v>
      </c>
      <c r="L1771">
        <v>0</v>
      </c>
      <c r="M1771">
        <v>0</v>
      </c>
      <c r="N1771">
        <v>0</v>
      </c>
      <c r="O1771">
        <v>37</v>
      </c>
    </row>
    <row r="1772" spans="1:15" x14ac:dyDescent="0.25">
      <c r="A1772" t="s">
        <v>1521</v>
      </c>
      <c r="B1772" t="s">
        <v>2920</v>
      </c>
      <c r="C1772" t="s">
        <v>927</v>
      </c>
      <c r="D1772" t="s">
        <v>3052</v>
      </c>
      <c r="E1772" t="s">
        <v>3053</v>
      </c>
      <c r="F1772" t="s">
        <v>387</v>
      </c>
      <c r="G1772" t="s">
        <v>388</v>
      </c>
      <c r="H1772" t="s">
        <v>4202</v>
      </c>
      <c r="I1772">
        <v>1063</v>
      </c>
      <c r="J1772">
        <v>709</v>
      </c>
      <c r="K1772">
        <v>0</v>
      </c>
      <c r="L1772">
        <v>232</v>
      </c>
      <c r="M1772">
        <v>43</v>
      </c>
      <c r="N1772">
        <v>0</v>
      </c>
      <c r="O1772">
        <v>79</v>
      </c>
    </row>
    <row r="1773" spans="1:15" x14ac:dyDescent="0.25">
      <c r="A1773" t="s">
        <v>1046</v>
      </c>
      <c r="B1773" t="s">
        <v>2027</v>
      </c>
      <c r="C1773" t="s">
        <v>923</v>
      </c>
      <c r="D1773" t="s">
        <v>3063</v>
      </c>
      <c r="E1773" t="s">
        <v>3053</v>
      </c>
      <c r="F1773" t="s">
        <v>387</v>
      </c>
      <c r="G1773" t="s">
        <v>388</v>
      </c>
      <c r="H1773" t="s">
        <v>4203</v>
      </c>
      <c r="I1773">
        <v>2</v>
      </c>
      <c r="J1773">
        <v>0</v>
      </c>
      <c r="K1773">
        <v>0</v>
      </c>
      <c r="L1773">
        <v>2</v>
      </c>
      <c r="M1773">
        <v>0</v>
      </c>
      <c r="N1773">
        <v>0</v>
      </c>
      <c r="O1773">
        <v>0</v>
      </c>
    </row>
    <row r="1774" spans="1:15" x14ac:dyDescent="0.25">
      <c r="A1774" t="s">
        <v>951</v>
      </c>
      <c r="B1774" t="s">
        <v>2680</v>
      </c>
      <c r="C1774" t="s">
        <v>927</v>
      </c>
      <c r="D1774" t="s">
        <v>3052</v>
      </c>
      <c r="E1774" t="s">
        <v>3053</v>
      </c>
      <c r="F1774" t="s">
        <v>387</v>
      </c>
      <c r="G1774" t="s">
        <v>388</v>
      </c>
      <c r="H1774" t="s">
        <v>4204</v>
      </c>
      <c r="I1774">
        <v>272</v>
      </c>
      <c r="J1774">
        <v>164</v>
      </c>
      <c r="K1774">
        <v>0</v>
      </c>
      <c r="L1774">
        <v>0</v>
      </c>
      <c r="M1774">
        <v>72</v>
      </c>
      <c r="N1774">
        <v>0</v>
      </c>
      <c r="O1774">
        <v>36</v>
      </c>
    </row>
    <row r="1775" spans="1:15" x14ac:dyDescent="0.25">
      <c r="A1775" t="s">
        <v>1048</v>
      </c>
      <c r="B1775" t="s">
        <v>2989</v>
      </c>
      <c r="C1775" t="s">
        <v>927</v>
      </c>
      <c r="D1775" t="s">
        <v>3052</v>
      </c>
      <c r="E1775" t="s">
        <v>3053</v>
      </c>
      <c r="F1775" t="s">
        <v>387</v>
      </c>
      <c r="G1775" t="s">
        <v>388</v>
      </c>
      <c r="H1775" t="s">
        <v>4205</v>
      </c>
      <c r="I1775">
        <v>29</v>
      </c>
      <c r="J1775">
        <v>0</v>
      </c>
      <c r="K1775">
        <v>0</v>
      </c>
      <c r="L1775">
        <v>29</v>
      </c>
      <c r="M1775">
        <v>0</v>
      </c>
      <c r="N1775">
        <v>0</v>
      </c>
      <c r="O1775">
        <v>0</v>
      </c>
    </row>
    <row r="1776" spans="1:15" x14ac:dyDescent="0.25">
      <c r="A1776" t="s">
        <v>1049</v>
      </c>
      <c r="B1776" t="s">
        <v>2138</v>
      </c>
      <c r="C1776" t="s">
        <v>927</v>
      </c>
      <c r="D1776" t="s">
        <v>3052</v>
      </c>
      <c r="E1776" t="s">
        <v>3053</v>
      </c>
      <c r="F1776" t="s">
        <v>387</v>
      </c>
      <c r="G1776" t="s">
        <v>388</v>
      </c>
      <c r="H1776" t="s">
        <v>11938</v>
      </c>
      <c r="I1776">
        <v>11</v>
      </c>
      <c r="J1776">
        <v>0</v>
      </c>
      <c r="K1776">
        <v>0</v>
      </c>
      <c r="L1776">
        <v>0</v>
      </c>
      <c r="M1776">
        <v>0</v>
      </c>
      <c r="N1776">
        <v>0</v>
      </c>
      <c r="O1776">
        <v>11</v>
      </c>
    </row>
    <row r="1777" spans="1:15" x14ac:dyDescent="0.25">
      <c r="A1777" t="s">
        <v>1050</v>
      </c>
      <c r="B1777" t="s">
        <v>2018</v>
      </c>
      <c r="C1777" t="s">
        <v>923</v>
      </c>
      <c r="D1777" t="s">
        <v>3063</v>
      </c>
      <c r="E1777" t="s">
        <v>3053</v>
      </c>
      <c r="F1777" t="s">
        <v>387</v>
      </c>
      <c r="G1777" t="s">
        <v>388</v>
      </c>
      <c r="H1777" t="s">
        <v>4206</v>
      </c>
      <c r="I1777">
        <v>5</v>
      </c>
      <c r="J1777">
        <v>5</v>
      </c>
      <c r="K1777">
        <v>0</v>
      </c>
      <c r="L1777">
        <v>0</v>
      </c>
      <c r="M1777">
        <v>0</v>
      </c>
      <c r="N1777">
        <v>0</v>
      </c>
      <c r="O1777">
        <v>0</v>
      </c>
    </row>
    <row r="1778" spans="1:15" x14ac:dyDescent="0.25">
      <c r="A1778" t="s">
        <v>1525</v>
      </c>
      <c r="B1778" t="s">
        <v>2908</v>
      </c>
      <c r="C1778" t="s">
        <v>927</v>
      </c>
      <c r="D1778" t="s">
        <v>3052</v>
      </c>
      <c r="E1778" t="s">
        <v>3053</v>
      </c>
      <c r="F1778" t="s">
        <v>387</v>
      </c>
      <c r="G1778" t="s">
        <v>388</v>
      </c>
      <c r="H1778" t="s">
        <v>4207</v>
      </c>
      <c r="I1778">
        <v>4598</v>
      </c>
      <c r="J1778">
        <v>4063</v>
      </c>
      <c r="K1778">
        <v>0</v>
      </c>
      <c r="L1778">
        <v>119</v>
      </c>
      <c r="M1778">
        <v>82</v>
      </c>
      <c r="N1778">
        <v>0</v>
      </c>
      <c r="O1778">
        <v>334</v>
      </c>
    </row>
    <row r="1779" spans="1:15" x14ac:dyDescent="0.25">
      <c r="A1779" t="s">
        <v>1051</v>
      </c>
      <c r="B1779" t="s">
        <v>2995</v>
      </c>
      <c r="C1779" t="s">
        <v>927</v>
      </c>
      <c r="D1779" t="s">
        <v>3052</v>
      </c>
      <c r="E1779" t="s">
        <v>3053</v>
      </c>
      <c r="F1779" t="s">
        <v>387</v>
      </c>
      <c r="G1779" t="s">
        <v>388</v>
      </c>
      <c r="H1779" t="s">
        <v>10319</v>
      </c>
      <c r="I1779">
        <v>4</v>
      </c>
      <c r="J1779">
        <v>0</v>
      </c>
      <c r="K1779">
        <v>0</v>
      </c>
      <c r="L1779">
        <v>4</v>
      </c>
      <c r="M1779">
        <v>0</v>
      </c>
      <c r="N1779">
        <v>0</v>
      </c>
      <c r="O1779">
        <v>0</v>
      </c>
    </row>
    <row r="1780" spans="1:15" x14ac:dyDescent="0.25">
      <c r="A1780" t="s">
        <v>1529</v>
      </c>
      <c r="B1780" t="s">
        <v>1954</v>
      </c>
      <c r="C1780" t="s">
        <v>927</v>
      </c>
      <c r="D1780" t="s">
        <v>3052</v>
      </c>
      <c r="E1780" t="s">
        <v>3053</v>
      </c>
      <c r="F1780" t="s">
        <v>387</v>
      </c>
      <c r="G1780" t="s">
        <v>388</v>
      </c>
      <c r="H1780" t="s">
        <v>4208</v>
      </c>
      <c r="I1780">
        <v>926</v>
      </c>
      <c r="J1780">
        <v>820</v>
      </c>
      <c r="K1780">
        <v>0</v>
      </c>
      <c r="L1780">
        <v>37</v>
      </c>
      <c r="M1780">
        <v>21</v>
      </c>
      <c r="N1780">
        <v>1</v>
      </c>
      <c r="O1780">
        <v>48</v>
      </c>
    </row>
    <row r="1781" spans="1:15" x14ac:dyDescent="0.25">
      <c r="A1781" t="s">
        <v>953</v>
      </c>
      <c r="B1781" t="s">
        <v>2014</v>
      </c>
      <c r="C1781" t="s">
        <v>927</v>
      </c>
      <c r="D1781" t="s">
        <v>3052</v>
      </c>
      <c r="E1781" t="s">
        <v>3053</v>
      </c>
      <c r="F1781" t="s">
        <v>387</v>
      </c>
      <c r="G1781" t="s">
        <v>388</v>
      </c>
      <c r="H1781" t="s">
        <v>4209</v>
      </c>
      <c r="I1781">
        <v>5</v>
      </c>
      <c r="J1781">
        <v>0</v>
      </c>
      <c r="K1781">
        <v>0</v>
      </c>
      <c r="L1781">
        <v>5</v>
      </c>
      <c r="M1781">
        <v>0</v>
      </c>
      <c r="N1781">
        <v>0</v>
      </c>
      <c r="O1781">
        <v>0</v>
      </c>
    </row>
    <row r="1782" spans="1:15" x14ac:dyDescent="0.25">
      <c r="A1782" t="s">
        <v>11720</v>
      </c>
      <c r="B1782" t="s">
        <v>10718</v>
      </c>
      <c r="C1782" t="s">
        <v>927</v>
      </c>
      <c r="D1782" t="s">
        <v>3052</v>
      </c>
      <c r="E1782" t="s">
        <v>3053</v>
      </c>
      <c r="F1782" t="s">
        <v>387</v>
      </c>
      <c r="G1782" t="s">
        <v>388</v>
      </c>
      <c r="H1782" t="s">
        <v>14584</v>
      </c>
      <c r="I1782">
        <v>64</v>
      </c>
      <c r="J1782">
        <v>24</v>
      </c>
      <c r="K1782">
        <v>0</v>
      </c>
      <c r="L1782">
        <v>0</v>
      </c>
      <c r="M1782">
        <v>0</v>
      </c>
      <c r="N1782">
        <v>0</v>
      </c>
      <c r="O1782">
        <v>40</v>
      </c>
    </row>
    <row r="1783" spans="1:15" x14ac:dyDescent="0.25">
      <c r="A1783" t="s">
        <v>9788</v>
      </c>
      <c r="B1783" t="s">
        <v>9871</v>
      </c>
      <c r="C1783" t="s">
        <v>927</v>
      </c>
      <c r="D1783" t="s">
        <v>3052</v>
      </c>
      <c r="E1783" t="s">
        <v>3053</v>
      </c>
      <c r="F1783" t="s">
        <v>387</v>
      </c>
      <c r="G1783" t="s">
        <v>388</v>
      </c>
      <c r="H1783" t="s">
        <v>10340</v>
      </c>
      <c r="I1783">
        <v>131</v>
      </c>
      <c r="J1783">
        <v>131</v>
      </c>
      <c r="K1783">
        <v>0</v>
      </c>
      <c r="L1783">
        <v>0</v>
      </c>
      <c r="M1783">
        <v>0</v>
      </c>
      <c r="N1783">
        <v>0</v>
      </c>
      <c r="O1783">
        <v>0</v>
      </c>
    </row>
    <row r="1784" spans="1:15" x14ac:dyDescent="0.25">
      <c r="A1784" t="s">
        <v>1057</v>
      </c>
      <c r="B1784" t="s">
        <v>1972</v>
      </c>
      <c r="C1784" t="s">
        <v>927</v>
      </c>
      <c r="D1784" t="s">
        <v>3052</v>
      </c>
      <c r="E1784" t="s">
        <v>3053</v>
      </c>
      <c r="F1784" t="s">
        <v>387</v>
      </c>
      <c r="G1784" t="s">
        <v>388</v>
      </c>
      <c r="H1784" t="s">
        <v>10396</v>
      </c>
      <c r="I1784">
        <v>13</v>
      </c>
      <c r="J1784">
        <v>0</v>
      </c>
      <c r="K1784">
        <v>0</v>
      </c>
      <c r="L1784">
        <v>13</v>
      </c>
      <c r="M1784">
        <v>0</v>
      </c>
      <c r="N1784">
        <v>0</v>
      </c>
      <c r="O1784">
        <v>0</v>
      </c>
    </row>
    <row r="1785" spans="1:15" x14ac:dyDescent="0.25">
      <c r="A1785" t="s">
        <v>955</v>
      </c>
      <c r="B1785" t="s">
        <v>2660</v>
      </c>
      <c r="C1785" t="s">
        <v>927</v>
      </c>
      <c r="D1785" t="s">
        <v>3052</v>
      </c>
      <c r="E1785" t="s">
        <v>3053</v>
      </c>
      <c r="F1785" t="s">
        <v>387</v>
      </c>
      <c r="G1785" t="s">
        <v>388</v>
      </c>
      <c r="H1785" t="s">
        <v>4210</v>
      </c>
      <c r="I1785">
        <v>331</v>
      </c>
      <c r="J1785">
        <v>214</v>
      </c>
      <c r="K1785">
        <v>0</v>
      </c>
      <c r="L1785">
        <v>15</v>
      </c>
      <c r="M1785">
        <v>66</v>
      </c>
      <c r="N1785">
        <v>0</v>
      </c>
      <c r="O1785">
        <v>36</v>
      </c>
    </row>
    <row r="1786" spans="1:15" x14ac:dyDescent="0.25">
      <c r="A1786" t="s">
        <v>14394</v>
      </c>
      <c r="B1786" t="s">
        <v>14585</v>
      </c>
      <c r="C1786" t="s">
        <v>923</v>
      </c>
      <c r="D1786" t="s">
        <v>3063</v>
      </c>
      <c r="E1786" t="s">
        <v>3053</v>
      </c>
      <c r="F1786" t="s">
        <v>387</v>
      </c>
      <c r="G1786" t="s">
        <v>388</v>
      </c>
      <c r="H1786" t="s">
        <v>14586</v>
      </c>
      <c r="I1786">
        <v>29</v>
      </c>
      <c r="J1786">
        <v>0</v>
      </c>
      <c r="K1786">
        <v>0</v>
      </c>
      <c r="L1786">
        <v>0</v>
      </c>
      <c r="M1786">
        <v>29</v>
      </c>
      <c r="N1786">
        <v>0</v>
      </c>
      <c r="O1786">
        <v>0</v>
      </c>
    </row>
    <row r="1787" spans="1:15" x14ac:dyDescent="0.25">
      <c r="A1787" t="s">
        <v>1541</v>
      </c>
      <c r="B1787" t="s">
        <v>2890</v>
      </c>
      <c r="C1787" t="s">
        <v>927</v>
      </c>
      <c r="D1787" t="s">
        <v>3052</v>
      </c>
      <c r="E1787" t="s">
        <v>3053</v>
      </c>
      <c r="F1787" t="s">
        <v>387</v>
      </c>
      <c r="G1787" t="s">
        <v>388</v>
      </c>
      <c r="H1787" t="s">
        <v>4211</v>
      </c>
      <c r="I1787">
        <v>87</v>
      </c>
      <c r="J1787">
        <v>45</v>
      </c>
      <c r="K1787">
        <v>0</v>
      </c>
      <c r="L1787">
        <v>0</v>
      </c>
      <c r="M1787">
        <v>0</v>
      </c>
      <c r="N1787">
        <v>0</v>
      </c>
      <c r="O1787">
        <v>42</v>
      </c>
    </row>
    <row r="1788" spans="1:15" x14ac:dyDescent="0.25">
      <c r="A1788" t="s">
        <v>14374</v>
      </c>
      <c r="B1788" t="s">
        <v>1943</v>
      </c>
      <c r="C1788" t="s">
        <v>927</v>
      </c>
      <c r="D1788" t="s">
        <v>3052</v>
      </c>
      <c r="E1788" t="s">
        <v>3053</v>
      </c>
      <c r="F1788" t="s">
        <v>387</v>
      </c>
      <c r="G1788" t="s">
        <v>388</v>
      </c>
      <c r="H1788" t="s">
        <v>14587</v>
      </c>
      <c r="I1788">
        <v>148</v>
      </c>
      <c r="J1788">
        <v>0</v>
      </c>
      <c r="K1788">
        <v>0</v>
      </c>
      <c r="L1788">
        <v>0</v>
      </c>
      <c r="M1788">
        <v>0</v>
      </c>
      <c r="N1788">
        <v>0</v>
      </c>
      <c r="O1788">
        <v>148</v>
      </c>
    </row>
    <row r="1789" spans="1:15" x14ac:dyDescent="0.25">
      <c r="A1789" t="s">
        <v>10734</v>
      </c>
      <c r="B1789" t="s">
        <v>2317</v>
      </c>
      <c r="C1789" t="s">
        <v>923</v>
      </c>
      <c r="D1789" t="s">
        <v>3063</v>
      </c>
      <c r="E1789" t="s">
        <v>3053</v>
      </c>
      <c r="F1789" t="s">
        <v>387</v>
      </c>
      <c r="G1789" t="s">
        <v>388</v>
      </c>
      <c r="H1789" t="s">
        <v>10932</v>
      </c>
      <c r="I1789">
        <v>12</v>
      </c>
      <c r="J1789">
        <v>0</v>
      </c>
      <c r="K1789">
        <v>0</v>
      </c>
      <c r="L1789">
        <v>0</v>
      </c>
      <c r="M1789">
        <v>12</v>
      </c>
      <c r="N1789">
        <v>0</v>
      </c>
      <c r="O1789">
        <v>0</v>
      </c>
    </row>
    <row r="1790" spans="1:15" x14ac:dyDescent="0.25">
      <c r="A1790" t="s">
        <v>10810</v>
      </c>
      <c r="B1790" t="s">
        <v>2015</v>
      </c>
      <c r="C1790" t="s">
        <v>923</v>
      </c>
      <c r="D1790" t="s">
        <v>3063</v>
      </c>
      <c r="E1790" t="s">
        <v>3053</v>
      </c>
      <c r="F1790" t="s">
        <v>387</v>
      </c>
      <c r="G1790" t="s">
        <v>388</v>
      </c>
      <c r="H1790" t="s">
        <v>10933</v>
      </c>
      <c r="I1790">
        <v>20</v>
      </c>
      <c r="J1790">
        <v>0</v>
      </c>
      <c r="K1790">
        <v>0</v>
      </c>
      <c r="L1790">
        <v>20</v>
      </c>
      <c r="M1790">
        <v>0</v>
      </c>
      <c r="N1790">
        <v>0</v>
      </c>
      <c r="O1790">
        <v>0</v>
      </c>
    </row>
    <row r="1791" spans="1:15" x14ac:dyDescent="0.25">
      <c r="A1791" t="s">
        <v>1069</v>
      </c>
      <c r="B1791" t="s">
        <v>2001</v>
      </c>
      <c r="C1791" t="s">
        <v>927</v>
      </c>
      <c r="D1791" t="s">
        <v>3052</v>
      </c>
      <c r="E1791" t="s">
        <v>3053</v>
      </c>
      <c r="F1791" t="s">
        <v>387</v>
      </c>
      <c r="G1791" t="s">
        <v>388</v>
      </c>
      <c r="H1791" t="s">
        <v>4212</v>
      </c>
      <c r="I1791">
        <v>5499</v>
      </c>
      <c r="J1791">
        <v>4415</v>
      </c>
      <c r="K1791">
        <v>0</v>
      </c>
      <c r="L1791">
        <v>26</v>
      </c>
      <c r="M1791">
        <v>960</v>
      </c>
      <c r="N1791">
        <v>3</v>
      </c>
      <c r="O1791">
        <v>98</v>
      </c>
    </row>
    <row r="1792" spans="1:15" x14ac:dyDescent="0.25">
      <c r="A1792" t="s">
        <v>1551</v>
      </c>
      <c r="B1792" t="s">
        <v>2309</v>
      </c>
      <c r="C1792" t="s">
        <v>923</v>
      </c>
      <c r="D1792" t="s">
        <v>3063</v>
      </c>
      <c r="E1792" t="s">
        <v>3053</v>
      </c>
      <c r="F1792" t="s">
        <v>387</v>
      </c>
      <c r="G1792" t="s">
        <v>388</v>
      </c>
      <c r="H1792" t="s">
        <v>4213</v>
      </c>
      <c r="I1792">
        <v>6</v>
      </c>
      <c r="J1792">
        <v>0</v>
      </c>
      <c r="K1792">
        <v>0</v>
      </c>
      <c r="L1792">
        <v>0</v>
      </c>
      <c r="M1792">
        <v>6</v>
      </c>
      <c r="N1792">
        <v>0</v>
      </c>
      <c r="O1792">
        <v>0</v>
      </c>
    </row>
    <row r="1793" spans="1:15" x14ac:dyDescent="0.25">
      <c r="A1793" t="s">
        <v>1072</v>
      </c>
      <c r="B1793" t="s">
        <v>2907</v>
      </c>
      <c r="C1793" t="s">
        <v>927</v>
      </c>
      <c r="D1793" t="s">
        <v>3052</v>
      </c>
      <c r="E1793" t="s">
        <v>3053</v>
      </c>
      <c r="F1793" t="s">
        <v>387</v>
      </c>
      <c r="G1793" t="s">
        <v>388</v>
      </c>
      <c r="H1793" t="s">
        <v>4214</v>
      </c>
      <c r="I1793">
        <v>590</v>
      </c>
      <c r="J1793">
        <v>540</v>
      </c>
      <c r="K1793">
        <v>0</v>
      </c>
      <c r="L1793">
        <v>3</v>
      </c>
      <c r="M1793">
        <v>0</v>
      </c>
      <c r="N1793">
        <v>1</v>
      </c>
      <c r="O1793">
        <v>47</v>
      </c>
    </row>
    <row r="1794" spans="1:15" x14ac:dyDescent="0.25">
      <c r="A1794" t="s">
        <v>1553</v>
      </c>
      <c r="B1794" t="s">
        <v>2132</v>
      </c>
      <c r="C1794" t="s">
        <v>927</v>
      </c>
      <c r="D1794" t="s">
        <v>3052</v>
      </c>
      <c r="E1794" t="s">
        <v>3053</v>
      </c>
      <c r="F1794" t="s">
        <v>387</v>
      </c>
      <c r="G1794" t="s">
        <v>388</v>
      </c>
      <c r="H1794" t="s">
        <v>4215</v>
      </c>
      <c r="I1794">
        <v>155</v>
      </c>
      <c r="J1794">
        <v>126</v>
      </c>
      <c r="K1794">
        <v>0</v>
      </c>
      <c r="L1794">
        <v>0</v>
      </c>
      <c r="M1794">
        <v>0</v>
      </c>
      <c r="N1794">
        <v>0</v>
      </c>
      <c r="O1794">
        <v>29</v>
      </c>
    </row>
    <row r="1795" spans="1:15" x14ac:dyDescent="0.25">
      <c r="A1795" t="s">
        <v>1557</v>
      </c>
      <c r="B1795" t="s">
        <v>2857</v>
      </c>
      <c r="C1795" t="s">
        <v>927</v>
      </c>
      <c r="D1795" t="s">
        <v>3052</v>
      </c>
      <c r="E1795" t="s">
        <v>3053</v>
      </c>
      <c r="F1795" t="s">
        <v>387</v>
      </c>
      <c r="G1795" t="s">
        <v>388</v>
      </c>
      <c r="H1795" t="s">
        <v>4216</v>
      </c>
      <c r="I1795">
        <v>172</v>
      </c>
      <c r="J1795">
        <v>142</v>
      </c>
      <c r="K1795">
        <v>0</v>
      </c>
      <c r="L1795">
        <v>0</v>
      </c>
      <c r="M1795">
        <v>0</v>
      </c>
      <c r="N1795">
        <v>0</v>
      </c>
      <c r="O1795">
        <v>30</v>
      </c>
    </row>
    <row r="1796" spans="1:15" x14ac:dyDescent="0.25">
      <c r="A1796" t="s">
        <v>1080</v>
      </c>
      <c r="B1796" t="s">
        <v>2030</v>
      </c>
      <c r="C1796" t="s">
        <v>923</v>
      </c>
      <c r="D1796" t="s">
        <v>3063</v>
      </c>
      <c r="E1796" t="s">
        <v>3053</v>
      </c>
      <c r="F1796" t="s">
        <v>387</v>
      </c>
      <c r="G1796" t="s">
        <v>388</v>
      </c>
      <c r="H1796" t="s">
        <v>4217</v>
      </c>
      <c r="I1796">
        <v>2</v>
      </c>
      <c r="J1796">
        <v>0</v>
      </c>
      <c r="K1796">
        <v>0</v>
      </c>
      <c r="L1796">
        <v>2</v>
      </c>
      <c r="M1796">
        <v>0</v>
      </c>
      <c r="N1796">
        <v>0</v>
      </c>
      <c r="O1796">
        <v>0</v>
      </c>
    </row>
    <row r="1797" spans="1:15" x14ac:dyDescent="0.25">
      <c r="A1797" t="s">
        <v>11699</v>
      </c>
      <c r="B1797" t="s">
        <v>2840</v>
      </c>
      <c r="C1797" t="s">
        <v>927</v>
      </c>
      <c r="D1797" t="s">
        <v>3052</v>
      </c>
      <c r="E1797" t="s">
        <v>3053</v>
      </c>
      <c r="F1797" t="s">
        <v>387</v>
      </c>
      <c r="G1797" t="s">
        <v>388</v>
      </c>
      <c r="H1797" t="s">
        <v>11939</v>
      </c>
      <c r="I1797">
        <v>64</v>
      </c>
      <c r="J1797">
        <v>37</v>
      </c>
      <c r="K1797">
        <v>0</v>
      </c>
      <c r="L1797">
        <v>0</v>
      </c>
      <c r="M1797">
        <v>0</v>
      </c>
      <c r="N1797">
        <v>0</v>
      </c>
      <c r="O1797">
        <v>27</v>
      </c>
    </row>
    <row r="1798" spans="1:15" x14ac:dyDescent="0.25">
      <c r="A1798" t="s">
        <v>1083</v>
      </c>
      <c r="B1798" t="s">
        <v>2757</v>
      </c>
      <c r="C1798" t="s">
        <v>927</v>
      </c>
      <c r="D1798" t="s">
        <v>3052</v>
      </c>
      <c r="E1798" t="s">
        <v>3053</v>
      </c>
      <c r="F1798" t="s">
        <v>387</v>
      </c>
      <c r="G1798" t="s">
        <v>388</v>
      </c>
      <c r="H1798" t="s">
        <v>4218</v>
      </c>
      <c r="I1798">
        <v>765</v>
      </c>
      <c r="J1798">
        <v>621</v>
      </c>
      <c r="K1798">
        <v>1</v>
      </c>
      <c r="L1798">
        <v>32</v>
      </c>
      <c r="M1798">
        <v>75</v>
      </c>
      <c r="N1798">
        <v>0</v>
      </c>
      <c r="O1798">
        <v>36</v>
      </c>
    </row>
    <row r="1799" spans="1:15" x14ac:dyDescent="0.25">
      <c r="A1799" t="s">
        <v>1452</v>
      </c>
      <c r="B1799" t="s">
        <v>2721</v>
      </c>
      <c r="C1799" t="s">
        <v>923</v>
      </c>
      <c r="D1799" t="s">
        <v>3063</v>
      </c>
      <c r="E1799" t="s">
        <v>3053</v>
      </c>
      <c r="F1799" t="s">
        <v>389</v>
      </c>
      <c r="G1799" t="s">
        <v>390</v>
      </c>
      <c r="H1799" t="s">
        <v>4219</v>
      </c>
      <c r="I1799">
        <v>51</v>
      </c>
      <c r="J1799">
        <v>0</v>
      </c>
      <c r="K1799">
        <v>0</v>
      </c>
      <c r="L1799">
        <v>0</v>
      </c>
      <c r="M1799">
        <v>51</v>
      </c>
      <c r="N1799">
        <v>0</v>
      </c>
      <c r="O1799">
        <v>0</v>
      </c>
    </row>
    <row r="1800" spans="1:15" x14ac:dyDescent="0.25">
      <c r="A1800" t="s">
        <v>929</v>
      </c>
      <c r="B1800" t="s">
        <v>2999</v>
      </c>
      <c r="C1800" t="s">
        <v>927</v>
      </c>
      <c r="D1800" t="s">
        <v>3052</v>
      </c>
      <c r="E1800" t="s">
        <v>3053</v>
      </c>
      <c r="F1800" t="s">
        <v>389</v>
      </c>
      <c r="G1800" t="s">
        <v>390</v>
      </c>
      <c r="H1800" t="s">
        <v>4220</v>
      </c>
      <c r="I1800">
        <v>48</v>
      </c>
      <c r="J1800">
        <v>0</v>
      </c>
      <c r="K1800">
        <v>0</v>
      </c>
      <c r="L1800">
        <v>0</v>
      </c>
      <c r="M1800">
        <v>48</v>
      </c>
      <c r="N1800">
        <v>0</v>
      </c>
      <c r="O1800">
        <v>0</v>
      </c>
    </row>
    <row r="1801" spans="1:15" x14ac:dyDescent="0.25">
      <c r="A1801" t="s">
        <v>1456</v>
      </c>
      <c r="B1801" t="s">
        <v>2844</v>
      </c>
      <c r="C1801" t="s">
        <v>927</v>
      </c>
      <c r="D1801" t="s">
        <v>3052</v>
      </c>
      <c r="E1801" t="s">
        <v>3053</v>
      </c>
      <c r="F1801" t="s">
        <v>389</v>
      </c>
      <c r="G1801" t="s">
        <v>390</v>
      </c>
      <c r="H1801" t="s">
        <v>4221</v>
      </c>
      <c r="I1801">
        <v>73</v>
      </c>
      <c r="J1801">
        <v>48</v>
      </c>
      <c r="K1801">
        <v>0</v>
      </c>
      <c r="L1801">
        <v>0</v>
      </c>
      <c r="M1801">
        <v>0</v>
      </c>
      <c r="N1801">
        <v>0</v>
      </c>
      <c r="O1801">
        <v>25</v>
      </c>
    </row>
    <row r="1802" spans="1:15" x14ac:dyDescent="0.25">
      <c r="A1802" t="s">
        <v>9790</v>
      </c>
      <c r="B1802" t="s">
        <v>1977</v>
      </c>
      <c r="C1802" t="s">
        <v>923</v>
      </c>
      <c r="D1802" t="s">
        <v>3063</v>
      </c>
      <c r="E1802" t="s">
        <v>3053</v>
      </c>
      <c r="F1802" t="s">
        <v>389</v>
      </c>
      <c r="G1802" t="s">
        <v>390</v>
      </c>
      <c r="H1802" t="s">
        <v>14588</v>
      </c>
      <c r="I1802">
        <v>10</v>
      </c>
      <c r="J1802">
        <v>0</v>
      </c>
      <c r="K1802">
        <v>0</v>
      </c>
      <c r="L1802">
        <v>10</v>
      </c>
      <c r="M1802">
        <v>0</v>
      </c>
      <c r="N1802">
        <v>0</v>
      </c>
      <c r="O1802">
        <v>0</v>
      </c>
    </row>
    <row r="1803" spans="1:15" x14ac:dyDescent="0.25">
      <c r="A1803" t="s">
        <v>1458</v>
      </c>
      <c r="B1803" t="s">
        <v>2024</v>
      </c>
      <c r="C1803" t="s">
        <v>923</v>
      </c>
      <c r="D1803" t="s">
        <v>3063</v>
      </c>
      <c r="E1803" t="s">
        <v>3053</v>
      </c>
      <c r="F1803" t="s">
        <v>389</v>
      </c>
      <c r="G1803" t="s">
        <v>390</v>
      </c>
      <c r="H1803" t="s">
        <v>9912</v>
      </c>
      <c r="I1803">
        <v>11</v>
      </c>
      <c r="J1803">
        <v>11</v>
      </c>
      <c r="K1803">
        <v>0</v>
      </c>
      <c r="L1803">
        <v>0</v>
      </c>
      <c r="M1803">
        <v>0</v>
      </c>
      <c r="N1803">
        <v>0</v>
      </c>
      <c r="O1803">
        <v>0</v>
      </c>
    </row>
    <row r="1804" spans="1:15" x14ac:dyDescent="0.25">
      <c r="A1804" t="s">
        <v>9784</v>
      </c>
      <c r="B1804" t="s">
        <v>1994</v>
      </c>
      <c r="C1804" t="s">
        <v>927</v>
      </c>
      <c r="D1804" t="s">
        <v>3052</v>
      </c>
      <c r="E1804" t="s">
        <v>3053</v>
      </c>
      <c r="F1804" t="s">
        <v>389</v>
      </c>
      <c r="G1804" t="s">
        <v>390</v>
      </c>
      <c r="H1804" t="s">
        <v>9927</v>
      </c>
      <c r="I1804">
        <v>21</v>
      </c>
      <c r="J1804">
        <v>0</v>
      </c>
      <c r="K1804">
        <v>0</v>
      </c>
      <c r="L1804">
        <v>21</v>
      </c>
      <c r="M1804">
        <v>0</v>
      </c>
      <c r="N1804">
        <v>0</v>
      </c>
      <c r="O1804">
        <v>0</v>
      </c>
    </row>
    <row r="1805" spans="1:15" x14ac:dyDescent="0.25">
      <c r="A1805" t="s">
        <v>1459</v>
      </c>
      <c r="B1805" t="s">
        <v>2732</v>
      </c>
      <c r="C1805" t="s">
        <v>923</v>
      </c>
      <c r="D1805" t="s">
        <v>3063</v>
      </c>
      <c r="E1805" t="s">
        <v>3053</v>
      </c>
      <c r="F1805" t="s">
        <v>389</v>
      </c>
      <c r="G1805" t="s">
        <v>390</v>
      </c>
      <c r="H1805" t="s">
        <v>4222</v>
      </c>
      <c r="I1805">
        <v>26</v>
      </c>
      <c r="J1805">
        <v>0</v>
      </c>
      <c r="K1805">
        <v>0</v>
      </c>
      <c r="L1805">
        <v>26</v>
      </c>
      <c r="M1805">
        <v>0</v>
      </c>
      <c r="N1805">
        <v>0</v>
      </c>
      <c r="O1805">
        <v>0</v>
      </c>
    </row>
    <row r="1806" spans="1:15" x14ac:dyDescent="0.25">
      <c r="A1806" t="s">
        <v>987</v>
      </c>
      <c r="B1806" t="s">
        <v>2881</v>
      </c>
      <c r="C1806" t="s">
        <v>927</v>
      </c>
      <c r="D1806" t="s">
        <v>3052</v>
      </c>
      <c r="E1806" t="s">
        <v>3053</v>
      </c>
      <c r="F1806" t="s">
        <v>389</v>
      </c>
      <c r="G1806" t="s">
        <v>390</v>
      </c>
      <c r="H1806" t="s">
        <v>4223</v>
      </c>
      <c r="I1806">
        <v>41</v>
      </c>
      <c r="J1806">
        <v>22</v>
      </c>
      <c r="K1806">
        <v>0</v>
      </c>
      <c r="L1806">
        <v>0</v>
      </c>
      <c r="M1806">
        <v>0</v>
      </c>
      <c r="N1806">
        <v>0</v>
      </c>
      <c r="O1806">
        <v>19</v>
      </c>
    </row>
    <row r="1807" spans="1:15" x14ac:dyDescent="0.25">
      <c r="A1807" t="s">
        <v>933</v>
      </c>
      <c r="B1807" t="s">
        <v>2106</v>
      </c>
      <c r="C1807" t="s">
        <v>927</v>
      </c>
      <c r="D1807" t="s">
        <v>3052</v>
      </c>
      <c r="E1807" t="s">
        <v>3053</v>
      </c>
      <c r="F1807" t="s">
        <v>389</v>
      </c>
      <c r="G1807" t="s">
        <v>390</v>
      </c>
      <c r="H1807" t="s">
        <v>4224</v>
      </c>
      <c r="I1807">
        <v>73</v>
      </c>
      <c r="J1807">
        <v>33</v>
      </c>
      <c r="K1807">
        <v>0</v>
      </c>
      <c r="L1807">
        <v>0</v>
      </c>
      <c r="M1807">
        <v>0</v>
      </c>
      <c r="N1807">
        <v>0</v>
      </c>
      <c r="O1807">
        <v>40</v>
      </c>
    </row>
    <row r="1808" spans="1:15" x14ac:dyDescent="0.25">
      <c r="A1808" t="s">
        <v>935</v>
      </c>
      <c r="B1808" t="s">
        <v>1960</v>
      </c>
      <c r="C1808" t="s">
        <v>923</v>
      </c>
      <c r="D1808" t="s">
        <v>3063</v>
      </c>
      <c r="E1808" t="s">
        <v>3053</v>
      </c>
      <c r="F1808" t="s">
        <v>389</v>
      </c>
      <c r="G1808" t="s">
        <v>390</v>
      </c>
      <c r="H1808" t="s">
        <v>4225</v>
      </c>
      <c r="I1808">
        <v>9</v>
      </c>
      <c r="J1808">
        <v>0</v>
      </c>
      <c r="K1808">
        <v>0</v>
      </c>
      <c r="L1808">
        <v>9</v>
      </c>
      <c r="M1808">
        <v>0</v>
      </c>
      <c r="N1808">
        <v>0</v>
      </c>
      <c r="O1808">
        <v>0</v>
      </c>
    </row>
    <row r="1809" spans="1:15" x14ac:dyDescent="0.25">
      <c r="A1809" t="s">
        <v>11660</v>
      </c>
      <c r="B1809" t="s">
        <v>2041</v>
      </c>
      <c r="C1809" t="s">
        <v>923</v>
      </c>
      <c r="D1809" t="s">
        <v>3063</v>
      </c>
      <c r="E1809" t="s">
        <v>3053</v>
      </c>
      <c r="F1809" t="s">
        <v>389</v>
      </c>
      <c r="G1809" t="s">
        <v>390</v>
      </c>
      <c r="H1809" t="s">
        <v>11940</v>
      </c>
      <c r="I1809">
        <v>2</v>
      </c>
      <c r="J1809">
        <v>0</v>
      </c>
      <c r="K1809">
        <v>0</v>
      </c>
      <c r="L1809">
        <v>2</v>
      </c>
      <c r="M1809">
        <v>0</v>
      </c>
      <c r="N1809">
        <v>0</v>
      </c>
      <c r="O1809">
        <v>0</v>
      </c>
    </row>
    <row r="1810" spans="1:15" x14ac:dyDescent="0.25">
      <c r="A1810" t="s">
        <v>998</v>
      </c>
      <c r="B1810" t="s">
        <v>2820</v>
      </c>
      <c r="C1810" t="s">
        <v>927</v>
      </c>
      <c r="D1810" t="s">
        <v>3052</v>
      </c>
      <c r="E1810" t="s">
        <v>3053</v>
      </c>
      <c r="F1810" t="s">
        <v>389</v>
      </c>
      <c r="G1810" t="s">
        <v>390</v>
      </c>
      <c r="H1810" t="s">
        <v>4226</v>
      </c>
      <c r="I1810">
        <v>4</v>
      </c>
      <c r="J1810">
        <v>4</v>
      </c>
      <c r="K1810">
        <v>0</v>
      </c>
      <c r="L1810">
        <v>0</v>
      </c>
      <c r="M1810">
        <v>0</v>
      </c>
      <c r="N1810">
        <v>0</v>
      </c>
      <c r="O1810">
        <v>0</v>
      </c>
    </row>
    <row r="1811" spans="1:15" x14ac:dyDescent="0.25">
      <c r="A1811" t="s">
        <v>1000</v>
      </c>
      <c r="B1811" t="s">
        <v>1984</v>
      </c>
      <c r="C1811" t="s">
        <v>923</v>
      </c>
      <c r="D1811" t="s">
        <v>3063</v>
      </c>
      <c r="E1811" t="s">
        <v>3053</v>
      </c>
      <c r="F1811" t="s">
        <v>389</v>
      </c>
      <c r="G1811" t="s">
        <v>390</v>
      </c>
      <c r="H1811" t="s">
        <v>4227</v>
      </c>
      <c r="I1811">
        <v>2</v>
      </c>
      <c r="J1811">
        <v>0</v>
      </c>
      <c r="K1811">
        <v>0</v>
      </c>
      <c r="L1811">
        <v>2</v>
      </c>
      <c r="M1811">
        <v>0</v>
      </c>
      <c r="N1811">
        <v>0</v>
      </c>
      <c r="O1811">
        <v>0</v>
      </c>
    </row>
    <row r="1812" spans="1:15" x14ac:dyDescent="0.25">
      <c r="A1812" t="s">
        <v>1484</v>
      </c>
      <c r="B1812" t="s">
        <v>2897</v>
      </c>
      <c r="C1812" t="s">
        <v>927</v>
      </c>
      <c r="D1812" t="s">
        <v>3052</v>
      </c>
      <c r="E1812" t="s">
        <v>3053</v>
      </c>
      <c r="F1812" t="s">
        <v>389</v>
      </c>
      <c r="G1812" t="s">
        <v>390</v>
      </c>
      <c r="H1812" t="s">
        <v>4228</v>
      </c>
      <c r="I1812">
        <v>195</v>
      </c>
      <c r="J1812">
        <v>135</v>
      </c>
      <c r="K1812">
        <v>0</v>
      </c>
      <c r="L1812">
        <v>0</v>
      </c>
      <c r="M1812">
        <v>0</v>
      </c>
      <c r="N1812">
        <v>0</v>
      </c>
      <c r="O1812">
        <v>60</v>
      </c>
    </row>
    <row r="1813" spans="1:15" x14ac:dyDescent="0.25">
      <c r="A1813" t="s">
        <v>1485</v>
      </c>
      <c r="B1813" t="s">
        <v>2836</v>
      </c>
      <c r="C1813" t="s">
        <v>927</v>
      </c>
      <c r="D1813" t="s">
        <v>3052</v>
      </c>
      <c r="E1813" t="s">
        <v>3053</v>
      </c>
      <c r="F1813" t="s">
        <v>389</v>
      </c>
      <c r="G1813" t="s">
        <v>390</v>
      </c>
      <c r="H1813" t="s">
        <v>4229</v>
      </c>
      <c r="I1813">
        <v>146</v>
      </c>
      <c r="J1813">
        <v>0</v>
      </c>
      <c r="K1813">
        <v>142</v>
      </c>
      <c r="L1813">
        <v>0</v>
      </c>
      <c r="M1813">
        <v>0</v>
      </c>
      <c r="N1813">
        <v>0</v>
      </c>
      <c r="O1813">
        <v>4</v>
      </c>
    </row>
    <row r="1814" spans="1:15" x14ac:dyDescent="0.25">
      <c r="A1814" t="s">
        <v>10638</v>
      </c>
      <c r="B1814" t="s">
        <v>2057</v>
      </c>
      <c r="C1814" t="s">
        <v>927</v>
      </c>
      <c r="D1814" t="s">
        <v>3052</v>
      </c>
      <c r="E1814" t="s">
        <v>3053</v>
      </c>
      <c r="F1814" t="s">
        <v>389</v>
      </c>
      <c r="G1814" t="s">
        <v>390</v>
      </c>
      <c r="H1814" t="s">
        <v>10934</v>
      </c>
      <c r="I1814">
        <v>40</v>
      </c>
      <c r="J1814">
        <v>0</v>
      </c>
      <c r="K1814">
        <v>0</v>
      </c>
      <c r="L1814">
        <v>40</v>
      </c>
      <c r="M1814">
        <v>0</v>
      </c>
      <c r="N1814">
        <v>0</v>
      </c>
      <c r="O1814">
        <v>0</v>
      </c>
    </row>
    <row r="1815" spans="1:15" x14ac:dyDescent="0.25">
      <c r="A1815" t="s">
        <v>1006</v>
      </c>
      <c r="B1815" t="s">
        <v>2724</v>
      </c>
      <c r="C1815" t="s">
        <v>927</v>
      </c>
      <c r="D1815" t="s">
        <v>3052</v>
      </c>
      <c r="E1815" t="s">
        <v>3053</v>
      </c>
      <c r="F1815" t="s">
        <v>389</v>
      </c>
      <c r="G1815" t="s">
        <v>390</v>
      </c>
      <c r="H1815" t="s">
        <v>4230</v>
      </c>
      <c r="I1815">
        <v>395</v>
      </c>
      <c r="J1815">
        <v>207</v>
      </c>
      <c r="K1815">
        <v>0</v>
      </c>
      <c r="L1815">
        <v>7</v>
      </c>
      <c r="M1815">
        <v>0</v>
      </c>
      <c r="N1815">
        <v>0</v>
      </c>
      <c r="O1815">
        <v>181</v>
      </c>
    </row>
    <row r="1816" spans="1:15" x14ac:dyDescent="0.25">
      <c r="A1816" t="s">
        <v>1009</v>
      </c>
      <c r="B1816" t="s">
        <v>1958</v>
      </c>
      <c r="C1816" t="s">
        <v>923</v>
      </c>
      <c r="D1816" t="s">
        <v>3063</v>
      </c>
      <c r="E1816" t="s">
        <v>3053</v>
      </c>
      <c r="F1816" t="s">
        <v>389</v>
      </c>
      <c r="G1816" t="s">
        <v>390</v>
      </c>
      <c r="H1816" t="s">
        <v>4231</v>
      </c>
      <c r="I1816">
        <v>25</v>
      </c>
      <c r="J1816">
        <v>0</v>
      </c>
      <c r="K1816">
        <v>0</v>
      </c>
      <c r="L1816">
        <v>25</v>
      </c>
      <c r="M1816">
        <v>0</v>
      </c>
      <c r="N1816">
        <v>0</v>
      </c>
      <c r="O1816">
        <v>0</v>
      </c>
    </row>
    <row r="1817" spans="1:15" x14ac:dyDescent="0.25">
      <c r="A1817" t="s">
        <v>1487</v>
      </c>
      <c r="B1817" t="s">
        <v>2876</v>
      </c>
      <c r="C1817" t="s">
        <v>927</v>
      </c>
      <c r="D1817" t="s">
        <v>3052</v>
      </c>
      <c r="E1817" t="s">
        <v>3053</v>
      </c>
      <c r="F1817" t="s">
        <v>389</v>
      </c>
      <c r="G1817" t="s">
        <v>390</v>
      </c>
      <c r="H1817" t="s">
        <v>4232</v>
      </c>
      <c r="I1817">
        <v>10</v>
      </c>
      <c r="J1817">
        <v>0</v>
      </c>
      <c r="K1817">
        <v>0</v>
      </c>
      <c r="L1817">
        <v>0</v>
      </c>
      <c r="M1817">
        <v>0</v>
      </c>
      <c r="N1817">
        <v>0</v>
      </c>
      <c r="O1817">
        <v>10</v>
      </c>
    </row>
    <row r="1818" spans="1:15" x14ac:dyDescent="0.25">
      <c r="A1818" t="s">
        <v>937</v>
      </c>
      <c r="B1818" t="s">
        <v>1962</v>
      </c>
      <c r="C1818" t="s">
        <v>927</v>
      </c>
      <c r="D1818" t="s">
        <v>3052</v>
      </c>
      <c r="E1818" t="s">
        <v>3053</v>
      </c>
      <c r="F1818" t="s">
        <v>389</v>
      </c>
      <c r="G1818" t="s">
        <v>390</v>
      </c>
      <c r="H1818" t="s">
        <v>4233</v>
      </c>
      <c r="I1818">
        <v>149</v>
      </c>
      <c r="J1818">
        <v>0</v>
      </c>
      <c r="K1818">
        <v>0</v>
      </c>
      <c r="L1818">
        <v>0</v>
      </c>
      <c r="M1818">
        <v>0</v>
      </c>
      <c r="N1818">
        <v>0</v>
      </c>
      <c r="O1818">
        <v>149</v>
      </c>
    </row>
    <row r="1819" spans="1:15" x14ac:dyDescent="0.25">
      <c r="A1819" t="s">
        <v>1011</v>
      </c>
      <c r="B1819" t="s">
        <v>2020</v>
      </c>
      <c r="C1819" t="s">
        <v>927</v>
      </c>
      <c r="D1819" t="s">
        <v>3052</v>
      </c>
      <c r="E1819" t="s">
        <v>3053</v>
      </c>
      <c r="F1819" t="s">
        <v>389</v>
      </c>
      <c r="G1819" t="s">
        <v>390</v>
      </c>
      <c r="H1819" t="s">
        <v>4234</v>
      </c>
      <c r="I1819">
        <v>104</v>
      </c>
      <c r="J1819">
        <v>0</v>
      </c>
      <c r="K1819">
        <v>0</v>
      </c>
      <c r="L1819">
        <v>104</v>
      </c>
      <c r="M1819">
        <v>0</v>
      </c>
      <c r="N1819">
        <v>0</v>
      </c>
      <c r="O1819">
        <v>0</v>
      </c>
    </row>
    <row r="1820" spans="1:15" x14ac:dyDescent="0.25">
      <c r="A1820" t="s">
        <v>938</v>
      </c>
      <c r="B1820" t="s">
        <v>2791</v>
      </c>
      <c r="C1820" t="s">
        <v>927</v>
      </c>
      <c r="D1820" t="s">
        <v>3052</v>
      </c>
      <c r="E1820" t="s">
        <v>3053</v>
      </c>
      <c r="F1820" t="s">
        <v>389</v>
      </c>
      <c r="G1820" t="s">
        <v>390</v>
      </c>
      <c r="H1820" t="s">
        <v>4235</v>
      </c>
      <c r="I1820">
        <v>10</v>
      </c>
      <c r="J1820">
        <v>0</v>
      </c>
      <c r="K1820">
        <v>0</v>
      </c>
      <c r="L1820">
        <v>10</v>
      </c>
      <c r="M1820">
        <v>0</v>
      </c>
      <c r="N1820">
        <v>0</v>
      </c>
      <c r="O1820">
        <v>0</v>
      </c>
    </row>
    <row r="1821" spans="1:15" x14ac:dyDescent="0.25">
      <c r="A1821" t="s">
        <v>940</v>
      </c>
      <c r="B1821" t="s">
        <v>2647</v>
      </c>
      <c r="C1821" t="s">
        <v>927</v>
      </c>
      <c r="D1821" t="s">
        <v>3052</v>
      </c>
      <c r="E1821" t="s">
        <v>3053</v>
      </c>
      <c r="F1821" t="s">
        <v>389</v>
      </c>
      <c r="G1821" t="s">
        <v>390</v>
      </c>
      <c r="H1821" t="s">
        <v>4236</v>
      </c>
      <c r="I1821">
        <v>72</v>
      </c>
      <c r="J1821">
        <v>0</v>
      </c>
      <c r="K1821">
        <v>0</v>
      </c>
      <c r="L1821">
        <v>0</v>
      </c>
      <c r="M1821">
        <v>72</v>
      </c>
      <c r="N1821">
        <v>0</v>
      </c>
      <c r="O1821">
        <v>0</v>
      </c>
    </row>
    <row r="1822" spans="1:15" x14ac:dyDescent="0.25">
      <c r="A1822" t="s">
        <v>1013</v>
      </c>
      <c r="B1822" t="s">
        <v>1959</v>
      </c>
      <c r="C1822" t="s">
        <v>927</v>
      </c>
      <c r="D1822" t="s">
        <v>3052</v>
      </c>
      <c r="E1822" t="s">
        <v>3053</v>
      </c>
      <c r="F1822" t="s">
        <v>389</v>
      </c>
      <c r="G1822" t="s">
        <v>390</v>
      </c>
      <c r="H1822" t="s">
        <v>10124</v>
      </c>
      <c r="I1822">
        <v>20</v>
      </c>
      <c r="J1822">
        <v>0</v>
      </c>
      <c r="K1822">
        <v>0</v>
      </c>
      <c r="L1822">
        <v>20</v>
      </c>
      <c r="M1822">
        <v>0</v>
      </c>
      <c r="N1822">
        <v>0</v>
      </c>
      <c r="O1822">
        <v>0</v>
      </c>
    </row>
    <row r="1823" spans="1:15" x14ac:dyDescent="0.25">
      <c r="A1823" t="s">
        <v>9819</v>
      </c>
      <c r="B1823" t="s">
        <v>2916</v>
      </c>
      <c r="C1823" t="s">
        <v>927</v>
      </c>
      <c r="D1823" t="s">
        <v>3052</v>
      </c>
      <c r="E1823" t="s">
        <v>3053</v>
      </c>
      <c r="F1823" t="s">
        <v>389</v>
      </c>
      <c r="G1823" t="s">
        <v>390</v>
      </c>
      <c r="H1823" t="s">
        <v>10136</v>
      </c>
      <c r="I1823">
        <v>957</v>
      </c>
      <c r="J1823">
        <v>763</v>
      </c>
      <c r="K1823">
        <v>0</v>
      </c>
      <c r="L1823">
        <v>1</v>
      </c>
      <c r="M1823">
        <v>124</v>
      </c>
      <c r="N1823">
        <v>0</v>
      </c>
      <c r="O1823">
        <v>69</v>
      </c>
    </row>
    <row r="1824" spans="1:15" x14ac:dyDescent="0.25">
      <c r="A1824" t="s">
        <v>1020</v>
      </c>
      <c r="B1824" t="s">
        <v>2104</v>
      </c>
      <c r="C1824" t="s">
        <v>923</v>
      </c>
      <c r="D1824" t="s">
        <v>3063</v>
      </c>
      <c r="E1824" t="s">
        <v>3053</v>
      </c>
      <c r="F1824" t="s">
        <v>389</v>
      </c>
      <c r="G1824" t="s">
        <v>390</v>
      </c>
      <c r="H1824" t="s">
        <v>4237</v>
      </c>
      <c r="I1824">
        <v>8</v>
      </c>
      <c r="J1824">
        <v>0</v>
      </c>
      <c r="K1824">
        <v>0</v>
      </c>
      <c r="L1824">
        <v>8</v>
      </c>
      <c r="M1824">
        <v>0</v>
      </c>
      <c r="N1824">
        <v>0</v>
      </c>
      <c r="O1824">
        <v>0</v>
      </c>
    </row>
    <row r="1825" spans="1:15" x14ac:dyDescent="0.25">
      <c r="A1825" t="s">
        <v>1025</v>
      </c>
      <c r="B1825" t="s">
        <v>2893</v>
      </c>
      <c r="C1825" t="s">
        <v>927</v>
      </c>
      <c r="D1825" t="s">
        <v>3052</v>
      </c>
      <c r="E1825" t="s">
        <v>3053</v>
      </c>
      <c r="F1825" t="s">
        <v>389</v>
      </c>
      <c r="G1825" t="s">
        <v>390</v>
      </c>
      <c r="H1825" t="s">
        <v>11941</v>
      </c>
      <c r="I1825">
        <v>123</v>
      </c>
      <c r="J1825">
        <v>46</v>
      </c>
      <c r="K1825">
        <v>0</v>
      </c>
      <c r="L1825">
        <v>0</v>
      </c>
      <c r="M1825">
        <v>0</v>
      </c>
      <c r="N1825">
        <v>0</v>
      </c>
      <c r="O1825">
        <v>77</v>
      </c>
    </row>
    <row r="1826" spans="1:15" x14ac:dyDescent="0.25">
      <c r="A1826" t="s">
        <v>1512</v>
      </c>
      <c r="B1826" t="s">
        <v>2869</v>
      </c>
      <c r="C1826" t="s">
        <v>927</v>
      </c>
      <c r="D1826" t="s">
        <v>3052</v>
      </c>
      <c r="E1826" t="s">
        <v>3053</v>
      </c>
      <c r="F1826" t="s">
        <v>389</v>
      </c>
      <c r="G1826" t="s">
        <v>390</v>
      </c>
      <c r="H1826" t="s">
        <v>4238</v>
      </c>
      <c r="I1826">
        <v>141</v>
      </c>
      <c r="J1826">
        <v>56</v>
      </c>
      <c r="K1826">
        <v>0</v>
      </c>
      <c r="L1826">
        <v>10</v>
      </c>
      <c r="M1826">
        <v>75</v>
      </c>
      <c r="N1826">
        <v>0</v>
      </c>
      <c r="O1826">
        <v>0</v>
      </c>
    </row>
    <row r="1827" spans="1:15" x14ac:dyDescent="0.25">
      <c r="A1827" t="s">
        <v>1031</v>
      </c>
      <c r="B1827" t="s">
        <v>2779</v>
      </c>
      <c r="C1827" t="s">
        <v>927</v>
      </c>
      <c r="D1827" t="s">
        <v>3052</v>
      </c>
      <c r="E1827" t="s">
        <v>3053</v>
      </c>
      <c r="F1827" t="s">
        <v>389</v>
      </c>
      <c r="G1827" t="s">
        <v>390</v>
      </c>
      <c r="H1827" t="s">
        <v>4239</v>
      </c>
      <c r="I1827">
        <v>2130</v>
      </c>
      <c r="J1827">
        <v>1524</v>
      </c>
      <c r="K1827">
        <v>9</v>
      </c>
      <c r="L1827">
        <v>217</v>
      </c>
      <c r="M1827">
        <v>77</v>
      </c>
      <c r="N1827">
        <v>98</v>
      </c>
      <c r="O1827">
        <v>303</v>
      </c>
    </row>
    <row r="1828" spans="1:15" x14ac:dyDescent="0.25">
      <c r="A1828" t="s">
        <v>1520</v>
      </c>
      <c r="B1828" t="s">
        <v>2058</v>
      </c>
      <c r="C1828" t="s">
        <v>927</v>
      </c>
      <c r="D1828" t="s">
        <v>3052</v>
      </c>
      <c r="E1828" t="s">
        <v>3053</v>
      </c>
      <c r="F1828" t="s">
        <v>389</v>
      </c>
      <c r="G1828" t="s">
        <v>390</v>
      </c>
      <c r="H1828" t="s">
        <v>4240</v>
      </c>
      <c r="I1828">
        <v>247</v>
      </c>
      <c r="J1828">
        <v>144</v>
      </c>
      <c r="K1828">
        <v>0</v>
      </c>
      <c r="L1828">
        <v>0</v>
      </c>
      <c r="M1828">
        <v>0</v>
      </c>
      <c r="N1828">
        <v>0</v>
      </c>
      <c r="O1828">
        <v>103</v>
      </c>
    </row>
    <row r="1829" spans="1:15" x14ac:dyDescent="0.25">
      <c r="A1829" t="s">
        <v>1521</v>
      </c>
      <c r="B1829" t="s">
        <v>2920</v>
      </c>
      <c r="C1829" t="s">
        <v>927</v>
      </c>
      <c r="D1829" t="s">
        <v>3052</v>
      </c>
      <c r="E1829" t="s">
        <v>3053</v>
      </c>
      <c r="F1829" t="s">
        <v>389</v>
      </c>
      <c r="G1829" t="s">
        <v>390</v>
      </c>
      <c r="H1829" t="s">
        <v>4241</v>
      </c>
      <c r="I1829">
        <v>171</v>
      </c>
      <c r="J1829">
        <v>112</v>
      </c>
      <c r="K1829">
        <v>0</v>
      </c>
      <c r="L1829">
        <v>22</v>
      </c>
      <c r="M1829">
        <v>0</v>
      </c>
      <c r="N1829">
        <v>0</v>
      </c>
      <c r="O1829">
        <v>37</v>
      </c>
    </row>
    <row r="1830" spans="1:15" x14ac:dyDescent="0.25">
      <c r="A1830" t="s">
        <v>951</v>
      </c>
      <c r="B1830" t="s">
        <v>2680</v>
      </c>
      <c r="C1830" t="s">
        <v>927</v>
      </c>
      <c r="D1830" t="s">
        <v>3052</v>
      </c>
      <c r="E1830" t="s">
        <v>3053</v>
      </c>
      <c r="F1830" t="s">
        <v>389</v>
      </c>
      <c r="G1830" t="s">
        <v>390</v>
      </c>
      <c r="H1830" t="s">
        <v>4242</v>
      </c>
      <c r="I1830">
        <v>7</v>
      </c>
      <c r="J1830">
        <v>0</v>
      </c>
      <c r="K1830">
        <v>0</v>
      </c>
      <c r="L1830">
        <v>0</v>
      </c>
      <c r="M1830">
        <v>0</v>
      </c>
      <c r="N1830">
        <v>0</v>
      </c>
      <c r="O1830">
        <v>7</v>
      </c>
    </row>
    <row r="1831" spans="1:15" x14ac:dyDescent="0.25">
      <c r="A1831" t="s">
        <v>1048</v>
      </c>
      <c r="B1831" t="s">
        <v>2989</v>
      </c>
      <c r="C1831" t="s">
        <v>927</v>
      </c>
      <c r="D1831" t="s">
        <v>3052</v>
      </c>
      <c r="E1831" t="s">
        <v>3053</v>
      </c>
      <c r="F1831" t="s">
        <v>389</v>
      </c>
      <c r="G1831" t="s">
        <v>390</v>
      </c>
      <c r="H1831" t="s">
        <v>10935</v>
      </c>
      <c r="I1831">
        <v>2</v>
      </c>
      <c r="J1831">
        <v>0</v>
      </c>
      <c r="K1831">
        <v>0</v>
      </c>
      <c r="L1831">
        <v>2</v>
      </c>
      <c r="M1831">
        <v>0</v>
      </c>
      <c r="N1831">
        <v>0</v>
      </c>
      <c r="O1831">
        <v>0</v>
      </c>
    </row>
    <row r="1832" spans="1:15" x14ac:dyDescent="0.25">
      <c r="A1832" t="s">
        <v>1050</v>
      </c>
      <c r="B1832" t="s">
        <v>2018</v>
      </c>
      <c r="C1832" t="s">
        <v>923</v>
      </c>
      <c r="D1832" t="s">
        <v>3063</v>
      </c>
      <c r="E1832" t="s">
        <v>3053</v>
      </c>
      <c r="F1832" t="s">
        <v>389</v>
      </c>
      <c r="G1832" t="s">
        <v>390</v>
      </c>
      <c r="H1832" t="s">
        <v>4243</v>
      </c>
      <c r="I1832">
        <v>14</v>
      </c>
      <c r="J1832">
        <v>14</v>
      </c>
      <c r="K1832">
        <v>0</v>
      </c>
      <c r="L1832">
        <v>0</v>
      </c>
      <c r="M1832">
        <v>0</v>
      </c>
      <c r="N1832">
        <v>0</v>
      </c>
      <c r="O1832">
        <v>0</v>
      </c>
    </row>
    <row r="1833" spans="1:15" x14ac:dyDescent="0.25">
      <c r="A1833" t="s">
        <v>1525</v>
      </c>
      <c r="B1833" t="s">
        <v>2908</v>
      </c>
      <c r="C1833" t="s">
        <v>927</v>
      </c>
      <c r="D1833" t="s">
        <v>3052</v>
      </c>
      <c r="E1833" t="s">
        <v>3053</v>
      </c>
      <c r="F1833" t="s">
        <v>389</v>
      </c>
      <c r="G1833" t="s">
        <v>390</v>
      </c>
      <c r="H1833" t="s">
        <v>4244</v>
      </c>
      <c r="I1833">
        <v>949</v>
      </c>
      <c r="J1833">
        <v>642</v>
      </c>
      <c r="K1833">
        <v>0</v>
      </c>
      <c r="L1833">
        <v>43</v>
      </c>
      <c r="M1833">
        <v>0</v>
      </c>
      <c r="N1833">
        <v>0</v>
      </c>
      <c r="O1833">
        <v>264</v>
      </c>
    </row>
    <row r="1834" spans="1:15" x14ac:dyDescent="0.25">
      <c r="A1834" t="s">
        <v>1051</v>
      </c>
      <c r="B1834" t="s">
        <v>2995</v>
      </c>
      <c r="C1834" t="s">
        <v>927</v>
      </c>
      <c r="D1834" t="s">
        <v>3052</v>
      </c>
      <c r="E1834" t="s">
        <v>3053</v>
      </c>
      <c r="F1834" t="s">
        <v>389</v>
      </c>
      <c r="G1834" t="s">
        <v>390</v>
      </c>
      <c r="H1834" t="s">
        <v>4245</v>
      </c>
      <c r="I1834">
        <v>10</v>
      </c>
      <c r="J1834">
        <v>0</v>
      </c>
      <c r="K1834">
        <v>0</v>
      </c>
      <c r="L1834">
        <v>10</v>
      </c>
      <c r="M1834">
        <v>0</v>
      </c>
      <c r="N1834">
        <v>0</v>
      </c>
      <c r="O1834">
        <v>0</v>
      </c>
    </row>
    <row r="1835" spans="1:15" x14ac:dyDescent="0.25">
      <c r="A1835" t="s">
        <v>1529</v>
      </c>
      <c r="B1835" t="s">
        <v>1954</v>
      </c>
      <c r="C1835" t="s">
        <v>927</v>
      </c>
      <c r="D1835" t="s">
        <v>3052</v>
      </c>
      <c r="E1835" t="s">
        <v>3053</v>
      </c>
      <c r="F1835" t="s">
        <v>389</v>
      </c>
      <c r="G1835" t="s">
        <v>390</v>
      </c>
      <c r="H1835" t="s">
        <v>4246</v>
      </c>
      <c r="I1835">
        <v>38</v>
      </c>
      <c r="J1835">
        <v>14</v>
      </c>
      <c r="K1835">
        <v>0</v>
      </c>
      <c r="L1835">
        <v>0</v>
      </c>
      <c r="M1835">
        <v>0</v>
      </c>
      <c r="N1835">
        <v>0</v>
      </c>
      <c r="O1835">
        <v>24</v>
      </c>
    </row>
    <row r="1836" spans="1:15" x14ac:dyDescent="0.25">
      <c r="A1836" t="s">
        <v>953</v>
      </c>
      <c r="B1836" t="s">
        <v>2014</v>
      </c>
      <c r="C1836" t="s">
        <v>927</v>
      </c>
      <c r="D1836" t="s">
        <v>3052</v>
      </c>
      <c r="E1836" t="s">
        <v>3053</v>
      </c>
      <c r="F1836" t="s">
        <v>389</v>
      </c>
      <c r="G1836" t="s">
        <v>390</v>
      </c>
      <c r="H1836" t="s">
        <v>4247</v>
      </c>
      <c r="I1836">
        <v>23</v>
      </c>
      <c r="J1836">
        <v>0</v>
      </c>
      <c r="K1836">
        <v>0</v>
      </c>
      <c r="L1836">
        <v>23</v>
      </c>
      <c r="M1836">
        <v>0</v>
      </c>
      <c r="N1836">
        <v>0</v>
      </c>
      <c r="O1836">
        <v>0</v>
      </c>
    </row>
    <row r="1837" spans="1:15" x14ac:dyDescent="0.25">
      <c r="A1837" t="s">
        <v>11720</v>
      </c>
      <c r="B1837" t="s">
        <v>10718</v>
      </c>
      <c r="C1837" t="s">
        <v>927</v>
      </c>
      <c r="D1837" t="s">
        <v>3052</v>
      </c>
      <c r="E1837" t="s">
        <v>3053</v>
      </c>
      <c r="F1837" t="s">
        <v>389</v>
      </c>
      <c r="G1837" t="s">
        <v>390</v>
      </c>
      <c r="H1837" t="s">
        <v>14589</v>
      </c>
      <c r="I1837">
        <v>97</v>
      </c>
      <c r="J1837">
        <v>53</v>
      </c>
      <c r="K1837">
        <v>0</v>
      </c>
      <c r="L1837">
        <v>0</v>
      </c>
      <c r="M1837">
        <v>0</v>
      </c>
      <c r="N1837">
        <v>0</v>
      </c>
      <c r="O1837">
        <v>44</v>
      </c>
    </row>
    <row r="1838" spans="1:15" x14ac:dyDescent="0.25">
      <c r="A1838" t="s">
        <v>9788</v>
      </c>
      <c r="B1838" t="s">
        <v>9871</v>
      </c>
      <c r="C1838" t="s">
        <v>927</v>
      </c>
      <c r="D1838" t="s">
        <v>3052</v>
      </c>
      <c r="E1838" t="s">
        <v>3053</v>
      </c>
      <c r="F1838" t="s">
        <v>389</v>
      </c>
      <c r="G1838" t="s">
        <v>390</v>
      </c>
      <c r="H1838" t="s">
        <v>10341</v>
      </c>
      <c r="I1838">
        <v>80</v>
      </c>
      <c r="J1838">
        <v>80</v>
      </c>
      <c r="K1838">
        <v>0</v>
      </c>
      <c r="L1838">
        <v>0</v>
      </c>
      <c r="M1838">
        <v>0</v>
      </c>
      <c r="N1838">
        <v>0</v>
      </c>
      <c r="O1838">
        <v>0</v>
      </c>
    </row>
    <row r="1839" spans="1:15" x14ac:dyDescent="0.25">
      <c r="A1839" t="s">
        <v>1057</v>
      </c>
      <c r="B1839" t="s">
        <v>1972</v>
      </c>
      <c r="C1839" t="s">
        <v>927</v>
      </c>
      <c r="D1839" t="s">
        <v>3052</v>
      </c>
      <c r="E1839" t="s">
        <v>3053</v>
      </c>
      <c r="F1839" t="s">
        <v>389</v>
      </c>
      <c r="G1839" t="s">
        <v>390</v>
      </c>
      <c r="H1839" t="s">
        <v>4248</v>
      </c>
      <c r="I1839">
        <v>155</v>
      </c>
      <c r="J1839">
        <v>92</v>
      </c>
      <c r="K1839">
        <v>0</v>
      </c>
      <c r="L1839">
        <v>0</v>
      </c>
      <c r="M1839">
        <v>20</v>
      </c>
      <c r="N1839">
        <v>0</v>
      </c>
      <c r="O1839">
        <v>43</v>
      </c>
    </row>
    <row r="1840" spans="1:15" x14ac:dyDescent="0.25">
      <c r="A1840" t="s">
        <v>955</v>
      </c>
      <c r="B1840" t="s">
        <v>2660</v>
      </c>
      <c r="C1840" t="s">
        <v>927</v>
      </c>
      <c r="D1840" t="s">
        <v>3052</v>
      </c>
      <c r="E1840" t="s">
        <v>3053</v>
      </c>
      <c r="F1840" t="s">
        <v>389</v>
      </c>
      <c r="G1840" t="s">
        <v>390</v>
      </c>
      <c r="H1840" t="s">
        <v>4249</v>
      </c>
      <c r="I1840">
        <v>6307</v>
      </c>
      <c r="J1840">
        <v>4429</v>
      </c>
      <c r="K1840">
        <v>0</v>
      </c>
      <c r="L1840">
        <v>23</v>
      </c>
      <c r="M1840">
        <v>1773</v>
      </c>
      <c r="N1840">
        <v>13</v>
      </c>
      <c r="O1840">
        <v>82</v>
      </c>
    </row>
    <row r="1841" spans="1:15" x14ac:dyDescent="0.25">
      <c r="A1841" t="s">
        <v>1536</v>
      </c>
      <c r="B1841" t="s">
        <v>2774</v>
      </c>
      <c r="C1841" t="s">
        <v>923</v>
      </c>
      <c r="D1841" t="s">
        <v>3063</v>
      </c>
      <c r="E1841" t="s">
        <v>3053</v>
      </c>
      <c r="F1841" t="s">
        <v>389</v>
      </c>
      <c r="G1841" t="s">
        <v>390</v>
      </c>
      <c r="H1841" t="s">
        <v>4250</v>
      </c>
      <c r="I1841">
        <v>115</v>
      </c>
      <c r="J1841">
        <v>115</v>
      </c>
      <c r="K1841">
        <v>0</v>
      </c>
      <c r="L1841">
        <v>0</v>
      </c>
      <c r="M1841">
        <v>0</v>
      </c>
      <c r="N1841">
        <v>0</v>
      </c>
      <c r="O1841">
        <v>0</v>
      </c>
    </row>
    <row r="1842" spans="1:15" x14ac:dyDescent="0.25">
      <c r="A1842" t="s">
        <v>14374</v>
      </c>
      <c r="B1842" t="s">
        <v>1943</v>
      </c>
      <c r="C1842" t="s">
        <v>927</v>
      </c>
      <c r="D1842" t="s">
        <v>3052</v>
      </c>
      <c r="E1842" t="s">
        <v>3053</v>
      </c>
      <c r="F1842" t="s">
        <v>389</v>
      </c>
      <c r="G1842" t="s">
        <v>390</v>
      </c>
      <c r="H1842" t="s">
        <v>14590</v>
      </c>
      <c r="I1842">
        <v>63</v>
      </c>
      <c r="J1842">
        <v>0</v>
      </c>
      <c r="K1842">
        <v>0</v>
      </c>
      <c r="L1842">
        <v>0</v>
      </c>
      <c r="M1842">
        <v>0</v>
      </c>
      <c r="N1842">
        <v>0</v>
      </c>
      <c r="O1842">
        <v>63</v>
      </c>
    </row>
    <row r="1843" spans="1:15" x14ac:dyDescent="0.25">
      <c r="A1843" t="s">
        <v>9825</v>
      </c>
      <c r="B1843" t="s">
        <v>2529</v>
      </c>
      <c r="C1843" t="s">
        <v>923</v>
      </c>
      <c r="D1843" t="s">
        <v>3063</v>
      </c>
      <c r="E1843" t="s">
        <v>3053</v>
      </c>
      <c r="F1843" t="s">
        <v>389</v>
      </c>
      <c r="G1843" t="s">
        <v>390</v>
      </c>
      <c r="H1843" t="s">
        <v>10470</v>
      </c>
      <c r="I1843">
        <v>12</v>
      </c>
      <c r="J1843">
        <v>0</v>
      </c>
      <c r="K1843">
        <v>0</v>
      </c>
      <c r="L1843">
        <v>0</v>
      </c>
      <c r="M1843">
        <v>12</v>
      </c>
      <c r="N1843">
        <v>0</v>
      </c>
      <c r="O1843">
        <v>0</v>
      </c>
    </row>
    <row r="1844" spans="1:15" x14ac:dyDescent="0.25">
      <c r="A1844" t="s">
        <v>1548</v>
      </c>
      <c r="B1844" t="s">
        <v>2611</v>
      </c>
      <c r="C1844" t="s">
        <v>923</v>
      </c>
      <c r="D1844" t="s">
        <v>3063</v>
      </c>
      <c r="E1844" t="s">
        <v>3053</v>
      </c>
      <c r="F1844" t="s">
        <v>389</v>
      </c>
      <c r="G1844" t="s">
        <v>390</v>
      </c>
      <c r="H1844" t="s">
        <v>4251</v>
      </c>
      <c r="I1844">
        <v>10</v>
      </c>
      <c r="J1844">
        <v>0</v>
      </c>
      <c r="K1844">
        <v>0</v>
      </c>
      <c r="L1844">
        <v>0</v>
      </c>
      <c r="M1844">
        <v>10</v>
      </c>
      <c r="N1844">
        <v>0</v>
      </c>
      <c r="O1844">
        <v>0</v>
      </c>
    </row>
    <row r="1845" spans="1:15" x14ac:dyDescent="0.25">
      <c r="A1845" t="s">
        <v>1069</v>
      </c>
      <c r="B1845" t="s">
        <v>2001</v>
      </c>
      <c r="C1845" t="s">
        <v>927</v>
      </c>
      <c r="D1845" t="s">
        <v>3052</v>
      </c>
      <c r="E1845" t="s">
        <v>3053</v>
      </c>
      <c r="F1845" t="s">
        <v>389</v>
      </c>
      <c r="G1845" t="s">
        <v>390</v>
      </c>
      <c r="H1845" t="s">
        <v>4252</v>
      </c>
      <c r="I1845">
        <v>404</v>
      </c>
      <c r="J1845">
        <v>197</v>
      </c>
      <c r="K1845">
        <v>0</v>
      </c>
      <c r="L1845">
        <v>0</v>
      </c>
      <c r="M1845">
        <v>181</v>
      </c>
      <c r="N1845">
        <v>0</v>
      </c>
      <c r="O1845">
        <v>26</v>
      </c>
    </row>
    <row r="1846" spans="1:15" x14ac:dyDescent="0.25">
      <c r="A1846" t="s">
        <v>1071</v>
      </c>
      <c r="B1846" t="s">
        <v>2571</v>
      </c>
      <c r="C1846" t="s">
        <v>923</v>
      </c>
      <c r="D1846" t="s">
        <v>3063</v>
      </c>
      <c r="E1846" t="s">
        <v>3053</v>
      </c>
      <c r="F1846" t="s">
        <v>389</v>
      </c>
      <c r="G1846" t="s">
        <v>390</v>
      </c>
      <c r="H1846" t="s">
        <v>4253</v>
      </c>
      <c r="I1846">
        <v>18</v>
      </c>
      <c r="J1846">
        <v>0</v>
      </c>
      <c r="K1846">
        <v>0</v>
      </c>
      <c r="L1846">
        <v>18</v>
      </c>
      <c r="M1846">
        <v>0</v>
      </c>
      <c r="N1846">
        <v>0</v>
      </c>
      <c r="O1846">
        <v>0</v>
      </c>
    </row>
    <row r="1847" spans="1:15" x14ac:dyDescent="0.25">
      <c r="A1847" t="s">
        <v>1072</v>
      </c>
      <c r="B1847" t="s">
        <v>2907</v>
      </c>
      <c r="C1847" t="s">
        <v>927</v>
      </c>
      <c r="D1847" t="s">
        <v>3052</v>
      </c>
      <c r="E1847" t="s">
        <v>3053</v>
      </c>
      <c r="F1847" t="s">
        <v>389</v>
      </c>
      <c r="G1847" t="s">
        <v>390</v>
      </c>
      <c r="H1847" t="s">
        <v>4254</v>
      </c>
      <c r="I1847">
        <v>485</v>
      </c>
      <c r="J1847">
        <v>266</v>
      </c>
      <c r="K1847">
        <v>0</v>
      </c>
      <c r="L1847">
        <v>15</v>
      </c>
      <c r="M1847">
        <v>46</v>
      </c>
      <c r="N1847">
        <v>1</v>
      </c>
      <c r="O1847">
        <v>158</v>
      </c>
    </row>
    <row r="1848" spans="1:15" x14ac:dyDescent="0.25">
      <c r="A1848" t="s">
        <v>1553</v>
      </c>
      <c r="B1848" t="s">
        <v>2132</v>
      </c>
      <c r="C1848" t="s">
        <v>927</v>
      </c>
      <c r="D1848" t="s">
        <v>3052</v>
      </c>
      <c r="E1848" t="s">
        <v>3053</v>
      </c>
      <c r="F1848" t="s">
        <v>389</v>
      </c>
      <c r="G1848" t="s">
        <v>390</v>
      </c>
      <c r="H1848" t="s">
        <v>4255</v>
      </c>
      <c r="I1848">
        <v>374</v>
      </c>
      <c r="J1848">
        <v>211</v>
      </c>
      <c r="K1848">
        <v>0</v>
      </c>
      <c r="L1848">
        <v>0</v>
      </c>
      <c r="M1848">
        <v>0</v>
      </c>
      <c r="N1848">
        <v>0</v>
      </c>
      <c r="O1848">
        <v>163</v>
      </c>
    </row>
    <row r="1849" spans="1:15" x14ac:dyDescent="0.25">
      <c r="A1849" t="s">
        <v>1557</v>
      </c>
      <c r="B1849" t="s">
        <v>2857</v>
      </c>
      <c r="C1849" t="s">
        <v>927</v>
      </c>
      <c r="D1849" t="s">
        <v>3052</v>
      </c>
      <c r="E1849" t="s">
        <v>3053</v>
      </c>
      <c r="F1849" t="s">
        <v>389</v>
      </c>
      <c r="G1849" t="s">
        <v>390</v>
      </c>
      <c r="H1849" t="s">
        <v>4256</v>
      </c>
      <c r="I1849">
        <v>6132</v>
      </c>
      <c r="J1849">
        <v>5922</v>
      </c>
      <c r="K1849">
        <v>0</v>
      </c>
      <c r="L1849">
        <v>0</v>
      </c>
      <c r="M1849">
        <v>109</v>
      </c>
      <c r="N1849">
        <v>0</v>
      </c>
      <c r="O1849">
        <v>101</v>
      </c>
    </row>
    <row r="1850" spans="1:15" x14ac:dyDescent="0.25">
      <c r="A1850" t="s">
        <v>1561</v>
      </c>
      <c r="B1850" t="s">
        <v>2695</v>
      </c>
      <c r="C1850" t="s">
        <v>923</v>
      </c>
      <c r="D1850" t="s">
        <v>3063</v>
      </c>
      <c r="E1850" t="s">
        <v>3053</v>
      </c>
      <c r="F1850" t="s">
        <v>389</v>
      </c>
      <c r="G1850" t="s">
        <v>390</v>
      </c>
      <c r="H1850" t="s">
        <v>4257</v>
      </c>
      <c r="I1850">
        <v>31</v>
      </c>
      <c r="J1850">
        <v>15</v>
      </c>
      <c r="K1850">
        <v>0</v>
      </c>
      <c r="L1850">
        <v>16</v>
      </c>
      <c r="M1850">
        <v>0</v>
      </c>
      <c r="N1850">
        <v>0</v>
      </c>
      <c r="O1850">
        <v>0</v>
      </c>
    </row>
    <row r="1851" spans="1:15" x14ac:dyDescent="0.25">
      <c r="A1851" t="s">
        <v>1083</v>
      </c>
      <c r="B1851" t="s">
        <v>2757</v>
      </c>
      <c r="C1851" t="s">
        <v>927</v>
      </c>
      <c r="D1851" t="s">
        <v>3052</v>
      </c>
      <c r="E1851" t="s">
        <v>3053</v>
      </c>
      <c r="F1851" t="s">
        <v>389</v>
      </c>
      <c r="G1851" t="s">
        <v>390</v>
      </c>
      <c r="H1851" t="s">
        <v>4258</v>
      </c>
      <c r="I1851">
        <v>1250</v>
      </c>
      <c r="J1851">
        <v>505</v>
      </c>
      <c r="K1851">
        <v>0</v>
      </c>
      <c r="L1851">
        <v>52</v>
      </c>
      <c r="M1851">
        <v>319</v>
      </c>
      <c r="N1851">
        <v>0</v>
      </c>
      <c r="O1851">
        <v>374</v>
      </c>
    </row>
    <row r="1852" spans="1:15" x14ac:dyDescent="0.25">
      <c r="A1852" t="s">
        <v>1016</v>
      </c>
      <c r="B1852" t="s">
        <v>2725</v>
      </c>
      <c r="C1852" t="s">
        <v>927</v>
      </c>
      <c r="D1852" t="s">
        <v>3052</v>
      </c>
      <c r="E1852" t="s">
        <v>3053</v>
      </c>
      <c r="F1852" t="s">
        <v>391</v>
      </c>
      <c r="G1852" t="s">
        <v>392</v>
      </c>
      <c r="H1852" t="s">
        <v>4272</v>
      </c>
      <c r="I1852">
        <v>31</v>
      </c>
      <c r="J1852">
        <v>0</v>
      </c>
      <c r="K1852">
        <v>0</v>
      </c>
      <c r="L1852">
        <v>0</v>
      </c>
      <c r="M1852">
        <v>31</v>
      </c>
      <c r="N1852">
        <v>0</v>
      </c>
      <c r="O1852">
        <v>0</v>
      </c>
    </row>
    <row r="1853" spans="1:15" x14ac:dyDescent="0.25">
      <c r="A1853" t="s">
        <v>973</v>
      </c>
      <c r="B1853" t="s">
        <v>1957</v>
      </c>
      <c r="C1853" t="s">
        <v>923</v>
      </c>
      <c r="D1853" t="s">
        <v>3063</v>
      </c>
      <c r="E1853" t="s">
        <v>3053</v>
      </c>
      <c r="F1853" t="s">
        <v>391</v>
      </c>
      <c r="G1853" t="s">
        <v>392</v>
      </c>
      <c r="H1853" t="s">
        <v>4259</v>
      </c>
      <c r="I1853">
        <v>37</v>
      </c>
      <c r="J1853">
        <v>11</v>
      </c>
      <c r="K1853">
        <v>0</v>
      </c>
      <c r="L1853">
        <v>26</v>
      </c>
      <c r="M1853">
        <v>0</v>
      </c>
      <c r="N1853">
        <v>0</v>
      </c>
      <c r="O1853">
        <v>0</v>
      </c>
    </row>
    <row r="1854" spans="1:15" x14ac:dyDescent="0.25">
      <c r="A1854" t="s">
        <v>974</v>
      </c>
      <c r="B1854" t="s">
        <v>2949</v>
      </c>
      <c r="C1854" t="s">
        <v>923</v>
      </c>
      <c r="D1854" t="s">
        <v>3063</v>
      </c>
      <c r="E1854" t="s">
        <v>3053</v>
      </c>
      <c r="F1854" t="s">
        <v>391</v>
      </c>
      <c r="G1854" t="s">
        <v>392</v>
      </c>
      <c r="H1854" t="s">
        <v>4260</v>
      </c>
      <c r="I1854">
        <v>32</v>
      </c>
      <c r="J1854">
        <v>0</v>
      </c>
      <c r="K1854">
        <v>0</v>
      </c>
      <c r="L1854">
        <v>32</v>
      </c>
      <c r="M1854">
        <v>0</v>
      </c>
      <c r="N1854">
        <v>0</v>
      </c>
      <c r="O1854">
        <v>0</v>
      </c>
    </row>
    <row r="1855" spans="1:15" x14ac:dyDescent="0.25">
      <c r="A1855" t="s">
        <v>926</v>
      </c>
      <c r="B1855" t="s">
        <v>2923</v>
      </c>
      <c r="C1855" t="s">
        <v>927</v>
      </c>
      <c r="D1855" t="s">
        <v>3052</v>
      </c>
      <c r="E1855" t="s">
        <v>3053</v>
      </c>
      <c r="F1855" t="s">
        <v>391</v>
      </c>
      <c r="G1855" t="s">
        <v>392</v>
      </c>
      <c r="H1855" t="s">
        <v>4261</v>
      </c>
      <c r="I1855">
        <v>1</v>
      </c>
      <c r="J1855">
        <v>0</v>
      </c>
      <c r="K1855">
        <v>0</v>
      </c>
      <c r="L1855">
        <v>0</v>
      </c>
      <c r="M1855">
        <v>0</v>
      </c>
      <c r="N1855">
        <v>0</v>
      </c>
      <c r="O1855">
        <v>1</v>
      </c>
    </row>
    <row r="1856" spans="1:15" x14ac:dyDescent="0.25">
      <c r="A1856" t="s">
        <v>975</v>
      </c>
      <c r="B1856" t="s">
        <v>2010</v>
      </c>
      <c r="C1856" t="s">
        <v>923</v>
      </c>
      <c r="D1856" t="s">
        <v>3063</v>
      </c>
      <c r="E1856" t="s">
        <v>3053</v>
      </c>
      <c r="F1856" t="s">
        <v>391</v>
      </c>
      <c r="G1856" t="s">
        <v>392</v>
      </c>
      <c r="H1856" t="s">
        <v>4262</v>
      </c>
      <c r="I1856">
        <v>93</v>
      </c>
      <c r="J1856">
        <v>93</v>
      </c>
      <c r="K1856">
        <v>0</v>
      </c>
      <c r="L1856">
        <v>0</v>
      </c>
      <c r="M1856">
        <v>0</v>
      </c>
      <c r="N1856">
        <v>0</v>
      </c>
      <c r="O1856">
        <v>0</v>
      </c>
    </row>
    <row r="1857" spans="1:15" x14ac:dyDescent="0.25">
      <c r="A1857" t="s">
        <v>929</v>
      </c>
      <c r="B1857" t="s">
        <v>2999</v>
      </c>
      <c r="C1857" t="s">
        <v>927</v>
      </c>
      <c r="D1857" t="s">
        <v>3052</v>
      </c>
      <c r="E1857" t="s">
        <v>3053</v>
      </c>
      <c r="F1857" t="s">
        <v>391</v>
      </c>
      <c r="G1857" t="s">
        <v>392</v>
      </c>
      <c r="H1857" t="s">
        <v>4263</v>
      </c>
      <c r="I1857">
        <v>25</v>
      </c>
      <c r="J1857">
        <v>0</v>
      </c>
      <c r="K1857">
        <v>0</v>
      </c>
      <c r="L1857">
        <v>0</v>
      </c>
      <c r="M1857">
        <v>25</v>
      </c>
      <c r="N1857">
        <v>0</v>
      </c>
      <c r="O1857">
        <v>0</v>
      </c>
    </row>
    <row r="1858" spans="1:15" x14ac:dyDescent="0.25">
      <c r="A1858" t="s">
        <v>976</v>
      </c>
      <c r="B1858" t="s">
        <v>2936</v>
      </c>
      <c r="C1858" t="s">
        <v>927</v>
      </c>
      <c r="D1858" t="s">
        <v>3052</v>
      </c>
      <c r="E1858" t="s">
        <v>3053</v>
      </c>
      <c r="F1858" t="s">
        <v>391</v>
      </c>
      <c r="G1858" t="s">
        <v>392</v>
      </c>
      <c r="H1858" t="s">
        <v>11942</v>
      </c>
      <c r="I1858">
        <v>8</v>
      </c>
      <c r="J1858">
        <v>8</v>
      </c>
      <c r="K1858">
        <v>0</v>
      </c>
      <c r="L1858">
        <v>0</v>
      </c>
      <c r="M1858">
        <v>0</v>
      </c>
      <c r="N1858">
        <v>0</v>
      </c>
      <c r="O1858">
        <v>0</v>
      </c>
    </row>
    <row r="1859" spans="1:15" x14ac:dyDescent="0.25">
      <c r="A1859" t="s">
        <v>988</v>
      </c>
      <c r="B1859" t="s">
        <v>2991</v>
      </c>
      <c r="C1859" t="s">
        <v>923</v>
      </c>
      <c r="D1859" t="s">
        <v>3063</v>
      </c>
      <c r="E1859" t="s">
        <v>3053</v>
      </c>
      <c r="F1859" t="s">
        <v>391</v>
      </c>
      <c r="G1859" t="s">
        <v>392</v>
      </c>
      <c r="H1859" t="s">
        <v>4264</v>
      </c>
      <c r="I1859">
        <v>33</v>
      </c>
      <c r="J1859">
        <v>0</v>
      </c>
      <c r="K1859">
        <v>0</v>
      </c>
      <c r="L1859">
        <v>0</v>
      </c>
      <c r="M1859">
        <v>33</v>
      </c>
      <c r="N1859">
        <v>0</v>
      </c>
      <c r="O1859">
        <v>0</v>
      </c>
    </row>
    <row r="1860" spans="1:15" x14ac:dyDescent="0.25">
      <c r="A1860" t="s">
        <v>997</v>
      </c>
      <c r="B1860" t="s">
        <v>2033</v>
      </c>
      <c r="C1860" t="s">
        <v>927</v>
      </c>
      <c r="D1860" t="s">
        <v>3052</v>
      </c>
      <c r="E1860" t="s">
        <v>3053</v>
      </c>
      <c r="F1860" t="s">
        <v>391</v>
      </c>
      <c r="G1860" t="s">
        <v>392</v>
      </c>
      <c r="H1860" t="s">
        <v>4265</v>
      </c>
      <c r="I1860">
        <v>79</v>
      </c>
      <c r="J1860">
        <v>33</v>
      </c>
      <c r="K1860">
        <v>0</v>
      </c>
      <c r="L1860">
        <v>6</v>
      </c>
      <c r="M1860">
        <v>36</v>
      </c>
      <c r="N1860">
        <v>2</v>
      </c>
      <c r="O1860">
        <v>4</v>
      </c>
    </row>
    <row r="1861" spans="1:15" x14ac:dyDescent="0.25">
      <c r="A1861" t="s">
        <v>935</v>
      </c>
      <c r="B1861" t="s">
        <v>1960</v>
      </c>
      <c r="C1861" t="s">
        <v>923</v>
      </c>
      <c r="D1861" t="s">
        <v>3063</v>
      </c>
      <c r="E1861" t="s">
        <v>3053</v>
      </c>
      <c r="F1861" t="s">
        <v>391</v>
      </c>
      <c r="G1861" t="s">
        <v>392</v>
      </c>
      <c r="H1861" t="s">
        <v>10936</v>
      </c>
      <c r="I1861">
        <v>1</v>
      </c>
      <c r="J1861">
        <v>0</v>
      </c>
      <c r="K1861">
        <v>0</v>
      </c>
      <c r="L1861">
        <v>1</v>
      </c>
      <c r="M1861">
        <v>0</v>
      </c>
      <c r="N1861">
        <v>0</v>
      </c>
      <c r="O1861">
        <v>0</v>
      </c>
    </row>
    <row r="1862" spans="1:15" x14ac:dyDescent="0.25">
      <c r="A1862" t="s">
        <v>11660</v>
      </c>
      <c r="B1862" t="s">
        <v>2041</v>
      </c>
      <c r="C1862" t="s">
        <v>923</v>
      </c>
      <c r="D1862" t="s">
        <v>3063</v>
      </c>
      <c r="E1862" t="s">
        <v>3053</v>
      </c>
      <c r="F1862" t="s">
        <v>391</v>
      </c>
      <c r="G1862" t="s">
        <v>392</v>
      </c>
      <c r="H1862" t="s">
        <v>14591</v>
      </c>
      <c r="I1862">
        <v>1</v>
      </c>
      <c r="J1862">
        <v>0</v>
      </c>
      <c r="K1862">
        <v>0</v>
      </c>
      <c r="L1862">
        <v>1</v>
      </c>
      <c r="M1862">
        <v>0</v>
      </c>
      <c r="N1862">
        <v>0</v>
      </c>
      <c r="O1862">
        <v>0</v>
      </c>
    </row>
    <row r="1863" spans="1:15" x14ac:dyDescent="0.25">
      <c r="A1863" t="s">
        <v>1416</v>
      </c>
      <c r="B1863" t="s">
        <v>2029</v>
      </c>
      <c r="C1863" t="s">
        <v>923</v>
      </c>
      <c r="D1863" t="s">
        <v>3063</v>
      </c>
      <c r="E1863" t="s">
        <v>3053</v>
      </c>
      <c r="F1863" t="s">
        <v>391</v>
      </c>
      <c r="G1863" t="s">
        <v>392</v>
      </c>
      <c r="H1863" t="s">
        <v>11943</v>
      </c>
      <c r="I1863">
        <v>3</v>
      </c>
      <c r="J1863">
        <v>0</v>
      </c>
      <c r="K1863">
        <v>0</v>
      </c>
      <c r="L1863">
        <v>3</v>
      </c>
      <c r="M1863">
        <v>0</v>
      </c>
      <c r="N1863">
        <v>0</v>
      </c>
      <c r="O1863">
        <v>0</v>
      </c>
    </row>
    <row r="1864" spans="1:15" x14ac:dyDescent="0.25">
      <c r="A1864" t="s">
        <v>1001</v>
      </c>
      <c r="B1864" t="s">
        <v>3007</v>
      </c>
      <c r="C1864" t="s">
        <v>927</v>
      </c>
      <c r="D1864" t="s">
        <v>3052</v>
      </c>
      <c r="E1864" t="s">
        <v>3053</v>
      </c>
      <c r="F1864" t="s">
        <v>391</v>
      </c>
      <c r="G1864" t="s">
        <v>392</v>
      </c>
      <c r="H1864" t="s">
        <v>10937</v>
      </c>
      <c r="I1864">
        <v>6</v>
      </c>
      <c r="J1864">
        <v>0</v>
      </c>
      <c r="K1864">
        <v>0</v>
      </c>
      <c r="L1864">
        <v>6</v>
      </c>
      <c r="M1864">
        <v>0</v>
      </c>
      <c r="N1864">
        <v>0</v>
      </c>
      <c r="O1864">
        <v>0</v>
      </c>
    </row>
    <row r="1865" spans="1:15" x14ac:dyDescent="0.25">
      <c r="A1865" t="s">
        <v>10638</v>
      </c>
      <c r="B1865" t="s">
        <v>2057</v>
      </c>
      <c r="C1865" t="s">
        <v>927</v>
      </c>
      <c r="D1865" t="s">
        <v>3052</v>
      </c>
      <c r="E1865" t="s">
        <v>3053</v>
      </c>
      <c r="F1865" t="s">
        <v>391</v>
      </c>
      <c r="G1865" t="s">
        <v>392</v>
      </c>
      <c r="H1865" t="s">
        <v>10938</v>
      </c>
      <c r="I1865">
        <v>8</v>
      </c>
      <c r="J1865">
        <v>0</v>
      </c>
      <c r="K1865">
        <v>0</v>
      </c>
      <c r="L1865">
        <v>8</v>
      </c>
      <c r="M1865">
        <v>0</v>
      </c>
      <c r="N1865">
        <v>0</v>
      </c>
      <c r="O1865">
        <v>0</v>
      </c>
    </row>
    <row r="1866" spans="1:15" x14ac:dyDescent="0.25">
      <c r="A1866" t="s">
        <v>1006</v>
      </c>
      <c r="B1866" t="s">
        <v>2724</v>
      </c>
      <c r="C1866" t="s">
        <v>927</v>
      </c>
      <c r="D1866" t="s">
        <v>3052</v>
      </c>
      <c r="E1866" t="s">
        <v>3053</v>
      </c>
      <c r="F1866" t="s">
        <v>391</v>
      </c>
      <c r="G1866" t="s">
        <v>392</v>
      </c>
      <c r="H1866" t="s">
        <v>4266</v>
      </c>
      <c r="I1866">
        <v>21</v>
      </c>
      <c r="J1866">
        <v>19</v>
      </c>
      <c r="K1866">
        <v>0</v>
      </c>
      <c r="L1866">
        <v>0</v>
      </c>
      <c r="M1866">
        <v>0</v>
      </c>
      <c r="N1866">
        <v>0</v>
      </c>
      <c r="O1866">
        <v>2</v>
      </c>
    </row>
    <row r="1867" spans="1:15" x14ac:dyDescent="0.25">
      <c r="A1867" t="s">
        <v>1008</v>
      </c>
      <c r="B1867" t="s">
        <v>2928</v>
      </c>
      <c r="C1867" t="s">
        <v>927</v>
      </c>
      <c r="D1867" t="s">
        <v>3052</v>
      </c>
      <c r="E1867" t="s">
        <v>3053</v>
      </c>
      <c r="F1867" t="s">
        <v>391</v>
      </c>
      <c r="G1867" t="s">
        <v>392</v>
      </c>
      <c r="H1867" t="s">
        <v>4267</v>
      </c>
      <c r="I1867">
        <v>33</v>
      </c>
      <c r="J1867">
        <v>16</v>
      </c>
      <c r="K1867">
        <v>0</v>
      </c>
      <c r="L1867">
        <v>12</v>
      </c>
      <c r="M1867">
        <v>5</v>
      </c>
      <c r="N1867">
        <v>1</v>
      </c>
      <c r="O1867">
        <v>0</v>
      </c>
    </row>
    <row r="1868" spans="1:15" x14ac:dyDescent="0.25">
      <c r="A1868" t="s">
        <v>1009</v>
      </c>
      <c r="B1868" t="s">
        <v>1958</v>
      </c>
      <c r="C1868" t="s">
        <v>923</v>
      </c>
      <c r="D1868" t="s">
        <v>3063</v>
      </c>
      <c r="E1868" t="s">
        <v>3053</v>
      </c>
      <c r="F1868" t="s">
        <v>391</v>
      </c>
      <c r="G1868" t="s">
        <v>392</v>
      </c>
      <c r="H1868" t="s">
        <v>11944</v>
      </c>
      <c r="I1868">
        <v>15</v>
      </c>
      <c r="J1868">
        <v>0</v>
      </c>
      <c r="K1868">
        <v>0</v>
      </c>
      <c r="L1868">
        <v>15</v>
      </c>
      <c r="M1868">
        <v>0</v>
      </c>
      <c r="N1868">
        <v>0</v>
      </c>
      <c r="O1868">
        <v>0</v>
      </c>
    </row>
    <row r="1869" spans="1:15" x14ac:dyDescent="0.25">
      <c r="A1869" t="s">
        <v>937</v>
      </c>
      <c r="B1869" t="s">
        <v>1962</v>
      </c>
      <c r="C1869" t="s">
        <v>927</v>
      </c>
      <c r="D1869" t="s">
        <v>3052</v>
      </c>
      <c r="E1869" t="s">
        <v>3053</v>
      </c>
      <c r="F1869" t="s">
        <v>391</v>
      </c>
      <c r="G1869" t="s">
        <v>392</v>
      </c>
      <c r="H1869" t="s">
        <v>4268</v>
      </c>
      <c r="I1869">
        <v>11</v>
      </c>
      <c r="J1869">
        <v>0</v>
      </c>
      <c r="K1869">
        <v>0</v>
      </c>
      <c r="L1869">
        <v>0</v>
      </c>
      <c r="M1869">
        <v>0</v>
      </c>
      <c r="N1869">
        <v>0</v>
      </c>
      <c r="O1869">
        <v>11</v>
      </c>
    </row>
    <row r="1870" spans="1:15" x14ac:dyDescent="0.25">
      <c r="A1870" t="s">
        <v>938</v>
      </c>
      <c r="B1870" t="s">
        <v>2791</v>
      </c>
      <c r="C1870" t="s">
        <v>927</v>
      </c>
      <c r="D1870" t="s">
        <v>3052</v>
      </c>
      <c r="E1870" t="s">
        <v>3053</v>
      </c>
      <c r="F1870" t="s">
        <v>391</v>
      </c>
      <c r="G1870" t="s">
        <v>392</v>
      </c>
      <c r="H1870" t="s">
        <v>4269</v>
      </c>
      <c r="I1870">
        <v>9</v>
      </c>
      <c r="J1870">
        <v>0</v>
      </c>
      <c r="K1870">
        <v>0</v>
      </c>
      <c r="L1870">
        <v>9</v>
      </c>
      <c r="M1870">
        <v>0</v>
      </c>
      <c r="N1870">
        <v>0</v>
      </c>
      <c r="O1870">
        <v>0</v>
      </c>
    </row>
    <row r="1871" spans="1:15" x14ac:dyDescent="0.25">
      <c r="A1871" t="s">
        <v>940</v>
      </c>
      <c r="B1871" t="s">
        <v>2647</v>
      </c>
      <c r="C1871" t="s">
        <v>927</v>
      </c>
      <c r="D1871" t="s">
        <v>3052</v>
      </c>
      <c r="E1871" t="s">
        <v>3053</v>
      </c>
      <c r="F1871" t="s">
        <v>391</v>
      </c>
      <c r="G1871" t="s">
        <v>392</v>
      </c>
      <c r="H1871" t="s">
        <v>4270</v>
      </c>
      <c r="I1871">
        <v>30</v>
      </c>
      <c r="J1871">
        <v>0</v>
      </c>
      <c r="K1871">
        <v>0</v>
      </c>
      <c r="L1871">
        <v>0</v>
      </c>
      <c r="M1871">
        <v>30</v>
      </c>
      <c r="N1871">
        <v>0</v>
      </c>
      <c r="O1871">
        <v>0</v>
      </c>
    </row>
    <row r="1872" spans="1:15" x14ac:dyDescent="0.25">
      <c r="A1872" t="s">
        <v>1013</v>
      </c>
      <c r="B1872" t="s">
        <v>1959</v>
      </c>
      <c r="C1872" t="s">
        <v>927</v>
      </c>
      <c r="D1872" t="s">
        <v>3052</v>
      </c>
      <c r="E1872" t="s">
        <v>3053</v>
      </c>
      <c r="F1872" t="s">
        <v>391</v>
      </c>
      <c r="G1872" t="s">
        <v>392</v>
      </c>
      <c r="H1872" t="s">
        <v>4271</v>
      </c>
      <c r="I1872">
        <v>37</v>
      </c>
      <c r="J1872">
        <v>0</v>
      </c>
      <c r="K1872">
        <v>0</v>
      </c>
      <c r="L1872">
        <v>37</v>
      </c>
      <c r="M1872">
        <v>0</v>
      </c>
      <c r="N1872">
        <v>0</v>
      </c>
      <c r="O1872">
        <v>0</v>
      </c>
    </row>
    <row r="1873" spans="1:15" x14ac:dyDescent="0.25">
      <c r="A1873" t="s">
        <v>10681</v>
      </c>
      <c r="B1873" t="s">
        <v>10680</v>
      </c>
      <c r="C1873" t="s">
        <v>927</v>
      </c>
      <c r="D1873" t="s">
        <v>3052</v>
      </c>
      <c r="E1873" t="s">
        <v>3053</v>
      </c>
      <c r="F1873" t="s">
        <v>391</v>
      </c>
      <c r="G1873" t="s">
        <v>392</v>
      </c>
      <c r="H1873" t="s">
        <v>14592</v>
      </c>
      <c r="I1873">
        <v>6</v>
      </c>
      <c r="J1873">
        <v>0</v>
      </c>
      <c r="K1873">
        <v>0</v>
      </c>
      <c r="L1873">
        <v>0</v>
      </c>
      <c r="M1873">
        <v>0</v>
      </c>
      <c r="N1873">
        <v>0</v>
      </c>
      <c r="O1873">
        <v>6</v>
      </c>
    </row>
    <row r="1874" spans="1:15" x14ac:dyDescent="0.25">
      <c r="A1874" t="s">
        <v>943</v>
      </c>
      <c r="B1874" t="s">
        <v>2694</v>
      </c>
      <c r="C1874" t="s">
        <v>927</v>
      </c>
      <c r="D1874" t="s">
        <v>3052</v>
      </c>
      <c r="E1874" t="s">
        <v>3053</v>
      </c>
      <c r="F1874" t="s">
        <v>391</v>
      </c>
      <c r="G1874" t="s">
        <v>392</v>
      </c>
      <c r="H1874" t="s">
        <v>4273</v>
      </c>
      <c r="I1874">
        <v>1</v>
      </c>
      <c r="J1874">
        <v>0</v>
      </c>
      <c r="K1874">
        <v>0</v>
      </c>
      <c r="L1874">
        <v>0</v>
      </c>
      <c r="M1874">
        <v>0</v>
      </c>
      <c r="N1874">
        <v>0</v>
      </c>
      <c r="O1874">
        <v>1</v>
      </c>
    </row>
    <row r="1875" spans="1:15" x14ac:dyDescent="0.25">
      <c r="A1875" t="s">
        <v>1038</v>
      </c>
      <c r="B1875" t="s">
        <v>2068</v>
      </c>
      <c r="C1875" t="s">
        <v>927</v>
      </c>
      <c r="D1875" t="s">
        <v>3052</v>
      </c>
      <c r="E1875" t="s">
        <v>3053</v>
      </c>
      <c r="F1875" t="s">
        <v>391</v>
      </c>
      <c r="G1875" t="s">
        <v>392</v>
      </c>
      <c r="H1875" t="s">
        <v>4274</v>
      </c>
      <c r="I1875">
        <v>23</v>
      </c>
      <c r="J1875">
        <v>12</v>
      </c>
      <c r="K1875">
        <v>0</v>
      </c>
      <c r="L1875">
        <v>3</v>
      </c>
      <c r="M1875">
        <v>0</v>
      </c>
      <c r="N1875">
        <v>0</v>
      </c>
      <c r="O1875">
        <v>8</v>
      </c>
    </row>
    <row r="1876" spans="1:15" x14ac:dyDescent="0.25">
      <c r="A1876" t="s">
        <v>951</v>
      </c>
      <c r="B1876" t="s">
        <v>2680</v>
      </c>
      <c r="C1876" t="s">
        <v>927</v>
      </c>
      <c r="D1876" t="s">
        <v>3052</v>
      </c>
      <c r="E1876" t="s">
        <v>3053</v>
      </c>
      <c r="F1876" t="s">
        <v>391</v>
      </c>
      <c r="G1876" t="s">
        <v>392</v>
      </c>
      <c r="H1876" t="s">
        <v>4275</v>
      </c>
      <c r="I1876">
        <v>2</v>
      </c>
      <c r="J1876">
        <v>2</v>
      </c>
      <c r="K1876">
        <v>0</v>
      </c>
      <c r="L1876">
        <v>0</v>
      </c>
      <c r="M1876">
        <v>0</v>
      </c>
      <c r="N1876">
        <v>0</v>
      </c>
      <c r="O1876">
        <v>0</v>
      </c>
    </row>
    <row r="1877" spans="1:15" x14ac:dyDescent="0.25">
      <c r="A1877" t="s">
        <v>1048</v>
      </c>
      <c r="B1877" t="s">
        <v>2989</v>
      </c>
      <c r="C1877" t="s">
        <v>927</v>
      </c>
      <c r="D1877" t="s">
        <v>3052</v>
      </c>
      <c r="E1877" t="s">
        <v>3053</v>
      </c>
      <c r="F1877" t="s">
        <v>391</v>
      </c>
      <c r="G1877" t="s">
        <v>392</v>
      </c>
      <c r="H1877" t="s">
        <v>4276</v>
      </c>
      <c r="I1877">
        <v>166</v>
      </c>
      <c r="J1877">
        <v>42</v>
      </c>
      <c r="K1877">
        <v>0</v>
      </c>
      <c r="L1877">
        <v>9</v>
      </c>
      <c r="M1877">
        <v>111</v>
      </c>
      <c r="N1877">
        <v>0</v>
      </c>
      <c r="O1877">
        <v>4</v>
      </c>
    </row>
    <row r="1878" spans="1:15" x14ac:dyDescent="0.25">
      <c r="A1878" t="s">
        <v>1051</v>
      </c>
      <c r="B1878" t="s">
        <v>2995</v>
      </c>
      <c r="C1878" t="s">
        <v>927</v>
      </c>
      <c r="D1878" t="s">
        <v>3052</v>
      </c>
      <c r="E1878" t="s">
        <v>3053</v>
      </c>
      <c r="F1878" t="s">
        <v>391</v>
      </c>
      <c r="G1878" t="s">
        <v>392</v>
      </c>
      <c r="H1878" t="s">
        <v>4277</v>
      </c>
      <c r="I1878">
        <v>5</v>
      </c>
      <c r="J1878">
        <v>0</v>
      </c>
      <c r="K1878">
        <v>0</v>
      </c>
      <c r="L1878">
        <v>5</v>
      </c>
      <c r="M1878">
        <v>0</v>
      </c>
      <c r="N1878">
        <v>0</v>
      </c>
      <c r="O1878">
        <v>0</v>
      </c>
    </row>
    <row r="1879" spans="1:15" x14ac:dyDescent="0.25">
      <c r="A1879" t="s">
        <v>953</v>
      </c>
      <c r="B1879" t="s">
        <v>2014</v>
      </c>
      <c r="C1879" t="s">
        <v>927</v>
      </c>
      <c r="D1879" t="s">
        <v>3052</v>
      </c>
      <c r="E1879" t="s">
        <v>3053</v>
      </c>
      <c r="F1879" t="s">
        <v>391</v>
      </c>
      <c r="G1879" t="s">
        <v>392</v>
      </c>
      <c r="H1879" t="s">
        <v>4278</v>
      </c>
      <c r="I1879">
        <v>3</v>
      </c>
      <c r="J1879">
        <v>0</v>
      </c>
      <c r="K1879">
        <v>0</v>
      </c>
      <c r="L1879">
        <v>3</v>
      </c>
      <c r="M1879">
        <v>0</v>
      </c>
      <c r="N1879">
        <v>0</v>
      </c>
      <c r="O1879">
        <v>0</v>
      </c>
    </row>
    <row r="1880" spans="1:15" x14ac:dyDescent="0.25">
      <c r="A1880" t="s">
        <v>11720</v>
      </c>
      <c r="B1880" t="s">
        <v>10718</v>
      </c>
      <c r="C1880" t="s">
        <v>927</v>
      </c>
      <c r="D1880" t="s">
        <v>3052</v>
      </c>
      <c r="E1880" t="s">
        <v>3053</v>
      </c>
      <c r="F1880" t="s">
        <v>391</v>
      </c>
      <c r="G1880" t="s">
        <v>392</v>
      </c>
      <c r="H1880" t="s">
        <v>14593</v>
      </c>
      <c r="I1880">
        <v>50</v>
      </c>
      <c r="J1880">
        <v>7</v>
      </c>
      <c r="K1880">
        <v>0</v>
      </c>
      <c r="L1880">
        <v>0</v>
      </c>
      <c r="M1880">
        <v>0</v>
      </c>
      <c r="N1880">
        <v>0</v>
      </c>
      <c r="O1880">
        <v>43</v>
      </c>
    </row>
    <row r="1881" spans="1:15" x14ac:dyDescent="0.25">
      <c r="A1881" t="s">
        <v>9788</v>
      </c>
      <c r="B1881" t="s">
        <v>9871</v>
      </c>
      <c r="C1881" t="s">
        <v>927</v>
      </c>
      <c r="D1881" t="s">
        <v>3052</v>
      </c>
      <c r="E1881" t="s">
        <v>3053</v>
      </c>
      <c r="F1881" t="s">
        <v>391</v>
      </c>
      <c r="G1881" t="s">
        <v>392</v>
      </c>
      <c r="H1881" t="s">
        <v>10939</v>
      </c>
      <c r="I1881">
        <v>15</v>
      </c>
      <c r="J1881">
        <v>15</v>
      </c>
      <c r="K1881">
        <v>0</v>
      </c>
      <c r="L1881">
        <v>0</v>
      </c>
      <c r="M1881">
        <v>0</v>
      </c>
      <c r="N1881">
        <v>0</v>
      </c>
      <c r="O1881">
        <v>0</v>
      </c>
    </row>
    <row r="1882" spans="1:15" x14ac:dyDescent="0.25">
      <c r="A1882" t="s">
        <v>1056</v>
      </c>
      <c r="B1882" t="s">
        <v>2966</v>
      </c>
      <c r="C1882" t="s">
        <v>927</v>
      </c>
      <c r="D1882" t="s">
        <v>3052</v>
      </c>
      <c r="E1882" t="s">
        <v>3053</v>
      </c>
      <c r="F1882" t="s">
        <v>391</v>
      </c>
      <c r="G1882" t="s">
        <v>392</v>
      </c>
      <c r="H1882" t="s">
        <v>4279</v>
      </c>
      <c r="I1882">
        <v>18</v>
      </c>
      <c r="J1882">
        <v>0</v>
      </c>
      <c r="K1882">
        <v>0</v>
      </c>
      <c r="L1882">
        <v>0</v>
      </c>
      <c r="M1882">
        <v>18</v>
      </c>
      <c r="N1882">
        <v>0</v>
      </c>
      <c r="O1882">
        <v>0</v>
      </c>
    </row>
    <row r="1883" spans="1:15" x14ac:dyDescent="0.25">
      <c r="A1883" t="s">
        <v>1057</v>
      </c>
      <c r="B1883" t="s">
        <v>1972</v>
      </c>
      <c r="C1883" t="s">
        <v>927</v>
      </c>
      <c r="D1883" t="s">
        <v>3052</v>
      </c>
      <c r="E1883" t="s">
        <v>3053</v>
      </c>
      <c r="F1883" t="s">
        <v>391</v>
      </c>
      <c r="G1883" t="s">
        <v>392</v>
      </c>
      <c r="H1883" t="s">
        <v>10940</v>
      </c>
      <c r="I1883">
        <v>48</v>
      </c>
      <c r="J1883">
        <v>42</v>
      </c>
      <c r="K1883">
        <v>0</v>
      </c>
      <c r="L1883">
        <v>0</v>
      </c>
      <c r="M1883">
        <v>0</v>
      </c>
      <c r="N1883">
        <v>0</v>
      </c>
      <c r="O1883">
        <v>6</v>
      </c>
    </row>
    <row r="1884" spans="1:15" x14ac:dyDescent="0.25">
      <c r="A1884" t="s">
        <v>955</v>
      </c>
      <c r="B1884" t="s">
        <v>2660</v>
      </c>
      <c r="C1884" t="s">
        <v>927</v>
      </c>
      <c r="D1884" t="s">
        <v>3052</v>
      </c>
      <c r="E1884" t="s">
        <v>3053</v>
      </c>
      <c r="F1884" t="s">
        <v>391</v>
      </c>
      <c r="G1884" t="s">
        <v>392</v>
      </c>
      <c r="H1884" t="s">
        <v>4280</v>
      </c>
      <c r="I1884">
        <v>11</v>
      </c>
      <c r="J1884">
        <v>0</v>
      </c>
      <c r="K1884">
        <v>0</v>
      </c>
      <c r="L1884">
        <v>11</v>
      </c>
      <c r="M1884">
        <v>0</v>
      </c>
      <c r="N1884">
        <v>0</v>
      </c>
      <c r="O1884">
        <v>0</v>
      </c>
    </row>
    <row r="1885" spans="1:15" x14ac:dyDescent="0.25">
      <c r="A1885" t="s">
        <v>1060</v>
      </c>
      <c r="B1885" t="s">
        <v>2651</v>
      </c>
      <c r="C1885" t="s">
        <v>927</v>
      </c>
      <c r="D1885" t="s">
        <v>3052</v>
      </c>
      <c r="E1885" t="s">
        <v>3053</v>
      </c>
      <c r="F1885" t="s">
        <v>391</v>
      </c>
      <c r="G1885" t="s">
        <v>392</v>
      </c>
      <c r="H1885" t="s">
        <v>4281</v>
      </c>
      <c r="I1885">
        <v>189</v>
      </c>
      <c r="J1885">
        <v>154</v>
      </c>
      <c r="K1885">
        <v>0</v>
      </c>
      <c r="L1885">
        <v>4</v>
      </c>
      <c r="M1885">
        <v>0</v>
      </c>
      <c r="N1885">
        <v>0</v>
      </c>
      <c r="O1885">
        <v>31</v>
      </c>
    </row>
    <row r="1886" spans="1:15" x14ac:dyDescent="0.25">
      <c r="A1886" t="s">
        <v>14374</v>
      </c>
      <c r="B1886" t="s">
        <v>1943</v>
      </c>
      <c r="C1886" t="s">
        <v>927</v>
      </c>
      <c r="D1886" t="s">
        <v>3052</v>
      </c>
      <c r="E1886" t="s">
        <v>3053</v>
      </c>
      <c r="F1886" t="s">
        <v>391</v>
      </c>
      <c r="G1886" t="s">
        <v>392</v>
      </c>
      <c r="H1886" t="s">
        <v>14594</v>
      </c>
      <c r="I1886">
        <v>11</v>
      </c>
      <c r="J1886">
        <v>0</v>
      </c>
      <c r="K1886">
        <v>0</v>
      </c>
      <c r="L1886">
        <v>0</v>
      </c>
      <c r="M1886">
        <v>0</v>
      </c>
      <c r="N1886">
        <v>0</v>
      </c>
      <c r="O1886">
        <v>11</v>
      </c>
    </row>
    <row r="1887" spans="1:15" x14ac:dyDescent="0.25">
      <c r="A1887" t="s">
        <v>1069</v>
      </c>
      <c r="B1887" t="s">
        <v>2001</v>
      </c>
      <c r="C1887" t="s">
        <v>927</v>
      </c>
      <c r="D1887" t="s">
        <v>3052</v>
      </c>
      <c r="E1887" t="s">
        <v>3053</v>
      </c>
      <c r="F1887" t="s">
        <v>391</v>
      </c>
      <c r="G1887" t="s">
        <v>392</v>
      </c>
      <c r="H1887" t="s">
        <v>4282</v>
      </c>
      <c r="I1887">
        <v>614</v>
      </c>
      <c r="J1887">
        <v>328</v>
      </c>
      <c r="K1887">
        <v>0</v>
      </c>
      <c r="L1887">
        <v>12</v>
      </c>
      <c r="M1887">
        <v>232</v>
      </c>
      <c r="N1887">
        <v>0</v>
      </c>
      <c r="O1887">
        <v>42</v>
      </c>
    </row>
    <row r="1888" spans="1:15" x14ac:dyDescent="0.25">
      <c r="A1888" t="s">
        <v>1075</v>
      </c>
      <c r="B1888" t="s">
        <v>2830</v>
      </c>
      <c r="C1888" t="s">
        <v>927</v>
      </c>
      <c r="D1888" t="s">
        <v>3052</v>
      </c>
      <c r="E1888" t="s">
        <v>3053</v>
      </c>
      <c r="F1888" t="s">
        <v>391</v>
      </c>
      <c r="G1888" t="s">
        <v>392</v>
      </c>
      <c r="H1888" t="s">
        <v>4283</v>
      </c>
      <c r="I1888">
        <v>126</v>
      </c>
      <c r="J1888">
        <v>112</v>
      </c>
      <c r="K1888">
        <v>0</v>
      </c>
      <c r="L1888">
        <v>0</v>
      </c>
      <c r="M1888">
        <v>0</v>
      </c>
      <c r="N1888">
        <v>0</v>
      </c>
      <c r="O1888">
        <v>14</v>
      </c>
    </row>
    <row r="1889" spans="1:15" x14ac:dyDescent="0.25">
      <c r="A1889" t="s">
        <v>14377</v>
      </c>
      <c r="B1889" t="s">
        <v>14444</v>
      </c>
      <c r="C1889" t="s">
        <v>923</v>
      </c>
      <c r="D1889" t="s">
        <v>3063</v>
      </c>
      <c r="E1889" t="s">
        <v>3053</v>
      </c>
      <c r="F1889" t="s">
        <v>391</v>
      </c>
      <c r="G1889" t="s">
        <v>392</v>
      </c>
      <c r="H1889" t="s">
        <v>14595</v>
      </c>
      <c r="I1889">
        <v>4</v>
      </c>
      <c r="J1889">
        <v>0</v>
      </c>
      <c r="K1889">
        <v>0</v>
      </c>
      <c r="L1889">
        <v>4</v>
      </c>
      <c r="M1889">
        <v>0</v>
      </c>
      <c r="N1889">
        <v>0</v>
      </c>
      <c r="O1889">
        <v>0</v>
      </c>
    </row>
    <row r="1890" spans="1:15" x14ac:dyDescent="0.25">
      <c r="A1890" t="s">
        <v>1195</v>
      </c>
      <c r="B1890" t="s">
        <v>2924</v>
      </c>
      <c r="C1890" t="s">
        <v>927</v>
      </c>
      <c r="D1890" t="s">
        <v>3052</v>
      </c>
      <c r="E1890" t="s">
        <v>3053</v>
      </c>
      <c r="F1890" t="s">
        <v>393</v>
      </c>
      <c r="G1890" t="s">
        <v>394</v>
      </c>
      <c r="H1890" t="s">
        <v>4284</v>
      </c>
      <c r="I1890">
        <v>462</v>
      </c>
      <c r="J1890">
        <v>420</v>
      </c>
      <c r="K1890">
        <v>0</v>
      </c>
      <c r="L1890">
        <v>3</v>
      </c>
      <c r="M1890">
        <v>0</v>
      </c>
      <c r="N1890">
        <v>0</v>
      </c>
      <c r="O1890">
        <v>39</v>
      </c>
    </row>
    <row r="1891" spans="1:15" x14ac:dyDescent="0.25">
      <c r="A1891" t="s">
        <v>1196</v>
      </c>
      <c r="B1891" t="s">
        <v>3004</v>
      </c>
      <c r="C1891" t="s">
        <v>927</v>
      </c>
      <c r="D1891" t="s">
        <v>3052</v>
      </c>
      <c r="E1891" t="s">
        <v>3053</v>
      </c>
      <c r="F1891" t="s">
        <v>393</v>
      </c>
      <c r="G1891" t="s">
        <v>394</v>
      </c>
      <c r="H1891" t="s">
        <v>4285</v>
      </c>
      <c r="I1891">
        <v>20</v>
      </c>
      <c r="J1891">
        <v>14</v>
      </c>
      <c r="K1891">
        <v>0</v>
      </c>
      <c r="L1891">
        <v>0</v>
      </c>
      <c r="M1891">
        <v>0</v>
      </c>
      <c r="N1891">
        <v>0</v>
      </c>
      <c r="O1891">
        <v>6</v>
      </c>
    </row>
    <row r="1892" spans="1:15" x14ac:dyDescent="0.25">
      <c r="A1892" t="s">
        <v>10568</v>
      </c>
      <c r="B1892" t="s">
        <v>10567</v>
      </c>
      <c r="C1892" t="s">
        <v>927</v>
      </c>
      <c r="D1892" t="s">
        <v>3052</v>
      </c>
      <c r="E1892" t="s">
        <v>3053</v>
      </c>
      <c r="F1892" t="s">
        <v>393</v>
      </c>
      <c r="G1892" t="s">
        <v>394</v>
      </c>
      <c r="H1892" t="s">
        <v>10941</v>
      </c>
      <c r="I1892">
        <v>161</v>
      </c>
      <c r="J1892">
        <v>145</v>
      </c>
      <c r="K1892">
        <v>0</v>
      </c>
      <c r="L1892">
        <v>0</v>
      </c>
      <c r="M1892">
        <v>0</v>
      </c>
      <c r="N1892">
        <v>0</v>
      </c>
      <c r="O1892">
        <v>16</v>
      </c>
    </row>
    <row r="1893" spans="1:15" x14ac:dyDescent="0.25">
      <c r="A1893" t="s">
        <v>926</v>
      </c>
      <c r="B1893" t="s">
        <v>2923</v>
      </c>
      <c r="C1893" t="s">
        <v>927</v>
      </c>
      <c r="D1893" t="s">
        <v>3052</v>
      </c>
      <c r="E1893" t="s">
        <v>3053</v>
      </c>
      <c r="F1893" t="s">
        <v>393</v>
      </c>
      <c r="G1893" t="s">
        <v>394</v>
      </c>
      <c r="H1893" t="s">
        <v>14596</v>
      </c>
      <c r="I1893">
        <v>1</v>
      </c>
      <c r="J1893">
        <v>0</v>
      </c>
      <c r="K1893">
        <v>0</v>
      </c>
      <c r="L1893">
        <v>0</v>
      </c>
      <c r="M1893">
        <v>0</v>
      </c>
      <c r="N1893">
        <v>0</v>
      </c>
      <c r="O1893">
        <v>1</v>
      </c>
    </row>
    <row r="1894" spans="1:15" x14ac:dyDescent="0.25">
      <c r="A1894" t="s">
        <v>929</v>
      </c>
      <c r="B1894" t="s">
        <v>2999</v>
      </c>
      <c r="C1894" t="s">
        <v>927</v>
      </c>
      <c r="D1894" t="s">
        <v>3052</v>
      </c>
      <c r="E1894" t="s">
        <v>3053</v>
      </c>
      <c r="F1894" t="s">
        <v>393</v>
      </c>
      <c r="G1894" t="s">
        <v>394</v>
      </c>
      <c r="H1894" t="s">
        <v>4286</v>
      </c>
      <c r="I1894">
        <v>123</v>
      </c>
      <c r="J1894">
        <v>5</v>
      </c>
      <c r="K1894">
        <v>0</v>
      </c>
      <c r="L1894">
        <v>0</v>
      </c>
      <c r="M1894">
        <v>118</v>
      </c>
      <c r="N1894">
        <v>0</v>
      </c>
      <c r="O1894">
        <v>0</v>
      </c>
    </row>
    <row r="1895" spans="1:15" x14ac:dyDescent="0.25">
      <c r="A1895" t="s">
        <v>1575</v>
      </c>
      <c r="B1895" t="s">
        <v>2112</v>
      </c>
      <c r="C1895" t="s">
        <v>927</v>
      </c>
      <c r="D1895" t="s">
        <v>3052</v>
      </c>
      <c r="E1895" t="s">
        <v>3053</v>
      </c>
      <c r="F1895" t="s">
        <v>393</v>
      </c>
      <c r="G1895" t="s">
        <v>394</v>
      </c>
      <c r="H1895" t="s">
        <v>10942</v>
      </c>
      <c r="I1895">
        <v>37</v>
      </c>
      <c r="J1895">
        <v>27</v>
      </c>
      <c r="K1895">
        <v>0</v>
      </c>
      <c r="L1895">
        <v>0</v>
      </c>
      <c r="M1895">
        <v>0</v>
      </c>
      <c r="N1895">
        <v>0</v>
      </c>
      <c r="O1895">
        <v>10</v>
      </c>
    </row>
    <row r="1896" spans="1:15" x14ac:dyDescent="0.25">
      <c r="A1896" t="s">
        <v>931</v>
      </c>
      <c r="B1896" t="s">
        <v>1978</v>
      </c>
      <c r="C1896" t="s">
        <v>927</v>
      </c>
      <c r="D1896" t="s">
        <v>3052</v>
      </c>
      <c r="E1896" t="s">
        <v>3053</v>
      </c>
      <c r="F1896" t="s">
        <v>393</v>
      </c>
      <c r="G1896" t="s">
        <v>394</v>
      </c>
      <c r="H1896" t="s">
        <v>11945</v>
      </c>
      <c r="I1896">
        <v>29</v>
      </c>
      <c r="J1896">
        <v>15</v>
      </c>
      <c r="K1896">
        <v>0</v>
      </c>
      <c r="L1896">
        <v>0</v>
      </c>
      <c r="M1896">
        <v>0</v>
      </c>
      <c r="N1896">
        <v>0</v>
      </c>
      <c r="O1896">
        <v>14</v>
      </c>
    </row>
    <row r="1897" spans="1:15" x14ac:dyDescent="0.25">
      <c r="A1897" t="s">
        <v>9790</v>
      </c>
      <c r="B1897" t="s">
        <v>1977</v>
      </c>
      <c r="C1897" t="s">
        <v>923</v>
      </c>
      <c r="D1897" t="s">
        <v>3063</v>
      </c>
      <c r="E1897" t="s">
        <v>3053</v>
      </c>
      <c r="F1897" t="s">
        <v>393</v>
      </c>
      <c r="G1897" t="s">
        <v>394</v>
      </c>
      <c r="H1897" t="s">
        <v>11946</v>
      </c>
      <c r="I1897">
        <v>11</v>
      </c>
      <c r="J1897">
        <v>0</v>
      </c>
      <c r="K1897">
        <v>0</v>
      </c>
      <c r="L1897">
        <v>11</v>
      </c>
      <c r="M1897">
        <v>0</v>
      </c>
      <c r="N1897">
        <v>0</v>
      </c>
      <c r="O1897">
        <v>0</v>
      </c>
    </row>
    <row r="1898" spans="1:15" x14ac:dyDescent="0.25">
      <c r="A1898" t="s">
        <v>1586</v>
      </c>
      <c r="B1898" t="s">
        <v>2733</v>
      </c>
      <c r="C1898" t="s">
        <v>923</v>
      </c>
      <c r="D1898" t="s">
        <v>3063</v>
      </c>
      <c r="E1898" t="s">
        <v>3053</v>
      </c>
      <c r="F1898" t="s">
        <v>393</v>
      </c>
      <c r="G1898" t="s">
        <v>394</v>
      </c>
      <c r="H1898" t="s">
        <v>4287</v>
      </c>
      <c r="I1898">
        <v>101</v>
      </c>
      <c r="J1898">
        <v>0</v>
      </c>
      <c r="K1898">
        <v>0</v>
      </c>
      <c r="L1898">
        <v>0</v>
      </c>
      <c r="M1898">
        <v>101</v>
      </c>
      <c r="N1898">
        <v>0</v>
      </c>
      <c r="O1898">
        <v>0</v>
      </c>
    </row>
    <row r="1899" spans="1:15" x14ac:dyDescent="0.25">
      <c r="A1899" t="s">
        <v>933</v>
      </c>
      <c r="B1899" t="s">
        <v>2106</v>
      </c>
      <c r="C1899" t="s">
        <v>927</v>
      </c>
      <c r="D1899" t="s">
        <v>3052</v>
      </c>
      <c r="E1899" t="s">
        <v>3053</v>
      </c>
      <c r="F1899" t="s">
        <v>393</v>
      </c>
      <c r="G1899" t="s">
        <v>394</v>
      </c>
      <c r="H1899" t="s">
        <v>4288</v>
      </c>
      <c r="I1899">
        <v>1481</v>
      </c>
      <c r="J1899">
        <v>1093</v>
      </c>
      <c r="K1899">
        <v>0</v>
      </c>
      <c r="L1899">
        <v>10</v>
      </c>
      <c r="M1899">
        <v>58</v>
      </c>
      <c r="N1899">
        <v>1</v>
      </c>
      <c r="O1899">
        <v>320</v>
      </c>
    </row>
    <row r="1900" spans="1:15" x14ac:dyDescent="0.25">
      <c r="A1900" t="s">
        <v>1591</v>
      </c>
      <c r="B1900" t="s">
        <v>2189</v>
      </c>
      <c r="C1900" t="s">
        <v>923</v>
      </c>
      <c r="D1900" t="s">
        <v>3063</v>
      </c>
      <c r="E1900" t="s">
        <v>3053</v>
      </c>
      <c r="F1900" t="s">
        <v>393</v>
      </c>
      <c r="G1900" t="s">
        <v>394</v>
      </c>
      <c r="H1900" t="s">
        <v>4289</v>
      </c>
      <c r="I1900">
        <v>18</v>
      </c>
      <c r="J1900">
        <v>0</v>
      </c>
      <c r="K1900">
        <v>0</v>
      </c>
      <c r="L1900">
        <v>0</v>
      </c>
      <c r="M1900">
        <v>18</v>
      </c>
      <c r="N1900">
        <v>0</v>
      </c>
      <c r="O1900">
        <v>0</v>
      </c>
    </row>
    <row r="1901" spans="1:15" x14ac:dyDescent="0.25">
      <c r="A1901" t="s">
        <v>10638</v>
      </c>
      <c r="B1901" t="s">
        <v>2057</v>
      </c>
      <c r="C1901" t="s">
        <v>927</v>
      </c>
      <c r="D1901" t="s">
        <v>3052</v>
      </c>
      <c r="E1901" t="s">
        <v>3053</v>
      </c>
      <c r="F1901" t="s">
        <v>393</v>
      </c>
      <c r="G1901" t="s">
        <v>394</v>
      </c>
      <c r="H1901" t="s">
        <v>10943</v>
      </c>
      <c r="I1901">
        <v>8</v>
      </c>
      <c r="J1901">
        <v>0</v>
      </c>
      <c r="K1901">
        <v>0</v>
      </c>
      <c r="L1901">
        <v>8</v>
      </c>
      <c r="M1901">
        <v>0</v>
      </c>
      <c r="N1901">
        <v>0</v>
      </c>
      <c r="O1901">
        <v>0</v>
      </c>
    </row>
    <row r="1902" spans="1:15" x14ac:dyDescent="0.25">
      <c r="A1902" t="s">
        <v>1610</v>
      </c>
      <c r="B1902" t="s">
        <v>2736</v>
      </c>
      <c r="C1902" t="s">
        <v>923</v>
      </c>
      <c r="D1902" t="s">
        <v>3063</v>
      </c>
      <c r="E1902" t="s">
        <v>3053</v>
      </c>
      <c r="F1902" t="s">
        <v>393</v>
      </c>
      <c r="G1902" t="s">
        <v>394</v>
      </c>
      <c r="H1902" t="s">
        <v>4290</v>
      </c>
      <c r="I1902">
        <v>14</v>
      </c>
      <c r="J1902">
        <v>14</v>
      </c>
      <c r="K1902">
        <v>0</v>
      </c>
      <c r="L1902">
        <v>0</v>
      </c>
      <c r="M1902">
        <v>0</v>
      </c>
      <c r="N1902">
        <v>0</v>
      </c>
      <c r="O1902">
        <v>0</v>
      </c>
    </row>
    <row r="1903" spans="1:15" x14ac:dyDescent="0.25">
      <c r="A1903" t="s">
        <v>1010</v>
      </c>
      <c r="B1903" t="s">
        <v>2639</v>
      </c>
      <c r="C1903" t="s">
        <v>927</v>
      </c>
      <c r="D1903" t="s">
        <v>3052</v>
      </c>
      <c r="E1903" t="s">
        <v>3053</v>
      </c>
      <c r="F1903" t="s">
        <v>393</v>
      </c>
      <c r="G1903" t="s">
        <v>394</v>
      </c>
      <c r="H1903" t="s">
        <v>4291</v>
      </c>
      <c r="I1903">
        <v>168</v>
      </c>
      <c r="J1903">
        <v>104</v>
      </c>
      <c r="K1903">
        <v>0</v>
      </c>
      <c r="L1903">
        <v>0</v>
      </c>
      <c r="M1903">
        <v>0</v>
      </c>
      <c r="N1903">
        <v>0</v>
      </c>
      <c r="O1903">
        <v>64</v>
      </c>
    </row>
    <row r="1904" spans="1:15" x14ac:dyDescent="0.25">
      <c r="A1904" t="s">
        <v>937</v>
      </c>
      <c r="B1904" t="s">
        <v>1962</v>
      </c>
      <c r="C1904" t="s">
        <v>927</v>
      </c>
      <c r="D1904" t="s">
        <v>3052</v>
      </c>
      <c r="E1904" t="s">
        <v>3053</v>
      </c>
      <c r="F1904" t="s">
        <v>393</v>
      </c>
      <c r="G1904" t="s">
        <v>394</v>
      </c>
      <c r="H1904" t="s">
        <v>11947</v>
      </c>
      <c r="I1904">
        <v>5</v>
      </c>
      <c r="J1904">
        <v>0</v>
      </c>
      <c r="K1904">
        <v>0</v>
      </c>
      <c r="L1904">
        <v>0</v>
      </c>
      <c r="M1904">
        <v>0</v>
      </c>
      <c r="N1904">
        <v>0</v>
      </c>
      <c r="O1904">
        <v>5</v>
      </c>
    </row>
    <row r="1905" spans="1:15" x14ac:dyDescent="0.25">
      <c r="A1905" t="s">
        <v>938</v>
      </c>
      <c r="B1905" t="s">
        <v>2791</v>
      </c>
      <c r="C1905" t="s">
        <v>927</v>
      </c>
      <c r="D1905" t="s">
        <v>3052</v>
      </c>
      <c r="E1905" t="s">
        <v>3053</v>
      </c>
      <c r="F1905" t="s">
        <v>393</v>
      </c>
      <c r="G1905" t="s">
        <v>394</v>
      </c>
      <c r="H1905" t="s">
        <v>4292</v>
      </c>
      <c r="I1905">
        <v>363</v>
      </c>
      <c r="J1905">
        <v>305</v>
      </c>
      <c r="K1905">
        <v>0</v>
      </c>
      <c r="L1905">
        <v>30</v>
      </c>
      <c r="M1905">
        <v>17</v>
      </c>
      <c r="N1905">
        <v>0</v>
      </c>
      <c r="O1905">
        <v>11</v>
      </c>
    </row>
    <row r="1906" spans="1:15" x14ac:dyDescent="0.25">
      <c r="A1906" t="s">
        <v>1012</v>
      </c>
      <c r="B1906" t="s">
        <v>2911</v>
      </c>
      <c r="C1906" t="s">
        <v>927</v>
      </c>
      <c r="D1906" t="s">
        <v>3052</v>
      </c>
      <c r="E1906" t="s">
        <v>3053</v>
      </c>
      <c r="F1906" t="s">
        <v>393</v>
      </c>
      <c r="G1906" t="s">
        <v>394</v>
      </c>
      <c r="H1906" t="s">
        <v>4293</v>
      </c>
      <c r="I1906">
        <v>187</v>
      </c>
      <c r="J1906">
        <v>139</v>
      </c>
      <c r="K1906">
        <v>0</v>
      </c>
      <c r="L1906">
        <v>0</v>
      </c>
      <c r="M1906">
        <v>24</v>
      </c>
      <c r="N1906">
        <v>0</v>
      </c>
      <c r="O1906">
        <v>24</v>
      </c>
    </row>
    <row r="1907" spans="1:15" x14ac:dyDescent="0.25">
      <c r="A1907" t="s">
        <v>1013</v>
      </c>
      <c r="B1907" t="s">
        <v>1959</v>
      </c>
      <c r="C1907" t="s">
        <v>927</v>
      </c>
      <c r="D1907" t="s">
        <v>3052</v>
      </c>
      <c r="E1907" t="s">
        <v>3053</v>
      </c>
      <c r="F1907" t="s">
        <v>393</v>
      </c>
      <c r="G1907" t="s">
        <v>394</v>
      </c>
      <c r="H1907" t="s">
        <v>11948</v>
      </c>
      <c r="I1907">
        <v>30</v>
      </c>
      <c r="J1907">
        <v>0</v>
      </c>
      <c r="K1907">
        <v>0</v>
      </c>
      <c r="L1907">
        <v>30</v>
      </c>
      <c r="M1907">
        <v>0</v>
      </c>
      <c r="N1907">
        <v>0</v>
      </c>
      <c r="O1907">
        <v>0</v>
      </c>
    </row>
    <row r="1908" spans="1:15" x14ac:dyDescent="0.25">
      <c r="A1908" t="s">
        <v>1126</v>
      </c>
      <c r="B1908" t="s">
        <v>2130</v>
      </c>
      <c r="C1908" t="s">
        <v>927</v>
      </c>
      <c r="D1908" t="s">
        <v>3052</v>
      </c>
      <c r="E1908" t="s">
        <v>3053</v>
      </c>
      <c r="F1908" t="s">
        <v>393</v>
      </c>
      <c r="G1908" t="s">
        <v>394</v>
      </c>
      <c r="H1908" t="s">
        <v>14597</v>
      </c>
      <c r="I1908">
        <v>14</v>
      </c>
      <c r="J1908">
        <v>0</v>
      </c>
      <c r="K1908">
        <v>0</v>
      </c>
      <c r="L1908">
        <v>0</v>
      </c>
      <c r="M1908">
        <v>0</v>
      </c>
      <c r="N1908">
        <v>0</v>
      </c>
      <c r="O1908">
        <v>14</v>
      </c>
    </row>
    <row r="1909" spans="1:15" x14ac:dyDescent="0.25">
      <c r="A1909" t="s">
        <v>10681</v>
      </c>
      <c r="B1909" t="s">
        <v>10680</v>
      </c>
      <c r="C1909" t="s">
        <v>927</v>
      </c>
      <c r="D1909" t="s">
        <v>3052</v>
      </c>
      <c r="E1909" t="s">
        <v>3053</v>
      </c>
      <c r="F1909" t="s">
        <v>393</v>
      </c>
      <c r="G1909" t="s">
        <v>394</v>
      </c>
      <c r="H1909" t="s">
        <v>14598</v>
      </c>
      <c r="I1909">
        <v>61</v>
      </c>
      <c r="J1909">
        <v>0</v>
      </c>
      <c r="K1909">
        <v>0</v>
      </c>
      <c r="L1909">
        <v>0</v>
      </c>
      <c r="M1909">
        <v>0</v>
      </c>
      <c r="N1909">
        <v>0</v>
      </c>
      <c r="O1909">
        <v>61</v>
      </c>
    </row>
    <row r="1910" spans="1:15" x14ac:dyDescent="0.25">
      <c r="A1910" t="s">
        <v>1628</v>
      </c>
      <c r="B1910" t="s">
        <v>2851</v>
      </c>
      <c r="C1910" t="s">
        <v>927</v>
      </c>
      <c r="D1910" t="s">
        <v>3052</v>
      </c>
      <c r="E1910" t="s">
        <v>3053</v>
      </c>
      <c r="F1910" t="s">
        <v>393</v>
      </c>
      <c r="G1910" t="s">
        <v>394</v>
      </c>
      <c r="H1910" t="s">
        <v>4294</v>
      </c>
      <c r="I1910">
        <v>5347</v>
      </c>
      <c r="J1910">
        <v>4837</v>
      </c>
      <c r="K1910">
        <v>0</v>
      </c>
      <c r="L1910">
        <v>15</v>
      </c>
      <c r="M1910">
        <v>375</v>
      </c>
      <c r="N1910">
        <v>31</v>
      </c>
      <c r="O1910">
        <v>120</v>
      </c>
    </row>
    <row r="1911" spans="1:15" x14ac:dyDescent="0.25">
      <c r="A1911" t="s">
        <v>943</v>
      </c>
      <c r="B1911" t="s">
        <v>2694</v>
      </c>
      <c r="C1911" t="s">
        <v>927</v>
      </c>
      <c r="D1911" t="s">
        <v>3052</v>
      </c>
      <c r="E1911" t="s">
        <v>3053</v>
      </c>
      <c r="F1911" t="s">
        <v>393</v>
      </c>
      <c r="G1911" t="s">
        <v>394</v>
      </c>
      <c r="H1911" t="s">
        <v>4295</v>
      </c>
      <c r="I1911">
        <v>3</v>
      </c>
      <c r="J1911">
        <v>0</v>
      </c>
      <c r="K1911">
        <v>0</v>
      </c>
      <c r="L1911">
        <v>0</v>
      </c>
      <c r="M1911">
        <v>0</v>
      </c>
      <c r="N1911">
        <v>0</v>
      </c>
      <c r="O1911">
        <v>3</v>
      </c>
    </row>
    <row r="1912" spans="1:15" x14ac:dyDescent="0.25">
      <c r="A1912" t="s">
        <v>945</v>
      </c>
      <c r="B1912" t="s">
        <v>2668</v>
      </c>
      <c r="C1912" t="s">
        <v>927</v>
      </c>
      <c r="D1912" t="s">
        <v>3052</v>
      </c>
      <c r="E1912" t="s">
        <v>3053</v>
      </c>
      <c r="F1912" t="s">
        <v>393</v>
      </c>
      <c r="G1912" t="s">
        <v>394</v>
      </c>
      <c r="H1912" t="s">
        <v>4296</v>
      </c>
      <c r="I1912">
        <v>2</v>
      </c>
      <c r="J1912">
        <v>0</v>
      </c>
      <c r="K1912">
        <v>0</v>
      </c>
      <c r="L1912">
        <v>0</v>
      </c>
      <c r="M1912">
        <v>0</v>
      </c>
      <c r="N1912">
        <v>0</v>
      </c>
      <c r="O1912">
        <v>2</v>
      </c>
    </row>
    <row r="1913" spans="1:15" x14ac:dyDescent="0.25">
      <c r="A1913" t="s">
        <v>1633</v>
      </c>
      <c r="B1913" t="s">
        <v>2233</v>
      </c>
      <c r="C1913" t="s">
        <v>923</v>
      </c>
      <c r="D1913" t="s">
        <v>3063</v>
      </c>
      <c r="E1913" t="s">
        <v>3053</v>
      </c>
      <c r="F1913" t="s">
        <v>393</v>
      </c>
      <c r="G1913" t="s">
        <v>394</v>
      </c>
      <c r="H1913" t="s">
        <v>4297</v>
      </c>
      <c r="I1913">
        <v>7</v>
      </c>
      <c r="J1913">
        <v>0</v>
      </c>
      <c r="K1913">
        <v>0</v>
      </c>
      <c r="L1913">
        <v>0</v>
      </c>
      <c r="M1913">
        <v>7</v>
      </c>
      <c r="N1913">
        <v>0</v>
      </c>
      <c r="O1913">
        <v>0</v>
      </c>
    </row>
    <row r="1914" spans="1:15" x14ac:dyDescent="0.25">
      <c r="A1914" t="s">
        <v>949</v>
      </c>
      <c r="B1914" t="s">
        <v>3035</v>
      </c>
      <c r="C1914" t="s">
        <v>927</v>
      </c>
      <c r="D1914" t="s">
        <v>3052</v>
      </c>
      <c r="E1914" t="s">
        <v>3053</v>
      </c>
      <c r="F1914" t="s">
        <v>393</v>
      </c>
      <c r="G1914" t="s">
        <v>394</v>
      </c>
      <c r="H1914" t="s">
        <v>4298</v>
      </c>
      <c r="I1914">
        <v>1</v>
      </c>
      <c r="J1914">
        <v>0</v>
      </c>
      <c r="K1914">
        <v>0</v>
      </c>
      <c r="L1914">
        <v>0</v>
      </c>
      <c r="M1914">
        <v>0</v>
      </c>
      <c r="N1914">
        <v>0</v>
      </c>
      <c r="O1914">
        <v>1</v>
      </c>
    </row>
    <row r="1915" spans="1:15" x14ac:dyDescent="0.25">
      <c r="A1915" t="s">
        <v>9828</v>
      </c>
      <c r="B1915" t="s">
        <v>2659</v>
      </c>
      <c r="C1915" t="s">
        <v>923</v>
      </c>
      <c r="D1915" t="s">
        <v>3063</v>
      </c>
      <c r="E1915" t="s">
        <v>3053</v>
      </c>
      <c r="F1915" t="s">
        <v>393</v>
      </c>
      <c r="G1915" t="s">
        <v>394</v>
      </c>
      <c r="H1915" t="s">
        <v>11949</v>
      </c>
      <c r="I1915">
        <v>24</v>
      </c>
      <c r="J1915">
        <v>8</v>
      </c>
      <c r="K1915">
        <v>0</v>
      </c>
      <c r="L1915">
        <v>0</v>
      </c>
      <c r="M1915">
        <v>16</v>
      </c>
      <c r="N1915">
        <v>0</v>
      </c>
      <c r="O1915">
        <v>0</v>
      </c>
    </row>
    <row r="1916" spans="1:15" x14ac:dyDescent="0.25">
      <c r="A1916" t="s">
        <v>951</v>
      </c>
      <c r="B1916" t="s">
        <v>2680</v>
      </c>
      <c r="C1916" t="s">
        <v>927</v>
      </c>
      <c r="D1916" t="s">
        <v>3052</v>
      </c>
      <c r="E1916" t="s">
        <v>3053</v>
      </c>
      <c r="F1916" t="s">
        <v>393</v>
      </c>
      <c r="G1916" t="s">
        <v>394</v>
      </c>
      <c r="H1916" t="s">
        <v>4299</v>
      </c>
      <c r="I1916">
        <v>65</v>
      </c>
      <c r="J1916">
        <v>64</v>
      </c>
      <c r="K1916">
        <v>0</v>
      </c>
      <c r="L1916">
        <v>0</v>
      </c>
      <c r="M1916">
        <v>1</v>
      </c>
      <c r="N1916">
        <v>0</v>
      </c>
      <c r="O1916">
        <v>0</v>
      </c>
    </row>
    <row r="1917" spans="1:15" x14ac:dyDescent="0.25">
      <c r="A1917" t="s">
        <v>1048</v>
      </c>
      <c r="B1917" t="s">
        <v>2989</v>
      </c>
      <c r="C1917" t="s">
        <v>927</v>
      </c>
      <c r="D1917" t="s">
        <v>3052</v>
      </c>
      <c r="E1917" t="s">
        <v>3053</v>
      </c>
      <c r="F1917" t="s">
        <v>393</v>
      </c>
      <c r="G1917" t="s">
        <v>394</v>
      </c>
      <c r="H1917" t="s">
        <v>4300</v>
      </c>
      <c r="I1917">
        <v>39</v>
      </c>
      <c r="J1917">
        <v>0</v>
      </c>
      <c r="K1917">
        <v>0</v>
      </c>
      <c r="L1917">
        <v>0</v>
      </c>
      <c r="M1917">
        <v>39</v>
      </c>
      <c r="N1917">
        <v>0</v>
      </c>
      <c r="O1917">
        <v>0</v>
      </c>
    </row>
    <row r="1918" spans="1:15" x14ac:dyDescent="0.25">
      <c r="A1918" t="s">
        <v>11720</v>
      </c>
      <c r="B1918" t="s">
        <v>10718</v>
      </c>
      <c r="C1918" t="s">
        <v>927</v>
      </c>
      <c r="D1918" t="s">
        <v>3052</v>
      </c>
      <c r="E1918" t="s">
        <v>3053</v>
      </c>
      <c r="F1918" t="s">
        <v>393</v>
      </c>
      <c r="G1918" t="s">
        <v>394</v>
      </c>
      <c r="H1918" t="s">
        <v>14599</v>
      </c>
      <c r="I1918">
        <v>61</v>
      </c>
      <c r="J1918">
        <v>26</v>
      </c>
      <c r="K1918">
        <v>0</v>
      </c>
      <c r="L1918">
        <v>0</v>
      </c>
      <c r="M1918">
        <v>0</v>
      </c>
      <c r="N1918">
        <v>0</v>
      </c>
      <c r="O1918">
        <v>35</v>
      </c>
    </row>
    <row r="1919" spans="1:15" x14ac:dyDescent="0.25">
      <c r="A1919" t="s">
        <v>9788</v>
      </c>
      <c r="B1919" t="s">
        <v>9871</v>
      </c>
      <c r="C1919" t="s">
        <v>927</v>
      </c>
      <c r="D1919" t="s">
        <v>3052</v>
      </c>
      <c r="E1919" t="s">
        <v>3053</v>
      </c>
      <c r="F1919" t="s">
        <v>393</v>
      </c>
      <c r="G1919" t="s">
        <v>394</v>
      </c>
      <c r="H1919" t="s">
        <v>10342</v>
      </c>
      <c r="I1919">
        <v>63</v>
      </c>
      <c r="J1919">
        <v>63</v>
      </c>
      <c r="K1919">
        <v>0</v>
      </c>
      <c r="L1919">
        <v>0</v>
      </c>
      <c r="M1919">
        <v>0</v>
      </c>
      <c r="N1919">
        <v>0</v>
      </c>
      <c r="O1919">
        <v>0</v>
      </c>
    </row>
    <row r="1920" spans="1:15" x14ac:dyDescent="0.25">
      <c r="A1920" t="s">
        <v>1661</v>
      </c>
      <c r="B1920" t="s">
        <v>2764</v>
      </c>
      <c r="C1920" t="s">
        <v>923</v>
      </c>
      <c r="D1920" t="s">
        <v>3063</v>
      </c>
      <c r="E1920" t="s">
        <v>3053</v>
      </c>
      <c r="F1920" t="s">
        <v>393</v>
      </c>
      <c r="G1920" t="s">
        <v>394</v>
      </c>
      <c r="H1920" t="s">
        <v>4301</v>
      </c>
      <c r="I1920">
        <v>44</v>
      </c>
      <c r="J1920">
        <v>0</v>
      </c>
      <c r="K1920">
        <v>0</v>
      </c>
      <c r="L1920">
        <v>44</v>
      </c>
      <c r="M1920">
        <v>0</v>
      </c>
      <c r="N1920">
        <v>0</v>
      </c>
      <c r="O1920">
        <v>0</v>
      </c>
    </row>
    <row r="1921" spans="1:15" x14ac:dyDescent="0.25">
      <c r="A1921" t="s">
        <v>11663</v>
      </c>
      <c r="B1921" t="s">
        <v>11768</v>
      </c>
      <c r="C1921" t="s">
        <v>927</v>
      </c>
      <c r="D1921" t="s">
        <v>3052</v>
      </c>
      <c r="E1921" t="s">
        <v>3053</v>
      </c>
      <c r="F1921" t="s">
        <v>393</v>
      </c>
      <c r="G1921" t="s">
        <v>394</v>
      </c>
      <c r="H1921" t="s">
        <v>11950</v>
      </c>
      <c r="I1921">
        <v>51</v>
      </c>
      <c r="J1921">
        <v>34</v>
      </c>
      <c r="K1921">
        <v>0</v>
      </c>
      <c r="L1921">
        <v>0</v>
      </c>
      <c r="M1921">
        <v>0</v>
      </c>
      <c r="N1921">
        <v>0</v>
      </c>
      <c r="O1921">
        <v>17</v>
      </c>
    </row>
    <row r="1922" spans="1:15" x14ac:dyDescent="0.25">
      <c r="A1922" t="s">
        <v>960</v>
      </c>
      <c r="B1922" t="s">
        <v>2080</v>
      </c>
      <c r="C1922" t="s">
        <v>927</v>
      </c>
      <c r="D1922" t="s">
        <v>3052</v>
      </c>
      <c r="E1922" t="s">
        <v>3053</v>
      </c>
      <c r="F1922" t="s">
        <v>393</v>
      </c>
      <c r="G1922" t="s">
        <v>394</v>
      </c>
      <c r="H1922" t="s">
        <v>14600</v>
      </c>
      <c r="I1922">
        <v>11</v>
      </c>
      <c r="J1922">
        <v>3</v>
      </c>
      <c r="K1922">
        <v>0</v>
      </c>
      <c r="L1922">
        <v>0</v>
      </c>
      <c r="M1922">
        <v>0</v>
      </c>
      <c r="N1922">
        <v>0</v>
      </c>
      <c r="O1922">
        <v>8</v>
      </c>
    </row>
    <row r="1923" spans="1:15" x14ac:dyDescent="0.25">
      <c r="A1923" t="s">
        <v>14374</v>
      </c>
      <c r="B1923" t="s">
        <v>1943</v>
      </c>
      <c r="C1923" t="s">
        <v>927</v>
      </c>
      <c r="D1923" t="s">
        <v>3052</v>
      </c>
      <c r="E1923" t="s">
        <v>3053</v>
      </c>
      <c r="F1923" t="s">
        <v>393</v>
      </c>
      <c r="G1923" t="s">
        <v>394</v>
      </c>
      <c r="H1923" t="s">
        <v>14601</v>
      </c>
      <c r="I1923">
        <v>23</v>
      </c>
      <c r="J1923">
        <v>0</v>
      </c>
      <c r="K1923">
        <v>0</v>
      </c>
      <c r="L1923">
        <v>0</v>
      </c>
      <c r="M1923">
        <v>0</v>
      </c>
      <c r="N1923">
        <v>0</v>
      </c>
      <c r="O1923">
        <v>23</v>
      </c>
    </row>
    <row r="1924" spans="1:15" x14ac:dyDescent="0.25">
      <c r="A1924" t="s">
        <v>9829</v>
      </c>
      <c r="B1924" t="s">
        <v>2008</v>
      </c>
      <c r="C1924" t="s">
        <v>923</v>
      </c>
      <c r="D1924" t="s">
        <v>3063</v>
      </c>
      <c r="E1924" t="s">
        <v>3053</v>
      </c>
      <c r="F1924" t="s">
        <v>393</v>
      </c>
      <c r="G1924" t="s">
        <v>394</v>
      </c>
      <c r="H1924" t="s">
        <v>10432</v>
      </c>
      <c r="I1924">
        <v>43</v>
      </c>
      <c r="J1924">
        <v>0</v>
      </c>
      <c r="K1924">
        <v>0</v>
      </c>
      <c r="L1924">
        <v>43</v>
      </c>
      <c r="M1924">
        <v>0</v>
      </c>
      <c r="N1924">
        <v>0</v>
      </c>
      <c r="O1924">
        <v>0</v>
      </c>
    </row>
    <row r="1925" spans="1:15" x14ac:dyDescent="0.25">
      <c r="A1925" t="s">
        <v>962</v>
      </c>
      <c r="B1925" t="s">
        <v>2752</v>
      </c>
      <c r="C1925" t="s">
        <v>927</v>
      </c>
      <c r="D1925" t="s">
        <v>3052</v>
      </c>
      <c r="E1925" t="s">
        <v>3053</v>
      </c>
      <c r="F1925" t="s">
        <v>393</v>
      </c>
      <c r="G1925" t="s">
        <v>394</v>
      </c>
      <c r="H1925" t="s">
        <v>4302</v>
      </c>
      <c r="I1925">
        <v>215</v>
      </c>
      <c r="J1925">
        <v>182</v>
      </c>
      <c r="K1925">
        <v>0</v>
      </c>
      <c r="L1925">
        <v>0</v>
      </c>
      <c r="M1925">
        <v>0</v>
      </c>
      <c r="N1925">
        <v>0</v>
      </c>
      <c r="O1925">
        <v>33</v>
      </c>
    </row>
    <row r="1926" spans="1:15" x14ac:dyDescent="0.25">
      <c r="A1926" t="s">
        <v>964</v>
      </c>
      <c r="B1926" t="s">
        <v>1969</v>
      </c>
      <c r="C1926" t="s">
        <v>927</v>
      </c>
      <c r="D1926" t="s">
        <v>3052</v>
      </c>
      <c r="E1926" t="s">
        <v>3053</v>
      </c>
      <c r="F1926" t="s">
        <v>393</v>
      </c>
      <c r="G1926" t="s">
        <v>394</v>
      </c>
      <c r="H1926" t="s">
        <v>10944</v>
      </c>
      <c r="I1926">
        <v>104</v>
      </c>
      <c r="J1926">
        <v>64</v>
      </c>
      <c r="K1926">
        <v>0</v>
      </c>
      <c r="L1926">
        <v>0</v>
      </c>
      <c r="M1926">
        <v>0</v>
      </c>
      <c r="N1926">
        <v>0</v>
      </c>
      <c r="O1926">
        <v>40</v>
      </c>
    </row>
    <row r="1927" spans="1:15" x14ac:dyDescent="0.25">
      <c r="A1927" t="s">
        <v>1069</v>
      </c>
      <c r="B1927" t="s">
        <v>2001</v>
      </c>
      <c r="C1927" t="s">
        <v>927</v>
      </c>
      <c r="D1927" t="s">
        <v>3052</v>
      </c>
      <c r="E1927" t="s">
        <v>3053</v>
      </c>
      <c r="F1927" t="s">
        <v>393</v>
      </c>
      <c r="G1927" t="s">
        <v>394</v>
      </c>
      <c r="H1927" t="s">
        <v>4303</v>
      </c>
      <c r="I1927">
        <v>31</v>
      </c>
      <c r="J1927">
        <v>28</v>
      </c>
      <c r="K1927">
        <v>0</v>
      </c>
      <c r="L1927">
        <v>0</v>
      </c>
      <c r="M1927">
        <v>0</v>
      </c>
      <c r="N1927">
        <v>0</v>
      </c>
      <c r="O1927">
        <v>3</v>
      </c>
    </row>
    <row r="1928" spans="1:15" x14ac:dyDescent="0.25">
      <c r="A1928" t="s">
        <v>966</v>
      </c>
      <c r="B1928" t="s">
        <v>2684</v>
      </c>
      <c r="C1928" t="s">
        <v>927</v>
      </c>
      <c r="D1928" t="s">
        <v>3052</v>
      </c>
      <c r="E1928" t="s">
        <v>3053</v>
      </c>
      <c r="F1928" t="s">
        <v>393</v>
      </c>
      <c r="G1928" t="s">
        <v>394</v>
      </c>
      <c r="H1928" t="s">
        <v>4304</v>
      </c>
      <c r="I1928">
        <v>130</v>
      </c>
      <c r="J1928">
        <v>43</v>
      </c>
      <c r="K1928">
        <v>0</v>
      </c>
      <c r="L1928">
        <v>0</v>
      </c>
      <c r="M1928">
        <v>0</v>
      </c>
      <c r="N1928">
        <v>0</v>
      </c>
      <c r="O1928">
        <v>87</v>
      </c>
    </row>
    <row r="1929" spans="1:15" x14ac:dyDescent="0.25">
      <c r="A1929" t="s">
        <v>968</v>
      </c>
      <c r="B1929" t="s">
        <v>2091</v>
      </c>
      <c r="C1929" t="s">
        <v>927</v>
      </c>
      <c r="D1929" t="s">
        <v>3052</v>
      </c>
      <c r="E1929" t="s">
        <v>3053</v>
      </c>
      <c r="F1929" t="s">
        <v>393</v>
      </c>
      <c r="G1929" t="s">
        <v>394</v>
      </c>
      <c r="H1929" t="s">
        <v>10508</v>
      </c>
      <c r="I1929">
        <v>277</v>
      </c>
      <c r="J1929">
        <v>169</v>
      </c>
      <c r="K1929">
        <v>0</v>
      </c>
      <c r="L1929">
        <v>0</v>
      </c>
      <c r="M1929">
        <v>0</v>
      </c>
      <c r="N1929">
        <v>0</v>
      </c>
      <c r="O1929">
        <v>108</v>
      </c>
    </row>
    <row r="1930" spans="1:15" x14ac:dyDescent="0.25">
      <c r="A1930" t="s">
        <v>1697</v>
      </c>
      <c r="B1930" t="s">
        <v>3009</v>
      </c>
      <c r="C1930" t="s">
        <v>927</v>
      </c>
      <c r="D1930" t="s">
        <v>3052</v>
      </c>
      <c r="E1930" t="s">
        <v>3053</v>
      </c>
      <c r="F1930" t="s">
        <v>393</v>
      </c>
      <c r="G1930" t="s">
        <v>394</v>
      </c>
      <c r="H1930" t="s">
        <v>4305</v>
      </c>
      <c r="I1930">
        <v>43</v>
      </c>
      <c r="J1930">
        <v>32</v>
      </c>
      <c r="K1930">
        <v>0</v>
      </c>
      <c r="L1930">
        <v>0</v>
      </c>
      <c r="M1930">
        <v>0</v>
      </c>
      <c r="N1930">
        <v>0</v>
      </c>
      <c r="O1930">
        <v>11</v>
      </c>
    </row>
    <row r="1931" spans="1:15" x14ac:dyDescent="0.25">
      <c r="A1931" t="s">
        <v>971</v>
      </c>
      <c r="B1931" t="s">
        <v>2956</v>
      </c>
      <c r="C1931" t="s">
        <v>927</v>
      </c>
      <c r="D1931" t="s">
        <v>3052</v>
      </c>
      <c r="E1931" t="s">
        <v>3053</v>
      </c>
      <c r="F1931" t="s">
        <v>395</v>
      </c>
      <c r="G1931" t="s">
        <v>396</v>
      </c>
      <c r="H1931" t="s">
        <v>4306</v>
      </c>
      <c r="I1931">
        <v>590</v>
      </c>
      <c r="J1931">
        <v>509</v>
      </c>
      <c r="K1931">
        <v>0</v>
      </c>
      <c r="L1931">
        <v>1</v>
      </c>
      <c r="M1931">
        <v>53</v>
      </c>
      <c r="N1931">
        <v>0</v>
      </c>
      <c r="O1931">
        <v>27</v>
      </c>
    </row>
    <row r="1932" spans="1:15" x14ac:dyDescent="0.25">
      <c r="A1932" t="s">
        <v>929</v>
      </c>
      <c r="B1932" t="s">
        <v>2999</v>
      </c>
      <c r="C1932" t="s">
        <v>927</v>
      </c>
      <c r="D1932" t="s">
        <v>3052</v>
      </c>
      <c r="E1932" t="s">
        <v>3053</v>
      </c>
      <c r="F1932" t="s">
        <v>395</v>
      </c>
      <c r="G1932" t="s">
        <v>396</v>
      </c>
      <c r="H1932" t="s">
        <v>4307</v>
      </c>
      <c r="I1932">
        <v>61</v>
      </c>
      <c r="J1932">
        <v>0</v>
      </c>
      <c r="K1932">
        <v>0</v>
      </c>
      <c r="L1932">
        <v>0</v>
      </c>
      <c r="M1932">
        <v>61</v>
      </c>
      <c r="N1932">
        <v>0</v>
      </c>
      <c r="O1932">
        <v>0</v>
      </c>
    </row>
    <row r="1933" spans="1:15" x14ac:dyDescent="0.25">
      <c r="A1933" t="s">
        <v>978</v>
      </c>
      <c r="B1933" t="s">
        <v>1999</v>
      </c>
      <c r="C1933" t="s">
        <v>923</v>
      </c>
      <c r="D1933" t="s">
        <v>3063</v>
      </c>
      <c r="E1933" t="s">
        <v>3053</v>
      </c>
      <c r="F1933" t="s">
        <v>395</v>
      </c>
      <c r="G1933" t="s">
        <v>396</v>
      </c>
      <c r="H1933" t="s">
        <v>4308</v>
      </c>
      <c r="I1933">
        <v>7</v>
      </c>
      <c r="J1933">
        <v>7</v>
      </c>
      <c r="K1933">
        <v>0</v>
      </c>
      <c r="L1933">
        <v>0</v>
      </c>
      <c r="M1933">
        <v>0</v>
      </c>
      <c r="N1933">
        <v>0</v>
      </c>
      <c r="O1933">
        <v>0</v>
      </c>
    </row>
    <row r="1934" spans="1:15" x14ac:dyDescent="0.25">
      <c r="A1934" t="s">
        <v>1457</v>
      </c>
      <c r="B1934" t="s">
        <v>2003</v>
      </c>
      <c r="C1934" t="s">
        <v>923</v>
      </c>
      <c r="D1934" t="s">
        <v>3063</v>
      </c>
      <c r="E1934" t="s">
        <v>3053</v>
      </c>
      <c r="F1934" t="s">
        <v>395</v>
      </c>
      <c r="G1934" t="s">
        <v>396</v>
      </c>
      <c r="H1934" t="s">
        <v>4309</v>
      </c>
      <c r="I1934">
        <v>1</v>
      </c>
      <c r="J1934">
        <v>0</v>
      </c>
      <c r="K1934">
        <v>0</v>
      </c>
      <c r="L1934">
        <v>1</v>
      </c>
      <c r="M1934">
        <v>0</v>
      </c>
      <c r="N1934">
        <v>0</v>
      </c>
      <c r="O1934">
        <v>0</v>
      </c>
    </row>
    <row r="1935" spans="1:15" x14ac:dyDescent="0.25">
      <c r="A1935" t="s">
        <v>1461</v>
      </c>
      <c r="B1935" t="s">
        <v>1927</v>
      </c>
      <c r="C1935" t="s">
        <v>927</v>
      </c>
      <c r="D1935" t="s">
        <v>3052</v>
      </c>
      <c r="E1935" t="s">
        <v>3053</v>
      </c>
      <c r="F1935" t="s">
        <v>395</v>
      </c>
      <c r="G1935" t="s">
        <v>396</v>
      </c>
      <c r="H1935" t="s">
        <v>10008</v>
      </c>
      <c r="I1935">
        <v>31</v>
      </c>
      <c r="J1935">
        <v>22</v>
      </c>
      <c r="K1935">
        <v>0</v>
      </c>
      <c r="L1935">
        <v>0</v>
      </c>
      <c r="M1935">
        <v>0</v>
      </c>
      <c r="N1935">
        <v>0</v>
      </c>
      <c r="O1935">
        <v>9</v>
      </c>
    </row>
    <row r="1936" spans="1:15" x14ac:dyDescent="0.25">
      <c r="A1936" t="s">
        <v>985</v>
      </c>
      <c r="B1936" t="s">
        <v>1964</v>
      </c>
      <c r="C1936" t="s">
        <v>923</v>
      </c>
      <c r="D1936" t="s">
        <v>3063</v>
      </c>
      <c r="E1936" t="s">
        <v>3053</v>
      </c>
      <c r="F1936" t="s">
        <v>395</v>
      </c>
      <c r="G1936" t="s">
        <v>396</v>
      </c>
      <c r="H1936" t="s">
        <v>4310</v>
      </c>
      <c r="I1936">
        <v>34</v>
      </c>
      <c r="J1936">
        <v>0</v>
      </c>
      <c r="K1936">
        <v>0</v>
      </c>
      <c r="L1936">
        <v>34</v>
      </c>
      <c r="M1936">
        <v>0</v>
      </c>
      <c r="N1936">
        <v>0</v>
      </c>
      <c r="O1936">
        <v>0</v>
      </c>
    </row>
    <row r="1937" spans="1:15" x14ac:dyDescent="0.25">
      <c r="A1937" t="s">
        <v>1473</v>
      </c>
      <c r="B1937" t="s">
        <v>2877</v>
      </c>
      <c r="C1937" t="s">
        <v>927</v>
      </c>
      <c r="D1937" t="s">
        <v>3052</v>
      </c>
      <c r="E1937" t="s">
        <v>3053</v>
      </c>
      <c r="F1937" t="s">
        <v>395</v>
      </c>
      <c r="G1937" t="s">
        <v>396</v>
      </c>
      <c r="H1937" t="s">
        <v>4311</v>
      </c>
      <c r="I1937">
        <v>6</v>
      </c>
      <c r="J1937">
        <v>6</v>
      </c>
      <c r="K1937">
        <v>0</v>
      </c>
      <c r="L1937">
        <v>0</v>
      </c>
      <c r="M1937">
        <v>0</v>
      </c>
      <c r="N1937">
        <v>0</v>
      </c>
      <c r="O1937">
        <v>0</v>
      </c>
    </row>
    <row r="1938" spans="1:15" x14ac:dyDescent="0.25">
      <c r="A1938" t="s">
        <v>991</v>
      </c>
      <c r="B1938" t="s">
        <v>1976</v>
      </c>
      <c r="C1938" t="s">
        <v>923</v>
      </c>
      <c r="D1938" t="s">
        <v>3063</v>
      </c>
      <c r="E1938" t="s">
        <v>3053</v>
      </c>
      <c r="F1938" t="s">
        <v>395</v>
      </c>
      <c r="G1938" t="s">
        <v>396</v>
      </c>
      <c r="H1938" t="s">
        <v>4312</v>
      </c>
      <c r="I1938">
        <v>16</v>
      </c>
      <c r="J1938">
        <v>0</v>
      </c>
      <c r="K1938">
        <v>0</v>
      </c>
      <c r="L1938">
        <v>16</v>
      </c>
      <c r="M1938">
        <v>0</v>
      </c>
      <c r="N1938">
        <v>0</v>
      </c>
      <c r="O1938">
        <v>0</v>
      </c>
    </row>
    <row r="1939" spans="1:15" x14ac:dyDescent="0.25">
      <c r="A1939" t="s">
        <v>935</v>
      </c>
      <c r="B1939" t="s">
        <v>1960</v>
      </c>
      <c r="C1939" t="s">
        <v>923</v>
      </c>
      <c r="D1939" t="s">
        <v>3063</v>
      </c>
      <c r="E1939" t="s">
        <v>3053</v>
      </c>
      <c r="F1939" t="s">
        <v>395</v>
      </c>
      <c r="G1939" t="s">
        <v>396</v>
      </c>
      <c r="H1939" t="s">
        <v>4313</v>
      </c>
      <c r="I1939">
        <v>21</v>
      </c>
      <c r="J1939">
        <v>0</v>
      </c>
      <c r="K1939">
        <v>0</v>
      </c>
      <c r="L1939">
        <v>21</v>
      </c>
      <c r="M1939">
        <v>0</v>
      </c>
      <c r="N1939">
        <v>0</v>
      </c>
      <c r="O1939">
        <v>0</v>
      </c>
    </row>
    <row r="1940" spans="1:15" x14ac:dyDescent="0.25">
      <c r="A1940" t="s">
        <v>11660</v>
      </c>
      <c r="B1940" t="s">
        <v>2041</v>
      </c>
      <c r="C1940" t="s">
        <v>923</v>
      </c>
      <c r="D1940" t="s">
        <v>3063</v>
      </c>
      <c r="E1940" t="s">
        <v>3053</v>
      </c>
      <c r="F1940" t="s">
        <v>395</v>
      </c>
      <c r="G1940" t="s">
        <v>396</v>
      </c>
      <c r="H1940" t="s">
        <v>11951</v>
      </c>
      <c r="I1940">
        <v>13</v>
      </c>
      <c r="J1940">
        <v>0</v>
      </c>
      <c r="K1940">
        <v>0</v>
      </c>
      <c r="L1940">
        <v>13</v>
      </c>
      <c r="M1940">
        <v>0</v>
      </c>
      <c r="N1940">
        <v>0</v>
      </c>
      <c r="O1940">
        <v>0</v>
      </c>
    </row>
    <row r="1941" spans="1:15" x14ac:dyDescent="0.25">
      <c r="A1941" t="s">
        <v>10631</v>
      </c>
      <c r="B1941" t="s">
        <v>2336</v>
      </c>
      <c r="C1941" t="s">
        <v>923</v>
      </c>
      <c r="D1941" t="s">
        <v>3063</v>
      </c>
      <c r="E1941" t="s">
        <v>3053</v>
      </c>
      <c r="F1941" t="s">
        <v>395</v>
      </c>
      <c r="G1941" t="s">
        <v>396</v>
      </c>
      <c r="H1941" t="s">
        <v>10945</v>
      </c>
      <c r="I1941">
        <v>5</v>
      </c>
      <c r="J1941">
        <v>5</v>
      </c>
      <c r="K1941">
        <v>0</v>
      </c>
      <c r="L1941">
        <v>0</v>
      </c>
      <c r="M1941">
        <v>0</v>
      </c>
      <c r="N1941">
        <v>0</v>
      </c>
      <c r="O1941">
        <v>0</v>
      </c>
    </row>
    <row r="1942" spans="1:15" x14ac:dyDescent="0.25">
      <c r="A1942" t="s">
        <v>1485</v>
      </c>
      <c r="B1942" t="s">
        <v>2836</v>
      </c>
      <c r="C1942" t="s">
        <v>927</v>
      </c>
      <c r="D1942" t="s">
        <v>3052</v>
      </c>
      <c r="E1942" t="s">
        <v>3053</v>
      </c>
      <c r="F1942" t="s">
        <v>395</v>
      </c>
      <c r="G1942" t="s">
        <v>396</v>
      </c>
      <c r="H1942" t="s">
        <v>14602</v>
      </c>
      <c r="I1942">
        <v>9</v>
      </c>
      <c r="J1942">
        <v>0</v>
      </c>
      <c r="K1942">
        <v>9</v>
      </c>
      <c r="L1942">
        <v>0</v>
      </c>
      <c r="M1942">
        <v>0</v>
      </c>
      <c r="N1942">
        <v>0</v>
      </c>
      <c r="O1942">
        <v>0</v>
      </c>
    </row>
    <row r="1943" spans="1:15" x14ac:dyDescent="0.25">
      <c r="A1943" t="s">
        <v>1006</v>
      </c>
      <c r="B1943" t="s">
        <v>2724</v>
      </c>
      <c r="C1943" t="s">
        <v>927</v>
      </c>
      <c r="D1943" t="s">
        <v>3052</v>
      </c>
      <c r="E1943" t="s">
        <v>3053</v>
      </c>
      <c r="F1943" t="s">
        <v>395</v>
      </c>
      <c r="G1943" t="s">
        <v>396</v>
      </c>
      <c r="H1943" t="s">
        <v>4314</v>
      </c>
      <c r="I1943">
        <v>14</v>
      </c>
      <c r="J1943">
        <v>1</v>
      </c>
      <c r="K1943">
        <v>0</v>
      </c>
      <c r="L1943">
        <v>0</v>
      </c>
      <c r="M1943">
        <v>0</v>
      </c>
      <c r="N1943">
        <v>0</v>
      </c>
      <c r="O1943">
        <v>13</v>
      </c>
    </row>
    <row r="1944" spans="1:15" x14ac:dyDescent="0.25">
      <c r="A1944" t="s">
        <v>1009</v>
      </c>
      <c r="B1944" t="s">
        <v>1958</v>
      </c>
      <c r="C1944" t="s">
        <v>923</v>
      </c>
      <c r="D1944" t="s">
        <v>3063</v>
      </c>
      <c r="E1944" t="s">
        <v>3053</v>
      </c>
      <c r="F1944" t="s">
        <v>395</v>
      </c>
      <c r="G1944" t="s">
        <v>396</v>
      </c>
      <c r="H1944" t="s">
        <v>4315</v>
      </c>
      <c r="I1944">
        <v>46</v>
      </c>
      <c r="J1944">
        <v>0</v>
      </c>
      <c r="K1944">
        <v>0</v>
      </c>
      <c r="L1944">
        <v>46</v>
      </c>
      <c r="M1944">
        <v>0</v>
      </c>
      <c r="N1944">
        <v>0</v>
      </c>
      <c r="O1944">
        <v>0</v>
      </c>
    </row>
    <row r="1945" spans="1:15" x14ac:dyDescent="0.25">
      <c r="A1945" t="s">
        <v>1489</v>
      </c>
      <c r="B1945" t="s">
        <v>2047</v>
      </c>
      <c r="C1945" t="s">
        <v>923</v>
      </c>
      <c r="D1945" t="s">
        <v>3063</v>
      </c>
      <c r="E1945" t="s">
        <v>3053</v>
      </c>
      <c r="F1945" t="s">
        <v>395</v>
      </c>
      <c r="G1945" t="s">
        <v>396</v>
      </c>
      <c r="H1945" t="s">
        <v>4316</v>
      </c>
      <c r="I1945">
        <v>2</v>
      </c>
      <c r="J1945">
        <v>0</v>
      </c>
      <c r="K1945">
        <v>0</v>
      </c>
      <c r="L1945">
        <v>2</v>
      </c>
      <c r="M1945">
        <v>0</v>
      </c>
      <c r="N1945">
        <v>0</v>
      </c>
      <c r="O1945">
        <v>0</v>
      </c>
    </row>
    <row r="1946" spans="1:15" x14ac:dyDescent="0.25">
      <c r="A1946" t="s">
        <v>938</v>
      </c>
      <c r="B1946" t="s">
        <v>2791</v>
      </c>
      <c r="C1946" t="s">
        <v>927</v>
      </c>
      <c r="D1946" t="s">
        <v>3052</v>
      </c>
      <c r="E1946" t="s">
        <v>3053</v>
      </c>
      <c r="F1946" t="s">
        <v>395</v>
      </c>
      <c r="G1946" t="s">
        <v>396</v>
      </c>
      <c r="H1946" t="s">
        <v>4317</v>
      </c>
      <c r="I1946">
        <v>16</v>
      </c>
      <c r="J1946">
        <v>0</v>
      </c>
      <c r="K1946">
        <v>0</v>
      </c>
      <c r="L1946">
        <v>16</v>
      </c>
      <c r="M1946">
        <v>0</v>
      </c>
      <c r="N1946">
        <v>0</v>
      </c>
      <c r="O1946">
        <v>0</v>
      </c>
    </row>
    <row r="1947" spans="1:15" x14ac:dyDescent="0.25">
      <c r="A1947" t="s">
        <v>9819</v>
      </c>
      <c r="B1947" t="s">
        <v>2916</v>
      </c>
      <c r="C1947" t="s">
        <v>927</v>
      </c>
      <c r="D1947" t="s">
        <v>3052</v>
      </c>
      <c r="E1947" t="s">
        <v>3053</v>
      </c>
      <c r="F1947" t="s">
        <v>395</v>
      </c>
      <c r="G1947" t="s">
        <v>396</v>
      </c>
      <c r="H1947" t="s">
        <v>10137</v>
      </c>
      <c r="I1947">
        <v>3675</v>
      </c>
      <c r="J1947">
        <v>3155</v>
      </c>
      <c r="K1947">
        <v>0</v>
      </c>
      <c r="L1947">
        <v>31</v>
      </c>
      <c r="M1947">
        <v>373</v>
      </c>
      <c r="N1947">
        <v>7</v>
      </c>
      <c r="O1947">
        <v>116</v>
      </c>
    </row>
    <row r="1948" spans="1:15" x14ac:dyDescent="0.25">
      <c r="A1948" t="s">
        <v>1025</v>
      </c>
      <c r="B1948" t="s">
        <v>2893</v>
      </c>
      <c r="C1948" t="s">
        <v>927</v>
      </c>
      <c r="D1948" t="s">
        <v>3052</v>
      </c>
      <c r="E1948" t="s">
        <v>3053</v>
      </c>
      <c r="F1948" t="s">
        <v>395</v>
      </c>
      <c r="G1948" t="s">
        <v>396</v>
      </c>
      <c r="H1948" t="s">
        <v>14603</v>
      </c>
      <c r="I1948">
        <v>39</v>
      </c>
      <c r="J1948">
        <v>0</v>
      </c>
      <c r="K1948">
        <v>0</v>
      </c>
      <c r="L1948">
        <v>0</v>
      </c>
      <c r="M1948">
        <v>0</v>
      </c>
      <c r="N1948">
        <v>0</v>
      </c>
      <c r="O1948">
        <v>39</v>
      </c>
    </row>
    <row r="1949" spans="1:15" x14ac:dyDescent="0.25">
      <c r="A1949" t="s">
        <v>1302</v>
      </c>
      <c r="B1949" t="s">
        <v>1961</v>
      </c>
      <c r="C1949" t="s">
        <v>923</v>
      </c>
      <c r="D1949" t="s">
        <v>3063</v>
      </c>
      <c r="E1949" t="s">
        <v>3053</v>
      </c>
      <c r="F1949" t="s">
        <v>395</v>
      </c>
      <c r="G1949" t="s">
        <v>396</v>
      </c>
      <c r="H1949" t="s">
        <v>4318</v>
      </c>
      <c r="I1949">
        <v>44</v>
      </c>
      <c r="J1949">
        <v>0</v>
      </c>
      <c r="K1949">
        <v>0</v>
      </c>
      <c r="L1949">
        <v>44</v>
      </c>
      <c r="M1949">
        <v>0</v>
      </c>
      <c r="N1949">
        <v>0</v>
      </c>
      <c r="O1949">
        <v>0</v>
      </c>
    </row>
    <row r="1950" spans="1:15" x14ac:dyDescent="0.25">
      <c r="A1950" t="s">
        <v>1520</v>
      </c>
      <c r="B1950" t="s">
        <v>2058</v>
      </c>
      <c r="C1950" t="s">
        <v>927</v>
      </c>
      <c r="D1950" t="s">
        <v>3052</v>
      </c>
      <c r="E1950" t="s">
        <v>3053</v>
      </c>
      <c r="F1950" t="s">
        <v>395</v>
      </c>
      <c r="G1950" t="s">
        <v>396</v>
      </c>
      <c r="H1950" t="s">
        <v>10946</v>
      </c>
      <c r="I1950">
        <v>51</v>
      </c>
      <c r="J1950">
        <v>25</v>
      </c>
      <c r="K1950">
        <v>0</v>
      </c>
      <c r="L1950">
        <v>0</v>
      </c>
      <c r="M1950">
        <v>0</v>
      </c>
      <c r="N1950">
        <v>0</v>
      </c>
      <c r="O1950">
        <v>26</v>
      </c>
    </row>
    <row r="1951" spans="1:15" x14ac:dyDescent="0.25">
      <c r="A1951" t="s">
        <v>1521</v>
      </c>
      <c r="B1951" t="s">
        <v>2920</v>
      </c>
      <c r="C1951" t="s">
        <v>927</v>
      </c>
      <c r="D1951" t="s">
        <v>3052</v>
      </c>
      <c r="E1951" t="s">
        <v>3053</v>
      </c>
      <c r="F1951" t="s">
        <v>395</v>
      </c>
      <c r="G1951" t="s">
        <v>396</v>
      </c>
      <c r="H1951" t="s">
        <v>10947</v>
      </c>
      <c r="I1951">
        <v>217</v>
      </c>
      <c r="J1951">
        <v>198</v>
      </c>
      <c r="K1951">
        <v>0</v>
      </c>
      <c r="L1951">
        <v>0</v>
      </c>
      <c r="M1951">
        <v>0</v>
      </c>
      <c r="N1951">
        <v>0</v>
      </c>
      <c r="O1951">
        <v>19</v>
      </c>
    </row>
    <row r="1952" spans="1:15" x14ac:dyDescent="0.25">
      <c r="A1952" t="s">
        <v>951</v>
      </c>
      <c r="B1952" t="s">
        <v>2680</v>
      </c>
      <c r="C1952" t="s">
        <v>927</v>
      </c>
      <c r="D1952" t="s">
        <v>3052</v>
      </c>
      <c r="E1952" t="s">
        <v>3053</v>
      </c>
      <c r="F1952" t="s">
        <v>395</v>
      </c>
      <c r="G1952" t="s">
        <v>396</v>
      </c>
      <c r="H1952" t="s">
        <v>4319</v>
      </c>
      <c r="I1952">
        <v>2026</v>
      </c>
      <c r="J1952">
        <v>1841</v>
      </c>
      <c r="K1952">
        <v>0</v>
      </c>
      <c r="L1952">
        <v>3</v>
      </c>
      <c r="M1952">
        <v>130</v>
      </c>
      <c r="N1952">
        <v>0</v>
      </c>
      <c r="O1952">
        <v>52</v>
      </c>
    </row>
    <row r="1953" spans="1:15" x14ac:dyDescent="0.25">
      <c r="A1953" t="s">
        <v>1048</v>
      </c>
      <c r="B1953" t="s">
        <v>2989</v>
      </c>
      <c r="C1953" t="s">
        <v>927</v>
      </c>
      <c r="D1953" t="s">
        <v>3052</v>
      </c>
      <c r="E1953" t="s">
        <v>3053</v>
      </c>
      <c r="F1953" t="s">
        <v>395</v>
      </c>
      <c r="G1953" t="s">
        <v>396</v>
      </c>
      <c r="H1953" t="s">
        <v>4320</v>
      </c>
      <c r="I1953">
        <v>77</v>
      </c>
      <c r="J1953">
        <v>2</v>
      </c>
      <c r="K1953">
        <v>0</v>
      </c>
      <c r="L1953">
        <v>37</v>
      </c>
      <c r="M1953">
        <v>38</v>
      </c>
      <c r="N1953">
        <v>0</v>
      </c>
      <c r="O1953">
        <v>0</v>
      </c>
    </row>
    <row r="1954" spans="1:15" x14ac:dyDescent="0.25">
      <c r="A1954" t="s">
        <v>1050</v>
      </c>
      <c r="B1954" t="s">
        <v>2018</v>
      </c>
      <c r="C1954" t="s">
        <v>923</v>
      </c>
      <c r="D1954" t="s">
        <v>3063</v>
      </c>
      <c r="E1954" t="s">
        <v>3053</v>
      </c>
      <c r="F1954" t="s">
        <v>395</v>
      </c>
      <c r="G1954" t="s">
        <v>396</v>
      </c>
      <c r="H1954" t="s">
        <v>4321</v>
      </c>
      <c r="I1954">
        <v>72</v>
      </c>
      <c r="J1954">
        <v>72</v>
      </c>
      <c r="K1954">
        <v>0</v>
      </c>
      <c r="L1954">
        <v>0</v>
      </c>
      <c r="M1954">
        <v>0</v>
      </c>
      <c r="N1954">
        <v>0</v>
      </c>
      <c r="O1954">
        <v>0</v>
      </c>
    </row>
    <row r="1955" spans="1:15" x14ac:dyDescent="0.25">
      <c r="A1955" t="s">
        <v>1051</v>
      </c>
      <c r="B1955" t="s">
        <v>2995</v>
      </c>
      <c r="C1955" t="s">
        <v>927</v>
      </c>
      <c r="D1955" t="s">
        <v>3052</v>
      </c>
      <c r="E1955" t="s">
        <v>3053</v>
      </c>
      <c r="F1955" t="s">
        <v>395</v>
      </c>
      <c r="G1955" t="s">
        <v>396</v>
      </c>
      <c r="H1955" t="s">
        <v>4322</v>
      </c>
      <c r="I1955">
        <v>359</v>
      </c>
      <c r="J1955">
        <v>246</v>
      </c>
      <c r="K1955">
        <v>0</v>
      </c>
      <c r="L1955">
        <v>87</v>
      </c>
      <c r="M1955">
        <v>0</v>
      </c>
      <c r="N1955">
        <v>0</v>
      </c>
      <c r="O1955">
        <v>26</v>
      </c>
    </row>
    <row r="1956" spans="1:15" x14ac:dyDescent="0.25">
      <c r="A1956" t="s">
        <v>1529</v>
      </c>
      <c r="B1956" t="s">
        <v>1954</v>
      </c>
      <c r="C1956" t="s">
        <v>927</v>
      </c>
      <c r="D1956" t="s">
        <v>3052</v>
      </c>
      <c r="E1956" t="s">
        <v>3053</v>
      </c>
      <c r="F1956" t="s">
        <v>395</v>
      </c>
      <c r="G1956" t="s">
        <v>396</v>
      </c>
      <c r="H1956" t="s">
        <v>4323</v>
      </c>
      <c r="I1956">
        <v>7</v>
      </c>
      <c r="J1956">
        <v>0</v>
      </c>
      <c r="K1956">
        <v>0</v>
      </c>
      <c r="L1956">
        <v>7</v>
      </c>
      <c r="M1956">
        <v>0</v>
      </c>
      <c r="N1956">
        <v>0</v>
      </c>
      <c r="O1956">
        <v>0</v>
      </c>
    </row>
    <row r="1957" spans="1:15" x14ac:dyDescent="0.25">
      <c r="A1957" t="s">
        <v>1057</v>
      </c>
      <c r="B1957" t="s">
        <v>1972</v>
      </c>
      <c r="C1957" t="s">
        <v>927</v>
      </c>
      <c r="D1957" t="s">
        <v>3052</v>
      </c>
      <c r="E1957" t="s">
        <v>3053</v>
      </c>
      <c r="F1957" t="s">
        <v>395</v>
      </c>
      <c r="G1957" t="s">
        <v>396</v>
      </c>
      <c r="H1957" t="s">
        <v>10397</v>
      </c>
      <c r="I1957">
        <v>4</v>
      </c>
      <c r="J1957">
        <v>0</v>
      </c>
      <c r="K1957">
        <v>0</v>
      </c>
      <c r="L1957">
        <v>4</v>
      </c>
      <c r="M1957">
        <v>0</v>
      </c>
      <c r="N1957">
        <v>0</v>
      </c>
      <c r="O1957">
        <v>0</v>
      </c>
    </row>
    <row r="1958" spans="1:15" x14ac:dyDescent="0.25">
      <c r="A1958" t="s">
        <v>1069</v>
      </c>
      <c r="B1958" t="s">
        <v>2001</v>
      </c>
      <c r="C1958" t="s">
        <v>927</v>
      </c>
      <c r="D1958" t="s">
        <v>3052</v>
      </c>
      <c r="E1958" t="s">
        <v>3053</v>
      </c>
      <c r="F1958" t="s">
        <v>395</v>
      </c>
      <c r="G1958" t="s">
        <v>396</v>
      </c>
      <c r="H1958" t="s">
        <v>4324</v>
      </c>
      <c r="I1958">
        <v>1</v>
      </c>
      <c r="J1958">
        <v>0</v>
      </c>
      <c r="K1958">
        <v>0</v>
      </c>
      <c r="L1958">
        <v>0</v>
      </c>
      <c r="M1958">
        <v>0</v>
      </c>
      <c r="N1958">
        <v>0</v>
      </c>
      <c r="O1958">
        <v>1</v>
      </c>
    </row>
    <row r="1959" spans="1:15" x14ac:dyDescent="0.25">
      <c r="A1959" t="s">
        <v>1075</v>
      </c>
      <c r="B1959" t="s">
        <v>2830</v>
      </c>
      <c r="C1959" t="s">
        <v>927</v>
      </c>
      <c r="D1959" t="s">
        <v>3052</v>
      </c>
      <c r="E1959" t="s">
        <v>3053</v>
      </c>
      <c r="F1959" t="s">
        <v>395</v>
      </c>
      <c r="G1959" t="s">
        <v>396</v>
      </c>
      <c r="H1959" t="s">
        <v>4325</v>
      </c>
      <c r="I1959">
        <v>35</v>
      </c>
      <c r="J1959">
        <v>0</v>
      </c>
      <c r="K1959">
        <v>0</v>
      </c>
      <c r="L1959">
        <v>0</v>
      </c>
      <c r="M1959">
        <v>0</v>
      </c>
      <c r="N1959">
        <v>0</v>
      </c>
      <c r="O1959">
        <v>35</v>
      </c>
    </row>
    <row r="1960" spans="1:15" x14ac:dyDescent="0.25">
      <c r="A1960" t="s">
        <v>1083</v>
      </c>
      <c r="B1960" t="s">
        <v>2757</v>
      </c>
      <c r="C1960" t="s">
        <v>927</v>
      </c>
      <c r="D1960" t="s">
        <v>3052</v>
      </c>
      <c r="E1960" t="s">
        <v>3053</v>
      </c>
      <c r="F1960" t="s">
        <v>395</v>
      </c>
      <c r="G1960" t="s">
        <v>396</v>
      </c>
      <c r="H1960" t="s">
        <v>4326</v>
      </c>
      <c r="I1960">
        <v>42</v>
      </c>
      <c r="J1960">
        <v>22</v>
      </c>
      <c r="K1960">
        <v>0</v>
      </c>
      <c r="L1960">
        <v>12</v>
      </c>
      <c r="M1960">
        <v>0</v>
      </c>
      <c r="N1960">
        <v>0</v>
      </c>
      <c r="O1960">
        <v>8</v>
      </c>
    </row>
    <row r="1961" spans="1:15" x14ac:dyDescent="0.25">
      <c r="A1961" t="s">
        <v>929</v>
      </c>
      <c r="B1961" t="s">
        <v>2999</v>
      </c>
      <c r="C1961" t="s">
        <v>927</v>
      </c>
      <c r="D1961" t="s">
        <v>3052</v>
      </c>
      <c r="E1961" t="s">
        <v>3053</v>
      </c>
      <c r="F1961" t="s">
        <v>397</v>
      </c>
      <c r="G1961" t="s">
        <v>398</v>
      </c>
      <c r="H1961" t="s">
        <v>4327</v>
      </c>
      <c r="I1961">
        <v>19</v>
      </c>
      <c r="J1961">
        <v>0</v>
      </c>
      <c r="K1961">
        <v>0</v>
      </c>
      <c r="L1961">
        <v>0</v>
      </c>
      <c r="M1961">
        <v>19</v>
      </c>
      <c r="N1961">
        <v>0</v>
      </c>
      <c r="O1961">
        <v>0</v>
      </c>
    </row>
    <row r="1962" spans="1:15" x14ac:dyDescent="0.25">
      <c r="A1962" t="s">
        <v>1158</v>
      </c>
      <c r="B1962" t="s">
        <v>2922</v>
      </c>
      <c r="C1962" t="s">
        <v>927</v>
      </c>
      <c r="D1962" t="s">
        <v>3052</v>
      </c>
      <c r="E1962" t="s">
        <v>3053</v>
      </c>
      <c r="F1962" t="s">
        <v>397</v>
      </c>
      <c r="G1962" t="s">
        <v>398</v>
      </c>
      <c r="H1962" t="s">
        <v>4328</v>
      </c>
      <c r="I1962">
        <v>17</v>
      </c>
      <c r="J1962">
        <v>0</v>
      </c>
      <c r="K1962">
        <v>0</v>
      </c>
      <c r="L1962">
        <v>17</v>
      </c>
      <c r="M1962">
        <v>0</v>
      </c>
      <c r="N1962">
        <v>0</v>
      </c>
      <c r="O1962">
        <v>0</v>
      </c>
    </row>
    <row r="1963" spans="1:15" x14ac:dyDescent="0.25">
      <c r="A1963" t="s">
        <v>1069</v>
      </c>
      <c r="B1963" t="s">
        <v>2001</v>
      </c>
      <c r="C1963" t="s">
        <v>927</v>
      </c>
      <c r="D1963" t="s">
        <v>3052</v>
      </c>
      <c r="E1963" t="s">
        <v>3053</v>
      </c>
      <c r="F1963" t="s">
        <v>397</v>
      </c>
      <c r="G1963" t="s">
        <v>398</v>
      </c>
      <c r="H1963" t="s">
        <v>4329</v>
      </c>
      <c r="I1963">
        <v>194</v>
      </c>
      <c r="J1963">
        <v>194</v>
      </c>
      <c r="K1963">
        <v>0</v>
      </c>
      <c r="L1963">
        <v>0</v>
      </c>
      <c r="M1963">
        <v>0</v>
      </c>
      <c r="N1963">
        <v>0</v>
      </c>
      <c r="O1963">
        <v>0</v>
      </c>
    </row>
    <row r="1964" spans="1:15" x14ac:dyDescent="0.25">
      <c r="A1964" t="s">
        <v>926</v>
      </c>
      <c r="B1964" t="s">
        <v>2923</v>
      </c>
      <c r="C1964" t="s">
        <v>927</v>
      </c>
      <c r="D1964" t="s">
        <v>3052</v>
      </c>
      <c r="E1964" t="s">
        <v>3053</v>
      </c>
      <c r="F1964" t="s">
        <v>399</v>
      </c>
      <c r="G1964" t="s">
        <v>400</v>
      </c>
      <c r="H1964" t="s">
        <v>4330</v>
      </c>
      <c r="I1964">
        <v>5</v>
      </c>
      <c r="J1964">
        <v>0</v>
      </c>
      <c r="K1964">
        <v>0</v>
      </c>
      <c r="L1964">
        <v>0</v>
      </c>
      <c r="M1964">
        <v>0</v>
      </c>
      <c r="N1964">
        <v>0</v>
      </c>
      <c r="O1964">
        <v>5</v>
      </c>
    </row>
    <row r="1965" spans="1:15" x14ac:dyDescent="0.25">
      <c r="A1965" t="s">
        <v>929</v>
      </c>
      <c r="B1965" t="s">
        <v>2999</v>
      </c>
      <c r="C1965" t="s">
        <v>927</v>
      </c>
      <c r="D1965" t="s">
        <v>3052</v>
      </c>
      <c r="E1965" t="s">
        <v>3053</v>
      </c>
      <c r="F1965" t="s">
        <v>399</v>
      </c>
      <c r="G1965" t="s">
        <v>400</v>
      </c>
      <c r="H1965" t="s">
        <v>4331</v>
      </c>
      <c r="I1965">
        <v>47</v>
      </c>
      <c r="J1965">
        <v>0</v>
      </c>
      <c r="K1965">
        <v>0</v>
      </c>
      <c r="L1965">
        <v>0</v>
      </c>
      <c r="M1965">
        <v>47</v>
      </c>
      <c r="N1965">
        <v>0</v>
      </c>
      <c r="O1965">
        <v>0</v>
      </c>
    </row>
    <row r="1966" spans="1:15" x14ac:dyDescent="0.25">
      <c r="A1966" t="s">
        <v>978</v>
      </c>
      <c r="B1966" t="s">
        <v>1999</v>
      </c>
      <c r="C1966" t="s">
        <v>923</v>
      </c>
      <c r="D1966" t="s">
        <v>3063</v>
      </c>
      <c r="E1966" t="s">
        <v>3053</v>
      </c>
      <c r="F1966" t="s">
        <v>399</v>
      </c>
      <c r="G1966" t="s">
        <v>400</v>
      </c>
      <c r="H1966" t="s">
        <v>10948</v>
      </c>
      <c r="I1966">
        <v>1</v>
      </c>
      <c r="J1966">
        <v>0</v>
      </c>
      <c r="K1966">
        <v>0</v>
      </c>
      <c r="L1966">
        <v>1</v>
      </c>
      <c r="M1966">
        <v>0</v>
      </c>
      <c r="N1966">
        <v>0</v>
      </c>
      <c r="O1966">
        <v>0</v>
      </c>
    </row>
    <row r="1967" spans="1:15" x14ac:dyDescent="0.25">
      <c r="A1967" t="s">
        <v>9790</v>
      </c>
      <c r="B1967" t="s">
        <v>1977</v>
      </c>
      <c r="C1967" t="s">
        <v>923</v>
      </c>
      <c r="D1967" t="s">
        <v>3063</v>
      </c>
      <c r="E1967" t="s">
        <v>3053</v>
      </c>
      <c r="F1967" t="s">
        <v>399</v>
      </c>
      <c r="G1967" t="s">
        <v>400</v>
      </c>
      <c r="H1967" t="s">
        <v>9908</v>
      </c>
      <c r="I1967">
        <v>3</v>
      </c>
      <c r="J1967">
        <v>0</v>
      </c>
      <c r="K1967">
        <v>0</v>
      </c>
      <c r="L1967">
        <v>3</v>
      </c>
      <c r="M1967">
        <v>0</v>
      </c>
      <c r="N1967">
        <v>0</v>
      </c>
      <c r="O1967">
        <v>0</v>
      </c>
    </row>
    <row r="1968" spans="1:15" x14ac:dyDescent="0.25">
      <c r="A1968" t="s">
        <v>1091</v>
      </c>
      <c r="B1968" t="s">
        <v>2951</v>
      </c>
      <c r="C1968" t="s">
        <v>923</v>
      </c>
      <c r="D1968" t="s">
        <v>3063</v>
      </c>
      <c r="E1968" t="s">
        <v>3053</v>
      </c>
      <c r="F1968" t="s">
        <v>399</v>
      </c>
      <c r="G1968" t="s">
        <v>400</v>
      </c>
      <c r="H1968" t="s">
        <v>4332</v>
      </c>
      <c r="I1968">
        <v>69</v>
      </c>
      <c r="J1968">
        <v>0</v>
      </c>
      <c r="K1968">
        <v>0</v>
      </c>
      <c r="L1968">
        <v>0</v>
      </c>
      <c r="M1968">
        <v>69</v>
      </c>
      <c r="N1968">
        <v>0</v>
      </c>
      <c r="O1968">
        <v>0</v>
      </c>
    </row>
    <row r="1969" spans="1:15" x14ac:dyDescent="0.25">
      <c r="A1969" t="s">
        <v>1095</v>
      </c>
      <c r="B1969" t="s">
        <v>1946</v>
      </c>
      <c r="C1969" t="s">
        <v>923</v>
      </c>
      <c r="D1969" t="s">
        <v>3063</v>
      </c>
      <c r="E1969" t="s">
        <v>3053</v>
      </c>
      <c r="F1969" t="s">
        <v>399</v>
      </c>
      <c r="G1969" t="s">
        <v>400</v>
      </c>
      <c r="H1969" t="s">
        <v>4333</v>
      </c>
      <c r="I1969">
        <v>44</v>
      </c>
      <c r="J1969">
        <v>0</v>
      </c>
      <c r="K1969">
        <v>0</v>
      </c>
      <c r="L1969">
        <v>44</v>
      </c>
      <c r="M1969">
        <v>0</v>
      </c>
      <c r="N1969">
        <v>0</v>
      </c>
      <c r="O1969">
        <v>0</v>
      </c>
    </row>
    <row r="1970" spans="1:15" x14ac:dyDescent="0.25">
      <c r="A1970" t="s">
        <v>1100</v>
      </c>
      <c r="B1970" t="s">
        <v>2855</v>
      </c>
      <c r="C1970" t="s">
        <v>927</v>
      </c>
      <c r="D1970" t="s">
        <v>3052</v>
      </c>
      <c r="E1970" t="s">
        <v>3053</v>
      </c>
      <c r="F1970" t="s">
        <v>399</v>
      </c>
      <c r="G1970" t="s">
        <v>400</v>
      </c>
      <c r="H1970" t="s">
        <v>4334</v>
      </c>
      <c r="I1970">
        <v>531</v>
      </c>
      <c r="J1970">
        <v>497</v>
      </c>
      <c r="K1970">
        <v>0</v>
      </c>
      <c r="L1970">
        <v>0</v>
      </c>
      <c r="M1970">
        <v>0</v>
      </c>
      <c r="N1970">
        <v>0</v>
      </c>
      <c r="O1970">
        <v>34</v>
      </c>
    </row>
    <row r="1971" spans="1:15" x14ac:dyDescent="0.25">
      <c r="A1971" t="s">
        <v>1102</v>
      </c>
      <c r="B1971" t="s">
        <v>2801</v>
      </c>
      <c r="C1971" t="s">
        <v>923</v>
      </c>
      <c r="D1971" t="s">
        <v>3063</v>
      </c>
      <c r="E1971" t="s">
        <v>3053</v>
      </c>
      <c r="F1971" t="s">
        <v>399</v>
      </c>
      <c r="G1971" t="s">
        <v>400</v>
      </c>
      <c r="H1971" t="s">
        <v>4335</v>
      </c>
      <c r="I1971">
        <v>5</v>
      </c>
      <c r="J1971">
        <v>5</v>
      </c>
      <c r="K1971">
        <v>0</v>
      </c>
      <c r="L1971">
        <v>0</v>
      </c>
      <c r="M1971">
        <v>0</v>
      </c>
      <c r="N1971">
        <v>0</v>
      </c>
      <c r="O1971">
        <v>0</v>
      </c>
    </row>
    <row r="1972" spans="1:15" x14ac:dyDescent="0.25">
      <c r="A1972" t="s">
        <v>933</v>
      </c>
      <c r="B1972" t="s">
        <v>2106</v>
      </c>
      <c r="C1972" t="s">
        <v>927</v>
      </c>
      <c r="D1972" t="s">
        <v>3052</v>
      </c>
      <c r="E1972" t="s">
        <v>3053</v>
      </c>
      <c r="F1972" t="s">
        <v>399</v>
      </c>
      <c r="G1972" t="s">
        <v>400</v>
      </c>
      <c r="H1972" t="s">
        <v>4336</v>
      </c>
      <c r="I1972">
        <v>45</v>
      </c>
      <c r="J1972">
        <v>21</v>
      </c>
      <c r="K1972">
        <v>0</v>
      </c>
      <c r="L1972">
        <v>22</v>
      </c>
      <c r="M1972">
        <v>0</v>
      </c>
      <c r="N1972">
        <v>0</v>
      </c>
      <c r="O1972">
        <v>2</v>
      </c>
    </row>
    <row r="1973" spans="1:15" x14ac:dyDescent="0.25">
      <c r="A1973" t="s">
        <v>1105</v>
      </c>
      <c r="B1973" t="s">
        <v>2918</v>
      </c>
      <c r="C1973" t="s">
        <v>923</v>
      </c>
      <c r="D1973" t="s">
        <v>3063</v>
      </c>
      <c r="E1973" t="s">
        <v>3053</v>
      </c>
      <c r="F1973" t="s">
        <v>399</v>
      </c>
      <c r="G1973" t="s">
        <v>400</v>
      </c>
      <c r="H1973" t="s">
        <v>4337</v>
      </c>
      <c r="I1973">
        <v>56</v>
      </c>
      <c r="J1973">
        <v>56</v>
      </c>
      <c r="K1973">
        <v>0</v>
      </c>
      <c r="L1973">
        <v>0</v>
      </c>
      <c r="M1973">
        <v>0</v>
      </c>
      <c r="N1973">
        <v>0</v>
      </c>
      <c r="O1973">
        <v>0</v>
      </c>
    </row>
    <row r="1974" spans="1:15" x14ac:dyDescent="0.25">
      <c r="A1974" t="s">
        <v>996</v>
      </c>
      <c r="B1974" t="s">
        <v>1952</v>
      </c>
      <c r="C1974" t="s">
        <v>923</v>
      </c>
      <c r="D1974" t="s">
        <v>3063</v>
      </c>
      <c r="E1974" t="s">
        <v>3053</v>
      </c>
      <c r="F1974" t="s">
        <v>399</v>
      </c>
      <c r="G1974" t="s">
        <v>400</v>
      </c>
      <c r="H1974" t="s">
        <v>4338</v>
      </c>
      <c r="I1974">
        <v>4</v>
      </c>
      <c r="J1974">
        <v>0</v>
      </c>
      <c r="K1974">
        <v>0</v>
      </c>
      <c r="L1974">
        <v>4</v>
      </c>
      <c r="M1974">
        <v>0</v>
      </c>
      <c r="N1974">
        <v>0</v>
      </c>
      <c r="O1974">
        <v>0</v>
      </c>
    </row>
    <row r="1975" spans="1:15" x14ac:dyDescent="0.25">
      <c r="A1975" t="s">
        <v>1110</v>
      </c>
      <c r="B1975" t="s">
        <v>2888</v>
      </c>
      <c r="C1975" t="s">
        <v>927</v>
      </c>
      <c r="D1975" t="s">
        <v>3052</v>
      </c>
      <c r="E1975" t="s">
        <v>3053</v>
      </c>
      <c r="F1975" t="s">
        <v>399</v>
      </c>
      <c r="G1975" t="s">
        <v>400</v>
      </c>
      <c r="H1975" t="s">
        <v>4339</v>
      </c>
      <c r="I1975">
        <v>1848</v>
      </c>
      <c r="J1975">
        <v>1518</v>
      </c>
      <c r="K1975">
        <v>0</v>
      </c>
      <c r="L1975">
        <v>61</v>
      </c>
      <c r="M1975">
        <v>88</v>
      </c>
      <c r="N1975">
        <v>1</v>
      </c>
      <c r="O1975">
        <v>181</v>
      </c>
    </row>
    <row r="1976" spans="1:15" x14ac:dyDescent="0.25">
      <c r="A1976" t="s">
        <v>935</v>
      </c>
      <c r="B1976" t="s">
        <v>1960</v>
      </c>
      <c r="C1976" t="s">
        <v>923</v>
      </c>
      <c r="D1976" t="s">
        <v>3063</v>
      </c>
      <c r="E1976" t="s">
        <v>3053</v>
      </c>
      <c r="F1976" t="s">
        <v>399</v>
      </c>
      <c r="G1976" t="s">
        <v>400</v>
      </c>
      <c r="H1976" t="s">
        <v>4340</v>
      </c>
      <c r="I1976">
        <v>2</v>
      </c>
      <c r="J1976">
        <v>0</v>
      </c>
      <c r="K1976">
        <v>0</v>
      </c>
      <c r="L1976">
        <v>2</v>
      </c>
      <c r="M1976">
        <v>0</v>
      </c>
      <c r="N1976">
        <v>0</v>
      </c>
      <c r="O1976">
        <v>0</v>
      </c>
    </row>
    <row r="1977" spans="1:15" x14ac:dyDescent="0.25">
      <c r="A1977" t="s">
        <v>11660</v>
      </c>
      <c r="B1977" t="s">
        <v>2041</v>
      </c>
      <c r="C1977" t="s">
        <v>923</v>
      </c>
      <c r="D1977" t="s">
        <v>3063</v>
      </c>
      <c r="E1977" t="s">
        <v>3053</v>
      </c>
      <c r="F1977" t="s">
        <v>399</v>
      </c>
      <c r="G1977" t="s">
        <v>400</v>
      </c>
      <c r="H1977" t="s">
        <v>14604</v>
      </c>
      <c r="I1977">
        <v>13</v>
      </c>
      <c r="J1977">
        <v>0</v>
      </c>
      <c r="K1977">
        <v>0</v>
      </c>
      <c r="L1977">
        <v>13</v>
      </c>
      <c r="M1977">
        <v>0</v>
      </c>
      <c r="N1977">
        <v>0</v>
      </c>
      <c r="O1977">
        <v>0</v>
      </c>
    </row>
    <row r="1978" spans="1:15" x14ac:dyDescent="0.25">
      <c r="A1978" t="s">
        <v>998</v>
      </c>
      <c r="B1978" t="s">
        <v>2820</v>
      </c>
      <c r="C1978" t="s">
        <v>927</v>
      </c>
      <c r="D1978" t="s">
        <v>3052</v>
      </c>
      <c r="E1978" t="s">
        <v>3053</v>
      </c>
      <c r="F1978" t="s">
        <v>399</v>
      </c>
      <c r="G1978" t="s">
        <v>400</v>
      </c>
      <c r="H1978" t="s">
        <v>4341</v>
      </c>
      <c r="I1978">
        <v>17</v>
      </c>
      <c r="J1978">
        <v>12</v>
      </c>
      <c r="K1978">
        <v>0</v>
      </c>
      <c r="L1978">
        <v>0</v>
      </c>
      <c r="M1978">
        <v>0</v>
      </c>
      <c r="N1978">
        <v>0</v>
      </c>
      <c r="O1978">
        <v>5</v>
      </c>
    </row>
    <row r="1979" spans="1:15" x14ac:dyDescent="0.25">
      <c r="A1979" t="s">
        <v>1111</v>
      </c>
      <c r="B1979" t="s">
        <v>2795</v>
      </c>
      <c r="C1979" t="s">
        <v>927</v>
      </c>
      <c r="D1979" t="s">
        <v>3052</v>
      </c>
      <c r="E1979" t="s">
        <v>3053</v>
      </c>
      <c r="F1979" t="s">
        <v>399</v>
      </c>
      <c r="G1979" t="s">
        <v>400</v>
      </c>
      <c r="H1979" t="s">
        <v>4342</v>
      </c>
      <c r="I1979">
        <v>282</v>
      </c>
      <c r="J1979">
        <v>236</v>
      </c>
      <c r="K1979">
        <v>0</v>
      </c>
      <c r="L1979">
        <v>8</v>
      </c>
      <c r="M1979">
        <v>0</v>
      </c>
      <c r="N1979">
        <v>0</v>
      </c>
      <c r="O1979">
        <v>38</v>
      </c>
    </row>
    <row r="1980" spans="1:15" x14ac:dyDescent="0.25">
      <c r="A1980" t="s">
        <v>1416</v>
      </c>
      <c r="B1980" t="s">
        <v>2029</v>
      </c>
      <c r="C1980" t="s">
        <v>923</v>
      </c>
      <c r="D1980" t="s">
        <v>3063</v>
      </c>
      <c r="E1980" t="s">
        <v>3053</v>
      </c>
      <c r="F1980" t="s">
        <v>399</v>
      </c>
      <c r="G1980" t="s">
        <v>400</v>
      </c>
      <c r="H1980" t="s">
        <v>11952</v>
      </c>
      <c r="I1980">
        <v>20</v>
      </c>
      <c r="J1980">
        <v>0</v>
      </c>
      <c r="K1980">
        <v>0</v>
      </c>
      <c r="L1980">
        <v>20</v>
      </c>
      <c r="M1980">
        <v>0</v>
      </c>
      <c r="N1980">
        <v>0</v>
      </c>
      <c r="O1980">
        <v>0</v>
      </c>
    </row>
    <row r="1981" spans="1:15" x14ac:dyDescent="0.25">
      <c r="A1981" t="s">
        <v>1000</v>
      </c>
      <c r="B1981" t="s">
        <v>1984</v>
      </c>
      <c r="C1981" t="s">
        <v>923</v>
      </c>
      <c r="D1981" t="s">
        <v>3063</v>
      </c>
      <c r="E1981" t="s">
        <v>3053</v>
      </c>
      <c r="F1981" t="s">
        <v>399</v>
      </c>
      <c r="G1981" t="s">
        <v>400</v>
      </c>
      <c r="H1981" t="s">
        <v>4343</v>
      </c>
      <c r="I1981">
        <v>15</v>
      </c>
      <c r="J1981">
        <v>0</v>
      </c>
      <c r="K1981">
        <v>0</v>
      </c>
      <c r="L1981">
        <v>15</v>
      </c>
      <c r="M1981">
        <v>0</v>
      </c>
      <c r="N1981">
        <v>0</v>
      </c>
      <c r="O1981">
        <v>0</v>
      </c>
    </row>
    <row r="1982" spans="1:15" x14ac:dyDescent="0.25">
      <c r="A1982" t="s">
        <v>1113</v>
      </c>
      <c r="B1982" t="s">
        <v>1953</v>
      </c>
      <c r="C1982" t="s">
        <v>927</v>
      </c>
      <c r="D1982" t="s">
        <v>3052</v>
      </c>
      <c r="E1982" t="s">
        <v>3053</v>
      </c>
      <c r="F1982" t="s">
        <v>399</v>
      </c>
      <c r="G1982" t="s">
        <v>400</v>
      </c>
      <c r="H1982" t="s">
        <v>4344</v>
      </c>
      <c r="I1982">
        <v>379</v>
      </c>
      <c r="J1982">
        <v>331</v>
      </c>
      <c r="K1982">
        <v>0</v>
      </c>
      <c r="L1982">
        <v>0</v>
      </c>
      <c r="M1982">
        <v>0</v>
      </c>
      <c r="N1982">
        <v>8</v>
      </c>
      <c r="O1982">
        <v>48</v>
      </c>
    </row>
    <row r="1983" spans="1:15" x14ac:dyDescent="0.25">
      <c r="A1983" t="s">
        <v>10638</v>
      </c>
      <c r="B1983" t="s">
        <v>2057</v>
      </c>
      <c r="C1983" t="s">
        <v>927</v>
      </c>
      <c r="D1983" t="s">
        <v>3052</v>
      </c>
      <c r="E1983" t="s">
        <v>3053</v>
      </c>
      <c r="F1983" t="s">
        <v>399</v>
      </c>
      <c r="G1983" t="s">
        <v>400</v>
      </c>
      <c r="H1983" t="s">
        <v>10949</v>
      </c>
      <c r="I1983">
        <v>8</v>
      </c>
      <c r="J1983">
        <v>0</v>
      </c>
      <c r="K1983">
        <v>0</v>
      </c>
      <c r="L1983">
        <v>8</v>
      </c>
      <c r="M1983">
        <v>0</v>
      </c>
      <c r="N1983">
        <v>0</v>
      </c>
      <c r="O1983">
        <v>0</v>
      </c>
    </row>
    <row r="1984" spans="1:15" x14ac:dyDescent="0.25">
      <c r="A1984" t="s">
        <v>1008</v>
      </c>
      <c r="B1984" t="s">
        <v>2928</v>
      </c>
      <c r="C1984" t="s">
        <v>927</v>
      </c>
      <c r="D1984" t="s">
        <v>3052</v>
      </c>
      <c r="E1984" t="s">
        <v>3053</v>
      </c>
      <c r="F1984" t="s">
        <v>399</v>
      </c>
      <c r="G1984" t="s">
        <v>400</v>
      </c>
      <c r="H1984" t="s">
        <v>4345</v>
      </c>
      <c r="I1984">
        <v>30</v>
      </c>
      <c r="J1984">
        <v>24</v>
      </c>
      <c r="K1984">
        <v>0</v>
      </c>
      <c r="L1984">
        <v>6</v>
      </c>
      <c r="M1984">
        <v>0</v>
      </c>
      <c r="N1984">
        <v>0</v>
      </c>
      <c r="O1984">
        <v>0</v>
      </c>
    </row>
    <row r="1985" spans="1:15" x14ac:dyDescent="0.25">
      <c r="A1985" t="s">
        <v>1010</v>
      </c>
      <c r="B1985" t="s">
        <v>2639</v>
      </c>
      <c r="C1985" t="s">
        <v>927</v>
      </c>
      <c r="D1985" t="s">
        <v>3052</v>
      </c>
      <c r="E1985" t="s">
        <v>3053</v>
      </c>
      <c r="F1985" t="s">
        <v>399</v>
      </c>
      <c r="G1985" t="s">
        <v>400</v>
      </c>
      <c r="H1985" t="s">
        <v>4346</v>
      </c>
      <c r="I1985">
        <v>7</v>
      </c>
      <c r="J1985">
        <v>5</v>
      </c>
      <c r="K1985">
        <v>0</v>
      </c>
      <c r="L1985">
        <v>0</v>
      </c>
      <c r="M1985">
        <v>0</v>
      </c>
      <c r="N1985">
        <v>0</v>
      </c>
      <c r="O1985">
        <v>2</v>
      </c>
    </row>
    <row r="1986" spans="1:15" x14ac:dyDescent="0.25">
      <c r="A1986" t="s">
        <v>937</v>
      </c>
      <c r="B1986" t="s">
        <v>1962</v>
      </c>
      <c r="C1986" t="s">
        <v>927</v>
      </c>
      <c r="D1986" t="s">
        <v>3052</v>
      </c>
      <c r="E1986" t="s">
        <v>3053</v>
      </c>
      <c r="F1986" t="s">
        <v>399</v>
      </c>
      <c r="G1986" t="s">
        <v>400</v>
      </c>
      <c r="H1986" t="s">
        <v>4347</v>
      </c>
      <c r="I1986">
        <v>1</v>
      </c>
      <c r="J1986">
        <v>0</v>
      </c>
      <c r="K1986">
        <v>0</v>
      </c>
      <c r="L1986">
        <v>0</v>
      </c>
      <c r="M1986">
        <v>0</v>
      </c>
      <c r="N1986">
        <v>0</v>
      </c>
      <c r="O1986">
        <v>1</v>
      </c>
    </row>
    <row r="1987" spans="1:15" x14ac:dyDescent="0.25">
      <c r="A1987" t="s">
        <v>938</v>
      </c>
      <c r="B1987" t="s">
        <v>2791</v>
      </c>
      <c r="C1987" t="s">
        <v>927</v>
      </c>
      <c r="D1987" t="s">
        <v>3052</v>
      </c>
      <c r="E1987" t="s">
        <v>3053</v>
      </c>
      <c r="F1987" t="s">
        <v>399</v>
      </c>
      <c r="G1987" t="s">
        <v>400</v>
      </c>
      <c r="H1987" t="s">
        <v>4348</v>
      </c>
      <c r="I1987">
        <v>92</v>
      </c>
      <c r="J1987">
        <v>83</v>
      </c>
      <c r="K1987">
        <v>0</v>
      </c>
      <c r="L1987">
        <v>0</v>
      </c>
      <c r="M1987">
        <v>0</v>
      </c>
      <c r="N1987">
        <v>0</v>
      </c>
      <c r="O1987">
        <v>9</v>
      </c>
    </row>
    <row r="1988" spans="1:15" x14ac:dyDescent="0.25">
      <c r="A1988" t="s">
        <v>1013</v>
      </c>
      <c r="B1988" t="s">
        <v>1959</v>
      </c>
      <c r="C1988" t="s">
        <v>927</v>
      </c>
      <c r="D1988" t="s">
        <v>3052</v>
      </c>
      <c r="E1988" t="s">
        <v>3053</v>
      </c>
      <c r="F1988" t="s">
        <v>399</v>
      </c>
      <c r="G1988" t="s">
        <v>400</v>
      </c>
      <c r="H1988" t="s">
        <v>4349</v>
      </c>
      <c r="I1988">
        <v>20</v>
      </c>
      <c r="J1988">
        <v>0</v>
      </c>
      <c r="K1988">
        <v>0</v>
      </c>
      <c r="L1988">
        <v>20</v>
      </c>
      <c r="M1988">
        <v>0</v>
      </c>
      <c r="N1988">
        <v>0</v>
      </c>
      <c r="O1988">
        <v>0</v>
      </c>
    </row>
    <row r="1989" spans="1:15" x14ac:dyDescent="0.25">
      <c r="A1989" t="s">
        <v>1126</v>
      </c>
      <c r="B1989" t="s">
        <v>2130</v>
      </c>
      <c r="C1989" t="s">
        <v>927</v>
      </c>
      <c r="D1989" t="s">
        <v>3052</v>
      </c>
      <c r="E1989" t="s">
        <v>3053</v>
      </c>
      <c r="F1989" t="s">
        <v>399</v>
      </c>
      <c r="G1989" t="s">
        <v>400</v>
      </c>
      <c r="H1989" t="s">
        <v>10950</v>
      </c>
      <c r="I1989">
        <v>14</v>
      </c>
      <c r="J1989">
        <v>0</v>
      </c>
      <c r="K1989">
        <v>0</v>
      </c>
      <c r="L1989">
        <v>0</v>
      </c>
      <c r="M1989">
        <v>0</v>
      </c>
      <c r="N1989">
        <v>0</v>
      </c>
      <c r="O1989">
        <v>14</v>
      </c>
    </row>
    <row r="1990" spans="1:15" x14ac:dyDescent="0.25">
      <c r="A1990" t="s">
        <v>1127</v>
      </c>
      <c r="B1990" t="s">
        <v>3034</v>
      </c>
      <c r="C1990" t="s">
        <v>927</v>
      </c>
      <c r="D1990" t="s">
        <v>3052</v>
      </c>
      <c r="E1990" t="s">
        <v>3053</v>
      </c>
      <c r="F1990" t="s">
        <v>399</v>
      </c>
      <c r="G1990" t="s">
        <v>400</v>
      </c>
      <c r="H1990" t="s">
        <v>4350</v>
      </c>
      <c r="I1990">
        <v>14</v>
      </c>
      <c r="J1990">
        <v>14</v>
      </c>
      <c r="K1990">
        <v>0</v>
      </c>
      <c r="L1990">
        <v>0</v>
      </c>
      <c r="M1990">
        <v>0</v>
      </c>
      <c r="N1990">
        <v>0</v>
      </c>
      <c r="O1990">
        <v>0</v>
      </c>
    </row>
    <row r="1991" spans="1:15" x14ac:dyDescent="0.25">
      <c r="A1991" t="s">
        <v>1025</v>
      </c>
      <c r="B1991" t="s">
        <v>2893</v>
      </c>
      <c r="C1991" t="s">
        <v>927</v>
      </c>
      <c r="D1991" t="s">
        <v>3052</v>
      </c>
      <c r="E1991" t="s">
        <v>3053</v>
      </c>
      <c r="F1991" t="s">
        <v>399</v>
      </c>
      <c r="G1991" t="s">
        <v>400</v>
      </c>
      <c r="H1991" t="s">
        <v>4351</v>
      </c>
      <c r="I1991">
        <v>51</v>
      </c>
      <c r="J1991">
        <v>43</v>
      </c>
      <c r="K1991">
        <v>0</v>
      </c>
      <c r="L1991">
        <v>4</v>
      </c>
      <c r="M1991">
        <v>0</v>
      </c>
      <c r="N1991">
        <v>0</v>
      </c>
      <c r="O1991">
        <v>4</v>
      </c>
    </row>
    <row r="1992" spans="1:15" x14ac:dyDescent="0.25">
      <c r="A1992" t="s">
        <v>10681</v>
      </c>
      <c r="B1992" t="s">
        <v>10680</v>
      </c>
      <c r="C1992" t="s">
        <v>927</v>
      </c>
      <c r="D1992" t="s">
        <v>3052</v>
      </c>
      <c r="E1992" t="s">
        <v>3053</v>
      </c>
      <c r="F1992" t="s">
        <v>399</v>
      </c>
      <c r="G1992" t="s">
        <v>400</v>
      </c>
      <c r="H1992" t="s">
        <v>14605</v>
      </c>
      <c r="I1992">
        <v>6</v>
      </c>
      <c r="J1992">
        <v>0</v>
      </c>
      <c r="K1992">
        <v>0</v>
      </c>
      <c r="L1992">
        <v>0</v>
      </c>
      <c r="M1992">
        <v>0</v>
      </c>
      <c r="N1992">
        <v>0</v>
      </c>
      <c r="O1992">
        <v>6</v>
      </c>
    </row>
    <row r="1993" spans="1:15" x14ac:dyDescent="0.25">
      <c r="A1993" t="s">
        <v>1129</v>
      </c>
      <c r="B1993" t="s">
        <v>2731</v>
      </c>
      <c r="C1993" t="s">
        <v>923</v>
      </c>
      <c r="D1993" t="s">
        <v>3063</v>
      </c>
      <c r="E1993" t="s">
        <v>3053</v>
      </c>
      <c r="F1993" t="s">
        <v>399</v>
      </c>
      <c r="G1993" t="s">
        <v>400</v>
      </c>
      <c r="H1993" t="s">
        <v>4352</v>
      </c>
      <c r="I1993">
        <v>41</v>
      </c>
      <c r="J1993">
        <v>0</v>
      </c>
      <c r="K1993">
        <v>0</v>
      </c>
      <c r="L1993">
        <v>0</v>
      </c>
      <c r="M1993">
        <v>41</v>
      </c>
      <c r="N1993">
        <v>0</v>
      </c>
      <c r="O1993">
        <v>0</v>
      </c>
    </row>
    <row r="1994" spans="1:15" x14ac:dyDescent="0.25">
      <c r="A1994" t="s">
        <v>1033</v>
      </c>
      <c r="B1994" t="s">
        <v>2039</v>
      </c>
      <c r="C1994" t="s">
        <v>923</v>
      </c>
      <c r="D1994" t="s">
        <v>3063</v>
      </c>
      <c r="E1994" t="s">
        <v>3053</v>
      </c>
      <c r="F1994" t="s">
        <v>399</v>
      </c>
      <c r="G1994" t="s">
        <v>400</v>
      </c>
      <c r="H1994" t="s">
        <v>4353</v>
      </c>
      <c r="I1994">
        <v>13</v>
      </c>
      <c r="J1994">
        <v>0</v>
      </c>
      <c r="K1994">
        <v>0</v>
      </c>
      <c r="L1994">
        <v>13</v>
      </c>
      <c r="M1994">
        <v>0</v>
      </c>
      <c r="N1994">
        <v>0</v>
      </c>
      <c r="O1994">
        <v>0</v>
      </c>
    </row>
    <row r="1995" spans="1:15" x14ac:dyDescent="0.25">
      <c r="A1995" t="s">
        <v>1134</v>
      </c>
      <c r="B1995" t="s">
        <v>2118</v>
      </c>
      <c r="C1995" t="s">
        <v>927</v>
      </c>
      <c r="D1995" t="s">
        <v>3052</v>
      </c>
      <c r="E1995" t="s">
        <v>3053</v>
      </c>
      <c r="F1995" t="s">
        <v>399</v>
      </c>
      <c r="G1995" t="s">
        <v>400</v>
      </c>
      <c r="H1995" t="s">
        <v>4354</v>
      </c>
      <c r="I1995">
        <v>345</v>
      </c>
      <c r="J1995">
        <v>287</v>
      </c>
      <c r="K1995">
        <v>0</v>
      </c>
      <c r="L1995">
        <v>48</v>
      </c>
      <c r="M1995">
        <v>0</v>
      </c>
      <c r="N1995">
        <v>7</v>
      </c>
      <c r="O1995">
        <v>10</v>
      </c>
    </row>
    <row r="1996" spans="1:15" x14ac:dyDescent="0.25">
      <c r="A1996" t="s">
        <v>1141</v>
      </c>
      <c r="B1996" t="s">
        <v>2642</v>
      </c>
      <c r="C1996" t="s">
        <v>927</v>
      </c>
      <c r="D1996" t="s">
        <v>3052</v>
      </c>
      <c r="E1996" t="s">
        <v>3053</v>
      </c>
      <c r="F1996" t="s">
        <v>399</v>
      </c>
      <c r="G1996" t="s">
        <v>400</v>
      </c>
      <c r="H1996" t="s">
        <v>4355</v>
      </c>
      <c r="I1996">
        <v>9</v>
      </c>
      <c r="J1996">
        <v>0</v>
      </c>
      <c r="K1996">
        <v>0</v>
      </c>
      <c r="L1996">
        <v>9</v>
      </c>
      <c r="M1996">
        <v>0</v>
      </c>
      <c r="N1996">
        <v>0</v>
      </c>
      <c r="O1996">
        <v>0</v>
      </c>
    </row>
    <row r="1997" spans="1:15" x14ac:dyDescent="0.25">
      <c r="A1997" t="s">
        <v>1145</v>
      </c>
      <c r="B1997" t="s">
        <v>2814</v>
      </c>
      <c r="C1997" t="s">
        <v>923</v>
      </c>
      <c r="D1997" t="s">
        <v>3063</v>
      </c>
      <c r="E1997" t="s">
        <v>3053</v>
      </c>
      <c r="F1997" t="s">
        <v>399</v>
      </c>
      <c r="G1997" t="s">
        <v>400</v>
      </c>
      <c r="H1997" t="s">
        <v>11953</v>
      </c>
      <c r="I1997">
        <v>8</v>
      </c>
      <c r="J1997">
        <v>8</v>
      </c>
      <c r="K1997">
        <v>0</v>
      </c>
      <c r="L1997">
        <v>0</v>
      </c>
      <c r="M1997">
        <v>0</v>
      </c>
      <c r="N1997">
        <v>0</v>
      </c>
      <c r="O1997">
        <v>0</v>
      </c>
    </row>
    <row r="1998" spans="1:15" x14ac:dyDescent="0.25">
      <c r="A1998" t="s">
        <v>1146</v>
      </c>
      <c r="B1998" t="s">
        <v>2117</v>
      </c>
      <c r="C1998" t="s">
        <v>927</v>
      </c>
      <c r="D1998" t="s">
        <v>3052</v>
      </c>
      <c r="E1998" t="s">
        <v>3053</v>
      </c>
      <c r="F1998" t="s">
        <v>399</v>
      </c>
      <c r="G1998" t="s">
        <v>400</v>
      </c>
      <c r="H1998" t="s">
        <v>10951</v>
      </c>
      <c r="I1998">
        <v>420</v>
      </c>
      <c r="J1998">
        <v>241</v>
      </c>
      <c r="K1998">
        <v>0</v>
      </c>
      <c r="L1998">
        <v>176</v>
      </c>
      <c r="M1998">
        <v>0</v>
      </c>
      <c r="N1998">
        <v>0</v>
      </c>
      <c r="O1998">
        <v>3</v>
      </c>
    </row>
    <row r="1999" spans="1:15" x14ac:dyDescent="0.25">
      <c r="A1999" t="s">
        <v>951</v>
      </c>
      <c r="B1999" t="s">
        <v>2680</v>
      </c>
      <c r="C1999" t="s">
        <v>927</v>
      </c>
      <c r="D1999" t="s">
        <v>3052</v>
      </c>
      <c r="E1999" t="s">
        <v>3053</v>
      </c>
      <c r="F1999" t="s">
        <v>399</v>
      </c>
      <c r="G1999" t="s">
        <v>400</v>
      </c>
      <c r="H1999" t="s">
        <v>4356</v>
      </c>
      <c r="I1999">
        <v>160</v>
      </c>
      <c r="J1999">
        <v>151</v>
      </c>
      <c r="K1999">
        <v>0</v>
      </c>
      <c r="L1999">
        <v>3</v>
      </c>
      <c r="M1999">
        <v>0</v>
      </c>
      <c r="N1999">
        <v>0</v>
      </c>
      <c r="O1999">
        <v>6</v>
      </c>
    </row>
    <row r="2000" spans="1:15" x14ac:dyDescent="0.25">
      <c r="A2000" t="s">
        <v>1048</v>
      </c>
      <c r="B2000" t="s">
        <v>2989</v>
      </c>
      <c r="C2000" t="s">
        <v>927</v>
      </c>
      <c r="D2000" t="s">
        <v>3052</v>
      </c>
      <c r="E2000" t="s">
        <v>3053</v>
      </c>
      <c r="F2000" t="s">
        <v>399</v>
      </c>
      <c r="G2000" t="s">
        <v>400</v>
      </c>
      <c r="H2000" t="s">
        <v>4357</v>
      </c>
      <c r="I2000">
        <v>6</v>
      </c>
      <c r="J2000">
        <v>0</v>
      </c>
      <c r="K2000">
        <v>0</v>
      </c>
      <c r="L2000">
        <v>6</v>
      </c>
      <c r="M2000">
        <v>0</v>
      </c>
      <c r="N2000">
        <v>0</v>
      </c>
      <c r="O2000">
        <v>0</v>
      </c>
    </row>
    <row r="2001" spans="1:15" x14ac:dyDescent="0.25">
      <c r="A2001" t="s">
        <v>1051</v>
      </c>
      <c r="B2001" t="s">
        <v>2995</v>
      </c>
      <c r="C2001" t="s">
        <v>927</v>
      </c>
      <c r="D2001" t="s">
        <v>3052</v>
      </c>
      <c r="E2001" t="s">
        <v>3053</v>
      </c>
      <c r="F2001" t="s">
        <v>399</v>
      </c>
      <c r="G2001" t="s">
        <v>400</v>
      </c>
      <c r="H2001" t="s">
        <v>4358</v>
      </c>
      <c r="I2001">
        <v>19</v>
      </c>
      <c r="J2001">
        <v>0</v>
      </c>
      <c r="K2001">
        <v>0</v>
      </c>
      <c r="L2001">
        <v>19</v>
      </c>
      <c r="M2001">
        <v>0</v>
      </c>
      <c r="N2001">
        <v>0</v>
      </c>
      <c r="O2001">
        <v>0</v>
      </c>
    </row>
    <row r="2002" spans="1:15" x14ac:dyDescent="0.25">
      <c r="A2002" t="s">
        <v>1152</v>
      </c>
      <c r="B2002" t="s">
        <v>3031</v>
      </c>
      <c r="C2002" t="s">
        <v>927</v>
      </c>
      <c r="D2002" t="s">
        <v>3052</v>
      </c>
      <c r="E2002" t="s">
        <v>3053</v>
      </c>
      <c r="F2002" t="s">
        <v>399</v>
      </c>
      <c r="G2002" t="s">
        <v>400</v>
      </c>
      <c r="H2002" t="s">
        <v>4359</v>
      </c>
      <c r="I2002">
        <v>4</v>
      </c>
      <c r="J2002">
        <v>0</v>
      </c>
      <c r="K2002">
        <v>0</v>
      </c>
      <c r="L2002">
        <v>0</v>
      </c>
      <c r="M2002">
        <v>0</v>
      </c>
      <c r="N2002">
        <v>0</v>
      </c>
      <c r="O2002">
        <v>4</v>
      </c>
    </row>
    <row r="2003" spans="1:15" x14ac:dyDescent="0.25">
      <c r="A2003" t="s">
        <v>11720</v>
      </c>
      <c r="B2003" t="s">
        <v>10718</v>
      </c>
      <c r="C2003" t="s">
        <v>927</v>
      </c>
      <c r="D2003" t="s">
        <v>3052</v>
      </c>
      <c r="E2003" t="s">
        <v>3053</v>
      </c>
      <c r="F2003" t="s">
        <v>399</v>
      </c>
      <c r="G2003" t="s">
        <v>400</v>
      </c>
      <c r="H2003" t="s">
        <v>14606</v>
      </c>
      <c r="I2003">
        <v>120</v>
      </c>
      <c r="J2003">
        <v>90</v>
      </c>
      <c r="K2003">
        <v>0</v>
      </c>
      <c r="L2003">
        <v>0</v>
      </c>
      <c r="M2003">
        <v>0</v>
      </c>
      <c r="N2003">
        <v>0</v>
      </c>
      <c r="O2003">
        <v>30</v>
      </c>
    </row>
    <row r="2004" spans="1:15" x14ac:dyDescent="0.25">
      <c r="A2004" t="s">
        <v>9788</v>
      </c>
      <c r="B2004" t="s">
        <v>9871</v>
      </c>
      <c r="C2004" t="s">
        <v>927</v>
      </c>
      <c r="D2004" t="s">
        <v>3052</v>
      </c>
      <c r="E2004" t="s">
        <v>3053</v>
      </c>
      <c r="F2004" t="s">
        <v>399</v>
      </c>
      <c r="G2004" t="s">
        <v>400</v>
      </c>
      <c r="H2004" t="s">
        <v>14607</v>
      </c>
      <c r="I2004">
        <v>16</v>
      </c>
      <c r="J2004">
        <v>16</v>
      </c>
      <c r="K2004">
        <v>0</v>
      </c>
      <c r="L2004">
        <v>0</v>
      </c>
      <c r="M2004">
        <v>0</v>
      </c>
      <c r="N2004">
        <v>0</v>
      </c>
      <c r="O2004">
        <v>0</v>
      </c>
    </row>
    <row r="2005" spans="1:15" x14ac:dyDescent="0.25">
      <c r="A2005" t="s">
        <v>1056</v>
      </c>
      <c r="B2005" t="s">
        <v>2966</v>
      </c>
      <c r="C2005" t="s">
        <v>927</v>
      </c>
      <c r="D2005" t="s">
        <v>3052</v>
      </c>
      <c r="E2005" t="s">
        <v>3053</v>
      </c>
      <c r="F2005" t="s">
        <v>399</v>
      </c>
      <c r="G2005" t="s">
        <v>400</v>
      </c>
      <c r="H2005" t="s">
        <v>4360</v>
      </c>
      <c r="I2005">
        <v>23</v>
      </c>
      <c r="J2005">
        <v>23</v>
      </c>
      <c r="K2005">
        <v>0</v>
      </c>
      <c r="L2005">
        <v>0</v>
      </c>
      <c r="M2005">
        <v>0</v>
      </c>
      <c r="N2005">
        <v>0</v>
      </c>
      <c r="O2005">
        <v>0</v>
      </c>
    </row>
    <row r="2006" spans="1:15" x14ac:dyDescent="0.25">
      <c r="A2006" t="s">
        <v>955</v>
      </c>
      <c r="B2006" t="s">
        <v>2660</v>
      </c>
      <c r="C2006" t="s">
        <v>927</v>
      </c>
      <c r="D2006" t="s">
        <v>3052</v>
      </c>
      <c r="E2006" t="s">
        <v>3053</v>
      </c>
      <c r="F2006" t="s">
        <v>399</v>
      </c>
      <c r="G2006" t="s">
        <v>400</v>
      </c>
      <c r="H2006" t="s">
        <v>4361</v>
      </c>
      <c r="I2006">
        <v>381</v>
      </c>
      <c r="J2006">
        <v>281</v>
      </c>
      <c r="K2006">
        <v>0</v>
      </c>
      <c r="L2006">
        <v>68</v>
      </c>
      <c r="M2006">
        <v>16</v>
      </c>
      <c r="N2006">
        <v>0</v>
      </c>
      <c r="O2006">
        <v>16</v>
      </c>
    </row>
    <row r="2007" spans="1:15" x14ac:dyDescent="0.25">
      <c r="A2007" t="s">
        <v>14374</v>
      </c>
      <c r="B2007" t="s">
        <v>1943</v>
      </c>
      <c r="C2007" t="s">
        <v>927</v>
      </c>
      <c r="D2007" t="s">
        <v>3052</v>
      </c>
      <c r="E2007" t="s">
        <v>3053</v>
      </c>
      <c r="F2007" t="s">
        <v>399</v>
      </c>
      <c r="G2007" t="s">
        <v>400</v>
      </c>
      <c r="H2007" t="s">
        <v>14608</v>
      </c>
      <c r="I2007">
        <v>1</v>
      </c>
      <c r="J2007">
        <v>0</v>
      </c>
      <c r="K2007">
        <v>0</v>
      </c>
      <c r="L2007">
        <v>0</v>
      </c>
      <c r="M2007">
        <v>0</v>
      </c>
      <c r="N2007">
        <v>0</v>
      </c>
      <c r="O2007">
        <v>1</v>
      </c>
    </row>
    <row r="2008" spans="1:15" x14ac:dyDescent="0.25">
      <c r="A2008" t="s">
        <v>11772</v>
      </c>
      <c r="B2008" t="s">
        <v>11771</v>
      </c>
      <c r="C2008" t="s">
        <v>923</v>
      </c>
      <c r="D2008" t="s">
        <v>3063</v>
      </c>
      <c r="E2008" t="s">
        <v>3053</v>
      </c>
      <c r="F2008" t="s">
        <v>399</v>
      </c>
      <c r="G2008" t="s">
        <v>400</v>
      </c>
      <c r="H2008" t="s">
        <v>14609</v>
      </c>
      <c r="I2008">
        <v>6</v>
      </c>
      <c r="J2008">
        <v>6</v>
      </c>
      <c r="K2008">
        <v>0</v>
      </c>
      <c r="L2008">
        <v>0</v>
      </c>
      <c r="M2008">
        <v>0</v>
      </c>
      <c r="N2008">
        <v>0</v>
      </c>
      <c r="O2008">
        <v>0</v>
      </c>
    </row>
    <row r="2009" spans="1:15" x14ac:dyDescent="0.25">
      <c r="A2009" t="s">
        <v>1159</v>
      </c>
      <c r="B2009" t="s">
        <v>2829</v>
      </c>
      <c r="C2009" t="s">
        <v>927</v>
      </c>
      <c r="D2009" t="s">
        <v>3052</v>
      </c>
      <c r="E2009" t="s">
        <v>3053</v>
      </c>
      <c r="F2009" t="s">
        <v>399</v>
      </c>
      <c r="G2009" t="s">
        <v>400</v>
      </c>
      <c r="H2009" t="s">
        <v>4362</v>
      </c>
      <c r="I2009">
        <v>271</v>
      </c>
      <c r="J2009">
        <v>134</v>
      </c>
      <c r="K2009">
        <v>135</v>
      </c>
      <c r="L2009">
        <v>2</v>
      </c>
      <c r="M2009">
        <v>0</v>
      </c>
      <c r="N2009">
        <v>2</v>
      </c>
      <c r="O2009">
        <v>0</v>
      </c>
    </row>
    <row r="2010" spans="1:15" x14ac:dyDescent="0.25">
      <c r="A2010" t="s">
        <v>1069</v>
      </c>
      <c r="B2010" t="s">
        <v>2001</v>
      </c>
      <c r="C2010" t="s">
        <v>927</v>
      </c>
      <c r="D2010" t="s">
        <v>3052</v>
      </c>
      <c r="E2010" t="s">
        <v>3053</v>
      </c>
      <c r="F2010" t="s">
        <v>399</v>
      </c>
      <c r="G2010" t="s">
        <v>400</v>
      </c>
      <c r="H2010" t="s">
        <v>4363</v>
      </c>
      <c r="I2010">
        <v>467</v>
      </c>
      <c r="J2010">
        <v>467</v>
      </c>
      <c r="K2010">
        <v>0</v>
      </c>
      <c r="L2010">
        <v>0</v>
      </c>
      <c r="M2010">
        <v>0</v>
      </c>
      <c r="N2010">
        <v>0</v>
      </c>
      <c r="O2010">
        <v>0</v>
      </c>
    </row>
    <row r="2011" spans="1:15" x14ac:dyDescent="0.25">
      <c r="A2011" t="s">
        <v>9881</v>
      </c>
      <c r="B2011" t="s">
        <v>2254</v>
      </c>
      <c r="C2011" t="s">
        <v>923</v>
      </c>
      <c r="D2011" t="s">
        <v>3063</v>
      </c>
      <c r="E2011" t="s">
        <v>3053</v>
      </c>
      <c r="F2011" t="s">
        <v>399</v>
      </c>
      <c r="G2011" t="s">
        <v>400</v>
      </c>
      <c r="H2011" t="s">
        <v>10490</v>
      </c>
      <c r="I2011">
        <v>14</v>
      </c>
      <c r="J2011">
        <v>0</v>
      </c>
      <c r="K2011">
        <v>0</v>
      </c>
      <c r="L2011">
        <v>0</v>
      </c>
      <c r="M2011">
        <v>14</v>
      </c>
      <c r="N2011">
        <v>0</v>
      </c>
      <c r="O2011">
        <v>0</v>
      </c>
    </row>
    <row r="2012" spans="1:15" x14ac:dyDescent="0.25">
      <c r="A2012" t="s">
        <v>14377</v>
      </c>
      <c r="B2012" t="s">
        <v>14444</v>
      </c>
      <c r="C2012" t="s">
        <v>923</v>
      </c>
      <c r="D2012" t="s">
        <v>3063</v>
      </c>
      <c r="E2012" t="s">
        <v>3053</v>
      </c>
      <c r="F2012" t="s">
        <v>399</v>
      </c>
      <c r="G2012" t="s">
        <v>400</v>
      </c>
      <c r="H2012" t="s">
        <v>14610</v>
      </c>
      <c r="I2012">
        <v>4</v>
      </c>
      <c r="J2012">
        <v>0</v>
      </c>
      <c r="K2012">
        <v>0</v>
      </c>
      <c r="L2012">
        <v>4</v>
      </c>
      <c r="M2012">
        <v>0</v>
      </c>
      <c r="N2012">
        <v>0</v>
      </c>
      <c r="O2012">
        <v>0</v>
      </c>
    </row>
    <row r="2013" spans="1:15" x14ac:dyDescent="0.25">
      <c r="A2013" t="s">
        <v>1189</v>
      </c>
      <c r="B2013" t="s">
        <v>2079</v>
      </c>
      <c r="C2013" t="s">
        <v>923</v>
      </c>
      <c r="D2013" t="s">
        <v>3063</v>
      </c>
      <c r="E2013" t="s">
        <v>3053</v>
      </c>
      <c r="F2013" t="s">
        <v>399</v>
      </c>
      <c r="G2013" t="s">
        <v>400</v>
      </c>
      <c r="H2013" t="s">
        <v>4364</v>
      </c>
      <c r="I2013">
        <v>43</v>
      </c>
      <c r="J2013">
        <v>0</v>
      </c>
      <c r="K2013">
        <v>0</v>
      </c>
      <c r="L2013">
        <v>0</v>
      </c>
      <c r="M2013">
        <v>43</v>
      </c>
      <c r="N2013">
        <v>0</v>
      </c>
      <c r="O2013">
        <v>0</v>
      </c>
    </row>
    <row r="2014" spans="1:15" x14ac:dyDescent="0.25">
      <c r="A2014" t="s">
        <v>926</v>
      </c>
      <c r="B2014" t="s">
        <v>2923</v>
      </c>
      <c r="C2014" t="s">
        <v>927</v>
      </c>
      <c r="D2014" t="s">
        <v>3052</v>
      </c>
      <c r="E2014" t="s">
        <v>3053</v>
      </c>
      <c r="F2014" t="s">
        <v>401</v>
      </c>
      <c r="G2014" t="s">
        <v>402</v>
      </c>
      <c r="H2014" t="s">
        <v>4365</v>
      </c>
      <c r="I2014">
        <v>229</v>
      </c>
      <c r="J2014">
        <v>0</v>
      </c>
      <c r="K2014">
        <v>0</v>
      </c>
      <c r="L2014">
        <v>160</v>
      </c>
      <c r="M2014">
        <v>0</v>
      </c>
      <c r="N2014">
        <v>0</v>
      </c>
      <c r="O2014">
        <v>69</v>
      </c>
    </row>
    <row r="2015" spans="1:15" x14ac:dyDescent="0.25">
      <c r="A2015" t="s">
        <v>929</v>
      </c>
      <c r="B2015" t="s">
        <v>2999</v>
      </c>
      <c r="C2015" t="s">
        <v>927</v>
      </c>
      <c r="D2015" t="s">
        <v>3052</v>
      </c>
      <c r="E2015" t="s">
        <v>3053</v>
      </c>
      <c r="F2015" t="s">
        <v>401</v>
      </c>
      <c r="G2015" t="s">
        <v>402</v>
      </c>
      <c r="H2015" t="s">
        <v>4366</v>
      </c>
      <c r="I2015">
        <v>293</v>
      </c>
      <c r="J2015">
        <v>0</v>
      </c>
      <c r="K2015">
        <v>0</v>
      </c>
      <c r="L2015">
        <v>0</v>
      </c>
      <c r="M2015">
        <v>293</v>
      </c>
      <c r="N2015">
        <v>0</v>
      </c>
      <c r="O2015">
        <v>0</v>
      </c>
    </row>
    <row r="2016" spans="1:15" x14ac:dyDescent="0.25">
      <c r="A2016" t="s">
        <v>931</v>
      </c>
      <c r="B2016" t="s">
        <v>1978</v>
      </c>
      <c r="C2016" t="s">
        <v>927</v>
      </c>
      <c r="D2016" t="s">
        <v>3052</v>
      </c>
      <c r="E2016" t="s">
        <v>3053</v>
      </c>
      <c r="F2016" t="s">
        <v>401</v>
      </c>
      <c r="G2016" t="s">
        <v>402</v>
      </c>
      <c r="H2016" t="s">
        <v>4367</v>
      </c>
      <c r="I2016">
        <v>466</v>
      </c>
      <c r="J2016">
        <v>233</v>
      </c>
      <c r="K2016">
        <v>0</v>
      </c>
      <c r="L2016">
        <v>47</v>
      </c>
      <c r="M2016">
        <v>0</v>
      </c>
      <c r="N2016">
        <v>0</v>
      </c>
      <c r="O2016">
        <v>186</v>
      </c>
    </row>
    <row r="2017" spans="1:15" x14ac:dyDescent="0.25">
      <c r="A2017" t="s">
        <v>9790</v>
      </c>
      <c r="B2017" t="s">
        <v>1977</v>
      </c>
      <c r="C2017" t="s">
        <v>923</v>
      </c>
      <c r="D2017" t="s">
        <v>3063</v>
      </c>
      <c r="E2017" t="s">
        <v>3053</v>
      </c>
      <c r="F2017" t="s">
        <v>401</v>
      </c>
      <c r="G2017" t="s">
        <v>402</v>
      </c>
      <c r="H2017" t="s">
        <v>11954</v>
      </c>
      <c r="I2017">
        <v>2</v>
      </c>
      <c r="J2017">
        <v>0</v>
      </c>
      <c r="K2017">
        <v>0</v>
      </c>
      <c r="L2017">
        <v>2</v>
      </c>
      <c r="M2017">
        <v>0</v>
      </c>
      <c r="N2017">
        <v>0</v>
      </c>
      <c r="O2017">
        <v>0</v>
      </c>
    </row>
    <row r="2018" spans="1:15" x14ac:dyDescent="0.25">
      <c r="A2018" t="s">
        <v>1095</v>
      </c>
      <c r="B2018" t="s">
        <v>1946</v>
      </c>
      <c r="C2018" t="s">
        <v>923</v>
      </c>
      <c r="D2018" t="s">
        <v>3063</v>
      </c>
      <c r="E2018" t="s">
        <v>3053</v>
      </c>
      <c r="F2018" t="s">
        <v>401</v>
      </c>
      <c r="G2018" t="s">
        <v>402</v>
      </c>
      <c r="H2018" t="s">
        <v>4368</v>
      </c>
      <c r="I2018">
        <v>12</v>
      </c>
      <c r="J2018">
        <v>0</v>
      </c>
      <c r="K2018">
        <v>0</v>
      </c>
      <c r="L2018">
        <v>12</v>
      </c>
      <c r="M2018">
        <v>0</v>
      </c>
      <c r="N2018">
        <v>0</v>
      </c>
      <c r="O2018">
        <v>0</v>
      </c>
    </row>
    <row r="2019" spans="1:15" x14ac:dyDescent="0.25">
      <c r="A2019" t="s">
        <v>1711</v>
      </c>
      <c r="B2019" t="s">
        <v>2255</v>
      </c>
      <c r="C2019" t="s">
        <v>923</v>
      </c>
      <c r="D2019" t="s">
        <v>3063</v>
      </c>
      <c r="E2019" t="s">
        <v>3053</v>
      </c>
      <c r="F2019" t="s">
        <v>401</v>
      </c>
      <c r="G2019" t="s">
        <v>402</v>
      </c>
      <c r="H2019" t="s">
        <v>4369</v>
      </c>
      <c r="I2019">
        <v>2</v>
      </c>
      <c r="J2019">
        <v>2</v>
      </c>
      <c r="K2019">
        <v>0</v>
      </c>
      <c r="L2019">
        <v>0</v>
      </c>
      <c r="M2019">
        <v>0</v>
      </c>
      <c r="N2019">
        <v>0</v>
      </c>
      <c r="O2019">
        <v>0</v>
      </c>
    </row>
    <row r="2020" spans="1:15" x14ac:dyDescent="0.25">
      <c r="A2020" t="s">
        <v>933</v>
      </c>
      <c r="B2020" t="s">
        <v>2106</v>
      </c>
      <c r="C2020" t="s">
        <v>927</v>
      </c>
      <c r="D2020" t="s">
        <v>3052</v>
      </c>
      <c r="E2020" t="s">
        <v>3053</v>
      </c>
      <c r="F2020" t="s">
        <v>401</v>
      </c>
      <c r="G2020" t="s">
        <v>402</v>
      </c>
      <c r="H2020" t="s">
        <v>4370</v>
      </c>
      <c r="I2020">
        <v>1</v>
      </c>
      <c r="J2020">
        <v>0</v>
      </c>
      <c r="K2020">
        <v>0</v>
      </c>
      <c r="L2020">
        <v>0</v>
      </c>
      <c r="M2020">
        <v>0</v>
      </c>
      <c r="N2020">
        <v>0</v>
      </c>
      <c r="O2020">
        <v>1</v>
      </c>
    </row>
    <row r="2021" spans="1:15" x14ac:dyDescent="0.25">
      <c r="A2021" t="s">
        <v>1718</v>
      </c>
      <c r="B2021" t="s">
        <v>3006</v>
      </c>
      <c r="C2021" t="s">
        <v>927</v>
      </c>
      <c r="D2021" t="s">
        <v>3052</v>
      </c>
      <c r="E2021" t="s">
        <v>3053</v>
      </c>
      <c r="F2021" t="s">
        <v>401</v>
      </c>
      <c r="G2021" t="s">
        <v>402</v>
      </c>
      <c r="H2021" t="s">
        <v>4371</v>
      </c>
      <c r="I2021">
        <v>5222</v>
      </c>
      <c r="J2021">
        <v>3656</v>
      </c>
      <c r="K2021">
        <v>0</v>
      </c>
      <c r="L2021">
        <v>162</v>
      </c>
      <c r="M2021">
        <v>798</v>
      </c>
      <c r="N2021">
        <v>0</v>
      </c>
      <c r="O2021">
        <v>606</v>
      </c>
    </row>
    <row r="2022" spans="1:15" x14ac:dyDescent="0.25">
      <c r="A2022" t="s">
        <v>1721</v>
      </c>
      <c r="B2022" t="s">
        <v>2141</v>
      </c>
      <c r="C2022" t="s">
        <v>923</v>
      </c>
      <c r="D2022" t="s">
        <v>3063</v>
      </c>
      <c r="E2022" t="s">
        <v>3053</v>
      </c>
      <c r="F2022" t="s">
        <v>401</v>
      </c>
      <c r="G2022" t="s">
        <v>402</v>
      </c>
      <c r="H2022" t="s">
        <v>4372</v>
      </c>
      <c r="I2022">
        <v>8</v>
      </c>
      <c r="J2022">
        <v>8</v>
      </c>
      <c r="K2022">
        <v>0</v>
      </c>
      <c r="L2022">
        <v>0</v>
      </c>
      <c r="M2022">
        <v>0</v>
      </c>
      <c r="N2022">
        <v>0</v>
      </c>
      <c r="O2022">
        <v>0</v>
      </c>
    </row>
    <row r="2023" spans="1:15" x14ac:dyDescent="0.25">
      <c r="A2023" t="s">
        <v>1722</v>
      </c>
      <c r="B2023" t="s">
        <v>1929</v>
      </c>
      <c r="C2023" t="s">
        <v>923</v>
      </c>
      <c r="D2023" t="s">
        <v>3063</v>
      </c>
      <c r="E2023" t="s">
        <v>3053</v>
      </c>
      <c r="F2023" t="s">
        <v>401</v>
      </c>
      <c r="G2023" t="s">
        <v>402</v>
      </c>
      <c r="H2023" t="s">
        <v>4373</v>
      </c>
      <c r="I2023">
        <v>56</v>
      </c>
      <c r="J2023">
        <v>56</v>
      </c>
      <c r="K2023">
        <v>0</v>
      </c>
      <c r="L2023">
        <v>0</v>
      </c>
      <c r="M2023">
        <v>0</v>
      </c>
      <c r="N2023">
        <v>3</v>
      </c>
      <c r="O2023">
        <v>0</v>
      </c>
    </row>
    <row r="2024" spans="1:15" x14ac:dyDescent="0.25">
      <c r="A2024" t="s">
        <v>1723</v>
      </c>
      <c r="B2024" t="s">
        <v>2798</v>
      </c>
      <c r="C2024" t="s">
        <v>923</v>
      </c>
      <c r="D2024" t="s">
        <v>3063</v>
      </c>
      <c r="E2024" t="s">
        <v>3053</v>
      </c>
      <c r="F2024" t="s">
        <v>401</v>
      </c>
      <c r="G2024" t="s">
        <v>402</v>
      </c>
      <c r="H2024" t="s">
        <v>4374</v>
      </c>
      <c r="I2024">
        <v>314</v>
      </c>
      <c r="J2024">
        <v>314</v>
      </c>
      <c r="K2024">
        <v>0</v>
      </c>
      <c r="L2024">
        <v>0</v>
      </c>
      <c r="M2024">
        <v>0</v>
      </c>
      <c r="N2024">
        <v>8</v>
      </c>
      <c r="O2024">
        <v>0</v>
      </c>
    </row>
    <row r="2025" spans="1:15" x14ac:dyDescent="0.25">
      <c r="A2025" t="s">
        <v>1727</v>
      </c>
      <c r="B2025" t="s">
        <v>2290</v>
      </c>
      <c r="C2025" t="s">
        <v>923</v>
      </c>
      <c r="D2025" t="s">
        <v>3063</v>
      </c>
      <c r="E2025" t="s">
        <v>3053</v>
      </c>
      <c r="F2025" t="s">
        <v>401</v>
      </c>
      <c r="G2025" t="s">
        <v>402</v>
      </c>
      <c r="H2025" t="s">
        <v>4375</v>
      </c>
      <c r="I2025">
        <v>21</v>
      </c>
      <c r="J2025">
        <v>0</v>
      </c>
      <c r="K2025">
        <v>0</v>
      </c>
      <c r="L2025">
        <v>0</v>
      </c>
      <c r="M2025">
        <v>21</v>
      </c>
      <c r="N2025">
        <v>0</v>
      </c>
      <c r="O2025">
        <v>0</v>
      </c>
    </row>
    <row r="2026" spans="1:15" x14ac:dyDescent="0.25">
      <c r="A2026" t="s">
        <v>1730</v>
      </c>
      <c r="B2026" t="s">
        <v>2278</v>
      </c>
      <c r="C2026" t="s">
        <v>923</v>
      </c>
      <c r="D2026" t="s">
        <v>3063</v>
      </c>
      <c r="E2026" t="s">
        <v>3053</v>
      </c>
      <c r="F2026" t="s">
        <v>401</v>
      </c>
      <c r="G2026" t="s">
        <v>402</v>
      </c>
      <c r="H2026" t="s">
        <v>4376</v>
      </c>
      <c r="I2026">
        <v>3</v>
      </c>
      <c r="J2026">
        <v>0</v>
      </c>
      <c r="K2026">
        <v>0</v>
      </c>
      <c r="L2026">
        <v>0</v>
      </c>
      <c r="M2026">
        <v>3</v>
      </c>
      <c r="N2026">
        <v>0</v>
      </c>
      <c r="O2026">
        <v>0</v>
      </c>
    </row>
    <row r="2027" spans="1:15" x14ac:dyDescent="0.25">
      <c r="A2027" t="s">
        <v>11660</v>
      </c>
      <c r="B2027" t="s">
        <v>2041</v>
      </c>
      <c r="C2027" t="s">
        <v>923</v>
      </c>
      <c r="D2027" t="s">
        <v>3063</v>
      </c>
      <c r="E2027" t="s">
        <v>3053</v>
      </c>
      <c r="F2027" t="s">
        <v>401</v>
      </c>
      <c r="G2027" t="s">
        <v>402</v>
      </c>
      <c r="H2027" t="s">
        <v>11955</v>
      </c>
      <c r="I2027">
        <v>18</v>
      </c>
      <c r="J2027">
        <v>0</v>
      </c>
      <c r="K2027">
        <v>0</v>
      </c>
      <c r="L2027">
        <v>18</v>
      </c>
      <c r="M2027">
        <v>0</v>
      </c>
      <c r="N2027">
        <v>0</v>
      </c>
      <c r="O2027">
        <v>0</v>
      </c>
    </row>
    <row r="2028" spans="1:15" x14ac:dyDescent="0.25">
      <c r="A2028" t="s">
        <v>1416</v>
      </c>
      <c r="B2028" t="s">
        <v>2029</v>
      </c>
      <c r="C2028" t="s">
        <v>923</v>
      </c>
      <c r="D2028" t="s">
        <v>3063</v>
      </c>
      <c r="E2028" t="s">
        <v>3053</v>
      </c>
      <c r="F2028" t="s">
        <v>401</v>
      </c>
      <c r="G2028" t="s">
        <v>402</v>
      </c>
      <c r="H2028" t="s">
        <v>11956</v>
      </c>
      <c r="I2028">
        <v>3</v>
      </c>
      <c r="J2028">
        <v>0</v>
      </c>
      <c r="K2028">
        <v>0</v>
      </c>
      <c r="L2028">
        <v>3</v>
      </c>
      <c r="M2028">
        <v>0</v>
      </c>
      <c r="N2028">
        <v>0</v>
      </c>
      <c r="O2028">
        <v>0</v>
      </c>
    </row>
    <row r="2029" spans="1:15" x14ac:dyDescent="0.25">
      <c r="A2029" t="s">
        <v>10638</v>
      </c>
      <c r="B2029" t="s">
        <v>2057</v>
      </c>
      <c r="C2029" t="s">
        <v>927</v>
      </c>
      <c r="D2029" t="s">
        <v>3052</v>
      </c>
      <c r="E2029" t="s">
        <v>3053</v>
      </c>
      <c r="F2029" t="s">
        <v>401</v>
      </c>
      <c r="G2029" t="s">
        <v>402</v>
      </c>
      <c r="H2029" t="s">
        <v>10952</v>
      </c>
      <c r="I2029">
        <v>79</v>
      </c>
      <c r="J2029">
        <v>0</v>
      </c>
      <c r="K2029">
        <v>0</v>
      </c>
      <c r="L2029">
        <v>79</v>
      </c>
      <c r="M2029">
        <v>0</v>
      </c>
      <c r="N2029">
        <v>0</v>
      </c>
      <c r="O2029">
        <v>0</v>
      </c>
    </row>
    <row r="2030" spans="1:15" x14ac:dyDescent="0.25">
      <c r="A2030" t="s">
        <v>1008</v>
      </c>
      <c r="B2030" t="s">
        <v>2928</v>
      </c>
      <c r="C2030" t="s">
        <v>927</v>
      </c>
      <c r="D2030" t="s">
        <v>3052</v>
      </c>
      <c r="E2030" t="s">
        <v>3053</v>
      </c>
      <c r="F2030" t="s">
        <v>401</v>
      </c>
      <c r="G2030" t="s">
        <v>402</v>
      </c>
      <c r="H2030" t="s">
        <v>4377</v>
      </c>
      <c r="I2030">
        <v>99</v>
      </c>
      <c r="J2030">
        <v>96</v>
      </c>
      <c r="K2030">
        <v>0</v>
      </c>
      <c r="L2030">
        <v>3</v>
      </c>
      <c r="M2030">
        <v>0</v>
      </c>
      <c r="N2030">
        <v>2</v>
      </c>
      <c r="O2030">
        <v>0</v>
      </c>
    </row>
    <row r="2031" spans="1:15" x14ac:dyDescent="0.25">
      <c r="A2031" t="s">
        <v>1010</v>
      </c>
      <c r="B2031" t="s">
        <v>2639</v>
      </c>
      <c r="C2031" t="s">
        <v>927</v>
      </c>
      <c r="D2031" t="s">
        <v>3052</v>
      </c>
      <c r="E2031" t="s">
        <v>3053</v>
      </c>
      <c r="F2031" t="s">
        <v>401</v>
      </c>
      <c r="G2031" t="s">
        <v>402</v>
      </c>
      <c r="H2031" t="s">
        <v>4378</v>
      </c>
      <c r="I2031">
        <v>40</v>
      </c>
      <c r="J2031">
        <v>33</v>
      </c>
      <c r="K2031">
        <v>0</v>
      </c>
      <c r="L2031">
        <v>0</v>
      </c>
      <c r="M2031">
        <v>0</v>
      </c>
      <c r="N2031">
        <v>0</v>
      </c>
      <c r="O2031">
        <v>7</v>
      </c>
    </row>
    <row r="2032" spans="1:15" x14ac:dyDescent="0.25">
      <c r="A2032" t="s">
        <v>937</v>
      </c>
      <c r="B2032" t="s">
        <v>1962</v>
      </c>
      <c r="C2032" t="s">
        <v>927</v>
      </c>
      <c r="D2032" t="s">
        <v>3052</v>
      </c>
      <c r="E2032" t="s">
        <v>3053</v>
      </c>
      <c r="F2032" t="s">
        <v>401</v>
      </c>
      <c r="G2032" t="s">
        <v>402</v>
      </c>
      <c r="H2032" t="s">
        <v>4379</v>
      </c>
      <c r="I2032">
        <v>69</v>
      </c>
      <c r="J2032">
        <v>0</v>
      </c>
      <c r="K2032">
        <v>0</v>
      </c>
      <c r="L2032">
        <v>0</v>
      </c>
      <c r="M2032">
        <v>0</v>
      </c>
      <c r="N2032">
        <v>0</v>
      </c>
      <c r="O2032">
        <v>69</v>
      </c>
    </row>
    <row r="2033" spans="1:15" x14ac:dyDescent="0.25">
      <c r="A2033" t="s">
        <v>1011</v>
      </c>
      <c r="B2033" t="s">
        <v>2020</v>
      </c>
      <c r="C2033" t="s">
        <v>927</v>
      </c>
      <c r="D2033" t="s">
        <v>3052</v>
      </c>
      <c r="E2033" t="s">
        <v>3053</v>
      </c>
      <c r="F2033" t="s">
        <v>401</v>
      </c>
      <c r="G2033" t="s">
        <v>402</v>
      </c>
      <c r="H2033" t="s">
        <v>10953</v>
      </c>
      <c r="I2033">
        <v>6</v>
      </c>
      <c r="J2033">
        <v>0</v>
      </c>
      <c r="K2033">
        <v>0</v>
      </c>
      <c r="L2033">
        <v>6</v>
      </c>
      <c r="M2033">
        <v>0</v>
      </c>
      <c r="N2033">
        <v>0</v>
      </c>
      <c r="O2033">
        <v>0</v>
      </c>
    </row>
    <row r="2034" spans="1:15" x14ac:dyDescent="0.25">
      <c r="A2034" t="s">
        <v>938</v>
      </c>
      <c r="B2034" t="s">
        <v>2791</v>
      </c>
      <c r="C2034" t="s">
        <v>927</v>
      </c>
      <c r="D2034" t="s">
        <v>3052</v>
      </c>
      <c r="E2034" t="s">
        <v>3053</v>
      </c>
      <c r="F2034" t="s">
        <v>401</v>
      </c>
      <c r="G2034" t="s">
        <v>402</v>
      </c>
      <c r="H2034" t="s">
        <v>4380</v>
      </c>
      <c r="I2034">
        <v>97</v>
      </c>
      <c r="J2034">
        <v>15</v>
      </c>
      <c r="K2034">
        <v>0</v>
      </c>
      <c r="L2034">
        <v>82</v>
      </c>
      <c r="M2034">
        <v>0</v>
      </c>
      <c r="N2034">
        <v>0</v>
      </c>
      <c r="O2034">
        <v>0</v>
      </c>
    </row>
    <row r="2035" spans="1:15" x14ac:dyDescent="0.25">
      <c r="A2035" t="s">
        <v>940</v>
      </c>
      <c r="B2035" t="s">
        <v>2647</v>
      </c>
      <c r="C2035" t="s">
        <v>927</v>
      </c>
      <c r="D2035" t="s">
        <v>3052</v>
      </c>
      <c r="E2035" t="s">
        <v>3053</v>
      </c>
      <c r="F2035" t="s">
        <v>401</v>
      </c>
      <c r="G2035" t="s">
        <v>402</v>
      </c>
      <c r="H2035" t="s">
        <v>4381</v>
      </c>
      <c r="I2035">
        <v>33</v>
      </c>
      <c r="J2035">
        <v>0</v>
      </c>
      <c r="K2035">
        <v>0</v>
      </c>
      <c r="L2035">
        <v>0</v>
      </c>
      <c r="M2035">
        <v>33</v>
      </c>
      <c r="N2035">
        <v>0</v>
      </c>
      <c r="O2035">
        <v>0</v>
      </c>
    </row>
    <row r="2036" spans="1:15" x14ac:dyDescent="0.25">
      <c r="A2036" t="s">
        <v>10667</v>
      </c>
      <c r="B2036" t="s">
        <v>10666</v>
      </c>
      <c r="C2036" t="s">
        <v>927</v>
      </c>
      <c r="D2036" t="s">
        <v>3052</v>
      </c>
      <c r="E2036" t="s">
        <v>3053</v>
      </c>
      <c r="F2036" t="s">
        <v>401</v>
      </c>
      <c r="G2036" t="s">
        <v>402</v>
      </c>
      <c r="H2036" t="s">
        <v>10954</v>
      </c>
      <c r="I2036">
        <v>20</v>
      </c>
      <c r="J2036">
        <v>20</v>
      </c>
      <c r="K2036">
        <v>0</v>
      </c>
      <c r="L2036">
        <v>0</v>
      </c>
      <c r="M2036">
        <v>0</v>
      </c>
      <c r="N2036">
        <v>0</v>
      </c>
      <c r="O2036">
        <v>0</v>
      </c>
    </row>
    <row r="2037" spans="1:15" x14ac:dyDescent="0.25">
      <c r="A2037" t="s">
        <v>1126</v>
      </c>
      <c r="B2037" t="s">
        <v>2130</v>
      </c>
      <c r="C2037" t="s">
        <v>927</v>
      </c>
      <c r="D2037" t="s">
        <v>3052</v>
      </c>
      <c r="E2037" t="s">
        <v>3053</v>
      </c>
      <c r="F2037" t="s">
        <v>401</v>
      </c>
      <c r="G2037" t="s">
        <v>402</v>
      </c>
      <c r="H2037" t="s">
        <v>4382</v>
      </c>
      <c r="I2037">
        <v>66</v>
      </c>
      <c r="J2037">
        <v>41</v>
      </c>
      <c r="K2037">
        <v>0</v>
      </c>
      <c r="L2037">
        <v>0</v>
      </c>
      <c r="M2037">
        <v>0</v>
      </c>
      <c r="N2037">
        <v>0</v>
      </c>
      <c r="O2037">
        <v>25</v>
      </c>
    </row>
    <row r="2038" spans="1:15" x14ac:dyDescent="0.25">
      <c r="A2038" t="s">
        <v>942</v>
      </c>
      <c r="B2038" t="s">
        <v>2113</v>
      </c>
      <c r="C2038" t="s">
        <v>927</v>
      </c>
      <c r="D2038" t="s">
        <v>3052</v>
      </c>
      <c r="E2038" t="s">
        <v>3053</v>
      </c>
      <c r="F2038" t="s">
        <v>401</v>
      </c>
      <c r="G2038" t="s">
        <v>402</v>
      </c>
      <c r="H2038" t="s">
        <v>4383</v>
      </c>
      <c r="I2038">
        <v>9658</v>
      </c>
      <c r="J2038">
        <v>7946</v>
      </c>
      <c r="K2038">
        <v>0</v>
      </c>
      <c r="L2038">
        <v>171</v>
      </c>
      <c r="M2038">
        <v>506</v>
      </c>
      <c r="N2038">
        <v>0</v>
      </c>
      <c r="O2038">
        <v>1035</v>
      </c>
    </row>
    <row r="2039" spans="1:15" x14ac:dyDescent="0.25">
      <c r="A2039" t="s">
        <v>10681</v>
      </c>
      <c r="B2039" t="s">
        <v>10680</v>
      </c>
      <c r="C2039" t="s">
        <v>927</v>
      </c>
      <c r="D2039" t="s">
        <v>3052</v>
      </c>
      <c r="E2039" t="s">
        <v>3053</v>
      </c>
      <c r="F2039" t="s">
        <v>401</v>
      </c>
      <c r="G2039" t="s">
        <v>402</v>
      </c>
      <c r="H2039" t="s">
        <v>14611</v>
      </c>
      <c r="I2039">
        <v>8</v>
      </c>
      <c r="J2039">
        <v>0</v>
      </c>
      <c r="K2039">
        <v>0</v>
      </c>
      <c r="L2039">
        <v>0</v>
      </c>
      <c r="M2039">
        <v>0</v>
      </c>
      <c r="N2039">
        <v>0</v>
      </c>
      <c r="O2039">
        <v>8</v>
      </c>
    </row>
    <row r="2040" spans="1:15" x14ac:dyDescent="0.25">
      <c r="A2040" t="s">
        <v>945</v>
      </c>
      <c r="B2040" t="s">
        <v>2668</v>
      </c>
      <c r="C2040" t="s">
        <v>927</v>
      </c>
      <c r="D2040" t="s">
        <v>3052</v>
      </c>
      <c r="E2040" t="s">
        <v>3053</v>
      </c>
      <c r="F2040" t="s">
        <v>401</v>
      </c>
      <c r="G2040" t="s">
        <v>402</v>
      </c>
      <c r="H2040" t="s">
        <v>4384</v>
      </c>
      <c r="I2040">
        <v>4</v>
      </c>
      <c r="J2040">
        <v>0</v>
      </c>
      <c r="K2040">
        <v>0</v>
      </c>
      <c r="L2040">
        <v>0</v>
      </c>
      <c r="M2040">
        <v>0</v>
      </c>
      <c r="N2040">
        <v>0</v>
      </c>
      <c r="O2040">
        <v>4</v>
      </c>
    </row>
    <row r="2041" spans="1:15" x14ac:dyDescent="0.25">
      <c r="A2041" t="s">
        <v>949</v>
      </c>
      <c r="B2041" t="s">
        <v>3035</v>
      </c>
      <c r="C2041" t="s">
        <v>927</v>
      </c>
      <c r="D2041" t="s">
        <v>3052</v>
      </c>
      <c r="E2041" t="s">
        <v>3053</v>
      </c>
      <c r="F2041" t="s">
        <v>401</v>
      </c>
      <c r="G2041" t="s">
        <v>402</v>
      </c>
      <c r="H2041" t="s">
        <v>4385</v>
      </c>
      <c r="I2041">
        <v>2</v>
      </c>
      <c r="J2041">
        <v>0</v>
      </c>
      <c r="K2041">
        <v>0</v>
      </c>
      <c r="L2041">
        <v>0</v>
      </c>
      <c r="M2041">
        <v>0</v>
      </c>
      <c r="N2041">
        <v>0</v>
      </c>
      <c r="O2041">
        <v>2</v>
      </c>
    </row>
    <row r="2042" spans="1:15" x14ac:dyDescent="0.25">
      <c r="A2042" t="s">
        <v>1750</v>
      </c>
      <c r="B2042" t="s">
        <v>3012</v>
      </c>
      <c r="C2042" t="s">
        <v>927</v>
      </c>
      <c r="D2042" t="s">
        <v>3052</v>
      </c>
      <c r="E2042" t="s">
        <v>3053</v>
      </c>
      <c r="F2042" t="s">
        <v>401</v>
      </c>
      <c r="G2042" t="s">
        <v>402</v>
      </c>
      <c r="H2042" t="s">
        <v>4386</v>
      </c>
      <c r="I2042">
        <v>4314</v>
      </c>
      <c r="J2042">
        <v>3596</v>
      </c>
      <c r="K2042">
        <v>0</v>
      </c>
      <c r="L2042">
        <v>14</v>
      </c>
      <c r="M2042">
        <v>631</v>
      </c>
      <c r="N2042">
        <v>0</v>
      </c>
      <c r="O2042">
        <v>73</v>
      </c>
    </row>
    <row r="2043" spans="1:15" x14ac:dyDescent="0.25">
      <c r="A2043" t="s">
        <v>951</v>
      </c>
      <c r="B2043" t="s">
        <v>2680</v>
      </c>
      <c r="C2043" t="s">
        <v>927</v>
      </c>
      <c r="D2043" t="s">
        <v>3052</v>
      </c>
      <c r="E2043" t="s">
        <v>3053</v>
      </c>
      <c r="F2043" t="s">
        <v>401</v>
      </c>
      <c r="G2043" t="s">
        <v>402</v>
      </c>
      <c r="H2043" t="s">
        <v>4387</v>
      </c>
      <c r="I2043">
        <v>72</v>
      </c>
      <c r="J2043">
        <v>47</v>
      </c>
      <c r="K2043">
        <v>0</v>
      </c>
      <c r="L2043">
        <v>0</v>
      </c>
      <c r="M2043">
        <v>0</v>
      </c>
      <c r="N2043">
        <v>0</v>
      </c>
      <c r="O2043">
        <v>25</v>
      </c>
    </row>
    <row r="2044" spans="1:15" x14ac:dyDescent="0.25">
      <c r="A2044" t="s">
        <v>1754</v>
      </c>
      <c r="B2044" t="s">
        <v>2902</v>
      </c>
      <c r="C2044" t="s">
        <v>927</v>
      </c>
      <c r="D2044" t="s">
        <v>3052</v>
      </c>
      <c r="E2044" t="s">
        <v>3053</v>
      </c>
      <c r="F2044" t="s">
        <v>401</v>
      </c>
      <c r="G2044" t="s">
        <v>402</v>
      </c>
      <c r="H2044" t="s">
        <v>4388</v>
      </c>
      <c r="I2044">
        <v>183</v>
      </c>
      <c r="J2044">
        <v>129</v>
      </c>
      <c r="K2044">
        <v>0</v>
      </c>
      <c r="L2044">
        <v>2</v>
      </c>
      <c r="M2044">
        <v>0</v>
      </c>
      <c r="N2044">
        <v>0</v>
      </c>
      <c r="O2044">
        <v>52</v>
      </c>
    </row>
    <row r="2045" spans="1:15" x14ac:dyDescent="0.25">
      <c r="A2045" t="s">
        <v>953</v>
      </c>
      <c r="B2045" t="s">
        <v>2014</v>
      </c>
      <c r="C2045" t="s">
        <v>927</v>
      </c>
      <c r="D2045" t="s">
        <v>3052</v>
      </c>
      <c r="E2045" t="s">
        <v>3053</v>
      </c>
      <c r="F2045" t="s">
        <v>401</v>
      </c>
      <c r="G2045" t="s">
        <v>402</v>
      </c>
      <c r="H2045" t="s">
        <v>4389</v>
      </c>
      <c r="I2045">
        <v>1</v>
      </c>
      <c r="J2045">
        <v>0</v>
      </c>
      <c r="K2045">
        <v>0</v>
      </c>
      <c r="L2045">
        <v>1</v>
      </c>
      <c r="M2045">
        <v>0</v>
      </c>
      <c r="N2045">
        <v>0</v>
      </c>
      <c r="O2045">
        <v>0</v>
      </c>
    </row>
    <row r="2046" spans="1:15" x14ac:dyDescent="0.25">
      <c r="A2046" t="s">
        <v>11720</v>
      </c>
      <c r="B2046" t="s">
        <v>10718</v>
      </c>
      <c r="C2046" t="s">
        <v>927</v>
      </c>
      <c r="D2046" t="s">
        <v>3052</v>
      </c>
      <c r="E2046" t="s">
        <v>3053</v>
      </c>
      <c r="F2046" t="s">
        <v>401</v>
      </c>
      <c r="G2046" t="s">
        <v>402</v>
      </c>
      <c r="H2046" t="s">
        <v>14612</v>
      </c>
      <c r="I2046">
        <v>2</v>
      </c>
      <c r="J2046">
        <v>0</v>
      </c>
      <c r="K2046">
        <v>0</v>
      </c>
      <c r="L2046">
        <v>0</v>
      </c>
      <c r="M2046">
        <v>0</v>
      </c>
      <c r="N2046">
        <v>0</v>
      </c>
      <c r="O2046">
        <v>2</v>
      </c>
    </row>
    <row r="2047" spans="1:15" x14ac:dyDescent="0.25">
      <c r="A2047" t="s">
        <v>1056</v>
      </c>
      <c r="B2047" t="s">
        <v>2966</v>
      </c>
      <c r="C2047" t="s">
        <v>927</v>
      </c>
      <c r="D2047" t="s">
        <v>3052</v>
      </c>
      <c r="E2047" t="s">
        <v>3053</v>
      </c>
      <c r="F2047" t="s">
        <v>401</v>
      </c>
      <c r="G2047" t="s">
        <v>402</v>
      </c>
      <c r="H2047" t="s">
        <v>4390</v>
      </c>
      <c r="I2047">
        <v>25</v>
      </c>
      <c r="J2047">
        <v>7</v>
      </c>
      <c r="K2047">
        <v>0</v>
      </c>
      <c r="L2047">
        <v>18</v>
      </c>
      <c r="M2047">
        <v>0</v>
      </c>
      <c r="N2047">
        <v>0</v>
      </c>
      <c r="O2047">
        <v>0</v>
      </c>
    </row>
    <row r="2048" spans="1:15" x14ac:dyDescent="0.25">
      <c r="A2048" t="s">
        <v>1057</v>
      </c>
      <c r="B2048" t="s">
        <v>1972</v>
      </c>
      <c r="C2048" t="s">
        <v>927</v>
      </c>
      <c r="D2048" t="s">
        <v>3052</v>
      </c>
      <c r="E2048" t="s">
        <v>3053</v>
      </c>
      <c r="F2048" t="s">
        <v>401</v>
      </c>
      <c r="G2048" t="s">
        <v>402</v>
      </c>
      <c r="H2048" t="s">
        <v>4391</v>
      </c>
      <c r="I2048">
        <v>683</v>
      </c>
      <c r="J2048">
        <v>553</v>
      </c>
      <c r="K2048">
        <v>0</v>
      </c>
      <c r="L2048">
        <v>1</v>
      </c>
      <c r="M2048">
        <v>0</v>
      </c>
      <c r="N2048">
        <v>0</v>
      </c>
      <c r="O2048">
        <v>129</v>
      </c>
    </row>
    <row r="2049" spans="1:15" x14ac:dyDescent="0.25">
      <c r="A2049" t="s">
        <v>955</v>
      </c>
      <c r="B2049" t="s">
        <v>2660</v>
      </c>
      <c r="C2049" t="s">
        <v>927</v>
      </c>
      <c r="D2049" t="s">
        <v>3052</v>
      </c>
      <c r="E2049" t="s">
        <v>3053</v>
      </c>
      <c r="F2049" t="s">
        <v>401</v>
      </c>
      <c r="G2049" t="s">
        <v>402</v>
      </c>
      <c r="H2049" t="s">
        <v>4392</v>
      </c>
      <c r="I2049">
        <v>1098</v>
      </c>
      <c r="J2049">
        <v>990</v>
      </c>
      <c r="K2049">
        <v>0</v>
      </c>
      <c r="L2049">
        <v>10</v>
      </c>
      <c r="M2049">
        <v>74</v>
      </c>
      <c r="N2049">
        <v>3</v>
      </c>
      <c r="O2049">
        <v>24</v>
      </c>
    </row>
    <row r="2050" spans="1:15" x14ac:dyDescent="0.25">
      <c r="A2050" t="s">
        <v>11663</v>
      </c>
      <c r="B2050" t="s">
        <v>11768</v>
      </c>
      <c r="C2050" t="s">
        <v>927</v>
      </c>
      <c r="D2050" t="s">
        <v>3052</v>
      </c>
      <c r="E2050" t="s">
        <v>3053</v>
      </c>
      <c r="F2050" t="s">
        <v>401</v>
      </c>
      <c r="G2050" t="s">
        <v>402</v>
      </c>
      <c r="H2050" t="s">
        <v>11957</v>
      </c>
      <c r="I2050">
        <v>3</v>
      </c>
      <c r="J2050">
        <v>0</v>
      </c>
      <c r="K2050">
        <v>0</v>
      </c>
      <c r="L2050">
        <v>0</v>
      </c>
      <c r="M2050">
        <v>0</v>
      </c>
      <c r="N2050">
        <v>0</v>
      </c>
      <c r="O2050">
        <v>3</v>
      </c>
    </row>
    <row r="2051" spans="1:15" x14ac:dyDescent="0.25">
      <c r="A2051" t="s">
        <v>960</v>
      </c>
      <c r="B2051" t="s">
        <v>2080</v>
      </c>
      <c r="C2051" t="s">
        <v>927</v>
      </c>
      <c r="D2051" t="s">
        <v>3052</v>
      </c>
      <c r="E2051" t="s">
        <v>3053</v>
      </c>
      <c r="F2051" t="s">
        <v>401</v>
      </c>
      <c r="G2051" t="s">
        <v>402</v>
      </c>
      <c r="H2051" t="s">
        <v>4393</v>
      </c>
      <c r="I2051">
        <v>24</v>
      </c>
      <c r="J2051">
        <v>0</v>
      </c>
      <c r="K2051">
        <v>0</v>
      </c>
      <c r="L2051">
        <v>0</v>
      </c>
      <c r="M2051">
        <v>0</v>
      </c>
      <c r="N2051">
        <v>0</v>
      </c>
      <c r="O2051">
        <v>24</v>
      </c>
    </row>
    <row r="2052" spans="1:15" x14ac:dyDescent="0.25">
      <c r="A2052" t="s">
        <v>964</v>
      </c>
      <c r="B2052" t="s">
        <v>1969</v>
      </c>
      <c r="C2052" t="s">
        <v>927</v>
      </c>
      <c r="D2052" t="s">
        <v>3052</v>
      </c>
      <c r="E2052" t="s">
        <v>3053</v>
      </c>
      <c r="F2052" t="s">
        <v>401</v>
      </c>
      <c r="G2052" t="s">
        <v>402</v>
      </c>
      <c r="H2052" t="s">
        <v>4394</v>
      </c>
      <c r="I2052">
        <v>116</v>
      </c>
      <c r="J2052">
        <v>61</v>
      </c>
      <c r="K2052">
        <v>0</v>
      </c>
      <c r="L2052">
        <v>0</v>
      </c>
      <c r="M2052">
        <v>0</v>
      </c>
      <c r="N2052">
        <v>0</v>
      </c>
      <c r="O2052">
        <v>55</v>
      </c>
    </row>
    <row r="2053" spans="1:15" x14ac:dyDescent="0.25">
      <c r="A2053" t="s">
        <v>9838</v>
      </c>
      <c r="B2053" t="s">
        <v>2544</v>
      </c>
      <c r="C2053" t="s">
        <v>923</v>
      </c>
      <c r="D2053" t="s">
        <v>3063</v>
      </c>
      <c r="E2053" t="s">
        <v>3053</v>
      </c>
      <c r="F2053" t="s">
        <v>401</v>
      </c>
      <c r="G2053" t="s">
        <v>402</v>
      </c>
      <c r="H2053" t="s">
        <v>10467</v>
      </c>
      <c r="I2053">
        <v>8</v>
      </c>
      <c r="J2053">
        <v>0</v>
      </c>
      <c r="K2053">
        <v>0</v>
      </c>
      <c r="L2053">
        <v>0</v>
      </c>
      <c r="M2053">
        <v>8</v>
      </c>
      <c r="N2053">
        <v>0</v>
      </c>
      <c r="O2053">
        <v>0</v>
      </c>
    </row>
    <row r="2054" spans="1:15" x14ac:dyDescent="0.25">
      <c r="A2054" t="s">
        <v>1776</v>
      </c>
      <c r="B2054" t="s">
        <v>2577</v>
      </c>
      <c r="C2054" t="s">
        <v>923</v>
      </c>
      <c r="D2054" t="s">
        <v>3063</v>
      </c>
      <c r="E2054" t="s">
        <v>3053</v>
      </c>
      <c r="F2054" t="s">
        <v>401</v>
      </c>
      <c r="G2054" t="s">
        <v>402</v>
      </c>
      <c r="H2054" t="s">
        <v>4395</v>
      </c>
      <c r="I2054">
        <v>13</v>
      </c>
      <c r="J2054">
        <v>0</v>
      </c>
      <c r="K2054">
        <v>0</v>
      </c>
      <c r="L2054">
        <v>0</v>
      </c>
      <c r="M2054">
        <v>13</v>
      </c>
      <c r="N2054">
        <v>0</v>
      </c>
      <c r="O2054">
        <v>0</v>
      </c>
    </row>
    <row r="2055" spans="1:15" x14ac:dyDescent="0.25">
      <c r="A2055" t="s">
        <v>1066</v>
      </c>
      <c r="B2055" t="s">
        <v>2557</v>
      </c>
      <c r="C2055" t="s">
        <v>927</v>
      </c>
      <c r="D2055" t="s">
        <v>3052</v>
      </c>
      <c r="E2055" t="s">
        <v>3053</v>
      </c>
      <c r="F2055" t="s">
        <v>401</v>
      </c>
      <c r="G2055" t="s">
        <v>402</v>
      </c>
      <c r="H2055" t="s">
        <v>4396</v>
      </c>
      <c r="I2055">
        <v>39</v>
      </c>
      <c r="J2055">
        <v>0</v>
      </c>
      <c r="K2055">
        <v>0</v>
      </c>
      <c r="L2055">
        <v>0</v>
      </c>
      <c r="M2055">
        <v>39</v>
      </c>
      <c r="N2055">
        <v>0</v>
      </c>
      <c r="O2055">
        <v>0</v>
      </c>
    </row>
    <row r="2056" spans="1:15" x14ac:dyDescent="0.25">
      <c r="A2056" t="s">
        <v>1778</v>
      </c>
      <c r="B2056" t="s">
        <v>2602</v>
      </c>
      <c r="C2056" t="s">
        <v>923</v>
      </c>
      <c r="D2056" t="s">
        <v>3063</v>
      </c>
      <c r="E2056" t="s">
        <v>3053</v>
      </c>
      <c r="F2056" t="s">
        <v>401</v>
      </c>
      <c r="G2056" t="s">
        <v>402</v>
      </c>
      <c r="H2056" t="s">
        <v>4397</v>
      </c>
      <c r="I2056">
        <v>9</v>
      </c>
      <c r="J2056">
        <v>0</v>
      </c>
      <c r="K2056">
        <v>0</v>
      </c>
      <c r="L2056">
        <v>0</v>
      </c>
      <c r="M2056">
        <v>9</v>
      </c>
      <c r="N2056">
        <v>0</v>
      </c>
      <c r="O2056">
        <v>0</v>
      </c>
    </row>
    <row r="2057" spans="1:15" x14ac:dyDescent="0.25">
      <c r="A2057" t="s">
        <v>1069</v>
      </c>
      <c r="B2057" t="s">
        <v>2001</v>
      </c>
      <c r="C2057" t="s">
        <v>927</v>
      </c>
      <c r="D2057" t="s">
        <v>3052</v>
      </c>
      <c r="E2057" t="s">
        <v>3053</v>
      </c>
      <c r="F2057" t="s">
        <v>401</v>
      </c>
      <c r="G2057" t="s">
        <v>402</v>
      </c>
      <c r="H2057" t="s">
        <v>4398</v>
      </c>
      <c r="I2057">
        <v>975</v>
      </c>
      <c r="J2057">
        <v>854</v>
      </c>
      <c r="K2057">
        <v>0</v>
      </c>
      <c r="L2057">
        <v>0</v>
      </c>
      <c r="M2057">
        <v>52</v>
      </c>
      <c r="N2057">
        <v>0</v>
      </c>
      <c r="O2057">
        <v>69</v>
      </c>
    </row>
    <row r="2058" spans="1:15" x14ac:dyDescent="0.25">
      <c r="A2058" t="s">
        <v>9839</v>
      </c>
      <c r="B2058" t="s">
        <v>9882</v>
      </c>
      <c r="C2058" t="s">
        <v>923</v>
      </c>
      <c r="D2058" t="s">
        <v>3063</v>
      </c>
      <c r="E2058" t="s">
        <v>3053</v>
      </c>
      <c r="F2058" t="s">
        <v>401</v>
      </c>
      <c r="G2058" t="s">
        <v>402</v>
      </c>
      <c r="H2058" t="s">
        <v>10492</v>
      </c>
      <c r="I2058">
        <v>3</v>
      </c>
      <c r="J2058">
        <v>3</v>
      </c>
      <c r="K2058">
        <v>0</v>
      </c>
      <c r="L2058">
        <v>0</v>
      </c>
      <c r="M2058">
        <v>0</v>
      </c>
      <c r="N2058">
        <v>0</v>
      </c>
      <c r="O2058">
        <v>0</v>
      </c>
    </row>
    <row r="2059" spans="1:15" x14ac:dyDescent="0.25">
      <c r="A2059" t="s">
        <v>1080</v>
      </c>
      <c r="B2059" t="s">
        <v>2030</v>
      </c>
      <c r="C2059" t="s">
        <v>923</v>
      </c>
      <c r="D2059" t="s">
        <v>3063</v>
      </c>
      <c r="E2059" t="s">
        <v>3053</v>
      </c>
      <c r="F2059" t="s">
        <v>401</v>
      </c>
      <c r="G2059" t="s">
        <v>402</v>
      </c>
      <c r="H2059" t="s">
        <v>4399</v>
      </c>
      <c r="I2059">
        <v>5</v>
      </c>
      <c r="J2059">
        <v>0</v>
      </c>
      <c r="K2059">
        <v>0</v>
      </c>
      <c r="L2059">
        <v>5</v>
      </c>
      <c r="M2059">
        <v>0</v>
      </c>
      <c r="N2059">
        <v>0</v>
      </c>
      <c r="O2059">
        <v>0</v>
      </c>
    </row>
    <row r="2060" spans="1:15" x14ac:dyDescent="0.25">
      <c r="A2060" t="s">
        <v>1793</v>
      </c>
      <c r="B2060" t="s">
        <v>2075</v>
      </c>
      <c r="C2060" t="s">
        <v>927</v>
      </c>
      <c r="D2060" t="s">
        <v>3052</v>
      </c>
      <c r="E2060" t="s">
        <v>3053</v>
      </c>
      <c r="F2060" t="s">
        <v>401</v>
      </c>
      <c r="G2060" t="s">
        <v>402</v>
      </c>
      <c r="H2060" t="s">
        <v>4400</v>
      </c>
      <c r="I2060">
        <v>1278</v>
      </c>
      <c r="J2060">
        <v>1065</v>
      </c>
      <c r="K2060">
        <v>0</v>
      </c>
      <c r="L2060">
        <v>36</v>
      </c>
      <c r="M2060">
        <v>26</v>
      </c>
      <c r="N2060">
        <v>0</v>
      </c>
      <c r="O2060">
        <v>151</v>
      </c>
    </row>
    <row r="2061" spans="1:15" x14ac:dyDescent="0.25">
      <c r="A2061" t="s">
        <v>11715</v>
      </c>
      <c r="B2061" t="s">
        <v>2784</v>
      </c>
      <c r="C2061" t="s">
        <v>927</v>
      </c>
      <c r="D2061" t="s">
        <v>3052</v>
      </c>
      <c r="E2061" t="s">
        <v>3053</v>
      </c>
      <c r="F2061" t="s">
        <v>401</v>
      </c>
      <c r="G2061" t="s">
        <v>402</v>
      </c>
      <c r="H2061" t="s">
        <v>11958</v>
      </c>
      <c r="I2061">
        <v>53</v>
      </c>
      <c r="J2061">
        <v>51</v>
      </c>
      <c r="K2061">
        <v>0</v>
      </c>
      <c r="L2061">
        <v>0</v>
      </c>
      <c r="M2061">
        <v>0</v>
      </c>
      <c r="N2061">
        <v>0</v>
      </c>
      <c r="O2061">
        <v>2</v>
      </c>
    </row>
    <row r="2062" spans="1:15" x14ac:dyDescent="0.25">
      <c r="A2062" t="s">
        <v>926</v>
      </c>
      <c r="B2062" t="s">
        <v>2923</v>
      </c>
      <c r="C2062" t="s">
        <v>927</v>
      </c>
      <c r="D2062" t="s">
        <v>3052</v>
      </c>
      <c r="E2062" t="s">
        <v>3053</v>
      </c>
      <c r="F2062" t="s">
        <v>403</v>
      </c>
      <c r="G2062" t="s">
        <v>404</v>
      </c>
      <c r="H2062" t="s">
        <v>4401</v>
      </c>
      <c r="I2062">
        <v>22</v>
      </c>
      <c r="J2062">
        <v>0</v>
      </c>
      <c r="K2062">
        <v>0</v>
      </c>
      <c r="L2062">
        <v>20</v>
      </c>
      <c r="M2062">
        <v>0</v>
      </c>
      <c r="N2062">
        <v>0</v>
      </c>
      <c r="O2062">
        <v>2</v>
      </c>
    </row>
    <row r="2063" spans="1:15" x14ac:dyDescent="0.25">
      <c r="A2063" t="s">
        <v>929</v>
      </c>
      <c r="B2063" t="s">
        <v>2999</v>
      </c>
      <c r="C2063" t="s">
        <v>927</v>
      </c>
      <c r="D2063" t="s">
        <v>3052</v>
      </c>
      <c r="E2063" t="s">
        <v>3053</v>
      </c>
      <c r="F2063" t="s">
        <v>403</v>
      </c>
      <c r="G2063" t="s">
        <v>404</v>
      </c>
      <c r="H2063" t="s">
        <v>4402</v>
      </c>
      <c r="I2063">
        <v>90</v>
      </c>
      <c r="J2063">
        <v>7</v>
      </c>
      <c r="K2063">
        <v>0</v>
      </c>
      <c r="L2063">
        <v>0</v>
      </c>
      <c r="M2063">
        <v>83</v>
      </c>
      <c r="N2063">
        <v>0</v>
      </c>
      <c r="O2063">
        <v>0</v>
      </c>
    </row>
    <row r="2064" spans="1:15" x14ac:dyDescent="0.25">
      <c r="A2064" t="s">
        <v>983</v>
      </c>
      <c r="B2064" t="s">
        <v>2069</v>
      </c>
      <c r="C2064" t="s">
        <v>927</v>
      </c>
      <c r="D2064" t="s">
        <v>3052</v>
      </c>
      <c r="E2064" t="s">
        <v>3053</v>
      </c>
      <c r="F2064" t="s">
        <v>403</v>
      </c>
      <c r="G2064" t="s">
        <v>404</v>
      </c>
      <c r="H2064" t="s">
        <v>4403</v>
      </c>
      <c r="I2064">
        <v>4930</v>
      </c>
      <c r="J2064">
        <v>4214</v>
      </c>
      <c r="K2064">
        <v>0</v>
      </c>
      <c r="L2064">
        <v>23</v>
      </c>
      <c r="M2064">
        <v>351</v>
      </c>
      <c r="N2064">
        <v>0</v>
      </c>
      <c r="O2064">
        <v>342</v>
      </c>
    </row>
    <row r="2065" spans="1:15" x14ac:dyDescent="0.25">
      <c r="A2065" t="s">
        <v>1590</v>
      </c>
      <c r="B2065" t="s">
        <v>2853</v>
      </c>
      <c r="C2065" t="s">
        <v>927</v>
      </c>
      <c r="D2065" t="s">
        <v>3052</v>
      </c>
      <c r="E2065" t="s">
        <v>3053</v>
      </c>
      <c r="F2065" t="s">
        <v>403</v>
      </c>
      <c r="G2065" t="s">
        <v>404</v>
      </c>
      <c r="H2065" t="s">
        <v>4404</v>
      </c>
      <c r="I2065">
        <v>463</v>
      </c>
      <c r="J2065">
        <v>360</v>
      </c>
      <c r="K2065">
        <v>0</v>
      </c>
      <c r="L2065">
        <v>0</v>
      </c>
      <c r="M2065">
        <v>0</v>
      </c>
      <c r="N2065">
        <v>0</v>
      </c>
      <c r="O2065">
        <v>103</v>
      </c>
    </row>
    <row r="2066" spans="1:15" x14ac:dyDescent="0.25">
      <c r="A2066" t="s">
        <v>998</v>
      </c>
      <c r="B2066" t="s">
        <v>2820</v>
      </c>
      <c r="C2066" t="s">
        <v>927</v>
      </c>
      <c r="D2066" t="s">
        <v>3052</v>
      </c>
      <c r="E2066" t="s">
        <v>3053</v>
      </c>
      <c r="F2066" t="s">
        <v>403</v>
      </c>
      <c r="G2066" t="s">
        <v>404</v>
      </c>
      <c r="H2066" t="s">
        <v>14613</v>
      </c>
      <c r="I2066">
        <v>65</v>
      </c>
      <c r="J2066">
        <v>63</v>
      </c>
      <c r="K2066">
        <v>0</v>
      </c>
      <c r="L2066">
        <v>0</v>
      </c>
      <c r="M2066">
        <v>0</v>
      </c>
      <c r="N2066">
        <v>0</v>
      </c>
      <c r="O2066">
        <v>2</v>
      </c>
    </row>
    <row r="2067" spans="1:15" x14ac:dyDescent="0.25">
      <c r="A2067" t="s">
        <v>10643</v>
      </c>
      <c r="B2067" t="s">
        <v>2987</v>
      </c>
      <c r="C2067" t="s">
        <v>927</v>
      </c>
      <c r="D2067" t="s">
        <v>3052</v>
      </c>
      <c r="E2067" t="s">
        <v>3053</v>
      </c>
      <c r="F2067" t="s">
        <v>403</v>
      </c>
      <c r="G2067" t="s">
        <v>404</v>
      </c>
      <c r="H2067" t="s">
        <v>10955</v>
      </c>
      <c r="I2067">
        <v>28</v>
      </c>
      <c r="J2067">
        <v>16</v>
      </c>
      <c r="K2067">
        <v>0</v>
      </c>
      <c r="L2067">
        <v>1</v>
      </c>
      <c r="M2067">
        <v>0</v>
      </c>
      <c r="N2067">
        <v>0</v>
      </c>
      <c r="O2067">
        <v>11</v>
      </c>
    </row>
    <row r="2068" spans="1:15" x14ac:dyDescent="0.25">
      <c r="A2068" t="s">
        <v>937</v>
      </c>
      <c r="B2068" t="s">
        <v>1962</v>
      </c>
      <c r="C2068" t="s">
        <v>927</v>
      </c>
      <c r="D2068" t="s">
        <v>3052</v>
      </c>
      <c r="E2068" t="s">
        <v>3053</v>
      </c>
      <c r="F2068" t="s">
        <v>403</v>
      </c>
      <c r="G2068" t="s">
        <v>404</v>
      </c>
      <c r="H2068" t="s">
        <v>4405</v>
      </c>
      <c r="I2068">
        <v>21</v>
      </c>
      <c r="J2068">
        <v>0</v>
      </c>
      <c r="K2068">
        <v>0</v>
      </c>
      <c r="L2068">
        <v>0</v>
      </c>
      <c r="M2068">
        <v>0</v>
      </c>
      <c r="N2068">
        <v>0</v>
      </c>
      <c r="O2068">
        <v>21</v>
      </c>
    </row>
    <row r="2069" spans="1:15" x14ac:dyDescent="0.25">
      <c r="A2069" t="s">
        <v>940</v>
      </c>
      <c r="B2069" t="s">
        <v>2647</v>
      </c>
      <c r="C2069" t="s">
        <v>927</v>
      </c>
      <c r="D2069" t="s">
        <v>3052</v>
      </c>
      <c r="E2069" t="s">
        <v>3053</v>
      </c>
      <c r="F2069" t="s">
        <v>403</v>
      </c>
      <c r="G2069" t="s">
        <v>404</v>
      </c>
      <c r="H2069" t="s">
        <v>4406</v>
      </c>
      <c r="I2069">
        <v>60</v>
      </c>
      <c r="J2069">
        <v>0</v>
      </c>
      <c r="K2069">
        <v>0</v>
      </c>
      <c r="L2069">
        <v>0</v>
      </c>
      <c r="M2069">
        <v>60</v>
      </c>
      <c r="N2069">
        <v>0</v>
      </c>
      <c r="O2069">
        <v>0</v>
      </c>
    </row>
    <row r="2070" spans="1:15" x14ac:dyDescent="0.25">
      <c r="A2070" t="s">
        <v>1745</v>
      </c>
      <c r="B2070" t="s">
        <v>2884</v>
      </c>
      <c r="C2070" t="s">
        <v>927</v>
      </c>
      <c r="D2070" t="s">
        <v>3052</v>
      </c>
      <c r="E2070" t="s">
        <v>3053</v>
      </c>
      <c r="F2070" t="s">
        <v>403</v>
      </c>
      <c r="G2070" t="s">
        <v>404</v>
      </c>
      <c r="H2070" t="s">
        <v>4407</v>
      </c>
      <c r="I2070">
        <v>66</v>
      </c>
      <c r="J2070">
        <v>36</v>
      </c>
      <c r="K2070">
        <v>0</v>
      </c>
      <c r="L2070">
        <v>0</v>
      </c>
      <c r="M2070">
        <v>0</v>
      </c>
      <c r="N2070">
        <v>0</v>
      </c>
      <c r="O2070">
        <v>30</v>
      </c>
    </row>
    <row r="2071" spans="1:15" x14ac:dyDescent="0.25">
      <c r="A2071" t="s">
        <v>1030</v>
      </c>
      <c r="B2071" t="s">
        <v>2880</v>
      </c>
      <c r="C2071" t="s">
        <v>927</v>
      </c>
      <c r="D2071" t="s">
        <v>3052</v>
      </c>
      <c r="E2071" t="s">
        <v>3053</v>
      </c>
      <c r="F2071" t="s">
        <v>403</v>
      </c>
      <c r="G2071" t="s">
        <v>404</v>
      </c>
      <c r="H2071" t="s">
        <v>4408</v>
      </c>
      <c r="I2071">
        <v>20</v>
      </c>
      <c r="J2071">
        <v>0</v>
      </c>
      <c r="K2071">
        <v>0</v>
      </c>
      <c r="L2071">
        <v>0</v>
      </c>
      <c r="M2071">
        <v>0</v>
      </c>
      <c r="N2071">
        <v>0</v>
      </c>
      <c r="O2071">
        <v>20</v>
      </c>
    </row>
    <row r="2072" spans="1:15" x14ac:dyDescent="0.25">
      <c r="A2072" t="s">
        <v>1049</v>
      </c>
      <c r="B2072" t="s">
        <v>2138</v>
      </c>
      <c r="C2072" t="s">
        <v>927</v>
      </c>
      <c r="D2072" t="s">
        <v>3052</v>
      </c>
      <c r="E2072" t="s">
        <v>3053</v>
      </c>
      <c r="F2072" t="s">
        <v>403</v>
      </c>
      <c r="G2072" t="s">
        <v>404</v>
      </c>
      <c r="H2072" t="s">
        <v>4409</v>
      </c>
      <c r="I2072">
        <v>125</v>
      </c>
      <c r="J2072">
        <v>107</v>
      </c>
      <c r="K2072">
        <v>0</v>
      </c>
      <c r="L2072">
        <v>0</v>
      </c>
      <c r="M2072">
        <v>0</v>
      </c>
      <c r="N2072">
        <v>0</v>
      </c>
      <c r="O2072">
        <v>18</v>
      </c>
    </row>
    <row r="2073" spans="1:15" x14ac:dyDescent="0.25">
      <c r="A2073" t="s">
        <v>1758</v>
      </c>
      <c r="B2073" t="s">
        <v>2997</v>
      </c>
      <c r="C2073" t="s">
        <v>927</v>
      </c>
      <c r="D2073" t="s">
        <v>3052</v>
      </c>
      <c r="E2073" t="s">
        <v>3053</v>
      </c>
      <c r="F2073" t="s">
        <v>403</v>
      </c>
      <c r="G2073" t="s">
        <v>404</v>
      </c>
      <c r="H2073" t="s">
        <v>4410</v>
      </c>
      <c r="I2073">
        <v>51</v>
      </c>
      <c r="J2073">
        <v>42</v>
      </c>
      <c r="K2073">
        <v>0</v>
      </c>
      <c r="L2073">
        <v>9</v>
      </c>
      <c r="M2073">
        <v>0</v>
      </c>
      <c r="N2073">
        <v>0</v>
      </c>
      <c r="O2073">
        <v>0</v>
      </c>
    </row>
    <row r="2074" spans="1:15" x14ac:dyDescent="0.25">
      <c r="A2074" t="s">
        <v>1056</v>
      </c>
      <c r="B2074" t="s">
        <v>2966</v>
      </c>
      <c r="C2074" t="s">
        <v>927</v>
      </c>
      <c r="D2074" t="s">
        <v>3052</v>
      </c>
      <c r="E2074" t="s">
        <v>3053</v>
      </c>
      <c r="F2074" t="s">
        <v>403</v>
      </c>
      <c r="G2074" t="s">
        <v>404</v>
      </c>
      <c r="H2074" t="s">
        <v>4411</v>
      </c>
      <c r="I2074">
        <v>14</v>
      </c>
      <c r="J2074">
        <v>14</v>
      </c>
      <c r="K2074">
        <v>0</v>
      </c>
      <c r="L2074">
        <v>0</v>
      </c>
      <c r="M2074">
        <v>0</v>
      </c>
      <c r="N2074">
        <v>0</v>
      </c>
      <c r="O2074">
        <v>0</v>
      </c>
    </row>
    <row r="2075" spans="1:15" x14ac:dyDescent="0.25">
      <c r="A2075" t="s">
        <v>955</v>
      </c>
      <c r="B2075" t="s">
        <v>2660</v>
      </c>
      <c r="C2075" t="s">
        <v>927</v>
      </c>
      <c r="D2075" t="s">
        <v>3052</v>
      </c>
      <c r="E2075" t="s">
        <v>3053</v>
      </c>
      <c r="F2075" t="s">
        <v>403</v>
      </c>
      <c r="G2075" t="s">
        <v>404</v>
      </c>
      <c r="H2075" t="s">
        <v>4412</v>
      </c>
      <c r="I2075">
        <v>16</v>
      </c>
      <c r="J2075">
        <v>16</v>
      </c>
      <c r="K2075">
        <v>0</v>
      </c>
      <c r="L2075">
        <v>0</v>
      </c>
      <c r="M2075">
        <v>0</v>
      </c>
      <c r="N2075">
        <v>0</v>
      </c>
      <c r="O2075">
        <v>0</v>
      </c>
    </row>
    <row r="2076" spans="1:15" x14ac:dyDescent="0.25">
      <c r="A2076" t="s">
        <v>1660</v>
      </c>
      <c r="B2076" t="s">
        <v>2827</v>
      </c>
      <c r="C2076" t="s">
        <v>927</v>
      </c>
      <c r="D2076" t="s">
        <v>3052</v>
      </c>
      <c r="E2076" t="s">
        <v>3053</v>
      </c>
      <c r="F2076" t="s">
        <v>403</v>
      </c>
      <c r="G2076" t="s">
        <v>404</v>
      </c>
      <c r="H2076" t="s">
        <v>4413</v>
      </c>
      <c r="I2076">
        <v>2</v>
      </c>
      <c r="J2076">
        <v>0</v>
      </c>
      <c r="K2076">
        <v>0</v>
      </c>
      <c r="L2076">
        <v>0</v>
      </c>
      <c r="M2076">
        <v>0</v>
      </c>
      <c r="N2076">
        <v>0</v>
      </c>
      <c r="O2076">
        <v>2</v>
      </c>
    </row>
    <row r="2077" spans="1:15" x14ac:dyDescent="0.25">
      <c r="A2077" t="s">
        <v>960</v>
      </c>
      <c r="B2077" t="s">
        <v>2080</v>
      </c>
      <c r="C2077" t="s">
        <v>927</v>
      </c>
      <c r="D2077" t="s">
        <v>3052</v>
      </c>
      <c r="E2077" t="s">
        <v>3053</v>
      </c>
      <c r="F2077" t="s">
        <v>403</v>
      </c>
      <c r="G2077" t="s">
        <v>404</v>
      </c>
      <c r="H2077" t="s">
        <v>4414</v>
      </c>
      <c r="I2077">
        <v>450</v>
      </c>
      <c r="J2077">
        <v>375</v>
      </c>
      <c r="K2077">
        <v>0</v>
      </c>
      <c r="L2077">
        <v>0</v>
      </c>
      <c r="M2077">
        <v>0</v>
      </c>
      <c r="N2077">
        <v>0</v>
      </c>
      <c r="O2077">
        <v>75</v>
      </c>
    </row>
    <row r="2078" spans="1:15" x14ac:dyDescent="0.25">
      <c r="A2078" t="s">
        <v>962</v>
      </c>
      <c r="B2078" t="s">
        <v>2752</v>
      </c>
      <c r="C2078" t="s">
        <v>927</v>
      </c>
      <c r="D2078" t="s">
        <v>3052</v>
      </c>
      <c r="E2078" t="s">
        <v>3053</v>
      </c>
      <c r="F2078" t="s">
        <v>403</v>
      </c>
      <c r="G2078" t="s">
        <v>404</v>
      </c>
      <c r="H2078" t="s">
        <v>4415</v>
      </c>
      <c r="I2078">
        <v>340</v>
      </c>
      <c r="J2078">
        <v>301</v>
      </c>
      <c r="K2078">
        <v>0</v>
      </c>
      <c r="L2078">
        <v>0</v>
      </c>
      <c r="M2078">
        <v>0</v>
      </c>
      <c r="N2078">
        <v>0</v>
      </c>
      <c r="O2078">
        <v>39</v>
      </c>
    </row>
    <row r="2079" spans="1:15" x14ac:dyDescent="0.25">
      <c r="A2079" t="s">
        <v>1066</v>
      </c>
      <c r="B2079" t="s">
        <v>2557</v>
      </c>
      <c r="C2079" t="s">
        <v>927</v>
      </c>
      <c r="D2079" t="s">
        <v>3052</v>
      </c>
      <c r="E2079" t="s">
        <v>3053</v>
      </c>
      <c r="F2079" t="s">
        <v>403</v>
      </c>
      <c r="G2079" t="s">
        <v>404</v>
      </c>
      <c r="H2079" t="s">
        <v>4416</v>
      </c>
      <c r="I2079">
        <v>17</v>
      </c>
      <c r="J2079">
        <v>0</v>
      </c>
      <c r="K2079">
        <v>0</v>
      </c>
      <c r="L2079">
        <v>0</v>
      </c>
      <c r="M2079">
        <v>17</v>
      </c>
      <c r="N2079">
        <v>0</v>
      </c>
      <c r="O2079">
        <v>0</v>
      </c>
    </row>
    <row r="2080" spans="1:15" x14ac:dyDescent="0.25">
      <c r="A2080" t="s">
        <v>1069</v>
      </c>
      <c r="B2080" t="s">
        <v>2001</v>
      </c>
      <c r="C2080" t="s">
        <v>927</v>
      </c>
      <c r="D2080" t="s">
        <v>3052</v>
      </c>
      <c r="E2080" t="s">
        <v>3053</v>
      </c>
      <c r="F2080" t="s">
        <v>403</v>
      </c>
      <c r="G2080" t="s">
        <v>404</v>
      </c>
      <c r="H2080" t="s">
        <v>4417</v>
      </c>
      <c r="I2080">
        <v>276</v>
      </c>
      <c r="J2080">
        <v>148</v>
      </c>
      <c r="K2080">
        <v>0</v>
      </c>
      <c r="L2080">
        <v>0</v>
      </c>
      <c r="M2080">
        <v>0</v>
      </c>
      <c r="N2080">
        <v>0</v>
      </c>
      <c r="O2080">
        <v>128</v>
      </c>
    </row>
    <row r="2081" spans="1:15" x14ac:dyDescent="0.25">
      <c r="A2081" t="s">
        <v>1790</v>
      </c>
      <c r="B2081" t="s">
        <v>2865</v>
      </c>
      <c r="C2081" t="s">
        <v>927</v>
      </c>
      <c r="D2081" t="s">
        <v>3052</v>
      </c>
      <c r="E2081" t="s">
        <v>3053</v>
      </c>
      <c r="F2081" t="s">
        <v>403</v>
      </c>
      <c r="G2081" t="s">
        <v>404</v>
      </c>
      <c r="H2081" t="s">
        <v>4418</v>
      </c>
      <c r="I2081">
        <v>45</v>
      </c>
      <c r="J2081">
        <v>31</v>
      </c>
      <c r="K2081">
        <v>0</v>
      </c>
      <c r="L2081">
        <v>0</v>
      </c>
      <c r="M2081">
        <v>0</v>
      </c>
      <c r="N2081">
        <v>0</v>
      </c>
      <c r="O2081">
        <v>14</v>
      </c>
    </row>
    <row r="2082" spans="1:15" x14ac:dyDescent="0.25">
      <c r="A2082" t="s">
        <v>1016</v>
      </c>
      <c r="B2082" t="s">
        <v>2725</v>
      </c>
      <c r="C2082" t="s">
        <v>927</v>
      </c>
      <c r="D2082" t="s">
        <v>3052</v>
      </c>
      <c r="E2082" t="s">
        <v>3053</v>
      </c>
      <c r="F2082" t="s">
        <v>405</v>
      </c>
      <c r="G2082" t="s">
        <v>406</v>
      </c>
      <c r="H2082" t="s">
        <v>4436</v>
      </c>
      <c r="I2082">
        <v>129</v>
      </c>
      <c r="J2082">
        <v>59</v>
      </c>
      <c r="K2082">
        <v>0</v>
      </c>
      <c r="L2082">
        <v>0</v>
      </c>
      <c r="M2082">
        <v>55</v>
      </c>
      <c r="N2082">
        <v>0</v>
      </c>
      <c r="O2082">
        <v>15</v>
      </c>
    </row>
    <row r="2083" spans="1:15" x14ac:dyDescent="0.25">
      <c r="A2083" t="s">
        <v>971</v>
      </c>
      <c r="B2083" t="s">
        <v>2956</v>
      </c>
      <c r="C2083" t="s">
        <v>927</v>
      </c>
      <c r="D2083" t="s">
        <v>3052</v>
      </c>
      <c r="E2083" t="s">
        <v>3053</v>
      </c>
      <c r="F2083" t="s">
        <v>405</v>
      </c>
      <c r="G2083" t="s">
        <v>406</v>
      </c>
      <c r="H2083" t="s">
        <v>4419</v>
      </c>
      <c r="I2083">
        <v>691</v>
      </c>
      <c r="J2083">
        <v>647</v>
      </c>
      <c r="K2083">
        <v>0</v>
      </c>
      <c r="L2083">
        <v>0</v>
      </c>
      <c r="M2083">
        <v>37</v>
      </c>
      <c r="N2083">
        <v>0</v>
      </c>
      <c r="O2083">
        <v>7</v>
      </c>
    </row>
    <row r="2084" spans="1:15" x14ac:dyDescent="0.25">
      <c r="A2084" t="s">
        <v>929</v>
      </c>
      <c r="B2084" t="s">
        <v>2999</v>
      </c>
      <c r="C2084" t="s">
        <v>927</v>
      </c>
      <c r="D2084" t="s">
        <v>3052</v>
      </c>
      <c r="E2084" t="s">
        <v>3053</v>
      </c>
      <c r="F2084" t="s">
        <v>405</v>
      </c>
      <c r="G2084" t="s">
        <v>406</v>
      </c>
      <c r="H2084" t="s">
        <v>4420</v>
      </c>
      <c r="I2084">
        <v>540</v>
      </c>
      <c r="J2084">
        <v>0</v>
      </c>
      <c r="K2084">
        <v>0</v>
      </c>
      <c r="L2084">
        <v>0</v>
      </c>
      <c r="M2084">
        <v>527</v>
      </c>
      <c r="N2084">
        <v>0</v>
      </c>
      <c r="O2084">
        <v>13</v>
      </c>
    </row>
    <row r="2085" spans="1:15" x14ac:dyDescent="0.25">
      <c r="A2085" t="s">
        <v>9790</v>
      </c>
      <c r="B2085" t="s">
        <v>1977</v>
      </c>
      <c r="C2085" t="s">
        <v>923</v>
      </c>
      <c r="D2085" t="s">
        <v>3063</v>
      </c>
      <c r="E2085" t="s">
        <v>3053</v>
      </c>
      <c r="F2085" t="s">
        <v>405</v>
      </c>
      <c r="G2085" t="s">
        <v>406</v>
      </c>
      <c r="H2085" t="s">
        <v>11959</v>
      </c>
      <c r="I2085">
        <v>101</v>
      </c>
      <c r="J2085">
        <v>0</v>
      </c>
      <c r="K2085">
        <v>0</v>
      </c>
      <c r="L2085">
        <v>101</v>
      </c>
      <c r="M2085">
        <v>0</v>
      </c>
      <c r="N2085">
        <v>0</v>
      </c>
      <c r="O2085">
        <v>0</v>
      </c>
    </row>
    <row r="2086" spans="1:15" x14ac:dyDescent="0.25">
      <c r="A2086" t="s">
        <v>1406</v>
      </c>
      <c r="B2086" t="s">
        <v>2134</v>
      </c>
      <c r="C2086" t="s">
        <v>927</v>
      </c>
      <c r="D2086" t="s">
        <v>3052</v>
      </c>
      <c r="E2086" t="s">
        <v>3053</v>
      </c>
      <c r="F2086" t="s">
        <v>405</v>
      </c>
      <c r="G2086" t="s">
        <v>406</v>
      </c>
      <c r="H2086" t="s">
        <v>4421</v>
      </c>
      <c r="I2086">
        <v>18009</v>
      </c>
      <c r="J2086">
        <v>17993</v>
      </c>
      <c r="K2086">
        <v>0</v>
      </c>
      <c r="L2086">
        <v>0</v>
      </c>
      <c r="M2086">
        <v>0</v>
      </c>
      <c r="N2086">
        <v>40</v>
      </c>
      <c r="O2086">
        <v>16</v>
      </c>
    </row>
    <row r="2087" spans="1:15" x14ac:dyDescent="0.25">
      <c r="A2087" t="s">
        <v>1407</v>
      </c>
      <c r="B2087" t="s">
        <v>2109</v>
      </c>
      <c r="C2087" t="s">
        <v>927</v>
      </c>
      <c r="D2087" t="s">
        <v>3052</v>
      </c>
      <c r="E2087" t="s">
        <v>3053</v>
      </c>
      <c r="F2087" t="s">
        <v>405</v>
      </c>
      <c r="G2087" t="s">
        <v>406</v>
      </c>
      <c r="H2087" t="s">
        <v>4422</v>
      </c>
      <c r="I2087">
        <v>1697</v>
      </c>
      <c r="J2087">
        <v>1107</v>
      </c>
      <c r="K2087">
        <v>0</v>
      </c>
      <c r="L2087">
        <v>132</v>
      </c>
      <c r="M2087">
        <v>409</v>
      </c>
      <c r="N2087">
        <v>0</v>
      </c>
      <c r="O2087">
        <v>49</v>
      </c>
    </row>
    <row r="2088" spans="1:15" x14ac:dyDescent="0.25">
      <c r="A2088" t="s">
        <v>9784</v>
      </c>
      <c r="B2088" t="s">
        <v>1994</v>
      </c>
      <c r="C2088" t="s">
        <v>927</v>
      </c>
      <c r="D2088" t="s">
        <v>3052</v>
      </c>
      <c r="E2088" t="s">
        <v>3053</v>
      </c>
      <c r="F2088" t="s">
        <v>405</v>
      </c>
      <c r="G2088" t="s">
        <v>406</v>
      </c>
      <c r="H2088" t="s">
        <v>9928</v>
      </c>
      <c r="I2088">
        <v>20</v>
      </c>
      <c r="J2088">
        <v>0</v>
      </c>
      <c r="K2088">
        <v>0</v>
      </c>
      <c r="L2088">
        <v>20</v>
      </c>
      <c r="M2088">
        <v>0</v>
      </c>
      <c r="N2088">
        <v>0</v>
      </c>
      <c r="O2088">
        <v>0</v>
      </c>
    </row>
    <row r="2089" spans="1:15" x14ac:dyDescent="0.25">
      <c r="A2089" t="s">
        <v>1410</v>
      </c>
      <c r="B2089" t="s">
        <v>2312</v>
      </c>
      <c r="C2089" t="s">
        <v>923</v>
      </c>
      <c r="D2089" t="s">
        <v>3063</v>
      </c>
      <c r="E2089" t="s">
        <v>3053</v>
      </c>
      <c r="F2089" t="s">
        <v>405</v>
      </c>
      <c r="G2089" t="s">
        <v>406</v>
      </c>
      <c r="H2089" t="s">
        <v>4423</v>
      </c>
      <c r="I2089">
        <v>12</v>
      </c>
      <c r="J2089">
        <v>12</v>
      </c>
      <c r="K2089">
        <v>0</v>
      </c>
      <c r="L2089">
        <v>0</v>
      </c>
      <c r="M2089">
        <v>0</v>
      </c>
      <c r="N2089">
        <v>0</v>
      </c>
      <c r="O2089">
        <v>0</v>
      </c>
    </row>
    <row r="2090" spans="1:15" x14ac:dyDescent="0.25">
      <c r="A2090" t="s">
        <v>985</v>
      </c>
      <c r="B2090" t="s">
        <v>1964</v>
      </c>
      <c r="C2090" t="s">
        <v>923</v>
      </c>
      <c r="D2090" t="s">
        <v>3063</v>
      </c>
      <c r="E2090" t="s">
        <v>3053</v>
      </c>
      <c r="F2090" t="s">
        <v>405</v>
      </c>
      <c r="G2090" t="s">
        <v>406</v>
      </c>
      <c r="H2090" t="s">
        <v>14614</v>
      </c>
      <c r="I2090">
        <v>5</v>
      </c>
      <c r="J2090">
        <v>0</v>
      </c>
      <c r="K2090">
        <v>0</v>
      </c>
      <c r="L2090">
        <v>5</v>
      </c>
      <c r="M2090">
        <v>0</v>
      </c>
      <c r="N2090">
        <v>0</v>
      </c>
      <c r="O2090">
        <v>0</v>
      </c>
    </row>
    <row r="2091" spans="1:15" x14ac:dyDescent="0.25">
      <c r="A2091" t="s">
        <v>1412</v>
      </c>
      <c r="B2091" t="s">
        <v>2099</v>
      </c>
      <c r="C2091" t="s">
        <v>927</v>
      </c>
      <c r="D2091" t="s">
        <v>3052</v>
      </c>
      <c r="E2091" t="s">
        <v>3053</v>
      </c>
      <c r="F2091" t="s">
        <v>405</v>
      </c>
      <c r="G2091" t="s">
        <v>406</v>
      </c>
      <c r="H2091" t="s">
        <v>4424</v>
      </c>
      <c r="I2091">
        <v>112</v>
      </c>
      <c r="J2091">
        <v>102</v>
      </c>
      <c r="K2091">
        <v>0</v>
      </c>
      <c r="L2091">
        <v>0</v>
      </c>
      <c r="M2091">
        <v>0</v>
      </c>
      <c r="N2091">
        <v>0</v>
      </c>
      <c r="O2091">
        <v>10</v>
      </c>
    </row>
    <row r="2092" spans="1:15" x14ac:dyDescent="0.25">
      <c r="A2092" t="s">
        <v>1414</v>
      </c>
      <c r="B2092" t="s">
        <v>2140</v>
      </c>
      <c r="C2092" t="s">
        <v>923</v>
      </c>
      <c r="D2092" t="s">
        <v>3063</v>
      </c>
      <c r="E2092" t="s">
        <v>3053</v>
      </c>
      <c r="F2092" t="s">
        <v>405</v>
      </c>
      <c r="G2092" t="s">
        <v>406</v>
      </c>
      <c r="H2092" t="s">
        <v>4425</v>
      </c>
      <c r="I2092">
        <v>18</v>
      </c>
      <c r="J2092">
        <v>6</v>
      </c>
      <c r="K2092">
        <v>0</v>
      </c>
      <c r="L2092">
        <v>12</v>
      </c>
      <c r="M2092">
        <v>0</v>
      </c>
      <c r="N2092">
        <v>0</v>
      </c>
      <c r="O2092">
        <v>0</v>
      </c>
    </row>
    <row r="2093" spans="1:15" x14ac:dyDescent="0.25">
      <c r="A2093" t="s">
        <v>1415</v>
      </c>
      <c r="B2093" t="s">
        <v>10618</v>
      </c>
      <c r="C2093" t="s">
        <v>927</v>
      </c>
      <c r="D2093" t="s">
        <v>3052</v>
      </c>
      <c r="E2093" t="s">
        <v>3053</v>
      </c>
      <c r="F2093" t="s">
        <v>405</v>
      </c>
      <c r="G2093" t="s">
        <v>406</v>
      </c>
      <c r="H2093" t="s">
        <v>4426</v>
      </c>
      <c r="I2093">
        <v>1321</v>
      </c>
      <c r="J2093">
        <v>1283</v>
      </c>
      <c r="K2093">
        <v>0</v>
      </c>
      <c r="L2093">
        <v>0</v>
      </c>
      <c r="M2093">
        <v>35</v>
      </c>
      <c r="N2093">
        <v>0</v>
      </c>
      <c r="O2093">
        <v>3</v>
      </c>
    </row>
    <row r="2094" spans="1:15" x14ac:dyDescent="0.25">
      <c r="A2094" t="s">
        <v>1416</v>
      </c>
      <c r="B2094" t="s">
        <v>2029</v>
      </c>
      <c r="C2094" t="s">
        <v>923</v>
      </c>
      <c r="D2094" t="s">
        <v>3063</v>
      </c>
      <c r="E2094" t="s">
        <v>3053</v>
      </c>
      <c r="F2094" t="s">
        <v>405</v>
      </c>
      <c r="G2094" t="s">
        <v>406</v>
      </c>
      <c r="H2094" t="s">
        <v>4427</v>
      </c>
      <c r="I2094">
        <v>142</v>
      </c>
      <c r="J2094">
        <v>0</v>
      </c>
      <c r="K2094">
        <v>0</v>
      </c>
      <c r="L2094">
        <v>142</v>
      </c>
      <c r="M2094">
        <v>0</v>
      </c>
      <c r="N2094">
        <v>0</v>
      </c>
      <c r="O2094">
        <v>0</v>
      </c>
    </row>
    <row r="2095" spans="1:15" x14ac:dyDescent="0.25">
      <c r="A2095" t="s">
        <v>1418</v>
      </c>
      <c r="B2095" t="s">
        <v>2854</v>
      </c>
      <c r="C2095" t="s">
        <v>927</v>
      </c>
      <c r="D2095" t="s">
        <v>3052</v>
      </c>
      <c r="E2095" t="s">
        <v>3053</v>
      </c>
      <c r="F2095" t="s">
        <v>405</v>
      </c>
      <c r="G2095" t="s">
        <v>406</v>
      </c>
      <c r="H2095" t="s">
        <v>11960</v>
      </c>
      <c r="I2095">
        <v>7</v>
      </c>
      <c r="J2095">
        <v>7</v>
      </c>
      <c r="K2095">
        <v>0</v>
      </c>
      <c r="L2095">
        <v>0</v>
      </c>
      <c r="M2095">
        <v>0</v>
      </c>
      <c r="N2095">
        <v>0</v>
      </c>
      <c r="O2095">
        <v>0</v>
      </c>
    </row>
    <row r="2096" spans="1:15" x14ac:dyDescent="0.25">
      <c r="A2096" t="s">
        <v>10638</v>
      </c>
      <c r="B2096" t="s">
        <v>2057</v>
      </c>
      <c r="C2096" t="s">
        <v>927</v>
      </c>
      <c r="D2096" t="s">
        <v>3052</v>
      </c>
      <c r="E2096" t="s">
        <v>3053</v>
      </c>
      <c r="F2096" t="s">
        <v>405</v>
      </c>
      <c r="G2096" t="s">
        <v>406</v>
      </c>
      <c r="H2096" t="s">
        <v>10956</v>
      </c>
      <c r="I2096">
        <v>2</v>
      </c>
      <c r="J2096">
        <v>0</v>
      </c>
      <c r="K2096">
        <v>0</v>
      </c>
      <c r="L2096">
        <v>2</v>
      </c>
      <c r="M2096">
        <v>0</v>
      </c>
      <c r="N2096">
        <v>0</v>
      </c>
      <c r="O2096">
        <v>0</v>
      </c>
    </row>
    <row r="2097" spans="1:15" x14ac:dyDescent="0.25">
      <c r="A2097" t="s">
        <v>1419</v>
      </c>
      <c r="B2097" t="s">
        <v>2013</v>
      </c>
      <c r="C2097" t="s">
        <v>923</v>
      </c>
      <c r="D2097" t="s">
        <v>3063</v>
      </c>
      <c r="E2097" t="s">
        <v>3053</v>
      </c>
      <c r="F2097" t="s">
        <v>405</v>
      </c>
      <c r="G2097" t="s">
        <v>406</v>
      </c>
      <c r="H2097" t="s">
        <v>4428</v>
      </c>
      <c r="I2097">
        <v>17</v>
      </c>
      <c r="J2097">
        <v>17</v>
      </c>
      <c r="K2097">
        <v>0</v>
      </c>
      <c r="L2097">
        <v>0</v>
      </c>
      <c r="M2097">
        <v>0</v>
      </c>
      <c r="N2097">
        <v>0</v>
      </c>
      <c r="O2097">
        <v>0</v>
      </c>
    </row>
    <row r="2098" spans="1:15" x14ac:dyDescent="0.25">
      <c r="A2098" t="s">
        <v>937</v>
      </c>
      <c r="B2098" t="s">
        <v>1962</v>
      </c>
      <c r="C2098" t="s">
        <v>927</v>
      </c>
      <c r="D2098" t="s">
        <v>3052</v>
      </c>
      <c r="E2098" t="s">
        <v>3053</v>
      </c>
      <c r="F2098" t="s">
        <v>405</v>
      </c>
      <c r="G2098" t="s">
        <v>406</v>
      </c>
      <c r="H2098" t="s">
        <v>4429</v>
      </c>
      <c r="I2098">
        <v>137</v>
      </c>
      <c r="J2098">
        <v>0</v>
      </c>
      <c r="K2098">
        <v>0</v>
      </c>
      <c r="L2098">
        <v>0</v>
      </c>
      <c r="M2098">
        <v>0</v>
      </c>
      <c r="N2098">
        <v>0</v>
      </c>
      <c r="O2098">
        <v>137</v>
      </c>
    </row>
    <row r="2099" spans="1:15" x14ac:dyDescent="0.25">
      <c r="A2099" t="s">
        <v>938</v>
      </c>
      <c r="B2099" t="s">
        <v>2791</v>
      </c>
      <c r="C2099" t="s">
        <v>927</v>
      </c>
      <c r="D2099" t="s">
        <v>3052</v>
      </c>
      <c r="E2099" t="s">
        <v>3053</v>
      </c>
      <c r="F2099" t="s">
        <v>405</v>
      </c>
      <c r="G2099" t="s">
        <v>406</v>
      </c>
      <c r="H2099" t="s">
        <v>4430</v>
      </c>
      <c r="I2099">
        <v>3186</v>
      </c>
      <c r="J2099">
        <v>2767</v>
      </c>
      <c r="K2099">
        <v>0</v>
      </c>
      <c r="L2099">
        <v>134</v>
      </c>
      <c r="M2099">
        <v>247</v>
      </c>
      <c r="N2099">
        <v>2</v>
      </c>
      <c r="O2099">
        <v>38</v>
      </c>
    </row>
    <row r="2100" spans="1:15" x14ac:dyDescent="0.25">
      <c r="A2100" t="s">
        <v>940</v>
      </c>
      <c r="B2100" t="s">
        <v>2647</v>
      </c>
      <c r="C2100" t="s">
        <v>927</v>
      </c>
      <c r="D2100" t="s">
        <v>3052</v>
      </c>
      <c r="E2100" t="s">
        <v>3053</v>
      </c>
      <c r="F2100" t="s">
        <v>405</v>
      </c>
      <c r="G2100" t="s">
        <v>406</v>
      </c>
      <c r="H2100" t="s">
        <v>4431</v>
      </c>
      <c r="I2100">
        <v>127</v>
      </c>
      <c r="J2100">
        <v>1</v>
      </c>
      <c r="K2100">
        <v>0</v>
      </c>
      <c r="L2100">
        <v>0</v>
      </c>
      <c r="M2100">
        <v>126</v>
      </c>
      <c r="N2100">
        <v>0</v>
      </c>
      <c r="O2100">
        <v>0</v>
      </c>
    </row>
    <row r="2101" spans="1:15" x14ac:dyDescent="0.25">
      <c r="A2101" t="s">
        <v>1422</v>
      </c>
      <c r="B2101" t="s">
        <v>1990</v>
      </c>
      <c r="C2101" t="s">
        <v>923</v>
      </c>
      <c r="D2101" t="s">
        <v>3063</v>
      </c>
      <c r="E2101" t="s">
        <v>3053</v>
      </c>
      <c r="F2101" t="s">
        <v>405</v>
      </c>
      <c r="G2101" t="s">
        <v>406</v>
      </c>
      <c r="H2101" t="s">
        <v>4432</v>
      </c>
      <c r="I2101">
        <v>16</v>
      </c>
      <c r="J2101">
        <v>1</v>
      </c>
      <c r="K2101">
        <v>0</v>
      </c>
      <c r="L2101">
        <v>15</v>
      </c>
      <c r="M2101">
        <v>0</v>
      </c>
      <c r="N2101">
        <v>0</v>
      </c>
      <c r="O2101">
        <v>0</v>
      </c>
    </row>
    <row r="2102" spans="1:15" x14ac:dyDescent="0.25">
      <c r="A2102" t="s">
        <v>1423</v>
      </c>
      <c r="B2102" t="s">
        <v>2071</v>
      </c>
      <c r="C2102" t="s">
        <v>923</v>
      </c>
      <c r="D2102" t="s">
        <v>3063</v>
      </c>
      <c r="E2102" t="s">
        <v>3053</v>
      </c>
      <c r="F2102" t="s">
        <v>405</v>
      </c>
      <c r="G2102" t="s">
        <v>406</v>
      </c>
      <c r="H2102" t="s">
        <v>4433</v>
      </c>
      <c r="I2102">
        <v>64</v>
      </c>
      <c r="J2102">
        <v>0</v>
      </c>
      <c r="K2102">
        <v>0</v>
      </c>
      <c r="L2102">
        <v>64</v>
      </c>
      <c r="M2102">
        <v>0</v>
      </c>
      <c r="N2102">
        <v>0</v>
      </c>
      <c r="O2102">
        <v>0</v>
      </c>
    </row>
    <row r="2103" spans="1:15" x14ac:dyDescent="0.25">
      <c r="A2103" t="s">
        <v>1013</v>
      </c>
      <c r="B2103" t="s">
        <v>1959</v>
      </c>
      <c r="C2103" t="s">
        <v>927</v>
      </c>
      <c r="D2103" t="s">
        <v>3052</v>
      </c>
      <c r="E2103" t="s">
        <v>3053</v>
      </c>
      <c r="F2103" t="s">
        <v>405</v>
      </c>
      <c r="G2103" t="s">
        <v>406</v>
      </c>
      <c r="H2103" t="s">
        <v>4434</v>
      </c>
      <c r="I2103">
        <v>67</v>
      </c>
      <c r="J2103">
        <v>0</v>
      </c>
      <c r="K2103">
        <v>0</v>
      </c>
      <c r="L2103">
        <v>67</v>
      </c>
      <c r="M2103">
        <v>0</v>
      </c>
      <c r="N2103">
        <v>0</v>
      </c>
      <c r="O2103">
        <v>0</v>
      </c>
    </row>
    <row r="2104" spans="1:15" x14ac:dyDescent="0.25">
      <c r="A2104" t="s">
        <v>1424</v>
      </c>
      <c r="B2104" t="s">
        <v>2227</v>
      </c>
      <c r="C2104" t="s">
        <v>923</v>
      </c>
      <c r="D2104" t="s">
        <v>3063</v>
      </c>
      <c r="E2104" t="s">
        <v>3053</v>
      </c>
      <c r="F2104" t="s">
        <v>405</v>
      </c>
      <c r="G2104" t="s">
        <v>406</v>
      </c>
      <c r="H2104" t="s">
        <v>4435</v>
      </c>
      <c r="I2104">
        <v>5</v>
      </c>
      <c r="J2104">
        <v>5</v>
      </c>
      <c r="K2104">
        <v>0</v>
      </c>
      <c r="L2104">
        <v>0</v>
      </c>
      <c r="M2104">
        <v>0</v>
      </c>
      <c r="N2104">
        <v>0</v>
      </c>
      <c r="O2104">
        <v>0</v>
      </c>
    </row>
    <row r="2105" spans="1:15" x14ac:dyDescent="0.25">
      <c r="A2105" t="s">
        <v>11688</v>
      </c>
      <c r="B2105" t="s">
        <v>2194</v>
      </c>
      <c r="C2105" t="s">
        <v>923</v>
      </c>
      <c r="D2105" t="s">
        <v>3063</v>
      </c>
      <c r="E2105" t="s">
        <v>3053</v>
      </c>
      <c r="F2105" t="s">
        <v>405</v>
      </c>
      <c r="G2105" t="s">
        <v>406</v>
      </c>
      <c r="H2105" t="s">
        <v>11961</v>
      </c>
      <c r="I2105">
        <v>47</v>
      </c>
      <c r="J2105">
        <v>0</v>
      </c>
      <c r="K2105">
        <v>0</v>
      </c>
      <c r="L2105">
        <v>0</v>
      </c>
      <c r="M2105">
        <v>47</v>
      </c>
      <c r="N2105">
        <v>0</v>
      </c>
      <c r="O2105">
        <v>0</v>
      </c>
    </row>
    <row r="2106" spans="1:15" x14ac:dyDescent="0.25">
      <c r="A2106" t="s">
        <v>1427</v>
      </c>
      <c r="B2106" t="s">
        <v>2087</v>
      </c>
      <c r="C2106" t="s">
        <v>927</v>
      </c>
      <c r="D2106" t="s">
        <v>3052</v>
      </c>
      <c r="E2106" t="s">
        <v>3053</v>
      </c>
      <c r="F2106" t="s">
        <v>405</v>
      </c>
      <c r="G2106" t="s">
        <v>406</v>
      </c>
      <c r="H2106" t="s">
        <v>4437</v>
      </c>
      <c r="I2106">
        <v>11649</v>
      </c>
      <c r="J2106">
        <v>11219</v>
      </c>
      <c r="K2106">
        <v>0</v>
      </c>
      <c r="L2106">
        <v>49</v>
      </c>
      <c r="M2106">
        <v>335</v>
      </c>
      <c r="N2106">
        <v>0</v>
      </c>
      <c r="O2106">
        <v>46</v>
      </c>
    </row>
    <row r="2107" spans="1:15" x14ac:dyDescent="0.25">
      <c r="A2107" t="s">
        <v>1430</v>
      </c>
      <c r="B2107" t="s">
        <v>2901</v>
      </c>
      <c r="C2107" t="s">
        <v>927</v>
      </c>
      <c r="D2107" t="s">
        <v>3052</v>
      </c>
      <c r="E2107" t="s">
        <v>3053</v>
      </c>
      <c r="F2107" t="s">
        <v>405</v>
      </c>
      <c r="G2107" t="s">
        <v>406</v>
      </c>
      <c r="H2107" t="s">
        <v>4438</v>
      </c>
      <c r="I2107">
        <v>8717</v>
      </c>
      <c r="J2107">
        <v>8709</v>
      </c>
      <c r="K2107">
        <v>0</v>
      </c>
      <c r="L2107">
        <v>0</v>
      </c>
      <c r="M2107">
        <v>0</v>
      </c>
      <c r="N2107">
        <v>0</v>
      </c>
      <c r="O2107">
        <v>8</v>
      </c>
    </row>
    <row r="2108" spans="1:15" x14ac:dyDescent="0.25">
      <c r="A2108" t="s">
        <v>1433</v>
      </c>
      <c r="B2108" t="s">
        <v>2914</v>
      </c>
      <c r="C2108" t="s">
        <v>927</v>
      </c>
      <c r="D2108" t="s">
        <v>3052</v>
      </c>
      <c r="E2108" t="s">
        <v>3053</v>
      </c>
      <c r="F2108" t="s">
        <v>405</v>
      </c>
      <c r="G2108" t="s">
        <v>406</v>
      </c>
      <c r="H2108" t="s">
        <v>4439</v>
      </c>
      <c r="I2108">
        <v>950</v>
      </c>
      <c r="J2108">
        <v>926</v>
      </c>
      <c r="K2108">
        <v>0</v>
      </c>
      <c r="L2108">
        <v>21</v>
      </c>
      <c r="M2108">
        <v>0</v>
      </c>
      <c r="N2108">
        <v>4</v>
      </c>
      <c r="O2108">
        <v>3</v>
      </c>
    </row>
    <row r="2109" spans="1:15" x14ac:dyDescent="0.25">
      <c r="A2109" t="s">
        <v>951</v>
      </c>
      <c r="B2109" t="s">
        <v>2680</v>
      </c>
      <c r="C2109" t="s">
        <v>927</v>
      </c>
      <c r="D2109" t="s">
        <v>3052</v>
      </c>
      <c r="E2109" t="s">
        <v>3053</v>
      </c>
      <c r="F2109" t="s">
        <v>405</v>
      </c>
      <c r="G2109" t="s">
        <v>406</v>
      </c>
      <c r="H2109" t="s">
        <v>4440</v>
      </c>
      <c r="I2109">
        <v>254</v>
      </c>
      <c r="J2109">
        <v>244</v>
      </c>
      <c r="K2109">
        <v>0</v>
      </c>
      <c r="L2109">
        <v>1</v>
      </c>
      <c r="M2109">
        <v>0</v>
      </c>
      <c r="N2109">
        <v>0</v>
      </c>
      <c r="O2109">
        <v>9</v>
      </c>
    </row>
    <row r="2110" spans="1:15" x14ac:dyDescent="0.25">
      <c r="A2110" t="s">
        <v>1048</v>
      </c>
      <c r="B2110" t="s">
        <v>2989</v>
      </c>
      <c r="C2110" t="s">
        <v>927</v>
      </c>
      <c r="D2110" t="s">
        <v>3052</v>
      </c>
      <c r="E2110" t="s">
        <v>3053</v>
      </c>
      <c r="F2110" t="s">
        <v>405</v>
      </c>
      <c r="G2110" t="s">
        <v>406</v>
      </c>
      <c r="H2110" t="s">
        <v>4441</v>
      </c>
      <c r="I2110">
        <v>12</v>
      </c>
      <c r="J2110">
        <v>0</v>
      </c>
      <c r="K2110">
        <v>0</v>
      </c>
      <c r="L2110">
        <v>12</v>
      </c>
      <c r="M2110">
        <v>0</v>
      </c>
      <c r="N2110">
        <v>0</v>
      </c>
      <c r="O2110">
        <v>0</v>
      </c>
    </row>
    <row r="2111" spans="1:15" x14ac:dyDescent="0.25">
      <c r="A2111" t="s">
        <v>1051</v>
      </c>
      <c r="B2111" t="s">
        <v>2995</v>
      </c>
      <c r="C2111" t="s">
        <v>927</v>
      </c>
      <c r="D2111" t="s">
        <v>3052</v>
      </c>
      <c r="E2111" t="s">
        <v>3053</v>
      </c>
      <c r="F2111" t="s">
        <v>405</v>
      </c>
      <c r="G2111" t="s">
        <v>406</v>
      </c>
      <c r="H2111" t="s">
        <v>4442</v>
      </c>
      <c r="I2111">
        <v>19</v>
      </c>
      <c r="J2111">
        <v>0</v>
      </c>
      <c r="K2111">
        <v>0</v>
      </c>
      <c r="L2111">
        <v>19</v>
      </c>
      <c r="M2111">
        <v>0</v>
      </c>
      <c r="N2111">
        <v>0</v>
      </c>
      <c r="O2111">
        <v>0</v>
      </c>
    </row>
    <row r="2112" spans="1:15" x14ac:dyDescent="0.25">
      <c r="A2112" t="s">
        <v>1436</v>
      </c>
      <c r="B2112" t="s">
        <v>2209</v>
      </c>
      <c r="C2112" t="s">
        <v>927</v>
      </c>
      <c r="D2112" t="s">
        <v>3052</v>
      </c>
      <c r="E2112" t="s">
        <v>3053</v>
      </c>
      <c r="F2112" t="s">
        <v>405</v>
      </c>
      <c r="G2112" t="s">
        <v>406</v>
      </c>
      <c r="H2112" t="s">
        <v>4443</v>
      </c>
      <c r="I2112">
        <v>102</v>
      </c>
      <c r="J2112">
        <v>8</v>
      </c>
      <c r="K2112">
        <v>0</v>
      </c>
      <c r="L2112">
        <v>58</v>
      </c>
      <c r="M2112">
        <v>36</v>
      </c>
      <c r="N2112">
        <v>62</v>
      </c>
      <c r="O2112">
        <v>0</v>
      </c>
    </row>
    <row r="2113" spans="1:15" x14ac:dyDescent="0.25">
      <c r="A2113" t="s">
        <v>953</v>
      </c>
      <c r="B2113" t="s">
        <v>2014</v>
      </c>
      <c r="C2113" t="s">
        <v>927</v>
      </c>
      <c r="D2113" t="s">
        <v>3052</v>
      </c>
      <c r="E2113" t="s">
        <v>3053</v>
      </c>
      <c r="F2113" t="s">
        <v>405</v>
      </c>
      <c r="G2113" t="s">
        <v>406</v>
      </c>
      <c r="H2113" t="s">
        <v>4444</v>
      </c>
      <c r="I2113">
        <v>115</v>
      </c>
      <c r="J2113">
        <v>0</v>
      </c>
      <c r="K2113">
        <v>0</v>
      </c>
      <c r="L2113">
        <v>115</v>
      </c>
      <c r="M2113">
        <v>0</v>
      </c>
      <c r="N2113">
        <v>0</v>
      </c>
      <c r="O2113">
        <v>0</v>
      </c>
    </row>
    <row r="2114" spans="1:15" x14ac:dyDescent="0.25">
      <c r="A2114" t="s">
        <v>11720</v>
      </c>
      <c r="B2114" t="s">
        <v>10718</v>
      </c>
      <c r="C2114" t="s">
        <v>927</v>
      </c>
      <c r="D2114" t="s">
        <v>3052</v>
      </c>
      <c r="E2114" t="s">
        <v>3053</v>
      </c>
      <c r="F2114" t="s">
        <v>405</v>
      </c>
      <c r="G2114" t="s">
        <v>406</v>
      </c>
      <c r="H2114" t="s">
        <v>14615</v>
      </c>
      <c r="I2114">
        <v>4</v>
      </c>
      <c r="J2114">
        <v>0</v>
      </c>
      <c r="K2114">
        <v>0</v>
      </c>
      <c r="L2114">
        <v>0</v>
      </c>
      <c r="M2114">
        <v>0</v>
      </c>
      <c r="N2114">
        <v>0</v>
      </c>
      <c r="O2114">
        <v>4</v>
      </c>
    </row>
    <row r="2115" spans="1:15" x14ac:dyDescent="0.25">
      <c r="A2115" t="s">
        <v>1057</v>
      </c>
      <c r="B2115" t="s">
        <v>1972</v>
      </c>
      <c r="C2115" t="s">
        <v>927</v>
      </c>
      <c r="D2115" t="s">
        <v>3052</v>
      </c>
      <c r="E2115" t="s">
        <v>3053</v>
      </c>
      <c r="F2115" t="s">
        <v>405</v>
      </c>
      <c r="G2115" t="s">
        <v>406</v>
      </c>
      <c r="H2115" t="s">
        <v>10398</v>
      </c>
      <c r="I2115">
        <v>20</v>
      </c>
      <c r="J2115">
        <v>0</v>
      </c>
      <c r="K2115">
        <v>0</v>
      </c>
      <c r="L2115">
        <v>20</v>
      </c>
      <c r="M2115">
        <v>0</v>
      </c>
      <c r="N2115">
        <v>0</v>
      </c>
      <c r="O2115">
        <v>0</v>
      </c>
    </row>
    <row r="2116" spans="1:15" x14ac:dyDescent="0.25">
      <c r="A2116" t="s">
        <v>1438</v>
      </c>
      <c r="B2116" t="s">
        <v>2287</v>
      </c>
      <c r="C2116" t="s">
        <v>923</v>
      </c>
      <c r="D2116" t="s">
        <v>3063</v>
      </c>
      <c r="E2116" t="s">
        <v>3053</v>
      </c>
      <c r="F2116" t="s">
        <v>405</v>
      </c>
      <c r="G2116" t="s">
        <v>406</v>
      </c>
      <c r="H2116" t="s">
        <v>4445</v>
      </c>
      <c r="I2116">
        <v>25</v>
      </c>
      <c r="J2116">
        <v>0</v>
      </c>
      <c r="K2116">
        <v>0</v>
      </c>
      <c r="L2116">
        <v>18</v>
      </c>
      <c r="M2116">
        <v>7</v>
      </c>
      <c r="N2116">
        <v>0</v>
      </c>
      <c r="O2116">
        <v>0</v>
      </c>
    </row>
    <row r="2117" spans="1:15" x14ac:dyDescent="0.25">
      <c r="A2117" t="s">
        <v>1442</v>
      </c>
      <c r="B2117" t="s">
        <v>2017</v>
      </c>
      <c r="C2117" t="s">
        <v>923</v>
      </c>
      <c r="D2117" t="s">
        <v>3063</v>
      </c>
      <c r="E2117" t="s">
        <v>3053</v>
      </c>
      <c r="F2117" t="s">
        <v>405</v>
      </c>
      <c r="G2117" t="s">
        <v>406</v>
      </c>
      <c r="H2117" t="s">
        <v>4446</v>
      </c>
      <c r="I2117">
        <v>118</v>
      </c>
      <c r="J2117">
        <v>5</v>
      </c>
      <c r="K2117">
        <v>0</v>
      </c>
      <c r="L2117">
        <v>113</v>
      </c>
      <c r="M2117">
        <v>0</v>
      </c>
      <c r="N2117">
        <v>0</v>
      </c>
      <c r="O2117">
        <v>0</v>
      </c>
    </row>
    <row r="2118" spans="1:15" x14ac:dyDescent="0.25">
      <c r="A2118" t="s">
        <v>9816</v>
      </c>
      <c r="B2118" t="s">
        <v>2900</v>
      </c>
      <c r="C2118" t="s">
        <v>923</v>
      </c>
      <c r="D2118" t="s">
        <v>3063</v>
      </c>
      <c r="E2118" t="s">
        <v>3053</v>
      </c>
      <c r="F2118" t="s">
        <v>405</v>
      </c>
      <c r="G2118" t="s">
        <v>406</v>
      </c>
      <c r="H2118" t="s">
        <v>10474</v>
      </c>
      <c r="I2118">
        <v>13</v>
      </c>
      <c r="J2118">
        <v>0</v>
      </c>
      <c r="K2118">
        <v>0</v>
      </c>
      <c r="L2118">
        <v>13</v>
      </c>
      <c r="M2118">
        <v>0</v>
      </c>
      <c r="N2118">
        <v>0</v>
      </c>
      <c r="O2118">
        <v>0</v>
      </c>
    </row>
    <row r="2119" spans="1:15" x14ac:dyDescent="0.25">
      <c r="A2119" t="s">
        <v>1072</v>
      </c>
      <c r="B2119" t="s">
        <v>2907</v>
      </c>
      <c r="C2119" t="s">
        <v>927</v>
      </c>
      <c r="D2119" t="s">
        <v>3052</v>
      </c>
      <c r="E2119" t="s">
        <v>3053</v>
      </c>
      <c r="F2119" t="s">
        <v>405</v>
      </c>
      <c r="G2119" t="s">
        <v>406</v>
      </c>
      <c r="H2119" t="s">
        <v>4447</v>
      </c>
      <c r="I2119">
        <v>455</v>
      </c>
      <c r="J2119">
        <v>305</v>
      </c>
      <c r="K2119">
        <v>0</v>
      </c>
      <c r="L2119">
        <v>93</v>
      </c>
      <c r="M2119">
        <v>0</v>
      </c>
      <c r="N2119">
        <v>0</v>
      </c>
      <c r="O2119">
        <v>57</v>
      </c>
    </row>
    <row r="2120" spans="1:15" x14ac:dyDescent="0.25">
      <c r="A2120" t="s">
        <v>1180</v>
      </c>
      <c r="B2120" t="s">
        <v>2896</v>
      </c>
      <c r="C2120" t="s">
        <v>927</v>
      </c>
      <c r="D2120" t="s">
        <v>3052</v>
      </c>
      <c r="E2120" t="s">
        <v>3053</v>
      </c>
      <c r="F2120" t="s">
        <v>405</v>
      </c>
      <c r="G2120" t="s">
        <v>406</v>
      </c>
      <c r="H2120" t="s">
        <v>4448</v>
      </c>
      <c r="I2120">
        <v>514</v>
      </c>
      <c r="J2120">
        <v>379</v>
      </c>
      <c r="K2120">
        <v>0</v>
      </c>
      <c r="L2120">
        <v>19</v>
      </c>
      <c r="M2120">
        <v>37</v>
      </c>
      <c r="N2120">
        <v>0</v>
      </c>
      <c r="O2120">
        <v>79</v>
      </c>
    </row>
    <row r="2121" spans="1:15" x14ac:dyDescent="0.25">
      <c r="A2121" t="s">
        <v>1080</v>
      </c>
      <c r="B2121" t="s">
        <v>2030</v>
      </c>
      <c r="C2121" t="s">
        <v>923</v>
      </c>
      <c r="D2121" t="s">
        <v>3063</v>
      </c>
      <c r="E2121" t="s">
        <v>3053</v>
      </c>
      <c r="F2121" t="s">
        <v>405</v>
      </c>
      <c r="G2121" t="s">
        <v>406</v>
      </c>
      <c r="H2121" t="s">
        <v>4449</v>
      </c>
      <c r="I2121">
        <v>14</v>
      </c>
      <c r="J2121">
        <v>0</v>
      </c>
      <c r="K2121">
        <v>0</v>
      </c>
      <c r="L2121">
        <v>14</v>
      </c>
      <c r="M2121">
        <v>0</v>
      </c>
      <c r="N2121">
        <v>0</v>
      </c>
      <c r="O2121">
        <v>0</v>
      </c>
    </row>
    <row r="2122" spans="1:15" x14ac:dyDescent="0.25">
      <c r="A2122" t="s">
        <v>1450</v>
      </c>
      <c r="B2122" t="s">
        <v>2172</v>
      </c>
      <c r="C2122" t="s">
        <v>923</v>
      </c>
      <c r="D2122" t="s">
        <v>3063</v>
      </c>
      <c r="E2122" t="s">
        <v>3053</v>
      </c>
      <c r="F2122" t="s">
        <v>405</v>
      </c>
      <c r="G2122" t="s">
        <v>406</v>
      </c>
      <c r="H2122" t="s">
        <v>4450</v>
      </c>
      <c r="I2122">
        <v>7</v>
      </c>
      <c r="J2122">
        <v>7</v>
      </c>
      <c r="K2122">
        <v>0</v>
      </c>
      <c r="L2122">
        <v>0</v>
      </c>
      <c r="M2122">
        <v>0</v>
      </c>
      <c r="N2122">
        <v>0</v>
      </c>
      <c r="O2122">
        <v>0</v>
      </c>
    </row>
    <row r="2123" spans="1:15" x14ac:dyDescent="0.25">
      <c r="A2123" t="s">
        <v>926</v>
      </c>
      <c r="B2123" t="s">
        <v>2923</v>
      </c>
      <c r="C2123" t="s">
        <v>927</v>
      </c>
      <c r="D2123" t="s">
        <v>3052</v>
      </c>
      <c r="E2123" t="s">
        <v>3053</v>
      </c>
      <c r="F2123" t="s">
        <v>407</v>
      </c>
      <c r="G2123" t="s">
        <v>408</v>
      </c>
      <c r="H2123" t="s">
        <v>4451</v>
      </c>
      <c r="I2123">
        <v>15</v>
      </c>
      <c r="J2123">
        <v>0</v>
      </c>
      <c r="K2123">
        <v>0</v>
      </c>
      <c r="L2123">
        <v>2</v>
      </c>
      <c r="M2123">
        <v>0</v>
      </c>
      <c r="N2123">
        <v>0</v>
      </c>
      <c r="O2123">
        <v>13</v>
      </c>
    </row>
    <row r="2124" spans="1:15" x14ac:dyDescent="0.25">
      <c r="A2124" t="s">
        <v>929</v>
      </c>
      <c r="B2124" t="s">
        <v>2999</v>
      </c>
      <c r="C2124" t="s">
        <v>927</v>
      </c>
      <c r="D2124" t="s">
        <v>3052</v>
      </c>
      <c r="E2124" t="s">
        <v>3053</v>
      </c>
      <c r="F2124" t="s">
        <v>407</v>
      </c>
      <c r="G2124" t="s">
        <v>408</v>
      </c>
      <c r="H2124" t="s">
        <v>4452</v>
      </c>
      <c r="I2124">
        <v>184</v>
      </c>
      <c r="J2124">
        <v>0</v>
      </c>
      <c r="K2124">
        <v>0</v>
      </c>
      <c r="L2124">
        <v>0</v>
      </c>
      <c r="M2124">
        <v>184</v>
      </c>
      <c r="N2124">
        <v>0</v>
      </c>
      <c r="O2124">
        <v>0</v>
      </c>
    </row>
    <row r="2125" spans="1:15" x14ac:dyDescent="0.25">
      <c r="A2125" t="s">
        <v>1703</v>
      </c>
      <c r="B2125" t="s">
        <v>1992</v>
      </c>
      <c r="C2125" t="s">
        <v>923</v>
      </c>
      <c r="D2125" t="s">
        <v>3063</v>
      </c>
      <c r="E2125" t="s">
        <v>3053</v>
      </c>
      <c r="F2125" t="s">
        <v>407</v>
      </c>
      <c r="G2125" t="s">
        <v>408</v>
      </c>
      <c r="H2125" t="s">
        <v>9901</v>
      </c>
      <c r="I2125">
        <v>137</v>
      </c>
      <c r="J2125">
        <v>0</v>
      </c>
      <c r="K2125">
        <v>0</v>
      </c>
      <c r="L2125">
        <v>137</v>
      </c>
      <c r="M2125">
        <v>0</v>
      </c>
      <c r="N2125">
        <v>0</v>
      </c>
      <c r="O2125">
        <v>0</v>
      </c>
    </row>
    <row r="2126" spans="1:15" x14ac:dyDescent="0.25">
      <c r="A2126" t="s">
        <v>9790</v>
      </c>
      <c r="B2126" t="s">
        <v>1977</v>
      </c>
      <c r="C2126" t="s">
        <v>923</v>
      </c>
      <c r="D2126" t="s">
        <v>3063</v>
      </c>
      <c r="E2126" t="s">
        <v>3053</v>
      </c>
      <c r="F2126" t="s">
        <v>407</v>
      </c>
      <c r="G2126" t="s">
        <v>408</v>
      </c>
      <c r="H2126" t="s">
        <v>11962</v>
      </c>
      <c r="I2126">
        <v>15</v>
      </c>
      <c r="J2126">
        <v>0</v>
      </c>
      <c r="K2126">
        <v>0</v>
      </c>
      <c r="L2126">
        <v>15</v>
      </c>
      <c r="M2126">
        <v>0</v>
      </c>
      <c r="N2126">
        <v>0</v>
      </c>
      <c r="O2126">
        <v>0</v>
      </c>
    </row>
    <row r="2127" spans="1:15" x14ac:dyDescent="0.25">
      <c r="A2127" t="s">
        <v>9784</v>
      </c>
      <c r="B2127" t="s">
        <v>1994</v>
      </c>
      <c r="C2127" t="s">
        <v>927</v>
      </c>
      <c r="D2127" t="s">
        <v>3052</v>
      </c>
      <c r="E2127" t="s">
        <v>3053</v>
      </c>
      <c r="F2127" t="s">
        <v>407</v>
      </c>
      <c r="G2127" t="s">
        <v>408</v>
      </c>
      <c r="H2127" t="s">
        <v>9929</v>
      </c>
      <c r="I2127">
        <v>9</v>
      </c>
      <c r="J2127">
        <v>0</v>
      </c>
      <c r="K2127">
        <v>0</v>
      </c>
      <c r="L2127">
        <v>9</v>
      </c>
      <c r="M2127">
        <v>0</v>
      </c>
      <c r="N2127">
        <v>0</v>
      </c>
      <c r="O2127">
        <v>0</v>
      </c>
    </row>
    <row r="2128" spans="1:15" x14ac:dyDescent="0.25">
      <c r="A2128" t="s">
        <v>1715</v>
      </c>
      <c r="B2128" t="s">
        <v>2136</v>
      </c>
      <c r="C2128" t="s">
        <v>927</v>
      </c>
      <c r="D2128" t="s">
        <v>3052</v>
      </c>
      <c r="E2128" t="s">
        <v>3053</v>
      </c>
      <c r="F2128" t="s">
        <v>407</v>
      </c>
      <c r="G2128" t="s">
        <v>408</v>
      </c>
      <c r="H2128" t="s">
        <v>4453</v>
      </c>
      <c r="I2128">
        <v>16491</v>
      </c>
      <c r="J2128">
        <v>15794</v>
      </c>
      <c r="K2128">
        <v>0</v>
      </c>
      <c r="L2128">
        <v>132</v>
      </c>
      <c r="M2128">
        <v>437</v>
      </c>
      <c r="N2128">
        <v>144</v>
      </c>
      <c r="O2128">
        <v>128</v>
      </c>
    </row>
    <row r="2129" spans="1:15" x14ac:dyDescent="0.25">
      <c r="A2129" t="s">
        <v>933</v>
      </c>
      <c r="B2129" t="s">
        <v>2106</v>
      </c>
      <c r="C2129" t="s">
        <v>927</v>
      </c>
      <c r="D2129" t="s">
        <v>3052</v>
      </c>
      <c r="E2129" t="s">
        <v>3053</v>
      </c>
      <c r="F2129" t="s">
        <v>407</v>
      </c>
      <c r="G2129" t="s">
        <v>408</v>
      </c>
      <c r="H2129" t="s">
        <v>4454</v>
      </c>
      <c r="I2129">
        <v>539</v>
      </c>
      <c r="J2129">
        <v>486</v>
      </c>
      <c r="K2129">
        <v>0</v>
      </c>
      <c r="L2129">
        <v>1</v>
      </c>
      <c r="M2129">
        <v>0</v>
      </c>
      <c r="N2129">
        <v>2</v>
      </c>
      <c r="O2129">
        <v>52</v>
      </c>
    </row>
    <row r="2130" spans="1:15" x14ac:dyDescent="0.25">
      <c r="A2130" t="s">
        <v>1815</v>
      </c>
      <c r="B2130" t="s">
        <v>2171</v>
      </c>
      <c r="C2130" t="s">
        <v>923</v>
      </c>
      <c r="D2130" t="s">
        <v>3063</v>
      </c>
      <c r="E2130" t="s">
        <v>3053</v>
      </c>
      <c r="F2130" t="s">
        <v>407</v>
      </c>
      <c r="G2130" t="s">
        <v>408</v>
      </c>
      <c r="H2130" t="s">
        <v>4455</v>
      </c>
      <c r="I2130">
        <v>118</v>
      </c>
      <c r="J2130">
        <v>0</v>
      </c>
      <c r="K2130">
        <v>0</v>
      </c>
      <c r="L2130">
        <v>0</v>
      </c>
      <c r="M2130">
        <v>118</v>
      </c>
      <c r="N2130">
        <v>0</v>
      </c>
      <c r="O2130">
        <v>0</v>
      </c>
    </row>
    <row r="2131" spans="1:15" x14ac:dyDescent="0.25">
      <c r="A2131" t="s">
        <v>996</v>
      </c>
      <c r="B2131" t="s">
        <v>1952</v>
      </c>
      <c r="C2131" t="s">
        <v>923</v>
      </c>
      <c r="D2131" t="s">
        <v>3063</v>
      </c>
      <c r="E2131" t="s">
        <v>3053</v>
      </c>
      <c r="F2131" t="s">
        <v>407</v>
      </c>
      <c r="G2131" t="s">
        <v>408</v>
      </c>
      <c r="H2131" t="s">
        <v>4456</v>
      </c>
      <c r="I2131">
        <v>12</v>
      </c>
      <c r="J2131">
        <v>0</v>
      </c>
      <c r="K2131">
        <v>0</v>
      </c>
      <c r="L2131">
        <v>12</v>
      </c>
      <c r="M2131">
        <v>0</v>
      </c>
      <c r="N2131">
        <v>0</v>
      </c>
      <c r="O2131">
        <v>0</v>
      </c>
    </row>
    <row r="2132" spans="1:15" x14ac:dyDescent="0.25">
      <c r="A2132" t="s">
        <v>1603</v>
      </c>
      <c r="B2132" t="s">
        <v>2053</v>
      </c>
      <c r="C2132" t="s">
        <v>923</v>
      </c>
      <c r="D2132" t="s">
        <v>3063</v>
      </c>
      <c r="E2132" t="s">
        <v>3053</v>
      </c>
      <c r="F2132" t="s">
        <v>407</v>
      </c>
      <c r="G2132" t="s">
        <v>408</v>
      </c>
      <c r="H2132" t="s">
        <v>4457</v>
      </c>
      <c r="I2132">
        <v>7</v>
      </c>
      <c r="J2132">
        <v>0</v>
      </c>
      <c r="K2132">
        <v>0</v>
      </c>
      <c r="L2132">
        <v>7</v>
      </c>
      <c r="M2132">
        <v>0</v>
      </c>
      <c r="N2132">
        <v>0</v>
      </c>
      <c r="O2132">
        <v>0</v>
      </c>
    </row>
    <row r="2133" spans="1:15" x14ac:dyDescent="0.25">
      <c r="A2133" t="s">
        <v>10638</v>
      </c>
      <c r="B2133" t="s">
        <v>2057</v>
      </c>
      <c r="C2133" t="s">
        <v>927</v>
      </c>
      <c r="D2133" t="s">
        <v>3052</v>
      </c>
      <c r="E2133" t="s">
        <v>3053</v>
      </c>
      <c r="F2133" t="s">
        <v>407</v>
      </c>
      <c r="G2133" t="s">
        <v>408</v>
      </c>
      <c r="H2133" t="s">
        <v>10957</v>
      </c>
      <c r="I2133">
        <v>6</v>
      </c>
      <c r="J2133">
        <v>0</v>
      </c>
      <c r="K2133">
        <v>0</v>
      </c>
      <c r="L2133">
        <v>6</v>
      </c>
      <c r="M2133">
        <v>0</v>
      </c>
      <c r="N2133">
        <v>0</v>
      </c>
      <c r="O2133">
        <v>0</v>
      </c>
    </row>
    <row r="2134" spans="1:15" x14ac:dyDescent="0.25">
      <c r="A2134" t="s">
        <v>10643</v>
      </c>
      <c r="B2134" t="s">
        <v>2987</v>
      </c>
      <c r="C2134" t="s">
        <v>927</v>
      </c>
      <c r="D2134" t="s">
        <v>3052</v>
      </c>
      <c r="E2134" t="s">
        <v>3053</v>
      </c>
      <c r="F2134" t="s">
        <v>407</v>
      </c>
      <c r="G2134" t="s">
        <v>408</v>
      </c>
      <c r="H2134" t="s">
        <v>10958</v>
      </c>
      <c r="I2134">
        <v>609</v>
      </c>
      <c r="J2134">
        <v>480</v>
      </c>
      <c r="K2134">
        <v>0</v>
      </c>
      <c r="L2134">
        <v>33</v>
      </c>
      <c r="M2134">
        <v>82</v>
      </c>
      <c r="N2134">
        <v>10</v>
      </c>
      <c r="O2134">
        <v>14</v>
      </c>
    </row>
    <row r="2135" spans="1:15" x14ac:dyDescent="0.25">
      <c r="A2135" t="s">
        <v>1822</v>
      </c>
      <c r="B2135" t="s">
        <v>2040</v>
      </c>
      <c r="C2135" t="s">
        <v>923</v>
      </c>
      <c r="D2135" t="s">
        <v>3063</v>
      </c>
      <c r="E2135" t="s">
        <v>3053</v>
      </c>
      <c r="F2135" t="s">
        <v>407</v>
      </c>
      <c r="G2135" t="s">
        <v>408</v>
      </c>
      <c r="H2135" t="s">
        <v>10959</v>
      </c>
      <c r="I2135">
        <v>49</v>
      </c>
      <c r="J2135">
        <v>8</v>
      </c>
      <c r="K2135">
        <v>0</v>
      </c>
      <c r="L2135">
        <v>41</v>
      </c>
      <c r="M2135">
        <v>0</v>
      </c>
      <c r="N2135">
        <v>0</v>
      </c>
      <c r="O2135">
        <v>0</v>
      </c>
    </row>
    <row r="2136" spans="1:15" x14ac:dyDescent="0.25">
      <c r="A2136" t="s">
        <v>937</v>
      </c>
      <c r="B2136" t="s">
        <v>1962</v>
      </c>
      <c r="C2136" t="s">
        <v>927</v>
      </c>
      <c r="D2136" t="s">
        <v>3052</v>
      </c>
      <c r="E2136" t="s">
        <v>3053</v>
      </c>
      <c r="F2136" t="s">
        <v>407</v>
      </c>
      <c r="G2136" t="s">
        <v>408</v>
      </c>
      <c r="H2136" t="s">
        <v>4458</v>
      </c>
      <c r="I2136">
        <v>11</v>
      </c>
      <c r="J2136">
        <v>0</v>
      </c>
      <c r="K2136">
        <v>0</v>
      </c>
      <c r="L2136">
        <v>0</v>
      </c>
      <c r="M2136">
        <v>0</v>
      </c>
      <c r="N2136">
        <v>0</v>
      </c>
      <c r="O2136">
        <v>11</v>
      </c>
    </row>
    <row r="2137" spans="1:15" x14ac:dyDescent="0.25">
      <c r="A2137" t="s">
        <v>938</v>
      </c>
      <c r="B2137" t="s">
        <v>2791</v>
      </c>
      <c r="C2137" t="s">
        <v>927</v>
      </c>
      <c r="D2137" t="s">
        <v>3052</v>
      </c>
      <c r="E2137" t="s">
        <v>3053</v>
      </c>
      <c r="F2137" t="s">
        <v>407</v>
      </c>
      <c r="G2137" t="s">
        <v>408</v>
      </c>
      <c r="H2137" t="s">
        <v>4459</v>
      </c>
      <c r="I2137">
        <v>13</v>
      </c>
      <c r="J2137">
        <v>0</v>
      </c>
      <c r="K2137">
        <v>0</v>
      </c>
      <c r="L2137">
        <v>13</v>
      </c>
      <c r="M2137">
        <v>0</v>
      </c>
      <c r="N2137">
        <v>0</v>
      </c>
      <c r="O2137">
        <v>0</v>
      </c>
    </row>
    <row r="2138" spans="1:15" x14ac:dyDescent="0.25">
      <c r="A2138" t="s">
        <v>940</v>
      </c>
      <c r="B2138" t="s">
        <v>2647</v>
      </c>
      <c r="C2138" t="s">
        <v>927</v>
      </c>
      <c r="D2138" t="s">
        <v>3052</v>
      </c>
      <c r="E2138" t="s">
        <v>3053</v>
      </c>
      <c r="F2138" t="s">
        <v>407</v>
      </c>
      <c r="G2138" t="s">
        <v>408</v>
      </c>
      <c r="H2138" t="s">
        <v>4460</v>
      </c>
      <c r="I2138">
        <v>19</v>
      </c>
      <c r="J2138">
        <v>0</v>
      </c>
      <c r="K2138">
        <v>0</v>
      </c>
      <c r="L2138">
        <v>0</v>
      </c>
      <c r="M2138">
        <v>19</v>
      </c>
      <c r="N2138">
        <v>0</v>
      </c>
      <c r="O2138">
        <v>0</v>
      </c>
    </row>
    <row r="2139" spans="1:15" x14ac:dyDescent="0.25">
      <c r="A2139" t="s">
        <v>1423</v>
      </c>
      <c r="B2139" t="s">
        <v>2071</v>
      </c>
      <c r="C2139" t="s">
        <v>923</v>
      </c>
      <c r="D2139" t="s">
        <v>3063</v>
      </c>
      <c r="E2139" t="s">
        <v>3053</v>
      </c>
      <c r="F2139" t="s">
        <v>407</v>
      </c>
      <c r="G2139" t="s">
        <v>408</v>
      </c>
      <c r="H2139" t="s">
        <v>4461</v>
      </c>
      <c r="I2139">
        <v>3</v>
      </c>
      <c r="J2139">
        <v>0</v>
      </c>
      <c r="K2139">
        <v>0</v>
      </c>
      <c r="L2139">
        <v>3</v>
      </c>
      <c r="M2139">
        <v>0</v>
      </c>
      <c r="N2139">
        <v>0</v>
      </c>
      <c r="O2139">
        <v>0</v>
      </c>
    </row>
    <row r="2140" spans="1:15" x14ac:dyDescent="0.25">
      <c r="A2140" t="s">
        <v>1013</v>
      </c>
      <c r="B2140" t="s">
        <v>1959</v>
      </c>
      <c r="C2140" t="s">
        <v>927</v>
      </c>
      <c r="D2140" t="s">
        <v>3052</v>
      </c>
      <c r="E2140" t="s">
        <v>3053</v>
      </c>
      <c r="F2140" t="s">
        <v>407</v>
      </c>
      <c r="G2140" t="s">
        <v>408</v>
      </c>
      <c r="H2140" t="s">
        <v>4462</v>
      </c>
      <c r="I2140">
        <v>88</v>
      </c>
      <c r="J2140">
        <v>0</v>
      </c>
      <c r="K2140">
        <v>0</v>
      </c>
      <c r="L2140">
        <v>88</v>
      </c>
      <c r="M2140">
        <v>0</v>
      </c>
      <c r="N2140">
        <v>0</v>
      </c>
      <c r="O2140">
        <v>0</v>
      </c>
    </row>
    <row r="2141" spans="1:15" x14ac:dyDescent="0.25">
      <c r="A2141" t="s">
        <v>1018</v>
      </c>
      <c r="B2141" t="s">
        <v>1980</v>
      </c>
      <c r="C2141" t="s">
        <v>923</v>
      </c>
      <c r="D2141" t="s">
        <v>3063</v>
      </c>
      <c r="E2141" t="s">
        <v>3053</v>
      </c>
      <c r="F2141" t="s">
        <v>407</v>
      </c>
      <c r="G2141" t="s">
        <v>408</v>
      </c>
      <c r="H2141" t="s">
        <v>4463</v>
      </c>
      <c r="I2141">
        <v>41</v>
      </c>
      <c r="J2141">
        <v>0</v>
      </c>
      <c r="K2141">
        <v>0</v>
      </c>
      <c r="L2141">
        <v>41</v>
      </c>
      <c r="M2141">
        <v>0</v>
      </c>
      <c r="N2141">
        <v>0</v>
      </c>
      <c r="O2141">
        <v>0</v>
      </c>
    </row>
    <row r="2142" spans="1:15" x14ac:dyDescent="0.25">
      <c r="A2142" t="s">
        <v>1030</v>
      </c>
      <c r="B2142" t="s">
        <v>2880</v>
      </c>
      <c r="C2142" t="s">
        <v>927</v>
      </c>
      <c r="D2142" t="s">
        <v>3052</v>
      </c>
      <c r="E2142" t="s">
        <v>3053</v>
      </c>
      <c r="F2142" t="s">
        <v>407</v>
      </c>
      <c r="G2142" t="s">
        <v>408</v>
      </c>
      <c r="H2142" t="s">
        <v>4464</v>
      </c>
      <c r="I2142">
        <v>3670</v>
      </c>
      <c r="J2142">
        <v>2831</v>
      </c>
      <c r="K2142">
        <v>0</v>
      </c>
      <c r="L2142">
        <v>144</v>
      </c>
      <c r="M2142">
        <v>493</v>
      </c>
      <c r="N2142">
        <v>0</v>
      </c>
      <c r="O2142">
        <v>202</v>
      </c>
    </row>
    <row r="2143" spans="1:15" x14ac:dyDescent="0.25">
      <c r="A2143" t="s">
        <v>1829</v>
      </c>
      <c r="B2143" t="s">
        <v>2811</v>
      </c>
      <c r="C2143" t="s">
        <v>927</v>
      </c>
      <c r="D2143" t="s">
        <v>3052</v>
      </c>
      <c r="E2143" t="s">
        <v>3053</v>
      </c>
      <c r="F2143" t="s">
        <v>407</v>
      </c>
      <c r="G2143" t="s">
        <v>408</v>
      </c>
      <c r="H2143" t="s">
        <v>4465</v>
      </c>
      <c r="I2143">
        <v>32</v>
      </c>
      <c r="J2143">
        <v>27</v>
      </c>
      <c r="K2143">
        <v>0</v>
      </c>
      <c r="L2143">
        <v>5</v>
      </c>
      <c r="M2143">
        <v>0</v>
      </c>
      <c r="N2143">
        <v>0</v>
      </c>
      <c r="O2143">
        <v>0</v>
      </c>
    </row>
    <row r="2144" spans="1:15" x14ac:dyDescent="0.25">
      <c r="A2144" t="s">
        <v>1041</v>
      </c>
      <c r="B2144" t="s">
        <v>2826</v>
      </c>
      <c r="C2144" t="s">
        <v>927</v>
      </c>
      <c r="D2144" t="s">
        <v>3052</v>
      </c>
      <c r="E2144" t="s">
        <v>3053</v>
      </c>
      <c r="F2144" t="s">
        <v>407</v>
      </c>
      <c r="G2144" t="s">
        <v>408</v>
      </c>
      <c r="H2144" t="s">
        <v>4466</v>
      </c>
      <c r="I2144">
        <v>127</v>
      </c>
      <c r="J2144">
        <v>33</v>
      </c>
      <c r="K2144">
        <v>0</v>
      </c>
      <c r="L2144">
        <v>0</v>
      </c>
      <c r="M2144">
        <v>0</v>
      </c>
      <c r="N2144">
        <v>0</v>
      </c>
      <c r="O2144">
        <v>94</v>
      </c>
    </row>
    <row r="2145" spans="1:15" x14ac:dyDescent="0.25">
      <c r="A2145" t="s">
        <v>9787</v>
      </c>
      <c r="B2145" t="s">
        <v>2822</v>
      </c>
      <c r="C2145" t="s">
        <v>927</v>
      </c>
      <c r="D2145" t="s">
        <v>3052</v>
      </c>
      <c r="E2145" t="s">
        <v>3053</v>
      </c>
      <c r="F2145" t="s">
        <v>407</v>
      </c>
      <c r="G2145" t="s">
        <v>408</v>
      </c>
      <c r="H2145" t="s">
        <v>10243</v>
      </c>
      <c r="I2145">
        <v>1624</v>
      </c>
      <c r="J2145">
        <v>1341</v>
      </c>
      <c r="K2145">
        <v>0</v>
      </c>
      <c r="L2145">
        <v>74</v>
      </c>
      <c r="M2145">
        <v>209</v>
      </c>
      <c r="N2145">
        <v>1</v>
      </c>
      <c r="O2145">
        <v>0</v>
      </c>
    </row>
    <row r="2146" spans="1:15" x14ac:dyDescent="0.25">
      <c r="A2146" t="s">
        <v>1042</v>
      </c>
      <c r="B2146" t="s">
        <v>2115</v>
      </c>
      <c r="C2146" t="s">
        <v>923</v>
      </c>
      <c r="D2146" t="s">
        <v>3063</v>
      </c>
      <c r="E2146" t="s">
        <v>3053</v>
      </c>
      <c r="F2146" t="s">
        <v>407</v>
      </c>
      <c r="G2146" t="s">
        <v>408</v>
      </c>
      <c r="H2146" t="s">
        <v>14616</v>
      </c>
      <c r="I2146">
        <v>34</v>
      </c>
      <c r="J2146">
        <v>0</v>
      </c>
      <c r="K2146">
        <v>0</v>
      </c>
      <c r="L2146">
        <v>34</v>
      </c>
      <c r="M2146">
        <v>0</v>
      </c>
      <c r="N2146">
        <v>0</v>
      </c>
      <c r="O2146">
        <v>0</v>
      </c>
    </row>
    <row r="2147" spans="1:15" x14ac:dyDescent="0.25">
      <c r="A2147" t="s">
        <v>1043</v>
      </c>
      <c r="B2147" t="s">
        <v>2090</v>
      </c>
      <c r="C2147" t="s">
        <v>927</v>
      </c>
      <c r="D2147" t="s">
        <v>3052</v>
      </c>
      <c r="E2147" t="s">
        <v>3053</v>
      </c>
      <c r="F2147" t="s">
        <v>407</v>
      </c>
      <c r="G2147" t="s">
        <v>408</v>
      </c>
      <c r="H2147" t="s">
        <v>4467</v>
      </c>
      <c r="I2147">
        <v>85</v>
      </c>
      <c r="J2147">
        <v>72</v>
      </c>
      <c r="K2147">
        <v>0</v>
      </c>
      <c r="L2147">
        <v>0</v>
      </c>
      <c r="M2147">
        <v>13</v>
      </c>
      <c r="N2147">
        <v>0</v>
      </c>
      <c r="O2147">
        <v>0</v>
      </c>
    </row>
    <row r="2148" spans="1:15" x14ac:dyDescent="0.25">
      <c r="A2148" t="s">
        <v>951</v>
      </c>
      <c r="B2148" t="s">
        <v>2680</v>
      </c>
      <c r="C2148" t="s">
        <v>927</v>
      </c>
      <c r="D2148" t="s">
        <v>3052</v>
      </c>
      <c r="E2148" t="s">
        <v>3053</v>
      </c>
      <c r="F2148" t="s">
        <v>407</v>
      </c>
      <c r="G2148" t="s">
        <v>408</v>
      </c>
      <c r="H2148" t="s">
        <v>4468</v>
      </c>
      <c r="I2148">
        <v>7</v>
      </c>
      <c r="J2148">
        <v>0</v>
      </c>
      <c r="K2148">
        <v>0</v>
      </c>
      <c r="L2148">
        <v>0</v>
      </c>
      <c r="M2148">
        <v>0</v>
      </c>
      <c r="N2148">
        <v>0</v>
      </c>
      <c r="O2148">
        <v>7</v>
      </c>
    </row>
    <row r="2149" spans="1:15" x14ac:dyDescent="0.25">
      <c r="A2149" t="s">
        <v>955</v>
      </c>
      <c r="B2149" t="s">
        <v>2660</v>
      </c>
      <c r="C2149" t="s">
        <v>927</v>
      </c>
      <c r="D2149" t="s">
        <v>3052</v>
      </c>
      <c r="E2149" t="s">
        <v>3053</v>
      </c>
      <c r="F2149" t="s">
        <v>407</v>
      </c>
      <c r="G2149" t="s">
        <v>408</v>
      </c>
      <c r="H2149" t="s">
        <v>4469</v>
      </c>
      <c r="I2149">
        <v>9</v>
      </c>
      <c r="J2149">
        <v>0</v>
      </c>
      <c r="K2149">
        <v>0</v>
      </c>
      <c r="L2149">
        <v>9</v>
      </c>
      <c r="M2149">
        <v>0</v>
      </c>
      <c r="N2149">
        <v>0</v>
      </c>
      <c r="O2149">
        <v>0</v>
      </c>
    </row>
    <row r="2150" spans="1:15" x14ac:dyDescent="0.25">
      <c r="A2150" t="s">
        <v>11663</v>
      </c>
      <c r="B2150" t="s">
        <v>11768</v>
      </c>
      <c r="C2150" t="s">
        <v>927</v>
      </c>
      <c r="D2150" t="s">
        <v>3052</v>
      </c>
      <c r="E2150" t="s">
        <v>3053</v>
      </c>
      <c r="F2150" t="s">
        <v>407</v>
      </c>
      <c r="G2150" t="s">
        <v>408</v>
      </c>
      <c r="H2150" t="s">
        <v>11963</v>
      </c>
      <c r="I2150">
        <v>101</v>
      </c>
      <c r="J2150">
        <v>76</v>
      </c>
      <c r="K2150">
        <v>0</v>
      </c>
      <c r="L2150">
        <v>0</v>
      </c>
      <c r="M2150">
        <v>0</v>
      </c>
      <c r="N2150">
        <v>0</v>
      </c>
      <c r="O2150">
        <v>25</v>
      </c>
    </row>
    <row r="2151" spans="1:15" x14ac:dyDescent="0.25">
      <c r="A2151" t="s">
        <v>1848</v>
      </c>
      <c r="B2151" t="s">
        <v>2620</v>
      </c>
      <c r="C2151" t="s">
        <v>923</v>
      </c>
      <c r="D2151" t="s">
        <v>3063</v>
      </c>
      <c r="E2151" t="s">
        <v>3053</v>
      </c>
      <c r="F2151" t="s">
        <v>407</v>
      </c>
      <c r="G2151" t="s">
        <v>408</v>
      </c>
      <c r="H2151" t="s">
        <v>10423</v>
      </c>
      <c r="I2151">
        <v>52</v>
      </c>
      <c r="J2151">
        <v>0</v>
      </c>
      <c r="K2151">
        <v>0</v>
      </c>
      <c r="L2151">
        <v>52</v>
      </c>
      <c r="M2151">
        <v>0</v>
      </c>
      <c r="N2151">
        <v>0</v>
      </c>
      <c r="O2151">
        <v>0</v>
      </c>
    </row>
    <row r="2152" spans="1:15" x14ac:dyDescent="0.25">
      <c r="A2152" t="s">
        <v>1849</v>
      </c>
      <c r="B2152" t="s">
        <v>2794</v>
      </c>
      <c r="C2152" t="s">
        <v>923</v>
      </c>
      <c r="D2152" t="s">
        <v>3063</v>
      </c>
      <c r="E2152" t="s">
        <v>3053</v>
      </c>
      <c r="F2152" t="s">
        <v>407</v>
      </c>
      <c r="G2152" t="s">
        <v>408</v>
      </c>
      <c r="H2152" t="s">
        <v>10428</v>
      </c>
      <c r="I2152">
        <v>24</v>
      </c>
      <c r="J2152">
        <v>0</v>
      </c>
      <c r="K2152">
        <v>0</v>
      </c>
      <c r="L2152">
        <v>24</v>
      </c>
      <c r="M2152">
        <v>0</v>
      </c>
      <c r="N2152">
        <v>0</v>
      </c>
      <c r="O2152">
        <v>0</v>
      </c>
    </row>
    <row r="2153" spans="1:15" x14ac:dyDescent="0.25">
      <c r="A2153" t="s">
        <v>1850</v>
      </c>
      <c r="B2153" t="s">
        <v>2393</v>
      </c>
      <c r="C2153" t="s">
        <v>923</v>
      </c>
      <c r="D2153" t="s">
        <v>3063</v>
      </c>
      <c r="E2153" t="s">
        <v>3053</v>
      </c>
      <c r="F2153" t="s">
        <v>407</v>
      </c>
      <c r="G2153" t="s">
        <v>408</v>
      </c>
      <c r="H2153" t="s">
        <v>4470</v>
      </c>
      <c r="I2153">
        <v>125</v>
      </c>
      <c r="J2153">
        <v>125</v>
      </c>
      <c r="K2153">
        <v>0</v>
      </c>
      <c r="L2153">
        <v>0</v>
      </c>
      <c r="M2153">
        <v>0</v>
      </c>
      <c r="N2153">
        <v>0</v>
      </c>
      <c r="O2153">
        <v>0</v>
      </c>
    </row>
    <row r="2154" spans="1:15" x14ac:dyDescent="0.25">
      <c r="A2154" t="s">
        <v>962</v>
      </c>
      <c r="B2154" t="s">
        <v>2752</v>
      </c>
      <c r="C2154" t="s">
        <v>927</v>
      </c>
      <c r="D2154" t="s">
        <v>3052</v>
      </c>
      <c r="E2154" t="s">
        <v>3053</v>
      </c>
      <c r="F2154" t="s">
        <v>407</v>
      </c>
      <c r="G2154" t="s">
        <v>408</v>
      </c>
      <c r="H2154" t="s">
        <v>10436</v>
      </c>
      <c r="I2154">
        <v>1254</v>
      </c>
      <c r="J2154">
        <v>1016</v>
      </c>
      <c r="K2154">
        <v>0</v>
      </c>
      <c r="L2154">
        <v>74</v>
      </c>
      <c r="M2154">
        <v>54</v>
      </c>
      <c r="N2154">
        <v>0</v>
      </c>
      <c r="O2154">
        <v>110</v>
      </c>
    </row>
    <row r="2155" spans="1:15" x14ac:dyDescent="0.25">
      <c r="A2155" t="s">
        <v>1068</v>
      </c>
      <c r="B2155" t="s">
        <v>2081</v>
      </c>
      <c r="C2155" t="s">
        <v>923</v>
      </c>
      <c r="D2155" t="s">
        <v>3063</v>
      </c>
      <c r="E2155" t="s">
        <v>3053</v>
      </c>
      <c r="F2155" t="s">
        <v>407</v>
      </c>
      <c r="G2155" t="s">
        <v>408</v>
      </c>
      <c r="H2155" t="s">
        <v>10960</v>
      </c>
      <c r="I2155">
        <v>39</v>
      </c>
      <c r="J2155">
        <v>0</v>
      </c>
      <c r="K2155">
        <v>0</v>
      </c>
      <c r="L2155">
        <v>39</v>
      </c>
      <c r="M2155">
        <v>0</v>
      </c>
      <c r="N2155">
        <v>0</v>
      </c>
      <c r="O2155">
        <v>0</v>
      </c>
    </row>
    <row r="2156" spans="1:15" x14ac:dyDescent="0.25">
      <c r="A2156" t="s">
        <v>11667</v>
      </c>
      <c r="B2156" t="s">
        <v>1986</v>
      </c>
      <c r="C2156" t="s">
        <v>923</v>
      </c>
      <c r="D2156" t="s">
        <v>3063</v>
      </c>
      <c r="E2156" t="s">
        <v>3053</v>
      </c>
      <c r="F2156" t="s">
        <v>407</v>
      </c>
      <c r="G2156" t="s">
        <v>408</v>
      </c>
      <c r="H2156" t="s">
        <v>11964</v>
      </c>
      <c r="I2156">
        <v>94</v>
      </c>
      <c r="J2156">
        <v>0</v>
      </c>
      <c r="K2156">
        <v>0</v>
      </c>
      <c r="L2156">
        <v>0</v>
      </c>
      <c r="M2156">
        <v>94</v>
      </c>
      <c r="N2156">
        <v>0</v>
      </c>
      <c r="O2156">
        <v>0</v>
      </c>
    </row>
    <row r="2157" spans="1:15" x14ac:dyDescent="0.25">
      <c r="A2157" t="s">
        <v>1078</v>
      </c>
      <c r="B2157" t="s">
        <v>1950</v>
      </c>
      <c r="C2157" t="s">
        <v>923</v>
      </c>
      <c r="D2157" t="s">
        <v>3063</v>
      </c>
      <c r="E2157" t="s">
        <v>3053</v>
      </c>
      <c r="F2157" t="s">
        <v>407</v>
      </c>
      <c r="G2157" t="s">
        <v>408</v>
      </c>
      <c r="H2157" t="s">
        <v>4471</v>
      </c>
      <c r="I2157">
        <v>8</v>
      </c>
      <c r="J2157">
        <v>0</v>
      </c>
      <c r="K2157">
        <v>0</v>
      </c>
      <c r="L2157">
        <v>8</v>
      </c>
      <c r="M2157">
        <v>0</v>
      </c>
      <c r="N2157">
        <v>0</v>
      </c>
      <c r="O2157">
        <v>0</v>
      </c>
    </row>
    <row r="2158" spans="1:15" x14ac:dyDescent="0.25">
      <c r="A2158" t="s">
        <v>1196</v>
      </c>
      <c r="B2158" t="s">
        <v>3004</v>
      </c>
      <c r="C2158" t="s">
        <v>927</v>
      </c>
      <c r="D2158" t="s">
        <v>3052</v>
      </c>
      <c r="E2158" t="s">
        <v>3053</v>
      </c>
      <c r="F2158" t="s">
        <v>409</v>
      </c>
      <c r="G2158" t="s">
        <v>410</v>
      </c>
      <c r="H2158" t="s">
        <v>4472</v>
      </c>
      <c r="I2158">
        <v>125</v>
      </c>
      <c r="J2158">
        <v>84</v>
      </c>
      <c r="K2158">
        <v>0</v>
      </c>
      <c r="L2158">
        <v>0</v>
      </c>
      <c r="M2158">
        <v>0</v>
      </c>
      <c r="N2158">
        <v>0</v>
      </c>
      <c r="O2158">
        <v>41</v>
      </c>
    </row>
    <row r="2159" spans="1:15" x14ac:dyDescent="0.25">
      <c r="A2159" t="s">
        <v>929</v>
      </c>
      <c r="B2159" t="s">
        <v>2999</v>
      </c>
      <c r="C2159" t="s">
        <v>927</v>
      </c>
      <c r="D2159" t="s">
        <v>3052</v>
      </c>
      <c r="E2159" t="s">
        <v>3053</v>
      </c>
      <c r="F2159" t="s">
        <v>409</v>
      </c>
      <c r="G2159" t="s">
        <v>410</v>
      </c>
      <c r="H2159" t="s">
        <v>4473</v>
      </c>
      <c r="I2159">
        <v>71</v>
      </c>
      <c r="J2159">
        <v>0</v>
      </c>
      <c r="K2159">
        <v>0</v>
      </c>
      <c r="L2159">
        <v>0</v>
      </c>
      <c r="M2159">
        <v>71</v>
      </c>
      <c r="N2159">
        <v>0</v>
      </c>
      <c r="O2159">
        <v>0</v>
      </c>
    </row>
    <row r="2160" spans="1:15" x14ac:dyDescent="0.25">
      <c r="A2160" t="s">
        <v>933</v>
      </c>
      <c r="B2160" t="s">
        <v>2106</v>
      </c>
      <c r="C2160" t="s">
        <v>927</v>
      </c>
      <c r="D2160" t="s">
        <v>3052</v>
      </c>
      <c r="E2160" t="s">
        <v>3053</v>
      </c>
      <c r="F2160" t="s">
        <v>409</v>
      </c>
      <c r="G2160" t="s">
        <v>410</v>
      </c>
      <c r="H2160" t="s">
        <v>4475</v>
      </c>
      <c r="I2160">
        <v>131</v>
      </c>
      <c r="J2160">
        <v>114</v>
      </c>
      <c r="K2160">
        <v>0</v>
      </c>
      <c r="L2160">
        <v>0</v>
      </c>
      <c r="M2160">
        <v>0</v>
      </c>
      <c r="N2160">
        <v>0</v>
      </c>
      <c r="O2160">
        <v>17</v>
      </c>
    </row>
    <row r="2161" spans="1:15" x14ac:dyDescent="0.25">
      <c r="A2161" t="s">
        <v>10611</v>
      </c>
      <c r="B2161" t="s">
        <v>10610</v>
      </c>
      <c r="C2161" t="s">
        <v>923</v>
      </c>
      <c r="D2161" t="s">
        <v>3063</v>
      </c>
      <c r="E2161" t="s">
        <v>3053</v>
      </c>
      <c r="F2161" t="s">
        <v>409</v>
      </c>
      <c r="G2161" t="s">
        <v>410</v>
      </c>
      <c r="H2161" t="s">
        <v>10961</v>
      </c>
      <c r="I2161">
        <v>10</v>
      </c>
      <c r="J2161">
        <v>0</v>
      </c>
      <c r="K2161">
        <v>0</v>
      </c>
      <c r="L2161">
        <v>10</v>
      </c>
      <c r="M2161">
        <v>0</v>
      </c>
      <c r="N2161">
        <v>0</v>
      </c>
      <c r="O2161">
        <v>0</v>
      </c>
    </row>
    <row r="2162" spans="1:15" x14ac:dyDescent="0.25">
      <c r="A2162" t="s">
        <v>1006</v>
      </c>
      <c r="B2162" t="s">
        <v>2724</v>
      </c>
      <c r="C2162" t="s">
        <v>927</v>
      </c>
      <c r="D2162" t="s">
        <v>3052</v>
      </c>
      <c r="E2162" t="s">
        <v>3053</v>
      </c>
      <c r="F2162" t="s">
        <v>409</v>
      </c>
      <c r="G2162" t="s">
        <v>410</v>
      </c>
      <c r="H2162" t="s">
        <v>10074</v>
      </c>
      <c r="I2162">
        <v>1</v>
      </c>
      <c r="J2162">
        <v>0</v>
      </c>
      <c r="K2162">
        <v>0</v>
      </c>
      <c r="L2162">
        <v>0</v>
      </c>
      <c r="M2162">
        <v>0</v>
      </c>
      <c r="N2162">
        <v>0</v>
      </c>
      <c r="O2162">
        <v>1</v>
      </c>
    </row>
    <row r="2163" spans="1:15" x14ac:dyDescent="0.25">
      <c r="A2163" t="s">
        <v>1011</v>
      </c>
      <c r="B2163" t="s">
        <v>2020</v>
      </c>
      <c r="C2163" t="s">
        <v>927</v>
      </c>
      <c r="D2163" t="s">
        <v>3052</v>
      </c>
      <c r="E2163" t="s">
        <v>3053</v>
      </c>
      <c r="F2163" t="s">
        <v>409</v>
      </c>
      <c r="G2163" t="s">
        <v>410</v>
      </c>
      <c r="H2163" t="s">
        <v>4476</v>
      </c>
      <c r="I2163">
        <v>8</v>
      </c>
      <c r="J2163">
        <v>0</v>
      </c>
      <c r="K2163">
        <v>0</v>
      </c>
      <c r="L2163">
        <v>8</v>
      </c>
      <c r="M2163">
        <v>0</v>
      </c>
      <c r="N2163">
        <v>0</v>
      </c>
      <c r="O2163">
        <v>0</v>
      </c>
    </row>
    <row r="2164" spans="1:15" x14ac:dyDescent="0.25">
      <c r="A2164" t="s">
        <v>940</v>
      </c>
      <c r="B2164" t="s">
        <v>2647</v>
      </c>
      <c r="C2164" t="s">
        <v>927</v>
      </c>
      <c r="D2164" t="s">
        <v>3052</v>
      </c>
      <c r="E2164" t="s">
        <v>3053</v>
      </c>
      <c r="F2164" t="s">
        <v>409</v>
      </c>
      <c r="G2164" t="s">
        <v>410</v>
      </c>
      <c r="H2164" t="s">
        <v>4477</v>
      </c>
      <c r="I2164">
        <v>104</v>
      </c>
      <c r="J2164">
        <v>0</v>
      </c>
      <c r="K2164">
        <v>0</v>
      </c>
      <c r="L2164">
        <v>0</v>
      </c>
      <c r="M2164">
        <v>104</v>
      </c>
      <c r="N2164">
        <v>0</v>
      </c>
      <c r="O2164">
        <v>0</v>
      </c>
    </row>
    <row r="2165" spans="1:15" x14ac:dyDescent="0.25">
      <c r="A2165" t="s">
        <v>1012</v>
      </c>
      <c r="B2165" t="s">
        <v>2911</v>
      </c>
      <c r="C2165" t="s">
        <v>927</v>
      </c>
      <c r="D2165" t="s">
        <v>3052</v>
      </c>
      <c r="E2165" t="s">
        <v>3053</v>
      </c>
      <c r="F2165" t="s">
        <v>409</v>
      </c>
      <c r="G2165" t="s">
        <v>410</v>
      </c>
      <c r="H2165" t="s">
        <v>4478</v>
      </c>
      <c r="I2165">
        <v>391</v>
      </c>
      <c r="J2165">
        <v>344</v>
      </c>
      <c r="K2165">
        <v>0</v>
      </c>
      <c r="L2165">
        <v>6</v>
      </c>
      <c r="M2165">
        <v>0</v>
      </c>
      <c r="N2165">
        <v>6</v>
      </c>
      <c r="O2165">
        <v>41</v>
      </c>
    </row>
    <row r="2166" spans="1:15" x14ac:dyDescent="0.25">
      <c r="A2166" t="s">
        <v>1013</v>
      </c>
      <c r="B2166" t="s">
        <v>1959</v>
      </c>
      <c r="C2166" t="s">
        <v>927</v>
      </c>
      <c r="D2166" t="s">
        <v>3052</v>
      </c>
      <c r="E2166" t="s">
        <v>3053</v>
      </c>
      <c r="F2166" t="s">
        <v>409</v>
      </c>
      <c r="G2166" t="s">
        <v>410</v>
      </c>
      <c r="H2166" t="s">
        <v>4479</v>
      </c>
      <c r="I2166">
        <v>7</v>
      </c>
      <c r="J2166">
        <v>0</v>
      </c>
      <c r="K2166">
        <v>0</v>
      </c>
      <c r="L2166">
        <v>7</v>
      </c>
      <c r="M2166">
        <v>0</v>
      </c>
      <c r="N2166">
        <v>0</v>
      </c>
      <c r="O2166">
        <v>0</v>
      </c>
    </row>
    <row r="2167" spans="1:15" x14ac:dyDescent="0.25">
      <c r="A2167" t="s">
        <v>1283</v>
      </c>
      <c r="B2167" t="s">
        <v>2768</v>
      </c>
      <c r="C2167" t="s">
        <v>923</v>
      </c>
      <c r="D2167" t="s">
        <v>3063</v>
      </c>
      <c r="E2167" t="s">
        <v>3053</v>
      </c>
      <c r="F2167" t="s">
        <v>409</v>
      </c>
      <c r="G2167" t="s">
        <v>410</v>
      </c>
      <c r="H2167" t="s">
        <v>4480</v>
      </c>
      <c r="I2167">
        <v>67</v>
      </c>
      <c r="J2167">
        <v>29</v>
      </c>
      <c r="K2167">
        <v>0</v>
      </c>
      <c r="L2167">
        <v>0</v>
      </c>
      <c r="M2167">
        <v>38</v>
      </c>
      <c r="N2167">
        <v>0</v>
      </c>
      <c r="O2167">
        <v>0</v>
      </c>
    </row>
    <row r="2168" spans="1:15" x14ac:dyDescent="0.25">
      <c r="A2168" t="s">
        <v>11755</v>
      </c>
      <c r="B2168" t="s">
        <v>11754</v>
      </c>
      <c r="C2168" t="s">
        <v>923</v>
      </c>
      <c r="D2168" t="s">
        <v>3063</v>
      </c>
      <c r="E2168" t="s">
        <v>3053</v>
      </c>
      <c r="F2168" t="s">
        <v>409</v>
      </c>
      <c r="G2168" t="s">
        <v>410</v>
      </c>
      <c r="H2168" t="s">
        <v>14617</v>
      </c>
      <c r="I2168">
        <v>6</v>
      </c>
      <c r="J2168">
        <v>0</v>
      </c>
      <c r="K2168">
        <v>0</v>
      </c>
      <c r="L2168">
        <v>6</v>
      </c>
      <c r="M2168">
        <v>0</v>
      </c>
      <c r="N2168">
        <v>0</v>
      </c>
      <c r="O2168">
        <v>0</v>
      </c>
    </row>
    <row r="2169" spans="1:15" x14ac:dyDescent="0.25">
      <c r="A2169" t="s">
        <v>1025</v>
      </c>
      <c r="B2169" t="s">
        <v>2893</v>
      </c>
      <c r="C2169" t="s">
        <v>927</v>
      </c>
      <c r="D2169" t="s">
        <v>3052</v>
      </c>
      <c r="E2169" t="s">
        <v>3053</v>
      </c>
      <c r="F2169" t="s">
        <v>409</v>
      </c>
      <c r="G2169" t="s">
        <v>410</v>
      </c>
      <c r="H2169" t="s">
        <v>4481</v>
      </c>
      <c r="I2169">
        <v>285</v>
      </c>
      <c r="J2169">
        <v>242</v>
      </c>
      <c r="K2169">
        <v>0</v>
      </c>
      <c r="L2169">
        <v>37</v>
      </c>
      <c r="M2169">
        <v>0</v>
      </c>
      <c r="N2169">
        <v>1</v>
      </c>
      <c r="O2169">
        <v>6</v>
      </c>
    </row>
    <row r="2170" spans="1:15" x14ac:dyDescent="0.25">
      <c r="A2170" t="s">
        <v>1628</v>
      </c>
      <c r="B2170" t="s">
        <v>2851</v>
      </c>
      <c r="C2170" t="s">
        <v>927</v>
      </c>
      <c r="D2170" t="s">
        <v>3052</v>
      </c>
      <c r="E2170" t="s">
        <v>3053</v>
      </c>
      <c r="F2170" t="s">
        <v>409</v>
      </c>
      <c r="G2170" t="s">
        <v>410</v>
      </c>
      <c r="H2170" t="s">
        <v>4482</v>
      </c>
      <c r="I2170">
        <v>29</v>
      </c>
      <c r="J2170">
        <v>19</v>
      </c>
      <c r="K2170">
        <v>0</v>
      </c>
      <c r="L2170">
        <v>0</v>
      </c>
      <c r="M2170">
        <v>0</v>
      </c>
      <c r="N2170">
        <v>0</v>
      </c>
      <c r="O2170">
        <v>10</v>
      </c>
    </row>
    <row r="2171" spans="1:15" x14ac:dyDescent="0.25">
      <c r="A2171" t="s">
        <v>943</v>
      </c>
      <c r="B2171" t="s">
        <v>2694</v>
      </c>
      <c r="C2171" t="s">
        <v>927</v>
      </c>
      <c r="D2171" t="s">
        <v>3052</v>
      </c>
      <c r="E2171" t="s">
        <v>3053</v>
      </c>
      <c r="F2171" t="s">
        <v>409</v>
      </c>
      <c r="G2171" t="s">
        <v>410</v>
      </c>
      <c r="H2171" t="s">
        <v>4483</v>
      </c>
      <c r="I2171">
        <v>4</v>
      </c>
      <c r="J2171">
        <v>0</v>
      </c>
      <c r="K2171">
        <v>0</v>
      </c>
      <c r="L2171">
        <v>0</v>
      </c>
      <c r="M2171">
        <v>0</v>
      </c>
      <c r="N2171">
        <v>0</v>
      </c>
      <c r="O2171">
        <v>4</v>
      </c>
    </row>
    <row r="2172" spans="1:15" x14ac:dyDescent="0.25">
      <c r="A2172" t="s">
        <v>945</v>
      </c>
      <c r="B2172" t="s">
        <v>2668</v>
      </c>
      <c r="C2172" t="s">
        <v>927</v>
      </c>
      <c r="D2172" t="s">
        <v>3052</v>
      </c>
      <c r="E2172" t="s">
        <v>3053</v>
      </c>
      <c r="F2172" t="s">
        <v>409</v>
      </c>
      <c r="G2172" t="s">
        <v>410</v>
      </c>
      <c r="H2172" t="s">
        <v>4484</v>
      </c>
      <c r="I2172">
        <v>520</v>
      </c>
      <c r="J2172">
        <v>382</v>
      </c>
      <c r="K2172">
        <v>0</v>
      </c>
      <c r="L2172">
        <v>0</v>
      </c>
      <c r="M2172">
        <v>0</v>
      </c>
      <c r="N2172">
        <v>0</v>
      </c>
      <c r="O2172">
        <v>138</v>
      </c>
    </row>
    <row r="2173" spans="1:15" x14ac:dyDescent="0.25">
      <c r="A2173" t="s">
        <v>1300</v>
      </c>
      <c r="B2173" t="s">
        <v>2644</v>
      </c>
      <c r="C2173" t="s">
        <v>927</v>
      </c>
      <c r="D2173" t="s">
        <v>3052</v>
      </c>
      <c r="E2173" t="s">
        <v>3053</v>
      </c>
      <c r="F2173" t="s">
        <v>409</v>
      </c>
      <c r="G2173" t="s">
        <v>410</v>
      </c>
      <c r="H2173" t="s">
        <v>4485</v>
      </c>
      <c r="I2173">
        <v>44</v>
      </c>
      <c r="J2173">
        <v>29</v>
      </c>
      <c r="K2173">
        <v>0</v>
      </c>
      <c r="L2173">
        <v>0</v>
      </c>
      <c r="M2173">
        <v>0</v>
      </c>
      <c r="N2173">
        <v>0</v>
      </c>
      <c r="O2173">
        <v>15</v>
      </c>
    </row>
    <row r="2174" spans="1:15" x14ac:dyDescent="0.25">
      <c r="A2174" t="s">
        <v>949</v>
      </c>
      <c r="B2174" t="s">
        <v>3035</v>
      </c>
      <c r="C2174" t="s">
        <v>927</v>
      </c>
      <c r="D2174" t="s">
        <v>3052</v>
      </c>
      <c r="E2174" t="s">
        <v>3053</v>
      </c>
      <c r="F2174" t="s">
        <v>409</v>
      </c>
      <c r="G2174" t="s">
        <v>410</v>
      </c>
      <c r="H2174" t="s">
        <v>4486</v>
      </c>
      <c r="I2174">
        <v>1</v>
      </c>
      <c r="J2174">
        <v>0</v>
      </c>
      <c r="K2174">
        <v>0</v>
      </c>
      <c r="L2174">
        <v>0</v>
      </c>
      <c r="M2174">
        <v>0</v>
      </c>
      <c r="N2174">
        <v>0</v>
      </c>
      <c r="O2174">
        <v>1</v>
      </c>
    </row>
    <row r="2175" spans="1:15" x14ac:dyDescent="0.25">
      <c r="A2175" t="s">
        <v>951</v>
      </c>
      <c r="B2175" t="s">
        <v>2680</v>
      </c>
      <c r="C2175" t="s">
        <v>927</v>
      </c>
      <c r="D2175" t="s">
        <v>3052</v>
      </c>
      <c r="E2175" t="s">
        <v>3053</v>
      </c>
      <c r="F2175" t="s">
        <v>409</v>
      </c>
      <c r="G2175" t="s">
        <v>410</v>
      </c>
      <c r="H2175" t="s">
        <v>4487</v>
      </c>
      <c r="I2175">
        <v>24</v>
      </c>
      <c r="J2175">
        <v>0</v>
      </c>
      <c r="K2175">
        <v>0</v>
      </c>
      <c r="L2175">
        <v>0</v>
      </c>
      <c r="M2175">
        <v>0</v>
      </c>
      <c r="N2175">
        <v>0</v>
      </c>
      <c r="O2175">
        <v>24</v>
      </c>
    </row>
    <row r="2176" spans="1:15" x14ac:dyDescent="0.25">
      <c r="A2176" t="s">
        <v>1331</v>
      </c>
      <c r="B2176" t="s">
        <v>2856</v>
      </c>
      <c r="C2176" t="s">
        <v>927</v>
      </c>
      <c r="D2176" t="s">
        <v>3052</v>
      </c>
      <c r="E2176" t="s">
        <v>3053</v>
      </c>
      <c r="F2176" t="s">
        <v>409</v>
      </c>
      <c r="G2176" t="s">
        <v>410</v>
      </c>
      <c r="H2176" t="s">
        <v>4488</v>
      </c>
      <c r="I2176">
        <v>223</v>
      </c>
      <c r="J2176">
        <v>182</v>
      </c>
      <c r="K2176">
        <v>0</v>
      </c>
      <c r="L2176">
        <v>0</v>
      </c>
      <c r="M2176">
        <v>0</v>
      </c>
      <c r="N2176">
        <v>0</v>
      </c>
      <c r="O2176">
        <v>41</v>
      </c>
    </row>
    <row r="2177" spans="1:15" x14ac:dyDescent="0.25">
      <c r="A2177" t="s">
        <v>955</v>
      </c>
      <c r="B2177" t="s">
        <v>2660</v>
      </c>
      <c r="C2177" t="s">
        <v>927</v>
      </c>
      <c r="D2177" t="s">
        <v>3052</v>
      </c>
      <c r="E2177" t="s">
        <v>3053</v>
      </c>
      <c r="F2177" t="s">
        <v>409</v>
      </c>
      <c r="G2177" t="s">
        <v>410</v>
      </c>
      <c r="H2177" t="s">
        <v>4489</v>
      </c>
      <c r="I2177">
        <v>2</v>
      </c>
      <c r="J2177">
        <v>2</v>
      </c>
      <c r="K2177">
        <v>0</v>
      </c>
      <c r="L2177">
        <v>0</v>
      </c>
      <c r="M2177">
        <v>0</v>
      </c>
      <c r="N2177">
        <v>0</v>
      </c>
      <c r="O2177">
        <v>0</v>
      </c>
    </row>
    <row r="2178" spans="1:15" x14ac:dyDescent="0.25">
      <c r="A2178" t="s">
        <v>1661</v>
      </c>
      <c r="B2178" t="s">
        <v>2764</v>
      </c>
      <c r="C2178" t="s">
        <v>923</v>
      </c>
      <c r="D2178" t="s">
        <v>3063</v>
      </c>
      <c r="E2178" t="s">
        <v>3053</v>
      </c>
      <c r="F2178" t="s">
        <v>409</v>
      </c>
      <c r="G2178" t="s">
        <v>410</v>
      </c>
      <c r="H2178" t="s">
        <v>4490</v>
      </c>
      <c r="I2178">
        <v>18</v>
      </c>
      <c r="J2178">
        <v>0</v>
      </c>
      <c r="K2178">
        <v>0</v>
      </c>
      <c r="L2178">
        <v>18</v>
      </c>
      <c r="M2178">
        <v>0</v>
      </c>
      <c r="N2178">
        <v>0</v>
      </c>
      <c r="O2178">
        <v>0</v>
      </c>
    </row>
    <row r="2179" spans="1:15" x14ac:dyDescent="0.25">
      <c r="A2179" t="s">
        <v>11663</v>
      </c>
      <c r="B2179" t="s">
        <v>11768</v>
      </c>
      <c r="C2179" t="s">
        <v>927</v>
      </c>
      <c r="D2179" t="s">
        <v>3052</v>
      </c>
      <c r="E2179" t="s">
        <v>3053</v>
      </c>
      <c r="F2179" t="s">
        <v>409</v>
      </c>
      <c r="G2179" t="s">
        <v>410</v>
      </c>
      <c r="H2179" t="s">
        <v>11965</v>
      </c>
      <c r="I2179">
        <v>299</v>
      </c>
      <c r="J2179">
        <v>231</v>
      </c>
      <c r="K2179">
        <v>0</v>
      </c>
      <c r="L2179">
        <v>0</v>
      </c>
      <c r="M2179">
        <v>0</v>
      </c>
      <c r="N2179">
        <v>2</v>
      </c>
      <c r="O2179">
        <v>68</v>
      </c>
    </row>
    <row r="2180" spans="1:15" x14ac:dyDescent="0.25">
      <c r="A2180" t="s">
        <v>962</v>
      </c>
      <c r="B2180" t="s">
        <v>2752</v>
      </c>
      <c r="C2180" t="s">
        <v>927</v>
      </c>
      <c r="D2180" t="s">
        <v>3052</v>
      </c>
      <c r="E2180" t="s">
        <v>3053</v>
      </c>
      <c r="F2180" t="s">
        <v>409</v>
      </c>
      <c r="G2180" t="s">
        <v>410</v>
      </c>
      <c r="H2180" t="s">
        <v>4491</v>
      </c>
      <c r="I2180">
        <v>47</v>
      </c>
      <c r="J2180">
        <v>43</v>
      </c>
      <c r="K2180">
        <v>0</v>
      </c>
      <c r="L2180">
        <v>0</v>
      </c>
      <c r="M2180">
        <v>0</v>
      </c>
      <c r="N2180">
        <v>0</v>
      </c>
      <c r="O2180">
        <v>4</v>
      </c>
    </row>
    <row r="2181" spans="1:15" x14ac:dyDescent="0.25">
      <c r="A2181" t="s">
        <v>1170</v>
      </c>
      <c r="B2181" t="s">
        <v>2968</v>
      </c>
      <c r="C2181" t="s">
        <v>923</v>
      </c>
      <c r="D2181" t="s">
        <v>3063</v>
      </c>
      <c r="E2181" t="s">
        <v>3053</v>
      </c>
      <c r="F2181" t="s">
        <v>409</v>
      </c>
      <c r="G2181" t="s">
        <v>410</v>
      </c>
      <c r="H2181" t="s">
        <v>4492</v>
      </c>
      <c r="I2181">
        <v>6</v>
      </c>
      <c r="J2181">
        <v>0</v>
      </c>
      <c r="K2181">
        <v>0</v>
      </c>
      <c r="L2181">
        <v>6</v>
      </c>
      <c r="M2181">
        <v>0</v>
      </c>
      <c r="N2181">
        <v>0</v>
      </c>
      <c r="O2181">
        <v>0</v>
      </c>
    </row>
    <row r="2182" spans="1:15" x14ac:dyDescent="0.25">
      <c r="A2182" t="s">
        <v>1069</v>
      </c>
      <c r="B2182" t="s">
        <v>2001</v>
      </c>
      <c r="C2182" t="s">
        <v>927</v>
      </c>
      <c r="D2182" t="s">
        <v>3052</v>
      </c>
      <c r="E2182" t="s">
        <v>3053</v>
      </c>
      <c r="F2182" t="s">
        <v>409</v>
      </c>
      <c r="G2182" t="s">
        <v>410</v>
      </c>
      <c r="H2182" t="s">
        <v>4493</v>
      </c>
      <c r="I2182">
        <v>476</v>
      </c>
      <c r="J2182">
        <v>430</v>
      </c>
      <c r="K2182">
        <v>0</v>
      </c>
      <c r="L2182">
        <v>1</v>
      </c>
      <c r="M2182">
        <v>37</v>
      </c>
      <c r="N2182">
        <v>0</v>
      </c>
      <c r="O2182">
        <v>8</v>
      </c>
    </row>
    <row r="2183" spans="1:15" x14ac:dyDescent="0.25">
      <c r="A2183" t="s">
        <v>1684</v>
      </c>
      <c r="B2183" t="s">
        <v>2845</v>
      </c>
      <c r="C2183" t="s">
        <v>927</v>
      </c>
      <c r="D2183" t="s">
        <v>3052</v>
      </c>
      <c r="E2183" t="s">
        <v>3053</v>
      </c>
      <c r="F2183" t="s">
        <v>409</v>
      </c>
      <c r="G2183" t="s">
        <v>410</v>
      </c>
      <c r="H2183" t="s">
        <v>4494</v>
      </c>
      <c r="I2183">
        <v>110</v>
      </c>
      <c r="J2183">
        <v>102</v>
      </c>
      <c r="K2183">
        <v>0</v>
      </c>
      <c r="L2183">
        <v>0</v>
      </c>
      <c r="M2183">
        <v>0</v>
      </c>
      <c r="N2183">
        <v>0</v>
      </c>
      <c r="O2183">
        <v>8</v>
      </c>
    </row>
    <row r="2184" spans="1:15" x14ac:dyDescent="0.25">
      <c r="A2184" t="s">
        <v>1374</v>
      </c>
      <c r="B2184" t="s">
        <v>2580</v>
      </c>
      <c r="C2184" t="s">
        <v>923</v>
      </c>
      <c r="D2184" t="s">
        <v>3063</v>
      </c>
      <c r="E2184" t="s">
        <v>3053</v>
      </c>
      <c r="F2184" t="s">
        <v>409</v>
      </c>
      <c r="G2184" t="s">
        <v>410</v>
      </c>
      <c r="H2184" t="s">
        <v>4495</v>
      </c>
      <c r="I2184">
        <v>62</v>
      </c>
      <c r="J2184">
        <v>0</v>
      </c>
      <c r="K2184">
        <v>0</v>
      </c>
      <c r="L2184">
        <v>26</v>
      </c>
      <c r="M2184">
        <v>36</v>
      </c>
      <c r="N2184">
        <v>0</v>
      </c>
      <c r="O2184">
        <v>0</v>
      </c>
    </row>
    <row r="2185" spans="1:15" x14ac:dyDescent="0.25">
      <c r="A2185" t="s">
        <v>1699</v>
      </c>
      <c r="B2185" t="s">
        <v>1949</v>
      </c>
      <c r="C2185" t="s">
        <v>923</v>
      </c>
      <c r="D2185" t="s">
        <v>3063</v>
      </c>
      <c r="E2185" t="s">
        <v>3053</v>
      </c>
      <c r="F2185" t="s">
        <v>409</v>
      </c>
      <c r="G2185" t="s">
        <v>410</v>
      </c>
      <c r="H2185" t="s">
        <v>4496</v>
      </c>
      <c r="I2185">
        <v>40</v>
      </c>
      <c r="J2185">
        <v>0</v>
      </c>
      <c r="K2185">
        <v>0</v>
      </c>
      <c r="L2185">
        <v>40</v>
      </c>
      <c r="M2185">
        <v>0</v>
      </c>
      <c r="N2185">
        <v>0</v>
      </c>
      <c r="O2185">
        <v>0</v>
      </c>
    </row>
    <row r="2186" spans="1:15" x14ac:dyDescent="0.25">
      <c r="A2186" t="s">
        <v>981</v>
      </c>
      <c r="B2186" t="s">
        <v>2985</v>
      </c>
      <c r="C2186" t="s">
        <v>927</v>
      </c>
      <c r="D2186" t="s">
        <v>3052</v>
      </c>
      <c r="E2186" t="s">
        <v>3053</v>
      </c>
      <c r="F2186" t="s">
        <v>409</v>
      </c>
      <c r="G2186" t="s">
        <v>410</v>
      </c>
      <c r="H2186" t="s">
        <v>4474</v>
      </c>
      <c r="I2186">
        <v>1</v>
      </c>
      <c r="J2186">
        <v>0</v>
      </c>
      <c r="K2186">
        <v>0</v>
      </c>
      <c r="L2186">
        <v>0</v>
      </c>
      <c r="M2186">
        <v>0</v>
      </c>
      <c r="N2186">
        <v>0</v>
      </c>
      <c r="O2186">
        <v>1</v>
      </c>
    </row>
    <row r="2187" spans="1:15" x14ac:dyDescent="0.25">
      <c r="A2187" t="s">
        <v>1195</v>
      </c>
      <c r="B2187" t="s">
        <v>2924</v>
      </c>
      <c r="C2187" t="s">
        <v>927</v>
      </c>
      <c r="D2187" t="s">
        <v>3052</v>
      </c>
      <c r="E2187" t="s">
        <v>3053</v>
      </c>
      <c r="F2187" t="s">
        <v>411</v>
      </c>
      <c r="G2187" t="s">
        <v>412</v>
      </c>
      <c r="H2187" t="s">
        <v>4497</v>
      </c>
      <c r="I2187">
        <v>251</v>
      </c>
      <c r="J2187">
        <v>214</v>
      </c>
      <c r="K2187">
        <v>0</v>
      </c>
      <c r="L2187">
        <v>2</v>
      </c>
      <c r="M2187">
        <v>0</v>
      </c>
      <c r="N2187">
        <v>0</v>
      </c>
      <c r="O2187">
        <v>35</v>
      </c>
    </row>
    <row r="2188" spans="1:15" x14ac:dyDescent="0.25">
      <c r="A2188" t="s">
        <v>1196</v>
      </c>
      <c r="B2188" t="s">
        <v>3004</v>
      </c>
      <c r="C2188" t="s">
        <v>927</v>
      </c>
      <c r="D2188" t="s">
        <v>3052</v>
      </c>
      <c r="E2188" t="s">
        <v>3053</v>
      </c>
      <c r="F2188" t="s">
        <v>411</v>
      </c>
      <c r="G2188" t="s">
        <v>412</v>
      </c>
      <c r="H2188" t="s">
        <v>4498</v>
      </c>
      <c r="I2188">
        <v>7</v>
      </c>
      <c r="J2188">
        <v>7</v>
      </c>
      <c r="K2188">
        <v>0</v>
      </c>
      <c r="L2188">
        <v>0</v>
      </c>
      <c r="M2188">
        <v>0</v>
      </c>
      <c r="N2188">
        <v>0</v>
      </c>
      <c r="O2188">
        <v>0</v>
      </c>
    </row>
    <row r="2189" spans="1:15" x14ac:dyDescent="0.25">
      <c r="A2189" t="s">
        <v>1197</v>
      </c>
      <c r="B2189" t="s">
        <v>2559</v>
      </c>
      <c r="C2189" t="s">
        <v>923</v>
      </c>
      <c r="D2189" t="s">
        <v>3063</v>
      </c>
      <c r="E2189" t="s">
        <v>3053</v>
      </c>
      <c r="F2189" t="s">
        <v>411</v>
      </c>
      <c r="G2189" t="s">
        <v>412</v>
      </c>
      <c r="H2189" t="s">
        <v>4499</v>
      </c>
      <c r="I2189">
        <v>11</v>
      </c>
      <c r="J2189">
        <v>0</v>
      </c>
      <c r="K2189">
        <v>0</v>
      </c>
      <c r="L2189">
        <v>11</v>
      </c>
      <c r="M2189">
        <v>0</v>
      </c>
      <c r="N2189">
        <v>0</v>
      </c>
      <c r="O2189">
        <v>0</v>
      </c>
    </row>
    <row r="2190" spans="1:15" x14ac:dyDescent="0.25">
      <c r="A2190" t="s">
        <v>924</v>
      </c>
      <c r="B2190" t="s">
        <v>2963</v>
      </c>
      <c r="C2190" t="s">
        <v>923</v>
      </c>
      <c r="D2190" t="s">
        <v>3063</v>
      </c>
      <c r="E2190" t="s">
        <v>3053</v>
      </c>
      <c r="F2190" t="s">
        <v>411</v>
      </c>
      <c r="G2190" t="s">
        <v>412</v>
      </c>
      <c r="H2190" t="s">
        <v>4500</v>
      </c>
      <c r="I2190">
        <v>12</v>
      </c>
      <c r="J2190">
        <v>0</v>
      </c>
      <c r="K2190">
        <v>0</v>
      </c>
      <c r="L2190">
        <v>12</v>
      </c>
      <c r="M2190">
        <v>0</v>
      </c>
      <c r="N2190">
        <v>0</v>
      </c>
      <c r="O2190">
        <v>0</v>
      </c>
    </row>
    <row r="2191" spans="1:15" x14ac:dyDescent="0.25">
      <c r="A2191" t="s">
        <v>1200</v>
      </c>
      <c r="B2191" t="s">
        <v>2969</v>
      </c>
      <c r="C2191" t="s">
        <v>923</v>
      </c>
      <c r="D2191" t="s">
        <v>3063</v>
      </c>
      <c r="E2191" t="s">
        <v>3053</v>
      </c>
      <c r="F2191" t="s">
        <v>411</v>
      </c>
      <c r="G2191" t="s">
        <v>412</v>
      </c>
      <c r="H2191" t="s">
        <v>4501</v>
      </c>
      <c r="I2191">
        <v>16</v>
      </c>
      <c r="J2191">
        <v>9</v>
      </c>
      <c r="K2191">
        <v>7</v>
      </c>
      <c r="L2191">
        <v>0</v>
      </c>
      <c r="M2191">
        <v>0</v>
      </c>
      <c r="N2191">
        <v>0</v>
      </c>
      <c r="O2191">
        <v>0</v>
      </c>
    </row>
    <row r="2192" spans="1:15" x14ac:dyDescent="0.25">
      <c r="A2192" t="s">
        <v>926</v>
      </c>
      <c r="B2192" t="s">
        <v>2923</v>
      </c>
      <c r="C2192" t="s">
        <v>927</v>
      </c>
      <c r="D2192" t="s">
        <v>3052</v>
      </c>
      <c r="E2192" t="s">
        <v>3053</v>
      </c>
      <c r="F2192" t="s">
        <v>411</v>
      </c>
      <c r="G2192" t="s">
        <v>412</v>
      </c>
      <c r="H2192" t="s">
        <v>4502</v>
      </c>
      <c r="I2192">
        <v>7</v>
      </c>
      <c r="J2192">
        <v>0</v>
      </c>
      <c r="K2192">
        <v>0</v>
      </c>
      <c r="L2192">
        <v>7</v>
      </c>
      <c r="M2192">
        <v>0</v>
      </c>
      <c r="N2192">
        <v>0</v>
      </c>
      <c r="O2192">
        <v>0</v>
      </c>
    </row>
    <row r="2193" spans="1:15" x14ac:dyDescent="0.25">
      <c r="A2193" t="s">
        <v>929</v>
      </c>
      <c r="B2193" t="s">
        <v>2999</v>
      </c>
      <c r="C2193" t="s">
        <v>927</v>
      </c>
      <c r="D2193" t="s">
        <v>3052</v>
      </c>
      <c r="E2193" t="s">
        <v>3053</v>
      </c>
      <c r="F2193" t="s">
        <v>411</v>
      </c>
      <c r="G2193" t="s">
        <v>412</v>
      </c>
      <c r="H2193" t="s">
        <v>4503</v>
      </c>
      <c r="I2193">
        <v>210</v>
      </c>
      <c r="J2193">
        <v>0</v>
      </c>
      <c r="K2193">
        <v>0</v>
      </c>
      <c r="L2193">
        <v>0</v>
      </c>
      <c r="M2193">
        <v>210</v>
      </c>
      <c r="N2193">
        <v>0</v>
      </c>
      <c r="O2193">
        <v>0</v>
      </c>
    </row>
    <row r="2194" spans="1:15" x14ac:dyDescent="0.25">
      <c r="A2194" t="s">
        <v>1205</v>
      </c>
      <c r="B2194" t="s">
        <v>2504</v>
      </c>
      <c r="C2194" t="s">
        <v>923</v>
      </c>
      <c r="D2194" t="s">
        <v>3063</v>
      </c>
      <c r="E2194" t="s">
        <v>3053</v>
      </c>
      <c r="F2194" t="s">
        <v>411</v>
      </c>
      <c r="G2194" t="s">
        <v>412</v>
      </c>
      <c r="H2194" t="s">
        <v>10962</v>
      </c>
      <c r="I2194">
        <v>2</v>
      </c>
      <c r="J2194">
        <v>2</v>
      </c>
      <c r="K2194">
        <v>0</v>
      </c>
      <c r="L2194">
        <v>0</v>
      </c>
      <c r="M2194">
        <v>0</v>
      </c>
      <c r="N2194">
        <v>0</v>
      </c>
      <c r="O2194">
        <v>0</v>
      </c>
    </row>
    <row r="2195" spans="1:15" x14ac:dyDescent="0.25">
      <c r="A2195" t="s">
        <v>9784</v>
      </c>
      <c r="B2195" t="s">
        <v>1994</v>
      </c>
      <c r="C2195" t="s">
        <v>927</v>
      </c>
      <c r="D2195" t="s">
        <v>3052</v>
      </c>
      <c r="E2195" t="s">
        <v>3053</v>
      </c>
      <c r="F2195" t="s">
        <v>411</v>
      </c>
      <c r="G2195" t="s">
        <v>412</v>
      </c>
      <c r="H2195" t="s">
        <v>9930</v>
      </c>
      <c r="I2195">
        <v>18</v>
      </c>
      <c r="J2195">
        <v>0</v>
      </c>
      <c r="K2195">
        <v>0</v>
      </c>
      <c r="L2195">
        <v>18</v>
      </c>
      <c r="M2195">
        <v>0</v>
      </c>
      <c r="N2195">
        <v>9</v>
      </c>
      <c r="O2195">
        <v>0</v>
      </c>
    </row>
    <row r="2196" spans="1:15" x14ac:dyDescent="0.25">
      <c r="A2196" t="s">
        <v>10598</v>
      </c>
      <c r="B2196" t="s">
        <v>10597</v>
      </c>
      <c r="C2196" t="s">
        <v>923</v>
      </c>
      <c r="D2196" t="s">
        <v>3063</v>
      </c>
      <c r="E2196" t="s">
        <v>3053</v>
      </c>
      <c r="F2196" t="s">
        <v>411</v>
      </c>
      <c r="G2196" t="s">
        <v>412</v>
      </c>
      <c r="H2196" t="s">
        <v>14618</v>
      </c>
      <c r="I2196">
        <v>13</v>
      </c>
      <c r="J2196">
        <v>0</v>
      </c>
      <c r="K2196">
        <v>0</v>
      </c>
      <c r="L2196">
        <v>13</v>
      </c>
      <c r="M2196">
        <v>0</v>
      </c>
      <c r="N2196">
        <v>0</v>
      </c>
      <c r="O2196">
        <v>0</v>
      </c>
    </row>
    <row r="2197" spans="1:15" x14ac:dyDescent="0.25">
      <c r="A2197" t="s">
        <v>1219</v>
      </c>
      <c r="B2197" t="s">
        <v>2569</v>
      </c>
      <c r="C2197" t="s">
        <v>923</v>
      </c>
      <c r="D2197" t="s">
        <v>3063</v>
      </c>
      <c r="E2197" t="s">
        <v>3053</v>
      </c>
      <c r="F2197" t="s">
        <v>411</v>
      </c>
      <c r="G2197" t="s">
        <v>412</v>
      </c>
      <c r="H2197" t="s">
        <v>4504</v>
      </c>
      <c r="I2197">
        <v>31</v>
      </c>
      <c r="J2197">
        <v>3</v>
      </c>
      <c r="K2197">
        <v>28</v>
      </c>
      <c r="L2197">
        <v>0</v>
      </c>
      <c r="M2197">
        <v>0</v>
      </c>
      <c r="N2197">
        <v>0</v>
      </c>
      <c r="O2197">
        <v>0</v>
      </c>
    </row>
    <row r="2198" spans="1:15" x14ac:dyDescent="0.25">
      <c r="A2198" t="s">
        <v>1220</v>
      </c>
      <c r="B2198" t="s">
        <v>1948</v>
      </c>
      <c r="C2198" t="s">
        <v>923</v>
      </c>
      <c r="D2198" t="s">
        <v>3063</v>
      </c>
      <c r="E2198" t="s">
        <v>3053</v>
      </c>
      <c r="F2198" t="s">
        <v>411</v>
      </c>
      <c r="G2198" t="s">
        <v>412</v>
      </c>
      <c r="H2198" t="s">
        <v>4505</v>
      </c>
      <c r="I2198">
        <v>101</v>
      </c>
      <c r="J2198">
        <v>0</v>
      </c>
      <c r="K2198">
        <v>70</v>
      </c>
      <c r="L2198">
        <v>31</v>
      </c>
      <c r="M2198">
        <v>0</v>
      </c>
      <c r="N2198">
        <v>0</v>
      </c>
      <c r="O2198">
        <v>0</v>
      </c>
    </row>
    <row r="2199" spans="1:15" x14ac:dyDescent="0.25">
      <c r="A2199" t="s">
        <v>1102</v>
      </c>
      <c r="B2199" t="s">
        <v>2801</v>
      </c>
      <c r="C2199" t="s">
        <v>923</v>
      </c>
      <c r="D2199" t="s">
        <v>3063</v>
      </c>
      <c r="E2199" t="s">
        <v>3053</v>
      </c>
      <c r="F2199" t="s">
        <v>411</v>
      </c>
      <c r="G2199" t="s">
        <v>412</v>
      </c>
      <c r="H2199" t="s">
        <v>4506</v>
      </c>
      <c r="I2199">
        <v>2</v>
      </c>
      <c r="J2199">
        <v>2</v>
      </c>
      <c r="K2199">
        <v>0</v>
      </c>
      <c r="L2199">
        <v>0</v>
      </c>
      <c r="M2199">
        <v>0</v>
      </c>
      <c r="N2199">
        <v>0</v>
      </c>
      <c r="O2199">
        <v>0</v>
      </c>
    </row>
    <row r="2200" spans="1:15" x14ac:dyDescent="0.25">
      <c r="A2200" t="s">
        <v>989</v>
      </c>
      <c r="B2200" t="s">
        <v>2016</v>
      </c>
      <c r="C2200" t="s">
        <v>923</v>
      </c>
      <c r="D2200" t="s">
        <v>3063</v>
      </c>
      <c r="E2200" t="s">
        <v>3053</v>
      </c>
      <c r="F2200" t="s">
        <v>411</v>
      </c>
      <c r="G2200" t="s">
        <v>412</v>
      </c>
      <c r="H2200" t="s">
        <v>14619</v>
      </c>
      <c r="I2200">
        <v>5</v>
      </c>
      <c r="J2200">
        <v>0</v>
      </c>
      <c r="K2200">
        <v>0</v>
      </c>
      <c r="L2200">
        <v>5</v>
      </c>
      <c r="M2200">
        <v>0</v>
      </c>
      <c r="N2200">
        <v>0</v>
      </c>
      <c r="O2200">
        <v>0</v>
      </c>
    </row>
    <row r="2201" spans="1:15" x14ac:dyDescent="0.25">
      <c r="A2201" t="s">
        <v>933</v>
      </c>
      <c r="B2201" t="s">
        <v>2106</v>
      </c>
      <c r="C2201" t="s">
        <v>927</v>
      </c>
      <c r="D2201" t="s">
        <v>3052</v>
      </c>
      <c r="E2201" t="s">
        <v>3053</v>
      </c>
      <c r="F2201" t="s">
        <v>411</v>
      </c>
      <c r="G2201" t="s">
        <v>412</v>
      </c>
      <c r="H2201" t="s">
        <v>4507</v>
      </c>
      <c r="I2201">
        <v>949</v>
      </c>
      <c r="J2201">
        <v>587</v>
      </c>
      <c r="K2201">
        <v>0</v>
      </c>
      <c r="L2201">
        <v>0</v>
      </c>
      <c r="M2201">
        <v>0</v>
      </c>
      <c r="N2201">
        <v>1</v>
      </c>
      <c r="O2201">
        <v>362</v>
      </c>
    </row>
    <row r="2202" spans="1:15" x14ac:dyDescent="0.25">
      <c r="A2202" t="s">
        <v>1227</v>
      </c>
      <c r="B2202" t="s">
        <v>2023</v>
      </c>
      <c r="C2202" t="s">
        <v>923</v>
      </c>
      <c r="D2202" t="s">
        <v>3063</v>
      </c>
      <c r="E2202" t="s">
        <v>3053</v>
      </c>
      <c r="F2202" t="s">
        <v>411</v>
      </c>
      <c r="G2202" t="s">
        <v>412</v>
      </c>
      <c r="H2202" t="s">
        <v>4508</v>
      </c>
      <c r="I2202">
        <v>38</v>
      </c>
      <c r="J2202">
        <v>38</v>
      </c>
      <c r="K2202">
        <v>0</v>
      </c>
      <c r="L2202">
        <v>0</v>
      </c>
      <c r="M2202">
        <v>0</v>
      </c>
      <c r="N2202">
        <v>0</v>
      </c>
      <c r="O2202">
        <v>0</v>
      </c>
    </row>
    <row r="2203" spans="1:15" x14ac:dyDescent="0.25">
      <c r="A2203" t="s">
        <v>1229</v>
      </c>
      <c r="B2203" t="s">
        <v>2929</v>
      </c>
      <c r="C2203" t="s">
        <v>927</v>
      </c>
      <c r="D2203" t="s">
        <v>3052</v>
      </c>
      <c r="E2203" t="s">
        <v>3053</v>
      </c>
      <c r="F2203" t="s">
        <v>411</v>
      </c>
      <c r="G2203" t="s">
        <v>412</v>
      </c>
      <c r="H2203" t="s">
        <v>4509</v>
      </c>
      <c r="I2203">
        <v>1212</v>
      </c>
      <c r="J2203">
        <v>867</v>
      </c>
      <c r="K2203">
        <v>0</v>
      </c>
      <c r="L2203">
        <v>124</v>
      </c>
      <c r="M2203">
        <v>170</v>
      </c>
      <c r="N2203">
        <v>0</v>
      </c>
      <c r="O2203">
        <v>51</v>
      </c>
    </row>
    <row r="2204" spans="1:15" x14ac:dyDescent="0.25">
      <c r="A2204" t="s">
        <v>1413</v>
      </c>
      <c r="B2204" t="s">
        <v>2048</v>
      </c>
      <c r="C2204" t="s">
        <v>923</v>
      </c>
      <c r="D2204" t="s">
        <v>3063</v>
      </c>
      <c r="E2204" t="s">
        <v>3053</v>
      </c>
      <c r="F2204" t="s">
        <v>411</v>
      </c>
      <c r="G2204" t="s">
        <v>412</v>
      </c>
      <c r="H2204" t="s">
        <v>14620</v>
      </c>
      <c r="I2204">
        <v>10</v>
      </c>
      <c r="J2204">
        <v>0</v>
      </c>
      <c r="K2204">
        <v>0</v>
      </c>
      <c r="L2204">
        <v>10</v>
      </c>
      <c r="M2204">
        <v>0</v>
      </c>
      <c r="N2204">
        <v>10</v>
      </c>
      <c r="O2204">
        <v>0</v>
      </c>
    </row>
    <row r="2205" spans="1:15" x14ac:dyDescent="0.25">
      <c r="A2205" t="s">
        <v>9804</v>
      </c>
      <c r="B2205" t="s">
        <v>2043</v>
      </c>
      <c r="C2205" t="s">
        <v>923</v>
      </c>
      <c r="D2205" t="s">
        <v>3063</v>
      </c>
      <c r="E2205" t="s">
        <v>3053</v>
      </c>
      <c r="F2205" t="s">
        <v>411</v>
      </c>
      <c r="G2205" t="s">
        <v>412</v>
      </c>
      <c r="H2205" t="s">
        <v>10049</v>
      </c>
      <c r="I2205">
        <v>5</v>
      </c>
      <c r="J2205">
        <v>5</v>
      </c>
      <c r="K2205">
        <v>0</v>
      </c>
      <c r="L2205">
        <v>0</v>
      </c>
      <c r="M2205">
        <v>0</v>
      </c>
      <c r="N2205">
        <v>0</v>
      </c>
      <c r="O2205">
        <v>0</v>
      </c>
    </row>
    <row r="2206" spans="1:15" x14ac:dyDescent="0.25">
      <c r="A2206" t="s">
        <v>1234</v>
      </c>
      <c r="B2206" t="s">
        <v>2093</v>
      </c>
      <c r="C2206" t="s">
        <v>923</v>
      </c>
      <c r="D2206" t="s">
        <v>3063</v>
      </c>
      <c r="E2206" t="s">
        <v>3053</v>
      </c>
      <c r="F2206" t="s">
        <v>411</v>
      </c>
      <c r="G2206" t="s">
        <v>412</v>
      </c>
      <c r="H2206" t="s">
        <v>14621</v>
      </c>
      <c r="I2206">
        <v>40</v>
      </c>
      <c r="J2206">
        <v>40</v>
      </c>
      <c r="K2206">
        <v>0</v>
      </c>
      <c r="L2206">
        <v>0</v>
      </c>
      <c r="M2206">
        <v>0</v>
      </c>
      <c r="N2206">
        <v>0</v>
      </c>
      <c r="O2206">
        <v>0</v>
      </c>
    </row>
    <row r="2207" spans="1:15" x14ac:dyDescent="0.25">
      <c r="A2207" t="s">
        <v>1239</v>
      </c>
      <c r="B2207" t="s">
        <v>2990</v>
      </c>
      <c r="C2207" t="s">
        <v>923</v>
      </c>
      <c r="D2207" t="s">
        <v>3063</v>
      </c>
      <c r="E2207" t="s">
        <v>3053</v>
      </c>
      <c r="F2207" t="s">
        <v>411</v>
      </c>
      <c r="G2207" t="s">
        <v>412</v>
      </c>
      <c r="H2207" t="s">
        <v>4510</v>
      </c>
      <c r="I2207">
        <v>79</v>
      </c>
      <c r="J2207">
        <v>79</v>
      </c>
      <c r="K2207">
        <v>0</v>
      </c>
      <c r="L2207">
        <v>0</v>
      </c>
      <c r="M2207">
        <v>0</v>
      </c>
      <c r="N2207">
        <v>1</v>
      </c>
      <c r="O2207">
        <v>0</v>
      </c>
    </row>
    <row r="2208" spans="1:15" x14ac:dyDescent="0.25">
      <c r="A2208" t="s">
        <v>1240</v>
      </c>
      <c r="B2208" t="s">
        <v>2792</v>
      </c>
      <c r="C2208" t="s">
        <v>923</v>
      </c>
      <c r="D2208" t="s">
        <v>3063</v>
      </c>
      <c r="E2208" t="s">
        <v>3053</v>
      </c>
      <c r="F2208" t="s">
        <v>411</v>
      </c>
      <c r="G2208" t="s">
        <v>412</v>
      </c>
      <c r="H2208" t="s">
        <v>4511</v>
      </c>
      <c r="I2208">
        <v>210</v>
      </c>
      <c r="J2208">
        <v>17</v>
      </c>
      <c r="K2208">
        <v>0</v>
      </c>
      <c r="L2208">
        <v>14</v>
      </c>
      <c r="M2208">
        <v>179</v>
      </c>
      <c r="N2208">
        <v>0</v>
      </c>
      <c r="O2208">
        <v>0</v>
      </c>
    </row>
    <row r="2209" spans="1:15" x14ac:dyDescent="0.25">
      <c r="A2209" t="s">
        <v>11660</v>
      </c>
      <c r="B2209" t="s">
        <v>2041</v>
      </c>
      <c r="C2209" t="s">
        <v>923</v>
      </c>
      <c r="D2209" t="s">
        <v>3063</v>
      </c>
      <c r="E2209" t="s">
        <v>3053</v>
      </c>
      <c r="F2209" t="s">
        <v>411</v>
      </c>
      <c r="G2209" t="s">
        <v>412</v>
      </c>
      <c r="H2209" t="s">
        <v>11966</v>
      </c>
      <c r="I2209">
        <v>6</v>
      </c>
      <c r="J2209">
        <v>0</v>
      </c>
      <c r="K2209">
        <v>0</v>
      </c>
      <c r="L2209">
        <v>6</v>
      </c>
      <c r="M2209">
        <v>0</v>
      </c>
      <c r="N2209">
        <v>0</v>
      </c>
      <c r="O2209">
        <v>0</v>
      </c>
    </row>
    <row r="2210" spans="1:15" x14ac:dyDescent="0.25">
      <c r="A2210" t="s">
        <v>1243</v>
      </c>
      <c r="B2210" t="s">
        <v>2634</v>
      </c>
      <c r="C2210" t="s">
        <v>923</v>
      </c>
      <c r="D2210" t="s">
        <v>3063</v>
      </c>
      <c r="E2210" t="s">
        <v>3053</v>
      </c>
      <c r="F2210" t="s">
        <v>411</v>
      </c>
      <c r="G2210" t="s">
        <v>412</v>
      </c>
      <c r="H2210" t="s">
        <v>4512</v>
      </c>
      <c r="I2210">
        <v>296</v>
      </c>
      <c r="J2210">
        <v>0</v>
      </c>
      <c r="K2210">
        <v>0</v>
      </c>
      <c r="L2210">
        <v>296</v>
      </c>
      <c r="M2210">
        <v>0</v>
      </c>
      <c r="N2210">
        <v>0</v>
      </c>
      <c r="O2210">
        <v>0</v>
      </c>
    </row>
    <row r="2211" spans="1:15" x14ac:dyDescent="0.25">
      <c r="A2211" t="s">
        <v>1416</v>
      </c>
      <c r="B2211" t="s">
        <v>2029</v>
      </c>
      <c r="C2211" t="s">
        <v>923</v>
      </c>
      <c r="D2211" t="s">
        <v>3063</v>
      </c>
      <c r="E2211" t="s">
        <v>3053</v>
      </c>
      <c r="F2211" t="s">
        <v>411</v>
      </c>
      <c r="G2211" t="s">
        <v>412</v>
      </c>
      <c r="H2211" t="s">
        <v>11967</v>
      </c>
      <c r="I2211">
        <v>9</v>
      </c>
      <c r="J2211">
        <v>0</v>
      </c>
      <c r="K2211">
        <v>0</v>
      </c>
      <c r="L2211">
        <v>9</v>
      </c>
      <c r="M2211">
        <v>0</v>
      </c>
      <c r="N2211">
        <v>0</v>
      </c>
      <c r="O2211">
        <v>0</v>
      </c>
    </row>
    <row r="2212" spans="1:15" x14ac:dyDescent="0.25">
      <c r="A2212" t="s">
        <v>10638</v>
      </c>
      <c r="B2212" t="s">
        <v>2057</v>
      </c>
      <c r="C2212" t="s">
        <v>927</v>
      </c>
      <c r="D2212" t="s">
        <v>3052</v>
      </c>
      <c r="E2212" t="s">
        <v>3053</v>
      </c>
      <c r="F2212" t="s">
        <v>411</v>
      </c>
      <c r="G2212" t="s">
        <v>412</v>
      </c>
      <c r="H2212" t="s">
        <v>10963</v>
      </c>
      <c r="I2212">
        <v>15</v>
      </c>
      <c r="J2212">
        <v>0</v>
      </c>
      <c r="K2212">
        <v>0</v>
      </c>
      <c r="L2212">
        <v>15</v>
      </c>
      <c r="M2212">
        <v>0</v>
      </c>
      <c r="N2212">
        <v>0</v>
      </c>
      <c r="O2212">
        <v>0</v>
      </c>
    </row>
    <row r="2213" spans="1:15" x14ac:dyDescent="0.25">
      <c r="A2213" t="s">
        <v>1008</v>
      </c>
      <c r="B2213" t="s">
        <v>2928</v>
      </c>
      <c r="C2213" t="s">
        <v>927</v>
      </c>
      <c r="D2213" t="s">
        <v>3052</v>
      </c>
      <c r="E2213" t="s">
        <v>3053</v>
      </c>
      <c r="F2213" t="s">
        <v>411</v>
      </c>
      <c r="G2213" t="s">
        <v>412</v>
      </c>
      <c r="H2213" t="s">
        <v>4513</v>
      </c>
      <c r="I2213">
        <v>5</v>
      </c>
      <c r="J2213">
        <v>2</v>
      </c>
      <c r="K2213">
        <v>0</v>
      </c>
      <c r="L2213">
        <v>3</v>
      </c>
      <c r="M2213">
        <v>0</v>
      </c>
      <c r="N2213">
        <v>0</v>
      </c>
      <c r="O2213">
        <v>0</v>
      </c>
    </row>
    <row r="2214" spans="1:15" x14ac:dyDescent="0.25">
      <c r="A2214" t="s">
        <v>1009</v>
      </c>
      <c r="B2214" t="s">
        <v>1958</v>
      </c>
      <c r="C2214" t="s">
        <v>923</v>
      </c>
      <c r="D2214" t="s">
        <v>3063</v>
      </c>
      <c r="E2214" t="s">
        <v>3053</v>
      </c>
      <c r="F2214" t="s">
        <v>411</v>
      </c>
      <c r="G2214" t="s">
        <v>412</v>
      </c>
      <c r="H2214" t="s">
        <v>11968</v>
      </c>
      <c r="I2214">
        <v>3</v>
      </c>
      <c r="J2214">
        <v>0</v>
      </c>
      <c r="K2214">
        <v>0</v>
      </c>
      <c r="L2214">
        <v>3</v>
      </c>
      <c r="M2214">
        <v>0</v>
      </c>
      <c r="N2214">
        <v>0</v>
      </c>
      <c r="O2214">
        <v>0</v>
      </c>
    </row>
    <row r="2215" spans="1:15" x14ac:dyDescent="0.25">
      <c r="A2215" t="s">
        <v>1010</v>
      </c>
      <c r="B2215" t="s">
        <v>2639</v>
      </c>
      <c r="C2215" t="s">
        <v>927</v>
      </c>
      <c r="D2215" t="s">
        <v>3052</v>
      </c>
      <c r="E2215" t="s">
        <v>3053</v>
      </c>
      <c r="F2215" t="s">
        <v>411</v>
      </c>
      <c r="G2215" t="s">
        <v>412</v>
      </c>
      <c r="H2215" t="s">
        <v>4514</v>
      </c>
      <c r="I2215">
        <v>90</v>
      </c>
      <c r="J2215">
        <v>89</v>
      </c>
      <c r="K2215">
        <v>0</v>
      </c>
      <c r="L2215">
        <v>0</v>
      </c>
      <c r="M2215">
        <v>0</v>
      </c>
      <c r="N2215">
        <v>1</v>
      </c>
      <c r="O2215">
        <v>1</v>
      </c>
    </row>
    <row r="2216" spans="1:15" x14ac:dyDescent="0.25">
      <c r="A2216" t="s">
        <v>1264</v>
      </c>
      <c r="B2216" t="s">
        <v>2749</v>
      </c>
      <c r="C2216" t="s">
        <v>927</v>
      </c>
      <c r="D2216" t="s">
        <v>3052</v>
      </c>
      <c r="E2216" t="s">
        <v>3053</v>
      </c>
      <c r="F2216" t="s">
        <v>411</v>
      </c>
      <c r="G2216" t="s">
        <v>412</v>
      </c>
      <c r="H2216" t="s">
        <v>4515</v>
      </c>
      <c r="I2216">
        <v>412</v>
      </c>
      <c r="J2216">
        <v>331</v>
      </c>
      <c r="K2216">
        <v>0</v>
      </c>
      <c r="L2216">
        <v>0</v>
      </c>
      <c r="M2216">
        <v>0</v>
      </c>
      <c r="N2216">
        <v>0</v>
      </c>
      <c r="O2216">
        <v>81</v>
      </c>
    </row>
    <row r="2217" spans="1:15" x14ac:dyDescent="0.25">
      <c r="A2217" t="s">
        <v>938</v>
      </c>
      <c r="B2217" t="s">
        <v>2791</v>
      </c>
      <c r="C2217" t="s">
        <v>927</v>
      </c>
      <c r="D2217" t="s">
        <v>3052</v>
      </c>
      <c r="E2217" t="s">
        <v>3053</v>
      </c>
      <c r="F2217" t="s">
        <v>411</v>
      </c>
      <c r="G2217" t="s">
        <v>412</v>
      </c>
      <c r="H2217" t="s">
        <v>4516</v>
      </c>
      <c r="I2217">
        <v>629</v>
      </c>
      <c r="J2217">
        <v>554</v>
      </c>
      <c r="K2217">
        <v>0</v>
      </c>
      <c r="L2217">
        <v>17</v>
      </c>
      <c r="M2217">
        <v>0</v>
      </c>
      <c r="N2217">
        <v>2</v>
      </c>
      <c r="O2217">
        <v>58</v>
      </c>
    </row>
    <row r="2218" spans="1:15" x14ac:dyDescent="0.25">
      <c r="A2218" t="s">
        <v>940</v>
      </c>
      <c r="B2218" t="s">
        <v>2647</v>
      </c>
      <c r="C2218" t="s">
        <v>927</v>
      </c>
      <c r="D2218" t="s">
        <v>3052</v>
      </c>
      <c r="E2218" t="s">
        <v>3053</v>
      </c>
      <c r="F2218" t="s">
        <v>411</v>
      </c>
      <c r="G2218" t="s">
        <v>412</v>
      </c>
      <c r="H2218" t="s">
        <v>4517</v>
      </c>
      <c r="I2218">
        <v>42</v>
      </c>
      <c r="J2218">
        <v>0</v>
      </c>
      <c r="K2218">
        <v>0</v>
      </c>
      <c r="L2218">
        <v>0</v>
      </c>
      <c r="M2218">
        <v>42</v>
      </c>
      <c r="N2218">
        <v>0</v>
      </c>
      <c r="O2218">
        <v>0</v>
      </c>
    </row>
    <row r="2219" spans="1:15" x14ac:dyDescent="0.25">
      <c r="A2219" t="s">
        <v>1012</v>
      </c>
      <c r="B2219" t="s">
        <v>2911</v>
      </c>
      <c r="C2219" t="s">
        <v>927</v>
      </c>
      <c r="D2219" t="s">
        <v>3052</v>
      </c>
      <c r="E2219" t="s">
        <v>3053</v>
      </c>
      <c r="F2219" t="s">
        <v>411</v>
      </c>
      <c r="G2219" t="s">
        <v>412</v>
      </c>
      <c r="H2219" t="s">
        <v>4518</v>
      </c>
      <c r="I2219">
        <v>1523</v>
      </c>
      <c r="J2219">
        <v>1342</v>
      </c>
      <c r="K2219">
        <v>0</v>
      </c>
      <c r="L2219">
        <v>11</v>
      </c>
      <c r="M2219">
        <v>105</v>
      </c>
      <c r="N2219">
        <v>40</v>
      </c>
      <c r="O2219">
        <v>65</v>
      </c>
    </row>
    <row r="2220" spans="1:15" x14ac:dyDescent="0.25">
      <c r="A2220" t="s">
        <v>1283</v>
      </c>
      <c r="B2220" t="s">
        <v>2768</v>
      </c>
      <c r="C2220" t="s">
        <v>923</v>
      </c>
      <c r="D2220" t="s">
        <v>3063</v>
      </c>
      <c r="E2220" t="s">
        <v>3053</v>
      </c>
      <c r="F2220" t="s">
        <v>411</v>
      </c>
      <c r="G2220" t="s">
        <v>412</v>
      </c>
      <c r="H2220" t="s">
        <v>4519</v>
      </c>
      <c r="I2220">
        <v>24</v>
      </c>
      <c r="J2220">
        <v>24</v>
      </c>
      <c r="K2220">
        <v>0</v>
      </c>
      <c r="L2220">
        <v>0</v>
      </c>
      <c r="M2220">
        <v>0</v>
      </c>
      <c r="N2220">
        <v>0</v>
      </c>
      <c r="O2220">
        <v>0</v>
      </c>
    </row>
    <row r="2221" spans="1:15" x14ac:dyDescent="0.25">
      <c r="A2221" t="s">
        <v>1018</v>
      </c>
      <c r="B2221" t="s">
        <v>1980</v>
      </c>
      <c r="C2221" t="s">
        <v>923</v>
      </c>
      <c r="D2221" t="s">
        <v>3063</v>
      </c>
      <c r="E2221" t="s">
        <v>3053</v>
      </c>
      <c r="F2221" t="s">
        <v>411</v>
      </c>
      <c r="G2221" t="s">
        <v>412</v>
      </c>
      <c r="H2221" t="s">
        <v>4520</v>
      </c>
      <c r="I2221">
        <v>40</v>
      </c>
      <c r="J2221">
        <v>0</v>
      </c>
      <c r="K2221">
        <v>0</v>
      </c>
      <c r="L2221">
        <v>40</v>
      </c>
      <c r="M2221">
        <v>0</v>
      </c>
      <c r="N2221">
        <v>0</v>
      </c>
      <c r="O2221">
        <v>0</v>
      </c>
    </row>
    <row r="2222" spans="1:15" x14ac:dyDescent="0.25">
      <c r="A2222" t="s">
        <v>1126</v>
      </c>
      <c r="B2222" t="s">
        <v>2130</v>
      </c>
      <c r="C2222" t="s">
        <v>927</v>
      </c>
      <c r="D2222" t="s">
        <v>3052</v>
      </c>
      <c r="E2222" t="s">
        <v>3053</v>
      </c>
      <c r="F2222" t="s">
        <v>411</v>
      </c>
      <c r="G2222" t="s">
        <v>412</v>
      </c>
      <c r="H2222" t="s">
        <v>10964</v>
      </c>
      <c r="I2222">
        <v>49</v>
      </c>
      <c r="J2222">
        <v>0</v>
      </c>
      <c r="K2222">
        <v>0</v>
      </c>
      <c r="L2222">
        <v>0</v>
      </c>
      <c r="M2222">
        <v>0</v>
      </c>
      <c r="N2222">
        <v>0</v>
      </c>
      <c r="O2222">
        <v>49</v>
      </c>
    </row>
    <row r="2223" spans="1:15" x14ac:dyDescent="0.25">
      <c r="A2223" t="s">
        <v>1025</v>
      </c>
      <c r="B2223" t="s">
        <v>2893</v>
      </c>
      <c r="C2223" t="s">
        <v>927</v>
      </c>
      <c r="D2223" t="s">
        <v>3052</v>
      </c>
      <c r="E2223" t="s">
        <v>3053</v>
      </c>
      <c r="F2223" t="s">
        <v>411</v>
      </c>
      <c r="G2223" t="s">
        <v>412</v>
      </c>
      <c r="H2223" t="s">
        <v>4521</v>
      </c>
      <c r="I2223">
        <v>2345</v>
      </c>
      <c r="J2223">
        <v>1657</v>
      </c>
      <c r="K2223">
        <v>0</v>
      </c>
      <c r="L2223">
        <v>7</v>
      </c>
      <c r="M2223">
        <v>44</v>
      </c>
      <c r="N2223">
        <v>9</v>
      </c>
      <c r="O2223">
        <v>637</v>
      </c>
    </row>
    <row r="2224" spans="1:15" x14ac:dyDescent="0.25">
      <c r="A2224" t="s">
        <v>1293</v>
      </c>
      <c r="B2224" t="s">
        <v>2910</v>
      </c>
      <c r="C2224" t="s">
        <v>927</v>
      </c>
      <c r="D2224" t="s">
        <v>3052</v>
      </c>
      <c r="E2224" t="s">
        <v>3053</v>
      </c>
      <c r="F2224" t="s">
        <v>411</v>
      </c>
      <c r="G2224" t="s">
        <v>412</v>
      </c>
      <c r="H2224" t="s">
        <v>4522</v>
      </c>
      <c r="I2224">
        <v>6</v>
      </c>
      <c r="J2224">
        <v>0</v>
      </c>
      <c r="K2224">
        <v>0</v>
      </c>
      <c r="L2224">
        <v>6</v>
      </c>
      <c r="M2224">
        <v>0</v>
      </c>
      <c r="N2224">
        <v>0</v>
      </c>
      <c r="O2224">
        <v>0</v>
      </c>
    </row>
    <row r="2225" spans="1:15" x14ac:dyDescent="0.25">
      <c r="A2225" t="s">
        <v>10681</v>
      </c>
      <c r="B2225" t="s">
        <v>10680</v>
      </c>
      <c r="C2225" t="s">
        <v>927</v>
      </c>
      <c r="D2225" t="s">
        <v>3052</v>
      </c>
      <c r="E2225" t="s">
        <v>3053</v>
      </c>
      <c r="F2225" t="s">
        <v>411</v>
      </c>
      <c r="G2225" t="s">
        <v>412</v>
      </c>
      <c r="H2225" t="s">
        <v>14622</v>
      </c>
      <c r="I2225">
        <v>13</v>
      </c>
      <c r="J2225">
        <v>0</v>
      </c>
      <c r="K2225">
        <v>0</v>
      </c>
      <c r="L2225">
        <v>0</v>
      </c>
      <c r="M2225">
        <v>0</v>
      </c>
      <c r="N2225">
        <v>0</v>
      </c>
      <c r="O2225">
        <v>13</v>
      </c>
    </row>
    <row r="2226" spans="1:15" x14ac:dyDescent="0.25">
      <c r="A2226" t="s">
        <v>10685</v>
      </c>
      <c r="B2226" t="s">
        <v>10684</v>
      </c>
      <c r="C2226" t="s">
        <v>923</v>
      </c>
      <c r="D2226" t="s">
        <v>3063</v>
      </c>
      <c r="E2226" t="s">
        <v>3053</v>
      </c>
      <c r="F2226" t="s">
        <v>411</v>
      </c>
      <c r="G2226" t="s">
        <v>412</v>
      </c>
      <c r="H2226" t="s">
        <v>11969</v>
      </c>
      <c r="I2226">
        <v>19</v>
      </c>
      <c r="J2226">
        <v>19</v>
      </c>
      <c r="K2226">
        <v>0</v>
      </c>
      <c r="L2226">
        <v>0</v>
      </c>
      <c r="M2226">
        <v>0</v>
      </c>
      <c r="N2226">
        <v>0</v>
      </c>
      <c r="O2226">
        <v>0</v>
      </c>
    </row>
    <row r="2227" spans="1:15" x14ac:dyDescent="0.25">
      <c r="A2227" t="s">
        <v>943</v>
      </c>
      <c r="B2227" t="s">
        <v>2694</v>
      </c>
      <c r="C2227" t="s">
        <v>927</v>
      </c>
      <c r="D2227" t="s">
        <v>3052</v>
      </c>
      <c r="E2227" t="s">
        <v>3053</v>
      </c>
      <c r="F2227" t="s">
        <v>411</v>
      </c>
      <c r="G2227" t="s">
        <v>412</v>
      </c>
      <c r="H2227" t="s">
        <v>4523</v>
      </c>
      <c r="I2227">
        <v>50</v>
      </c>
      <c r="J2227">
        <v>47</v>
      </c>
      <c r="K2227">
        <v>0</v>
      </c>
      <c r="L2227">
        <v>0</v>
      </c>
      <c r="M2227">
        <v>0</v>
      </c>
      <c r="N2227">
        <v>0</v>
      </c>
      <c r="O2227">
        <v>3</v>
      </c>
    </row>
    <row r="2228" spans="1:15" x14ac:dyDescent="0.25">
      <c r="A2228" t="s">
        <v>945</v>
      </c>
      <c r="B2228" t="s">
        <v>2668</v>
      </c>
      <c r="C2228" t="s">
        <v>927</v>
      </c>
      <c r="D2228" t="s">
        <v>3052</v>
      </c>
      <c r="E2228" t="s">
        <v>3053</v>
      </c>
      <c r="F2228" t="s">
        <v>411</v>
      </c>
      <c r="G2228" t="s">
        <v>412</v>
      </c>
      <c r="H2228" t="s">
        <v>4524</v>
      </c>
      <c r="I2228">
        <v>457</v>
      </c>
      <c r="J2228">
        <v>340</v>
      </c>
      <c r="K2228">
        <v>0</v>
      </c>
      <c r="L2228">
        <v>0</v>
      </c>
      <c r="M2228">
        <v>33</v>
      </c>
      <c r="N2228">
        <v>0</v>
      </c>
      <c r="O2228">
        <v>84</v>
      </c>
    </row>
    <row r="2229" spans="1:15" x14ac:dyDescent="0.25">
      <c r="A2229" t="s">
        <v>1134</v>
      </c>
      <c r="B2229" t="s">
        <v>2118</v>
      </c>
      <c r="C2229" t="s">
        <v>927</v>
      </c>
      <c r="D2229" t="s">
        <v>3052</v>
      </c>
      <c r="E2229" t="s">
        <v>3053</v>
      </c>
      <c r="F2229" t="s">
        <v>411</v>
      </c>
      <c r="G2229" t="s">
        <v>412</v>
      </c>
      <c r="H2229" t="s">
        <v>4525</v>
      </c>
      <c r="I2229">
        <v>635</v>
      </c>
      <c r="J2229">
        <v>598</v>
      </c>
      <c r="K2229">
        <v>0</v>
      </c>
      <c r="L2229">
        <v>26</v>
      </c>
      <c r="M2229">
        <v>0</v>
      </c>
      <c r="N2229">
        <v>9</v>
      </c>
      <c r="O2229">
        <v>11</v>
      </c>
    </row>
    <row r="2230" spans="1:15" x14ac:dyDescent="0.25">
      <c r="A2230" t="s">
        <v>949</v>
      </c>
      <c r="B2230" t="s">
        <v>3035</v>
      </c>
      <c r="C2230" t="s">
        <v>927</v>
      </c>
      <c r="D2230" t="s">
        <v>3052</v>
      </c>
      <c r="E2230" t="s">
        <v>3053</v>
      </c>
      <c r="F2230" t="s">
        <v>411</v>
      </c>
      <c r="G2230" t="s">
        <v>412</v>
      </c>
      <c r="H2230" t="s">
        <v>4526</v>
      </c>
      <c r="I2230">
        <v>52</v>
      </c>
      <c r="J2230">
        <v>0</v>
      </c>
      <c r="K2230">
        <v>0</v>
      </c>
      <c r="L2230">
        <v>0</v>
      </c>
      <c r="M2230">
        <v>0</v>
      </c>
      <c r="N2230">
        <v>0</v>
      </c>
      <c r="O2230">
        <v>52</v>
      </c>
    </row>
    <row r="2231" spans="1:15" x14ac:dyDescent="0.25">
      <c r="A2231" t="s">
        <v>1135</v>
      </c>
      <c r="B2231" t="s">
        <v>1996</v>
      </c>
      <c r="C2231" t="s">
        <v>923</v>
      </c>
      <c r="D2231" t="s">
        <v>3063</v>
      </c>
      <c r="E2231" t="s">
        <v>3053</v>
      </c>
      <c r="F2231" t="s">
        <v>411</v>
      </c>
      <c r="G2231" t="s">
        <v>412</v>
      </c>
      <c r="H2231" t="s">
        <v>10217</v>
      </c>
      <c r="I2231">
        <v>8</v>
      </c>
      <c r="J2231">
        <v>8</v>
      </c>
      <c r="K2231">
        <v>0</v>
      </c>
      <c r="L2231">
        <v>0</v>
      </c>
      <c r="M2231">
        <v>0</v>
      </c>
      <c r="N2231">
        <v>0</v>
      </c>
      <c r="O2231">
        <v>0</v>
      </c>
    </row>
    <row r="2232" spans="1:15" x14ac:dyDescent="0.25">
      <c r="A2232" t="s">
        <v>1041</v>
      </c>
      <c r="B2232" t="s">
        <v>2826</v>
      </c>
      <c r="C2232" t="s">
        <v>927</v>
      </c>
      <c r="D2232" t="s">
        <v>3052</v>
      </c>
      <c r="E2232" t="s">
        <v>3053</v>
      </c>
      <c r="F2232" t="s">
        <v>411</v>
      </c>
      <c r="G2232" t="s">
        <v>412</v>
      </c>
      <c r="H2232" t="s">
        <v>4527</v>
      </c>
      <c r="I2232">
        <v>19</v>
      </c>
      <c r="J2232">
        <v>0</v>
      </c>
      <c r="K2232">
        <v>0</v>
      </c>
      <c r="L2232">
        <v>0</v>
      </c>
      <c r="M2232">
        <v>0</v>
      </c>
      <c r="N2232">
        <v>0</v>
      </c>
      <c r="O2232">
        <v>19</v>
      </c>
    </row>
    <row r="2233" spans="1:15" x14ac:dyDescent="0.25">
      <c r="A2233" t="s">
        <v>9787</v>
      </c>
      <c r="B2233" t="s">
        <v>2822</v>
      </c>
      <c r="C2233" t="s">
        <v>927</v>
      </c>
      <c r="D2233" t="s">
        <v>3052</v>
      </c>
      <c r="E2233" t="s">
        <v>3053</v>
      </c>
      <c r="F2233" t="s">
        <v>411</v>
      </c>
      <c r="G2233" t="s">
        <v>412</v>
      </c>
      <c r="H2233" t="s">
        <v>10244</v>
      </c>
      <c r="I2233">
        <v>176</v>
      </c>
      <c r="J2233">
        <v>176</v>
      </c>
      <c r="K2233">
        <v>0</v>
      </c>
      <c r="L2233">
        <v>0</v>
      </c>
      <c r="M2233">
        <v>0</v>
      </c>
      <c r="N2233">
        <v>0</v>
      </c>
      <c r="O2233">
        <v>0</v>
      </c>
    </row>
    <row r="2234" spans="1:15" x14ac:dyDescent="0.25">
      <c r="A2234" t="s">
        <v>1043</v>
      </c>
      <c r="B2234" t="s">
        <v>2090</v>
      </c>
      <c r="C2234" t="s">
        <v>927</v>
      </c>
      <c r="D2234" t="s">
        <v>3052</v>
      </c>
      <c r="E2234" t="s">
        <v>3053</v>
      </c>
      <c r="F2234" t="s">
        <v>411</v>
      </c>
      <c r="G2234" t="s">
        <v>412</v>
      </c>
      <c r="H2234" t="s">
        <v>4528</v>
      </c>
      <c r="I2234">
        <v>251</v>
      </c>
      <c r="J2234">
        <v>149</v>
      </c>
      <c r="K2234">
        <v>0</v>
      </c>
      <c r="L2234">
        <v>0</v>
      </c>
      <c r="M2234">
        <v>0</v>
      </c>
      <c r="N2234">
        <v>0</v>
      </c>
      <c r="O2234">
        <v>102</v>
      </c>
    </row>
    <row r="2235" spans="1:15" x14ac:dyDescent="0.25">
      <c r="A2235" t="s">
        <v>1146</v>
      </c>
      <c r="B2235" t="s">
        <v>2117</v>
      </c>
      <c r="C2235" t="s">
        <v>927</v>
      </c>
      <c r="D2235" t="s">
        <v>3052</v>
      </c>
      <c r="E2235" t="s">
        <v>3053</v>
      </c>
      <c r="F2235" t="s">
        <v>411</v>
      </c>
      <c r="G2235" t="s">
        <v>412</v>
      </c>
      <c r="H2235" t="s">
        <v>4529</v>
      </c>
      <c r="I2235">
        <v>491</v>
      </c>
      <c r="J2235">
        <v>395</v>
      </c>
      <c r="K2235">
        <v>0</v>
      </c>
      <c r="L2235">
        <v>22</v>
      </c>
      <c r="M2235">
        <v>0</v>
      </c>
      <c r="N2235">
        <v>0</v>
      </c>
      <c r="O2235">
        <v>74</v>
      </c>
    </row>
    <row r="2236" spans="1:15" x14ac:dyDescent="0.25">
      <c r="A2236" t="s">
        <v>951</v>
      </c>
      <c r="B2236" t="s">
        <v>2680</v>
      </c>
      <c r="C2236" t="s">
        <v>927</v>
      </c>
      <c r="D2236" t="s">
        <v>3052</v>
      </c>
      <c r="E2236" t="s">
        <v>3053</v>
      </c>
      <c r="F2236" t="s">
        <v>411</v>
      </c>
      <c r="G2236" t="s">
        <v>412</v>
      </c>
      <c r="H2236" t="s">
        <v>4530</v>
      </c>
      <c r="I2236">
        <v>30</v>
      </c>
      <c r="J2236">
        <v>15</v>
      </c>
      <c r="K2236">
        <v>0</v>
      </c>
      <c r="L2236">
        <v>0</v>
      </c>
      <c r="M2236">
        <v>0</v>
      </c>
      <c r="N2236">
        <v>0</v>
      </c>
      <c r="O2236">
        <v>15</v>
      </c>
    </row>
    <row r="2237" spans="1:15" x14ac:dyDescent="0.25">
      <c r="A2237" t="s">
        <v>1329</v>
      </c>
      <c r="B2237" t="s">
        <v>1985</v>
      </c>
      <c r="C2237" t="s">
        <v>923</v>
      </c>
      <c r="D2237" t="s">
        <v>3063</v>
      </c>
      <c r="E2237" t="s">
        <v>3053</v>
      </c>
      <c r="F2237" t="s">
        <v>411</v>
      </c>
      <c r="G2237" t="s">
        <v>412</v>
      </c>
      <c r="H2237" t="s">
        <v>4531</v>
      </c>
      <c r="I2237">
        <v>27</v>
      </c>
      <c r="J2237">
        <v>0</v>
      </c>
      <c r="K2237">
        <v>0</v>
      </c>
      <c r="L2237">
        <v>27</v>
      </c>
      <c r="M2237">
        <v>0</v>
      </c>
      <c r="N2237">
        <v>0</v>
      </c>
      <c r="O2237">
        <v>0</v>
      </c>
    </row>
    <row r="2238" spans="1:15" x14ac:dyDescent="0.25">
      <c r="A2238" t="s">
        <v>1330</v>
      </c>
      <c r="B2238" t="s">
        <v>2776</v>
      </c>
      <c r="C2238" t="s">
        <v>923</v>
      </c>
      <c r="D2238" t="s">
        <v>3063</v>
      </c>
      <c r="E2238" t="s">
        <v>3053</v>
      </c>
      <c r="F2238" t="s">
        <v>411</v>
      </c>
      <c r="G2238" t="s">
        <v>412</v>
      </c>
      <c r="H2238" t="s">
        <v>4532</v>
      </c>
      <c r="I2238">
        <v>95</v>
      </c>
      <c r="J2238">
        <v>95</v>
      </c>
      <c r="K2238">
        <v>0</v>
      </c>
      <c r="L2238">
        <v>0</v>
      </c>
      <c r="M2238">
        <v>0</v>
      </c>
      <c r="N2238">
        <v>0</v>
      </c>
      <c r="O2238">
        <v>0</v>
      </c>
    </row>
    <row r="2239" spans="1:15" x14ac:dyDescent="0.25">
      <c r="A2239" t="s">
        <v>953</v>
      </c>
      <c r="B2239" t="s">
        <v>2014</v>
      </c>
      <c r="C2239" t="s">
        <v>927</v>
      </c>
      <c r="D2239" t="s">
        <v>3052</v>
      </c>
      <c r="E2239" t="s">
        <v>3053</v>
      </c>
      <c r="F2239" t="s">
        <v>411</v>
      </c>
      <c r="G2239" t="s">
        <v>412</v>
      </c>
      <c r="H2239" t="s">
        <v>4533</v>
      </c>
      <c r="I2239">
        <v>5</v>
      </c>
      <c r="J2239">
        <v>0</v>
      </c>
      <c r="K2239">
        <v>0</v>
      </c>
      <c r="L2239">
        <v>5</v>
      </c>
      <c r="M2239">
        <v>0</v>
      </c>
      <c r="N2239">
        <v>0</v>
      </c>
      <c r="O2239">
        <v>0</v>
      </c>
    </row>
    <row r="2240" spans="1:15" x14ac:dyDescent="0.25">
      <c r="A2240" t="s">
        <v>9788</v>
      </c>
      <c r="B2240" t="s">
        <v>9871</v>
      </c>
      <c r="C2240" t="s">
        <v>927</v>
      </c>
      <c r="D2240" t="s">
        <v>3052</v>
      </c>
      <c r="E2240" t="s">
        <v>3053</v>
      </c>
      <c r="F2240" t="s">
        <v>411</v>
      </c>
      <c r="G2240" t="s">
        <v>412</v>
      </c>
      <c r="H2240" t="s">
        <v>10343</v>
      </c>
      <c r="I2240">
        <v>5</v>
      </c>
      <c r="J2240">
        <v>5</v>
      </c>
      <c r="K2240">
        <v>0</v>
      </c>
      <c r="L2240">
        <v>0</v>
      </c>
      <c r="M2240">
        <v>0</v>
      </c>
      <c r="N2240">
        <v>0</v>
      </c>
      <c r="O2240">
        <v>0</v>
      </c>
    </row>
    <row r="2241" spans="1:15" x14ac:dyDescent="0.25">
      <c r="A2241" t="s">
        <v>955</v>
      </c>
      <c r="B2241" t="s">
        <v>2660</v>
      </c>
      <c r="C2241" t="s">
        <v>927</v>
      </c>
      <c r="D2241" t="s">
        <v>3052</v>
      </c>
      <c r="E2241" t="s">
        <v>3053</v>
      </c>
      <c r="F2241" t="s">
        <v>411</v>
      </c>
      <c r="G2241" t="s">
        <v>412</v>
      </c>
      <c r="H2241" t="s">
        <v>4534</v>
      </c>
      <c r="I2241">
        <v>92</v>
      </c>
      <c r="J2241">
        <v>14</v>
      </c>
      <c r="K2241">
        <v>0</v>
      </c>
      <c r="L2241">
        <v>12</v>
      </c>
      <c r="M2241">
        <v>66</v>
      </c>
      <c r="N2241">
        <v>0</v>
      </c>
      <c r="O2241">
        <v>0</v>
      </c>
    </row>
    <row r="2242" spans="1:15" x14ac:dyDescent="0.25">
      <c r="A2242" t="s">
        <v>11663</v>
      </c>
      <c r="B2242" t="s">
        <v>11768</v>
      </c>
      <c r="C2242" t="s">
        <v>927</v>
      </c>
      <c r="D2242" t="s">
        <v>3052</v>
      </c>
      <c r="E2242" t="s">
        <v>3053</v>
      </c>
      <c r="F2242" t="s">
        <v>411</v>
      </c>
      <c r="G2242" t="s">
        <v>412</v>
      </c>
      <c r="H2242" t="s">
        <v>11970</v>
      </c>
      <c r="I2242">
        <v>3706</v>
      </c>
      <c r="J2242">
        <v>2703</v>
      </c>
      <c r="K2242">
        <v>0</v>
      </c>
      <c r="L2242">
        <v>108</v>
      </c>
      <c r="M2242">
        <v>67</v>
      </c>
      <c r="N2242">
        <v>10</v>
      </c>
      <c r="O2242">
        <v>828</v>
      </c>
    </row>
    <row r="2243" spans="1:15" x14ac:dyDescent="0.25">
      <c r="A2243" t="s">
        <v>14374</v>
      </c>
      <c r="B2243" t="s">
        <v>1943</v>
      </c>
      <c r="C2243" t="s">
        <v>927</v>
      </c>
      <c r="D2243" t="s">
        <v>3052</v>
      </c>
      <c r="E2243" t="s">
        <v>3053</v>
      </c>
      <c r="F2243" t="s">
        <v>411</v>
      </c>
      <c r="G2243" t="s">
        <v>412</v>
      </c>
      <c r="H2243" t="s">
        <v>14623</v>
      </c>
      <c r="I2243">
        <v>7</v>
      </c>
      <c r="J2243">
        <v>0</v>
      </c>
      <c r="K2243">
        <v>0</v>
      </c>
      <c r="L2243">
        <v>0</v>
      </c>
      <c r="M2243">
        <v>0</v>
      </c>
      <c r="N2243">
        <v>0</v>
      </c>
      <c r="O2243">
        <v>7</v>
      </c>
    </row>
    <row r="2244" spans="1:15" x14ac:dyDescent="0.25">
      <c r="A2244" t="s">
        <v>1353</v>
      </c>
      <c r="B2244" t="s">
        <v>2927</v>
      </c>
      <c r="C2244" t="s">
        <v>923</v>
      </c>
      <c r="D2244" t="s">
        <v>3063</v>
      </c>
      <c r="E2244" t="s">
        <v>3053</v>
      </c>
      <c r="F2244" t="s">
        <v>411</v>
      </c>
      <c r="G2244" t="s">
        <v>412</v>
      </c>
      <c r="H2244" t="s">
        <v>4535</v>
      </c>
      <c r="I2244">
        <v>96</v>
      </c>
      <c r="J2244">
        <v>34</v>
      </c>
      <c r="K2244">
        <v>0</v>
      </c>
      <c r="L2244">
        <v>0</v>
      </c>
      <c r="M2244">
        <v>62</v>
      </c>
      <c r="N2244">
        <v>0</v>
      </c>
      <c r="O2244">
        <v>0</v>
      </c>
    </row>
    <row r="2245" spans="1:15" x14ac:dyDescent="0.25">
      <c r="A2245" t="s">
        <v>1358</v>
      </c>
      <c r="B2245" t="s">
        <v>2551</v>
      </c>
      <c r="C2245" t="s">
        <v>923</v>
      </c>
      <c r="D2245" t="s">
        <v>3063</v>
      </c>
      <c r="E2245" t="s">
        <v>3053</v>
      </c>
      <c r="F2245" t="s">
        <v>411</v>
      </c>
      <c r="G2245" t="s">
        <v>412</v>
      </c>
      <c r="H2245" t="s">
        <v>4536</v>
      </c>
      <c r="I2245">
        <v>9</v>
      </c>
      <c r="J2245">
        <v>0</v>
      </c>
      <c r="K2245">
        <v>0</v>
      </c>
      <c r="L2245">
        <v>0</v>
      </c>
      <c r="M2245">
        <v>9</v>
      </c>
      <c r="N2245">
        <v>0</v>
      </c>
      <c r="O2245">
        <v>0</v>
      </c>
    </row>
    <row r="2246" spans="1:15" x14ac:dyDescent="0.25">
      <c r="A2246" t="s">
        <v>1069</v>
      </c>
      <c r="B2246" t="s">
        <v>2001</v>
      </c>
      <c r="C2246" t="s">
        <v>927</v>
      </c>
      <c r="D2246" t="s">
        <v>3052</v>
      </c>
      <c r="E2246" t="s">
        <v>3053</v>
      </c>
      <c r="F2246" t="s">
        <v>411</v>
      </c>
      <c r="G2246" t="s">
        <v>412</v>
      </c>
      <c r="H2246" t="s">
        <v>4537</v>
      </c>
      <c r="I2246">
        <v>138</v>
      </c>
      <c r="J2246">
        <v>112</v>
      </c>
      <c r="K2246">
        <v>0</v>
      </c>
      <c r="L2246">
        <v>0</v>
      </c>
      <c r="M2246">
        <v>26</v>
      </c>
      <c r="N2246">
        <v>0</v>
      </c>
      <c r="O2246">
        <v>0</v>
      </c>
    </row>
    <row r="2247" spans="1:15" x14ac:dyDescent="0.25">
      <c r="A2247" t="s">
        <v>1072</v>
      </c>
      <c r="B2247" t="s">
        <v>2907</v>
      </c>
      <c r="C2247" t="s">
        <v>927</v>
      </c>
      <c r="D2247" t="s">
        <v>3052</v>
      </c>
      <c r="E2247" t="s">
        <v>3053</v>
      </c>
      <c r="F2247" t="s">
        <v>411</v>
      </c>
      <c r="G2247" t="s">
        <v>412</v>
      </c>
      <c r="H2247" t="s">
        <v>4538</v>
      </c>
      <c r="I2247">
        <v>64</v>
      </c>
      <c r="J2247">
        <v>64</v>
      </c>
      <c r="K2247">
        <v>0</v>
      </c>
      <c r="L2247">
        <v>0</v>
      </c>
      <c r="M2247">
        <v>0</v>
      </c>
      <c r="N2247">
        <v>0</v>
      </c>
      <c r="O2247">
        <v>0</v>
      </c>
    </row>
    <row r="2248" spans="1:15" x14ac:dyDescent="0.25">
      <c r="A2248" t="s">
        <v>1380</v>
      </c>
      <c r="B2248" t="s">
        <v>2664</v>
      </c>
      <c r="C2248" t="s">
        <v>927</v>
      </c>
      <c r="D2248" t="s">
        <v>3052</v>
      </c>
      <c r="E2248" t="s">
        <v>3053</v>
      </c>
      <c r="F2248" t="s">
        <v>411</v>
      </c>
      <c r="G2248" t="s">
        <v>412</v>
      </c>
      <c r="H2248" t="s">
        <v>4539</v>
      </c>
      <c r="I2248">
        <v>1302</v>
      </c>
      <c r="J2248">
        <v>1172</v>
      </c>
      <c r="K2248">
        <v>5</v>
      </c>
      <c r="L2248">
        <v>0</v>
      </c>
      <c r="M2248">
        <v>0</v>
      </c>
      <c r="N2248">
        <v>2</v>
      </c>
      <c r="O2248">
        <v>125</v>
      </c>
    </row>
    <row r="2249" spans="1:15" x14ac:dyDescent="0.25">
      <c r="A2249" t="s">
        <v>14377</v>
      </c>
      <c r="B2249" t="s">
        <v>14444</v>
      </c>
      <c r="C2249" t="s">
        <v>923</v>
      </c>
      <c r="D2249" t="s">
        <v>3063</v>
      </c>
      <c r="E2249" t="s">
        <v>3053</v>
      </c>
      <c r="F2249" t="s">
        <v>411</v>
      </c>
      <c r="G2249" t="s">
        <v>412</v>
      </c>
      <c r="H2249" t="s">
        <v>14624</v>
      </c>
      <c r="I2249">
        <v>11</v>
      </c>
      <c r="J2249">
        <v>0</v>
      </c>
      <c r="K2249">
        <v>0</v>
      </c>
      <c r="L2249">
        <v>11</v>
      </c>
      <c r="M2249">
        <v>0</v>
      </c>
      <c r="N2249">
        <v>0</v>
      </c>
      <c r="O2249">
        <v>0</v>
      </c>
    </row>
    <row r="2250" spans="1:15" x14ac:dyDescent="0.25">
      <c r="A2250" t="s">
        <v>929</v>
      </c>
      <c r="B2250" t="s">
        <v>2999</v>
      </c>
      <c r="C2250" t="s">
        <v>927</v>
      </c>
      <c r="D2250" t="s">
        <v>3052</v>
      </c>
      <c r="E2250" t="s">
        <v>3053</v>
      </c>
      <c r="F2250" t="s">
        <v>14365</v>
      </c>
      <c r="G2250" t="s">
        <v>14366</v>
      </c>
      <c r="H2250" t="s">
        <v>14625</v>
      </c>
      <c r="I2250">
        <v>307</v>
      </c>
      <c r="J2250">
        <v>0</v>
      </c>
      <c r="K2250">
        <v>0</v>
      </c>
      <c r="L2250">
        <v>0</v>
      </c>
      <c r="M2250">
        <v>307</v>
      </c>
      <c r="N2250">
        <v>0</v>
      </c>
      <c r="O2250">
        <v>0</v>
      </c>
    </row>
    <row r="2251" spans="1:15" x14ac:dyDescent="0.25">
      <c r="A2251" t="s">
        <v>1458</v>
      </c>
      <c r="B2251" t="s">
        <v>2024</v>
      </c>
      <c r="C2251" t="s">
        <v>923</v>
      </c>
      <c r="D2251" t="s">
        <v>3063</v>
      </c>
      <c r="E2251" t="s">
        <v>3053</v>
      </c>
      <c r="F2251" t="s">
        <v>14365</v>
      </c>
      <c r="G2251" t="s">
        <v>14366</v>
      </c>
      <c r="H2251" t="s">
        <v>14626</v>
      </c>
      <c r="I2251">
        <v>4</v>
      </c>
      <c r="J2251">
        <v>4</v>
      </c>
      <c r="K2251">
        <v>0</v>
      </c>
      <c r="L2251">
        <v>0</v>
      </c>
      <c r="M2251">
        <v>0</v>
      </c>
      <c r="N2251">
        <v>0</v>
      </c>
      <c r="O2251">
        <v>0</v>
      </c>
    </row>
    <row r="2252" spans="1:15" x14ac:dyDescent="0.25">
      <c r="A2252" t="s">
        <v>1412</v>
      </c>
      <c r="B2252" t="s">
        <v>2099</v>
      </c>
      <c r="C2252" t="s">
        <v>927</v>
      </c>
      <c r="D2252" t="s">
        <v>3052</v>
      </c>
      <c r="E2252" t="s">
        <v>3053</v>
      </c>
      <c r="F2252" t="s">
        <v>14365</v>
      </c>
      <c r="G2252" t="s">
        <v>14366</v>
      </c>
      <c r="H2252" t="s">
        <v>14627</v>
      </c>
      <c r="I2252">
        <v>4280</v>
      </c>
      <c r="J2252">
        <v>3786</v>
      </c>
      <c r="K2252">
        <v>0</v>
      </c>
      <c r="L2252">
        <v>0</v>
      </c>
      <c r="M2252">
        <v>310</v>
      </c>
      <c r="N2252">
        <v>0</v>
      </c>
      <c r="O2252">
        <v>184</v>
      </c>
    </row>
    <row r="2253" spans="1:15" x14ac:dyDescent="0.25">
      <c r="A2253" t="s">
        <v>991</v>
      </c>
      <c r="B2253" t="s">
        <v>1976</v>
      </c>
      <c r="C2253" t="s">
        <v>923</v>
      </c>
      <c r="D2253" t="s">
        <v>3063</v>
      </c>
      <c r="E2253" t="s">
        <v>3053</v>
      </c>
      <c r="F2253" t="s">
        <v>14365</v>
      </c>
      <c r="G2253" t="s">
        <v>14366</v>
      </c>
      <c r="H2253" t="s">
        <v>14628</v>
      </c>
      <c r="I2253">
        <v>11</v>
      </c>
      <c r="J2253">
        <v>0</v>
      </c>
      <c r="K2253">
        <v>0</v>
      </c>
      <c r="L2253">
        <v>11</v>
      </c>
      <c r="M2253">
        <v>0</v>
      </c>
      <c r="N2253">
        <v>0</v>
      </c>
      <c r="O2253">
        <v>0</v>
      </c>
    </row>
    <row r="2254" spans="1:15" x14ac:dyDescent="0.25">
      <c r="A2254" t="s">
        <v>996</v>
      </c>
      <c r="B2254" t="s">
        <v>1952</v>
      </c>
      <c r="C2254" t="s">
        <v>923</v>
      </c>
      <c r="D2254" t="s">
        <v>3063</v>
      </c>
      <c r="E2254" t="s">
        <v>3053</v>
      </c>
      <c r="F2254" t="s">
        <v>14365</v>
      </c>
      <c r="G2254" t="s">
        <v>14366</v>
      </c>
      <c r="H2254" t="s">
        <v>14629</v>
      </c>
      <c r="I2254">
        <v>18</v>
      </c>
      <c r="J2254">
        <v>0</v>
      </c>
      <c r="K2254">
        <v>0</v>
      </c>
      <c r="L2254">
        <v>18</v>
      </c>
      <c r="M2254">
        <v>0</v>
      </c>
      <c r="N2254">
        <v>0</v>
      </c>
      <c r="O2254">
        <v>0</v>
      </c>
    </row>
    <row r="2255" spans="1:15" x14ac:dyDescent="0.25">
      <c r="A2255" t="s">
        <v>1478</v>
      </c>
      <c r="B2255" t="s">
        <v>2828</v>
      </c>
      <c r="C2255" t="s">
        <v>927</v>
      </c>
      <c r="D2255" t="s">
        <v>3052</v>
      </c>
      <c r="E2255" t="s">
        <v>3053</v>
      </c>
      <c r="F2255" t="s">
        <v>14365</v>
      </c>
      <c r="G2255" t="s">
        <v>14366</v>
      </c>
      <c r="H2255" t="s">
        <v>14630</v>
      </c>
      <c r="I2255">
        <v>109</v>
      </c>
      <c r="J2255">
        <v>48</v>
      </c>
      <c r="K2255">
        <v>0</v>
      </c>
      <c r="L2255">
        <v>0</v>
      </c>
      <c r="M2255">
        <v>30</v>
      </c>
      <c r="N2255">
        <v>0</v>
      </c>
      <c r="O2255">
        <v>31</v>
      </c>
    </row>
    <row r="2256" spans="1:15" x14ac:dyDescent="0.25">
      <c r="A2256" t="s">
        <v>935</v>
      </c>
      <c r="B2256" t="s">
        <v>1960</v>
      </c>
      <c r="C2256" t="s">
        <v>923</v>
      </c>
      <c r="D2256" t="s">
        <v>3063</v>
      </c>
      <c r="E2256" t="s">
        <v>3053</v>
      </c>
      <c r="F2256" t="s">
        <v>14365</v>
      </c>
      <c r="G2256" t="s">
        <v>14366</v>
      </c>
      <c r="H2256" t="s">
        <v>14631</v>
      </c>
      <c r="I2256">
        <v>11</v>
      </c>
      <c r="J2256">
        <v>0</v>
      </c>
      <c r="K2256">
        <v>0</v>
      </c>
      <c r="L2256">
        <v>11</v>
      </c>
      <c r="M2256">
        <v>0</v>
      </c>
      <c r="N2256">
        <v>0</v>
      </c>
      <c r="O2256">
        <v>0</v>
      </c>
    </row>
    <row r="2257" spans="1:15" x14ac:dyDescent="0.25">
      <c r="A2257" t="s">
        <v>1000</v>
      </c>
      <c r="B2257" t="s">
        <v>1984</v>
      </c>
      <c r="C2257" t="s">
        <v>923</v>
      </c>
      <c r="D2257" t="s">
        <v>3063</v>
      </c>
      <c r="E2257" t="s">
        <v>3053</v>
      </c>
      <c r="F2257" t="s">
        <v>14365</v>
      </c>
      <c r="G2257" t="s">
        <v>14366</v>
      </c>
      <c r="H2257" t="s">
        <v>14632</v>
      </c>
      <c r="I2257">
        <v>1</v>
      </c>
      <c r="J2257">
        <v>0</v>
      </c>
      <c r="K2257">
        <v>0</v>
      </c>
      <c r="L2257">
        <v>1</v>
      </c>
      <c r="M2257">
        <v>0</v>
      </c>
      <c r="N2257">
        <v>0</v>
      </c>
      <c r="O2257">
        <v>0</v>
      </c>
    </row>
    <row r="2258" spans="1:15" x14ac:dyDescent="0.25">
      <c r="A2258" t="s">
        <v>10638</v>
      </c>
      <c r="B2258" t="s">
        <v>2057</v>
      </c>
      <c r="C2258" t="s">
        <v>927</v>
      </c>
      <c r="D2258" t="s">
        <v>3052</v>
      </c>
      <c r="E2258" t="s">
        <v>3053</v>
      </c>
      <c r="F2258" t="s">
        <v>14365</v>
      </c>
      <c r="G2258" t="s">
        <v>14366</v>
      </c>
      <c r="H2258" t="s">
        <v>14633</v>
      </c>
      <c r="I2258">
        <v>14</v>
      </c>
      <c r="J2258">
        <v>0</v>
      </c>
      <c r="K2258">
        <v>0</v>
      </c>
      <c r="L2258">
        <v>14</v>
      </c>
      <c r="M2258">
        <v>0</v>
      </c>
      <c r="N2258">
        <v>0</v>
      </c>
      <c r="O2258">
        <v>0</v>
      </c>
    </row>
    <row r="2259" spans="1:15" x14ac:dyDescent="0.25">
      <c r="A2259" t="s">
        <v>937</v>
      </c>
      <c r="B2259" t="s">
        <v>1962</v>
      </c>
      <c r="C2259" t="s">
        <v>927</v>
      </c>
      <c r="D2259" t="s">
        <v>3052</v>
      </c>
      <c r="E2259" t="s">
        <v>3053</v>
      </c>
      <c r="F2259" t="s">
        <v>14365</v>
      </c>
      <c r="G2259" t="s">
        <v>14366</v>
      </c>
      <c r="H2259" t="s">
        <v>14634</v>
      </c>
      <c r="I2259">
        <v>67</v>
      </c>
      <c r="J2259">
        <v>0</v>
      </c>
      <c r="K2259">
        <v>0</v>
      </c>
      <c r="L2259">
        <v>0</v>
      </c>
      <c r="M2259">
        <v>0</v>
      </c>
      <c r="N2259">
        <v>0</v>
      </c>
      <c r="O2259">
        <v>67</v>
      </c>
    </row>
    <row r="2260" spans="1:15" x14ac:dyDescent="0.25">
      <c r="A2260" t="s">
        <v>938</v>
      </c>
      <c r="B2260" t="s">
        <v>2791</v>
      </c>
      <c r="C2260" t="s">
        <v>927</v>
      </c>
      <c r="D2260" t="s">
        <v>3052</v>
      </c>
      <c r="E2260" t="s">
        <v>3053</v>
      </c>
      <c r="F2260" t="s">
        <v>14365</v>
      </c>
      <c r="G2260" t="s">
        <v>14366</v>
      </c>
      <c r="H2260" t="s">
        <v>14635</v>
      </c>
      <c r="I2260">
        <v>9050</v>
      </c>
      <c r="J2260">
        <v>8605</v>
      </c>
      <c r="K2260">
        <v>0</v>
      </c>
      <c r="L2260">
        <v>120</v>
      </c>
      <c r="M2260">
        <v>190</v>
      </c>
      <c r="N2260">
        <v>11</v>
      </c>
      <c r="O2260">
        <v>135</v>
      </c>
    </row>
    <row r="2261" spans="1:15" x14ac:dyDescent="0.25">
      <c r="A2261" t="s">
        <v>940</v>
      </c>
      <c r="B2261" t="s">
        <v>2647</v>
      </c>
      <c r="C2261" t="s">
        <v>927</v>
      </c>
      <c r="D2261" t="s">
        <v>3052</v>
      </c>
      <c r="E2261" t="s">
        <v>3053</v>
      </c>
      <c r="F2261" t="s">
        <v>14365</v>
      </c>
      <c r="G2261" t="s">
        <v>14366</v>
      </c>
      <c r="H2261" t="s">
        <v>14636</v>
      </c>
      <c r="I2261">
        <v>70</v>
      </c>
      <c r="J2261">
        <v>0</v>
      </c>
      <c r="K2261">
        <v>0</v>
      </c>
      <c r="L2261">
        <v>0</v>
      </c>
      <c r="M2261">
        <v>70</v>
      </c>
      <c r="N2261">
        <v>0</v>
      </c>
      <c r="O2261">
        <v>0</v>
      </c>
    </row>
    <row r="2262" spans="1:15" x14ac:dyDescent="0.25">
      <c r="A2262" t="s">
        <v>1013</v>
      </c>
      <c r="B2262" t="s">
        <v>1959</v>
      </c>
      <c r="C2262" t="s">
        <v>927</v>
      </c>
      <c r="D2262" t="s">
        <v>3052</v>
      </c>
      <c r="E2262" t="s">
        <v>3053</v>
      </c>
      <c r="F2262" t="s">
        <v>14365</v>
      </c>
      <c r="G2262" t="s">
        <v>14366</v>
      </c>
      <c r="H2262" t="s">
        <v>14637</v>
      </c>
      <c r="I2262">
        <v>52</v>
      </c>
      <c r="J2262">
        <v>0</v>
      </c>
      <c r="K2262">
        <v>0</v>
      </c>
      <c r="L2262">
        <v>52</v>
      </c>
      <c r="M2262">
        <v>0</v>
      </c>
      <c r="N2262">
        <v>0</v>
      </c>
      <c r="O2262">
        <v>0</v>
      </c>
    </row>
    <row r="2263" spans="1:15" x14ac:dyDescent="0.25">
      <c r="A2263" t="s">
        <v>1498</v>
      </c>
      <c r="B2263" t="s">
        <v>2203</v>
      </c>
      <c r="C2263" t="s">
        <v>923</v>
      </c>
      <c r="D2263" t="s">
        <v>3063</v>
      </c>
      <c r="E2263" t="s">
        <v>3053</v>
      </c>
      <c r="F2263" t="s">
        <v>14365</v>
      </c>
      <c r="G2263" t="s">
        <v>14366</v>
      </c>
      <c r="H2263" t="s">
        <v>14638</v>
      </c>
      <c r="I2263">
        <v>10</v>
      </c>
      <c r="J2263">
        <v>10</v>
      </c>
      <c r="K2263">
        <v>0</v>
      </c>
      <c r="L2263">
        <v>0</v>
      </c>
      <c r="M2263">
        <v>0</v>
      </c>
      <c r="N2263">
        <v>0</v>
      </c>
      <c r="O2263">
        <v>0</v>
      </c>
    </row>
    <row r="2264" spans="1:15" x14ac:dyDescent="0.25">
      <c r="A2264" t="s">
        <v>9864</v>
      </c>
      <c r="B2264" t="s">
        <v>1989</v>
      </c>
      <c r="C2264" t="s">
        <v>923</v>
      </c>
      <c r="D2264" t="s">
        <v>3063</v>
      </c>
      <c r="E2264" t="s">
        <v>3053</v>
      </c>
      <c r="F2264" t="s">
        <v>14365</v>
      </c>
      <c r="G2264" t="s">
        <v>14366</v>
      </c>
      <c r="H2264" t="s">
        <v>14639</v>
      </c>
      <c r="I2264">
        <v>25</v>
      </c>
      <c r="J2264">
        <v>25</v>
      </c>
      <c r="K2264">
        <v>0</v>
      </c>
      <c r="L2264">
        <v>0</v>
      </c>
      <c r="M2264">
        <v>0</v>
      </c>
      <c r="N2264">
        <v>0</v>
      </c>
      <c r="O2264">
        <v>0</v>
      </c>
    </row>
    <row r="2265" spans="1:15" x14ac:dyDescent="0.25">
      <c r="A2265" t="s">
        <v>14393</v>
      </c>
      <c r="B2265" t="s">
        <v>14640</v>
      </c>
      <c r="C2265" t="s">
        <v>923</v>
      </c>
      <c r="D2265" t="s">
        <v>3063</v>
      </c>
      <c r="E2265" t="s">
        <v>3053</v>
      </c>
      <c r="F2265" t="s">
        <v>14365</v>
      </c>
      <c r="G2265" t="s">
        <v>14366</v>
      </c>
      <c r="H2265" t="s">
        <v>14641</v>
      </c>
      <c r="I2265">
        <v>6</v>
      </c>
      <c r="J2265">
        <v>0</v>
      </c>
      <c r="K2265">
        <v>0</v>
      </c>
      <c r="L2265">
        <v>0</v>
      </c>
      <c r="M2265">
        <v>6</v>
      </c>
      <c r="N2265">
        <v>0</v>
      </c>
      <c r="O2265">
        <v>0</v>
      </c>
    </row>
    <row r="2266" spans="1:15" x14ac:dyDescent="0.25">
      <c r="A2266" t="s">
        <v>1515</v>
      </c>
      <c r="B2266" t="s">
        <v>2955</v>
      </c>
      <c r="C2266" t="s">
        <v>923</v>
      </c>
      <c r="D2266" t="s">
        <v>3063</v>
      </c>
      <c r="E2266" t="s">
        <v>3053</v>
      </c>
      <c r="F2266" t="s">
        <v>14365</v>
      </c>
      <c r="G2266" t="s">
        <v>14366</v>
      </c>
      <c r="H2266" t="s">
        <v>14642</v>
      </c>
      <c r="I2266">
        <v>67</v>
      </c>
      <c r="J2266">
        <v>67</v>
      </c>
      <c r="K2266">
        <v>0</v>
      </c>
      <c r="L2266">
        <v>0</v>
      </c>
      <c r="M2266">
        <v>0</v>
      </c>
      <c r="N2266">
        <v>0</v>
      </c>
      <c r="O2266">
        <v>0</v>
      </c>
    </row>
    <row r="2267" spans="1:15" x14ac:dyDescent="0.25">
      <c r="A2267" t="s">
        <v>1302</v>
      </c>
      <c r="B2267" t="s">
        <v>1961</v>
      </c>
      <c r="C2267" t="s">
        <v>923</v>
      </c>
      <c r="D2267" t="s">
        <v>3063</v>
      </c>
      <c r="E2267" t="s">
        <v>3053</v>
      </c>
      <c r="F2267" t="s">
        <v>14365</v>
      </c>
      <c r="G2267" t="s">
        <v>14366</v>
      </c>
      <c r="H2267" t="s">
        <v>14643</v>
      </c>
      <c r="I2267">
        <v>33</v>
      </c>
      <c r="J2267">
        <v>0</v>
      </c>
      <c r="K2267">
        <v>0</v>
      </c>
      <c r="L2267">
        <v>33</v>
      </c>
      <c r="M2267">
        <v>0</v>
      </c>
      <c r="N2267">
        <v>0</v>
      </c>
      <c r="O2267">
        <v>0</v>
      </c>
    </row>
    <row r="2268" spans="1:15" x14ac:dyDescent="0.25">
      <c r="A2268" t="s">
        <v>1046</v>
      </c>
      <c r="B2268" t="s">
        <v>2027</v>
      </c>
      <c r="C2268" t="s">
        <v>923</v>
      </c>
      <c r="D2268" t="s">
        <v>3063</v>
      </c>
      <c r="E2268" t="s">
        <v>3053</v>
      </c>
      <c r="F2268" t="s">
        <v>14365</v>
      </c>
      <c r="G2268" t="s">
        <v>14366</v>
      </c>
      <c r="H2268" t="s">
        <v>14644</v>
      </c>
      <c r="I2268">
        <v>32</v>
      </c>
      <c r="J2268">
        <v>0</v>
      </c>
      <c r="K2268">
        <v>0</v>
      </c>
      <c r="L2268">
        <v>32</v>
      </c>
      <c r="M2268">
        <v>0</v>
      </c>
      <c r="N2268">
        <v>0</v>
      </c>
      <c r="O2268">
        <v>0</v>
      </c>
    </row>
    <row r="2269" spans="1:15" x14ac:dyDescent="0.25">
      <c r="A2269" t="s">
        <v>1051</v>
      </c>
      <c r="B2269" t="s">
        <v>2995</v>
      </c>
      <c r="C2269" t="s">
        <v>927</v>
      </c>
      <c r="D2269" t="s">
        <v>3052</v>
      </c>
      <c r="E2269" t="s">
        <v>3053</v>
      </c>
      <c r="F2269" t="s">
        <v>14365</v>
      </c>
      <c r="G2269" t="s">
        <v>14366</v>
      </c>
      <c r="H2269" t="s">
        <v>14645</v>
      </c>
      <c r="I2269">
        <v>9</v>
      </c>
      <c r="J2269">
        <v>0</v>
      </c>
      <c r="K2269">
        <v>0</v>
      </c>
      <c r="L2269">
        <v>6</v>
      </c>
      <c r="M2269">
        <v>0</v>
      </c>
      <c r="N2269">
        <v>0</v>
      </c>
      <c r="O2269">
        <v>3</v>
      </c>
    </row>
    <row r="2270" spans="1:15" x14ac:dyDescent="0.25">
      <c r="A2270" t="s">
        <v>1436</v>
      </c>
      <c r="B2270" t="s">
        <v>2209</v>
      </c>
      <c r="C2270" t="s">
        <v>927</v>
      </c>
      <c r="D2270" t="s">
        <v>3052</v>
      </c>
      <c r="E2270" t="s">
        <v>3053</v>
      </c>
      <c r="F2270" t="s">
        <v>14365</v>
      </c>
      <c r="G2270" t="s">
        <v>14366</v>
      </c>
      <c r="H2270" t="s">
        <v>14646</v>
      </c>
      <c r="I2270">
        <v>2</v>
      </c>
      <c r="J2270">
        <v>0</v>
      </c>
      <c r="K2270">
        <v>0</v>
      </c>
      <c r="L2270">
        <v>0</v>
      </c>
      <c r="M2270">
        <v>2</v>
      </c>
      <c r="N2270">
        <v>2</v>
      </c>
      <c r="O2270">
        <v>0</v>
      </c>
    </row>
    <row r="2271" spans="1:15" x14ac:dyDescent="0.25">
      <c r="A2271" t="s">
        <v>955</v>
      </c>
      <c r="B2271" t="s">
        <v>2660</v>
      </c>
      <c r="C2271" t="s">
        <v>927</v>
      </c>
      <c r="D2271" t="s">
        <v>3052</v>
      </c>
      <c r="E2271" t="s">
        <v>3053</v>
      </c>
      <c r="F2271" t="s">
        <v>14365</v>
      </c>
      <c r="G2271" t="s">
        <v>14366</v>
      </c>
      <c r="H2271" t="s">
        <v>14647</v>
      </c>
      <c r="I2271">
        <v>11</v>
      </c>
      <c r="J2271">
        <v>0</v>
      </c>
      <c r="K2271">
        <v>0</v>
      </c>
      <c r="L2271">
        <v>11</v>
      </c>
      <c r="M2271">
        <v>0</v>
      </c>
      <c r="N2271">
        <v>0</v>
      </c>
      <c r="O2271">
        <v>0</v>
      </c>
    </row>
    <row r="2272" spans="1:15" x14ac:dyDescent="0.25">
      <c r="A2272" t="s">
        <v>1066</v>
      </c>
      <c r="B2272" t="s">
        <v>2557</v>
      </c>
      <c r="C2272" t="s">
        <v>927</v>
      </c>
      <c r="D2272" t="s">
        <v>3052</v>
      </c>
      <c r="E2272" t="s">
        <v>3053</v>
      </c>
      <c r="F2272" t="s">
        <v>14365</v>
      </c>
      <c r="G2272" t="s">
        <v>14366</v>
      </c>
      <c r="H2272" t="s">
        <v>14648</v>
      </c>
      <c r="I2272">
        <v>34</v>
      </c>
      <c r="J2272">
        <v>0</v>
      </c>
      <c r="K2272">
        <v>0</v>
      </c>
      <c r="L2272">
        <v>0</v>
      </c>
      <c r="M2272">
        <v>34</v>
      </c>
      <c r="N2272">
        <v>0</v>
      </c>
      <c r="O2272">
        <v>0</v>
      </c>
    </row>
    <row r="2273" spans="1:15" x14ac:dyDescent="0.25">
      <c r="A2273" t="s">
        <v>1549</v>
      </c>
      <c r="B2273" t="s">
        <v>2541</v>
      </c>
      <c r="C2273" t="s">
        <v>923</v>
      </c>
      <c r="D2273" t="s">
        <v>3063</v>
      </c>
      <c r="E2273" t="s">
        <v>3053</v>
      </c>
      <c r="F2273" t="s">
        <v>14365</v>
      </c>
      <c r="G2273" t="s">
        <v>14366</v>
      </c>
      <c r="H2273" t="s">
        <v>14649</v>
      </c>
      <c r="I2273">
        <v>20</v>
      </c>
      <c r="J2273">
        <v>0</v>
      </c>
      <c r="K2273">
        <v>0</v>
      </c>
      <c r="L2273">
        <v>20</v>
      </c>
      <c r="M2273">
        <v>0</v>
      </c>
      <c r="N2273">
        <v>0</v>
      </c>
      <c r="O2273">
        <v>0</v>
      </c>
    </row>
    <row r="2274" spans="1:15" x14ac:dyDescent="0.25">
      <c r="A2274" t="s">
        <v>9816</v>
      </c>
      <c r="B2274" t="s">
        <v>2900</v>
      </c>
      <c r="C2274" t="s">
        <v>923</v>
      </c>
      <c r="D2274" t="s">
        <v>3063</v>
      </c>
      <c r="E2274" t="s">
        <v>3053</v>
      </c>
      <c r="F2274" t="s">
        <v>14365</v>
      </c>
      <c r="G2274" t="s">
        <v>14366</v>
      </c>
      <c r="H2274" t="s">
        <v>14650</v>
      </c>
      <c r="I2274">
        <v>25</v>
      </c>
      <c r="J2274">
        <v>0</v>
      </c>
      <c r="K2274">
        <v>0</v>
      </c>
      <c r="L2274">
        <v>25</v>
      </c>
      <c r="M2274">
        <v>0</v>
      </c>
      <c r="N2274">
        <v>0</v>
      </c>
      <c r="O2274">
        <v>0</v>
      </c>
    </row>
    <row r="2275" spans="1:15" x14ac:dyDescent="0.25">
      <c r="A2275" t="s">
        <v>1071</v>
      </c>
      <c r="B2275" t="s">
        <v>2571</v>
      </c>
      <c r="C2275" t="s">
        <v>923</v>
      </c>
      <c r="D2275" t="s">
        <v>3063</v>
      </c>
      <c r="E2275" t="s">
        <v>3053</v>
      </c>
      <c r="F2275" t="s">
        <v>14365</v>
      </c>
      <c r="G2275" t="s">
        <v>14366</v>
      </c>
      <c r="H2275" t="s">
        <v>14651</v>
      </c>
      <c r="I2275">
        <v>17</v>
      </c>
      <c r="J2275">
        <v>0</v>
      </c>
      <c r="K2275">
        <v>0</v>
      </c>
      <c r="L2275">
        <v>17</v>
      </c>
      <c r="M2275">
        <v>0</v>
      </c>
      <c r="N2275">
        <v>0</v>
      </c>
      <c r="O2275">
        <v>0</v>
      </c>
    </row>
    <row r="2276" spans="1:15" x14ac:dyDescent="0.25">
      <c r="A2276" t="s">
        <v>1072</v>
      </c>
      <c r="B2276" t="s">
        <v>2907</v>
      </c>
      <c r="C2276" t="s">
        <v>927</v>
      </c>
      <c r="D2276" t="s">
        <v>3052</v>
      </c>
      <c r="E2276" t="s">
        <v>3053</v>
      </c>
      <c r="F2276" t="s">
        <v>14365</v>
      </c>
      <c r="G2276" t="s">
        <v>14366</v>
      </c>
      <c r="H2276" t="s">
        <v>14652</v>
      </c>
      <c r="I2276">
        <v>8304</v>
      </c>
      <c r="J2276">
        <v>7911</v>
      </c>
      <c r="K2276">
        <v>0</v>
      </c>
      <c r="L2276">
        <v>205</v>
      </c>
      <c r="M2276">
        <v>100</v>
      </c>
      <c r="N2276">
        <v>11</v>
      </c>
      <c r="O2276">
        <v>88</v>
      </c>
    </row>
    <row r="2277" spans="1:15" x14ac:dyDescent="0.25">
      <c r="A2277" t="s">
        <v>1182</v>
      </c>
      <c r="B2277" t="s">
        <v>2583</v>
      </c>
      <c r="C2277" t="s">
        <v>923</v>
      </c>
      <c r="D2277" t="s">
        <v>3063</v>
      </c>
      <c r="E2277" t="s">
        <v>3053</v>
      </c>
      <c r="F2277" t="s">
        <v>14365</v>
      </c>
      <c r="G2277" t="s">
        <v>14366</v>
      </c>
      <c r="H2277" t="s">
        <v>14653</v>
      </c>
      <c r="I2277">
        <v>1</v>
      </c>
      <c r="J2277">
        <v>0</v>
      </c>
      <c r="K2277">
        <v>0</v>
      </c>
      <c r="L2277">
        <v>1</v>
      </c>
      <c r="M2277">
        <v>0</v>
      </c>
      <c r="N2277">
        <v>0</v>
      </c>
      <c r="O2277">
        <v>0</v>
      </c>
    </row>
    <row r="2278" spans="1:15" x14ac:dyDescent="0.25">
      <c r="A2278" t="s">
        <v>1559</v>
      </c>
      <c r="B2278" t="s">
        <v>2662</v>
      </c>
      <c r="C2278" t="s">
        <v>923</v>
      </c>
      <c r="D2278" t="s">
        <v>3063</v>
      </c>
      <c r="E2278" t="s">
        <v>3053</v>
      </c>
      <c r="F2278" t="s">
        <v>14365</v>
      </c>
      <c r="G2278" t="s">
        <v>14366</v>
      </c>
      <c r="H2278" t="s">
        <v>14654</v>
      </c>
      <c r="I2278">
        <v>628</v>
      </c>
      <c r="J2278">
        <v>628</v>
      </c>
      <c r="K2278">
        <v>0</v>
      </c>
      <c r="L2278">
        <v>0</v>
      </c>
      <c r="M2278">
        <v>0</v>
      </c>
      <c r="N2278">
        <v>3</v>
      </c>
      <c r="O2278">
        <v>0</v>
      </c>
    </row>
    <row r="2279" spans="1:15" x14ac:dyDescent="0.25">
      <c r="A2279" t="s">
        <v>929</v>
      </c>
      <c r="B2279" t="s">
        <v>2999</v>
      </c>
      <c r="C2279" t="s">
        <v>927</v>
      </c>
      <c r="D2279" t="s">
        <v>3052</v>
      </c>
      <c r="E2279" t="s">
        <v>3053</v>
      </c>
      <c r="F2279" t="s">
        <v>413</v>
      </c>
      <c r="G2279" t="s">
        <v>414</v>
      </c>
      <c r="H2279" t="s">
        <v>4540</v>
      </c>
      <c r="I2279">
        <v>80</v>
      </c>
      <c r="J2279">
        <v>0</v>
      </c>
      <c r="K2279">
        <v>0</v>
      </c>
      <c r="L2279">
        <v>0</v>
      </c>
      <c r="M2279">
        <v>80</v>
      </c>
      <c r="N2279">
        <v>0</v>
      </c>
      <c r="O2279">
        <v>0</v>
      </c>
    </row>
    <row r="2280" spans="1:15" x14ac:dyDescent="0.25">
      <c r="A2280" t="s">
        <v>9790</v>
      </c>
      <c r="B2280" t="s">
        <v>1977</v>
      </c>
      <c r="C2280" t="s">
        <v>923</v>
      </c>
      <c r="D2280" t="s">
        <v>3063</v>
      </c>
      <c r="E2280" t="s">
        <v>3053</v>
      </c>
      <c r="F2280" t="s">
        <v>413</v>
      </c>
      <c r="G2280" t="s">
        <v>414</v>
      </c>
      <c r="H2280" t="s">
        <v>11971</v>
      </c>
      <c r="I2280">
        <v>6</v>
      </c>
      <c r="J2280">
        <v>0</v>
      </c>
      <c r="K2280">
        <v>0</v>
      </c>
      <c r="L2280">
        <v>6</v>
      </c>
      <c r="M2280">
        <v>0</v>
      </c>
      <c r="N2280">
        <v>0</v>
      </c>
      <c r="O2280">
        <v>0</v>
      </c>
    </row>
    <row r="2281" spans="1:15" x14ac:dyDescent="0.25">
      <c r="A2281" t="s">
        <v>933</v>
      </c>
      <c r="B2281" t="s">
        <v>2106</v>
      </c>
      <c r="C2281" t="s">
        <v>927</v>
      </c>
      <c r="D2281" t="s">
        <v>3052</v>
      </c>
      <c r="E2281" t="s">
        <v>3053</v>
      </c>
      <c r="F2281" t="s">
        <v>413</v>
      </c>
      <c r="G2281" t="s">
        <v>414</v>
      </c>
      <c r="H2281" t="s">
        <v>4541</v>
      </c>
      <c r="I2281">
        <v>751</v>
      </c>
      <c r="J2281">
        <v>726</v>
      </c>
      <c r="K2281">
        <v>0</v>
      </c>
      <c r="L2281">
        <v>0</v>
      </c>
      <c r="M2281">
        <v>25</v>
      </c>
      <c r="N2281">
        <v>8</v>
      </c>
      <c r="O2281">
        <v>0</v>
      </c>
    </row>
    <row r="2282" spans="1:15" x14ac:dyDescent="0.25">
      <c r="A2282" t="s">
        <v>1105</v>
      </c>
      <c r="B2282" t="s">
        <v>2918</v>
      </c>
      <c r="C2282" t="s">
        <v>923</v>
      </c>
      <c r="D2282" t="s">
        <v>3063</v>
      </c>
      <c r="E2282" t="s">
        <v>3053</v>
      </c>
      <c r="F2282" t="s">
        <v>413</v>
      </c>
      <c r="G2282" t="s">
        <v>414</v>
      </c>
      <c r="H2282" t="s">
        <v>4542</v>
      </c>
      <c r="I2282">
        <v>32</v>
      </c>
      <c r="J2282">
        <v>32</v>
      </c>
      <c r="K2282">
        <v>0</v>
      </c>
      <c r="L2282">
        <v>0</v>
      </c>
      <c r="M2282">
        <v>0</v>
      </c>
      <c r="N2282">
        <v>0</v>
      </c>
      <c r="O2282">
        <v>0</v>
      </c>
    </row>
    <row r="2283" spans="1:15" x14ac:dyDescent="0.25">
      <c r="A2283" t="s">
        <v>996</v>
      </c>
      <c r="B2283" t="s">
        <v>1952</v>
      </c>
      <c r="C2283" t="s">
        <v>923</v>
      </c>
      <c r="D2283" t="s">
        <v>3063</v>
      </c>
      <c r="E2283" t="s">
        <v>3053</v>
      </c>
      <c r="F2283" t="s">
        <v>413</v>
      </c>
      <c r="G2283" t="s">
        <v>414</v>
      </c>
      <c r="H2283" t="s">
        <v>10965</v>
      </c>
      <c r="I2283">
        <v>7</v>
      </c>
      <c r="J2283">
        <v>0</v>
      </c>
      <c r="K2283">
        <v>0</v>
      </c>
      <c r="L2283">
        <v>7</v>
      </c>
      <c r="M2283">
        <v>0</v>
      </c>
      <c r="N2283">
        <v>0</v>
      </c>
      <c r="O2283">
        <v>0</v>
      </c>
    </row>
    <row r="2284" spans="1:15" x14ac:dyDescent="0.25">
      <c r="A2284" t="s">
        <v>998</v>
      </c>
      <c r="B2284" t="s">
        <v>2820</v>
      </c>
      <c r="C2284" t="s">
        <v>927</v>
      </c>
      <c r="D2284" t="s">
        <v>3052</v>
      </c>
      <c r="E2284" t="s">
        <v>3053</v>
      </c>
      <c r="F2284" t="s">
        <v>413</v>
      </c>
      <c r="G2284" t="s">
        <v>414</v>
      </c>
      <c r="H2284" t="s">
        <v>4543</v>
      </c>
      <c r="I2284">
        <v>4</v>
      </c>
      <c r="J2284">
        <v>4</v>
      </c>
      <c r="K2284">
        <v>0</v>
      </c>
      <c r="L2284">
        <v>0</v>
      </c>
      <c r="M2284">
        <v>0</v>
      </c>
      <c r="N2284">
        <v>0</v>
      </c>
      <c r="O2284">
        <v>0</v>
      </c>
    </row>
    <row r="2285" spans="1:15" x14ac:dyDescent="0.25">
      <c r="A2285" t="s">
        <v>10624</v>
      </c>
      <c r="B2285" t="s">
        <v>2882</v>
      </c>
      <c r="C2285" t="s">
        <v>927</v>
      </c>
      <c r="D2285" t="s">
        <v>3052</v>
      </c>
      <c r="E2285" t="s">
        <v>3053</v>
      </c>
      <c r="F2285" t="s">
        <v>413</v>
      </c>
      <c r="G2285" t="s">
        <v>414</v>
      </c>
      <c r="H2285" t="s">
        <v>10966</v>
      </c>
      <c r="I2285">
        <v>5</v>
      </c>
      <c r="J2285">
        <v>5</v>
      </c>
      <c r="K2285">
        <v>0</v>
      </c>
      <c r="L2285">
        <v>0</v>
      </c>
      <c r="M2285">
        <v>0</v>
      </c>
      <c r="N2285">
        <v>0</v>
      </c>
      <c r="O2285">
        <v>0</v>
      </c>
    </row>
    <row r="2286" spans="1:15" x14ac:dyDescent="0.25">
      <c r="A2286" t="s">
        <v>1000</v>
      </c>
      <c r="B2286" t="s">
        <v>1984</v>
      </c>
      <c r="C2286" t="s">
        <v>923</v>
      </c>
      <c r="D2286" t="s">
        <v>3063</v>
      </c>
      <c r="E2286" t="s">
        <v>3053</v>
      </c>
      <c r="F2286" t="s">
        <v>413</v>
      </c>
      <c r="G2286" t="s">
        <v>414</v>
      </c>
      <c r="H2286" t="s">
        <v>4544</v>
      </c>
      <c r="I2286">
        <v>5</v>
      </c>
      <c r="J2286">
        <v>0</v>
      </c>
      <c r="K2286">
        <v>0</v>
      </c>
      <c r="L2286">
        <v>5</v>
      </c>
      <c r="M2286">
        <v>0</v>
      </c>
      <c r="N2286">
        <v>0</v>
      </c>
      <c r="O2286">
        <v>0</v>
      </c>
    </row>
    <row r="2287" spans="1:15" x14ac:dyDescent="0.25">
      <c r="A2287" t="s">
        <v>10638</v>
      </c>
      <c r="B2287" t="s">
        <v>2057</v>
      </c>
      <c r="C2287" t="s">
        <v>927</v>
      </c>
      <c r="D2287" t="s">
        <v>3052</v>
      </c>
      <c r="E2287" t="s">
        <v>3053</v>
      </c>
      <c r="F2287" t="s">
        <v>413</v>
      </c>
      <c r="G2287" t="s">
        <v>414</v>
      </c>
      <c r="H2287" t="s">
        <v>10967</v>
      </c>
      <c r="I2287">
        <v>23</v>
      </c>
      <c r="J2287">
        <v>0</v>
      </c>
      <c r="K2287">
        <v>0</v>
      </c>
      <c r="L2287">
        <v>23</v>
      </c>
      <c r="M2287">
        <v>0</v>
      </c>
      <c r="N2287">
        <v>0</v>
      </c>
      <c r="O2287">
        <v>0</v>
      </c>
    </row>
    <row r="2288" spans="1:15" x14ac:dyDescent="0.25">
      <c r="A2288" t="s">
        <v>1005</v>
      </c>
      <c r="B2288" t="s">
        <v>2128</v>
      </c>
      <c r="C2288" t="s">
        <v>927</v>
      </c>
      <c r="D2288" t="s">
        <v>3052</v>
      </c>
      <c r="E2288" t="s">
        <v>3053</v>
      </c>
      <c r="F2288" t="s">
        <v>413</v>
      </c>
      <c r="G2288" t="s">
        <v>414</v>
      </c>
      <c r="H2288" t="s">
        <v>4545</v>
      </c>
      <c r="I2288">
        <v>2</v>
      </c>
      <c r="J2288">
        <v>0</v>
      </c>
      <c r="K2288">
        <v>0</v>
      </c>
      <c r="L2288">
        <v>2</v>
      </c>
      <c r="M2288">
        <v>0</v>
      </c>
      <c r="N2288">
        <v>0</v>
      </c>
      <c r="O2288">
        <v>0</v>
      </c>
    </row>
    <row r="2289" spans="1:15" x14ac:dyDescent="0.25">
      <c r="A2289" t="s">
        <v>1010</v>
      </c>
      <c r="B2289" t="s">
        <v>2639</v>
      </c>
      <c r="C2289" t="s">
        <v>927</v>
      </c>
      <c r="D2289" t="s">
        <v>3052</v>
      </c>
      <c r="E2289" t="s">
        <v>3053</v>
      </c>
      <c r="F2289" t="s">
        <v>413</v>
      </c>
      <c r="G2289" t="s">
        <v>414</v>
      </c>
      <c r="H2289" t="s">
        <v>4546</v>
      </c>
      <c r="I2289">
        <v>4</v>
      </c>
      <c r="J2289">
        <v>4</v>
      </c>
      <c r="K2289">
        <v>0</v>
      </c>
      <c r="L2289">
        <v>0</v>
      </c>
      <c r="M2289">
        <v>0</v>
      </c>
      <c r="N2289">
        <v>0</v>
      </c>
      <c r="O2289">
        <v>0</v>
      </c>
    </row>
    <row r="2290" spans="1:15" x14ac:dyDescent="0.25">
      <c r="A2290" t="s">
        <v>937</v>
      </c>
      <c r="B2290" t="s">
        <v>1962</v>
      </c>
      <c r="C2290" t="s">
        <v>927</v>
      </c>
      <c r="D2290" t="s">
        <v>3052</v>
      </c>
      <c r="E2290" t="s">
        <v>3053</v>
      </c>
      <c r="F2290" t="s">
        <v>413</v>
      </c>
      <c r="G2290" t="s">
        <v>414</v>
      </c>
      <c r="H2290" t="s">
        <v>10968</v>
      </c>
      <c r="I2290">
        <v>12</v>
      </c>
      <c r="J2290">
        <v>0</v>
      </c>
      <c r="K2290">
        <v>0</v>
      </c>
      <c r="L2290">
        <v>0</v>
      </c>
      <c r="M2290">
        <v>0</v>
      </c>
      <c r="N2290">
        <v>0</v>
      </c>
      <c r="O2290">
        <v>12</v>
      </c>
    </row>
    <row r="2291" spans="1:15" x14ac:dyDescent="0.25">
      <c r="A2291" t="s">
        <v>1119</v>
      </c>
      <c r="B2291" t="s">
        <v>2777</v>
      </c>
      <c r="C2291" t="s">
        <v>927</v>
      </c>
      <c r="D2291" t="s">
        <v>3052</v>
      </c>
      <c r="E2291" t="s">
        <v>3053</v>
      </c>
      <c r="F2291" t="s">
        <v>413</v>
      </c>
      <c r="G2291" t="s">
        <v>414</v>
      </c>
      <c r="H2291" t="s">
        <v>4547</v>
      </c>
      <c r="I2291">
        <v>2047</v>
      </c>
      <c r="J2291">
        <v>1593</v>
      </c>
      <c r="K2291">
        <v>0</v>
      </c>
      <c r="L2291">
        <v>169</v>
      </c>
      <c r="M2291">
        <v>26</v>
      </c>
      <c r="N2291">
        <v>0</v>
      </c>
      <c r="O2291">
        <v>259</v>
      </c>
    </row>
    <row r="2292" spans="1:15" x14ac:dyDescent="0.25">
      <c r="A2292" t="s">
        <v>1125</v>
      </c>
      <c r="B2292" t="s">
        <v>2938</v>
      </c>
      <c r="C2292" t="s">
        <v>923</v>
      </c>
      <c r="D2292" t="s">
        <v>3063</v>
      </c>
      <c r="E2292" t="s">
        <v>3053</v>
      </c>
      <c r="F2292" t="s">
        <v>413</v>
      </c>
      <c r="G2292" t="s">
        <v>414</v>
      </c>
      <c r="H2292" t="s">
        <v>4548</v>
      </c>
      <c r="I2292">
        <v>42</v>
      </c>
      <c r="J2292">
        <v>0</v>
      </c>
      <c r="K2292">
        <v>0</v>
      </c>
      <c r="L2292">
        <v>0</v>
      </c>
      <c r="M2292">
        <v>42</v>
      </c>
      <c r="N2292">
        <v>0</v>
      </c>
      <c r="O2292">
        <v>0</v>
      </c>
    </row>
    <row r="2293" spans="1:15" x14ac:dyDescent="0.25">
      <c r="A2293" t="s">
        <v>10667</v>
      </c>
      <c r="B2293" t="s">
        <v>10666</v>
      </c>
      <c r="C2293" t="s">
        <v>927</v>
      </c>
      <c r="D2293" t="s">
        <v>3052</v>
      </c>
      <c r="E2293" t="s">
        <v>3053</v>
      </c>
      <c r="F2293" t="s">
        <v>413</v>
      </c>
      <c r="G2293" t="s">
        <v>414</v>
      </c>
      <c r="H2293" t="s">
        <v>10969</v>
      </c>
      <c r="I2293">
        <v>58</v>
      </c>
      <c r="J2293">
        <v>58</v>
      </c>
      <c r="K2293">
        <v>0</v>
      </c>
      <c r="L2293">
        <v>0</v>
      </c>
      <c r="M2293">
        <v>0</v>
      </c>
      <c r="N2293">
        <v>0</v>
      </c>
      <c r="O2293">
        <v>0</v>
      </c>
    </row>
    <row r="2294" spans="1:15" x14ac:dyDescent="0.25">
      <c r="A2294" t="s">
        <v>1126</v>
      </c>
      <c r="B2294" t="s">
        <v>2130</v>
      </c>
      <c r="C2294" t="s">
        <v>927</v>
      </c>
      <c r="D2294" t="s">
        <v>3052</v>
      </c>
      <c r="E2294" t="s">
        <v>3053</v>
      </c>
      <c r="F2294" t="s">
        <v>413</v>
      </c>
      <c r="G2294" t="s">
        <v>414</v>
      </c>
      <c r="H2294" t="s">
        <v>10161</v>
      </c>
      <c r="I2294">
        <v>32</v>
      </c>
      <c r="J2294">
        <v>10</v>
      </c>
      <c r="K2294">
        <v>0</v>
      </c>
      <c r="L2294">
        <v>0</v>
      </c>
      <c r="M2294">
        <v>0</v>
      </c>
      <c r="N2294">
        <v>0</v>
      </c>
      <c r="O2294">
        <v>22</v>
      </c>
    </row>
    <row r="2295" spans="1:15" x14ac:dyDescent="0.25">
      <c r="A2295" t="s">
        <v>1025</v>
      </c>
      <c r="B2295" t="s">
        <v>2893</v>
      </c>
      <c r="C2295" t="s">
        <v>927</v>
      </c>
      <c r="D2295" t="s">
        <v>3052</v>
      </c>
      <c r="E2295" t="s">
        <v>3053</v>
      </c>
      <c r="F2295" t="s">
        <v>413</v>
      </c>
      <c r="G2295" t="s">
        <v>414</v>
      </c>
      <c r="H2295" t="s">
        <v>4549</v>
      </c>
      <c r="I2295">
        <v>1</v>
      </c>
      <c r="J2295">
        <v>0</v>
      </c>
      <c r="K2295">
        <v>0</v>
      </c>
      <c r="L2295">
        <v>0</v>
      </c>
      <c r="M2295">
        <v>0</v>
      </c>
      <c r="N2295">
        <v>0</v>
      </c>
      <c r="O2295">
        <v>1</v>
      </c>
    </row>
    <row r="2296" spans="1:15" x14ac:dyDescent="0.25">
      <c r="A2296" t="s">
        <v>1625</v>
      </c>
      <c r="B2296" t="s">
        <v>2210</v>
      </c>
      <c r="C2296" t="s">
        <v>923</v>
      </c>
      <c r="D2296" t="s">
        <v>3063</v>
      </c>
      <c r="E2296" t="s">
        <v>3053</v>
      </c>
      <c r="F2296" t="s">
        <v>413</v>
      </c>
      <c r="G2296" t="s">
        <v>414</v>
      </c>
      <c r="H2296" t="s">
        <v>10201</v>
      </c>
      <c r="I2296">
        <v>8</v>
      </c>
      <c r="J2296">
        <v>8</v>
      </c>
      <c r="K2296">
        <v>0</v>
      </c>
      <c r="L2296">
        <v>0</v>
      </c>
      <c r="M2296">
        <v>0</v>
      </c>
      <c r="N2296">
        <v>0</v>
      </c>
      <c r="O2296">
        <v>0</v>
      </c>
    </row>
    <row r="2297" spans="1:15" x14ac:dyDescent="0.25">
      <c r="A2297" t="s">
        <v>943</v>
      </c>
      <c r="B2297" t="s">
        <v>2694</v>
      </c>
      <c r="C2297" t="s">
        <v>927</v>
      </c>
      <c r="D2297" t="s">
        <v>3052</v>
      </c>
      <c r="E2297" t="s">
        <v>3053</v>
      </c>
      <c r="F2297" t="s">
        <v>413</v>
      </c>
      <c r="G2297" t="s">
        <v>414</v>
      </c>
      <c r="H2297" t="s">
        <v>4550</v>
      </c>
      <c r="I2297">
        <v>222</v>
      </c>
      <c r="J2297">
        <v>181</v>
      </c>
      <c r="K2297">
        <v>0</v>
      </c>
      <c r="L2297">
        <v>0</v>
      </c>
      <c r="M2297">
        <v>0</v>
      </c>
      <c r="N2297">
        <v>0</v>
      </c>
      <c r="O2297">
        <v>41</v>
      </c>
    </row>
    <row r="2298" spans="1:15" x14ac:dyDescent="0.25">
      <c r="A2298" t="s">
        <v>1134</v>
      </c>
      <c r="B2298" t="s">
        <v>2118</v>
      </c>
      <c r="C2298" t="s">
        <v>927</v>
      </c>
      <c r="D2298" t="s">
        <v>3052</v>
      </c>
      <c r="E2298" t="s">
        <v>3053</v>
      </c>
      <c r="F2298" t="s">
        <v>413</v>
      </c>
      <c r="G2298" t="s">
        <v>414</v>
      </c>
      <c r="H2298" t="s">
        <v>4551</v>
      </c>
      <c r="I2298">
        <v>327</v>
      </c>
      <c r="J2298">
        <v>287</v>
      </c>
      <c r="K2298">
        <v>0</v>
      </c>
      <c r="L2298">
        <v>6</v>
      </c>
      <c r="M2298">
        <v>0</v>
      </c>
      <c r="N2298">
        <v>0</v>
      </c>
      <c r="O2298">
        <v>34</v>
      </c>
    </row>
    <row r="2299" spans="1:15" x14ac:dyDescent="0.25">
      <c r="A2299" t="s">
        <v>949</v>
      </c>
      <c r="B2299" t="s">
        <v>3035</v>
      </c>
      <c r="C2299" t="s">
        <v>927</v>
      </c>
      <c r="D2299" t="s">
        <v>3052</v>
      </c>
      <c r="E2299" t="s">
        <v>3053</v>
      </c>
      <c r="F2299" t="s">
        <v>413</v>
      </c>
      <c r="G2299" t="s">
        <v>414</v>
      </c>
      <c r="H2299" t="s">
        <v>4552</v>
      </c>
      <c r="I2299">
        <v>1</v>
      </c>
      <c r="J2299">
        <v>0</v>
      </c>
      <c r="K2299">
        <v>0</v>
      </c>
      <c r="L2299">
        <v>0</v>
      </c>
      <c r="M2299">
        <v>0</v>
      </c>
      <c r="N2299">
        <v>0</v>
      </c>
      <c r="O2299">
        <v>1</v>
      </c>
    </row>
    <row r="2300" spans="1:15" x14ac:dyDescent="0.25">
      <c r="A2300" t="s">
        <v>1138</v>
      </c>
      <c r="B2300" t="s">
        <v>2635</v>
      </c>
      <c r="C2300" t="s">
        <v>923</v>
      </c>
      <c r="D2300" t="s">
        <v>3063</v>
      </c>
      <c r="E2300" t="s">
        <v>3053</v>
      </c>
      <c r="F2300" t="s">
        <v>413</v>
      </c>
      <c r="G2300" t="s">
        <v>414</v>
      </c>
      <c r="H2300" t="s">
        <v>10970</v>
      </c>
      <c r="I2300">
        <v>4</v>
      </c>
      <c r="J2300">
        <v>0</v>
      </c>
      <c r="K2300">
        <v>0</v>
      </c>
      <c r="L2300">
        <v>4</v>
      </c>
      <c r="M2300">
        <v>0</v>
      </c>
      <c r="N2300">
        <v>0</v>
      </c>
      <c r="O2300">
        <v>0</v>
      </c>
    </row>
    <row r="2301" spans="1:15" x14ac:dyDescent="0.25">
      <c r="A2301" t="s">
        <v>1142</v>
      </c>
      <c r="B2301" t="s">
        <v>3003</v>
      </c>
      <c r="C2301" t="s">
        <v>927</v>
      </c>
      <c r="D2301" t="s">
        <v>3052</v>
      </c>
      <c r="E2301" t="s">
        <v>3053</v>
      </c>
      <c r="F2301" t="s">
        <v>413</v>
      </c>
      <c r="G2301" t="s">
        <v>414</v>
      </c>
      <c r="H2301" t="s">
        <v>4553</v>
      </c>
      <c r="I2301">
        <v>275</v>
      </c>
      <c r="J2301">
        <v>256</v>
      </c>
      <c r="K2301">
        <v>0</v>
      </c>
      <c r="L2301">
        <v>0</v>
      </c>
      <c r="M2301">
        <v>0</v>
      </c>
      <c r="N2301">
        <v>1</v>
      </c>
      <c r="O2301">
        <v>19</v>
      </c>
    </row>
    <row r="2302" spans="1:15" x14ac:dyDescent="0.25">
      <c r="A2302" t="s">
        <v>1146</v>
      </c>
      <c r="B2302" t="s">
        <v>2117</v>
      </c>
      <c r="C2302" t="s">
        <v>927</v>
      </c>
      <c r="D2302" t="s">
        <v>3052</v>
      </c>
      <c r="E2302" t="s">
        <v>3053</v>
      </c>
      <c r="F2302" t="s">
        <v>413</v>
      </c>
      <c r="G2302" t="s">
        <v>414</v>
      </c>
      <c r="H2302" t="s">
        <v>14655</v>
      </c>
      <c r="I2302">
        <v>172</v>
      </c>
      <c r="J2302">
        <v>119</v>
      </c>
      <c r="K2302">
        <v>0</v>
      </c>
      <c r="L2302">
        <v>23</v>
      </c>
      <c r="M2302">
        <v>0</v>
      </c>
      <c r="N2302">
        <v>0</v>
      </c>
      <c r="O2302">
        <v>30</v>
      </c>
    </row>
    <row r="2303" spans="1:15" x14ac:dyDescent="0.25">
      <c r="A2303" t="s">
        <v>953</v>
      </c>
      <c r="B2303" t="s">
        <v>2014</v>
      </c>
      <c r="C2303" t="s">
        <v>927</v>
      </c>
      <c r="D2303" t="s">
        <v>3052</v>
      </c>
      <c r="E2303" t="s">
        <v>3053</v>
      </c>
      <c r="F2303" t="s">
        <v>413</v>
      </c>
      <c r="G2303" t="s">
        <v>414</v>
      </c>
      <c r="H2303" t="s">
        <v>4554</v>
      </c>
      <c r="I2303">
        <v>5</v>
      </c>
      <c r="J2303">
        <v>0</v>
      </c>
      <c r="K2303">
        <v>0</v>
      </c>
      <c r="L2303">
        <v>5</v>
      </c>
      <c r="M2303">
        <v>0</v>
      </c>
      <c r="N2303">
        <v>0</v>
      </c>
      <c r="O2303">
        <v>0</v>
      </c>
    </row>
    <row r="2304" spans="1:15" x14ac:dyDescent="0.25">
      <c r="A2304" t="s">
        <v>1651</v>
      </c>
      <c r="B2304" t="s">
        <v>2123</v>
      </c>
      <c r="C2304" t="s">
        <v>923</v>
      </c>
      <c r="D2304" t="s">
        <v>3063</v>
      </c>
      <c r="E2304" t="s">
        <v>3053</v>
      </c>
      <c r="F2304" t="s">
        <v>413</v>
      </c>
      <c r="G2304" t="s">
        <v>414</v>
      </c>
      <c r="H2304" t="s">
        <v>10327</v>
      </c>
      <c r="I2304">
        <v>8</v>
      </c>
      <c r="J2304">
        <v>8</v>
      </c>
      <c r="K2304">
        <v>0</v>
      </c>
      <c r="L2304">
        <v>0</v>
      </c>
      <c r="M2304">
        <v>0</v>
      </c>
      <c r="N2304">
        <v>0</v>
      </c>
      <c r="O2304">
        <v>0</v>
      </c>
    </row>
    <row r="2305" spans="1:15" x14ac:dyDescent="0.25">
      <c r="A2305" t="s">
        <v>9788</v>
      </c>
      <c r="B2305" t="s">
        <v>9871</v>
      </c>
      <c r="C2305" t="s">
        <v>927</v>
      </c>
      <c r="D2305" t="s">
        <v>3052</v>
      </c>
      <c r="E2305" t="s">
        <v>3053</v>
      </c>
      <c r="F2305" t="s">
        <v>413</v>
      </c>
      <c r="G2305" t="s">
        <v>414</v>
      </c>
      <c r="H2305" t="s">
        <v>10344</v>
      </c>
      <c r="I2305">
        <v>25</v>
      </c>
      <c r="J2305">
        <v>25</v>
      </c>
      <c r="K2305">
        <v>0</v>
      </c>
      <c r="L2305">
        <v>0</v>
      </c>
      <c r="M2305">
        <v>0</v>
      </c>
      <c r="N2305">
        <v>0</v>
      </c>
      <c r="O2305">
        <v>0</v>
      </c>
    </row>
    <row r="2306" spans="1:15" x14ac:dyDescent="0.25">
      <c r="A2306" t="s">
        <v>955</v>
      </c>
      <c r="B2306" t="s">
        <v>2660</v>
      </c>
      <c r="C2306" t="s">
        <v>927</v>
      </c>
      <c r="D2306" t="s">
        <v>3052</v>
      </c>
      <c r="E2306" t="s">
        <v>3053</v>
      </c>
      <c r="F2306" t="s">
        <v>413</v>
      </c>
      <c r="G2306" t="s">
        <v>414</v>
      </c>
      <c r="H2306" t="s">
        <v>4555</v>
      </c>
      <c r="I2306">
        <v>61</v>
      </c>
      <c r="J2306">
        <v>13</v>
      </c>
      <c r="K2306">
        <v>0</v>
      </c>
      <c r="L2306">
        <v>0</v>
      </c>
      <c r="M2306">
        <v>48</v>
      </c>
      <c r="N2306">
        <v>0</v>
      </c>
      <c r="O2306">
        <v>0</v>
      </c>
    </row>
    <row r="2307" spans="1:15" x14ac:dyDescent="0.25">
      <c r="A2307" t="s">
        <v>1154</v>
      </c>
      <c r="B2307" t="s">
        <v>2861</v>
      </c>
      <c r="C2307" t="s">
        <v>927</v>
      </c>
      <c r="D2307" t="s">
        <v>3052</v>
      </c>
      <c r="E2307" t="s">
        <v>3053</v>
      </c>
      <c r="F2307" t="s">
        <v>413</v>
      </c>
      <c r="G2307" t="s">
        <v>414</v>
      </c>
      <c r="H2307" t="s">
        <v>10971</v>
      </c>
      <c r="I2307">
        <v>1</v>
      </c>
      <c r="J2307">
        <v>0</v>
      </c>
      <c r="K2307">
        <v>0</v>
      </c>
      <c r="L2307">
        <v>0</v>
      </c>
      <c r="M2307">
        <v>0</v>
      </c>
      <c r="N2307">
        <v>0</v>
      </c>
      <c r="O2307">
        <v>1</v>
      </c>
    </row>
    <row r="2308" spans="1:15" x14ac:dyDescent="0.25">
      <c r="A2308" t="s">
        <v>14374</v>
      </c>
      <c r="B2308" t="s">
        <v>1943</v>
      </c>
      <c r="C2308" t="s">
        <v>927</v>
      </c>
      <c r="D2308" t="s">
        <v>3052</v>
      </c>
      <c r="E2308" t="s">
        <v>3053</v>
      </c>
      <c r="F2308" t="s">
        <v>413</v>
      </c>
      <c r="G2308" t="s">
        <v>414</v>
      </c>
      <c r="H2308" t="s">
        <v>14656</v>
      </c>
      <c r="I2308">
        <v>48</v>
      </c>
      <c r="J2308">
        <v>0</v>
      </c>
      <c r="K2308">
        <v>0</v>
      </c>
      <c r="L2308">
        <v>0</v>
      </c>
      <c r="M2308">
        <v>0</v>
      </c>
      <c r="N2308">
        <v>0</v>
      </c>
      <c r="O2308">
        <v>48</v>
      </c>
    </row>
    <row r="2309" spans="1:15" x14ac:dyDescent="0.25">
      <c r="A2309" t="s">
        <v>1161</v>
      </c>
      <c r="B2309" t="s">
        <v>2558</v>
      </c>
      <c r="C2309" t="s">
        <v>923</v>
      </c>
      <c r="D2309" t="s">
        <v>3063</v>
      </c>
      <c r="E2309" t="s">
        <v>3053</v>
      </c>
      <c r="F2309" t="s">
        <v>413</v>
      </c>
      <c r="G2309" t="s">
        <v>414</v>
      </c>
      <c r="H2309" t="s">
        <v>4556</v>
      </c>
      <c r="I2309">
        <v>34</v>
      </c>
      <c r="J2309">
        <v>0</v>
      </c>
      <c r="K2309">
        <v>0</v>
      </c>
      <c r="L2309">
        <v>0</v>
      </c>
      <c r="M2309">
        <v>34</v>
      </c>
      <c r="N2309">
        <v>0</v>
      </c>
      <c r="O2309">
        <v>0</v>
      </c>
    </row>
    <row r="2310" spans="1:15" x14ac:dyDescent="0.25">
      <c r="A2310" t="s">
        <v>1164</v>
      </c>
      <c r="B2310" t="s">
        <v>2604</v>
      </c>
      <c r="C2310" t="s">
        <v>923</v>
      </c>
      <c r="D2310" t="s">
        <v>3063</v>
      </c>
      <c r="E2310" t="s">
        <v>3053</v>
      </c>
      <c r="F2310" t="s">
        <v>413</v>
      </c>
      <c r="G2310" t="s">
        <v>414</v>
      </c>
      <c r="H2310" t="s">
        <v>4557</v>
      </c>
      <c r="I2310">
        <v>12</v>
      </c>
      <c r="J2310">
        <v>0</v>
      </c>
      <c r="K2310">
        <v>0</v>
      </c>
      <c r="L2310">
        <v>0</v>
      </c>
      <c r="M2310">
        <v>12</v>
      </c>
      <c r="N2310">
        <v>0</v>
      </c>
      <c r="O2310">
        <v>0</v>
      </c>
    </row>
    <row r="2311" spans="1:15" x14ac:dyDescent="0.25">
      <c r="A2311" t="s">
        <v>1181</v>
      </c>
      <c r="B2311" t="s">
        <v>2894</v>
      </c>
      <c r="C2311" t="s">
        <v>927</v>
      </c>
      <c r="D2311" t="s">
        <v>3052</v>
      </c>
      <c r="E2311" t="s">
        <v>3053</v>
      </c>
      <c r="F2311" t="s">
        <v>413</v>
      </c>
      <c r="G2311" t="s">
        <v>414</v>
      </c>
      <c r="H2311" t="s">
        <v>4558</v>
      </c>
      <c r="I2311">
        <v>65</v>
      </c>
      <c r="J2311">
        <v>62</v>
      </c>
      <c r="K2311">
        <v>0</v>
      </c>
      <c r="L2311">
        <v>0</v>
      </c>
      <c r="M2311">
        <v>0</v>
      </c>
      <c r="N2311">
        <v>0</v>
      </c>
      <c r="O2311">
        <v>3</v>
      </c>
    </row>
    <row r="2312" spans="1:15" x14ac:dyDescent="0.25">
      <c r="A2312" t="s">
        <v>1185</v>
      </c>
      <c r="B2312" t="s">
        <v>2886</v>
      </c>
      <c r="C2312" t="s">
        <v>927</v>
      </c>
      <c r="D2312" t="s">
        <v>3052</v>
      </c>
      <c r="E2312" t="s">
        <v>3053</v>
      </c>
      <c r="F2312" t="s">
        <v>413</v>
      </c>
      <c r="G2312" t="s">
        <v>414</v>
      </c>
      <c r="H2312" t="s">
        <v>4559</v>
      </c>
      <c r="I2312">
        <v>76</v>
      </c>
      <c r="J2312">
        <v>60</v>
      </c>
      <c r="K2312">
        <v>0</v>
      </c>
      <c r="L2312">
        <v>0</v>
      </c>
      <c r="M2312">
        <v>0</v>
      </c>
      <c r="N2312">
        <v>0</v>
      </c>
      <c r="O2312">
        <v>16</v>
      </c>
    </row>
    <row r="2313" spans="1:15" x14ac:dyDescent="0.25">
      <c r="A2313" t="s">
        <v>1080</v>
      </c>
      <c r="B2313" t="s">
        <v>2030</v>
      </c>
      <c r="C2313" t="s">
        <v>923</v>
      </c>
      <c r="D2313" t="s">
        <v>3063</v>
      </c>
      <c r="E2313" t="s">
        <v>3053</v>
      </c>
      <c r="F2313" t="s">
        <v>413</v>
      </c>
      <c r="G2313" t="s">
        <v>414</v>
      </c>
      <c r="H2313" t="s">
        <v>4560</v>
      </c>
      <c r="I2313">
        <v>3</v>
      </c>
      <c r="J2313">
        <v>0</v>
      </c>
      <c r="K2313">
        <v>0</v>
      </c>
      <c r="L2313">
        <v>3</v>
      </c>
      <c r="M2313">
        <v>0</v>
      </c>
      <c r="N2313">
        <v>0</v>
      </c>
      <c r="O2313">
        <v>0</v>
      </c>
    </row>
    <row r="2314" spans="1:15" x14ac:dyDescent="0.25">
      <c r="A2314" t="s">
        <v>1401</v>
      </c>
      <c r="B2314" t="s">
        <v>2063</v>
      </c>
      <c r="C2314" t="s">
        <v>923</v>
      </c>
      <c r="D2314" t="s">
        <v>3063</v>
      </c>
      <c r="E2314" t="s">
        <v>3053</v>
      </c>
      <c r="F2314" t="s">
        <v>415</v>
      </c>
      <c r="G2314" t="s">
        <v>416</v>
      </c>
      <c r="H2314" t="s">
        <v>4561</v>
      </c>
      <c r="I2314">
        <v>47</v>
      </c>
      <c r="J2314">
        <v>0</v>
      </c>
      <c r="K2314">
        <v>0</v>
      </c>
      <c r="L2314">
        <v>47</v>
      </c>
      <c r="M2314">
        <v>0</v>
      </c>
      <c r="N2314">
        <v>0</v>
      </c>
      <c r="O2314">
        <v>0</v>
      </c>
    </row>
    <row r="2315" spans="1:15" x14ac:dyDescent="0.25">
      <c r="A2315" t="s">
        <v>971</v>
      </c>
      <c r="B2315" t="s">
        <v>2956</v>
      </c>
      <c r="C2315" t="s">
        <v>927</v>
      </c>
      <c r="D2315" t="s">
        <v>3052</v>
      </c>
      <c r="E2315" t="s">
        <v>3053</v>
      </c>
      <c r="F2315" t="s">
        <v>415</v>
      </c>
      <c r="G2315" t="s">
        <v>416</v>
      </c>
      <c r="H2315" t="s">
        <v>4562</v>
      </c>
      <c r="I2315">
        <v>16</v>
      </c>
      <c r="J2315">
        <v>15</v>
      </c>
      <c r="K2315">
        <v>0</v>
      </c>
      <c r="L2315">
        <v>0</v>
      </c>
      <c r="M2315">
        <v>0</v>
      </c>
      <c r="N2315">
        <v>0</v>
      </c>
      <c r="O2315">
        <v>1</v>
      </c>
    </row>
    <row r="2316" spans="1:15" x14ac:dyDescent="0.25">
      <c r="A2316" t="s">
        <v>929</v>
      </c>
      <c r="B2316" t="s">
        <v>2999</v>
      </c>
      <c r="C2316" t="s">
        <v>927</v>
      </c>
      <c r="D2316" t="s">
        <v>3052</v>
      </c>
      <c r="E2316" t="s">
        <v>3053</v>
      </c>
      <c r="F2316" t="s">
        <v>415</v>
      </c>
      <c r="G2316" t="s">
        <v>416</v>
      </c>
      <c r="H2316" t="s">
        <v>4563</v>
      </c>
      <c r="I2316">
        <v>224</v>
      </c>
      <c r="J2316">
        <v>0</v>
      </c>
      <c r="K2316">
        <v>0</v>
      </c>
      <c r="L2316">
        <v>0</v>
      </c>
      <c r="M2316">
        <v>215</v>
      </c>
      <c r="N2316">
        <v>0</v>
      </c>
      <c r="O2316">
        <v>9</v>
      </c>
    </row>
    <row r="2317" spans="1:15" x14ac:dyDescent="0.25">
      <c r="A2317" t="s">
        <v>978</v>
      </c>
      <c r="B2317" t="s">
        <v>1999</v>
      </c>
      <c r="C2317" t="s">
        <v>923</v>
      </c>
      <c r="D2317" t="s">
        <v>3063</v>
      </c>
      <c r="E2317" t="s">
        <v>3053</v>
      </c>
      <c r="F2317" t="s">
        <v>415</v>
      </c>
      <c r="G2317" t="s">
        <v>416</v>
      </c>
      <c r="H2317" t="s">
        <v>4564</v>
      </c>
      <c r="I2317">
        <v>1</v>
      </c>
      <c r="J2317">
        <v>1</v>
      </c>
      <c r="K2317">
        <v>0</v>
      </c>
      <c r="L2317">
        <v>0</v>
      </c>
      <c r="M2317">
        <v>0</v>
      </c>
      <c r="N2317">
        <v>0</v>
      </c>
      <c r="O2317">
        <v>0</v>
      </c>
    </row>
    <row r="2318" spans="1:15" x14ac:dyDescent="0.25">
      <c r="A2318" t="s">
        <v>1406</v>
      </c>
      <c r="B2318" t="s">
        <v>2134</v>
      </c>
      <c r="C2318" t="s">
        <v>927</v>
      </c>
      <c r="D2318" t="s">
        <v>3052</v>
      </c>
      <c r="E2318" t="s">
        <v>3053</v>
      </c>
      <c r="F2318" t="s">
        <v>415</v>
      </c>
      <c r="G2318" t="s">
        <v>416</v>
      </c>
      <c r="H2318" t="s">
        <v>14657</v>
      </c>
      <c r="I2318">
        <v>6</v>
      </c>
      <c r="J2318">
        <v>6</v>
      </c>
      <c r="K2318">
        <v>0</v>
      </c>
      <c r="L2318">
        <v>0</v>
      </c>
      <c r="M2318">
        <v>0</v>
      </c>
      <c r="N2318">
        <v>0</v>
      </c>
      <c r="O2318">
        <v>0</v>
      </c>
    </row>
    <row r="2319" spans="1:15" x14ac:dyDescent="0.25">
      <c r="A2319" t="s">
        <v>1407</v>
      </c>
      <c r="B2319" t="s">
        <v>2109</v>
      </c>
      <c r="C2319" t="s">
        <v>927</v>
      </c>
      <c r="D2319" t="s">
        <v>3052</v>
      </c>
      <c r="E2319" t="s">
        <v>3053</v>
      </c>
      <c r="F2319" t="s">
        <v>415</v>
      </c>
      <c r="G2319" t="s">
        <v>416</v>
      </c>
      <c r="H2319" t="s">
        <v>4565</v>
      </c>
      <c r="I2319">
        <v>98</v>
      </c>
      <c r="J2319">
        <v>29</v>
      </c>
      <c r="K2319">
        <v>0</v>
      </c>
      <c r="L2319">
        <v>13</v>
      </c>
      <c r="M2319">
        <v>45</v>
      </c>
      <c r="N2319">
        <v>0</v>
      </c>
      <c r="O2319">
        <v>11</v>
      </c>
    </row>
    <row r="2320" spans="1:15" x14ac:dyDescent="0.25">
      <c r="A2320" t="s">
        <v>9784</v>
      </c>
      <c r="B2320" t="s">
        <v>1994</v>
      </c>
      <c r="C2320" t="s">
        <v>927</v>
      </c>
      <c r="D2320" t="s">
        <v>3052</v>
      </c>
      <c r="E2320" t="s">
        <v>3053</v>
      </c>
      <c r="F2320" t="s">
        <v>415</v>
      </c>
      <c r="G2320" t="s">
        <v>416</v>
      </c>
      <c r="H2320" t="s">
        <v>9931</v>
      </c>
      <c r="I2320">
        <v>8</v>
      </c>
      <c r="J2320">
        <v>0</v>
      </c>
      <c r="K2320">
        <v>0</v>
      </c>
      <c r="L2320">
        <v>8</v>
      </c>
      <c r="M2320">
        <v>0</v>
      </c>
      <c r="N2320">
        <v>0</v>
      </c>
      <c r="O2320">
        <v>0</v>
      </c>
    </row>
    <row r="2321" spans="1:15" x14ac:dyDescent="0.25">
      <c r="A2321" t="s">
        <v>1408</v>
      </c>
      <c r="B2321" t="s">
        <v>3028</v>
      </c>
      <c r="C2321" t="s">
        <v>927</v>
      </c>
      <c r="D2321" t="s">
        <v>3052</v>
      </c>
      <c r="E2321" t="s">
        <v>3053</v>
      </c>
      <c r="F2321" t="s">
        <v>415</v>
      </c>
      <c r="G2321" t="s">
        <v>416</v>
      </c>
      <c r="H2321" t="s">
        <v>4566</v>
      </c>
      <c r="I2321">
        <v>111</v>
      </c>
      <c r="J2321">
        <v>97</v>
      </c>
      <c r="K2321">
        <v>0</v>
      </c>
      <c r="L2321">
        <v>0</v>
      </c>
      <c r="M2321">
        <v>0</v>
      </c>
      <c r="N2321">
        <v>0</v>
      </c>
      <c r="O2321">
        <v>14</v>
      </c>
    </row>
    <row r="2322" spans="1:15" x14ac:dyDescent="0.25">
      <c r="A2322" t="s">
        <v>1095</v>
      </c>
      <c r="B2322" t="s">
        <v>1946</v>
      </c>
      <c r="C2322" t="s">
        <v>923</v>
      </c>
      <c r="D2322" t="s">
        <v>3063</v>
      </c>
      <c r="E2322" t="s">
        <v>3053</v>
      </c>
      <c r="F2322" t="s">
        <v>415</v>
      </c>
      <c r="G2322" t="s">
        <v>416</v>
      </c>
      <c r="H2322" t="s">
        <v>4567</v>
      </c>
      <c r="I2322">
        <v>25</v>
      </c>
      <c r="J2322">
        <v>0</v>
      </c>
      <c r="K2322">
        <v>0</v>
      </c>
      <c r="L2322">
        <v>25</v>
      </c>
      <c r="M2322">
        <v>0</v>
      </c>
      <c r="N2322">
        <v>0</v>
      </c>
      <c r="O2322">
        <v>0</v>
      </c>
    </row>
    <row r="2323" spans="1:15" x14ac:dyDescent="0.25">
      <c r="A2323" t="s">
        <v>1411</v>
      </c>
      <c r="B2323" t="s">
        <v>2993</v>
      </c>
      <c r="C2323" t="s">
        <v>927</v>
      </c>
      <c r="D2323" t="s">
        <v>3052</v>
      </c>
      <c r="E2323" t="s">
        <v>3053</v>
      </c>
      <c r="F2323" t="s">
        <v>415</v>
      </c>
      <c r="G2323" t="s">
        <v>416</v>
      </c>
      <c r="H2323" t="s">
        <v>4568</v>
      </c>
      <c r="I2323">
        <v>2</v>
      </c>
      <c r="J2323">
        <v>2</v>
      </c>
      <c r="K2323">
        <v>0</v>
      </c>
      <c r="L2323">
        <v>0</v>
      </c>
      <c r="M2323">
        <v>0</v>
      </c>
      <c r="N2323">
        <v>0</v>
      </c>
      <c r="O2323">
        <v>0</v>
      </c>
    </row>
    <row r="2324" spans="1:15" x14ac:dyDescent="0.25">
      <c r="A2324" t="s">
        <v>1412</v>
      </c>
      <c r="B2324" t="s">
        <v>2099</v>
      </c>
      <c r="C2324" t="s">
        <v>927</v>
      </c>
      <c r="D2324" t="s">
        <v>3052</v>
      </c>
      <c r="E2324" t="s">
        <v>3053</v>
      </c>
      <c r="F2324" t="s">
        <v>415</v>
      </c>
      <c r="G2324" t="s">
        <v>416</v>
      </c>
      <c r="H2324" t="s">
        <v>4569</v>
      </c>
      <c r="I2324">
        <v>38</v>
      </c>
      <c r="J2324">
        <v>10</v>
      </c>
      <c r="K2324">
        <v>0</v>
      </c>
      <c r="L2324">
        <v>0</v>
      </c>
      <c r="M2324">
        <v>0</v>
      </c>
      <c r="N2324">
        <v>0</v>
      </c>
      <c r="O2324">
        <v>28</v>
      </c>
    </row>
    <row r="2325" spans="1:15" x14ac:dyDescent="0.25">
      <c r="A2325" t="s">
        <v>991</v>
      </c>
      <c r="B2325" t="s">
        <v>1976</v>
      </c>
      <c r="C2325" t="s">
        <v>923</v>
      </c>
      <c r="D2325" t="s">
        <v>3063</v>
      </c>
      <c r="E2325" t="s">
        <v>3053</v>
      </c>
      <c r="F2325" t="s">
        <v>415</v>
      </c>
      <c r="G2325" t="s">
        <v>416</v>
      </c>
      <c r="H2325" t="s">
        <v>4570</v>
      </c>
      <c r="I2325">
        <v>9</v>
      </c>
      <c r="J2325">
        <v>0</v>
      </c>
      <c r="K2325">
        <v>0</v>
      </c>
      <c r="L2325">
        <v>9</v>
      </c>
      <c r="M2325">
        <v>0</v>
      </c>
      <c r="N2325">
        <v>0</v>
      </c>
      <c r="O2325">
        <v>0</v>
      </c>
    </row>
    <row r="2326" spans="1:15" x14ac:dyDescent="0.25">
      <c r="A2326" t="s">
        <v>935</v>
      </c>
      <c r="B2326" t="s">
        <v>1960</v>
      </c>
      <c r="C2326" t="s">
        <v>923</v>
      </c>
      <c r="D2326" t="s">
        <v>3063</v>
      </c>
      <c r="E2326" t="s">
        <v>3053</v>
      </c>
      <c r="F2326" t="s">
        <v>415</v>
      </c>
      <c r="G2326" t="s">
        <v>416</v>
      </c>
      <c r="H2326" t="s">
        <v>4571</v>
      </c>
      <c r="I2326">
        <v>2</v>
      </c>
      <c r="J2326">
        <v>0</v>
      </c>
      <c r="K2326">
        <v>0</v>
      </c>
      <c r="L2326">
        <v>2</v>
      </c>
      <c r="M2326">
        <v>0</v>
      </c>
      <c r="N2326">
        <v>0</v>
      </c>
      <c r="O2326">
        <v>0</v>
      </c>
    </row>
    <row r="2327" spans="1:15" x14ac:dyDescent="0.25">
      <c r="A2327" t="s">
        <v>10638</v>
      </c>
      <c r="B2327" t="s">
        <v>2057</v>
      </c>
      <c r="C2327" t="s">
        <v>927</v>
      </c>
      <c r="D2327" t="s">
        <v>3052</v>
      </c>
      <c r="E2327" t="s">
        <v>3053</v>
      </c>
      <c r="F2327" t="s">
        <v>415</v>
      </c>
      <c r="G2327" t="s">
        <v>416</v>
      </c>
      <c r="H2327" t="s">
        <v>10972</v>
      </c>
      <c r="I2327">
        <v>20</v>
      </c>
      <c r="J2327">
        <v>0</v>
      </c>
      <c r="K2327">
        <v>0</v>
      </c>
      <c r="L2327">
        <v>20</v>
      </c>
      <c r="M2327">
        <v>0</v>
      </c>
      <c r="N2327">
        <v>0</v>
      </c>
      <c r="O2327">
        <v>0</v>
      </c>
    </row>
    <row r="2328" spans="1:15" x14ac:dyDescent="0.25">
      <c r="A2328" t="s">
        <v>1009</v>
      </c>
      <c r="B2328" t="s">
        <v>1958</v>
      </c>
      <c r="C2328" t="s">
        <v>923</v>
      </c>
      <c r="D2328" t="s">
        <v>3063</v>
      </c>
      <c r="E2328" t="s">
        <v>3053</v>
      </c>
      <c r="F2328" t="s">
        <v>415</v>
      </c>
      <c r="G2328" t="s">
        <v>416</v>
      </c>
      <c r="H2328" t="s">
        <v>10973</v>
      </c>
      <c r="I2328">
        <v>4</v>
      </c>
      <c r="J2328">
        <v>0</v>
      </c>
      <c r="K2328">
        <v>0</v>
      </c>
      <c r="L2328">
        <v>4</v>
      </c>
      <c r="M2328">
        <v>0</v>
      </c>
      <c r="N2328">
        <v>0</v>
      </c>
      <c r="O2328">
        <v>0</v>
      </c>
    </row>
    <row r="2329" spans="1:15" x14ac:dyDescent="0.25">
      <c r="A2329" t="s">
        <v>1419</v>
      </c>
      <c r="B2329" t="s">
        <v>2013</v>
      </c>
      <c r="C2329" t="s">
        <v>923</v>
      </c>
      <c r="D2329" t="s">
        <v>3063</v>
      </c>
      <c r="E2329" t="s">
        <v>3053</v>
      </c>
      <c r="F2329" t="s">
        <v>415</v>
      </c>
      <c r="G2329" t="s">
        <v>416</v>
      </c>
      <c r="H2329" t="s">
        <v>4572</v>
      </c>
      <c r="I2329">
        <v>19</v>
      </c>
      <c r="J2329">
        <v>19</v>
      </c>
      <c r="K2329">
        <v>0</v>
      </c>
      <c r="L2329">
        <v>0</v>
      </c>
      <c r="M2329">
        <v>0</v>
      </c>
      <c r="N2329">
        <v>0</v>
      </c>
      <c r="O2329">
        <v>0</v>
      </c>
    </row>
    <row r="2330" spans="1:15" x14ac:dyDescent="0.25">
      <c r="A2330" t="s">
        <v>937</v>
      </c>
      <c r="B2330" t="s">
        <v>1962</v>
      </c>
      <c r="C2330" t="s">
        <v>927</v>
      </c>
      <c r="D2330" t="s">
        <v>3052</v>
      </c>
      <c r="E2330" t="s">
        <v>3053</v>
      </c>
      <c r="F2330" t="s">
        <v>415</v>
      </c>
      <c r="G2330" t="s">
        <v>416</v>
      </c>
      <c r="H2330" t="s">
        <v>4573</v>
      </c>
      <c r="I2330">
        <v>44</v>
      </c>
      <c r="J2330">
        <v>0</v>
      </c>
      <c r="K2330">
        <v>0</v>
      </c>
      <c r="L2330">
        <v>0</v>
      </c>
      <c r="M2330">
        <v>0</v>
      </c>
      <c r="N2330">
        <v>0</v>
      </c>
      <c r="O2330">
        <v>44</v>
      </c>
    </row>
    <row r="2331" spans="1:15" x14ac:dyDescent="0.25">
      <c r="A2331" t="s">
        <v>938</v>
      </c>
      <c r="B2331" t="s">
        <v>2791</v>
      </c>
      <c r="C2331" t="s">
        <v>927</v>
      </c>
      <c r="D2331" t="s">
        <v>3052</v>
      </c>
      <c r="E2331" t="s">
        <v>3053</v>
      </c>
      <c r="F2331" t="s">
        <v>415</v>
      </c>
      <c r="G2331" t="s">
        <v>416</v>
      </c>
      <c r="H2331" t="s">
        <v>4574</v>
      </c>
      <c r="I2331">
        <v>348</v>
      </c>
      <c r="J2331">
        <v>298</v>
      </c>
      <c r="K2331">
        <v>0</v>
      </c>
      <c r="L2331">
        <v>47</v>
      </c>
      <c r="M2331">
        <v>0</v>
      </c>
      <c r="N2331">
        <v>0</v>
      </c>
      <c r="O2331">
        <v>3</v>
      </c>
    </row>
    <row r="2332" spans="1:15" x14ac:dyDescent="0.25">
      <c r="A2332" t="s">
        <v>940</v>
      </c>
      <c r="B2332" t="s">
        <v>2647</v>
      </c>
      <c r="C2332" t="s">
        <v>927</v>
      </c>
      <c r="D2332" t="s">
        <v>3052</v>
      </c>
      <c r="E2332" t="s">
        <v>3053</v>
      </c>
      <c r="F2332" t="s">
        <v>415</v>
      </c>
      <c r="G2332" t="s">
        <v>416</v>
      </c>
      <c r="H2332" t="s">
        <v>4575</v>
      </c>
      <c r="I2332">
        <v>29</v>
      </c>
      <c r="J2332">
        <v>0</v>
      </c>
      <c r="K2332">
        <v>0</v>
      </c>
      <c r="L2332">
        <v>0</v>
      </c>
      <c r="M2332">
        <v>29</v>
      </c>
      <c r="N2332">
        <v>0</v>
      </c>
      <c r="O2332">
        <v>0</v>
      </c>
    </row>
    <row r="2333" spans="1:15" x14ac:dyDescent="0.25">
      <c r="A2333" t="s">
        <v>1422</v>
      </c>
      <c r="B2333" t="s">
        <v>1990</v>
      </c>
      <c r="C2333" t="s">
        <v>923</v>
      </c>
      <c r="D2333" t="s">
        <v>3063</v>
      </c>
      <c r="E2333" t="s">
        <v>3053</v>
      </c>
      <c r="F2333" t="s">
        <v>415</v>
      </c>
      <c r="G2333" t="s">
        <v>416</v>
      </c>
      <c r="H2333" t="s">
        <v>4576</v>
      </c>
      <c r="I2333">
        <v>8</v>
      </c>
      <c r="J2333">
        <v>1</v>
      </c>
      <c r="K2333">
        <v>0</v>
      </c>
      <c r="L2333">
        <v>7</v>
      </c>
      <c r="M2333">
        <v>0</v>
      </c>
      <c r="N2333">
        <v>0</v>
      </c>
      <c r="O2333">
        <v>0</v>
      </c>
    </row>
    <row r="2334" spans="1:15" x14ac:dyDescent="0.25">
      <c r="A2334" t="s">
        <v>1013</v>
      </c>
      <c r="B2334" t="s">
        <v>1959</v>
      </c>
      <c r="C2334" t="s">
        <v>927</v>
      </c>
      <c r="D2334" t="s">
        <v>3052</v>
      </c>
      <c r="E2334" t="s">
        <v>3053</v>
      </c>
      <c r="F2334" t="s">
        <v>415</v>
      </c>
      <c r="G2334" t="s">
        <v>416</v>
      </c>
      <c r="H2334" t="s">
        <v>11972</v>
      </c>
      <c r="I2334">
        <v>13</v>
      </c>
      <c r="J2334">
        <v>0</v>
      </c>
      <c r="K2334">
        <v>0</v>
      </c>
      <c r="L2334">
        <v>13</v>
      </c>
      <c r="M2334">
        <v>0</v>
      </c>
      <c r="N2334">
        <v>0</v>
      </c>
      <c r="O2334">
        <v>0</v>
      </c>
    </row>
    <row r="2335" spans="1:15" x14ac:dyDescent="0.25">
      <c r="A2335" t="s">
        <v>11688</v>
      </c>
      <c r="B2335" t="s">
        <v>2194</v>
      </c>
      <c r="C2335" t="s">
        <v>923</v>
      </c>
      <c r="D2335" t="s">
        <v>3063</v>
      </c>
      <c r="E2335" t="s">
        <v>3053</v>
      </c>
      <c r="F2335" t="s">
        <v>415</v>
      </c>
      <c r="G2335" t="s">
        <v>416</v>
      </c>
      <c r="H2335" t="s">
        <v>11973</v>
      </c>
      <c r="I2335">
        <v>30</v>
      </c>
      <c r="J2335">
        <v>0</v>
      </c>
      <c r="K2335">
        <v>0</v>
      </c>
      <c r="L2335">
        <v>0</v>
      </c>
      <c r="M2335">
        <v>30</v>
      </c>
      <c r="N2335">
        <v>0</v>
      </c>
      <c r="O2335">
        <v>0</v>
      </c>
    </row>
    <row r="2336" spans="1:15" x14ac:dyDescent="0.25">
      <c r="A2336" t="s">
        <v>1427</v>
      </c>
      <c r="B2336" t="s">
        <v>2087</v>
      </c>
      <c r="C2336" t="s">
        <v>927</v>
      </c>
      <c r="D2336" t="s">
        <v>3052</v>
      </c>
      <c r="E2336" t="s">
        <v>3053</v>
      </c>
      <c r="F2336" t="s">
        <v>415</v>
      </c>
      <c r="G2336" t="s">
        <v>416</v>
      </c>
      <c r="H2336" t="s">
        <v>4577</v>
      </c>
      <c r="I2336">
        <v>205</v>
      </c>
      <c r="J2336">
        <v>202</v>
      </c>
      <c r="K2336">
        <v>0</v>
      </c>
      <c r="L2336">
        <v>0</v>
      </c>
      <c r="M2336">
        <v>0</v>
      </c>
      <c r="N2336">
        <v>0</v>
      </c>
      <c r="O2336">
        <v>3</v>
      </c>
    </row>
    <row r="2337" spans="1:15" x14ac:dyDescent="0.25">
      <c r="A2337" t="s">
        <v>1430</v>
      </c>
      <c r="B2337" t="s">
        <v>2901</v>
      </c>
      <c r="C2337" t="s">
        <v>927</v>
      </c>
      <c r="D2337" t="s">
        <v>3052</v>
      </c>
      <c r="E2337" t="s">
        <v>3053</v>
      </c>
      <c r="F2337" t="s">
        <v>415</v>
      </c>
      <c r="G2337" t="s">
        <v>416</v>
      </c>
      <c r="H2337" t="s">
        <v>4578</v>
      </c>
      <c r="I2337">
        <v>83</v>
      </c>
      <c r="J2337">
        <v>78</v>
      </c>
      <c r="K2337">
        <v>0</v>
      </c>
      <c r="L2337">
        <v>0</v>
      </c>
      <c r="M2337">
        <v>0</v>
      </c>
      <c r="N2337">
        <v>0</v>
      </c>
      <c r="O2337">
        <v>5</v>
      </c>
    </row>
    <row r="2338" spans="1:15" x14ac:dyDescent="0.25">
      <c r="A2338" t="s">
        <v>1432</v>
      </c>
      <c r="B2338" t="s">
        <v>2022</v>
      </c>
      <c r="C2338" t="s">
        <v>923</v>
      </c>
      <c r="D2338" t="s">
        <v>3063</v>
      </c>
      <c r="E2338" t="s">
        <v>3053</v>
      </c>
      <c r="F2338" t="s">
        <v>415</v>
      </c>
      <c r="G2338" t="s">
        <v>416</v>
      </c>
      <c r="H2338" t="s">
        <v>10210</v>
      </c>
      <c r="I2338">
        <v>25</v>
      </c>
      <c r="J2338">
        <v>25</v>
      </c>
      <c r="K2338">
        <v>0</v>
      </c>
      <c r="L2338">
        <v>0</v>
      </c>
      <c r="M2338">
        <v>0</v>
      </c>
      <c r="N2338">
        <v>0</v>
      </c>
      <c r="O2338">
        <v>0</v>
      </c>
    </row>
    <row r="2339" spans="1:15" x14ac:dyDescent="0.25">
      <c r="A2339" t="s">
        <v>1433</v>
      </c>
      <c r="B2339" t="s">
        <v>2914</v>
      </c>
      <c r="C2339" t="s">
        <v>927</v>
      </c>
      <c r="D2339" t="s">
        <v>3052</v>
      </c>
      <c r="E2339" t="s">
        <v>3053</v>
      </c>
      <c r="F2339" t="s">
        <v>415</v>
      </c>
      <c r="G2339" t="s">
        <v>416</v>
      </c>
      <c r="H2339" t="s">
        <v>4579</v>
      </c>
      <c r="I2339">
        <v>519</v>
      </c>
      <c r="J2339">
        <v>461</v>
      </c>
      <c r="K2339">
        <v>0</v>
      </c>
      <c r="L2339">
        <v>25</v>
      </c>
      <c r="M2339">
        <v>31</v>
      </c>
      <c r="N2339">
        <v>0</v>
      </c>
      <c r="O2339">
        <v>2</v>
      </c>
    </row>
    <row r="2340" spans="1:15" x14ac:dyDescent="0.25">
      <c r="A2340" t="s">
        <v>951</v>
      </c>
      <c r="B2340" t="s">
        <v>2680</v>
      </c>
      <c r="C2340" t="s">
        <v>927</v>
      </c>
      <c r="D2340" t="s">
        <v>3052</v>
      </c>
      <c r="E2340" t="s">
        <v>3053</v>
      </c>
      <c r="F2340" t="s">
        <v>415</v>
      </c>
      <c r="G2340" t="s">
        <v>416</v>
      </c>
      <c r="H2340" t="s">
        <v>4580</v>
      </c>
      <c r="I2340">
        <v>276</v>
      </c>
      <c r="J2340">
        <v>267</v>
      </c>
      <c r="K2340">
        <v>0</v>
      </c>
      <c r="L2340">
        <v>0</v>
      </c>
      <c r="M2340">
        <v>0</v>
      </c>
      <c r="N2340">
        <v>0</v>
      </c>
      <c r="O2340">
        <v>9</v>
      </c>
    </row>
    <row r="2341" spans="1:15" x14ac:dyDescent="0.25">
      <c r="A2341" t="s">
        <v>1048</v>
      </c>
      <c r="B2341" t="s">
        <v>2989</v>
      </c>
      <c r="C2341" t="s">
        <v>927</v>
      </c>
      <c r="D2341" t="s">
        <v>3052</v>
      </c>
      <c r="E2341" t="s">
        <v>3053</v>
      </c>
      <c r="F2341" t="s">
        <v>415</v>
      </c>
      <c r="G2341" t="s">
        <v>416</v>
      </c>
      <c r="H2341" t="s">
        <v>4581</v>
      </c>
      <c r="I2341">
        <v>5</v>
      </c>
      <c r="J2341">
        <v>0</v>
      </c>
      <c r="K2341">
        <v>0</v>
      </c>
      <c r="L2341">
        <v>5</v>
      </c>
      <c r="M2341">
        <v>0</v>
      </c>
      <c r="N2341">
        <v>0</v>
      </c>
      <c r="O2341">
        <v>0</v>
      </c>
    </row>
    <row r="2342" spans="1:15" x14ac:dyDescent="0.25">
      <c r="A2342" t="s">
        <v>1051</v>
      </c>
      <c r="B2342" t="s">
        <v>2995</v>
      </c>
      <c r="C2342" t="s">
        <v>927</v>
      </c>
      <c r="D2342" t="s">
        <v>3052</v>
      </c>
      <c r="E2342" t="s">
        <v>3053</v>
      </c>
      <c r="F2342" t="s">
        <v>415</v>
      </c>
      <c r="G2342" t="s">
        <v>416</v>
      </c>
      <c r="H2342" t="s">
        <v>4582</v>
      </c>
      <c r="I2342">
        <v>5</v>
      </c>
      <c r="J2342">
        <v>0</v>
      </c>
      <c r="K2342">
        <v>0</v>
      </c>
      <c r="L2342">
        <v>5</v>
      </c>
      <c r="M2342">
        <v>0</v>
      </c>
      <c r="N2342">
        <v>0</v>
      </c>
      <c r="O2342">
        <v>0</v>
      </c>
    </row>
    <row r="2343" spans="1:15" x14ac:dyDescent="0.25">
      <c r="A2343" t="s">
        <v>1436</v>
      </c>
      <c r="B2343" t="s">
        <v>2209</v>
      </c>
      <c r="C2343" t="s">
        <v>927</v>
      </c>
      <c r="D2343" t="s">
        <v>3052</v>
      </c>
      <c r="E2343" t="s">
        <v>3053</v>
      </c>
      <c r="F2343" t="s">
        <v>415</v>
      </c>
      <c r="G2343" t="s">
        <v>416</v>
      </c>
      <c r="H2343" t="s">
        <v>4583</v>
      </c>
      <c r="I2343">
        <v>502</v>
      </c>
      <c r="J2343">
        <v>319</v>
      </c>
      <c r="K2343">
        <v>0</v>
      </c>
      <c r="L2343">
        <v>39</v>
      </c>
      <c r="M2343">
        <v>144</v>
      </c>
      <c r="N2343">
        <v>338</v>
      </c>
      <c r="O2343">
        <v>0</v>
      </c>
    </row>
    <row r="2344" spans="1:15" x14ac:dyDescent="0.25">
      <c r="A2344" t="s">
        <v>953</v>
      </c>
      <c r="B2344" t="s">
        <v>2014</v>
      </c>
      <c r="C2344" t="s">
        <v>927</v>
      </c>
      <c r="D2344" t="s">
        <v>3052</v>
      </c>
      <c r="E2344" t="s">
        <v>3053</v>
      </c>
      <c r="F2344" t="s">
        <v>415</v>
      </c>
      <c r="G2344" t="s">
        <v>416</v>
      </c>
      <c r="H2344" t="s">
        <v>4584</v>
      </c>
      <c r="I2344">
        <v>16</v>
      </c>
      <c r="J2344">
        <v>0</v>
      </c>
      <c r="K2344">
        <v>0</v>
      </c>
      <c r="L2344">
        <v>16</v>
      </c>
      <c r="M2344">
        <v>0</v>
      </c>
      <c r="N2344">
        <v>0</v>
      </c>
      <c r="O2344">
        <v>0</v>
      </c>
    </row>
    <row r="2345" spans="1:15" x14ac:dyDescent="0.25">
      <c r="A2345" t="s">
        <v>1056</v>
      </c>
      <c r="B2345" t="s">
        <v>2966</v>
      </c>
      <c r="C2345" t="s">
        <v>927</v>
      </c>
      <c r="D2345" t="s">
        <v>3052</v>
      </c>
      <c r="E2345" t="s">
        <v>3053</v>
      </c>
      <c r="F2345" t="s">
        <v>415</v>
      </c>
      <c r="G2345" t="s">
        <v>416</v>
      </c>
      <c r="H2345" t="s">
        <v>4585</v>
      </c>
      <c r="I2345">
        <v>55</v>
      </c>
      <c r="J2345">
        <v>55</v>
      </c>
      <c r="K2345">
        <v>0</v>
      </c>
      <c r="L2345">
        <v>0</v>
      </c>
      <c r="M2345">
        <v>0</v>
      </c>
      <c r="N2345">
        <v>0</v>
      </c>
      <c r="O2345">
        <v>0</v>
      </c>
    </row>
    <row r="2346" spans="1:15" x14ac:dyDescent="0.25">
      <c r="A2346" t="s">
        <v>955</v>
      </c>
      <c r="B2346" t="s">
        <v>2660</v>
      </c>
      <c r="C2346" t="s">
        <v>927</v>
      </c>
      <c r="D2346" t="s">
        <v>3052</v>
      </c>
      <c r="E2346" t="s">
        <v>3053</v>
      </c>
      <c r="F2346" t="s">
        <v>415</v>
      </c>
      <c r="G2346" t="s">
        <v>416</v>
      </c>
      <c r="H2346" t="s">
        <v>4586</v>
      </c>
      <c r="I2346">
        <v>22</v>
      </c>
      <c r="J2346">
        <v>0</v>
      </c>
      <c r="K2346">
        <v>0</v>
      </c>
      <c r="L2346">
        <v>22</v>
      </c>
      <c r="M2346">
        <v>0</v>
      </c>
      <c r="N2346">
        <v>0</v>
      </c>
      <c r="O2346">
        <v>0</v>
      </c>
    </row>
    <row r="2347" spans="1:15" x14ac:dyDescent="0.25">
      <c r="A2347" t="s">
        <v>11689</v>
      </c>
      <c r="B2347" t="s">
        <v>2169</v>
      </c>
      <c r="C2347" t="s">
        <v>923</v>
      </c>
      <c r="D2347" t="s">
        <v>3063</v>
      </c>
      <c r="E2347" t="s">
        <v>3053</v>
      </c>
      <c r="F2347" t="s">
        <v>415</v>
      </c>
      <c r="G2347" t="s">
        <v>416</v>
      </c>
      <c r="H2347" t="s">
        <v>11974</v>
      </c>
      <c r="I2347">
        <v>55</v>
      </c>
      <c r="J2347">
        <v>0</v>
      </c>
      <c r="K2347">
        <v>0</v>
      </c>
      <c r="L2347">
        <v>0</v>
      </c>
      <c r="M2347">
        <v>55</v>
      </c>
      <c r="N2347">
        <v>0</v>
      </c>
      <c r="O2347">
        <v>0</v>
      </c>
    </row>
    <row r="2348" spans="1:15" x14ac:dyDescent="0.25">
      <c r="A2348" t="s">
        <v>10736</v>
      </c>
      <c r="B2348" t="s">
        <v>10735</v>
      </c>
      <c r="C2348" t="s">
        <v>923</v>
      </c>
      <c r="D2348" t="s">
        <v>3063</v>
      </c>
      <c r="E2348" t="s">
        <v>3053</v>
      </c>
      <c r="F2348" t="s">
        <v>415</v>
      </c>
      <c r="G2348" t="s">
        <v>416</v>
      </c>
      <c r="H2348" t="s">
        <v>10974</v>
      </c>
      <c r="I2348">
        <v>20</v>
      </c>
      <c r="J2348">
        <v>0</v>
      </c>
      <c r="K2348">
        <v>0</v>
      </c>
      <c r="L2348">
        <v>0</v>
      </c>
      <c r="M2348">
        <v>20</v>
      </c>
      <c r="N2348">
        <v>0</v>
      </c>
      <c r="O2348">
        <v>0</v>
      </c>
    </row>
    <row r="2349" spans="1:15" x14ac:dyDescent="0.25">
      <c r="A2349" t="s">
        <v>1180</v>
      </c>
      <c r="B2349" t="s">
        <v>2896</v>
      </c>
      <c r="C2349" t="s">
        <v>927</v>
      </c>
      <c r="D2349" t="s">
        <v>3052</v>
      </c>
      <c r="E2349" t="s">
        <v>3053</v>
      </c>
      <c r="F2349" t="s">
        <v>415</v>
      </c>
      <c r="G2349" t="s">
        <v>416</v>
      </c>
      <c r="H2349" t="s">
        <v>4587</v>
      </c>
      <c r="I2349">
        <v>401</v>
      </c>
      <c r="J2349">
        <v>348</v>
      </c>
      <c r="K2349">
        <v>4</v>
      </c>
      <c r="L2349">
        <v>6</v>
      </c>
      <c r="M2349">
        <v>0</v>
      </c>
      <c r="N2349">
        <v>0</v>
      </c>
      <c r="O2349">
        <v>43</v>
      </c>
    </row>
    <row r="2350" spans="1:15" x14ac:dyDescent="0.25">
      <c r="A2350" t="s">
        <v>926</v>
      </c>
      <c r="B2350" t="s">
        <v>2923</v>
      </c>
      <c r="C2350" t="s">
        <v>927</v>
      </c>
      <c r="D2350" t="s">
        <v>3052</v>
      </c>
      <c r="E2350" t="s">
        <v>3053</v>
      </c>
      <c r="F2350" t="s">
        <v>417</v>
      </c>
      <c r="G2350" t="s">
        <v>418</v>
      </c>
      <c r="H2350" t="s">
        <v>4588</v>
      </c>
      <c r="I2350">
        <v>17</v>
      </c>
      <c r="J2350">
        <v>0</v>
      </c>
      <c r="K2350">
        <v>0</v>
      </c>
      <c r="L2350">
        <v>17</v>
      </c>
      <c r="M2350">
        <v>0</v>
      </c>
      <c r="N2350">
        <v>0</v>
      </c>
      <c r="O2350">
        <v>0</v>
      </c>
    </row>
    <row r="2351" spans="1:15" x14ac:dyDescent="0.25">
      <c r="A2351" t="s">
        <v>929</v>
      </c>
      <c r="B2351" t="s">
        <v>2999</v>
      </c>
      <c r="C2351" t="s">
        <v>927</v>
      </c>
      <c r="D2351" t="s">
        <v>3052</v>
      </c>
      <c r="E2351" t="s">
        <v>3053</v>
      </c>
      <c r="F2351" t="s">
        <v>417</v>
      </c>
      <c r="G2351" t="s">
        <v>418</v>
      </c>
      <c r="H2351" t="s">
        <v>10975</v>
      </c>
      <c r="I2351">
        <v>27</v>
      </c>
      <c r="J2351">
        <v>0</v>
      </c>
      <c r="K2351">
        <v>0</v>
      </c>
      <c r="L2351">
        <v>0</v>
      </c>
      <c r="M2351">
        <v>0</v>
      </c>
      <c r="N2351">
        <v>0</v>
      </c>
      <c r="O2351">
        <v>27</v>
      </c>
    </row>
    <row r="2352" spans="1:15" x14ac:dyDescent="0.25">
      <c r="A2352" t="s">
        <v>933</v>
      </c>
      <c r="B2352" t="s">
        <v>2106</v>
      </c>
      <c r="C2352" t="s">
        <v>927</v>
      </c>
      <c r="D2352" t="s">
        <v>3052</v>
      </c>
      <c r="E2352" t="s">
        <v>3053</v>
      </c>
      <c r="F2352" t="s">
        <v>417</v>
      </c>
      <c r="G2352" t="s">
        <v>418</v>
      </c>
      <c r="H2352" t="s">
        <v>4589</v>
      </c>
      <c r="I2352">
        <v>572</v>
      </c>
      <c r="J2352">
        <v>148</v>
      </c>
      <c r="K2352">
        <v>0</v>
      </c>
      <c r="L2352">
        <v>0</v>
      </c>
      <c r="M2352">
        <v>0</v>
      </c>
      <c r="N2352">
        <v>0</v>
      </c>
      <c r="O2352">
        <v>424</v>
      </c>
    </row>
    <row r="2353" spans="1:15" x14ac:dyDescent="0.25">
      <c r="A2353" t="s">
        <v>1105</v>
      </c>
      <c r="B2353" t="s">
        <v>2918</v>
      </c>
      <c r="C2353" t="s">
        <v>923</v>
      </c>
      <c r="D2353" t="s">
        <v>3063</v>
      </c>
      <c r="E2353" t="s">
        <v>3053</v>
      </c>
      <c r="F2353" t="s">
        <v>417</v>
      </c>
      <c r="G2353" t="s">
        <v>418</v>
      </c>
      <c r="H2353" t="s">
        <v>4590</v>
      </c>
      <c r="I2353">
        <v>220</v>
      </c>
      <c r="J2353">
        <v>220</v>
      </c>
      <c r="K2353">
        <v>0</v>
      </c>
      <c r="L2353">
        <v>0</v>
      </c>
      <c r="M2353">
        <v>0</v>
      </c>
      <c r="N2353">
        <v>3</v>
      </c>
      <c r="O2353">
        <v>0</v>
      </c>
    </row>
    <row r="2354" spans="1:15" x14ac:dyDescent="0.25">
      <c r="A2354" t="s">
        <v>1592</v>
      </c>
      <c r="B2354" t="s">
        <v>2440</v>
      </c>
      <c r="C2354" t="s">
        <v>923</v>
      </c>
      <c r="D2354" t="s">
        <v>3063</v>
      </c>
      <c r="E2354" t="s">
        <v>3053</v>
      </c>
      <c r="F2354" t="s">
        <v>417</v>
      </c>
      <c r="G2354" t="s">
        <v>418</v>
      </c>
      <c r="H2354" t="s">
        <v>4591</v>
      </c>
      <c r="I2354">
        <v>47</v>
      </c>
      <c r="J2354">
        <v>47</v>
      </c>
      <c r="K2354">
        <v>0</v>
      </c>
      <c r="L2354">
        <v>0</v>
      </c>
      <c r="M2354">
        <v>0</v>
      </c>
      <c r="N2354">
        <v>0</v>
      </c>
      <c r="O2354">
        <v>0</v>
      </c>
    </row>
    <row r="2355" spans="1:15" x14ac:dyDescent="0.25">
      <c r="A2355" t="s">
        <v>1593</v>
      </c>
      <c r="B2355" t="s">
        <v>2234</v>
      </c>
      <c r="C2355" t="s">
        <v>923</v>
      </c>
      <c r="D2355" t="s">
        <v>3063</v>
      </c>
      <c r="E2355" t="s">
        <v>3053</v>
      </c>
      <c r="F2355" t="s">
        <v>417</v>
      </c>
      <c r="G2355" t="s">
        <v>418</v>
      </c>
      <c r="H2355" t="s">
        <v>4592</v>
      </c>
      <c r="I2355">
        <v>36</v>
      </c>
      <c r="J2355">
        <v>0</v>
      </c>
      <c r="K2355">
        <v>0</v>
      </c>
      <c r="L2355">
        <v>0</v>
      </c>
      <c r="M2355">
        <v>36</v>
      </c>
      <c r="N2355">
        <v>0</v>
      </c>
      <c r="O2355">
        <v>0</v>
      </c>
    </row>
    <row r="2356" spans="1:15" x14ac:dyDescent="0.25">
      <c r="A2356" t="s">
        <v>10638</v>
      </c>
      <c r="B2356" t="s">
        <v>2057</v>
      </c>
      <c r="C2356" t="s">
        <v>927</v>
      </c>
      <c r="D2356" t="s">
        <v>3052</v>
      </c>
      <c r="E2356" t="s">
        <v>3053</v>
      </c>
      <c r="F2356" t="s">
        <v>417</v>
      </c>
      <c r="G2356" t="s">
        <v>418</v>
      </c>
      <c r="H2356" t="s">
        <v>10976</v>
      </c>
      <c r="I2356">
        <v>2</v>
      </c>
      <c r="J2356">
        <v>0</v>
      </c>
      <c r="K2356">
        <v>0</v>
      </c>
      <c r="L2356">
        <v>2</v>
      </c>
      <c r="M2356">
        <v>0</v>
      </c>
      <c r="N2356">
        <v>0</v>
      </c>
      <c r="O2356">
        <v>0</v>
      </c>
    </row>
    <row r="2357" spans="1:15" x14ac:dyDescent="0.25">
      <c r="A2357" t="s">
        <v>1249</v>
      </c>
      <c r="B2357" t="s">
        <v>3029</v>
      </c>
      <c r="C2357" t="s">
        <v>927</v>
      </c>
      <c r="D2357" t="s">
        <v>3052</v>
      </c>
      <c r="E2357" t="s">
        <v>3053</v>
      </c>
      <c r="F2357" t="s">
        <v>417</v>
      </c>
      <c r="G2357" t="s">
        <v>418</v>
      </c>
      <c r="H2357" t="s">
        <v>4593</v>
      </c>
      <c r="I2357">
        <v>57</v>
      </c>
      <c r="J2357">
        <v>27</v>
      </c>
      <c r="K2357">
        <v>0</v>
      </c>
      <c r="L2357">
        <v>0</v>
      </c>
      <c r="M2357">
        <v>0</v>
      </c>
      <c r="N2357">
        <v>0</v>
      </c>
      <c r="O2357">
        <v>30</v>
      </c>
    </row>
    <row r="2358" spans="1:15" x14ac:dyDescent="0.25">
      <c r="A2358" t="s">
        <v>1609</v>
      </c>
      <c r="B2358" t="s">
        <v>2935</v>
      </c>
      <c r="C2358" t="s">
        <v>923</v>
      </c>
      <c r="D2358" t="s">
        <v>3063</v>
      </c>
      <c r="E2358" t="s">
        <v>3053</v>
      </c>
      <c r="F2358" t="s">
        <v>417</v>
      </c>
      <c r="G2358" t="s">
        <v>418</v>
      </c>
      <c r="H2358" t="s">
        <v>4594</v>
      </c>
      <c r="I2358">
        <v>131</v>
      </c>
      <c r="J2358">
        <v>112</v>
      </c>
      <c r="K2358">
        <v>0</v>
      </c>
      <c r="L2358">
        <v>19</v>
      </c>
      <c r="M2358">
        <v>0</v>
      </c>
      <c r="N2358">
        <v>0</v>
      </c>
      <c r="O2358">
        <v>0</v>
      </c>
    </row>
    <row r="2359" spans="1:15" x14ac:dyDescent="0.25">
      <c r="A2359" t="s">
        <v>10651</v>
      </c>
      <c r="B2359" t="s">
        <v>1941</v>
      </c>
      <c r="C2359" t="s">
        <v>927</v>
      </c>
      <c r="D2359" t="s">
        <v>3052</v>
      </c>
      <c r="E2359" t="s">
        <v>3053</v>
      </c>
      <c r="F2359" t="s">
        <v>417</v>
      </c>
      <c r="G2359" t="s">
        <v>418</v>
      </c>
      <c r="H2359" t="s">
        <v>14658</v>
      </c>
      <c r="I2359">
        <v>118</v>
      </c>
      <c r="J2359">
        <v>101</v>
      </c>
      <c r="K2359">
        <v>0</v>
      </c>
      <c r="L2359">
        <v>0</v>
      </c>
      <c r="M2359">
        <v>0</v>
      </c>
      <c r="N2359">
        <v>0</v>
      </c>
      <c r="O2359">
        <v>17</v>
      </c>
    </row>
    <row r="2360" spans="1:15" x14ac:dyDescent="0.25">
      <c r="A2360" t="s">
        <v>938</v>
      </c>
      <c r="B2360" t="s">
        <v>2791</v>
      </c>
      <c r="C2360" t="s">
        <v>927</v>
      </c>
      <c r="D2360" t="s">
        <v>3052</v>
      </c>
      <c r="E2360" t="s">
        <v>3053</v>
      </c>
      <c r="F2360" t="s">
        <v>417</v>
      </c>
      <c r="G2360" t="s">
        <v>418</v>
      </c>
      <c r="H2360" t="s">
        <v>4595</v>
      </c>
      <c r="I2360">
        <v>6</v>
      </c>
      <c r="J2360">
        <v>0</v>
      </c>
      <c r="K2360">
        <v>0</v>
      </c>
      <c r="L2360">
        <v>6</v>
      </c>
      <c r="M2360">
        <v>0</v>
      </c>
      <c r="N2360">
        <v>0</v>
      </c>
      <c r="O2360">
        <v>0</v>
      </c>
    </row>
    <row r="2361" spans="1:15" x14ac:dyDescent="0.25">
      <c r="A2361" t="s">
        <v>1012</v>
      </c>
      <c r="B2361" t="s">
        <v>2911</v>
      </c>
      <c r="C2361" t="s">
        <v>927</v>
      </c>
      <c r="D2361" t="s">
        <v>3052</v>
      </c>
      <c r="E2361" t="s">
        <v>3053</v>
      </c>
      <c r="F2361" t="s">
        <v>417</v>
      </c>
      <c r="G2361" t="s">
        <v>418</v>
      </c>
      <c r="H2361" t="s">
        <v>4596</v>
      </c>
      <c r="I2361">
        <v>751</v>
      </c>
      <c r="J2361">
        <v>536</v>
      </c>
      <c r="K2361">
        <v>12</v>
      </c>
      <c r="L2361">
        <v>8</v>
      </c>
      <c r="M2361">
        <v>0</v>
      </c>
      <c r="N2361">
        <v>7</v>
      </c>
      <c r="O2361">
        <v>195</v>
      </c>
    </row>
    <row r="2362" spans="1:15" x14ac:dyDescent="0.25">
      <c r="A2362" t="s">
        <v>1025</v>
      </c>
      <c r="B2362" t="s">
        <v>2893</v>
      </c>
      <c r="C2362" t="s">
        <v>927</v>
      </c>
      <c r="D2362" t="s">
        <v>3052</v>
      </c>
      <c r="E2362" t="s">
        <v>3053</v>
      </c>
      <c r="F2362" t="s">
        <v>417</v>
      </c>
      <c r="G2362" t="s">
        <v>418</v>
      </c>
      <c r="H2362" t="s">
        <v>4597</v>
      </c>
      <c r="I2362">
        <v>69</v>
      </c>
      <c r="J2362">
        <v>24</v>
      </c>
      <c r="K2362">
        <v>0</v>
      </c>
      <c r="L2362">
        <v>0</v>
      </c>
      <c r="M2362">
        <v>0</v>
      </c>
      <c r="N2362">
        <v>0</v>
      </c>
      <c r="O2362">
        <v>45</v>
      </c>
    </row>
    <row r="2363" spans="1:15" x14ac:dyDescent="0.25">
      <c r="A2363" t="s">
        <v>10681</v>
      </c>
      <c r="B2363" t="s">
        <v>10680</v>
      </c>
      <c r="C2363" t="s">
        <v>927</v>
      </c>
      <c r="D2363" t="s">
        <v>3052</v>
      </c>
      <c r="E2363" t="s">
        <v>3053</v>
      </c>
      <c r="F2363" t="s">
        <v>417</v>
      </c>
      <c r="G2363" t="s">
        <v>418</v>
      </c>
      <c r="H2363" t="s">
        <v>14659</v>
      </c>
      <c r="I2363">
        <v>19</v>
      </c>
      <c r="J2363">
        <v>0</v>
      </c>
      <c r="K2363">
        <v>0</v>
      </c>
      <c r="L2363">
        <v>0</v>
      </c>
      <c r="M2363">
        <v>0</v>
      </c>
      <c r="N2363">
        <v>0</v>
      </c>
      <c r="O2363">
        <v>19</v>
      </c>
    </row>
    <row r="2364" spans="1:15" x14ac:dyDescent="0.25">
      <c r="A2364" t="s">
        <v>945</v>
      </c>
      <c r="B2364" t="s">
        <v>2668</v>
      </c>
      <c r="C2364" t="s">
        <v>927</v>
      </c>
      <c r="D2364" t="s">
        <v>3052</v>
      </c>
      <c r="E2364" t="s">
        <v>3053</v>
      </c>
      <c r="F2364" t="s">
        <v>417</v>
      </c>
      <c r="G2364" t="s">
        <v>418</v>
      </c>
      <c r="H2364" t="s">
        <v>4598</v>
      </c>
      <c r="I2364">
        <v>926</v>
      </c>
      <c r="J2364">
        <v>444</v>
      </c>
      <c r="K2364">
        <v>0</v>
      </c>
      <c r="L2364">
        <v>10</v>
      </c>
      <c r="M2364">
        <v>19</v>
      </c>
      <c r="N2364">
        <v>0</v>
      </c>
      <c r="O2364">
        <v>453</v>
      </c>
    </row>
    <row r="2365" spans="1:15" x14ac:dyDescent="0.25">
      <c r="A2365" t="s">
        <v>1041</v>
      </c>
      <c r="B2365" t="s">
        <v>2826</v>
      </c>
      <c r="C2365" t="s">
        <v>927</v>
      </c>
      <c r="D2365" t="s">
        <v>3052</v>
      </c>
      <c r="E2365" t="s">
        <v>3053</v>
      </c>
      <c r="F2365" t="s">
        <v>417</v>
      </c>
      <c r="G2365" t="s">
        <v>418</v>
      </c>
      <c r="H2365" t="s">
        <v>4599</v>
      </c>
      <c r="I2365">
        <v>51</v>
      </c>
      <c r="J2365">
        <v>0</v>
      </c>
      <c r="K2365">
        <v>0</v>
      </c>
      <c r="L2365">
        <v>0</v>
      </c>
      <c r="M2365">
        <v>0</v>
      </c>
      <c r="N2365">
        <v>0</v>
      </c>
      <c r="O2365">
        <v>51</v>
      </c>
    </row>
    <row r="2366" spans="1:15" x14ac:dyDescent="0.25">
      <c r="A2366" t="s">
        <v>9787</v>
      </c>
      <c r="B2366" t="s">
        <v>2822</v>
      </c>
      <c r="C2366" t="s">
        <v>927</v>
      </c>
      <c r="D2366" t="s">
        <v>3052</v>
      </c>
      <c r="E2366" t="s">
        <v>3053</v>
      </c>
      <c r="F2366" t="s">
        <v>417</v>
      </c>
      <c r="G2366" t="s">
        <v>418</v>
      </c>
      <c r="H2366" t="s">
        <v>10245</v>
      </c>
      <c r="I2366">
        <v>51</v>
      </c>
      <c r="J2366">
        <v>51</v>
      </c>
      <c r="K2366">
        <v>0</v>
      </c>
      <c r="L2366">
        <v>0</v>
      </c>
      <c r="M2366">
        <v>0</v>
      </c>
      <c r="N2366">
        <v>0</v>
      </c>
      <c r="O2366">
        <v>0</v>
      </c>
    </row>
    <row r="2367" spans="1:15" x14ac:dyDescent="0.25">
      <c r="A2367" t="s">
        <v>951</v>
      </c>
      <c r="B2367" t="s">
        <v>2680</v>
      </c>
      <c r="C2367" t="s">
        <v>927</v>
      </c>
      <c r="D2367" t="s">
        <v>3052</v>
      </c>
      <c r="E2367" t="s">
        <v>3053</v>
      </c>
      <c r="F2367" t="s">
        <v>417</v>
      </c>
      <c r="G2367" t="s">
        <v>418</v>
      </c>
      <c r="H2367" t="s">
        <v>4600</v>
      </c>
      <c r="I2367">
        <v>109</v>
      </c>
      <c r="J2367">
        <v>77</v>
      </c>
      <c r="K2367">
        <v>0</v>
      </c>
      <c r="L2367">
        <v>0</v>
      </c>
      <c r="M2367">
        <v>0</v>
      </c>
      <c r="N2367">
        <v>0</v>
      </c>
      <c r="O2367">
        <v>32</v>
      </c>
    </row>
    <row r="2368" spans="1:15" x14ac:dyDescent="0.25">
      <c r="A2368" t="s">
        <v>953</v>
      </c>
      <c r="B2368" t="s">
        <v>2014</v>
      </c>
      <c r="C2368" t="s">
        <v>927</v>
      </c>
      <c r="D2368" t="s">
        <v>3052</v>
      </c>
      <c r="E2368" t="s">
        <v>3053</v>
      </c>
      <c r="F2368" t="s">
        <v>417</v>
      </c>
      <c r="G2368" t="s">
        <v>418</v>
      </c>
      <c r="H2368" t="s">
        <v>4601</v>
      </c>
      <c r="I2368">
        <v>6</v>
      </c>
      <c r="J2368">
        <v>0</v>
      </c>
      <c r="K2368">
        <v>0</v>
      </c>
      <c r="L2368">
        <v>6</v>
      </c>
      <c r="M2368">
        <v>0</v>
      </c>
      <c r="N2368">
        <v>0</v>
      </c>
      <c r="O2368">
        <v>0</v>
      </c>
    </row>
    <row r="2369" spans="1:15" x14ac:dyDescent="0.25">
      <c r="A2369" t="s">
        <v>11720</v>
      </c>
      <c r="B2369" t="s">
        <v>10718</v>
      </c>
      <c r="C2369" t="s">
        <v>927</v>
      </c>
      <c r="D2369" t="s">
        <v>3052</v>
      </c>
      <c r="E2369" t="s">
        <v>3053</v>
      </c>
      <c r="F2369" t="s">
        <v>417</v>
      </c>
      <c r="G2369" t="s">
        <v>418</v>
      </c>
      <c r="H2369" t="s">
        <v>14660</v>
      </c>
      <c r="I2369">
        <v>88</v>
      </c>
      <c r="J2369">
        <v>43</v>
      </c>
      <c r="K2369">
        <v>0</v>
      </c>
      <c r="L2369">
        <v>0</v>
      </c>
      <c r="M2369">
        <v>0</v>
      </c>
      <c r="N2369">
        <v>0</v>
      </c>
      <c r="O2369">
        <v>45</v>
      </c>
    </row>
    <row r="2370" spans="1:15" x14ac:dyDescent="0.25">
      <c r="A2370" t="s">
        <v>9788</v>
      </c>
      <c r="B2370" t="s">
        <v>9871</v>
      </c>
      <c r="C2370" t="s">
        <v>927</v>
      </c>
      <c r="D2370" t="s">
        <v>3052</v>
      </c>
      <c r="E2370" t="s">
        <v>3053</v>
      </c>
      <c r="F2370" t="s">
        <v>417</v>
      </c>
      <c r="G2370" t="s">
        <v>418</v>
      </c>
      <c r="H2370" t="s">
        <v>14661</v>
      </c>
      <c r="I2370">
        <v>36</v>
      </c>
      <c r="J2370">
        <v>36</v>
      </c>
      <c r="K2370">
        <v>0</v>
      </c>
      <c r="L2370">
        <v>0</v>
      </c>
      <c r="M2370">
        <v>0</v>
      </c>
      <c r="N2370">
        <v>0</v>
      </c>
      <c r="O2370">
        <v>0</v>
      </c>
    </row>
    <row r="2371" spans="1:15" x14ac:dyDescent="0.25">
      <c r="A2371" t="s">
        <v>1056</v>
      </c>
      <c r="B2371" t="s">
        <v>2966</v>
      </c>
      <c r="C2371" t="s">
        <v>927</v>
      </c>
      <c r="D2371" t="s">
        <v>3052</v>
      </c>
      <c r="E2371" t="s">
        <v>3053</v>
      </c>
      <c r="F2371" t="s">
        <v>417</v>
      </c>
      <c r="G2371" t="s">
        <v>418</v>
      </c>
      <c r="H2371" t="s">
        <v>4602</v>
      </c>
      <c r="I2371">
        <v>40</v>
      </c>
      <c r="J2371">
        <v>40</v>
      </c>
      <c r="K2371">
        <v>0</v>
      </c>
      <c r="L2371">
        <v>0</v>
      </c>
      <c r="M2371">
        <v>0</v>
      </c>
      <c r="N2371">
        <v>1</v>
      </c>
      <c r="O2371">
        <v>0</v>
      </c>
    </row>
    <row r="2372" spans="1:15" x14ac:dyDescent="0.25">
      <c r="A2372" t="s">
        <v>11663</v>
      </c>
      <c r="B2372" t="s">
        <v>11768</v>
      </c>
      <c r="C2372" t="s">
        <v>927</v>
      </c>
      <c r="D2372" t="s">
        <v>3052</v>
      </c>
      <c r="E2372" t="s">
        <v>3053</v>
      </c>
      <c r="F2372" t="s">
        <v>417</v>
      </c>
      <c r="G2372" t="s">
        <v>418</v>
      </c>
      <c r="H2372" t="s">
        <v>11975</v>
      </c>
      <c r="I2372">
        <v>125</v>
      </c>
      <c r="J2372">
        <v>75</v>
      </c>
      <c r="K2372">
        <v>0</v>
      </c>
      <c r="L2372">
        <v>0</v>
      </c>
      <c r="M2372">
        <v>0</v>
      </c>
      <c r="N2372">
        <v>0</v>
      </c>
      <c r="O2372">
        <v>50</v>
      </c>
    </row>
    <row r="2373" spans="1:15" x14ac:dyDescent="0.25">
      <c r="A2373" t="s">
        <v>14374</v>
      </c>
      <c r="B2373" t="s">
        <v>1943</v>
      </c>
      <c r="C2373" t="s">
        <v>927</v>
      </c>
      <c r="D2373" t="s">
        <v>3052</v>
      </c>
      <c r="E2373" t="s">
        <v>3053</v>
      </c>
      <c r="F2373" t="s">
        <v>417</v>
      </c>
      <c r="G2373" t="s">
        <v>418</v>
      </c>
      <c r="H2373" t="s">
        <v>14662</v>
      </c>
      <c r="I2373">
        <v>57</v>
      </c>
      <c r="J2373">
        <v>0</v>
      </c>
      <c r="K2373">
        <v>0</v>
      </c>
      <c r="L2373">
        <v>0</v>
      </c>
      <c r="M2373">
        <v>0</v>
      </c>
      <c r="N2373">
        <v>0</v>
      </c>
      <c r="O2373">
        <v>57</v>
      </c>
    </row>
    <row r="2374" spans="1:15" x14ac:dyDescent="0.25">
      <c r="A2374" t="s">
        <v>1072</v>
      </c>
      <c r="B2374" t="s">
        <v>2907</v>
      </c>
      <c r="C2374" t="s">
        <v>927</v>
      </c>
      <c r="D2374" t="s">
        <v>3052</v>
      </c>
      <c r="E2374" t="s">
        <v>3053</v>
      </c>
      <c r="F2374" t="s">
        <v>417</v>
      </c>
      <c r="G2374" t="s">
        <v>418</v>
      </c>
      <c r="H2374" t="s">
        <v>4603</v>
      </c>
      <c r="I2374">
        <v>30</v>
      </c>
      <c r="J2374">
        <v>15</v>
      </c>
      <c r="K2374">
        <v>0</v>
      </c>
      <c r="L2374">
        <v>0</v>
      </c>
      <c r="M2374">
        <v>12</v>
      </c>
      <c r="N2374">
        <v>0</v>
      </c>
      <c r="O2374">
        <v>3</v>
      </c>
    </row>
    <row r="2375" spans="1:15" x14ac:dyDescent="0.25">
      <c r="A2375" t="s">
        <v>1684</v>
      </c>
      <c r="B2375" t="s">
        <v>2845</v>
      </c>
      <c r="C2375" t="s">
        <v>927</v>
      </c>
      <c r="D2375" t="s">
        <v>3052</v>
      </c>
      <c r="E2375" t="s">
        <v>3053</v>
      </c>
      <c r="F2375" t="s">
        <v>417</v>
      </c>
      <c r="G2375" t="s">
        <v>418</v>
      </c>
      <c r="H2375" t="s">
        <v>4604</v>
      </c>
      <c r="I2375">
        <v>26</v>
      </c>
      <c r="J2375">
        <v>13</v>
      </c>
      <c r="K2375">
        <v>0</v>
      </c>
      <c r="L2375">
        <v>11</v>
      </c>
      <c r="M2375">
        <v>0</v>
      </c>
      <c r="N2375">
        <v>0</v>
      </c>
      <c r="O2375">
        <v>2</v>
      </c>
    </row>
    <row r="2376" spans="1:15" x14ac:dyDescent="0.25">
      <c r="A2376" t="s">
        <v>1691</v>
      </c>
      <c r="B2376" t="s">
        <v>2980</v>
      </c>
      <c r="C2376" t="s">
        <v>927</v>
      </c>
      <c r="D2376" t="s">
        <v>3052</v>
      </c>
      <c r="E2376" t="s">
        <v>3053</v>
      </c>
      <c r="F2376" t="s">
        <v>417</v>
      </c>
      <c r="G2376" t="s">
        <v>418</v>
      </c>
      <c r="H2376" t="s">
        <v>4605</v>
      </c>
      <c r="I2376">
        <v>76</v>
      </c>
      <c r="J2376">
        <v>1</v>
      </c>
      <c r="K2376">
        <v>0</v>
      </c>
      <c r="L2376">
        <v>11</v>
      </c>
      <c r="M2376">
        <v>40</v>
      </c>
      <c r="N2376">
        <v>0</v>
      </c>
      <c r="O2376">
        <v>24</v>
      </c>
    </row>
    <row r="2377" spans="1:15" x14ac:dyDescent="0.25">
      <c r="A2377" t="s">
        <v>1399</v>
      </c>
      <c r="B2377" t="s">
        <v>2903</v>
      </c>
      <c r="C2377" t="s">
        <v>923</v>
      </c>
      <c r="D2377" t="s">
        <v>3063</v>
      </c>
      <c r="E2377" t="s">
        <v>3053</v>
      </c>
      <c r="F2377" t="s">
        <v>417</v>
      </c>
      <c r="G2377" t="s">
        <v>418</v>
      </c>
      <c r="H2377" t="s">
        <v>4606</v>
      </c>
      <c r="I2377">
        <v>56</v>
      </c>
      <c r="J2377">
        <v>0</v>
      </c>
      <c r="K2377">
        <v>0</v>
      </c>
      <c r="L2377">
        <v>56</v>
      </c>
      <c r="M2377">
        <v>0</v>
      </c>
      <c r="N2377">
        <v>0</v>
      </c>
      <c r="O2377">
        <v>0</v>
      </c>
    </row>
    <row r="2378" spans="1:15" x14ac:dyDescent="0.25">
      <c r="A2378" t="s">
        <v>973</v>
      </c>
      <c r="B2378" t="s">
        <v>1957</v>
      </c>
      <c r="C2378" t="s">
        <v>923</v>
      </c>
      <c r="D2378" t="s">
        <v>3063</v>
      </c>
      <c r="E2378" t="s">
        <v>3053</v>
      </c>
      <c r="F2378" t="s">
        <v>419</v>
      </c>
      <c r="G2378" t="s">
        <v>420</v>
      </c>
      <c r="H2378" t="s">
        <v>4607</v>
      </c>
      <c r="I2378">
        <v>47</v>
      </c>
      <c r="J2378">
        <v>34</v>
      </c>
      <c r="K2378">
        <v>0</v>
      </c>
      <c r="L2378">
        <v>13</v>
      </c>
      <c r="M2378">
        <v>0</v>
      </c>
      <c r="N2378">
        <v>0</v>
      </c>
      <c r="O2378">
        <v>0</v>
      </c>
    </row>
    <row r="2379" spans="1:15" x14ac:dyDescent="0.25">
      <c r="A2379" t="s">
        <v>929</v>
      </c>
      <c r="B2379" t="s">
        <v>2999</v>
      </c>
      <c r="C2379" t="s">
        <v>927</v>
      </c>
      <c r="D2379" t="s">
        <v>3052</v>
      </c>
      <c r="E2379" t="s">
        <v>3053</v>
      </c>
      <c r="F2379" t="s">
        <v>419</v>
      </c>
      <c r="G2379" t="s">
        <v>420</v>
      </c>
      <c r="H2379" t="s">
        <v>4608</v>
      </c>
      <c r="I2379">
        <v>250</v>
      </c>
      <c r="J2379">
        <v>0</v>
      </c>
      <c r="K2379">
        <v>0</v>
      </c>
      <c r="L2379">
        <v>0</v>
      </c>
      <c r="M2379">
        <v>250</v>
      </c>
      <c r="N2379">
        <v>0</v>
      </c>
      <c r="O2379">
        <v>0</v>
      </c>
    </row>
    <row r="2380" spans="1:15" x14ac:dyDescent="0.25">
      <c r="A2380" t="s">
        <v>9782</v>
      </c>
      <c r="B2380" t="s">
        <v>2310</v>
      </c>
      <c r="C2380" t="s">
        <v>923</v>
      </c>
      <c r="D2380" t="s">
        <v>3063</v>
      </c>
      <c r="E2380" t="s">
        <v>3053</v>
      </c>
      <c r="F2380" t="s">
        <v>419</v>
      </c>
      <c r="G2380" t="s">
        <v>420</v>
      </c>
      <c r="H2380" t="s">
        <v>9899</v>
      </c>
      <c r="I2380">
        <v>33</v>
      </c>
      <c r="J2380">
        <v>33</v>
      </c>
      <c r="K2380">
        <v>0</v>
      </c>
      <c r="L2380">
        <v>0</v>
      </c>
      <c r="M2380">
        <v>0</v>
      </c>
      <c r="N2380">
        <v>0</v>
      </c>
      <c r="O2380">
        <v>0</v>
      </c>
    </row>
    <row r="2381" spans="1:15" x14ac:dyDescent="0.25">
      <c r="A2381" t="s">
        <v>9790</v>
      </c>
      <c r="B2381" t="s">
        <v>1977</v>
      </c>
      <c r="C2381" t="s">
        <v>923</v>
      </c>
      <c r="D2381" t="s">
        <v>3063</v>
      </c>
      <c r="E2381" t="s">
        <v>3053</v>
      </c>
      <c r="F2381" t="s">
        <v>419</v>
      </c>
      <c r="G2381" t="s">
        <v>420</v>
      </c>
      <c r="H2381" t="s">
        <v>11976</v>
      </c>
      <c r="I2381">
        <v>2</v>
      </c>
      <c r="J2381">
        <v>0</v>
      </c>
      <c r="K2381">
        <v>0</v>
      </c>
      <c r="L2381">
        <v>2</v>
      </c>
      <c r="M2381">
        <v>0</v>
      </c>
      <c r="N2381">
        <v>0</v>
      </c>
      <c r="O2381">
        <v>0</v>
      </c>
    </row>
    <row r="2382" spans="1:15" x14ac:dyDescent="0.25">
      <c r="A2382" t="s">
        <v>9784</v>
      </c>
      <c r="B2382" t="s">
        <v>1994</v>
      </c>
      <c r="C2382" t="s">
        <v>927</v>
      </c>
      <c r="D2382" t="s">
        <v>3052</v>
      </c>
      <c r="E2382" t="s">
        <v>3053</v>
      </c>
      <c r="F2382" t="s">
        <v>419</v>
      </c>
      <c r="G2382" t="s">
        <v>420</v>
      </c>
      <c r="H2382" t="s">
        <v>9932</v>
      </c>
      <c r="I2382">
        <v>3</v>
      </c>
      <c r="J2382">
        <v>0</v>
      </c>
      <c r="K2382">
        <v>0</v>
      </c>
      <c r="L2382">
        <v>3</v>
      </c>
      <c r="M2382">
        <v>0</v>
      </c>
      <c r="N2382">
        <v>0</v>
      </c>
      <c r="O2382">
        <v>0</v>
      </c>
    </row>
    <row r="2383" spans="1:15" x14ac:dyDescent="0.25">
      <c r="A2383" t="s">
        <v>991</v>
      </c>
      <c r="B2383" t="s">
        <v>1976</v>
      </c>
      <c r="C2383" t="s">
        <v>923</v>
      </c>
      <c r="D2383" t="s">
        <v>3063</v>
      </c>
      <c r="E2383" t="s">
        <v>3053</v>
      </c>
      <c r="F2383" t="s">
        <v>419</v>
      </c>
      <c r="G2383" t="s">
        <v>420</v>
      </c>
      <c r="H2383" t="s">
        <v>4609</v>
      </c>
      <c r="I2383">
        <v>29</v>
      </c>
      <c r="J2383">
        <v>0</v>
      </c>
      <c r="K2383">
        <v>0</v>
      </c>
      <c r="L2383">
        <v>29</v>
      </c>
      <c r="M2383">
        <v>0</v>
      </c>
      <c r="N2383">
        <v>0</v>
      </c>
      <c r="O2383">
        <v>0</v>
      </c>
    </row>
    <row r="2384" spans="1:15" x14ac:dyDescent="0.25">
      <c r="A2384" t="s">
        <v>993</v>
      </c>
      <c r="B2384" t="s">
        <v>1931</v>
      </c>
      <c r="C2384" t="s">
        <v>923</v>
      </c>
      <c r="D2384" t="s">
        <v>3063</v>
      </c>
      <c r="E2384" t="s">
        <v>3053</v>
      </c>
      <c r="F2384" t="s">
        <v>419</v>
      </c>
      <c r="G2384" t="s">
        <v>420</v>
      </c>
      <c r="H2384" t="s">
        <v>4610</v>
      </c>
      <c r="I2384">
        <v>153</v>
      </c>
      <c r="J2384">
        <v>153</v>
      </c>
      <c r="K2384">
        <v>0</v>
      </c>
      <c r="L2384">
        <v>0</v>
      </c>
      <c r="M2384">
        <v>0</v>
      </c>
      <c r="N2384">
        <v>0</v>
      </c>
      <c r="O2384">
        <v>0</v>
      </c>
    </row>
    <row r="2385" spans="1:15" x14ac:dyDescent="0.25">
      <c r="A2385" t="s">
        <v>9785</v>
      </c>
      <c r="B2385" t="s">
        <v>1967</v>
      </c>
      <c r="C2385" t="s">
        <v>923</v>
      </c>
      <c r="D2385" t="s">
        <v>3063</v>
      </c>
      <c r="E2385" t="s">
        <v>3053</v>
      </c>
      <c r="F2385" t="s">
        <v>419</v>
      </c>
      <c r="G2385" t="s">
        <v>420</v>
      </c>
      <c r="H2385" t="s">
        <v>10044</v>
      </c>
      <c r="I2385">
        <v>14</v>
      </c>
      <c r="J2385">
        <v>0</v>
      </c>
      <c r="K2385">
        <v>0</v>
      </c>
      <c r="L2385">
        <v>14</v>
      </c>
      <c r="M2385">
        <v>0</v>
      </c>
      <c r="N2385">
        <v>0</v>
      </c>
      <c r="O2385">
        <v>0</v>
      </c>
    </row>
    <row r="2386" spans="1:15" x14ac:dyDescent="0.25">
      <c r="A2386" t="s">
        <v>996</v>
      </c>
      <c r="B2386" t="s">
        <v>1952</v>
      </c>
      <c r="C2386" t="s">
        <v>923</v>
      </c>
      <c r="D2386" t="s">
        <v>3063</v>
      </c>
      <c r="E2386" t="s">
        <v>3053</v>
      </c>
      <c r="F2386" t="s">
        <v>419</v>
      </c>
      <c r="G2386" t="s">
        <v>420</v>
      </c>
      <c r="H2386" t="s">
        <v>4611</v>
      </c>
      <c r="I2386">
        <v>5</v>
      </c>
      <c r="J2386">
        <v>0</v>
      </c>
      <c r="K2386">
        <v>0</v>
      </c>
      <c r="L2386">
        <v>5</v>
      </c>
      <c r="M2386">
        <v>0</v>
      </c>
      <c r="N2386">
        <v>0</v>
      </c>
      <c r="O2386">
        <v>0</v>
      </c>
    </row>
    <row r="2387" spans="1:15" x14ac:dyDescent="0.25">
      <c r="A2387" t="s">
        <v>997</v>
      </c>
      <c r="B2387" t="s">
        <v>2033</v>
      </c>
      <c r="C2387" t="s">
        <v>927</v>
      </c>
      <c r="D2387" t="s">
        <v>3052</v>
      </c>
      <c r="E2387" t="s">
        <v>3053</v>
      </c>
      <c r="F2387" t="s">
        <v>419</v>
      </c>
      <c r="G2387" t="s">
        <v>420</v>
      </c>
      <c r="H2387" t="s">
        <v>4612</v>
      </c>
      <c r="I2387">
        <v>5</v>
      </c>
      <c r="J2387">
        <v>1</v>
      </c>
      <c r="K2387">
        <v>0</v>
      </c>
      <c r="L2387">
        <v>0</v>
      </c>
      <c r="M2387">
        <v>0</v>
      </c>
      <c r="N2387">
        <v>0</v>
      </c>
      <c r="O2387">
        <v>4</v>
      </c>
    </row>
    <row r="2388" spans="1:15" x14ac:dyDescent="0.25">
      <c r="A2388" t="s">
        <v>1000</v>
      </c>
      <c r="B2388" t="s">
        <v>1984</v>
      </c>
      <c r="C2388" t="s">
        <v>923</v>
      </c>
      <c r="D2388" t="s">
        <v>3063</v>
      </c>
      <c r="E2388" t="s">
        <v>3053</v>
      </c>
      <c r="F2388" t="s">
        <v>419</v>
      </c>
      <c r="G2388" t="s">
        <v>420</v>
      </c>
      <c r="H2388" t="s">
        <v>4613</v>
      </c>
      <c r="I2388">
        <v>19</v>
      </c>
      <c r="J2388">
        <v>0</v>
      </c>
      <c r="K2388">
        <v>0</v>
      </c>
      <c r="L2388">
        <v>19</v>
      </c>
      <c r="M2388">
        <v>0</v>
      </c>
      <c r="N2388">
        <v>0</v>
      </c>
      <c r="O2388">
        <v>0</v>
      </c>
    </row>
    <row r="2389" spans="1:15" x14ac:dyDescent="0.25">
      <c r="A2389" t="s">
        <v>1003</v>
      </c>
      <c r="B2389" t="s">
        <v>2862</v>
      </c>
      <c r="C2389" t="s">
        <v>927</v>
      </c>
      <c r="D2389" t="s">
        <v>3052</v>
      </c>
      <c r="E2389" t="s">
        <v>3053</v>
      </c>
      <c r="F2389" t="s">
        <v>419</v>
      </c>
      <c r="G2389" t="s">
        <v>420</v>
      </c>
      <c r="H2389" t="s">
        <v>4614</v>
      </c>
      <c r="I2389">
        <v>113</v>
      </c>
      <c r="J2389">
        <v>82</v>
      </c>
      <c r="K2389">
        <v>0</v>
      </c>
      <c r="L2389">
        <v>0</v>
      </c>
      <c r="M2389">
        <v>0</v>
      </c>
      <c r="N2389">
        <v>0</v>
      </c>
      <c r="O2389">
        <v>31</v>
      </c>
    </row>
    <row r="2390" spans="1:15" x14ac:dyDescent="0.25">
      <c r="A2390" t="s">
        <v>10638</v>
      </c>
      <c r="B2390" t="s">
        <v>2057</v>
      </c>
      <c r="C2390" t="s">
        <v>927</v>
      </c>
      <c r="D2390" t="s">
        <v>3052</v>
      </c>
      <c r="E2390" t="s">
        <v>3053</v>
      </c>
      <c r="F2390" t="s">
        <v>419</v>
      </c>
      <c r="G2390" t="s">
        <v>420</v>
      </c>
      <c r="H2390" t="s">
        <v>10977</v>
      </c>
      <c r="I2390">
        <v>16</v>
      </c>
      <c r="J2390">
        <v>0</v>
      </c>
      <c r="K2390">
        <v>0</v>
      </c>
      <c r="L2390">
        <v>16</v>
      </c>
      <c r="M2390">
        <v>0</v>
      </c>
      <c r="N2390">
        <v>0</v>
      </c>
      <c r="O2390">
        <v>0</v>
      </c>
    </row>
    <row r="2391" spans="1:15" x14ac:dyDescent="0.25">
      <c r="A2391" t="s">
        <v>937</v>
      </c>
      <c r="B2391" t="s">
        <v>1962</v>
      </c>
      <c r="C2391" t="s">
        <v>927</v>
      </c>
      <c r="D2391" t="s">
        <v>3052</v>
      </c>
      <c r="E2391" t="s">
        <v>3053</v>
      </c>
      <c r="F2391" t="s">
        <v>419</v>
      </c>
      <c r="G2391" t="s">
        <v>420</v>
      </c>
      <c r="H2391" t="s">
        <v>4615</v>
      </c>
      <c r="I2391">
        <v>32</v>
      </c>
      <c r="J2391">
        <v>0</v>
      </c>
      <c r="K2391">
        <v>0</v>
      </c>
      <c r="L2391">
        <v>0</v>
      </c>
      <c r="M2391">
        <v>0</v>
      </c>
      <c r="N2391">
        <v>0</v>
      </c>
      <c r="O2391">
        <v>32</v>
      </c>
    </row>
    <row r="2392" spans="1:15" x14ac:dyDescent="0.25">
      <c r="A2392" t="s">
        <v>938</v>
      </c>
      <c r="B2392" t="s">
        <v>2791</v>
      </c>
      <c r="C2392" t="s">
        <v>927</v>
      </c>
      <c r="D2392" t="s">
        <v>3052</v>
      </c>
      <c r="E2392" t="s">
        <v>3053</v>
      </c>
      <c r="F2392" t="s">
        <v>419</v>
      </c>
      <c r="G2392" t="s">
        <v>420</v>
      </c>
      <c r="H2392" t="s">
        <v>4616</v>
      </c>
      <c r="I2392">
        <v>20</v>
      </c>
      <c r="J2392">
        <v>0</v>
      </c>
      <c r="K2392">
        <v>0</v>
      </c>
      <c r="L2392">
        <v>20</v>
      </c>
      <c r="M2392">
        <v>0</v>
      </c>
      <c r="N2392">
        <v>0</v>
      </c>
      <c r="O2392">
        <v>0</v>
      </c>
    </row>
    <row r="2393" spans="1:15" x14ac:dyDescent="0.25">
      <c r="A2393" t="s">
        <v>940</v>
      </c>
      <c r="B2393" t="s">
        <v>2647</v>
      </c>
      <c r="C2393" t="s">
        <v>927</v>
      </c>
      <c r="D2393" t="s">
        <v>3052</v>
      </c>
      <c r="E2393" t="s">
        <v>3053</v>
      </c>
      <c r="F2393" t="s">
        <v>419</v>
      </c>
      <c r="G2393" t="s">
        <v>420</v>
      </c>
      <c r="H2393" t="s">
        <v>4617</v>
      </c>
      <c r="I2393">
        <v>175</v>
      </c>
      <c r="J2393">
        <v>0</v>
      </c>
      <c r="K2393">
        <v>0</v>
      </c>
      <c r="L2393">
        <v>0</v>
      </c>
      <c r="M2393">
        <v>166</v>
      </c>
      <c r="N2393">
        <v>0</v>
      </c>
      <c r="O2393">
        <v>9</v>
      </c>
    </row>
    <row r="2394" spans="1:15" x14ac:dyDescent="0.25">
      <c r="A2394" t="s">
        <v>1013</v>
      </c>
      <c r="B2394" t="s">
        <v>1959</v>
      </c>
      <c r="C2394" t="s">
        <v>927</v>
      </c>
      <c r="D2394" t="s">
        <v>3052</v>
      </c>
      <c r="E2394" t="s">
        <v>3053</v>
      </c>
      <c r="F2394" t="s">
        <v>419</v>
      </c>
      <c r="G2394" t="s">
        <v>420</v>
      </c>
      <c r="H2394" t="s">
        <v>4618</v>
      </c>
      <c r="I2394">
        <v>58</v>
      </c>
      <c r="J2394">
        <v>0</v>
      </c>
      <c r="K2394">
        <v>0</v>
      </c>
      <c r="L2394">
        <v>58</v>
      </c>
      <c r="M2394">
        <v>0</v>
      </c>
      <c r="N2394">
        <v>0</v>
      </c>
      <c r="O2394">
        <v>0</v>
      </c>
    </row>
    <row r="2395" spans="1:15" x14ac:dyDescent="0.25">
      <c r="A2395" t="s">
        <v>1126</v>
      </c>
      <c r="B2395" t="s">
        <v>2130</v>
      </c>
      <c r="C2395" t="s">
        <v>927</v>
      </c>
      <c r="D2395" t="s">
        <v>3052</v>
      </c>
      <c r="E2395" t="s">
        <v>3053</v>
      </c>
      <c r="F2395" t="s">
        <v>419</v>
      </c>
      <c r="G2395" t="s">
        <v>420</v>
      </c>
      <c r="H2395" t="s">
        <v>11977</v>
      </c>
      <c r="I2395">
        <v>12</v>
      </c>
      <c r="J2395">
        <v>12</v>
      </c>
      <c r="K2395">
        <v>0</v>
      </c>
      <c r="L2395">
        <v>0</v>
      </c>
      <c r="M2395">
        <v>0</v>
      </c>
      <c r="N2395">
        <v>0</v>
      </c>
      <c r="O2395">
        <v>0</v>
      </c>
    </row>
    <row r="2396" spans="1:15" x14ac:dyDescent="0.25">
      <c r="A2396" t="s">
        <v>1026</v>
      </c>
      <c r="B2396" t="s">
        <v>2848</v>
      </c>
      <c r="C2396" t="s">
        <v>927</v>
      </c>
      <c r="D2396" t="s">
        <v>3052</v>
      </c>
      <c r="E2396" t="s">
        <v>3053</v>
      </c>
      <c r="F2396" t="s">
        <v>419</v>
      </c>
      <c r="G2396" t="s">
        <v>420</v>
      </c>
      <c r="H2396" t="s">
        <v>4619</v>
      </c>
      <c r="I2396">
        <v>681</v>
      </c>
      <c r="J2396">
        <v>658</v>
      </c>
      <c r="K2396">
        <v>0</v>
      </c>
      <c r="L2396">
        <v>0</v>
      </c>
      <c r="M2396">
        <v>0</v>
      </c>
      <c r="N2396">
        <v>0</v>
      </c>
      <c r="O2396">
        <v>23</v>
      </c>
    </row>
    <row r="2397" spans="1:15" x14ac:dyDescent="0.25">
      <c r="A2397" t="s">
        <v>10681</v>
      </c>
      <c r="B2397" t="s">
        <v>10680</v>
      </c>
      <c r="C2397" t="s">
        <v>927</v>
      </c>
      <c r="D2397" t="s">
        <v>3052</v>
      </c>
      <c r="E2397" t="s">
        <v>3053</v>
      </c>
      <c r="F2397" t="s">
        <v>419</v>
      </c>
      <c r="G2397" t="s">
        <v>420</v>
      </c>
      <c r="H2397" t="s">
        <v>14663</v>
      </c>
      <c r="I2397">
        <v>21</v>
      </c>
      <c r="J2397">
        <v>0</v>
      </c>
      <c r="K2397">
        <v>0</v>
      </c>
      <c r="L2397">
        <v>0</v>
      </c>
      <c r="M2397">
        <v>0</v>
      </c>
      <c r="N2397">
        <v>0</v>
      </c>
      <c r="O2397">
        <v>21</v>
      </c>
    </row>
    <row r="2398" spans="1:15" x14ac:dyDescent="0.25">
      <c r="A2398" t="s">
        <v>943</v>
      </c>
      <c r="B2398" t="s">
        <v>2694</v>
      </c>
      <c r="C2398" t="s">
        <v>927</v>
      </c>
      <c r="D2398" t="s">
        <v>3052</v>
      </c>
      <c r="E2398" t="s">
        <v>3053</v>
      </c>
      <c r="F2398" t="s">
        <v>419</v>
      </c>
      <c r="G2398" t="s">
        <v>420</v>
      </c>
      <c r="H2398" t="s">
        <v>4620</v>
      </c>
      <c r="I2398">
        <v>2390</v>
      </c>
      <c r="J2398">
        <v>1841</v>
      </c>
      <c r="K2398">
        <v>0</v>
      </c>
      <c r="L2398">
        <v>97</v>
      </c>
      <c r="M2398">
        <v>297</v>
      </c>
      <c r="N2398">
        <v>5</v>
      </c>
      <c r="O2398">
        <v>155</v>
      </c>
    </row>
    <row r="2399" spans="1:15" x14ac:dyDescent="0.25">
      <c r="A2399" t="s">
        <v>1033</v>
      </c>
      <c r="B2399" t="s">
        <v>2039</v>
      </c>
      <c r="C2399" t="s">
        <v>923</v>
      </c>
      <c r="D2399" t="s">
        <v>3063</v>
      </c>
      <c r="E2399" t="s">
        <v>3053</v>
      </c>
      <c r="F2399" t="s">
        <v>419</v>
      </c>
      <c r="G2399" t="s">
        <v>420</v>
      </c>
      <c r="H2399" t="s">
        <v>4621</v>
      </c>
      <c r="I2399">
        <v>14</v>
      </c>
      <c r="J2399">
        <v>0</v>
      </c>
      <c r="K2399">
        <v>0</v>
      </c>
      <c r="L2399">
        <v>14</v>
      </c>
      <c r="M2399">
        <v>0</v>
      </c>
      <c r="N2399">
        <v>0</v>
      </c>
      <c r="O2399">
        <v>0</v>
      </c>
    </row>
    <row r="2400" spans="1:15" x14ac:dyDescent="0.25">
      <c r="A2400" t="s">
        <v>1038</v>
      </c>
      <c r="B2400" t="s">
        <v>2068</v>
      </c>
      <c r="C2400" t="s">
        <v>927</v>
      </c>
      <c r="D2400" t="s">
        <v>3052</v>
      </c>
      <c r="E2400" t="s">
        <v>3053</v>
      </c>
      <c r="F2400" t="s">
        <v>419</v>
      </c>
      <c r="G2400" t="s">
        <v>420</v>
      </c>
      <c r="H2400" t="s">
        <v>4622</v>
      </c>
      <c r="I2400">
        <v>130</v>
      </c>
      <c r="J2400">
        <v>107</v>
      </c>
      <c r="K2400">
        <v>0</v>
      </c>
      <c r="L2400">
        <v>2</v>
      </c>
      <c r="M2400">
        <v>0</v>
      </c>
      <c r="N2400">
        <v>0</v>
      </c>
      <c r="O2400">
        <v>21</v>
      </c>
    </row>
    <row r="2401" spans="1:15" x14ac:dyDescent="0.25">
      <c r="A2401" t="s">
        <v>1042</v>
      </c>
      <c r="B2401" t="s">
        <v>2115</v>
      </c>
      <c r="C2401" t="s">
        <v>923</v>
      </c>
      <c r="D2401" t="s">
        <v>3063</v>
      </c>
      <c r="E2401" t="s">
        <v>3053</v>
      </c>
      <c r="F2401" t="s">
        <v>419</v>
      </c>
      <c r="G2401" t="s">
        <v>420</v>
      </c>
      <c r="H2401" t="s">
        <v>4623</v>
      </c>
      <c r="I2401">
        <v>14</v>
      </c>
      <c r="J2401">
        <v>0</v>
      </c>
      <c r="K2401">
        <v>0</v>
      </c>
      <c r="L2401">
        <v>14</v>
      </c>
      <c r="M2401">
        <v>0</v>
      </c>
      <c r="N2401">
        <v>0</v>
      </c>
      <c r="O2401">
        <v>0</v>
      </c>
    </row>
    <row r="2402" spans="1:15" x14ac:dyDescent="0.25">
      <c r="A2402" t="s">
        <v>951</v>
      </c>
      <c r="B2402" t="s">
        <v>2680</v>
      </c>
      <c r="C2402" t="s">
        <v>927</v>
      </c>
      <c r="D2402" t="s">
        <v>3052</v>
      </c>
      <c r="E2402" t="s">
        <v>3053</v>
      </c>
      <c r="F2402" t="s">
        <v>419</v>
      </c>
      <c r="G2402" t="s">
        <v>420</v>
      </c>
      <c r="H2402" t="s">
        <v>4624</v>
      </c>
      <c r="I2402">
        <v>138</v>
      </c>
      <c r="J2402">
        <v>113</v>
      </c>
      <c r="K2402">
        <v>0</v>
      </c>
      <c r="L2402">
        <v>0</v>
      </c>
      <c r="M2402">
        <v>0</v>
      </c>
      <c r="N2402">
        <v>0</v>
      </c>
      <c r="O2402">
        <v>25</v>
      </c>
    </row>
    <row r="2403" spans="1:15" x14ac:dyDescent="0.25">
      <c r="A2403" t="s">
        <v>1048</v>
      </c>
      <c r="B2403" t="s">
        <v>2989</v>
      </c>
      <c r="C2403" t="s">
        <v>927</v>
      </c>
      <c r="D2403" t="s">
        <v>3052</v>
      </c>
      <c r="E2403" t="s">
        <v>3053</v>
      </c>
      <c r="F2403" t="s">
        <v>419</v>
      </c>
      <c r="G2403" t="s">
        <v>420</v>
      </c>
      <c r="H2403" t="s">
        <v>11978</v>
      </c>
      <c r="I2403">
        <v>2119</v>
      </c>
      <c r="J2403">
        <v>1563</v>
      </c>
      <c r="K2403">
        <v>102</v>
      </c>
      <c r="L2403">
        <v>5</v>
      </c>
      <c r="M2403">
        <v>329</v>
      </c>
      <c r="N2403">
        <v>0</v>
      </c>
      <c r="O2403">
        <v>120</v>
      </c>
    </row>
    <row r="2404" spans="1:15" x14ac:dyDescent="0.25">
      <c r="A2404" t="s">
        <v>1053</v>
      </c>
      <c r="B2404" t="s">
        <v>2860</v>
      </c>
      <c r="C2404" t="s">
        <v>923</v>
      </c>
      <c r="D2404" t="s">
        <v>3063</v>
      </c>
      <c r="E2404" t="s">
        <v>3053</v>
      </c>
      <c r="F2404" t="s">
        <v>419</v>
      </c>
      <c r="G2404" t="s">
        <v>420</v>
      </c>
      <c r="H2404" t="s">
        <v>4625</v>
      </c>
      <c r="I2404">
        <v>122</v>
      </c>
      <c r="J2404">
        <v>0</v>
      </c>
      <c r="K2404">
        <v>0</v>
      </c>
      <c r="L2404">
        <v>0</v>
      </c>
      <c r="M2404">
        <v>122</v>
      </c>
      <c r="N2404">
        <v>0</v>
      </c>
      <c r="O2404">
        <v>0</v>
      </c>
    </row>
    <row r="2405" spans="1:15" x14ac:dyDescent="0.25">
      <c r="A2405" t="s">
        <v>11720</v>
      </c>
      <c r="B2405" t="s">
        <v>10718</v>
      </c>
      <c r="C2405" t="s">
        <v>927</v>
      </c>
      <c r="D2405" t="s">
        <v>3052</v>
      </c>
      <c r="E2405" t="s">
        <v>3053</v>
      </c>
      <c r="F2405" t="s">
        <v>419</v>
      </c>
      <c r="G2405" t="s">
        <v>420</v>
      </c>
      <c r="H2405" t="s">
        <v>14664</v>
      </c>
      <c r="I2405">
        <v>14</v>
      </c>
      <c r="J2405">
        <v>6</v>
      </c>
      <c r="K2405">
        <v>0</v>
      </c>
      <c r="L2405">
        <v>0</v>
      </c>
      <c r="M2405">
        <v>0</v>
      </c>
      <c r="N2405">
        <v>0</v>
      </c>
      <c r="O2405">
        <v>8</v>
      </c>
    </row>
    <row r="2406" spans="1:15" x14ac:dyDescent="0.25">
      <c r="A2406" t="s">
        <v>9788</v>
      </c>
      <c r="B2406" t="s">
        <v>9871</v>
      </c>
      <c r="C2406" t="s">
        <v>927</v>
      </c>
      <c r="D2406" t="s">
        <v>3052</v>
      </c>
      <c r="E2406" t="s">
        <v>3053</v>
      </c>
      <c r="F2406" t="s">
        <v>419</v>
      </c>
      <c r="G2406" t="s">
        <v>420</v>
      </c>
      <c r="H2406" t="s">
        <v>10345</v>
      </c>
      <c r="I2406">
        <v>60</v>
      </c>
      <c r="J2406">
        <v>60</v>
      </c>
      <c r="K2406">
        <v>0</v>
      </c>
      <c r="L2406">
        <v>0</v>
      </c>
      <c r="M2406">
        <v>0</v>
      </c>
      <c r="N2406">
        <v>0</v>
      </c>
      <c r="O2406">
        <v>0</v>
      </c>
    </row>
    <row r="2407" spans="1:15" x14ac:dyDescent="0.25">
      <c r="A2407" t="s">
        <v>1056</v>
      </c>
      <c r="B2407" t="s">
        <v>2966</v>
      </c>
      <c r="C2407" t="s">
        <v>927</v>
      </c>
      <c r="D2407" t="s">
        <v>3052</v>
      </c>
      <c r="E2407" t="s">
        <v>3053</v>
      </c>
      <c r="F2407" t="s">
        <v>419</v>
      </c>
      <c r="G2407" t="s">
        <v>420</v>
      </c>
      <c r="H2407" t="s">
        <v>4626</v>
      </c>
      <c r="I2407">
        <v>32</v>
      </c>
      <c r="J2407">
        <v>32</v>
      </c>
      <c r="K2407">
        <v>0</v>
      </c>
      <c r="L2407">
        <v>0</v>
      </c>
      <c r="M2407">
        <v>0</v>
      </c>
      <c r="N2407">
        <v>0</v>
      </c>
      <c r="O2407">
        <v>0</v>
      </c>
    </row>
    <row r="2408" spans="1:15" x14ac:dyDescent="0.25">
      <c r="A2408" t="s">
        <v>955</v>
      </c>
      <c r="B2408" t="s">
        <v>2660</v>
      </c>
      <c r="C2408" t="s">
        <v>927</v>
      </c>
      <c r="D2408" t="s">
        <v>3052</v>
      </c>
      <c r="E2408" t="s">
        <v>3053</v>
      </c>
      <c r="F2408" t="s">
        <v>419</v>
      </c>
      <c r="G2408" t="s">
        <v>420</v>
      </c>
      <c r="H2408" t="s">
        <v>4627</v>
      </c>
      <c r="I2408">
        <v>98</v>
      </c>
      <c r="J2408">
        <v>0</v>
      </c>
      <c r="K2408">
        <v>0</v>
      </c>
      <c r="L2408">
        <v>0</v>
      </c>
      <c r="M2408">
        <v>78</v>
      </c>
      <c r="N2408">
        <v>0</v>
      </c>
      <c r="O2408">
        <v>20</v>
      </c>
    </row>
    <row r="2409" spans="1:15" x14ac:dyDescent="0.25">
      <c r="A2409" t="s">
        <v>14374</v>
      </c>
      <c r="B2409" t="s">
        <v>1943</v>
      </c>
      <c r="C2409" t="s">
        <v>927</v>
      </c>
      <c r="D2409" t="s">
        <v>3052</v>
      </c>
      <c r="E2409" t="s">
        <v>3053</v>
      </c>
      <c r="F2409" t="s">
        <v>419</v>
      </c>
      <c r="G2409" t="s">
        <v>420</v>
      </c>
      <c r="H2409" t="s">
        <v>14665</v>
      </c>
      <c r="I2409">
        <v>41</v>
      </c>
      <c r="J2409">
        <v>0</v>
      </c>
      <c r="K2409">
        <v>0</v>
      </c>
      <c r="L2409">
        <v>0</v>
      </c>
      <c r="M2409">
        <v>0</v>
      </c>
      <c r="N2409">
        <v>0</v>
      </c>
      <c r="O2409">
        <v>41</v>
      </c>
    </row>
    <row r="2410" spans="1:15" x14ac:dyDescent="0.25">
      <c r="A2410" t="s">
        <v>962</v>
      </c>
      <c r="B2410" t="s">
        <v>2752</v>
      </c>
      <c r="C2410" t="s">
        <v>927</v>
      </c>
      <c r="D2410" t="s">
        <v>3052</v>
      </c>
      <c r="E2410" t="s">
        <v>3053</v>
      </c>
      <c r="F2410" t="s">
        <v>419</v>
      </c>
      <c r="G2410" t="s">
        <v>420</v>
      </c>
      <c r="H2410" t="s">
        <v>4628</v>
      </c>
      <c r="I2410">
        <v>115</v>
      </c>
      <c r="J2410">
        <v>75</v>
      </c>
      <c r="K2410">
        <v>0</v>
      </c>
      <c r="L2410">
        <v>0</v>
      </c>
      <c r="M2410">
        <v>38</v>
      </c>
      <c r="N2410">
        <v>0</v>
      </c>
      <c r="O2410">
        <v>2</v>
      </c>
    </row>
    <row r="2411" spans="1:15" x14ac:dyDescent="0.25">
      <c r="A2411" t="s">
        <v>1069</v>
      </c>
      <c r="B2411" t="s">
        <v>2001</v>
      </c>
      <c r="C2411" t="s">
        <v>927</v>
      </c>
      <c r="D2411" t="s">
        <v>3052</v>
      </c>
      <c r="E2411" t="s">
        <v>3053</v>
      </c>
      <c r="F2411" t="s">
        <v>419</v>
      </c>
      <c r="G2411" t="s">
        <v>420</v>
      </c>
      <c r="H2411" t="s">
        <v>4629</v>
      </c>
      <c r="I2411">
        <v>883</v>
      </c>
      <c r="J2411">
        <v>765</v>
      </c>
      <c r="K2411">
        <v>0</v>
      </c>
      <c r="L2411">
        <v>0</v>
      </c>
      <c r="M2411">
        <v>93</v>
      </c>
      <c r="N2411">
        <v>0</v>
      </c>
      <c r="O2411">
        <v>25</v>
      </c>
    </row>
    <row r="2412" spans="1:15" x14ac:dyDescent="0.25">
      <c r="A2412" t="s">
        <v>1072</v>
      </c>
      <c r="B2412" t="s">
        <v>2907</v>
      </c>
      <c r="C2412" t="s">
        <v>927</v>
      </c>
      <c r="D2412" t="s">
        <v>3052</v>
      </c>
      <c r="E2412" t="s">
        <v>3053</v>
      </c>
      <c r="F2412" t="s">
        <v>419</v>
      </c>
      <c r="G2412" t="s">
        <v>420</v>
      </c>
      <c r="H2412" t="s">
        <v>4630</v>
      </c>
      <c r="I2412">
        <v>685</v>
      </c>
      <c r="J2412">
        <v>530</v>
      </c>
      <c r="K2412">
        <v>0</v>
      </c>
      <c r="L2412">
        <v>102</v>
      </c>
      <c r="M2412">
        <v>0</v>
      </c>
      <c r="N2412">
        <v>0</v>
      </c>
      <c r="O2412">
        <v>53</v>
      </c>
    </row>
    <row r="2413" spans="1:15" x14ac:dyDescent="0.25">
      <c r="A2413" t="s">
        <v>1076</v>
      </c>
      <c r="B2413" t="s">
        <v>2852</v>
      </c>
      <c r="C2413" t="s">
        <v>927</v>
      </c>
      <c r="D2413" t="s">
        <v>3052</v>
      </c>
      <c r="E2413" t="s">
        <v>3053</v>
      </c>
      <c r="F2413" t="s">
        <v>419</v>
      </c>
      <c r="G2413" t="s">
        <v>420</v>
      </c>
      <c r="H2413" t="s">
        <v>10503</v>
      </c>
      <c r="I2413">
        <v>6</v>
      </c>
      <c r="J2413">
        <v>6</v>
      </c>
      <c r="K2413">
        <v>0</v>
      </c>
      <c r="L2413">
        <v>0</v>
      </c>
      <c r="M2413">
        <v>0</v>
      </c>
      <c r="N2413">
        <v>0</v>
      </c>
      <c r="O2413">
        <v>0</v>
      </c>
    </row>
    <row r="2414" spans="1:15" x14ac:dyDescent="0.25">
      <c r="A2414" t="s">
        <v>1079</v>
      </c>
      <c r="B2414" t="s">
        <v>2810</v>
      </c>
      <c r="C2414" t="s">
        <v>927</v>
      </c>
      <c r="D2414" t="s">
        <v>3052</v>
      </c>
      <c r="E2414" t="s">
        <v>3053</v>
      </c>
      <c r="F2414" t="s">
        <v>419</v>
      </c>
      <c r="G2414" t="s">
        <v>420</v>
      </c>
      <c r="H2414" t="s">
        <v>4631</v>
      </c>
      <c r="I2414">
        <v>51</v>
      </c>
      <c r="J2414">
        <v>43</v>
      </c>
      <c r="K2414">
        <v>0</v>
      </c>
      <c r="L2414">
        <v>8</v>
      </c>
      <c r="M2414">
        <v>0</v>
      </c>
      <c r="N2414">
        <v>0</v>
      </c>
      <c r="O2414">
        <v>0</v>
      </c>
    </row>
    <row r="2415" spans="1:15" x14ac:dyDescent="0.25">
      <c r="A2415" t="s">
        <v>1082</v>
      </c>
      <c r="B2415" t="s">
        <v>2622</v>
      </c>
      <c r="C2415" t="s">
        <v>923</v>
      </c>
      <c r="D2415" t="s">
        <v>3063</v>
      </c>
      <c r="E2415" t="s">
        <v>3053</v>
      </c>
      <c r="F2415" t="s">
        <v>419</v>
      </c>
      <c r="G2415" t="s">
        <v>420</v>
      </c>
      <c r="H2415" t="s">
        <v>4632</v>
      </c>
      <c r="I2415">
        <v>141</v>
      </c>
      <c r="J2415">
        <v>0</v>
      </c>
      <c r="K2415">
        <v>0</v>
      </c>
      <c r="L2415">
        <v>141</v>
      </c>
      <c r="M2415">
        <v>0</v>
      </c>
      <c r="N2415">
        <v>0</v>
      </c>
      <c r="O2415">
        <v>0</v>
      </c>
    </row>
    <row r="2416" spans="1:15" x14ac:dyDescent="0.25">
      <c r="A2416" t="s">
        <v>979</v>
      </c>
      <c r="B2416" t="s">
        <v>2273</v>
      </c>
      <c r="C2416" t="s">
        <v>923</v>
      </c>
      <c r="D2416" t="s">
        <v>3063</v>
      </c>
      <c r="E2416" t="s">
        <v>3053</v>
      </c>
      <c r="F2416" t="s">
        <v>421</v>
      </c>
      <c r="G2416" t="s">
        <v>422</v>
      </c>
      <c r="H2416" t="s">
        <v>4633</v>
      </c>
      <c r="I2416">
        <v>46</v>
      </c>
      <c r="J2416">
        <v>46</v>
      </c>
      <c r="K2416">
        <v>0</v>
      </c>
      <c r="L2416">
        <v>0</v>
      </c>
      <c r="M2416">
        <v>0</v>
      </c>
      <c r="N2416">
        <v>0</v>
      </c>
      <c r="O2416">
        <v>0</v>
      </c>
    </row>
    <row r="2417" spans="1:15" x14ac:dyDescent="0.25">
      <c r="A2417" t="s">
        <v>997</v>
      </c>
      <c r="B2417" t="s">
        <v>2033</v>
      </c>
      <c r="C2417" t="s">
        <v>927</v>
      </c>
      <c r="D2417" t="s">
        <v>3052</v>
      </c>
      <c r="E2417" t="s">
        <v>3053</v>
      </c>
      <c r="F2417" t="s">
        <v>421</v>
      </c>
      <c r="G2417" t="s">
        <v>422</v>
      </c>
      <c r="H2417" t="s">
        <v>4634</v>
      </c>
      <c r="I2417">
        <v>20</v>
      </c>
      <c r="J2417">
        <v>8</v>
      </c>
      <c r="K2417">
        <v>0</v>
      </c>
      <c r="L2417">
        <v>4</v>
      </c>
      <c r="M2417">
        <v>0</v>
      </c>
      <c r="N2417">
        <v>0</v>
      </c>
      <c r="O2417">
        <v>8</v>
      </c>
    </row>
    <row r="2418" spans="1:15" x14ac:dyDescent="0.25">
      <c r="A2418" t="s">
        <v>1003</v>
      </c>
      <c r="B2418" t="s">
        <v>2862</v>
      </c>
      <c r="C2418" t="s">
        <v>927</v>
      </c>
      <c r="D2418" t="s">
        <v>3052</v>
      </c>
      <c r="E2418" t="s">
        <v>3053</v>
      </c>
      <c r="F2418" t="s">
        <v>421</v>
      </c>
      <c r="G2418" t="s">
        <v>422</v>
      </c>
      <c r="H2418" t="s">
        <v>4635</v>
      </c>
      <c r="I2418">
        <v>18</v>
      </c>
      <c r="J2418">
        <v>13</v>
      </c>
      <c r="K2418">
        <v>0</v>
      </c>
      <c r="L2418">
        <v>0</v>
      </c>
      <c r="M2418">
        <v>0</v>
      </c>
      <c r="N2418">
        <v>0</v>
      </c>
      <c r="O2418">
        <v>5</v>
      </c>
    </row>
    <row r="2419" spans="1:15" x14ac:dyDescent="0.25">
      <c r="A2419" t="s">
        <v>10638</v>
      </c>
      <c r="B2419" t="s">
        <v>2057</v>
      </c>
      <c r="C2419" t="s">
        <v>927</v>
      </c>
      <c r="D2419" t="s">
        <v>3052</v>
      </c>
      <c r="E2419" t="s">
        <v>3053</v>
      </c>
      <c r="F2419" t="s">
        <v>421</v>
      </c>
      <c r="G2419" t="s">
        <v>422</v>
      </c>
      <c r="H2419" t="s">
        <v>10978</v>
      </c>
      <c r="I2419">
        <v>4</v>
      </c>
      <c r="J2419">
        <v>0</v>
      </c>
      <c r="K2419">
        <v>0</v>
      </c>
      <c r="L2419">
        <v>4</v>
      </c>
      <c r="M2419">
        <v>0</v>
      </c>
      <c r="N2419">
        <v>0</v>
      </c>
      <c r="O2419">
        <v>0</v>
      </c>
    </row>
    <row r="2420" spans="1:15" x14ac:dyDescent="0.25">
      <c r="A2420" t="s">
        <v>9786</v>
      </c>
      <c r="B2420" t="s">
        <v>2616</v>
      </c>
      <c r="C2420" t="s">
        <v>923</v>
      </c>
      <c r="D2420" t="s">
        <v>3063</v>
      </c>
      <c r="E2420" t="s">
        <v>3053</v>
      </c>
      <c r="F2420" t="s">
        <v>421</v>
      </c>
      <c r="G2420" t="s">
        <v>422</v>
      </c>
      <c r="H2420" t="s">
        <v>10069</v>
      </c>
      <c r="I2420">
        <v>8</v>
      </c>
      <c r="J2420">
        <v>0</v>
      </c>
      <c r="K2420">
        <v>0</v>
      </c>
      <c r="L2420">
        <v>0</v>
      </c>
      <c r="M2420">
        <v>8</v>
      </c>
      <c r="N2420">
        <v>0</v>
      </c>
      <c r="O2420">
        <v>0</v>
      </c>
    </row>
    <row r="2421" spans="1:15" x14ac:dyDescent="0.25">
      <c r="A2421" t="s">
        <v>1006</v>
      </c>
      <c r="B2421" t="s">
        <v>2724</v>
      </c>
      <c r="C2421" t="s">
        <v>927</v>
      </c>
      <c r="D2421" t="s">
        <v>3052</v>
      </c>
      <c r="E2421" t="s">
        <v>3053</v>
      </c>
      <c r="F2421" t="s">
        <v>421</v>
      </c>
      <c r="G2421" t="s">
        <v>422</v>
      </c>
      <c r="H2421" t="s">
        <v>10075</v>
      </c>
      <c r="I2421">
        <v>23</v>
      </c>
      <c r="J2421">
        <v>19</v>
      </c>
      <c r="K2421">
        <v>0</v>
      </c>
      <c r="L2421">
        <v>0</v>
      </c>
      <c r="M2421">
        <v>0</v>
      </c>
      <c r="N2421">
        <v>0</v>
      </c>
      <c r="O2421">
        <v>4</v>
      </c>
    </row>
    <row r="2422" spans="1:15" x14ac:dyDescent="0.25">
      <c r="A2422" t="s">
        <v>937</v>
      </c>
      <c r="B2422" t="s">
        <v>1962</v>
      </c>
      <c r="C2422" t="s">
        <v>927</v>
      </c>
      <c r="D2422" t="s">
        <v>3052</v>
      </c>
      <c r="E2422" t="s">
        <v>3053</v>
      </c>
      <c r="F2422" t="s">
        <v>421</v>
      </c>
      <c r="G2422" t="s">
        <v>422</v>
      </c>
      <c r="H2422" t="s">
        <v>4636</v>
      </c>
      <c r="I2422">
        <v>7</v>
      </c>
      <c r="J2422">
        <v>0</v>
      </c>
      <c r="K2422">
        <v>0</v>
      </c>
      <c r="L2422">
        <v>0</v>
      </c>
      <c r="M2422">
        <v>0</v>
      </c>
      <c r="N2422">
        <v>0</v>
      </c>
      <c r="O2422">
        <v>7</v>
      </c>
    </row>
    <row r="2423" spans="1:15" x14ac:dyDescent="0.25">
      <c r="A2423" t="s">
        <v>940</v>
      </c>
      <c r="B2423" t="s">
        <v>2647</v>
      </c>
      <c r="C2423" t="s">
        <v>927</v>
      </c>
      <c r="D2423" t="s">
        <v>3052</v>
      </c>
      <c r="E2423" t="s">
        <v>3053</v>
      </c>
      <c r="F2423" t="s">
        <v>421</v>
      </c>
      <c r="G2423" t="s">
        <v>422</v>
      </c>
      <c r="H2423" t="s">
        <v>4637</v>
      </c>
      <c r="I2423">
        <v>26</v>
      </c>
      <c r="J2423">
        <v>0</v>
      </c>
      <c r="K2423">
        <v>0</v>
      </c>
      <c r="L2423">
        <v>0</v>
      </c>
      <c r="M2423">
        <v>26</v>
      </c>
      <c r="N2423">
        <v>0</v>
      </c>
      <c r="O2423">
        <v>0</v>
      </c>
    </row>
    <row r="2424" spans="1:15" x14ac:dyDescent="0.25">
      <c r="A2424" t="s">
        <v>1015</v>
      </c>
      <c r="B2424" t="s">
        <v>2284</v>
      </c>
      <c r="C2424" t="s">
        <v>923</v>
      </c>
      <c r="D2424" t="s">
        <v>3063</v>
      </c>
      <c r="E2424" t="s">
        <v>3053</v>
      </c>
      <c r="F2424" t="s">
        <v>421</v>
      </c>
      <c r="G2424" t="s">
        <v>422</v>
      </c>
      <c r="H2424" t="s">
        <v>4638</v>
      </c>
      <c r="I2424">
        <v>6</v>
      </c>
      <c r="J2424">
        <v>6</v>
      </c>
      <c r="K2424">
        <v>0</v>
      </c>
      <c r="L2424">
        <v>0</v>
      </c>
      <c r="M2424">
        <v>0</v>
      </c>
      <c r="N2424">
        <v>0</v>
      </c>
      <c r="O2424">
        <v>0</v>
      </c>
    </row>
    <row r="2425" spans="1:15" x14ac:dyDescent="0.25">
      <c r="A2425" t="s">
        <v>10681</v>
      </c>
      <c r="B2425" t="s">
        <v>10680</v>
      </c>
      <c r="C2425" t="s">
        <v>927</v>
      </c>
      <c r="D2425" t="s">
        <v>3052</v>
      </c>
      <c r="E2425" t="s">
        <v>3053</v>
      </c>
      <c r="F2425" t="s">
        <v>421</v>
      </c>
      <c r="G2425" t="s">
        <v>422</v>
      </c>
      <c r="H2425" t="s">
        <v>14666</v>
      </c>
      <c r="I2425">
        <v>23</v>
      </c>
      <c r="J2425">
        <v>0</v>
      </c>
      <c r="K2425">
        <v>0</v>
      </c>
      <c r="L2425">
        <v>0</v>
      </c>
      <c r="M2425">
        <v>0</v>
      </c>
      <c r="N2425">
        <v>0</v>
      </c>
      <c r="O2425">
        <v>23</v>
      </c>
    </row>
    <row r="2426" spans="1:15" x14ac:dyDescent="0.25">
      <c r="A2426" t="s">
        <v>943</v>
      </c>
      <c r="B2426" t="s">
        <v>2694</v>
      </c>
      <c r="C2426" t="s">
        <v>927</v>
      </c>
      <c r="D2426" t="s">
        <v>3052</v>
      </c>
      <c r="E2426" t="s">
        <v>3053</v>
      </c>
      <c r="F2426" t="s">
        <v>421</v>
      </c>
      <c r="G2426" t="s">
        <v>422</v>
      </c>
      <c r="H2426" t="s">
        <v>4639</v>
      </c>
      <c r="I2426">
        <v>9</v>
      </c>
      <c r="J2426">
        <v>0</v>
      </c>
      <c r="K2426">
        <v>0</v>
      </c>
      <c r="L2426">
        <v>6</v>
      </c>
      <c r="M2426">
        <v>0</v>
      </c>
      <c r="N2426">
        <v>0</v>
      </c>
      <c r="O2426">
        <v>3</v>
      </c>
    </row>
    <row r="2427" spans="1:15" x14ac:dyDescent="0.25">
      <c r="A2427" t="s">
        <v>1038</v>
      </c>
      <c r="B2427" t="s">
        <v>2068</v>
      </c>
      <c r="C2427" t="s">
        <v>927</v>
      </c>
      <c r="D2427" t="s">
        <v>3052</v>
      </c>
      <c r="E2427" t="s">
        <v>3053</v>
      </c>
      <c r="F2427" t="s">
        <v>421</v>
      </c>
      <c r="G2427" t="s">
        <v>422</v>
      </c>
      <c r="H2427" t="s">
        <v>4640</v>
      </c>
      <c r="I2427">
        <v>354</v>
      </c>
      <c r="J2427">
        <v>237</v>
      </c>
      <c r="K2427">
        <v>0</v>
      </c>
      <c r="L2427">
        <v>33</v>
      </c>
      <c r="M2427">
        <v>0</v>
      </c>
      <c r="N2427">
        <v>0</v>
      </c>
      <c r="O2427">
        <v>84</v>
      </c>
    </row>
    <row r="2428" spans="1:15" x14ac:dyDescent="0.25">
      <c r="A2428" t="s">
        <v>1047</v>
      </c>
      <c r="B2428" t="s">
        <v>2815</v>
      </c>
      <c r="C2428" t="s">
        <v>923</v>
      </c>
      <c r="D2428" t="s">
        <v>3063</v>
      </c>
      <c r="E2428" t="s">
        <v>3053</v>
      </c>
      <c r="F2428" t="s">
        <v>421</v>
      </c>
      <c r="G2428" t="s">
        <v>422</v>
      </c>
      <c r="H2428" t="s">
        <v>4641</v>
      </c>
      <c r="I2428">
        <v>99</v>
      </c>
      <c r="J2428">
        <v>99</v>
      </c>
      <c r="K2428">
        <v>0</v>
      </c>
      <c r="L2428">
        <v>0</v>
      </c>
      <c r="M2428">
        <v>0</v>
      </c>
      <c r="N2428">
        <v>12</v>
      </c>
      <c r="O2428">
        <v>0</v>
      </c>
    </row>
    <row r="2429" spans="1:15" x14ac:dyDescent="0.25">
      <c r="A2429" t="s">
        <v>1048</v>
      </c>
      <c r="B2429" t="s">
        <v>2989</v>
      </c>
      <c r="C2429" t="s">
        <v>927</v>
      </c>
      <c r="D2429" t="s">
        <v>3052</v>
      </c>
      <c r="E2429" t="s">
        <v>3053</v>
      </c>
      <c r="F2429" t="s">
        <v>421</v>
      </c>
      <c r="G2429" t="s">
        <v>422</v>
      </c>
      <c r="H2429" t="s">
        <v>11979</v>
      </c>
      <c r="I2429">
        <v>253</v>
      </c>
      <c r="J2429">
        <v>222</v>
      </c>
      <c r="K2429">
        <v>0</v>
      </c>
      <c r="L2429">
        <v>9</v>
      </c>
      <c r="M2429">
        <v>14</v>
      </c>
      <c r="N2429">
        <v>0</v>
      </c>
      <c r="O2429">
        <v>8</v>
      </c>
    </row>
    <row r="2430" spans="1:15" x14ac:dyDescent="0.25">
      <c r="A2430" t="s">
        <v>1049</v>
      </c>
      <c r="B2430" t="s">
        <v>2138</v>
      </c>
      <c r="C2430" t="s">
        <v>927</v>
      </c>
      <c r="D2430" t="s">
        <v>3052</v>
      </c>
      <c r="E2430" t="s">
        <v>3053</v>
      </c>
      <c r="F2430" t="s">
        <v>421</v>
      </c>
      <c r="G2430" t="s">
        <v>422</v>
      </c>
      <c r="H2430" t="s">
        <v>4642</v>
      </c>
      <c r="I2430">
        <v>3395</v>
      </c>
      <c r="J2430">
        <v>3094</v>
      </c>
      <c r="K2430">
        <v>0</v>
      </c>
      <c r="L2430">
        <v>9</v>
      </c>
      <c r="M2430">
        <v>206</v>
      </c>
      <c r="N2430">
        <v>0</v>
      </c>
      <c r="O2430">
        <v>86</v>
      </c>
    </row>
    <row r="2431" spans="1:15" x14ac:dyDescent="0.25">
      <c r="A2431" t="s">
        <v>11720</v>
      </c>
      <c r="B2431" t="s">
        <v>10718</v>
      </c>
      <c r="C2431" t="s">
        <v>927</v>
      </c>
      <c r="D2431" t="s">
        <v>3052</v>
      </c>
      <c r="E2431" t="s">
        <v>3053</v>
      </c>
      <c r="F2431" t="s">
        <v>421</v>
      </c>
      <c r="G2431" t="s">
        <v>422</v>
      </c>
      <c r="H2431" t="s">
        <v>14667</v>
      </c>
      <c r="I2431">
        <v>9</v>
      </c>
      <c r="J2431">
        <v>9</v>
      </c>
      <c r="K2431">
        <v>0</v>
      </c>
      <c r="L2431">
        <v>0</v>
      </c>
      <c r="M2431">
        <v>0</v>
      </c>
      <c r="N2431">
        <v>0</v>
      </c>
      <c r="O2431">
        <v>0</v>
      </c>
    </row>
    <row r="2432" spans="1:15" x14ac:dyDescent="0.25">
      <c r="A2432" t="s">
        <v>1059</v>
      </c>
      <c r="B2432" t="s">
        <v>2064</v>
      </c>
      <c r="C2432" t="s">
        <v>923</v>
      </c>
      <c r="D2432" t="s">
        <v>3063</v>
      </c>
      <c r="E2432" t="s">
        <v>3053</v>
      </c>
      <c r="F2432" t="s">
        <v>421</v>
      </c>
      <c r="G2432" t="s">
        <v>422</v>
      </c>
      <c r="H2432" t="s">
        <v>4643</v>
      </c>
      <c r="I2432">
        <v>3</v>
      </c>
      <c r="J2432">
        <v>3</v>
      </c>
      <c r="K2432">
        <v>0</v>
      </c>
      <c r="L2432">
        <v>0</v>
      </c>
      <c r="M2432">
        <v>0</v>
      </c>
      <c r="N2432">
        <v>0</v>
      </c>
      <c r="O2432">
        <v>0</v>
      </c>
    </row>
    <row r="2433" spans="1:15" x14ac:dyDescent="0.25">
      <c r="A2433" t="s">
        <v>1060</v>
      </c>
      <c r="B2433" t="s">
        <v>2651</v>
      </c>
      <c r="C2433" t="s">
        <v>927</v>
      </c>
      <c r="D2433" t="s">
        <v>3052</v>
      </c>
      <c r="E2433" t="s">
        <v>3053</v>
      </c>
      <c r="F2433" t="s">
        <v>421</v>
      </c>
      <c r="G2433" t="s">
        <v>422</v>
      </c>
      <c r="H2433" t="s">
        <v>4644</v>
      </c>
      <c r="I2433">
        <v>23</v>
      </c>
      <c r="J2433">
        <v>23</v>
      </c>
      <c r="K2433">
        <v>0</v>
      </c>
      <c r="L2433">
        <v>0</v>
      </c>
      <c r="M2433">
        <v>0</v>
      </c>
      <c r="N2433">
        <v>0</v>
      </c>
      <c r="O2433">
        <v>0</v>
      </c>
    </row>
    <row r="2434" spans="1:15" x14ac:dyDescent="0.25">
      <c r="A2434" t="s">
        <v>1069</v>
      </c>
      <c r="B2434" t="s">
        <v>2001</v>
      </c>
      <c r="C2434" t="s">
        <v>927</v>
      </c>
      <c r="D2434" t="s">
        <v>3052</v>
      </c>
      <c r="E2434" t="s">
        <v>3053</v>
      </c>
      <c r="F2434" t="s">
        <v>421</v>
      </c>
      <c r="G2434" t="s">
        <v>422</v>
      </c>
      <c r="H2434" t="s">
        <v>4645</v>
      </c>
      <c r="I2434">
        <v>166</v>
      </c>
      <c r="J2434">
        <v>125</v>
      </c>
      <c r="K2434">
        <v>0</v>
      </c>
      <c r="L2434">
        <v>0</v>
      </c>
      <c r="M2434">
        <v>20</v>
      </c>
      <c r="N2434">
        <v>0</v>
      </c>
      <c r="O2434">
        <v>21</v>
      </c>
    </row>
    <row r="2435" spans="1:15" x14ac:dyDescent="0.25">
      <c r="A2435" t="s">
        <v>1071</v>
      </c>
      <c r="B2435" t="s">
        <v>2571</v>
      </c>
      <c r="C2435" t="s">
        <v>923</v>
      </c>
      <c r="D2435" t="s">
        <v>3063</v>
      </c>
      <c r="E2435" t="s">
        <v>3053</v>
      </c>
      <c r="F2435" t="s">
        <v>421</v>
      </c>
      <c r="G2435" t="s">
        <v>422</v>
      </c>
      <c r="H2435" t="s">
        <v>10979</v>
      </c>
      <c r="I2435">
        <v>4</v>
      </c>
      <c r="J2435">
        <v>0</v>
      </c>
      <c r="K2435">
        <v>0</v>
      </c>
      <c r="L2435">
        <v>4</v>
      </c>
      <c r="M2435">
        <v>0</v>
      </c>
      <c r="N2435">
        <v>0</v>
      </c>
      <c r="O2435">
        <v>0</v>
      </c>
    </row>
    <row r="2436" spans="1:15" x14ac:dyDescent="0.25">
      <c r="A2436" t="s">
        <v>1016</v>
      </c>
      <c r="B2436" t="s">
        <v>2725</v>
      </c>
      <c r="C2436" t="s">
        <v>927</v>
      </c>
      <c r="D2436" t="s">
        <v>3052</v>
      </c>
      <c r="E2436" t="s">
        <v>3053</v>
      </c>
      <c r="F2436" t="s">
        <v>423</v>
      </c>
      <c r="G2436" t="s">
        <v>424</v>
      </c>
      <c r="H2436" t="s">
        <v>4660</v>
      </c>
      <c r="I2436">
        <v>243</v>
      </c>
      <c r="J2436">
        <v>141</v>
      </c>
      <c r="K2436">
        <v>0</v>
      </c>
      <c r="L2436">
        <v>0</v>
      </c>
      <c r="M2436">
        <v>20</v>
      </c>
      <c r="N2436">
        <v>0</v>
      </c>
      <c r="O2436">
        <v>82</v>
      </c>
    </row>
    <row r="2437" spans="1:15" x14ac:dyDescent="0.25">
      <c r="A2437" t="s">
        <v>972</v>
      </c>
      <c r="B2437" t="s">
        <v>2842</v>
      </c>
      <c r="C2437" t="s">
        <v>927</v>
      </c>
      <c r="D2437" t="s">
        <v>3052</v>
      </c>
      <c r="E2437" t="s">
        <v>3053</v>
      </c>
      <c r="F2437" t="s">
        <v>423</v>
      </c>
      <c r="G2437" t="s">
        <v>424</v>
      </c>
      <c r="H2437" t="s">
        <v>4646</v>
      </c>
      <c r="I2437">
        <v>28</v>
      </c>
      <c r="J2437">
        <v>12</v>
      </c>
      <c r="K2437">
        <v>0</v>
      </c>
      <c r="L2437">
        <v>0</v>
      </c>
      <c r="M2437">
        <v>0</v>
      </c>
      <c r="N2437">
        <v>0</v>
      </c>
      <c r="O2437">
        <v>16</v>
      </c>
    </row>
    <row r="2438" spans="1:15" x14ac:dyDescent="0.25">
      <c r="A2438" t="s">
        <v>973</v>
      </c>
      <c r="B2438" t="s">
        <v>1957</v>
      </c>
      <c r="C2438" t="s">
        <v>923</v>
      </c>
      <c r="D2438" t="s">
        <v>3063</v>
      </c>
      <c r="E2438" t="s">
        <v>3053</v>
      </c>
      <c r="F2438" t="s">
        <v>423</v>
      </c>
      <c r="G2438" t="s">
        <v>424</v>
      </c>
      <c r="H2438" t="s">
        <v>4647</v>
      </c>
      <c r="I2438">
        <v>10</v>
      </c>
      <c r="J2438">
        <v>7</v>
      </c>
      <c r="K2438">
        <v>3</v>
      </c>
      <c r="L2438">
        <v>0</v>
      </c>
      <c r="M2438">
        <v>0</v>
      </c>
      <c r="N2438">
        <v>0</v>
      </c>
      <c r="O2438">
        <v>0</v>
      </c>
    </row>
    <row r="2439" spans="1:15" x14ac:dyDescent="0.25">
      <c r="A2439" t="s">
        <v>926</v>
      </c>
      <c r="B2439" t="s">
        <v>2923</v>
      </c>
      <c r="C2439" t="s">
        <v>927</v>
      </c>
      <c r="D2439" t="s">
        <v>3052</v>
      </c>
      <c r="E2439" t="s">
        <v>3053</v>
      </c>
      <c r="F2439" t="s">
        <v>423</v>
      </c>
      <c r="G2439" t="s">
        <v>424</v>
      </c>
      <c r="H2439" t="s">
        <v>4648</v>
      </c>
      <c r="I2439">
        <v>1</v>
      </c>
      <c r="J2439">
        <v>0</v>
      </c>
      <c r="K2439">
        <v>0</v>
      </c>
      <c r="L2439">
        <v>0</v>
      </c>
      <c r="M2439">
        <v>0</v>
      </c>
      <c r="N2439">
        <v>0</v>
      </c>
      <c r="O2439">
        <v>1</v>
      </c>
    </row>
    <row r="2440" spans="1:15" x14ac:dyDescent="0.25">
      <c r="A2440" t="s">
        <v>975</v>
      </c>
      <c r="B2440" t="s">
        <v>2010</v>
      </c>
      <c r="C2440" t="s">
        <v>923</v>
      </c>
      <c r="D2440" t="s">
        <v>3063</v>
      </c>
      <c r="E2440" t="s">
        <v>3053</v>
      </c>
      <c r="F2440" t="s">
        <v>423</v>
      </c>
      <c r="G2440" t="s">
        <v>424</v>
      </c>
      <c r="H2440" t="s">
        <v>4649</v>
      </c>
      <c r="I2440">
        <v>42</v>
      </c>
      <c r="J2440">
        <v>42</v>
      </c>
      <c r="K2440">
        <v>0</v>
      </c>
      <c r="L2440">
        <v>0</v>
      </c>
      <c r="M2440">
        <v>0</v>
      </c>
      <c r="N2440">
        <v>0</v>
      </c>
      <c r="O2440">
        <v>0</v>
      </c>
    </row>
    <row r="2441" spans="1:15" x14ac:dyDescent="0.25">
      <c r="A2441" t="s">
        <v>929</v>
      </c>
      <c r="B2441" t="s">
        <v>2999</v>
      </c>
      <c r="C2441" t="s">
        <v>927</v>
      </c>
      <c r="D2441" t="s">
        <v>3052</v>
      </c>
      <c r="E2441" t="s">
        <v>3053</v>
      </c>
      <c r="F2441" t="s">
        <v>423</v>
      </c>
      <c r="G2441" t="s">
        <v>424</v>
      </c>
      <c r="H2441" t="s">
        <v>4650</v>
      </c>
      <c r="I2441">
        <v>69</v>
      </c>
      <c r="J2441">
        <v>0</v>
      </c>
      <c r="K2441">
        <v>0</v>
      </c>
      <c r="L2441">
        <v>0</v>
      </c>
      <c r="M2441">
        <v>69</v>
      </c>
      <c r="N2441">
        <v>0</v>
      </c>
      <c r="O2441">
        <v>0</v>
      </c>
    </row>
    <row r="2442" spans="1:15" x14ac:dyDescent="0.25">
      <c r="A2442" t="s">
        <v>1880</v>
      </c>
      <c r="B2442" t="s">
        <v>2340</v>
      </c>
      <c r="C2442" t="s">
        <v>923</v>
      </c>
      <c r="D2442" t="s">
        <v>3063</v>
      </c>
      <c r="E2442" t="s">
        <v>3053</v>
      </c>
      <c r="F2442" t="s">
        <v>423</v>
      </c>
      <c r="G2442" t="s">
        <v>424</v>
      </c>
      <c r="H2442" t="s">
        <v>4651</v>
      </c>
      <c r="I2442">
        <v>6</v>
      </c>
      <c r="J2442">
        <v>0</v>
      </c>
      <c r="K2442">
        <v>0</v>
      </c>
      <c r="L2442">
        <v>0</v>
      </c>
      <c r="M2442">
        <v>6</v>
      </c>
      <c r="N2442">
        <v>0</v>
      </c>
      <c r="O2442">
        <v>0</v>
      </c>
    </row>
    <row r="2443" spans="1:15" x14ac:dyDescent="0.25">
      <c r="A2443" t="s">
        <v>1881</v>
      </c>
      <c r="B2443" t="s">
        <v>2607</v>
      </c>
      <c r="C2443" t="s">
        <v>923</v>
      </c>
      <c r="D2443" t="s">
        <v>3063</v>
      </c>
      <c r="E2443" t="s">
        <v>3053</v>
      </c>
      <c r="F2443" t="s">
        <v>423</v>
      </c>
      <c r="G2443" t="s">
        <v>424</v>
      </c>
      <c r="H2443" t="s">
        <v>4652</v>
      </c>
      <c r="I2443">
        <v>30</v>
      </c>
      <c r="J2443">
        <v>0</v>
      </c>
      <c r="K2443">
        <v>0</v>
      </c>
      <c r="L2443">
        <v>30</v>
      </c>
      <c r="M2443">
        <v>0</v>
      </c>
      <c r="N2443">
        <v>0</v>
      </c>
      <c r="O2443">
        <v>0</v>
      </c>
    </row>
    <row r="2444" spans="1:15" x14ac:dyDescent="0.25">
      <c r="A2444" t="s">
        <v>1416</v>
      </c>
      <c r="B2444" t="s">
        <v>2029</v>
      </c>
      <c r="C2444" t="s">
        <v>923</v>
      </c>
      <c r="D2444" t="s">
        <v>3063</v>
      </c>
      <c r="E2444" t="s">
        <v>3053</v>
      </c>
      <c r="F2444" t="s">
        <v>423</v>
      </c>
      <c r="G2444" t="s">
        <v>424</v>
      </c>
      <c r="H2444" t="s">
        <v>11980</v>
      </c>
      <c r="I2444">
        <v>26</v>
      </c>
      <c r="J2444">
        <v>0</v>
      </c>
      <c r="K2444">
        <v>0</v>
      </c>
      <c r="L2444">
        <v>26</v>
      </c>
      <c r="M2444">
        <v>0</v>
      </c>
      <c r="N2444">
        <v>0</v>
      </c>
      <c r="O2444">
        <v>0</v>
      </c>
    </row>
    <row r="2445" spans="1:15" x14ac:dyDescent="0.25">
      <c r="A2445" t="s">
        <v>10638</v>
      </c>
      <c r="B2445" t="s">
        <v>2057</v>
      </c>
      <c r="C2445" t="s">
        <v>927</v>
      </c>
      <c r="D2445" t="s">
        <v>3052</v>
      </c>
      <c r="E2445" t="s">
        <v>3053</v>
      </c>
      <c r="F2445" t="s">
        <v>423</v>
      </c>
      <c r="G2445" t="s">
        <v>424</v>
      </c>
      <c r="H2445" t="s">
        <v>10980</v>
      </c>
      <c r="I2445">
        <v>31</v>
      </c>
      <c r="J2445">
        <v>0</v>
      </c>
      <c r="K2445">
        <v>0</v>
      </c>
      <c r="L2445">
        <v>31</v>
      </c>
      <c r="M2445">
        <v>0</v>
      </c>
      <c r="N2445">
        <v>0</v>
      </c>
      <c r="O2445">
        <v>0</v>
      </c>
    </row>
    <row r="2446" spans="1:15" x14ac:dyDescent="0.25">
      <c r="A2446" t="s">
        <v>937</v>
      </c>
      <c r="B2446" t="s">
        <v>1962</v>
      </c>
      <c r="C2446" t="s">
        <v>927</v>
      </c>
      <c r="D2446" t="s">
        <v>3052</v>
      </c>
      <c r="E2446" t="s">
        <v>3053</v>
      </c>
      <c r="F2446" t="s">
        <v>423</v>
      </c>
      <c r="G2446" t="s">
        <v>424</v>
      </c>
      <c r="H2446" t="s">
        <v>4653</v>
      </c>
      <c r="I2446">
        <v>118</v>
      </c>
      <c r="J2446">
        <v>0</v>
      </c>
      <c r="K2446">
        <v>0</v>
      </c>
      <c r="L2446">
        <v>0</v>
      </c>
      <c r="M2446">
        <v>0</v>
      </c>
      <c r="N2446">
        <v>0</v>
      </c>
      <c r="O2446">
        <v>118</v>
      </c>
    </row>
    <row r="2447" spans="1:15" x14ac:dyDescent="0.25">
      <c r="A2447" t="s">
        <v>1891</v>
      </c>
      <c r="B2447" t="s">
        <v>2034</v>
      </c>
      <c r="C2447" t="s">
        <v>923</v>
      </c>
      <c r="D2447" t="s">
        <v>3063</v>
      </c>
      <c r="E2447" t="s">
        <v>3053</v>
      </c>
      <c r="F2447" t="s">
        <v>423</v>
      </c>
      <c r="G2447" t="s">
        <v>424</v>
      </c>
      <c r="H2447" t="s">
        <v>4654</v>
      </c>
      <c r="I2447">
        <v>83</v>
      </c>
      <c r="J2447">
        <v>10</v>
      </c>
      <c r="K2447">
        <v>0</v>
      </c>
      <c r="L2447">
        <v>73</v>
      </c>
      <c r="M2447">
        <v>0</v>
      </c>
      <c r="N2447">
        <v>0</v>
      </c>
      <c r="O2447">
        <v>0</v>
      </c>
    </row>
    <row r="2448" spans="1:15" x14ac:dyDescent="0.25">
      <c r="A2448" t="s">
        <v>938</v>
      </c>
      <c r="B2448" t="s">
        <v>2791</v>
      </c>
      <c r="C2448" t="s">
        <v>927</v>
      </c>
      <c r="D2448" t="s">
        <v>3052</v>
      </c>
      <c r="E2448" t="s">
        <v>3053</v>
      </c>
      <c r="F2448" t="s">
        <v>423</v>
      </c>
      <c r="G2448" t="s">
        <v>424</v>
      </c>
      <c r="H2448" t="s">
        <v>4655</v>
      </c>
      <c r="I2448">
        <v>8</v>
      </c>
      <c r="J2448">
        <v>0</v>
      </c>
      <c r="K2448">
        <v>0</v>
      </c>
      <c r="L2448">
        <v>8</v>
      </c>
      <c r="M2448">
        <v>0</v>
      </c>
      <c r="N2448">
        <v>0</v>
      </c>
      <c r="O2448">
        <v>0</v>
      </c>
    </row>
    <row r="2449" spans="1:15" x14ac:dyDescent="0.25">
      <c r="A2449" t="s">
        <v>940</v>
      </c>
      <c r="B2449" t="s">
        <v>2647</v>
      </c>
      <c r="C2449" t="s">
        <v>927</v>
      </c>
      <c r="D2449" t="s">
        <v>3052</v>
      </c>
      <c r="E2449" t="s">
        <v>3053</v>
      </c>
      <c r="F2449" t="s">
        <v>423</v>
      </c>
      <c r="G2449" t="s">
        <v>424</v>
      </c>
      <c r="H2449" t="s">
        <v>4656</v>
      </c>
      <c r="I2449">
        <v>395</v>
      </c>
      <c r="J2449">
        <v>0</v>
      </c>
      <c r="K2449">
        <v>0</v>
      </c>
      <c r="L2449">
        <v>0</v>
      </c>
      <c r="M2449">
        <v>333</v>
      </c>
      <c r="N2449">
        <v>0</v>
      </c>
      <c r="O2449">
        <v>62</v>
      </c>
    </row>
    <row r="2450" spans="1:15" x14ac:dyDescent="0.25">
      <c r="A2450" t="s">
        <v>1423</v>
      </c>
      <c r="B2450" t="s">
        <v>2071</v>
      </c>
      <c r="C2450" t="s">
        <v>923</v>
      </c>
      <c r="D2450" t="s">
        <v>3063</v>
      </c>
      <c r="E2450" t="s">
        <v>3053</v>
      </c>
      <c r="F2450" t="s">
        <v>423</v>
      </c>
      <c r="G2450" t="s">
        <v>424</v>
      </c>
      <c r="H2450" t="s">
        <v>4657</v>
      </c>
      <c r="I2450">
        <v>19</v>
      </c>
      <c r="J2450">
        <v>0</v>
      </c>
      <c r="K2450">
        <v>0</v>
      </c>
      <c r="L2450">
        <v>19</v>
      </c>
      <c r="M2450">
        <v>0</v>
      </c>
      <c r="N2450">
        <v>0</v>
      </c>
      <c r="O2450">
        <v>0</v>
      </c>
    </row>
    <row r="2451" spans="1:15" x14ac:dyDescent="0.25">
      <c r="A2451" t="s">
        <v>1013</v>
      </c>
      <c r="B2451" t="s">
        <v>1959</v>
      </c>
      <c r="C2451" t="s">
        <v>927</v>
      </c>
      <c r="D2451" t="s">
        <v>3052</v>
      </c>
      <c r="E2451" t="s">
        <v>3053</v>
      </c>
      <c r="F2451" t="s">
        <v>423</v>
      </c>
      <c r="G2451" t="s">
        <v>424</v>
      </c>
      <c r="H2451" t="s">
        <v>4658</v>
      </c>
      <c r="I2451">
        <v>67</v>
      </c>
      <c r="J2451">
        <v>0</v>
      </c>
      <c r="K2451">
        <v>0</v>
      </c>
      <c r="L2451">
        <v>67</v>
      </c>
      <c r="M2451">
        <v>0</v>
      </c>
      <c r="N2451">
        <v>0</v>
      </c>
      <c r="O2451">
        <v>0</v>
      </c>
    </row>
    <row r="2452" spans="1:15" x14ac:dyDescent="0.25">
      <c r="A2452" t="s">
        <v>1496</v>
      </c>
      <c r="B2452" t="s">
        <v>2007</v>
      </c>
      <c r="C2452" t="s">
        <v>923</v>
      </c>
      <c r="D2452" t="s">
        <v>3063</v>
      </c>
      <c r="E2452" t="s">
        <v>3053</v>
      </c>
      <c r="F2452" t="s">
        <v>423</v>
      </c>
      <c r="G2452" t="s">
        <v>424</v>
      </c>
      <c r="H2452" t="s">
        <v>4659</v>
      </c>
      <c r="I2452">
        <v>3</v>
      </c>
      <c r="J2452">
        <v>3</v>
      </c>
      <c r="K2452">
        <v>0</v>
      </c>
      <c r="L2452">
        <v>0</v>
      </c>
      <c r="M2452">
        <v>0</v>
      </c>
      <c r="N2452">
        <v>0</v>
      </c>
      <c r="O2452">
        <v>0</v>
      </c>
    </row>
    <row r="2453" spans="1:15" x14ac:dyDescent="0.25">
      <c r="A2453" t="s">
        <v>10667</v>
      </c>
      <c r="B2453" t="s">
        <v>10666</v>
      </c>
      <c r="C2453" t="s">
        <v>927</v>
      </c>
      <c r="D2453" t="s">
        <v>3052</v>
      </c>
      <c r="E2453" t="s">
        <v>3053</v>
      </c>
      <c r="F2453" t="s">
        <v>423</v>
      </c>
      <c r="G2453" t="s">
        <v>424</v>
      </c>
      <c r="H2453" t="s">
        <v>10981</v>
      </c>
      <c r="I2453">
        <v>23</v>
      </c>
      <c r="J2453">
        <v>23</v>
      </c>
      <c r="K2453">
        <v>0</v>
      </c>
      <c r="L2453">
        <v>0</v>
      </c>
      <c r="M2453">
        <v>0</v>
      </c>
      <c r="N2453">
        <v>0</v>
      </c>
      <c r="O2453">
        <v>0</v>
      </c>
    </row>
    <row r="2454" spans="1:15" x14ac:dyDescent="0.25">
      <c r="A2454" t="s">
        <v>1126</v>
      </c>
      <c r="B2454" t="s">
        <v>2130</v>
      </c>
      <c r="C2454" t="s">
        <v>927</v>
      </c>
      <c r="D2454" t="s">
        <v>3052</v>
      </c>
      <c r="E2454" t="s">
        <v>3053</v>
      </c>
      <c r="F2454" t="s">
        <v>423</v>
      </c>
      <c r="G2454" t="s">
        <v>424</v>
      </c>
      <c r="H2454" t="s">
        <v>10162</v>
      </c>
      <c r="I2454">
        <v>55</v>
      </c>
      <c r="J2454">
        <v>35</v>
      </c>
      <c r="K2454">
        <v>0</v>
      </c>
      <c r="L2454">
        <v>0</v>
      </c>
      <c r="M2454">
        <v>0</v>
      </c>
      <c r="N2454">
        <v>0</v>
      </c>
      <c r="O2454">
        <v>20</v>
      </c>
    </row>
    <row r="2455" spans="1:15" x14ac:dyDescent="0.25">
      <c r="A2455" t="s">
        <v>10681</v>
      </c>
      <c r="B2455" t="s">
        <v>10680</v>
      </c>
      <c r="C2455" t="s">
        <v>927</v>
      </c>
      <c r="D2455" t="s">
        <v>3052</v>
      </c>
      <c r="E2455" t="s">
        <v>3053</v>
      </c>
      <c r="F2455" t="s">
        <v>423</v>
      </c>
      <c r="G2455" t="s">
        <v>424</v>
      </c>
      <c r="H2455" t="s">
        <v>14668</v>
      </c>
      <c r="I2455">
        <v>4</v>
      </c>
      <c r="J2455">
        <v>0</v>
      </c>
      <c r="K2455">
        <v>0</v>
      </c>
      <c r="L2455">
        <v>0</v>
      </c>
      <c r="M2455">
        <v>0</v>
      </c>
      <c r="N2455">
        <v>0</v>
      </c>
      <c r="O2455">
        <v>4</v>
      </c>
    </row>
    <row r="2456" spans="1:15" x14ac:dyDescent="0.25">
      <c r="A2456" t="s">
        <v>1039</v>
      </c>
      <c r="B2456" t="s">
        <v>2885</v>
      </c>
      <c r="C2456" t="s">
        <v>927</v>
      </c>
      <c r="D2456" t="s">
        <v>3052</v>
      </c>
      <c r="E2456" t="s">
        <v>3053</v>
      </c>
      <c r="F2456" t="s">
        <v>423</v>
      </c>
      <c r="G2456" t="s">
        <v>424</v>
      </c>
      <c r="H2456" t="s">
        <v>4661</v>
      </c>
      <c r="I2456">
        <v>178</v>
      </c>
      <c r="J2456">
        <v>133</v>
      </c>
      <c r="K2456">
        <v>0</v>
      </c>
      <c r="L2456">
        <v>31</v>
      </c>
      <c r="M2456">
        <v>0</v>
      </c>
      <c r="N2456">
        <v>0</v>
      </c>
      <c r="O2456">
        <v>14</v>
      </c>
    </row>
    <row r="2457" spans="1:15" x14ac:dyDescent="0.25">
      <c r="A2457" t="s">
        <v>1046</v>
      </c>
      <c r="B2457" t="s">
        <v>2027</v>
      </c>
      <c r="C2457" t="s">
        <v>923</v>
      </c>
      <c r="D2457" t="s">
        <v>3063</v>
      </c>
      <c r="E2457" t="s">
        <v>3053</v>
      </c>
      <c r="F2457" t="s">
        <v>423</v>
      </c>
      <c r="G2457" t="s">
        <v>424</v>
      </c>
      <c r="H2457" t="s">
        <v>4662</v>
      </c>
      <c r="I2457">
        <v>59</v>
      </c>
      <c r="J2457">
        <v>0</v>
      </c>
      <c r="K2457">
        <v>0</v>
      </c>
      <c r="L2457">
        <v>59</v>
      </c>
      <c r="M2457">
        <v>0</v>
      </c>
      <c r="N2457">
        <v>0</v>
      </c>
      <c r="O2457">
        <v>0</v>
      </c>
    </row>
    <row r="2458" spans="1:15" x14ac:dyDescent="0.25">
      <c r="A2458" t="s">
        <v>951</v>
      </c>
      <c r="B2458" t="s">
        <v>2680</v>
      </c>
      <c r="C2458" t="s">
        <v>927</v>
      </c>
      <c r="D2458" t="s">
        <v>3052</v>
      </c>
      <c r="E2458" t="s">
        <v>3053</v>
      </c>
      <c r="F2458" t="s">
        <v>423</v>
      </c>
      <c r="G2458" t="s">
        <v>424</v>
      </c>
      <c r="H2458" t="s">
        <v>4663</v>
      </c>
      <c r="I2458">
        <v>333</v>
      </c>
      <c r="J2458">
        <v>241</v>
      </c>
      <c r="K2458">
        <v>0</v>
      </c>
      <c r="L2458">
        <v>0</v>
      </c>
      <c r="M2458">
        <v>0</v>
      </c>
      <c r="N2458">
        <v>0</v>
      </c>
      <c r="O2458">
        <v>92</v>
      </c>
    </row>
    <row r="2459" spans="1:15" x14ac:dyDescent="0.25">
      <c r="A2459" t="s">
        <v>1048</v>
      </c>
      <c r="B2459" t="s">
        <v>2989</v>
      </c>
      <c r="C2459" t="s">
        <v>927</v>
      </c>
      <c r="D2459" t="s">
        <v>3052</v>
      </c>
      <c r="E2459" t="s">
        <v>3053</v>
      </c>
      <c r="F2459" t="s">
        <v>423</v>
      </c>
      <c r="G2459" t="s">
        <v>424</v>
      </c>
      <c r="H2459" t="s">
        <v>10982</v>
      </c>
      <c r="I2459">
        <v>1</v>
      </c>
      <c r="J2459">
        <v>0</v>
      </c>
      <c r="K2459">
        <v>0</v>
      </c>
      <c r="L2459">
        <v>1</v>
      </c>
      <c r="M2459">
        <v>0</v>
      </c>
      <c r="N2459">
        <v>0</v>
      </c>
      <c r="O2459">
        <v>0</v>
      </c>
    </row>
    <row r="2460" spans="1:15" x14ac:dyDescent="0.25">
      <c r="A2460" t="s">
        <v>1051</v>
      </c>
      <c r="B2460" t="s">
        <v>2995</v>
      </c>
      <c r="C2460" t="s">
        <v>927</v>
      </c>
      <c r="D2460" t="s">
        <v>3052</v>
      </c>
      <c r="E2460" t="s">
        <v>3053</v>
      </c>
      <c r="F2460" t="s">
        <v>423</v>
      </c>
      <c r="G2460" t="s">
        <v>424</v>
      </c>
      <c r="H2460" t="s">
        <v>4664</v>
      </c>
      <c r="I2460">
        <v>127</v>
      </c>
      <c r="J2460">
        <v>0</v>
      </c>
      <c r="K2460">
        <v>0</v>
      </c>
      <c r="L2460">
        <v>123</v>
      </c>
      <c r="M2460">
        <v>0</v>
      </c>
      <c r="N2460">
        <v>0</v>
      </c>
      <c r="O2460">
        <v>4</v>
      </c>
    </row>
    <row r="2461" spans="1:15" x14ac:dyDescent="0.25">
      <c r="A2461" t="s">
        <v>1436</v>
      </c>
      <c r="B2461" t="s">
        <v>2209</v>
      </c>
      <c r="C2461" t="s">
        <v>927</v>
      </c>
      <c r="D2461" t="s">
        <v>3052</v>
      </c>
      <c r="E2461" t="s">
        <v>3053</v>
      </c>
      <c r="F2461" t="s">
        <v>423</v>
      </c>
      <c r="G2461" t="s">
        <v>424</v>
      </c>
      <c r="H2461" t="s">
        <v>4665</v>
      </c>
      <c r="I2461">
        <v>115</v>
      </c>
      <c r="J2461">
        <v>16</v>
      </c>
      <c r="K2461">
        <v>0</v>
      </c>
      <c r="L2461">
        <v>36</v>
      </c>
      <c r="M2461">
        <v>63</v>
      </c>
      <c r="N2461">
        <v>56</v>
      </c>
      <c r="O2461">
        <v>0</v>
      </c>
    </row>
    <row r="2462" spans="1:15" x14ac:dyDescent="0.25">
      <c r="A2462" t="s">
        <v>11720</v>
      </c>
      <c r="B2462" t="s">
        <v>10718</v>
      </c>
      <c r="C2462" t="s">
        <v>927</v>
      </c>
      <c r="D2462" t="s">
        <v>3052</v>
      </c>
      <c r="E2462" t="s">
        <v>3053</v>
      </c>
      <c r="F2462" t="s">
        <v>423</v>
      </c>
      <c r="G2462" t="s">
        <v>424</v>
      </c>
      <c r="H2462" t="s">
        <v>14669</v>
      </c>
      <c r="I2462">
        <v>111</v>
      </c>
      <c r="J2462">
        <v>111</v>
      </c>
      <c r="K2462">
        <v>0</v>
      </c>
      <c r="L2462">
        <v>0</v>
      </c>
      <c r="M2462">
        <v>0</v>
      </c>
      <c r="N2462">
        <v>0</v>
      </c>
      <c r="O2462">
        <v>0</v>
      </c>
    </row>
    <row r="2463" spans="1:15" x14ac:dyDescent="0.25">
      <c r="A2463" t="s">
        <v>9788</v>
      </c>
      <c r="B2463" t="s">
        <v>9871</v>
      </c>
      <c r="C2463" t="s">
        <v>927</v>
      </c>
      <c r="D2463" t="s">
        <v>3052</v>
      </c>
      <c r="E2463" t="s">
        <v>3053</v>
      </c>
      <c r="F2463" t="s">
        <v>423</v>
      </c>
      <c r="G2463" t="s">
        <v>424</v>
      </c>
      <c r="H2463" t="s">
        <v>14670</v>
      </c>
      <c r="I2463">
        <v>85</v>
      </c>
      <c r="J2463">
        <v>85</v>
      </c>
      <c r="K2463">
        <v>0</v>
      </c>
      <c r="L2463">
        <v>0</v>
      </c>
      <c r="M2463">
        <v>0</v>
      </c>
      <c r="N2463">
        <v>0</v>
      </c>
      <c r="O2463">
        <v>0</v>
      </c>
    </row>
    <row r="2464" spans="1:15" x14ac:dyDescent="0.25">
      <c r="A2464" t="s">
        <v>1056</v>
      </c>
      <c r="B2464" t="s">
        <v>2966</v>
      </c>
      <c r="C2464" t="s">
        <v>927</v>
      </c>
      <c r="D2464" t="s">
        <v>3052</v>
      </c>
      <c r="E2464" t="s">
        <v>3053</v>
      </c>
      <c r="F2464" t="s">
        <v>423</v>
      </c>
      <c r="G2464" t="s">
        <v>424</v>
      </c>
      <c r="H2464" t="s">
        <v>4666</v>
      </c>
      <c r="I2464">
        <v>40</v>
      </c>
      <c r="J2464">
        <v>0</v>
      </c>
      <c r="K2464">
        <v>0</v>
      </c>
      <c r="L2464">
        <v>40</v>
      </c>
      <c r="M2464">
        <v>0</v>
      </c>
      <c r="N2464">
        <v>0</v>
      </c>
      <c r="O2464">
        <v>0</v>
      </c>
    </row>
    <row r="2465" spans="1:15" x14ac:dyDescent="0.25">
      <c r="A2465" t="s">
        <v>1057</v>
      </c>
      <c r="B2465" t="s">
        <v>1972</v>
      </c>
      <c r="C2465" t="s">
        <v>927</v>
      </c>
      <c r="D2465" t="s">
        <v>3052</v>
      </c>
      <c r="E2465" t="s">
        <v>3053</v>
      </c>
      <c r="F2465" t="s">
        <v>423</v>
      </c>
      <c r="G2465" t="s">
        <v>424</v>
      </c>
      <c r="H2465" t="s">
        <v>4667</v>
      </c>
      <c r="I2465">
        <v>82</v>
      </c>
      <c r="J2465">
        <v>82</v>
      </c>
      <c r="K2465">
        <v>0</v>
      </c>
      <c r="L2465">
        <v>0</v>
      </c>
      <c r="M2465">
        <v>0</v>
      </c>
      <c r="N2465">
        <v>0</v>
      </c>
      <c r="O2465">
        <v>0</v>
      </c>
    </row>
    <row r="2466" spans="1:15" x14ac:dyDescent="0.25">
      <c r="A2466" t="s">
        <v>955</v>
      </c>
      <c r="B2466" t="s">
        <v>2660</v>
      </c>
      <c r="C2466" t="s">
        <v>927</v>
      </c>
      <c r="D2466" t="s">
        <v>3052</v>
      </c>
      <c r="E2466" t="s">
        <v>3053</v>
      </c>
      <c r="F2466" t="s">
        <v>423</v>
      </c>
      <c r="G2466" t="s">
        <v>424</v>
      </c>
      <c r="H2466" t="s">
        <v>4668</v>
      </c>
      <c r="I2466">
        <v>557</v>
      </c>
      <c r="J2466">
        <v>238</v>
      </c>
      <c r="K2466">
        <v>0</v>
      </c>
      <c r="L2466">
        <v>20</v>
      </c>
      <c r="M2466">
        <v>250</v>
      </c>
      <c r="N2466">
        <v>0</v>
      </c>
      <c r="O2466">
        <v>49</v>
      </c>
    </row>
    <row r="2467" spans="1:15" x14ac:dyDescent="0.25">
      <c r="A2467" t="s">
        <v>1060</v>
      </c>
      <c r="B2467" t="s">
        <v>2651</v>
      </c>
      <c r="C2467" t="s">
        <v>927</v>
      </c>
      <c r="D2467" t="s">
        <v>3052</v>
      </c>
      <c r="E2467" t="s">
        <v>3053</v>
      </c>
      <c r="F2467" t="s">
        <v>423</v>
      </c>
      <c r="G2467" t="s">
        <v>424</v>
      </c>
      <c r="H2467" t="s">
        <v>4669</v>
      </c>
      <c r="I2467">
        <v>485</v>
      </c>
      <c r="J2467">
        <v>348</v>
      </c>
      <c r="K2467">
        <v>0</v>
      </c>
      <c r="L2467">
        <v>127</v>
      </c>
      <c r="M2467">
        <v>0</v>
      </c>
      <c r="N2467">
        <v>1</v>
      </c>
      <c r="O2467">
        <v>10</v>
      </c>
    </row>
    <row r="2468" spans="1:15" x14ac:dyDescent="0.25">
      <c r="A2468" t="s">
        <v>962</v>
      </c>
      <c r="B2468" t="s">
        <v>2752</v>
      </c>
      <c r="C2468" t="s">
        <v>927</v>
      </c>
      <c r="D2468" t="s">
        <v>3052</v>
      </c>
      <c r="E2468" t="s">
        <v>3053</v>
      </c>
      <c r="F2468" t="s">
        <v>423</v>
      </c>
      <c r="G2468" t="s">
        <v>424</v>
      </c>
      <c r="H2468" t="s">
        <v>10437</v>
      </c>
      <c r="I2468">
        <v>153</v>
      </c>
      <c r="J2468">
        <v>148</v>
      </c>
      <c r="K2468">
        <v>0</v>
      </c>
      <c r="L2468">
        <v>0</v>
      </c>
      <c r="M2468">
        <v>0</v>
      </c>
      <c r="N2468">
        <v>0</v>
      </c>
      <c r="O2468">
        <v>5</v>
      </c>
    </row>
    <row r="2469" spans="1:15" x14ac:dyDescent="0.25">
      <c r="A2469" t="s">
        <v>1911</v>
      </c>
      <c r="B2469" t="s">
        <v>1968</v>
      </c>
      <c r="C2469" t="s">
        <v>923</v>
      </c>
      <c r="D2469" t="s">
        <v>3063</v>
      </c>
      <c r="E2469" t="s">
        <v>3053</v>
      </c>
      <c r="F2469" t="s">
        <v>423</v>
      </c>
      <c r="G2469" t="s">
        <v>424</v>
      </c>
      <c r="H2469" t="s">
        <v>4670</v>
      </c>
      <c r="I2469">
        <v>37</v>
      </c>
      <c r="J2469">
        <v>0</v>
      </c>
      <c r="K2469">
        <v>0</v>
      </c>
      <c r="L2469">
        <v>37</v>
      </c>
      <c r="M2469">
        <v>0</v>
      </c>
      <c r="N2469">
        <v>0</v>
      </c>
      <c r="O2469">
        <v>0</v>
      </c>
    </row>
    <row r="2470" spans="1:15" x14ac:dyDescent="0.25">
      <c r="A2470" t="s">
        <v>1069</v>
      </c>
      <c r="B2470" t="s">
        <v>2001</v>
      </c>
      <c r="C2470" t="s">
        <v>927</v>
      </c>
      <c r="D2470" t="s">
        <v>3052</v>
      </c>
      <c r="E2470" t="s">
        <v>3053</v>
      </c>
      <c r="F2470" t="s">
        <v>423</v>
      </c>
      <c r="G2470" t="s">
        <v>424</v>
      </c>
      <c r="H2470" t="s">
        <v>4671</v>
      </c>
      <c r="I2470">
        <v>576</v>
      </c>
      <c r="J2470">
        <v>426</v>
      </c>
      <c r="K2470">
        <v>0</v>
      </c>
      <c r="L2470">
        <v>0</v>
      </c>
      <c r="M2470">
        <v>95</v>
      </c>
      <c r="N2470">
        <v>0</v>
      </c>
      <c r="O2470">
        <v>55</v>
      </c>
    </row>
    <row r="2471" spans="1:15" x14ac:dyDescent="0.25">
      <c r="A2471" t="s">
        <v>1916</v>
      </c>
      <c r="B2471" t="s">
        <v>2198</v>
      </c>
      <c r="C2471" t="s">
        <v>923</v>
      </c>
      <c r="D2471" t="s">
        <v>3063</v>
      </c>
      <c r="E2471" t="s">
        <v>3053</v>
      </c>
      <c r="F2471" t="s">
        <v>423</v>
      </c>
      <c r="G2471" t="s">
        <v>424</v>
      </c>
      <c r="H2471" t="s">
        <v>4672</v>
      </c>
      <c r="I2471">
        <v>15</v>
      </c>
      <c r="J2471">
        <v>15</v>
      </c>
      <c r="K2471">
        <v>0</v>
      </c>
      <c r="L2471">
        <v>0</v>
      </c>
      <c r="M2471">
        <v>0</v>
      </c>
      <c r="N2471">
        <v>0</v>
      </c>
      <c r="O2471">
        <v>0</v>
      </c>
    </row>
    <row r="2472" spans="1:15" x14ac:dyDescent="0.25">
      <c r="A2472" t="s">
        <v>1072</v>
      </c>
      <c r="B2472" t="s">
        <v>2907</v>
      </c>
      <c r="C2472" t="s">
        <v>927</v>
      </c>
      <c r="D2472" t="s">
        <v>3052</v>
      </c>
      <c r="E2472" t="s">
        <v>3053</v>
      </c>
      <c r="F2472" t="s">
        <v>423</v>
      </c>
      <c r="G2472" t="s">
        <v>424</v>
      </c>
      <c r="H2472" t="s">
        <v>4673</v>
      </c>
      <c r="I2472">
        <v>162</v>
      </c>
      <c r="J2472">
        <v>18</v>
      </c>
      <c r="K2472">
        <v>0</v>
      </c>
      <c r="L2472">
        <v>24</v>
      </c>
      <c r="M2472">
        <v>120</v>
      </c>
      <c r="N2472">
        <v>0</v>
      </c>
      <c r="O2472">
        <v>0</v>
      </c>
    </row>
    <row r="2473" spans="1:15" x14ac:dyDescent="0.25">
      <c r="A2473" t="s">
        <v>1075</v>
      </c>
      <c r="B2473" t="s">
        <v>2830</v>
      </c>
      <c r="C2473" t="s">
        <v>927</v>
      </c>
      <c r="D2473" t="s">
        <v>3052</v>
      </c>
      <c r="E2473" t="s">
        <v>3053</v>
      </c>
      <c r="F2473" t="s">
        <v>423</v>
      </c>
      <c r="G2473" t="s">
        <v>424</v>
      </c>
      <c r="H2473" t="s">
        <v>4674</v>
      </c>
      <c r="I2473">
        <v>877</v>
      </c>
      <c r="J2473">
        <v>657</v>
      </c>
      <c r="K2473">
        <v>0</v>
      </c>
      <c r="L2473">
        <v>69</v>
      </c>
      <c r="M2473">
        <v>50</v>
      </c>
      <c r="N2473">
        <v>0</v>
      </c>
      <c r="O2473">
        <v>101</v>
      </c>
    </row>
    <row r="2474" spans="1:15" x14ac:dyDescent="0.25">
      <c r="A2474" t="s">
        <v>1920</v>
      </c>
      <c r="B2474" t="s">
        <v>2871</v>
      </c>
      <c r="C2474" t="s">
        <v>927</v>
      </c>
      <c r="D2474" t="s">
        <v>3052</v>
      </c>
      <c r="E2474" t="s">
        <v>3053</v>
      </c>
      <c r="F2474" t="s">
        <v>423</v>
      </c>
      <c r="G2474" t="s">
        <v>424</v>
      </c>
      <c r="H2474" t="s">
        <v>11981</v>
      </c>
      <c r="I2474">
        <v>21</v>
      </c>
      <c r="J2474">
        <v>19</v>
      </c>
      <c r="K2474">
        <v>0</v>
      </c>
      <c r="L2474">
        <v>0</v>
      </c>
      <c r="M2474">
        <v>0</v>
      </c>
      <c r="N2474">
        <v>0</v>
      </c>
      <c r="O2474">
        <v>2</v>
      </c>
    </row>
    <row r="2475" spans="1:15" x14ac:dyDescent="0.25">
      <c r="A2475" t="s">
        <v>1563</v>
      </c>
      <c r="B2475" t="s">
        <v>2895</v>
      </c>
      <c r="C2475" t="s">
        <v>927</v>
      </c>
      <c r="D2475" t="s">
        <v>3052</v>
      </c>
      <c r="E2475" t="s">
        <v>3053</v>
      </c>
      <c r="F2475" t="s">
        <v>423</v>
      </c>
      <c r="G2475" t="s">
        <v>424</v>
      </c>
      <c r="H2475" t="s">
        <v>4675</v>
      </c>
      <c r="I2475">
        <v>332</v>
      </c>
      <c r="J2475">
        <v>319</v>
      </c>
      <c r="K2475">
        <v>0</v>
      </c>
      <c r="L2475">
        <v>0</v>
      </c>
      <c r="M2475">
        <v>0</v>
      </c>
      <c r="N2475">
        <v>0</v>
      </c>
      <c r="O2475">
        <v>13</v>
      </c>
    </row>
    <row r="2476" spans="1:15" x14ac:dyDescent="0.25">
      <c r="A2476" t="s">
        <v>922</v>
      </c>
      <c r="B2476" t="s">
        <v>2573</v>
      </c>
      <c r="C2476" t="s">
        <v>923</v>
      </c>
      <c r="D2476" t="s">
        <v>3063</v>
      </c>
      <c r="E2476" t="s">
        <v>3053</v>
      </c>
      <c r="F2476" t="s">
        <v>425</v>
      </c>
      <c r="G2476" t="s">
        <v>426</v>
      </c>
      <c r="H2476" t="s">
        <v>4676</v>
      </c>
      <c r="I2476">
        <v>12</v>
      </c>
      <c r="J2476">
        <v>0</v>
      </c>
      <c r="K2476">
        <v>0</v>
      </c>
      <c r="L2476">
        <v>0</v>
      </c>
      <c r="M2476">
        <v>12</v>
      </c>
      <c r="N2476">
        <v>0</v>
      </c>
      <c r="O2476">
        <v>0</v>
      </c>
    </row>
    <row r="2477" spans="1:15" x14ac:dyDescent="0.25">
      <c r="A2477" t="s">
        <v>10568</v>
      </c>
      <c r="B2477" t="s">
        <v>10567</v>
      </c>
      <c r="C2477" t="s">
        <v>927</v>
      </c>
      <c r="D2477" t="s">
        <v>3052</v>
      </c>
      <c r="E2477" t="s">
        <v>3053</v>
      </c>
      <c r="F2477" t="s">
        <v>425</v>
      </c>
      <c r="G2477" t="s">
        <v>426</v>
      </c>
      <c r="H2477" t="s">
        <v>10983</v>
      </c>
      <c r="I2477">
        <v>693</v>
      </c>
      <c r="J2477">
        <v>530</v>
      </c>
      <c r="K2477">
        <v>0</v>
      </c>
      <c r="L2477">
        <v>0</v>
      </c>
      <c r="M2477">
        <v>50</v>
      </c>
      <c r="N2477">
        <v>0</v>
      </c>
      <c r="O2477">
        <v>113</v>
      </c>
    </row>
    <row r="2478" spans="1:15" x14ac:dyDescent="0.25">
      <c r="A2478" t="s">
        <v>926</v>
      </c>
      <c r="B2478" t="s">
        <v>2923</v>
      </c>
      <c r="C2478" t="s">
        <v>927</v>
      </c>
      <c r="D2478" t="s">
        <v>3052</v>
      </c>
      <c r="E2478" t="s">
        <v>3053</v>
      </c>
      <c r="F2478" t="s">
        <v>425</v>
      </c>
      <c r="G2478" t="s">
        <v>426</v>
      </c>
      <c r="H2478" t="s">
        <v>4677</v>
      </c>
      <c r="I2478">
        <v>32</v>
      </c>
      <c r="J2478">
        <v>0</v>
      </c>
      <c r="K2478">
        <v>0</v>
      </c>
      <c r="L2478">
        <v>16</v>
      </c>
      <c r="M2478">
        <v>0</v>
      </c>
      <c r="N2478">
        <v>0</v>
      </c>
      <c r="O2478">
        <v>16</v>
      </c>
    </row>
    <row r="2479" spans="1:15" x14ac:dyDescent="0.25">
      <c r="A2479" t="s">
        <v>929</v>
      </c>
      <c r="B2479" t="s">
        <v>2999</v>
      </c>
      <c r="C2479" t="s">
        <v>927</v>
      </c>
      <c r="D2479" t="s">
        <v>3052</v>
      </c>
      <c r="E2479" t="s">
        <v>3053</v>
      </c>
      <c r="F2479" t="s">
        <v>425</v>
      </c>
      <c r="G2479" t="s">
        <v>426</v>
      </c>
      <c r="H2479" t="s">
        <v>4678</v>
      </c>
      <c r="I2479">
        <v>232</v>
      </c>
      <c r="J2479">
        <v>6</v>
      </c>
      <c r="K2479">
        <v>0</v>
      </c>
      <c r="L2479">
        <v>0</v>
      </c>
      <c r="M2479">
        <v>226</v>
      </c>
      <c r="N2479">
        <v>0</v>
      </c>
      <c r="O2479">
        <v>0</v>
      </c>
    </row>
    <row r="2480" spans="1:15" x14ac:dyDescent="0.25">
      <c r="A2480" t="s">
        <v>1575</v>
      </c>
      <c r="B2480" t="s">
        <v>2112</v>
      </c>
      <c r="C2480" t="s">
        <v>927</v>
      </c>
      <c r="D2480" t="s">
        <v>3052</v>
      </c>
      <c r="E2480" t="s">
        <v>3053</v>
      </c>
      <c r="F2480" t="s">
        <v>425</v>
      </c>
      <c r="G2480" t="s">
        <v>426</v>
      </c>
      <c r="H2480" t="s">
        <v>4679</v>
      </c>
      <c r="I2480">
        <v>502</v>
      </c>
      <c r="J2480">
        <v>479</v>
      </c>
      <c r="K2480">
        <v>0</v>
      </c>
      <c r="L2480">
        <v>0</v>
      </c>
      <c r="M2480">
        <v>23</v>
      </c>
      <c r="N2480">
        <v>1</v>
      </c>
      <c r="O2480">
        <v>0</v>
      </c>
    </row>
    <row r="2481" spans="1:15" x14ac:dyDescent="0.25">
      <c r="A2481" t="s">
        <v>931</v>
      </c>
      <c r="B2481" t="s">
        <v>1978</v>
      </c>
      <c r="C2481" t="s">
        <v>927</v>
      </c>
      <c r="D2481" t="s">
        <v>3052</v>
      </c>
      <c r="E2481" t="s">
        <v>3053</v>
      </c>
      <c r="F2481" t="s">
        <v>425</v>
      </c>
      <c r="G2481" t="s">
        <v>426</v>
      </c>
      <c r="H2481" t="s">
        <v>4680</v>
      </c>
      <c r="I2481">
        <v>380</v>
      </c>
      <c r="J2481">
        <v>173</v>
      </c>
      <c r="K2481">
        <v>0</v>
      </c>
      <c r="L2481">
        <v>0</v>
      </c>
      <c r="M2481">
        <v>0</v>
      </c>
      <c r="N2481">
        <v>0</v>
      </c>
      <c r="O2481">
        <v>207</v>
      </c>
    </row>
    <row r="2482" spans="1:15" x14ac:dyDescent="0.25">
      <c r="A2482" t="s">
        <v>9790</v>
      </c>
      <c r="B2482" t="s">
        <v>1977</v>
      </c>
      <c r="C2482" t="s">
        <v>923</v>
      </c>
      <c r="D2482" t="s">
        <v>3063</v>
      </c>
      <c r="E2482" t="s">
        <v>3053</v>
      </c>
      <c r="F2482" t="s">
        <v>425</v>
      </c>
      <c r="G2482" t="s">
        <v>426</v>
      </c>
      <c r="H2482" t="s">
        <v>11982</v>
      </c>
      <c r="I2482">
        <v>28</v>
      </c>
      <c r="J2482">
        <v>0</v>
      </c>
      <c r="K2482">
        <v>0</v>
      </c>
      <c r="L2482">
        <v>28</v>
      </c>
      <c r="M2482">
        <v>0</v>
      </c>
      <c r="N2482">
        <v>0</v>
      </c>
      <c r="O2482">
        <v>0</v>
      </c>
    </row>
    <row r="2483" spans="1:15" x14ac:dyDescent="0.25">
      <c r="A2483" t="s">
        <v>9784</v>
      </c>
      <c r="B2483" t="s">
        <v>1994</v>
      </c>
      <c r="C2483" t="s">
        <v>927</v>
      </c>
      <c r="D2483" t="s">
        <v>3052</v>
      </c>
      <c r="E2483" t="s">
        <v>3053</v>
      </c>
      <c r="F2483" t="s">
        <v>425</v>
      </c>
      <c r="G2483" t="s">
        <v>426</v>
      </c>
      <c r="H2483" t="s">
        <v>9933</v>
      </c>
      <c r="I2483">
        <v>6</v>
      </c>
      <c r="J2483">
        <v>0</v>
      </c>
      <c r="K2483">
        <v>0</v>
      </c>
      <c r="L2483">
        <v>6</v>
      </c>
      <c r="M2483">
        <v>0</v>
      </c>
      <c r="N2483">
        <v>0</v>
      </c>
      <c r="O2483">
        <v>0</v>
      </c>
    </row>
    <row r="2484" spans="1:15" x14ac:dyDescent="0.25">
      <c r="A2484" t="s">
        <v>1581</v>
      </c>
      <c r="B2484" t="s">
        <v>2917</v>
      </c>
      <c r="C2484" t="s">
        <v>927</v>
      </c>
      <c r="D2484" t="s">
        <v>3052</v>
      </c>
      <c r="E2484" t="s">
        <v>3053</v>
      </c>
      <c r="F2484" t="s">
        <v>425</v>
      </c>
      <c r="G2484" t="s">
        <v>426</v>
      </c>
      <c r="H2484" t="s">
        <v>4681</v>
      </c>
      <c r="I2484">
        <v>207</v>
      </c>
      <c r="J2484">
        <v>107</v>
      </c>
      <c r="K2484">
        <v>0</v>
      </c>
      <c r="L2484">
        <v>74</v>
      </c>
      <c r="M2484">
        <v>0</v>
      </c>
      <c r="N2484">
        <v>0</v>
      </c>
      <c r="O2484">
        <v>26</v>
      </c>
    </row>
    <row r="2485" spans="1:15" x14ac:dyDescent="0.25">
      <c r="A2485" t="s">
        <v>9837</v>
      </c>
      <c r="B2485" t="s">
        <v>2247</v>
      </c>
      <c r="C2485" t="s">
        <v>923</v>
      </c>
      <c r="D2485" t="s">
        <v>3063</v>
      </c>
      <c r="E2485" t="s">
        <v>3053</v>
      </c>
      <c r="F2485" t="s">
        <v>425</v>
      </c>
      <c r="G2485" t="s">
        <v>426</v>
      </c>
      <c r="H2485" t="s">
        <v>10024</v>
      </c>
      <c r="I2485">
        <v>11</v>
      </c>
      <c r="J2485">
        <v>0</v>
      </c>
      <c r="K2485">
        <v>0</v>
      </c>
      <c r="L2485">
        <v>0</v>
      </c>
      <c r="M2485">
        <v>11</v>
      </c>
      <c r="N2485">
        <v>0</v>
      </c>
      <c r="O2485">
        <v>0</v>
      </c>
    </row>
    <row r="2486" spans="1:15" x14ac:dyDescent="0.25">
      <c r="A2486" t="s">
        <v>989</v>
      </c>
      <c r="B2486" t="s">
        <v>2016</v>
      </c>
      <c r="C2486" t="s">
        <v>923</v>
      </c>
      <c r="D2486" t="s">
        <v>3063</v>
      </c>
      <c r="E2486" t="s">
        <v>3053</v>
      </c>
      <c r="F2486" t="s">
        <v>425</v>
      </c>
      <c r="G2486" t="s">
        <v>426</v>
      </c>
      <c r="H2486" t="s">
        <v>4682</v>
      </c>
      <c r="I2486">
        <v>3</v>
      </c>
      <c r="J2486">
        <v>0</v>
      </c>
      <c r="K2486">
        <v>0</v>
      </c>
      <c r="L2486">
        <v>3</v>
      </c>
      <c r="M2486">
        <v>0</v>
      </c>
      <c r="N2486">
        <v>0</v>
      </c>
      <c r="O2486">
        <v>0</v>
      </c>
    </row>
    <row r="2487" spans="1:15" x14ac:dyDescent="0.25">
      <c r="A2487" t="s">
        <v>996</v>
      </c>
      <c r="B2487" t="s">
        <v>1952</v>
      </c>
      <c r="C2487" t="s">
        <v>923</v>
      </c>
      <c r="D2487" t="s">
        <v>3063</v>
      </c>
      <c r="E2487" t="s">
        <v>3053</v>
      </c>
      <c r="F2487" t="s">
        <v>425</v>
      </c>
      <c r="G2487" t="s">
        <v>426</v>
      </c>
      <c r="H2487" t="s">
        <v>10984</v>
      </c>
      <c r="I2487">
        <v>1</v>
      </c>
      <c r="J2487">
        <v>0</v>
      </c>
      <c r="K2487">
        <v>0</v>
      </c>
      <c r="L2487">
        <v>1</v>
      </c>
      <c r="M2487">
        <v>0</v>
      </c>
      <c r="N2487">
        <v>0</v>
      </c>
      <c r="O2487">
        <v>0</v>
      </c>
    </row>
    <row r="2488" spans="1:15" x14ac:dyDescent="0.25">
      <c r="A2488" t="s">
        <v>10617</v>
      </c>
      <c r="B2488" t="s">
        <v>10616</v>
      </c>
      <c r="C2488" t="s">
        <v>923</v>
      </c>
      <c r="D2488" t="s">
        <v>3063</v>
      </c>
      <c r="E2488" t="s">
        <v>3053</v>
      </c>
      <c r="F2488" t="s">
        <v>425</v>
      </c>
      <c r="G2488" t="s">
        <v>426</v>
      </c>
      <c r="H2488" t="s">
        <v>11983</v>
      </c>
      <c r="I2488">
        <v>20</v>
      </c>
      <c r="J2488">
        <v>0</v>
      </c>
      <c r="K2488">
        <v>0</v>
      </c>
      <c r="L2488">
        <v>20</v>
      </c>
      <c r="M2488">
        <v>0</v>
      </c>
      <c r="N2488">
        <v>0</v>
      </c>
      <c r="O2488">
        <v>0</v>
      </c>
    </row>
    <row r="2489" spans="1:15" x14ac:dyDescent="0.25">
      <c r="A2489" t="s">
        <v>1728</v>
      </c>
      <c r="B2489" t="s">
        <v>2679</v>
      </c>
      <c r="C2489" t="s">
        <v>923</v>
      </c>
      <c r="D2489" t="s">
        <v>3063</v>
      </c>
      <c r="E2489" t="s">
        <v>3053</v>
      </c>
      <c r="F2489" t="s">
        <v>425</v>
      </c>
      <c r="G2489" t="s">
        <v>426</v>
      </c>
      <c r="H2489" t="s">
        <v>4683</v>
      </c>
      <c r="I2489">
        <v>366</v>
      </c>
      <c r="J2489">
        <v>43</v>
      </c>
      <c r="K2489">
        <v>0</v>
      </c>
      <c r="L2489">
        <v>125</v>
      </c>
      <c r="M2489">
        <v>198</v>
      </c>
      <c r="N2489">
        <v>4</v>
      </c>
      <c r="O2489">
        <v>0</v>
      </c>
    </row>
    <row r="2490" spans="1:15" x14ac:dyDescent="0.25">
      <c r="A2490" t="s">
        <v>935</v>
      </c>
      <c r="B2490" t="s">
        <v>1960</v>
      </c>
      <c r="C2490" t="s">
        <v>923</v>
      </c>
      <c r="D2490" t="s">
        <v>3063</v>
      </c>
      <c r="E2490" t="s">
        <v>3053</v>
      </c>
      <c r="F2490" t="s">
        <v>425</v>
      </c>
      <c r="G2490" t="s">
        <v>426</v>
      </c>
      <c r="H2490" t="s">
        <v>4684</v>
      </c>
      <c r="I2490">
        <v>3</v>
      </c>
      <c r="J2490">
        <v>0</v>
      </c>
      <c r="K2490">
        <v>0</v>
      </c>
      <c r="L2490">
        <v>3</v>
      </c>
      <c r="M2490">
        <v>0</v>
      </c>
      <c r="N2490">
        <v>0</v>
      </c>
      <c r="O2490">
        <v>0</v>
      </c>
    </row>
    <row r="2491" spans="1:15" x14ac:dyDescent="0.25">
      <c r="A2491" t="s">
        <v>1416</v>
      </c>
      <c r="B2491" t="s">
        <v>2029</v>
      </c>
      <c r="C2491" t="s">
        <v>923</v>
      </c>
      <c r="D2491" t="s">
        <v>3063</v>
      </c>
      <c r="E2491" t="s">
        <v>3053</v>
      </c>
      <c r="F2491" t="s">
        <v>425</v>
      </c>
      <c r="G2491" t="s">
        <v>426</v>
      </c>
      <c r="H2491" t="s">
        <v>11984</v>
      </c>
      <c r="I2491">
        <v>1</v>
      </c>
      <c r="J2491">
        <v>0</v>
      </c>
      <c r="K2491">
        <v>0</v>
      </c>
      <c r="L2491">
        <v>1</v>
      </c>
      <c r="M2491">
        <v>0</v>
      </c>
      <c r="N2491">
        <v>0</v>
      </c>
      <c r="O2491">
        <v>0</v>
      </c>
    </row>
    <row r="2492" spans="1:15" x14ac:dyDescent="0.25">
      <c r="A2492" t="s">
        <v>1000</v>
      </c>
      <c r="B2492" t="s">
        <v>1984</v>
      </c>
      <c r="C2492" t="s">
        <v>923</v>
      </c>
      <c r="D2492" t="s">
        <v>3063</v>
      </c>
      <c r="E2492" t="s">
        <v>3053</v>
      </c>
      <c r="F2492" t="s">
        <v>425</v>
      </c>
      <c r="G2492" t="s">
        <v>426</v>
      </c>
      <c r="H2492" t="s">
        <v>4685</v>
      </c>
      <c r="I2492">
        <v>3</v>
      </c>
      <c r="J2492">
        <v>0</v>
      </c>
      <c r="K2492">
        <v>0</v>
      </c>
      <c r="L2492">
        <v>3</v>
      </c>
      <c r="M2492">
        <v>0</v>
      </c>
      <c r="N2492">
        <v>0</v>
      </c>
      <c r="O2492">
        <v>0</v>
      </c>
    </row>
    <row r="2493" spans="1:15" x14ac:dyDescent="0.25">
      <c r="A2493" t="s">
        <v>1485</v>
      </c>
      <c r="B2493" t="s">
        <v>2836</v>
      </c>
      <c r="C2493" t="s">
        <v>927</v>
      </c>
      <c r="D2493" t="s">
        <v>3052</v>
      </c>
      <c r="E2493" t="s">
        <v>3053</v>
      </c>
      <c r="F2493" t="s">
        <v>425</v>
      </c>
      <c r="G2493" t="s">
        <v>426</v>
      </c>
      <c r="H2493" t="s">
        <v>4686</v>
      </c>
      <c r="I2493">
        <v>14</v>
      </c>
      <c r="J2493">
        <v>0</v>
      </c>
      <c r="K2493">
        <v>0</v>
      </c>
      <c r="L2493">
        <v>0</v>
      </c>
      <c r="M2493">
        <v>0</v>
      </c>
      <c r="N2493">
        <v>0</v>
      </c>
      <c r="O2493">
        <v>14</v>
      </c>
    </row>
    <row r="2494" spans="1:15" x14ac:dyDescent="0.25">
      <c r="A2494" t="s">
        <v>10638</v>
      </c>
      <c r="B2494" t="s">
        <v>2057</v>
      </c>
      <c r="C2494" t="s">
        <v>927</v>
      </c>
      <c r="D2494" t="s">
        <v>3052</v>
      </c>
      <c r="E2494" t="s">
        <v>3053</v>
      </c>
      <c r="F2494" t="s">
        <v>425</v>
      </c>
      <c r="G2494" t="s">
        <v>426</v>
      </c>
      <c r="H2494" t="s">
        <v>10985</v>
      </c>
      <c r="I2494">
        <v>1</v>
      </c>
      <c r="J2494">
        <v>0</v>
      </c>
      <c r="K2494">
        <v>0</v>
      </c>
      <c r="L2494">
        <v>1</v>
      </c>
      <c r="M2494">
        <v>0</v>
      </c>
      <c r="N2494">
        <v>0</v>
      </c>
      <c r="O2494">
        <v>0</v>
      </c>
    </row>
    <row r="2495" spans="1:15" x14ac:dyDescent="0.25">
      <c r="A2495" t="s">
        <v>1010</v>
      </c>
      <c r="B2495" t="s">
        <v>2639</v>
      </c>
      <c r="C2495" t="s">
        <v>927</v>
      </c>
      <c r="D2495" t="s">
        <v>3052</v>
      </c>
      <c r="E2495" t="s">
        <v>3053</v>
      </c>
      <c r="F2495" t="s">
        <v>425</v>
      </c>
      <c r="G2495" t="s">
        <v>426</v>
      </c>
      <c r="H2495" t="s">
        <v>4687</v>
      </c>
      <c r="I2495">
        <v>282</v>
      </c>
      <c r="J2495">
        <v>207</v>
      </c>
      <c r="K2495">
        <v>0</v>
      </c>
      <c r="L2495">
        <v>0</v>
      </c>
      <c r="M2495">
        <v>0</v>
      </c>
      <c r="N2495">
        <v>0</v>
      </c>
      <c r="O2495">
        <v>75</v>
      </c>
    </row>
    <row r="2496" spans="1:15" x14ac:dyDescent="0.25">
      <c r="A2496" t="s">
        <v>937</v>
      </c>
      <c r="B2496" t="s">
        <v>1962</v>
      </c>
      <c r="C2496" t="s">
        <v>927</v>
      </c>
      <c r="D2496" t="s">
        <v>3052</v>
      </c>
      <c r="E2496" t="s">
        <v>3053</v>
      </c>
      <c r="F2496" t="s">
        <v>425</v>
      </c>
      <c r="G2496" t="s">
        <v>426</v>
      </c>
      <c r="H2496" t="s">
        <v>4688</v>
      </c>
      <c r="I2496">
        <v>30</v>
      </c>
      <c r="J2496">
        <v>0</v>
      </c>
      <c r="K2496">
        <v>0</v>
      </c>
      <c r="L2496">
        <v>0</v>
      </c>
      <c r="M2496">
        <v>0</v>
      </c>
      <c r="N2496">
        <v>0</v>
      </c>
      <c r="O2496">
        <v>30</v>
      </c>
    </row>
    <row r="2497" spans="1:15" x14ac:dyDescent="0.25">
      <c r="A2497" t="s">
        <v>1011</v>
      </c>
      <c r="B2497" t="s">
        <v>2020</v>
      </c>
      <c r="C2497" t="s">
        <v>927</v>
      </c>
      <c r="D2497" t="s">
        <v>3052</v>
      </c>
      <c r="E2497" t="s">
        <v>3053</v>
      </c>
      <c r="F2497" t="s">
        <v>425</v>
      </c>
      <c r="G2497" t="s">
        <v>426</v>
      </c>
      <c r="H2497" t="s">
        <v>4689</v>
      </c>
      <c r="I2497">
        <v>6</v>
      </c>
      <c r="J2497">
        <v>0</v>
      </c>
      <c r="K2497">
        <v>0</v>
      </c>
      <c r="L2497">
        <v>6</v>
      </c>
      <c r="M2497">
        <v>0</v>
      </c>
      <c r="N2497">
        <v>0</v>
      </c>
      <c r="O2497">
        <v>0</v>
      </c>
    </row>
    <row r="2498" spans="1:15" x14ac:dyDescent="0.25">
      <c r="A2498" t="s">
        <v>940</v>
      </c>
      <c r="B2498" t="s">
        <v>2647</v>
      </c>
      <c r="C2498" t="s">
        <v>927</v>
      </c>
      <c r="D2498" t="s">
        <v>3052</v>
      </c>
      <c r="E2498" t="s">
        <v>3053</v>
      </c>
      <c r="F2498" t="s">
        <v>425</v>
      </c>
      <c r="G2498" t="s">
        <v>426</v>
      </c>
      <c r="H2498" t="s">
        <v>4690</v>
      </c>
      <c r="I2498">
        <v>183</v>
      </c>
      <c r="J2498">
        <v>0</v>
      </c>
      <c r="K2498">
        <v>0</v>
      </c>
      <c r="L2498">
        <v>0</v>
      </c>
      <c r="M2498">
        <v>172</v>
      </c>
      <c r="N2498">
        <v>0</v>
      </c>
      <c r="O2498">
        <v>11</v>
      </c>
    </row>
    <row r="2499" spans="1:15" x14ac:dyDescent="0.25">
      <c r="A2499" t="s">
        <v>1013</v>
      </c>
      <c r="B2499" t="s">
        <v>1959</v>
      </c>
      <c r="C2499" t="s">
        <v>927</v>
      </c>
      <c r="D2499" t="s">
        <v>3052</v>
      </c>
      <c r="E2499" t="s">
        <v>3053</v>
      </c>
      <c r="F2499" t="s">
        <v>425</v>
      </c>
      <c r="G2499" t="s">
        <v>426</v>
      </c>
      <c r="H2499" t="s">
        <v>10125</v>
      </c>
      <c r="I2499">
        <v>35</v>
      </c>
      <c r="J2499">
        <v>0</v>
      </c>
      <c r="K2499">
        <v>0</v>
      </c>
      <c r="L2499">
        <v>35</v>
      </c>
      <c r="M2499">
        <v>0</v>
      </c>
      <c r="N2499">
        <v>0</v>
      </c>
      <c r="O2499">
        <v>0</v>
      </c>
    </row>
    <row r="2500" spans="1:15" x14ac:dyDescent="0.25">
      <c r="A2500" t="s">
        <v>942</v>
      </c>
      <c r="B2500" t="s">
        <v>2113</v>
      </c>
      <c r="C2500" t="s">
        <v>927</v>
      </c>
      <c r="D2500" t="s">
        <v>3052</v>
      </c>
      <c r="E2500" t="s">
        <v>3053</v>
      </c>
      <c r="F2500" t="s">
        <v>425</v>
      </c>
      <c r="G2500" t="s">
        <v>426</v>
      </c>
      <c r="H2500" t="s">
        <v>4691</v>
      </c>
      <c r="I2500">
        <v>68</v>
      </c>
      <c r="J2500">
        <v>44</v>
      </c>
      <c r="K2500">
        <v>0</v>
      </c>
      <c r="L2500">
        <v>0</v>
      </c>
      <c r="M2500">
        <v>0</v>
      </c>
      <c r="N2500">
        <v>0</v>
      </c>
      <c r="O2500">
        <v>24</v>
      </c>
    </row>
    <row r="2501" spans="1:15" x14ac:dyDescent="0.25">
      <c r="A2501" t="s">
        <v>10681</v>
      </c>
      <c r="B2501" t="s">
        <v>10680</v>
      </c>
      <c r="C2501" t="s">
        <v>927</v>
      </c>
      <c r="D2501" t="s">
        <v>3052</v>
      </c>
      <c r="E2501" t="s">
        <v>3053</v>
      </c>
      <c r="F2501" t="s">
        <v>425</v>
      </c>
      <c r="G2501" t="s">
        <v>426</v>
      </c>
      <c r="H2501" t="s">
        <v>14671</v>
      </c>
      <c r="I2501">
        <v>7</v>
      </c>
      <c r="J2501">
        <v>0</v>
      </c>
      <c r="K2501">
        <v>0</v>
      </c>
      <c r="L2501">
        <v>0</v>
      </c>
      <c r="M2501">
        <v>0</v>
      </c>
      <c r="N2501">
        <v>0</v>
      </c>
      <c r="O2501">
        <v>7</v>
      </c>
    </row>
    <row r="2502" spans="1:15" x14ac:dyDescent="0.25">
      <c r="A2502" t="s">
        <v>1743</v>
      </c>
      <c r="B2502" t="s">
        <v>2086</v>
      </c>
      <c r="C2502" t="s">
        <v>927</v>
      </c>
      <c r="D2502" t="s">
        <v>3052</v>
      </c>
      <c r="E2502" t="s">
        <v>3053</v>
      </c>
      <c r="F2502" t="s">
        <v>425</v>
      </c>
      <c r="G2502" t="s">
        <v>426</v>
      </c>
      <c r="H2502" t="s">
        <v>4692</v>
      </c>
      <c r="I2502">
        <v>5889</v>
      </c>
      <c r="J2502">
        <v>4188</v>
      </c>
      <c r="K2502">
        <v>0</v>
      </c>
      <c r="L2502">
        <v>86</v>
      </c>
      <c r="M2502">
        <v>1422</v>
      </c>
      <c r="N2502">
        <v>9</v>
      </c>
      <c r="O2502">
        <v>193</v>
      </c>
    </row>
    <row r="2503" spans="1:15" x14ac:dyDescent="0.25">
      <c r="A2503" t="s">
        <v>945</v>
      </c>
      <c r="B2503" t="s">
        <v>2668</v>
      </c>
      <c r="C2503" t="s">
        <v>927</v>
      </c>
      <c r="D2503" t="s">
        <v>3052</v>
      </c>
      <c r="E2503" t="s">
        <v>3053</v>
      </c>
      <c r="F2503" t="s">
        <v>425</v>
      </c>
      <c r="G2503" t="s">
        <v>426</v>
      </c>
      <c r="H2503" t="s">
        <v>4693</v>
      </c>
      <c r="I2503">
        <v>8</v>
      </c>
      <c r="J2503">
        <v>0</v>
      </c>
      <c r="K2503">
        <v>0</v>
      </c>
      <c r="L2503">
        <v>0</v>
      </c>
      <c r="M2503">
        <v>0</v>
      </c>
      <c r="N2503">
        <v>0</v>
      </c>
      <c r="O2503">
        <v>8</v>
      </c>
    </row>
    <row r="2504" spans="1:15" x14ac:dyDescent="0.25">
      <c r="A2504" t="s">
        <v>1746</v>
      </c>
      <c r="B2504" t="s">
        <v>2274</v>
      </c>
      <c r="C2504" t="s">
        <v>923</v>
      </c>
      <c r="D2504" t="s">
        <v>3063</v>
      </c>
      <c r="E2504" t="s">
        <v>3053</v>
      </c>
      <c r="F2504" t="s">
        <v>425</v>
      </c>
      <c r="G2504" t="s">
        <v>426</v>
      </c>
      <c r="H2504" t="s">
        <v>10209</v>
      </c>
      <c r="I2504">
        <v>43</v>
      </c>
      <c r="J2504">
        <v>0</v>
      </c>
      <c r="K2504">
        <v>0</v>
      </c>
      <c r="L2504">
        <v>0</v>
      </c>
      <c r="M2504">
        <v>43</v>
      </c>
      <c r="N2504">
        <v>0</v>
      </c>
      <c r="O2504">
        <v>0</v>
      </c>
    </row>
    <row r="2505" spans="1:15" x14ac:dyDescent="0.25">
      <c r="A2505" t="s">
        <v>949</v>
      </c>
      <c r="B2505" t="s">
        <v>3035</v>
      </c>
      <c r="C2505" t="s">
        <v>927</v>
      </c>
      <c r="D2505" t="s">
        <v>3052</v>
      </c>
      <c r="E2505" t="s">
        <v>3053</v>
      </c>
      <c r="F2505" t="s">
        <v>425</v>
      </c>
      <c r="G2505" t="s">
        <v>426</v>
      </c>
      <c r="H2505" t="s">
        <v>10214</v>
      </c>
      <c r="I2505">
        <v>2</v>
      </c>
      <c r="J2505">
        <v>0</v>
      </c>
      <c r="K2505">
        <v>0</v>
      </c>
      <c r="L2505">
        <v>0</v>
      </c>
      <c r="M2505">
        <v>0</v>
      </c>
      <c r="N2505">
        <v>0</v>
      </c>
      <c r="O2505">
        <v>2</v>
      </c>
    </row>
    <row r="2506" spans="1:15" x14ac:dyDescent="0.25">
      <c r="A2506" t="s">
        <v>1044</v>
      </c>
      <c r="B2506" t="s">
        <v>2000</v>
      </c>
      <c r="C2506" t="s">
        <v>923</v>
      </c>
      <c r="D2506" t="s">
        <v>3063</v>
      </c>
      <c r="E2506" t="s">
        <v>3053</v>
      </c>
      <c r="F2506" t="s">
        <v>425</v>
      </c>
      <c r="G2506" t="s">
        <v>426</v>
      </c>
      <c r="H2506" t="s">
        <v>4694</v>
      </c>
      <c r="I2506">
        <v>3</v>
      </c>
      <c r="J2506">
        <v>0</v>
      </c>
      <c r="K2506">
        <v>0</v>
      </c>
      <c r="L2506">
        <v>3</v>
      </c>
      <c r="M2506">
        <v>0</v>
      </c>
      <c r="N2506">
        <v>0</v>
      </c>
      <c r="O2506">
        <v>0</v>
      </c>
    </row>
    <row r="2507" spans="1:15" x14ac:dyDescent="0.25">
      <c r="A2507" t="s">
        <v>951</v>
      </c>
      <c r="B2507" t="s">
        <v>2680</v>
      </c>
      <c r="C2507" t="s">
        <v>927</v>
      </c>
      <c r="D2507" t="s">
        <v>3052</v>
      </c>
      <c r="E2507" t="s">
        <v>3053</v>
      </c>
      <c r="F2507" t="s">
        <v>425</v>
      </c>
      <c r="G2507" t="s">
        <v>426</v>
      </c>
      <c r="H2507" t="s">
        <v>4695</v>
      </c>
      <c r="I2507">
        <v>121</v>
      </c>
      <c r="J2507">
        <v>98</v>
      </c>
      <c r="K2507">
        <v>0</v>
      </c>
      <c r="L2507">
        <v>0</v>
      </c>
      <c r="M2507">
        <v>0</v>
      </c>
      <c r="N2507">
        <v>0</v>
      </c>
      <c r="O2507">
        <v>23</v>
      </c>
    </row>
    <row r="2508" spans="1:15" x14ac:dyDescent="0.25">
      <c r="A2508" t="s">
        <v>953</v>
      </c>
      <c r="B2508" t="s">
        <v>2014</v>
      </c>
      <c r="C2508" t="s">
        <v>927</v>
      </c>
      <c r="D2508" t="s">
        <v>3052</v>
      </c>
      <c r="E2508" t="s">
        <v>3053</v>
      </c>
      <c r="F2508" t="s">
        <v>425</v>
      </c>
      <c r="G2508" t="s">
        <v>426</v>
      </c>
      <c r="H2508" t="s">
        <v>4696</v>
      </c>
      <c r="I2508">
        <v>13</v>
      </c>
      <c r="J2508">
        <v>0</v>
      </c>
      <c r="K2508">
        <v>0</v>
      </c>
      <c r="L2508">
        <v>13</v>
      </c>
      <c r="M2508">
        <v>0</v>
      </c>
      <c r="N2508">
        <v>0</v>
      </c>
      <c r="O2508">
        <v>0</v>
      </c>
    </row>
    <row r="2509" spans="1:15" x14ac:dyDescent="0.25">
      <c r="A2509" t="s">
        <v>11720</v>
      </c>
      <c r="B2509" t="s">
        <v>10718</v>
      </c>
      <c r="C2509" t="s">
        <v>927</v>
      </c>
      <c r="D2509" t="s">
        <v>3052</v>
      </c>
      <c r="E2509" t="s">
        <v>3053</v>
      </c>
      <c r="F2509" t="s">
        <v>425</v>
      </c>
      <c r="G2509" t="s">
        <v>426</v>
      </c>
      <c r="H2509" t="s">
        <v>14672</v>
      </c>
      <c r="I2509">
        <v>74</v>
      </c>
      <c r="J2509">
        <v>37</v>
      </c>
      <c r="K2509">
        <v>0</v>
      </c>
      <c r="L2509">
        <v>0</v>
      </c>
      <c r="M2509">
        <v>0</v>
      </c>
      <c r="N2509">
        <v>0</v>
      </c>
      <c r="O2509">
        <v>37</v>
      </c>
    </row>
    <row r="2510" spans="1:15" x14ac:dyDescent="0.25">
      <c r="A2510" t="s">
        <v>9788</v>
      </c>
      <c r="B2510" t="s">
        <v>9871</v>
      </c>
      <c r="C2510" t="s">
        <v>927</v>
      </c>
      <c r="D2510" t="s">
        <v>3052</v>
      </c>
      <c r="E2510" t="s">
        <v>3053</v>
      </c>
      <c r="F2510" t="s">
        <v>425</v>
      </c>
      <c r="G2510" t="s">
        <v>426</v>
      </c>
      <c r="H2510" t="s">
        <v>10986</v>
      </c>
      <c r="I2510">
        <v>68</v>
      </c>
      <c r="J2510">
        <v>68</v>
      </c>
      <c r="K2510">
        <v>0</v>
      </c>
      <c r="L2510">
        <v>0</v>
      </c>
      <c r="M2510">
        <v>0</v>
      </c>
      <c r="N2510">
        <v>0</v>
      </c>
      <c r="O2510">
        <v>0</v>
      </c>
    </row>
    <row r="2511" spans="1:15" x14ac:dyDescent="0.25">
      <c r="A2511" t="s">
        <v>955</v>
      </c>
      <c r="B2511" t="s">
        <v>2660</v>
      </c>
      <c r="C2511" t="s">
        <v>927</v>
      </c>
      <c r="D2511" t="s">
        <v>3052</v>
      </c>
      <c r="E2511" t="s">
        <v>3053</v>
      </c>
      <c r="F2511" t="s">
        <v>425</v>
      </c>
      <c r="G2511" t="s">
        <v>426</v>
      </c>
      <c r="H2511" t="s">
        <v>4697</v>
      </c>
      <c r="I2511">
        <v>110</v>
      </c>
      <c r="J2511">
        <v>60</v>
      </c>
      <c r="K2511">
        <v>0</v>
      </c>
      <c r="L2511">
        <v>0</v>
      </c>
      <c r="M2511">
        <v>50</v>
      </c>
      <c r="N2511">
        <v>0</v>
      </c>
      <c r="O2511">
        <v>0</v>
      </c>
    </row>
    <row r="2512" spans="1:15" x14ac:dyDescent="0.25">
      <c r="A2512" t="s">
        <v>957</v>
      </c>
      <c r="B2512" t="s">
        <v>2925</v>
      </c>
      <c r="C2512" t="s">
        <v>923</v>
      </c>
      <c r="D2512" t="s">
        <v>3063</v>
      </c>
      <c r="E2512" t="s">
        <v>3053</v>
      </c>
      <c r="F2512" t="s">
        <v>425</v>
      </c>
      <c r="G2512" t="s">
        <v>426</v>
      </c>
      <c r="H2512" t="s">
        <v>4698</v>
      </c>
      <c r="I2512">
        <v>12</v>
      </c>
      <c r="J2512">
        <v>12</v>
      </c>
      <c r="K2512">
        <v>0</v>
      </c>
      <c r="L2512">
        <v>0</v>
      </c>
      <c r="M2512">
        <v>0</v>
      </c>
      <c r="N2512">
        <v>0</v>
      </c>
      <c r="O2512">
        <v>0</v>
      </c>
    </row>
    <row r="2513" spans="1:15" x14ac:dyDescent="0.25">
      <c r="A2513" t="s">
        <v>960</v>
      </c>
      <c r="B2513" t="s">
        <v>2080</v>
      </c>
      <c r="C2513" t="s">
        <v>927</v>
      </c>
      <c r="D2513" t="s">
        <v>3052</v>
      </c>
      <c r="E2513" t="s">
        <v>3053</v>
      </c>
      <c r="F2513" t="s">
        <v>425</v>
      </c>
      <c r="G2513" t="s">
        <v>426</v>
      </c>
      <c r="H2513" t="s">
        <v>4699</v>
      </c>
      <c r="I2513">
        <v>4940</v>
      </c>
      <c r="J2513">
        <v>4043</v>
      </c>
      <c r="K2513">
        <v>0</v>
      </c>
      <c r="L2513">
        <v>81</v>
      </c>
      <c r="M2513">
        <v>338</v>
      </c>
      <c r="N2513">
        <v>11</v>
      </c>
      <c r="O2513">
        <v>478</v>
      </c>
    </row>
    <row r="2514" spans="1:15" x14ac:dyDescent="0.25">
      <c r="A2514" t="s">
        <v>14374</v>
      </c>
      <c r="B2514" t="s">
        <v>1943</v>
      </c>
      <c r="C2514" t="s">
        <v>927</v>
      </c>
      <c r="D2514" t="s">
        <v>3052</v>
      </c>
      <c r="E2514" t="s">
        <v>3053</v>
      </c>
      <c r="F2514" t="s">
        <v>425</v>
      </c>
      <c r="G2514" t="s">
        <v>426</v>
      </c>
      <c r="H2514" t="s">
        <v>14673</v>
      </c>
      <c r="I2514">
        <v>26</v>
      </c>
      <c r="J2514">
        <v>0</v>
      </c>
      <c r="K2514">
        <v>0</v>
      </c>
      <c r="L2514">
        <v>0</v>
      </c>
      <c r="M2514">
        <v>0</v>
      </c>
      <c r="N2514">
        <v>0</v>
      </c>
      <c r="O2514">
        <v>26</v>
      </c>
    </row>
    <row r="2515" spans="1:15" x14ac:dyDescent="0.25">
      <c r="A2515" t="s">
        <v>1062</v>
      </c>
      <c r="B2515" t="s">
        <v>1993</v>
      </c>
      <c r="C2515" t="s">
        <v>927</v>
      </c>
      <c r="D2515" t="s">
        <v>3052</v>
      </c>
      <c r="E2515" t="s">
        <v>3053</v>
      </c>
      <c r="F2515" t="s">
        <v>425</v>
      </c>
      <c r="G2515" t="s">
        <v>426</v>
      </c>
      <c r="H2515" t="s">
        <v>4700</v>
      </c>
      <c r="I2515">
        <v>6</v>
      </c>
      <c r="J2515">
        <v>6</v>
      </c>
      <c r="K2515">
        <v>0</v>
      </c>
      <c r="L2515">
        <v>0</v>
      </c>
      <c r="M2515">
        <v>0</v>
      </c>
      <c r="N2515">
        <v>0</v>
      </c>
      <c r="O2515">
        <v>0</v>
      </c>
    </row>
    <row r="2516" spans="1:15" x14ac:dyDescent="0.25">
      <c r="A2516" t="s">
        <v>962</v>
      </c>
      <c r="B2516" t="s">
        <v>2752</v>
      </c>
      <c r="C2516" t="s">
        <v>927</v>
      </c>
      <c r="D2516" t="s">
        <v>3052</v>
      </c>
      <c r="E2516" t="s">
        <v>3053</v>
      </c>
      <c r="F2516" t="s">
        <v>425</v>
      </c>
      <c r="G2516" t="s">
        <v>426</v>
      </c>
      <c r="H2516" t="s">
        <v>4701</v>
      </c>
      <c r="I2516">
        <v>1265</v>
      </c>
      <c r="J2516">
        <v>1118</v>
      </c>
      <c r="K2516">
        <v>0</v>
      </c>
      <c r="L2516">
        <v>9</v>
      </c>
      <c r="M2516">
        <v>0</v>
      </c>
      <c r="N2516">
        <v>0</v>
      </c>
      <c r="O2516">
        <v>138</v>
      </c>
    </row>
    <row r="2517" spans="1:15" x14ac:dyDescent="0.25">
      <c r="A2517" t="s">
        <v>1767</v>
      </c>
      <c r="B2517" t="s">
        <v>2142</v>
      </c>
      <c r="C2517" t="s">
        <v>923</v>
      </c>
      <c r="D2517" t="s">
        <v>3063</v>
      </c>
      <c r="E2517" t="s">
        <v>3053</v>
      </c>
      <c r="F2517" t="s">
        <v>425</v>
      </c>
      <c r="G2517" t="s">
        <v>426</v>
      </c>
      <c r="H2517" t="s">
        <v>4702</v>
      </c>
      <c r="I2517">
        <v>34</v>
      </c>
      <c r="J2517">
        <v>9</v>
      </c>
      <c r="K2517">
        <v>0</v>
      </c>
      <c r="L2517">
        <v>25</v>
      </c>
      <c r="M2517">
        <v>0</v>
      </c>
      <c r="N2517">
        <v>0</v>
      </c>
      <c r="O2517">
        <v>0</v>
      </c>
    </row>
    <row r="2518" spans="1:15" x14ac:dyDescent="0.25">
      <c r="A2518" t="s">
        <v>964</v>
      </c>
      <c r="B2518" t="s">
        <v>1969</v>
      </c>
      <c r="C2518" t="s">
        <v>927</v>
      </c>
      <c r="D2518" t="s">
        <v>3052</v>
      </c>
      <c r="E2518" t="s">
        <v>3053</v>
      </c>
      <c r="F2518" t="s">
        <v>425</v>
      </c>
      <c r="G2518" t="s">
        <v>426</v>
      </c>
      <c r="H2518" t="s">
        <v>4703</v>
      </c>
      <c r="I2518">
        <v>7380</v>
      </c>
      <c r="J2518">
        <v>5672</v>
      </c>
      <c r="K2518">
        <v>0</v>
      </c>
      <c r="L2518">
        <v>207</v>
      </c>
      <c r="M2518">
        <v>1249</v>
      </c>
      <c r="N2518">
        <v>4</v>
      </c>
      <c r="O2518">
        <v>252</v>
      </c>
    </row>
    <row r="2519" spans="1:15" x14ac:dyDescent="0.25">
      <c r="A2519" t="s">
        <v>1353</v>
      </c>
      <c r="B2519" t="s">
        <v>2927</v>
      </c>
      <c r="C2519" t="s">
        <v>923</v>
      </c>
      <c r="D2519" t="s">
        <v>3063</v>
      </c>
      <c r="E2519" t="s">
        <v>3053</v>
      </c>
      <c r="F2519" t="s">
        <v>425</v>
      </c>
      <c r="G2519" t="s">
        <v>426</v>
      </c>
      <c r="H2519" t="s">
        <v>4704</v>
      </c>
      <c r="I2519">
        <v>29</v>
      </c>
      <c r="J2519">
        <v>0</v>
      </c>
      <c r="K2519">
        <v>0</v>
      </c>
      <c r="L2519">
        <v>0</v>
      </c>
      <c r="M2519">
        <v>29</v>
      </c>
      <c r="N2519">
        <v>0</v>
      </c>
      <c r="O2519">
        <v>0</v>
      </c>
    </row>
    <row r="2520" spans="1:15" x14ac:dyDescent="0.25">
      <c r="A2520" t="s">
        <v>1772</v>
      </c>
      <c r="B2520" t="s">
        <v>2530</v>
      </c>
      <c r="C2520" t="s">
        <v>923</v>
      </c>
      <c r="D2520" t="s">
        <v>3063</v>
      </c>
      <c r="E2520" t="s">
        <v>3053</v>
      </c>
      <c r="F2520" t="s">
        <v>425</v>
      </c>
      <c r="G2520" t="s">
        <v>426</v>
      </c>
      <c r="H2520" t="s">
        <v>4705</v>
      </c>
      <c r="I2520">
        <v>10</v>
      </c>
      <c r="J2520">
        <v>0</v>
      </c>
      <c r="K2520">
        <v>0</v>
      </c>
      <c r="L2520">
        <v>0</v>
      </c>
      <c r="M2520">
        <v>10</v>
      </c>
      <c r="N2520">
        <v>0</v>
      </c>
      <c r="O2520">
        <v>0</v>
      </c>
    </row>
    <row r="2521" spans="1:15" x14ac:dyDescent="0.25">
      <c r="A2521" t="s">
        <v>1066</v>
      </c>
      <c r="B2521" t="s">
        <v>2557</v>
      </c>
      <c r="C2521" t="s">
        <v>927</v>
      </c>
      <c r="D2521" t="s">
        <v>3052</v>
      </c>
      <c r="E2521" t="s">
        <v>3053</v>
      </c>
      <c r="F2521" t="s">
        <v>425</v>
      </c>
      <c r="G2521" t="s">
        <v>426</v>
      </c>
      <c r="H2521" t="s">
        <v>4706</v>
      </c>
      <c r="I2521">
        <v>29</v>
      </c>
      <c r="J2521">
        <v>0</v>
      </c>
      <c r="K2521">
        <v>0</v>
      </c>
      <c r="L2521">
        <v>0</v>
      </c>
      <c r="M2521">
        <v>29</v>
      </c>
      <c r="N2521">
        <v>0</v>
      </c>
      <c r="O2521">
        <v>0</v>
      </c>
    </row>
    <row r="2522" spans="1:15" x14ac:dyDescent="0.25">
      <c r="A2522" t="s">
        <v>11714</v>
      </c>
      <c r="B2522" t="s">
        <v>10575</v>
      </c>
      <c r="C2522" t="s">
        <v>923</v>
      </c>
      <c r="D2522" t="s">
        <v>3063</v>
      </c>
      <c r="E2522" t="s">
        <v>3053</v>
      </c>
      <c r="F2522" t="s">
        <v>425</v>
      </c>
      <c r="G2522" t="s">
        <v>426</v>
      </c>
      <c r="H2522" t="s">
        <v>11985</v>
      </c>
      <c r="I2522">
        <v>18</v>
      </c>
      <c r="J2522">
        <v>0</v>
      </c>
      <c r="K2522">
        <v>0</v>
      </c>
      <c r="L2522">
        <v>0</v>
      </c>
      <c r="M2522">
        <v>18</v>
      </c>
      <c r="N2522">
        <v>0</v>
      </c>
      <c r="O2522">
        <v>0</v>
      </c>
    </row>
    <row r="2523" spans="1:15" x14ac:dyDescent="0.25">
      <c r="A2523" t="s">
        <v>1069</v>
      </c>
      <c r="B2523" t="s">
        <v>2001</v>
      </c>
      <c r="C2523" t="s">
        <v>927</v>
      </c>
      <c r="D2523" t="s">
        <v>3052</v>
      </c>
      <c r="E2523" t="s">
        <v>3053</v>
      </c>
      <c r="F2523" t="s">
        <v>425</v>
      </c>
      <c r="G2523" t="s">
        <v>426</v>
      </c>
      <c r="H2523" t="s">
        <v>4707</v>
      </c>
      <c r="I2523">
        <v>278</v>
      </c>
      <c r="J2523">
        <v>234</v>
      </c>
      <c r="K2523">
        <v>0</v>
      </c>
      <c r="L2523">
        <v>0</v>
      </c>
      <c r="M2523">
        <v>0</v>
      </c>
      <c r="N2523">
        <v>0</v>
      </c>
      <c r="O2523">
        <v>44</v>
      </c>
    </row>
    <row r="2524" spans="1:15" x14ac:dyDescent="0.25">
      <c r="A2524" t="s">
        <v>1785</v>
      </c>
      <c r="B2524" t="s">
        <v>2325</v>
      </c>
      <c r="C2524" t="s">
        <v>923</v>
      </c>
      <c r="D2524" t="s">
        <v>3063</v>
      </c>
      <c r="E2524" t="s">
        <v>3053</v>
      </c>
      <c r="F2524" t="s">
        <v>425</v>
      </c>
      <c r="G2524" t="s">
        <v>426</v>
      </c>
      <c r="H2524" t="s">
        <v>4708</v>
      </c>
      <c r="I2524">
        <v>3</v>
      </c>
      <c r="J2524">
        <v>3</v>
      </c>
      <c r="K2524">
        <v>0</v>
      </c>
      <c r="L2524">
        <v>0</v>
      </c>
      <c r="M2524">
        <v>0</v>
      </c>
      <c r="N2524">
        <v>0</v>
      </c>
      <c r="O2524">
        <v>0</v>
      </c>
    </row>
    <row r="2525" spans="1:15" x14ac:dyDescent="0.25">
      <c r="A2525" t="s">
        <v>966</v>
      </c>
      <c r="B2525" t="s">
        <v>2684</v>
      </c>
      <c r="C2525" t="s">
        <v>927</v>
      </c>
      <c r="D2525" t="s">
        <v>3052</v>
      </c>
      <c r="E2525" t="s">
        <v>3053</v>
      </c>
      <c r="F2525" t="s">
        <v>425</v>
      </c>
      <c r="G2525" t="s">
        <v>426</v>
      </c>
      <c r="H2525" t="s">
        <v>4709</v>
      </c>
      <c r="I2525">
        <v>108</v>
      </c>
      <c r="J2525">
        <v>48</v>
      </c>
      <c r="K2525">
        <v>0</v>
      </c>
      <c r="L2525">
        <v>0</v>
      </c>
      <c r="M2525">
        <v>0</v>
      </c>
      <c r="N2525">
        <v>0</v>
      </c>
      <c r="O2525">
        <v>60</v>
      </c>
    </row>
    <row r="2526" spans="1:15" x14ac:dyDescent="0.25">
      <c r="A2526" t="s">
        <v>1789</v>
      </c>
      <c r="B2526" t="s">
        <v>2145</v>
      </c>
      <c r="C2526" t="s">
        <v>923</v>
      </c>
      <c r="D2526" t="s">
        <v>3063</v>
      </c>
      <c r="E2526" t="s">
        <v>3053</v>
      </c>
      <c r="F2526" t="s">
        <v>425</v>
      </c>
      <c r="G2526" t="s">
        <v>426</v>
      </c>
      <c r="H2526" t="s">
        <v>4710</v>
      </c>
      <c r="I2526">
        <v>4</v>
      </c>
      <c r="J2526">
        <v>0</v>
      </c>
      <c r="K2526">
        <v>0</v>
      </c>
      <c r="L2526">
        <v>0</v>
      </c>
      <c r="M2526">
        <v>4</v>
      </c>
      <c r="N2526">
        <v>0</v>
      </c>
      <c r="O2526">
        <v>0</v>
      </c>
    </row>
    <row r="2527" spans="1:15" x14ac:dyDescent="0.25">
      <c r="A2527" t="s">
        <v>1080</v>
      </c>
      <c r="B2527" t="s">
        <v>2030</v>
      </c>
      <c r="C2527" t="s">
        <v>923</v>
      </c>
      <c r="D2527" t="s">
        <v>3063</v>
      </c>
      <c r="E2527" t="s">
        <v>3053</v>
      </c>
      <c r="F2527" t="s">
        <v>425</v>
      </c>
      <c r="G2527" t="s">
        <v>426</v>
      </c>
      <c r="H2527" t="s">
        <v>4711</v>
      </c>
      <c r="I2527">
        <v>34</v>
      </c>
      <c r="J2527">
        <v>0</v>
      </c>
      <c r="K2527">
        <v>0</v>
      </c>
      <c r="L2527">
        <v>34</v>
      </c>
      <c r="M2527">
        <v>0</v>
      </c>
      <c r="N2527">
        <v>0</v>
      </c>
      <c r="O2527">
        <v>0</v>
      </c>
    </row>
    <row r="2528" spans="1:15" x14ac:dyDescent="0.25">
      <c r="A2528" t="s">
        <v>11715</v>
      </c>
      <c r="B2528" t="s">
        <v>2784</v>
      </c>
      <c r="C2528" t="s">
        <v>927</v>
      </c>
      <c r="D2528" t="s">
        <v>3052</v>
      </c>
      <c r="E2528" t="s">
        <v>3053</v>
      </c>
      <c r="F2528" t="s">
        <v>425</v>
      </c>
      <c r="G2528" t="s">
        <v>426</v>
      </c>
      <c r="H2528" t="s">
        <v>11986</v>
      </c>
      <c r="I2528">
        <v>45</v>
      </c>
      <c r="J2528">
        <v>36</v>
      </c>
      <c r="K2528">
        <v>0</v>
      </c>
      <c r="L2528">
        <v>0</v>
      </c>
      <c r="M2528">
        <v>0</v>
      </c>
      <c r="N2528">
        <v>0</v>
      </c>
      <c r="O2528">
        <v>9</v>
      </c>
    </row>
    <row r="2529" spans="1:15" x14ac:dyDescent="0.25">
      <c r="A2529" t="s">
        <v>14377</v>
      </c>
      <c r="B2529" t="s">
        <v>14444</v>
      </c>
      <c r="C2529" t="s">
        <v>923</v>
      </c>
      <c r="D2529" t="s">
        <v>3063</v>
      </c>
      <c r="E2529" t="s">
        <v>3053</v>
      </c>
      <c r="F2529" t="s">
        <v>425</v>
      </c>
      <c r="G2529" t="s">
        <v>426</v>
      </c>
      <c r="H2529" t="s">
        <v>14674</v>
      </c>
      <c r="I2529">
        <v>9</v>
      </c>
      <c r="J2529">
        <v>0</v>
      </c>
      <c r="K2529">
        <v>0</v>
      </c>
      <c r="L2529">
        <v>9</v>
      </c>
      <c r="M2529">
        <v>0</v>
      </c>
      <c r="N2529">
        <v>0</v>
      </c>
      <c r="O2529">
        <v>0</v>
      </c>
    </row>
    <row r="2530" spans="1:15" x14ac:dyDescent="0.25">
      <c r="A2530" t="s">
        <v>926</v>
      </c>
      <c r="B2530" t="s">
        <v>2923</v>
      </c>
      <c r="C2530" t="s">
        <v>927</v>
      </c>
      <c r="D2530" t="s">
        <v>3052</v>
      </c>
      <c r="E2530" t="s">
        <v>3053</v>
      </c>
      <c r="F2530" t="s">
        <v>427</v>
      </c>
      <c r="G2530" t="s">
        <v>428</v>
      </c>
      <c r="H2530" t="s">
        <v>4712</v>
      </c>
      <c r="I2530">
        <v>1</v>
      </c>
      <c r="J2530">
        <v>0</v>
      </c>
      <c r="K2530">
        <v>0</v>
      </c>
      <c r="L2530">
        <v>0</v>
      </c>
      <c r="M2530">
        <v>0</v>
      </c>
      <c r="N2530">
        <v>0</v>
      </c>
      <c r="O2530">
        <v>1</v>
      </c>
    </row>
    <row r="2531" spans="1:15" x14ac:dyDescent="0.25">
      <c r="A2531" t="s">
        <v>929</v>
      </c>
      <c r="B2531" t="s">
        <v>2999</v>
      </c>
      <c r="C2531" t="s">
        <v>927</v>
      </c>
      <c r="D2531" t="s">
        <v>3052</v>
      </c>
      <c r="E2531" t="s">
        <v>3053</v>
      </c>
      <c r="F2531" t="s">
        <v>427</v>
      </c>
      <c r="G2531" t="s">
        <v>428</v>
      </c>
      <c r="H2531" t="s">
        <v>4713</v>
      </c>
      <c r="I2531">
        <v>103</v>
      </c>
      <c r="J2531">
        <v>0</v>
      </c>
      <c r="K2531">
        <v>0</v>
      </c>
      <c r="L2531">
        <v>0</v>
      </c>
      <c r="M2531">
        <v>103</v>
      </c>
      <c r="N2531">
        <v>0</v>
      </c>
      <c r="O2531">
        <v>0</v>
      </c>
    </row>
    <row r="2532" spans="1:15" x14ac:dyDescent="0.25">
      <c r="A2532" t="s">
        <v>9784</v>
      </c>
      <c r="B2532" t="s">
        <v>1994</v>
      </c>
      <c r="C2532" t="s">
        <v>927</v>
      </c>
      <c r="D2532" t="s">
        <v>3052</v>
      </c>
      <c r="E2532" t="s">
        <v>3053</v>
      </c>
      <c r="F2532" t="s">
        <v>427</v>
      </c>
      <c r="G2532" t="s">
        <v>428</v>
      </c>
      <c r="H2532" t="s">
        <v>9934</v>
      </c>
      <c r="I2532">
        <v>14</v>
      </c>
      <c r="J2532">
        <v>0</v>
      </c>
      <c r="K2532">
        <v>0</v>
      </c>
      <c r="L2532">
        <v>14</v>
      </c>
      <c r="M2532">
        <v>0</v>
      </c>
      <c r="N2532">
        <v>0</v>
      </c>
      <c r="O2532">
        <v>0</v>
      </c>
    </row>
    <row r="2533" spans="1:15" x14ac:dyDescent="0.25">
      <c r="A2533" t="s">
        <v>998</v>
      </c>
      <c r="B2533" t="s">
        <v>2820</v>
      </c>
      <c r="C2533" t="s">
        <v>927</v>
      </c>
      <c r="D2533" t="s">
        <v>3052</v>
      </c>
      <c r="E2533" t="s">
        <v>3053</v>
      </c>
      <c r="F2533" t="s">
        <v>427</v>
      </c>
      <c r="G2533" t="s">
        <v>428</v>
      </c>
      <c r="H2533" t="s">
        <v>4714</v>
      </c>
      <c r="I2533">
        <v>38</v>
      </c>
      <c r="J2533">
        <v>29</v>
      </c>
      <c r="K2533">
        <v>0</v>
      </c>
      <c r="L2533">
        <v>0</v>
      </c>
      <c r="M2533">
        <v>0</v>
      </c>
      <c r="N2533">
        <v>0</v>
      </c>
      <c r="O2533">
        <v>9</v>
      </c>
    </row>
    <row r="2534" spans="1:15" x14ac:dyDescent="0.25">
      <c r="A2534" t="s">
        <v>1416</v>
      </c>
      <c r="B2534" t="s">
        <v>2029</v>
      </c>
      <c r="C2534" t="s">
        <v>923</v>
      </c>
      <c r="D2534" t="s">
        <v>3063</v>
      </c>
      <c r="E2534" t="s">
        <v>3053</v>
      </c>
      <c r="F2534" t="s">
        <v>427</v>
      </c>
      <c r="G2534" t="s">
        <v>428</v>
      </c>
      <c r="H2534" t="s">
        <v>11987</v>
      </c>
      <c r="I2534">
        <v>19</v>
      </c>
      <c r="J2534">
        <v>0</v>
      </c>
      <c r="K2534">
        <v>0</v>
      </c>
      <c r="L2534">
        <v>19</v>
      </c>
      <c r="M2534">
        <v>0</v>
      </c>
      <c r="N2534">
        <v>0</v>
      </c>
      <c r="O2534">
        <v>0</v>
      </c>
    </row>
    <row r="2535" spans="1:15" x14ac:dyDescent="0.25">
      <c r="A2535" t="s">
        <v>10638</v>
      </c>
      <c r="B2535" t="s">
        <v>2057</v>
      </c>
      <c r="C2535" t="s">
        <v>927</v>
      </c>
      <c r="D2535" t="s">
        <v>3052</v>
      </c>
      <c r="E2535" t="s">
        <v>3053</v>
      </c>
      <c r="F2535" t="s">
        <v>427</v>
      </c>
      <c r="G2535" t="s">
        <v>428</v>
      </c>
      <c r="H2535" t="s">
        <v>10987</v>
      </c>
      <c r="I2535">
        <v>9</v>
      </c>
      <c r="J2535">
        <v>0</v>
      </c>
      <c r="K2535">
        <v>0</v>
      </c>
      <c r="L2535">
        <v>9</v>
      </c>
      <c r="M2535">
        <v>0</v>
      </c>
      <c r="N2535">
        <v>0</v>
      </c>
      <c r="O2535">
        <v>0</v>
      </c>
    </row>
    <row r="2536" spans="1:15" x14ac:dyDescent="0.25">
      <c r="A2536" t="s">
        <v>937</v>
      </c>
      <c r="B2536" t="s">
        <v>1962</v>
      </c>
      <c r="C2536" t="s">
        <v>927</v>
      </c>
      <c r="D2536" t="s">
        <v>3052</v>
      </c>
      <c r="E2536" t="s">
        <v>3053</v>
      </c>
      <c r="F2536" t="s">
        <v>427</v>
      </c>
      <c r="G2536" t="s">
        <v>428</v>
      </c>
      <c r="H2536" t="s">
        <v>10988</v>
      </c>
      <c r="I2536">
        <v>15</v>
      </c>
      <c r="J2536">
        <v>0</v>
      </c>
      <c r="K2536">
        <v>0</v>
      </c>
      <c r="L2536">
        <v>0</v>
      </c>
      <c r="M2536">
        <v>0</v>
      </c>
      <c r="N2536">
        <v>0</v>
      </c>
      <c r="O2536">
        <v>15</v>
      </c>
    </row>
    <row r="2537" spans="1:15" x14ac:dyDescent="0.25">
      <c r="A2537" t="s">
        <v>1011</v>
      </c>
      <c r="B2537" t="s">
        <v>2020</v>
      </c>
      <c r="C2537" t="s">
        <v>927</v>
      </c>
      <c r="D2537" t="s">
        <v>3052</v>
      </c>
      <c r="E2537" t="s">
        <v>3053</v>
      </c>
      <c r="F2537" t="s">
        <v>427</v>
      </c>
      <c r="G2537" t="s">
        <v>428</v>
      </c>
      <c r="H2537" t="s">
        <v>4715</v>
      </c>
      <c r="I2537">
        <v>3</v>
      </c>
      <c r="J2537">
        <v>0</v>
      </c>
      <c r="K2537">
        <v>0</v>
      </c>
      <c r="L2537">
        <v>3</v>
      </c>
      <c r="M2537">
        <v>0</v>
      </c>
      <c r="N2537">
        <v>0</v>
      </c>
      <c r="O2537">
        <v>0</v>
      </c>
    </row>
    <row r="2538" spans="1:15" x14ac:dyDescent="0.25">
      <c r="A2538" t="s">
        <v>938</v>
      </c>
      <c r="B2538" t="s">
        <v>2791</v>
      </c>
      <c r="C2538" t="s">
        <v>927</v>
      </c>
      <c r="D2538" t="s">
        <v>3052</v>
      </c>
      <c r="E2538" t="s">
        <v>3053</v>
      </c>
      <c r="F2538" t="s">
        <v>427</v>
      </c>
      <c r="G2538" t="s">
        <v>428</v>
      </c>
      <c r="H2538" t="s">
        <v>4716</v>
      </c>
      <c r="I2538">
        <v>64</v>
      </c>
      <c r="J2538">
        <v>32</v>
      </c>
      <c r="K2538">
        <v>0</v>
      </c>
      <c r="L2538">
        <v>32</v>
      </c>
      <c r="M2538">
        <v>0</v>
      </c>
      <c r="N2538">
        <v>0</v>
      </c>
      <c r="O2538">
        <v>0</v>
      </c>
    </row>
    <row r="2539" spans="1:15" x14ac:dyDescent="0.25">
      <c r="A2539" t="s">
        <v>940</v>
      </c>
      <c r="B2539" t="s">
        <v>2647</v>
      </c>
      <c r="C2539" t="s">
        <v>927</v>
      </c>
      <c r="D2539" t="s">
        <v>3052</v>
      </c>
      <c r="E2539" t="s">
        <v>3053</v>
      </c>
      <c r="F2539" t="s">
        <v>427</v>
      </c>
      <c r="G2539" t="s">
        <v>428</v>
      </c>
      <c r="H2539" t="s">
        <v>4717</v>
      </c>
      <c r="I2539">
        <v>211</v>
      </c>
      <c r="J2539">
        <v>1</v>
      </c>
      <c r="K2539">
        <v>0</v>
      </c>
      <c r="L2539">
        <v>0</v>
      </c>
      <c r="M2539">
        <v>210</v>
      </c>
      <c r="N2539">
        <v>0</v>
      </c>
      <c r="O2539">
        <v>0</v>
      </c>
    </row>
    <row r="2540" spans="1:15" x14ac:dyDescent="0.25">
      <c r="A2540" t="s">
        <v>1013</v>
      </c>
      <c r="B2540" t="s">
        <v>1959</v>
      </c>
      <c r="C2540" t="s">
        <v>927</v>
      </c>
      <c r="D2540" t="s">
        <v>3052</v>
      </c>
      <c r="E2540" t="s">
        <v>3053</v>
      </c>
      <c r="F2540" t="s">
        <v>427</v>
      </c>
      <c r="G2540" t="s">
        <v>428</v>
      </c>
      <c r="H2540" t="s">
        <v>10989</v>
      </c>
      <c r="I2540">
        <v>9</v>
      </c>
      <c r="J2540">
        <v>0</v>
      </c>
      <c r="K2540">
        <v>0</v>
      </c>
      <c r="L2540">
        <v>9</v>
      </c>
      <c r="M2540">
        <v>0</v>
      </c>
      <c r="N2540">
        <v>0</v>
      </c>
      <c r="O2540">
        <v>0</v>
      </c>
    </row>
    <row r="2541" spans="1:15" x14ac:dyDescent="0.25">
      <c r="A2541" t="s">
        <v>1629</v>
      </c>
      <c r="B2541" t="s">
        <v>2437</v>
      </c>
      <c r="C2541" t="s">
        <v>923</v>
      </c>
      <c r="D2541" t="s">
        <v>3063</v>
      </c>
      <c r="E2541" t="s">
        <v>3053</v>
      </c>
      <c r="F2541" t="s">
        <v>427</v>
      </c>
      <c r="G2541" t="s">
        <v>428</v>
      </c>
      <c r="H2541" t="s">
        <v>4718</v>
      </c>
      <c r="I2541">
        <v>52</v>
      </c>
      <c r="J2541">
        <v>52</v>
      </c>
      <c r="K2541">
        <v>0</v>
      </c>
      <c r="L2541">
        <v>0</v>
      </c>
      <c r="M2541">
        <v>0</v>
      </c>
      <c r="N2541">
        <v>0</v>
      </c>
      <c r="O2541">
        <v>0</v>
      </c>
    </row>
    <row r="2542" spans="1:15" x14ac:dyDescent="0.25">
      <c r="A2542" t="s">
        <v>945</v>
      </c>
      <c r="B2542" t="s">
        <v>2668</v>
      </c>
      <c r="C2542" t="s">
        <v>927</v>
      </c>
      <c r="D2542" t="s">
        <v>3052</v>
      </c>
      <c r="E2542" t="s">
        <v>3053</v>
      </c>
      <c r="F2542" t="s">
        <v>427</v>
      </c>
      <c r="G2542" t="s">
        <v>428</v>
      </c>
      <c r="H2542" t="s">
        <v>4719</v>
      </c>
      <c r="I2542">
        <v>209</v>
      </c>
      <c r="J2542">
        <v>105</v>
      </c>
      <c r="K2542">
        <v>0</v>
      </c>
      <c r="L2542">
        <v>9</v>
      </c>
      <c r="M2542">
        <v>15</v>
      </c>
      <c r="N2542">
        <v>0</v>
      </c>
      <c r="O2542">
        <v>80</v>
      </c>
    </row>
    <row r="2543" spans="1:15" x14ac:dyDescent="0.25">
      <c r="A2543" t="s">
        <v>1135</v>
      </c>
      <c r="B2543" t="s">
        <v>1996</v>
      </c>
      <c r="C2543" t="s">
        <v>923</v>
      </c>
      <c r="D2543" t="s">
        <v>3063</v>
      </c>
      <c r="E2543" t="s">
        <v>3053</v>
      </c>
      <c r="F2543" t="s">
        <v>427</v>
      </c>
      <c r="G2543" t="s">
        <v>428</v>
      </c>
      <c r="H2543" t="s">
        <v>10218</v>
      </c>
      <c r="I2543">
        <v>12</v>
      </c>
      <c r="J2543">
        <v>12</v>
      </c>
      <c r="K2543">
        <v>0</v>
      </c>
      <c r="L2543">
        <v>0</v>
      </c>
      <c r="M2543">
        <v>0</v>
      </c>
      <c r="N2543">
        <v>0</v>
      </c>
      <c r="O2543">
        <v>0</v>
      </c>
    </row>
    <row r="2544" spans="1:15" x14ac:dyDescent="0.25">
      <c r="A2544" t="s">
        <v>1041</v>
      </c>
      <c r="B2544" t="s">
        <v>2826</v>
      </c>
      <c r="C2544" t="s">
        <v>927</v>
      </c>
      <c r="D2544" t="s">
        <v>3052</v>
      </c>
      <c r="E2544" t="s">
        <v>3053</v>
      </c>
      <c r="F2544" t="s">
        <v>427</v>
      </c>
      <c r="G2544" t="s">
        <v>428</v>
      </c>
      <c r="H2544" t="s">
        <v>4720</v>
      </c>
      <c r="I2544">
        <v>20</v>
      </c>
      <c r="J2544">
        <v>0</v>
      </c>
      <c r="K2544">
        <v>0</v>
      </c>
      <c r="L2544">
        <v>0</v>
      </c>
      <c r="M2544">
        <v>0</v>
      </c>
      <c r="N2544">
        <v>0</v>
      </c>
      <c r="O2544">
        <v>20</v>
      </c>
    </row>
    <row r="2545" spans="1:15" x14ac:dyDescent="0.25">
      <c r="A2545" t="s">
        <v>9787</v>
      </c>
      <c r="B2545" t="s">
        <v>2822</v>
      </c>
      <c r="C2545" t="s">
        <v>927</v>
      </c>
      <c r="D2545" t="s">
        <v>3052</v>
      </c>
      <c r="E2545" t="s">
        <v>3053</v>
      </c>
      <c r="F2545" t="s">
        <v>427</v>
      </c>
      <c r="G2545" t="s">
        <v>428</v>
      </c>
      <c r="H2545" t="s">
        <v>10246</v>
      </c>
      <c r="I2545">
        <v>239</v>
      </c>
      <c r="J2545">
        <v>154</v>
      </c>
      <c r="K2545">
        <v>0</v>
      </c>
      <c r="L2545">
        <v>0</v>
      </c>
      <c r="M2545">
        <v>66</v>
      </c>
      <c r="N2545">
        <v>2</v>
      </c>
      <c r="O2545">
        <v>19</v>
      </c>
    </row>
    <row r="2546" spans="1:15" x14ac:dyDescent="0.25">
      <c r="A2546" t="s">
        <v>951</v>
      </c>
      <c r="B2546" t="s">
        <v>2680</v>
      </c>
      <c r="C2546" t="s">
        <v>927</v>
      </c>
      <c r="D2546" t="s">
        <v>3052</v>
      </c>
      <c r="E2546" t="s">
        <v>3053</v>
      </c>
      <c r="F2546" t="s">
        <v>427</v>
      </c>
      <c r="G2546" t="s">
        <v>428</v>
      </c>
      <c r="H2546" t="s">
        <v>4721</v>
      </c>
      <c r="I2546">
        <v>185</v>
      </c>
      <c r="J2546">
        <v>173</v>
      </c>
      <c r="K2546">
        <v>0</v>
      </c>
      <c r="L2546">
        <v>12</v>
      </c>
      <c r="M2546">
        <v>0</v>
      </c>
      <c r="N2546">
        <v>0</v>
      </c>
      <c r="O2546">
        <v>0</v>
      </c>
    </row>
    <row r="2547" spans="1:15" x14ac:dyDescent="0.25">
      <c r="A2547" t="s">
        <v>1048</v>
      </c>
      <c r="B2547" t="s">
        <v>2989</v>
      </c>
      <c r="C2547" t="s">
        <v>927</v>
      </c>
      <c r="D2547" t="s">
        <v>3052</v>
      </c>
      <c r="E2547" t="s">
        <v>3053</v>
      </c>
      <c r="F2547" t="s">
        <v>427</v>
      </c>
      <c r="G2547" t="s">
        <v>428</v>
      </c>
      <c r="H2547" t="s">
        <v>4722</v>
      </c>
      <c r="I2547">
        <v>2</v>
      </c>
      <c r="J2547">
        <v>0</v>
      </c>
      <c r="K2547">
        <v>0</v>
      </c>
      <c r="L2547">
        <v>2</v>
      </c>
      <c r="M2547">
        <v>0</v>
      </c>
      <c r="N2547">
        <v>0</v>
      </c>
      <c r="O2547">
        <v>0</v>
      </c>
    </row>
    <row r="2548" spans="1:15" x14ac:dyDescent="0.25">
      <c r="A2548" t="s">
        <v>953</v>
      </c>
      <c r="B2548" t="s">
        <v>2014</v>
      </c>
      <c r="C2548" t="s">
        <v>927</v>
      </c>
      <c r="D2548" t="s">
        <v>3052</v>
      </c>
      <c r="E2548" t="s">
        <v>3053</v>
      </c>
      <c r="F2548" t="s">
        <v>427</v>
      </c>
      <c r="G2548" t="s">
        <v>428</v>
      </c>
      <c r="H2548" t="s">
        <v>4723</v>
      </c>
      <c r="I2548">
        <v>8</v>
      </c>
      <c r="J2548">
        <v>0</v>
      </c>
      <c r="K2548">
        <v>0</v>
      </c>
      <c r="L2548">
        <v>8</v>
      </c>
      <c r="M2548">
        <v>0</v>
      </c>
      <c r="N2548">
        <v>0</v>
      </c>
      <c r="O2548">
        <v>0</v>
      </c>
    </row>
    <row r="2549" spans="1:15" x14ac:dyDescent="0.25">
      <c r="A2549" t="s">
        <v>1647</v>
      </c>
      <c r="B2549" t="s">
        <v>2339</v>
      </c>
      <c r="C2549" t="s">
        <v>923</v>
      </c>
      <c r="D2549" t="s">
        <v>3063</v>
      </c>
      <c r="E2549" t="s">
        <v>3053</v>
      </c>
      <c r="F2549" t="s">
        <v>427</v>
      </c>
      <c r="G2549" t="s">
        <v>428</v>
      </c>
      <c r="H2549" t="s">
        <v>14675</v>
      </c>
      <c r="I2549">
        <v>6</v>
      </c>
      <c r="J2549">
        <v>0</v>
      </c>
      <c r="K2549">
        <v>0</v>
      </c>
      <c r="L2549">
        <v>0</v>
      </c>
      <c r="M2549">
        <v>6</v>
      </c>
      <c r="N2549">
        <v>0</v>
      </c>
      <c r="O2549">
        <v>0</v>
      </c>
    </row>
    <row r="2550" spans="1:15" x14ac:dyDescent="0.25">
      <c r="A2550" t="s">
        <v>11720</v>
      </c>
      <c r="B2550" t="s">
        <v>10718</v>
      </c>
      <c r="C2550" t="s">
        <v>927</v>
      </c>
      <c r="D2550" t="s">
        <v>3052</v>
      </c>
      <c r="E2550" t="s">
        <v>3053</v>
      </c>
      <c r="F2550" t="s">
        <v>427</v>
      </c>
      <c r="G2550" t="s">
        <v>428</v>
      </c>
      <c r="H2550" t="s">
        <v>14676</v>
      </c>
      <c r="I2550">
        <v>3</v>
      </c>
      <c r="J2550">
        <v>0</v>
      </c>
      <c r="K2550">
        <v>0</v>
      </c>
      <c r="L2550">
        <v>0</v>
      </c>
      <c r="M2550">
        <v>0</v>
      </c>
      <c r="N2550">
        <v>0</v>
      </c>
      <c r="O2550">
        <v>3</v>
      </c>
    </row>
    <row r="2551" spans="1:15" x14ac:dyDescent="0.25">
      <c r="A2551" t="s">
        <v>9788</v>
      </c>
      <c r="B2551" t="s">
        <v>9871</v>
      </c>
      <c r="C2551" t="s">
        <v>927</v>
      </c>
      <c r="D2551" t="s">
        <v>3052</v>
      </c>
      <c r="E2551" t="s">
        <v>3053</v>
      </c>
      <c r="F2551" t="s">
        <v>427</v>
      </c>
      <c r="G2551" t="s">
        <v>428</v>
      </c>
      <c r="H2551" t="s">
        <v>14677</v>
      </c>
      <c r="I2551">
        <v>31</v>
      </c>
      <c r="J2551">
        <v>31</v>
      </c>
      <c r="K2551">
        <v>0</v>
      </c>
      <c r="L2551">
        <v>0</v>
      </c>
      <c r="M2551">
        <v>0</v>
      </c>
      <c r="N2551">
        <v>0</v>
      </c>
      <c r="O2551">
        <v>0</v>
      </c>
    </row>
    <row r="2552" spans="1:15" x14ac:dyDescent="0.25">
      <c r="A2552" t="s">
        <v>1057</v>
      </c>
      <c r="B2552" t="s">
        <v>1972</v>
      </c>
      <c r="C2552" t="s">
        <v>927</v>
      </c>
      <c r="D2552" t="s">
        <v>3052</v>
      </c>
      <c r="E2552" t="s">
        <v>3053</v>
      </c>
      <c r="F2552" t="s">
        <v>427</v>
      </c>
      <c r="G2552" t="s">
        <v>428</v>
      </c>
      <c r="H2552" t="s">
        <v>4724</v>
      </c>
      <c r="I2552">
        <v>84</v>
      </c>
      <c r="J2552">
        <v>57</v>
      </c>
      <c r="K2552">
        <v>0</v>
      </c>
      <c r="L2552">
        <v>0</v>
      </c>
      <c r="M2552">
        <v>0</v>
      </c>
      <c r="N2552">
        <v>0</v>
      </c>
      <c r="O2552">
        <v>27</v>
      </c>
    </row>
    <row r="2553" spans="1:15" x14ac:dyDescent="0.25">
      <c r="A2553" t="s">
        <v>955</v>
      </c>
      <c r="B2553" t="s">
        <v>2660</v>
      </c>
      <c r="C2553" t="s">
        <v>927</v>
      </c>
      <c r="D2553" t="s">
        <v>3052</v>
      </c>
      <c r="E2553" t="s">
        <v>3053</v>
      </c>
      <c r="F2553" t="s">
        <v>427</v>
      </c>
      <c r="G2553" t="s">
        <v>428</v>
      </c>
      <c r="H2553" t="s">
        <v>4725</v>
      </c>
      <c r="I2553">
        <v>227</v>
      </c>
      <c r="J2553">
        <v>178</v>
      </c>
      <c r="K2553">
        <v>0</v>
      </c>
      <c r="L2553">
        <v>11</v>
      </c>
      <c r="M2553">
        <v>12</v>
      </c>
      <c r="N2553">
        <v>2</v>
      </c>
      <c r="O2553">
        <v>26</v>
      </c>
    </row>
    <row r="2554" spans="1:15" x14ac:dyDescent="0.25">
      <c r="A2554" t="s">
        <v>11663</v>
      </c>
      <c r="B2554" t="s">
        <v>11768</v>
      </c>
      <c r="C2554" t="s">
        <v>927</v>
      </c>
      <c r="D2554" t="s">
        <v>3052</v>
      </c>
      <c r="E2554" t="s">
        <v>3053</v>
      </c>
      <c r="F2554" t="s">
        <v>427</v>
      </c>
      <c r="G2554" t="s">
        <v>428</v>
      </c>
      <c r="H2554" t="s">
        <v>11988</v>
      </c>
      <c r="I2554">
        <v>777</v>
      </c>
      <c r="J2554">
        <v>665</v>
      </c>
      <c r="K2554">
        <v>0</v>
      </c>
      <c r="L2554">
        <v>9</v>
      </c>
      <c r="M2554">
        <v>89</v>
      </c>
      <c r="N2554">
        <v>1</v>
      </c>
      <c r="O2554">
        <v>14</v>
      </c>
    </row>
    <row r="2555" spans="1:15" x14ac:dyDescent="0.25">
      <c r="A2555" t="s">
        <v>14374</v>
      </c>
      <c r="B2555" t="s">
        <v>1943</v>
      </c>
      <c r="C2555" t="s">
        <v>927</v>
      </c>
      <c r="D2555" t="s">
        <v>3052</v>
      </c>
      <c r="E2555" t="s">
        <v>3053</v>
      </c>
      <c r="F2555" t="s">
        <v>427</v>
      </c>
      <c r="G2555" t="s">
        <v>428</v>
      </c>
      <c r="H2555" t="s">
        <v>14678</v>
      </c>
      <c r="I2555">
        <v>8</v>
      </c>
      <c r="J2555">
        <v>0</v>
      </c>
      <c r="K2555">
        <v>0</v>
      </c>
      <c r="L2555">
        <v>0</v>
      </c>
      <c r="M2555">
        <v>0</v>
      </c>
      <c r="N2555">
        <v>0</v>
      </c>
      <c r="O2555">
        <v>8</v>
      </c>
    </row>
    <row r="2556" spans="1:15" x14ac:dyDescent="0.25">
      <c r="A2556" t="s">
        <v>1072</v>
      </c>
      <c r="B2556" t="s">
        <v>2907</v>
      </c>
      <c r="C2556" t="s">
        <v>927</v>
      </c>
      <c r="D2556" t="s">
        <v>3052</v>
      </c>
      <c r="E2556" t="s">
        <v>3053</v>
      </c>
      <c r="F2556" t="s">
        <v>427</v>
      </c>
      <c r="G2556" t="s">
        <v>428</v>
      </c>
      <c r="H2556" t="s">
        <v>4726</v>
      </c>
      <c r="I2556">
        <v>65</v>
      </c>
      <c r="J2556">
        <v>42</v>
      </c>
      <c r="K2556">
        <v>0</v>
      </c>
      <c r="L2556">
        <v>18</v>
      </c>
      <c r="M2556">
        <v>0</v>
      </c>
      <c r="N2556">
        <v>0</v>
      </c>
      <c r="O2556">
        <v>5</v>
      </c>
    </row>
    <row r="2557" spans="1:15" x14ac:dyDescent="0.25">
      <c r="A2557" t="s">
        <v>1684</v>
      </c>
      <c r="B2557" t="s">
        <v>2845</v>
      </c>
      <c r="C2557" t="s">
        <v>927</v>
      </c>
      <c r="D2557" t="s">
        <v>3052</v>
      </c>
      <c r="E2557" t="s">
        <v>3053</v>
      </c>
      <c r="F2557" t="s">
        <v>427</v>
      </c>
      <c r="G2557" t="s">
        <v>428</v>
      </c>
      <c r="H2557" t="s">
        <v>4727</v>
      </c>
      <c r="I2557">
        <v>712</v>
      </c>
      <c r="J2557">
        <v>645</v>
      </c>
      <c r="K2557">
        <v>0</v>
      </c>
      <c r="L2557">
        <v>0</v>
      </c>
      <c r="M2557">
        <v>0</v>
      </c>
      <c r="N2557">
        <v>0</v>
      </c>
      <c r="O2557">
        <v>67</v>
      </c>
    </row>
    <row r="2558" spans="1:15" x14ac:dyDescent="0.25">
      <c r="A2558" t="s">
        <v>1182</v>
      </c>
      <c r="B2558" t="s">
        <v>2583</v>
      </c>
      <c r="C2558" t="s">
        <v>923</v>
      </c>
      <c r="D2558" t="s">
        <v>3063</v>
      </c>
      <c r="E2558" t="s">
        <v>3053</v>
      </c>
      <c r="F2558" t="s">
        <v>427</v>
      </c>
      <c r="G2558" t="s">
        <v>428</v>
      </c>
      <c r="H2558" t="s">
        <v>14679</v>
      </c>
      <c r="I2558">
        <v>15</v>
      </c>
      <c r="J2558">
        <v>0</v>
      </c>
      <c r="K2558">
        <v>0</v>
      </c>
      <c r="L2558">
        <v>15</v>
      </c>
      <c r="M2558">
        <v>0</v>
      </c>
      <c r="N2558">
        <v>0</v>
      </c>
      <c r="O2558">
        <v>0</v>
      </c>
    </row>
    <row r="2559" spans="1:15" x14ac:dyDescent="0.25">
      <c r="A2559" t="s">
        <v>1691</v>
      </c>
      <c r="B2559" t="s">
        <v>2980</v>
      </c>
      <c r="C2559" t="s">
        <v>927</v>
      </c>
      <c r="D2559" t="s">
        <v>3052</v>
      </c>
      <c r="E2559" t="s">
        <v>3053</v>
      </c>
      <c r="F2559" t="s">
        <v>427</v>
      </c>
      <c r="G2559" t="s">
        <v>428</v>
      </c>
      <c r="H2559" t="s">
        <v>4728</v>
      </c>
      <c r="I2559">
        <v>166</v>
      </c>
      <c r="J2559">
        <v>84</v>
      </c>
      <c r="K2559">
        <v>0</v>
      </c>
      <c r="L2559">
        <v>0</v>
      </c>
      <c r="M2559">
        <v>40</v>
      </c>
      <c r="N2559">
        <v>0</v>
      </c>
      <c r="O2559">
        <v>42</v>
      </c>
    </row>
    <row r="2560" spans="1:15" x14ac:dyDescent="0.25">
      <c r="A2560" t="s">
        <v>926</v>
      </c>
      <c r="B2560" t="s">
        <v>2923</v>
      </c>
      <c r="C2560" t="s">
        <v>927</v>
      </c>
      <c r="D2560" t="s">
        <v>3052</v>
      </c>
      <c r="E2560" t="s">
        <v>3053</v>
      </c>
      <c r="F2560" t="s">
        <v>429</v>
      </c>
      <c r="G2560" t="s">
        <v>430</v>
      </c>
      <c r="H2560" t="s">
        <v>4729</v>
      </c>
      <c r="I2560">
        <v>4</v>
      </c>
      <c r="J2560">
        <v>0</v>
      </c>
      <c r="K2560">
        <v>0</v>
      </c>
      <c r="L2560">
        <v>0</v>
      </c>
      <c r="M2560">
        <v>0</v>
      </c>
      <c r="N2560">
        <v>0</v>
      </c>
      <c r="O2560">
        <v>4</v>
      </c>
    </row>
    <row r="2561" spans="1:15" x14ac:dyDescent="0.25">
      <c r="A2561" t="s">
        <v>929</v>
      </c>
      <c r="B2561" t="s">
        <v>2999</v>
      </c>
      <c r="C2561" t="s">
        <v>927</v>
      </c>
      <c r="D2561" t="s">
        <v>3052</v>
      </c>
      <c r="E2561" t="s">
        <v>3053</v>
      </c>
      <c r="F2561" t="s">
        <v>429</v>
      </c>
      <c r="G2561" t="s">
        <v>430</v>
      </c>
      <c r="H2561" t="s">
        <v>4730</v>
      </c>
      <c r="I2561">
        <v>43</v>
      </c>
      <c r="J2561">
        <v>0</v>
      </c>
      <c r="K2561">
        <v>0</v>
      </c>
      <c r="L2561">
        <v>0</v>
      </c>
      <c r="M2561">
        <v>43</v>
      </c>
      <c r="N2561">
        <v>0</v>
      </c>
      <c r="O2561">
        <v>0</v>
      </c>
    </row>
    <row r="2562" spans="1:15" x14ac:dyDescent="0.25">
      <c r="A2562" t="s">
        <v>1802</v>
      </c>
      <c r="B2562" t="s">
        <v>2754</v>
      </c>
      <c r="C2562" t="s">
        <v>927</v>
      </c>
      <c r="D2562" t="s">
        <v>3052</v>
      </c>
      <c r="E2562" t="s">
        <v>3053</v>
      </c>
      <c r="F2562" t="s">
        <v>429</v>
      </c>
      <c r="G2562" t="s">
        <v>430</v>
      </c>
      <c r="H2562" t="s">
        <v>4731</v>
      </c>
      <c r="I2562">
        <v>714</v>
      </c>
      <c r="J2562">
        <v>511</v>
      </c>
      <c r="K2562">
        <v>0</v>
      </c>
      <c r="L2562">
        <v>50</v>
      </c>
      <c r="M2562">
        <v>116</v>
      </c>
      <c r="N2562">
        <v>0</v>
      </c>
      <c r="O2562">
        <v>37</v>
      </c>
    </row>
    <row r="2563" spans="1:15" x14ac:dyDescent="0.25">
      <c r="A2563" t="s">
        <v>983</v>
      </c>
      <c r="B2563" t="s">
        <v>2069</v>
      </c>
      <c r="C2563" t="s">
        <v>927</v>
      </c>
      <c r="D2563" t="s">
        <v>3052</v>
      </c>
      <c r="E2563" t="s">
        <v>3053</v>
      </c>
      <c r="F2563" t="s">
        <v>429</v>
      </c>
      <c r="G2563" t="s">
        <v>430</v>
      </c>
      <c r="H2563" t="s">
        <v>4733</v>
      </c>
      <c r="I2563">
        <v>624</v>
      </c>
      <c r="J2563">
        <v>502</v>
      </c>
      <c r="K2563">
        <v>0</v>
      </c>
      <c r="L2563">
        <v>65</v>
      </c>
      <c r="M2563">
        <v>0</v>
      </c>
      <c r="N2563">
        <v>0</v>
      </c>
      <c r="O2563">
        <v>57</v>
      </c>
    </row>
    <row r="2564" spans="1:15" x14ac:dyDescent="0.25">
      <c r="A2564" t="s">
        <v>11717</v>
      </c>
      <c r="B2564" t="s">
        <v>2967</v>
      </c>
      <c r="C2564" t="s">
        <v>923</v>
      </c>
      <c r="D2564" t="s">
        <v>3063</v>
      </c>
      <c r="E2564" t="s">
        <v>3053</v>
      </c>
      <c r="F2564" t="s">
        <v>429</v>
      </c>
      <c r="G2564" t="s">
        <v>430</v>
      </c>
      <c r="H2564" t="s">
        <v>11989</v>
      </c>
      <c r="I2564">
        <v>254</v>
      </c>
      <c r="J2564">
        <v>0</v>
      </c>
      <c r="K2564">
        <v>0</v>
      </c>
      <c r="L2564">
        <v>159</v>
      </c>
      <c r="M2564">
        <v>95</v>
      </c>
      <c r="N2564">
        <v>0</v>
      </c>
      <c r="O2564">
        <v>0</v>
      </c>
    </row>
    <row r="2565" spans="1:15" x14ac:dyDescent="0.25">
      <c r="A2565" t="s">
        <v>1715</v>
      </c>
      <c r="B2565" t="s">
        <v>2136</v>
      </c>
      <c r="C2565" t="s">
        <v>927</v>
      </c>
      <c r="D2565" t="s">
        <v>3052</v>
      </c>
      <c r="E2565" t="s">
        <v>3053</v>
      </c>
      <c r="F2565" t="s">
        <v>429</v>
      </c>
      <c r="G2565" t="s">
        <v>430</v>
      </c>
      <c r="H2565" t="s">
        <v>4734</v>
      </c>
      <c r="I2565">
        <v>332</v>
      </c>
      <c r="J2565">
        <v>268</v>
      </c>
      <c r="K2565">
        <v>0</v>
      </c>
      <c r="L2565">
        <v>6</v>
      </c>
      <c r="M2565">
        <v>0</v>
      </c>
      <c r="N2565">
        <v>0</v>
      </c>
      <c r="O2565">
        <v>58</v>
      </c>
    </row>
    <row r="2566" spans="1:15" x14ac:dyDescent="0.25">
      <c r="A2566" t="s">
        <v>933</v>
      </c>
      <c r="B2566" t="s">
        <v>2106</v>
      </c>
      <c r="C2566" t="s">
        <v>927</v>
      </c>
      <c r="D2566" t="s">
        <v>3052</v>
      </c>
      <c r="E2566" t="s">
        <v>3053</v>
      </c>
      <c r="F2566" t="s">
        <v>429</v>
      </c>
      <c r="G2566" t="s">
        <v>430</v>
      </c>
      <c r="H2566" t="s">
        <v>4735</v>
      </c>
      <c r="I2566">
        <v>1</v>
      </c>
      <c r="J2566">
        <v>0</v>
      </c>
      <c r="K2566">
        <v>0</v>
      </c>
      <c r="L2566">
        <v>0</v>
      </c>
      <c r="M2566">
        <v>0</v>
      </c>
      <c r="N2566">
        <v>0</v>
      </c>
      <c r="O2566">
        <v>1</v>
      </c>
    </row>
    <row r="2567" spans="1:15" x14ac:dyDescent="0.25">
      <c r="A2567" t="s">
        <v>11660</v>
      </c>
      <c r="B2567" t="s">
        <v>2041</v>
      </c>
      <c r="C2567" t="s">
        <v>923</v>
      </c>
      <c r="D2567" t="s">
        <v>3063</v>
      </c>
      <c r="E2567" t="s">
        <v>3053</v>
      </c>
      <c r="F2567" t="s">
        <v>429</v>
      </c>
      <c r="G2567" t="s">
        <v>430</v>
      </c>
      <c r="H2567" t="s">
        <v>14680</v>
      </c>
      <c r="I2567">
        <v>1</v>
      </c>
      <c r="J2567">
        <v>0</v>
      </c>
      <c r="K2567">
        <v>0</v>
      </c>
      <c r="L2567">
        <v>1</v>
      </c>
      <c r="M2567">
        <v>0</v>
      </c>
      <c r="N2567">
        <v>0</v>
      </c>
      <c r="O2567">
        <v>0</v>
      </c>
    </row>
    <row r="2568" spans="1:15" x14ac:dyDescent="0.25">
      <c r="A2568" t="s">
        <v>10638</v>
      </c>
      <c r="B2568" t="s">
        <v>2057</v>
      </c>
      <c r="C2568" t="s">
        <v>927</v>
      </c>
      <c r="D2568" t="s">
        <v>3052</v>
      </c>
      <c r="E2568" t="s">
        <v>3053</v>
      </c>
      <c r="F2568" t="s">
        <v>429</v>
      </c>
      <c r="G2568" t="s">
        <v>430</v>
      </c>
      <c r="H2568" t="s">
        <v>10990</v>
      </c>
      <c r="I2568">
        <v>22</v>
      </c>
      <c r="J2568">
        <v>0</v>
      </c>
      <c r="K2568">
        <v>0</v>
      </c>
      <c r="L2568">
        <v>22</v>
      </c>
      <c r="M2568">
        <v>0</v>
      </c>
      <c r="N2568">
        <v>0</v>
      </c>
      <c r="O2568">
        <v>0</v>
      </c>
    </row>
    <row r="2569" spans="1:15" x14ac:dyDescent="0.25">
      <c r="A2569" t="s">
        <v>10643</v>
      </c>
      <c r="B2569" t="s">
        <v>2987</v>
      </c>
      <c r="C2569" t="s">
        <v>927</v>
      </c>
      <c r="D2569" t="s">
        <v>3052</v>
      </c>
      <c r="E2569" t="s">
        <v>3053</v>
      </c>
      <c r="F2569" t="s">
        <v>429</v>
      </c>
      <c r="G2569" t="s">
        <v>430</v>
      </c>
      <c r="H2569" t="s">
        <v>10991</v>
      </c>
      <c r="I2569">
        <v>1001</v>
      </c>
      <c r="J2569">
        <v>801</v>
      </c>
      <c r="K2569">
        <v>0</v>
      </c>
      <c r="L2569">
        <v>4</v>
      </c>
      <c r="M2569">
        <v>0</v>
      </c>
      <c r="N2569">
        <v>1</v>
      </c>
      <c r="O2569">
        <v>196</v>
      </c>
    </row>
    <row r="2570" spans="1:15" x14ac:dyDescent="0.25">
      <c r="A2570" t="s">
        <v>937</v>
      </c>
      <c r="B2570" t="s">
        <v>1962</v>
      </c>
      <c r="C2570" t="s">
        <v>927</v>
      </c>
      <c r="D2570" t="s">
        <v>3052</v>
      </c>
      <c r="E2570" t="s">
        <v>3053</v>
      </c>
      <c r="F2570" t="s">
        <v>429</v>
      </c>
      <c r="G2570" t="s">
        <v>430</v>
      </c>
      <c r="H2570" t="s">
        <v>4736</v>
      </c>
      <c r="I2570">
        <v>16</v>
      </c>
      <c r="J2570">
        <v>0</v>
      </c>
      <c r="K2570">
        <v>0</v>
      </c>
      <c r="L2570">
        <v>0</v>
      </c>
      <c r="M2570">
        <v>0</v>
      </c>
      <c r="N2570">
        <v>0</v>
      </c>
      <c r="O2570">
        <v>16</v>
      </c>
    </row>
    <row r="2571" spans="1:15" x14ac:dyDescent="0.25">
      <c r="A2571" t="s">
        <v>938</v>
      </c>
      <c r="B2571" t="s">
        <v>2791</v>
      </c>
      <c r="C2571" t="s">
        <v>927</v>
      </c>
      <c r="D2571" t="s">
        <v>3052</v>
      </c>
      <c r="E2571" t="s">
        <v>3053</v>
      </c>
      <c r="F2571" t="s">
        <v>429</v>
      </c>
      <c r="G2571" t="s">
        <v>430</v>
      </c>
      <c r="H2571" t="s">
        <v>4737</v>
      </c>
      <c r="I2571">
        <v>9</v>
      </c>
      <c r="J2571">
        <v>0</v>
      </c>
      <c r="K2571">
        <v>0</v>
      </c>
      <c r="L2571">
        <v>9</v>
      </c>
      <c r="M2571">
        <v>0</v>
      </c>
      <c r="N2571">
        <v>0</v>
      </c>
      <c r="O2571">
        <v>0</v>
      </c>
    </row>
    <row r="2572" spans="1:15" x14ac:dyDescent="0.25">
      <c r="A2572" t="s">
        <v>10652</v>
      </c>
      <c r="B2572" t="s">
        <v>3002</v>
      </c>
      <c r="C2572" t="s">
        <v>927</v>
      </c>
      <c r="D2572" t="s">
        <v>3052</v>
      </c>
      <c r="E2572" t="s">
        <v>3053</v>
      </c>
      <c r="F2572" t="s">
        <v>429</v>
      </c>
      <c r="G2572" t="s">
        <v>430</v>
      </c>
      <c r="H2572" t="s">
        <v>10992</v>
      </c>
      <c r="I2572">
        <v>3</v>
      </c>
      <c r="J2572">
        <v>0</v>
      </c>
      <c r="K2572">
        <v>0</v>
      </c>
      <c r="L2572">
        <v>0</v>
      </c>
      <c r="M2572">
        <v>0</v>
      </c>
      <c r="N2572">
        <v>0</v>
      </c>
      <c r="O2572">
        <v>3</v>
      </c>
    </row>
    <row r="2573" spans="1:15" x14ac:dyDescent="0.25">
      <c r="A2573" t="s">
        <v>940</v>
      </c>
      <c r="B2573" t="s">
        <v>2647</v>
      </c>
      <c r="C2573" t="s">
        <v>927</v>
      </c>
      <c r="D2573" t="s">
        <v>3052</v>
      </c>
      <c r="E2573" t="s">
        <v>3053</v>
      </c>
      <c r="F2573" t="s">
        <v>429</v>
      </c>
      <c r="G2573" t="s">
        <v>430</v>
      </c>
      <c r="H2573" t="s">
        <v>4738</v>
      </c>
      <c r="I2573">
        <v>103</v>
      </c>
      <c r="J2573">
        <v>0</v>
      </c>
      <c r="K2573">
        <v>0</v>
      </c>
      <c r="L2573">
        <v>0</v>
      </c>
      <c r="M2573">
        <v>103</v>
      </c>
      <c r="N2573">
        <v>0</v>
      </c>
      <c r="O2573">
        <v>0</v>
      </c>
    </row>
    <row r="2574" spans="1:15" x14ac:dyDescent="0.25">
      <c r="A2574" t="s">
        <v>1013</v>
      </c>
      <c r="B2574" t="s">
        <v>1959</v>
      </c>
      <c r="C2574" t="s">
        <v>927</v>
      </c>
      <c r="D2574" t="s">
        <v>3052</v>
      </c>
      <c r="E2574" t="s">
        <v>3053</v>
      </c>
      <c r="F2574" t="s">
        <v>429</v>
      </c>
      <c r="G2574" t="s">
        <v>430</v>
      </c>
      <c r="H2574" t="s">
        <v>4739</v>
      </c>
      <c r="I2574">
        <v>40</v>
      </c>
      <c r="J2574">
        <v>0</v>
      </c>
      <c r="K2574">
        <v>0</v>
      </c>
      <c r="L2574">
        <v>40</v>
      </c>
      <c r="M2574">
        <v>0</v>
      </c>
      <c r="N2574">
        <v>0</v>
      </c>
      <c r="O2574">
        <v>0</v>
      </c>
    </row>
    <row r="2575" spans="1:15" x14ac:dyDescent="0.25">
      <c r="A2575" t="s">
        <v>1030</v>
      </c>
      <c r="B2575" t="s">
        <v>2880</v>
      </c>
      <c r="C2575" t="s">
        <v>927</v>
      </c>
      <c r="D2575" t="s">
        <v>3052</v>
      </c>
      <c r="E2575" t="s">
        <v>3053</v>
      </c>
      <c r="F2575" t="s">
        <v>429</v>
      </c>
      <c r="G2575" t="s">
        <v>430</v>
      </c>
      <c r="H2575" t="s">
        <v>4740</v>
      </c>
      <c r="I2575">
        <v>1170</v>
      </c>
      <c r="J2575">
        <v>721</v>
      </c>
      <c r="K2575">
        <v>0</v>
      </c>
      <c r="L2575">
        <v>59</v>
      </c>
      <c r="M2575">
        <v>253</v>
      </c>
      <c r="N2575">
        <v>0</v>
      </c>
      <c r="O2575">
        <v>137</v>
      </c>
    </row>
    <row r="2576" spans="1:15" x14ac:dyDescent="0.25">
      <c r="A2576" t="s">
        <v>1829</v>
      </c>
      <c r="B2576" t="s">
        <v>2811</v>
      </c>
      <c r="C2576" t="s">
        <v>927</v>
      </c>
      <c r="D2576" t="s">
        <v>3052</v>
      </c>
      <c r="E2576" t="s">
        <v>3053</v>
      </c>
      <c r="F2576" t="s">
        <v>429</v>
      </c>
      <c r="G2576" t="s">
        <v>430</v>
      </c>
      <c r="H2576" t="s">
        <v>4741</v>
      </c>
      <c r="I2576">
        <v>87</v>
      </c>
      <c r="J2576">
        <v>49</v>
      </c>
      <c r="K2576">
        <v>0</v>
      </c>
      <c r="L2576">
        <v>0</v>
      </c>
      <c r="M2576">
        <v>38</v>
      </c>
      <c r="N2576">
        <v>0</v>
      </c>
      <c r="O2576">
        <v>0</v>
      </c>
    </row>
    <row r="2577" spans="1:15" x14ac:dyDescent="0.25">
      <c r="A2577" t="s">
        <v>1049</v>
      </c>
      <c r="B2577" t="s">
        <v>2138</v>
      </c>
      <c r="C2577" t="s">
        <v>927</v>
      </c>
      <c r="D2577" t="s">
        <v>3052</v>
      </c>
      <c r="E2577" t="s">
        <v>3053</v>
      </c>
      <c r="F2577" t="s">
        <v>429</v>
      </c>
      <c r="G2577" t="s">
        <v>430</v>
      </c>
      <c r="H2577" t="s">
        <v>4742</v>
      </c>
      <c r="I2577">
        <v>174</v>
      </c>
      <c r="J2577">
        <v>109</v>
      </c>
      <c r="K2577">
        <v>0</v>
      </c>
      <c r="L2577">
        <v>0</v>
      </c>
      <c r="M2577">
        <v>0</v>
      </c>
      <c r="N2577">
        <v>0</v>
      </c>
      <c r="O2577">
        <v>65</v>
      </c>
    </row>
    <row r="2578" spans="1:15" x14ac:dyDescent="0.25">
      <c r="A2578" t="s">
        <v>1758</v>
      </c>
      <c r="B2578" t="s">
        <v>2997</v>
      </c>
      <c r="C2578" t="s">
        <v>927</v>
      </c>
      <c r="D2578" t="s">
        <v>3052</v>
      </c>
      <c r="E2578" t="s">
        <v>3053</v>
      </c>
      <c r="F2578" t="s">
        <v>429</v>
      </c>
      <c r="G2578" t="s">
        <v>430</v>
      </c>
      <c r="H2578" t="s">
        <v>4743</v>
      </c>
      <c r="I2578">
        <v>6</v>
      </c>
      <c r="J2578">
        <v>6</v>
      </c>
      <c r="K2578">
        <v>0</v>
      </c>
      <c r="L2578">
        <v>0</v>
      </c>
      <c r="M2578">
        <v>0</v>
      </c>
      <c r="N2578">
        <v>0</v>
      </c>
      <c r="O2578">
        <v>0</v>
      </c>
    </row>
    <row r="2579" spans="1:15" x14ac:dyDescent="0.25">
      <c r="A2579" t="s">
        <v>9788</v>
      </c>
      <c r="B2579" t="s">
        <v>9871</v>
      </c>
      <c r="C2579" t="s">
        <v>927</v>
      </c>
      <c r="D2579" t="s">
        <v>3052</v>
      </c>
      <c r="E2579" t="s">
        <v>3053</v>
      </c>
      <c r="F2579" t="s">
        <v>429</v>
      </c>
      <c r="G2579" t="s">
        <v>430</v>
      </c>
      <c r="H2579" t="s">
        <v>14681</v>
      </c>
      <c r="I2579">
        <v>7</v>
      </c>
      <c r="J2579">
        <v>7</v>
      </c>
      <c r="K2579">
        <v>0</v>
      </c>
      <c r="L2579">
        <v>0</v>
      </c>
      <c r="M2579">
        <v>0</v>
      </c>
      <c r="N2579">
        <v>0</v>
      </c>
      <c r="O2579">
        <v>0</v>
      </c>
    </row>
    <row r="2580" spans="1:15" x14ac:dyDescent="0.25">
      <c r="A2580" t="s">
        <v>955</v>
      </c>
      <c r="B2580" t="s">
        <v>2660</v>
      </c>
      <c r="C2580" t="s">
        <v>927</v>
      </c>
      <c r="D2580" t="s">
        <v>3052</v>
      </c>
      <c r="E2580" t="s">
        <v>3053</v>
      </c>
      <c r="F2580" t="s">
        <v>429</v>
      </c>
      <c r="G2580" t="s">
        <v>430</v>
      </c>
      <c r="H2580" t="s">
        <v>4744</v>
      </c>
      <c r="I2580">
        <v>501</v>
      </c>
      <c r="J2580">
        <v>363</v>
      </c>
      <c r="K2580">
        <v>0</v>
      </c>
      <c r="L2580">
        <v>0</v>
      </c>
      <c r="M2580">
        <v>59</v>
      </c>
      <c r="N2580">
        <v>4</v>
      </c>
      <c r="O2580">
        <v>79</v>
      </c>
    </row>
    <row r="2581" spans="1:15" x14ac:dyDescent="0.25">
      <c r="A2581" t="s">
        <v>14374</v>
      </c>
      <c r="B2581" t="s">
        <v>1943</v>
      </c>
      <c r="C2581" t="s">
        <v>927</v>
      </c>
      <c r="D2581" t="s">
        <v>3052</v>
      </c>
      <c r="E2581" t="s">
        <v>3053</v>
      </c>
      <c r="F2581" t="s">
        <v>429</v>
      </c>
      <c r="G2581" t="s">
        <v>430</v>
      </c>
      <c r="H2581" t="s">
        <v>14682</v>
      </c>
      <c r="I2581">
        <v>6</v>
      </c>
      <c r="J2581">
        <v>0</v>
      </c>
      <c r="K2581">
        <v>0</v>
      </c>
      <c r="L2581">
        <v>0</v>
      </c>
      <c r="M2581">
        <v>0</v>
      </c>
      <c r="N2581">
        <v>0</v>
      </c>
      <c r="O2581">
        <v>6</v>
      </c>
    </row>
    <row r="2582" spans="1:15" x14ac:dyDescent="0.25">
      <c r="A2582" t="s">
        <v>962</v>
      </c>
      <c r="B2582" t="s">
        <v>2752</v>
      </c>
      <c r="C2582" t="s">
        <v>927</v>
      </c>
      <c r="D2582" t="s">
        <v>3052</v>
      </c>
      <c r="E2582" t="s">
        <v>3053</v>
      </c>
      <c r="F2582" t="s">
        <v>429</v>
      </c>
      <c r="G2582" t="s">
        <v>430</v>
      </c>
      <c r="H2582" t="s">
        <v>10438</v>
      </c>
      <c r="I2582">
        <v>1023</v>
      </c>
      <c r="J2582">
        <v>855</v>
      </c>
      <c r="K2582">
        <v>0</v>
      </c>
      <c r="L2582">
        <v>0</v>
      </c>
      <c r="M2582">
        <v>83</v>
      </c>
      <c r="N2582">
        <v>0</v>
      </c>
      <c r="O2582">
        <v>85</v>
      </c>
    </row>
    <row r="2583" spans="1:15" x14ac:dyDescent="0.25">
      <c r="A2583" t="s">
        <v>1077</v>
      </c>
      <c r="B2583" t="s">
        <v>2711</v>
      </c>
      <c r="C2583" t="s">
        <v>927</v>
      </c>
      <c r="D2583" t="s">
        <v>3052</v>
      </c>
      <c r="E2583" t="s">
        <v>3053</v>
      </c>
      <c r="F2583" t="s">
        <v>429</v>
      </c>
      <c r="G2583" t="s">
        <v>430</v>
      </c>
      <c r="H2583" t="s">
        <v>10993</v>
      </c>
      <c r="I2583">
        <v>2</v>
      </c>
      <c r="J2583">
        <v>2</v>
      </c>
      <c r="K2583">
        <v>0</v>
      </c>
      <c r="L2583">
        <v>0</v>
      </c>
      <c r="M2583">
        <v>0</v>
      </c>
      <c r="N2583">
        <v>0</v>
      </c>
      <c r="O2583">
        <v>0</v>
      </c>
    </row>
    <row r="2584" spans="1:15" x14ac:dyDescent="0.25">
      <c r="A2584" t="s">
        <v>1865</v>
      </c>
      <c r="B2584" t="s">
        <v>2866</v>
      </c>
      <c r="C2584" t="s">
        <v>927</v>
      </c>
      <c r="D2584" t="s">
        <v>3052</v>
      </c>
      <c r="E2584" t="s">
        <v>3053</v>
      </c>
      <c r="F2584" t="s">
        <v>429</v>
      </c>
      <c r="G2584" t="s">
        <v>430</v>
      </c>
      <c r="H2584" t="s">
        <v>4745</v>
      </c>
      <c r="I2584">
        <v>164</v>
      </c>
      <c r="J2584">
        <v>112</v>
      </c>
      <c r="K2584">
        <v>0</v>
      </c>
      <c r="L2584">
        <v>0</v>
      </c>
      <c r="M2584">
        <v>0</v>
      </c>
      <c r="N2584">
        <v>0</v>
      </c>
      <c r="O2584">
        <v>52</v>
      </c>
    </row>
    <row r="2585" spans="1:15" x14ac:dyDescent="0.25">
      <c r="A2585" t="s">
        <v>981</v>
      </c>
      <c r="B2585" t="s">
        <v>2985</v>
      </c>
      <c r="C2585" t="s">
        <v>927</v>
      </c>
      <c r="D2585" t="s">
        <v>3052</v>
      </c>
      <c r="E2585" t="s">
        <v>3053</v>
      </c>
      <c r="F2585" t="s">
        <v>429</v>
      </c>
      <c r="G2585" t="s">
        <v>430</v>
      </c>
      <c r="H2585" t="s">
        <v>4732</v>
      </c>
      <c r="I2585">
        <v>1</v>
      </c>
      <c r="J2585">
        <v>0</v>
      </c>
      <c r="K2585">
        <v>0</v>
      </c>
      <c r="L2585">
        <v>0</v>
      </c>
      <c r="M2585">
        <v>0</v>
      </c>
      <c r="N2585">
        <v>0</v>
      </c>
      <c r="O2585">
        <v>1</v>
      </c>
    </row>
    <row r="2586" spans="1:15" x14ac:dyDescent="0.25">
      <c r="A2586" t="s">
        <v>1195</v>
      </c>
      <c r="B2586" t="s">
        <v>2924</v>
      </c>
      <c r="C2586" t="s">
        <v>927</v>
      </c>
      <c r="D2586" t="s">
        <v>3052</v>
      </c>
      <c r="E2586" t="s">
        <v>3053</v>
      </c>
      <c r="F2586" t="s">
        <v>431</v>
      </c>
      <c r="G2586" t="s">
        <v>432</v>
      </c>
      <c r="H2586" t="s">
        <v>4746</v>
      </c>
      <c r="I2586">
        <v>2627</v>
      </c>
      <c r="J2586">
        <v>2012</v>
      </c>
      <c r="K2586">
        <v>0</v>
      </c>
      <c r="L2586">
        <v>197</v>
      </c>
      <c r="M2586">
        <v>38</v>
      </c>
      <c r="N2586">
        <v>5</v>
      </c>
      <c r="O2586">
        <v>380</v>
      </c>
    </row>
    <row r="2587" spans="1:15" x14ac:dyDescent="0.25">
      <c r="A2587" t="s">
        <v>1564</v>
      </c>
      <c r="B2587" t="s">
        <v>3039</v>
      </c>
      <c r="C2587" t="s">
        <v>927</v>
      </c>
      <c r="D2587" t="s">
        <v>3052</v>
      </c>
      <c r="E2587" t="s">
        <v>3053</v>
      </c>
      <c r="F2587" t="s">
        <v>431</v>
      </c>
      <c r="G2587" t="s">
        <v>432</v>
      </c>
      <c r="H2587" t="s">
        <v>14683</v>
      </c>
      <c r="I2587">
        <v>92</v>
      </c>
      <c r="J2587">
        <v>30</v>
      </c>
      <c r="K2587">
        <v>0</v>
      </c>
      <c r="L2587">
        <v>0</v>
      </c>
      <c r="M2587">
        <v>0</v>
      </c>
      <c r="N2587">
        <v>0</v>
      </c>
      <c r="O2587">
        <v>62</v>
      </c>
    </row>
    <row r="2588" spans="1:15" x14ac:dyDescent="0.25">
      <c r="A2588" t="s">
        <v>1196</v>
      </c>
      <c r="B2588" t="s">
        <v>3004</v>
      </c>
      <c r="C2588" t="s">
        <v>927</v>
      </c>
      <c r="D2588" t="s">
        <v>3052</v>
      </c>
      <c r="E2588" t="s">
        <v>3053</v>
      </c>
      <c r="F2588" t="s">
        <v>431</v>
      </c>
      <c r="G2588" t="s">
        <v>432</v>
      </c>
      <c r="H2588" t="s">
        <v>4747</v>
      </c>
      <c r="I2588">
        <v>72</v>
      </c>
      <c r="J2588">
        <v>72</v>
      </c>
      <c r="K2588">
        <v>0</v>
      </c>
      <c r="L2588">
        <v>0</v>
      </c>
      <c r="M2588">
        <v>0</v>
      </c>
      <c r="N2588">
        <v>0</v>
      </c>
      <c r="O2588">
        <v>0</v>
      </c>
    </row>
    <row r="2589" spans="1:15" x14ac:dyDescent="0.25">
      <c r="A2589" t="s">
        <v>10579</v>
      </c>
      <c r="B2589" t="s">
        <v>10578</v>
      </c>
      <c r="C2589" t="s">
        <v>923</v>
      </c>
      <c r="D2589" t="s">
        <v>3063</v>
      </c>
      <c r="E2589" t="s">
        <v>3053</v>
      </c>
      <c r="F2589" t="s">
        <v>431</v>
      </c>
      <c r="G2589" t="s">
        <v>432</v>
      </c>
      <c r="H2589" t="s">
        <v>10994</v>
      </c>
      <c r="I2589">
        <v>177</v>
      </c>
      <c r="J2589">
        <v>177</v>
      </c>
      <c r="K2589">
        <v>0</v>
      </c>
      <c r="L2589">
        <v>0</v>
      </c>
      <c r="M2589">
        <v>0</v>
      </c>
      <c r="N2589">
        <v>0</v>
      </c>
      <c r="O2589">
        <v>0</v>
      </c>
    </row>
    <row r="2590" spans="1:15" x14ac:dyDescent="0.25">
      <c r="A2590" t="s">
        <v>929</v>
      </c>
      <c r="B2590" t="s">
        <v>2999</v>
      </c>
      <c r="C2590" t="s">
        <v>927</v>
      </c>
      <c r="D2590" t="s">
        <v>3052</v>
      </c>
      <c r="E2590" t="s">
        <v>3053</v>
      </c>
      <c r="F2590" t="s">
        <v>431</v>
      </c>
      <c r="G2590" t="s">
        <v>432</v>
      </c>
      <c r="H2590" t="s">
        <v>4748</v>
      </c>
      <c r="I2590">
        <v>35</v>
      </c>
      <c r="J2590">
        <v>0</v>
      </c>
      <c r="K2590">
        <v>0</v>
      </c>
      <c r="L2590">
        <v>0</v>
      </c>
      <c r="M2590">
        <v>35</v>
      </c>
      <c r="N2590">
        <v>0</v>
      </c>
      <c r="O2590">
        <v>0</v>
      </c>
    </row>
    <row r="2591" spans="1:15" x14ac:dyDescent="0.25">
      <c r="A2591" t="s">
        <v>9790</v>
      </c>
      <c r="B2591" t="s">
        <v>1977</v>
      </c>
      <c r="C2591" t="s">
        <v>923</v>
      </c>
      <c r="D2591" t="s">
        <v>3063</v>
      </c>
      <c r="E2591" t="s">
        <v>3053</v>
      </c>
      <c r="F2591" t="s">
        <v>431</v>
      </c>
      <c r="G2591" t="s">
        <v>432</v>
      </c>
      <c r="H2591" t="s">
        <v>11990</v>
      </c>
      <c r="I2591">
        <v>5</v>
      </c>
      <c r="J2591">
        <v>0</v>
      </c>
      <c r="K2591">
        <v>0</v>
      </c>
      <c r="L2591">
        <v>5</v>
      </c>
      <c r="M2591">
        <v>0</v>
      </c>
      <c r="N2591">
        <v>0</v>
      </c>
      <c r="O2591">
        <v>0</v>
      </c>
    </row>
    <row r="2592" spans="1:15" x14ac:dyDescent="0.25">
      <c r="A2592" t="s">
        <v>9784</v>
      </c>
      <c r="B2592" t="s">
        <v>1994</v>
      </c>
      <c r="C2592" t="s">
        <v>927</v>
      </c>
      <c r="D2592" t="s">
        <v>3052</v>
      </c>
      <c r="E2592" t="s">
        <v>3053</v>
      </c>
      <c r="F2592" t="s">
        <v>431</v>
      </c>
      <c r="G2592" t="s">
        <v>432</v>
      </c>
      <c r="H2592" t="s">
        <v>9935</v>
      </c>
      <c r="I2592">
        <v>5</v>
      </c>
      <c r="J2592">
        <v>0</v>
      </c>
      <c r="K2592">
        <v>0</v>
      </c>
      <c r="L2592">
        <v>5</v>
      </c>
      <c r="M2592">
        <v>0</v>
      </c>
      <c r="N2592">
        <v>0</v>
      </c>
      <c r="O2592">
        <v>0</v>
      </c>
    </row>
    <row r="2593" spans="1:15" x14ac:dyDescent="0.25">
      <c r="A2593" t="s">
        <v>1094</v>
      </c>
      <c r="B2593" t="s">
        <v>2742</v>
      </c>
      <c r="C2593" t="s">
        <v>923</v>
      </c>
      <c r="D2593" t="s">
        <v>3063</v>
      </c>
      <c r="E2593" t="s">
        <v>3053</v>
      </c>
      <c r="F2593" t="s">
        <v>431</v>
      </c>
      <c r="G2593" t="s">
        <v>432</v>
      </c>
      <c r="H2593" t="s">
        <v>4749</v>
      </c>
      <c r="I2593">
        <v>3</v>
      </c>
      <c r="J2593">
        <v>0</v>
      </c>
      <c r="K2593">
        <v>0</v>
      </c>
      <c r="L2593">
        <v>3</v>
      </c>
      <c r="M2593">
        <v>0</v>
      </c>
      <c r="N2593">
        <v>0</v>
      </c>
      <c r="O2593">
        <v>0</v>
      </c>
    </row>
    <row r="2594" spans="1:15" x14ac:dyDescent="0.25">
      <c r="A2594" t="s">
        <v>1212</v>
      </c>
      <c r="B2594" t="s">
        <v>2004</v>
      </c>
      <c r="C2594" t="s">
        <v>923</v>
      </c>
      <c r="D2594" t="s">
        <v>3063</v>
      </c>
      <c r="E2594" t="s">
        <v>3053</v>
      </c>
      <c r="F2594" t="s">
        <v>431</v>
      </c>
      <c r="G2594" t="s">
        <v>432</v>
      </c>
      <c r="H2594" t="s">
        <v>4750</v>
      </c>
      <c r="I2594">
        <v>173</v>
      </c>
      <c r="J2594">
        <v>0</v>
      </c>
      <c r="K2594">
        <v>169</v>
      </c>
      <c r="L2594">
        <v>4</v>
      </c>
      <c r="M2594">
        <v>0</v>
      </c>
      <c r="N2594">
        <v>0</v>
      </c>
      <c r="O2594">
        <v>0</v>
      </c>
    </row>
    <row r="2595" spans="1:15" x14ac:dyDescent="0.25">
      <c r="A2595" t="s">
        <v>10594</v>
      </c>
      <c r="B2595" t="s">
        <v>10593</v>
      </c>
      <c r="C2595" t="s">
        <v>923</v>
      </c>
      <c r="D2595" t="s">
        <v>3063</v>
      </c>
      <c r="E2595" t="s">
        <v>3053</v>
      </c>
      <c r="F2595" t="s">
        <v>431</v>
      </c>
      <c r="G2595" t="s">
        <v>432</v>
      </c>
      <c r="H2595" t="s">
        <v>10995</v>
      </c>
      <c r="I2595">
        <v>61</v>
      </c>
      <c r="J2595">
        <v>61</v>
      </c>
      <c r="K2595">
        <v>0</v>
      </c>
      <c r="L2595">
        <v>0</v>
      </c>
      <c r="M2595">
        <v>0</v>
      </c>
      <c r="N2595">
        <v>0</v>
      </c>
      <c r="O2595">
        <v>0</v>
      </c>
    </row>
    <row r="2596" spans="1:15" x14ac:dyDescent="0.25">
      <c r="A2596" t="s">
        <v>1218</v>
      </c>
      <c r="B2596" t="s">
        <v>2565</v>
      </c>
      <c r="C2596" t="s">
        <v>927</v>
      </c>
      <c r="D2596" t="s">
        <v>3052</v>
      </c>
      <c r="E2596" t="s">
        <v>3053</v>
      </c>
      <c r="F2596" t="s">
        <v>431</v>
      </c>
      <c r="G2596" t="s">
        <v>432</v>
      </c>
      <c r="H2596" t="s">
        <v>4751</v>
      </c>
      <c r="I2596">
        <v>135</v>
      </c>
      <c r="J2596">
        <v>55</v>
      </c>
      <c r="K2596">
        <v>0</v>
      </c>
      <c r="L2596">
        <v>52</v>
      </c>
      <c r="M2596">
        <v>28</v>
      </c>
      <c r="N2596">
        <v>0</v>
      </c>
      <c r="O2596">
        <v>0</v>
      </c>
    </row>
    <row r="2597" spans="1:15" x14ac:dyDescent="0.25">
      <c r="A2597" t="s">
        <v>1219</v>
      </c>
      <c r="B2597" t="s">
        <v>2569</v>
      </c>
      <c r="C2597" t="s">
        <v>923</v>
      </c>
      <c r="D2597" t="s">
        <v>3063</v>
      </c>
      <c r="E2597" t="s">
        <v>3053</v>
      </c>
      <c r="F2597" t="s">
        <v>431</v>
      </c>
      <c r="G2597" t="s">
        <v>432</v>
      </c>
      <c r="H2597" t="s">
        <v>4752</v>
      </c>
      <c r="I2597">
        <v>17</v>
      </c>
      <c r="J2597">
        <v>0</v>
      </c>
      <c r="K2597">
        <v>0</v>
      </c>
      <c r="L2597">
        <v>17</v>
      </c>
      <c r="M2597">
        <v>0</v>
      </c>
      <c r="N2597">
        <v>0</v>
      </c>
      <c r="O2597">
        <v>0</v>
      </c>
    </row>
    <row r="2598" spans="1:15" x14ac:dyDescent="0.25">
      <c r="A2598" t="s">
        <v>989</v>
      </c>
      <c r="B2598" t="s">
        <v>2016</v>
      </c>
      <c r="C2598" t="s">
        <v>923</v>
      </c>
      <c r="D2598" t="s">
        <v>3063</v>
      </c>
      <c r="E2598" t="s">
        <v>3053</v>
      </c>
      <c r="F2598" t="s">
        <v>431</v>
      </c>
      <c r="G2598" t="s">
        <v>432</v>
      </c>
      <c r="H2598" t="s">
        <v>4753</v>
      </c>
      <c r="I2598">
        <v>48</v>
      </c>
      <c r="J2598">
        <v>0</v>
      </c>
      <c r="K2598">
        <v>0</v>
      </c>
      <c r="L2598">
        <v>48</v>
      </c>
      <c r="M2598">
        <v>0</v>
      </c>
      <c r="N2598">
        <v>0</v>
      </c>
      <c r="O2598">
        <v>0</v>
      </c>
    </row>
    <row r="2599" spans="1:15" x14ac:dyDescent="0.25">
      <c r="A2599" t="s">
        <v>933</v>
      </c>
      <c r="B2599" t="s">
        <v>2106</v>
      </c>
      <c r="C2599" t="s">
        <v>927</v>
      </c>
      <c r="D2599" t="s">
        <v>3052</v>
      </c>
      <c r="E2599" t="s">
        <v>3053</v>
      </c>
      <c r="F2599" t="s">
        <v>431</v>
      </c>
      <c r="G2599" t="s">
        <v>432</v>
      </c>
      <c r="H2599" t="s">
        <v>4754</v>
      </c>
      <c r="I2599">
        <v>456</v>
      </c>
      <c r="J2599">
        <v>152</v>
      </c>
      <c r="K2599">
        <v>0</v>
      </c>
      <c r="L2599">
        <v>0</v>
      </c>
      <c r="M2599">
        <v>0</v>
      </c>
      <c r="N2599">
        <v>0</v>
      </c>
      <c r="O2599">
        <v>304</v>
      </c>
    </row>
    <row r="2600" spans="1:15" x14ac:dyDescent="0.25">
      <c r="A2600" t="s">
        <v>1104</v>
      </c>
      <c r="B2600" t="s">
        <v>2483</v>
      </c>
      <c r="C2600" t="s">
        <v>923</v>
      </c>
      <c r="D2600" t="s">
        <v>3063</v>
      </c>
      <c r="E2600" t="s">
        <v>3053</v>
      </c>
      <c r="F2600" t="s">
        <v>431</v>
      </c>
      <c r="G2600" t="s">
        <v>432</v>
      </c>
      <c r="H2600" t="s">
        <v>4755</v>
      </c>
      <c r="I2600">
        <v>8</v>
      </c>
      <c r="J2600">
        <v>8</v>
      </c>
      <c r="K2600">
        <v>0</v>
      </c>
      <c r="L2600">
        <v>0</v>
      </c>
      <c r="M2600">
        <v>0</v>
      </c>
      <c r="N2600">
        <v>0</v>
      </c>
      <c r="O2600">
        <v>0</v>
      </c>
    </row>
    <row r="2601" spans="1:15" x14ac:dyDescent="0.25">
      <c r="A2601" t="s">
        <v>1474</v>
      </c>
      <c r="B2601" t="s">
        <v>2038</v>
      </c>
      <c r="C2601" t="s">
        <v>923</v>
      </c>
      <c r="D2601" t="s">
        <v>3063</v>
      </c>
      <c r="E2601" t="s">
        <v>3053</v>
      </c>
      <c r="F2601" t="s">
        <v>431</v>
      </c>
      <c r="G2601" t="s">
        <v>432</v>
      </c>
      <c r="H2601" t="s">
        <v>10030</v>
      </c>
      <c r="I2601">
        <v>6</v>
      </c>
      <c r="J2601">
        <v>0</v>
      </c>
      <c r="K2601">
        <v>6</v>
      </c>
      <c r="L2601">
        <v>0</v>
      </c>
      <c r="M2601">
        <v>0</v>
      </c>
      <c r="N2601">
        <v>6</v>
      </c>
      <c r="O2601">
        <v>0</v>
      </c>
    </row>
    <row r="2602" spans="1:15" x14ac:dyDescent="0.25">
      <c r="A2602" t="s">
        <v>1227</v>
      </c>
      <c r="B2602" t="s">
        <v>2023</v>
      </c>
      <c r="C2602" t="s">
        <v>923</v>
      </c>
      <c r="D2602" t="s">
        <v>3063</v>
      </c>
      <c r="E2602" t="s">
        <v>3053</v>
      </c>
      <c r="F2602" t="s">
        <v>431</v>
      </c>
      <c r="G2602" t="s">
        <v>432</v>
      </c>
      <c r="H2602" t="s">
        <v>10036</v>
      </c>
      <c r="I2602">
        <v>12</v>
      </c>
      <c r="J2602">
        <v>11</v>
      </c>
      <c r="K2602">
        <v>1</v>
      </c>
      <c r="L2602">
        <v>0</v>
      </c>
      <c r="M2602">
        <v>0</v>
      </c>
      <c r="N2602">
        <v>0</v>
      </c>
      <c r="O2602">
        <v>0</v>
      </c>
    </row>
    <row r="2603" spans="1:15" x14ac:dyDescent="0.25">
      <c r="A2603" t="s">
        <v>9803</v>
      </c>
      <c r="B2603" t="s">
        <v>9861</v>
      </c>
      <c r="C2603" t="s">
        <v>923</v>
      </c>
      <c r="D2603" t="s">
        <v>3063</v>
      </c>
      <c r="E2603" t="s">
        <v>3053</v>
      </c>
      <c r="F2603" t="s">
        <v>431</v>
      </c>
      <c r="G2603" t="s">
        <v>432</v>
      </c>
      <c r="H2603" t="s">
        <v>10996</v>
      </c>
      <c r="I2603">
        <v>18</v>
      </c>
      <c r="J2603">
        <v>18</v>
      </c>
      <c r="K2603">
        <v>0</v>
      </c>
      <c r="L2603">
        <v>0</v>
      </c>
      <c r="M2603">
        <v>0</v>
      </c>
      <c r="N2603">
        <v>0</v>
      </c>
      <c r="O2603">
        <v>0</v>
      </c>
    </row>
    <row r="2604" spans="1:15" x14ac:dyDescent="0.25">
      <c r="A2604" t="s">
        <v>1245</v>
      </c>
      <c r="B2604" t="s">
        <v>1928</v>
      </c>
      <c r="C2604" t="s">
        <v>923</v>
      </c>
      <c r="D2604" t="s">
        <v>3063</v>
      </c>
      <c r="E2604" t="s">
        <v>3053</v>
      </c>
      <c r="F2604" t="s">
        <v>431</v>
      </c>
      <c r="G2604" t="s">
        <v>432</v>
      </c>
      <c r="H2604" t="s">
        <v>4756</v>
      </c>
      <c r="I2604">
        <v>21</v>
      </c>
      <c r="J2604">
        <v>21</v>
      </c>
      <c r="K2604">
        <v>0</v>
      </c>
      <c r="L2604">
        <v>0</v>
      </c>
      <c r="M2604">
        <v>0</v>
      </c>
      <c r="N2604">
        <v>0</v>
      </c>
      <c r="O2604">
        <v>0</v>
      </c>
    </row>
    <row r="2605" spans="1:15" x14ac:dyDescent="0.25">
      <c r="A2605" t="s">
        <v>10638</v>
      </c>
      <c r="B2605" t="s">
        <v>2057</v>
      </c>
      <c r="C2605" t="s">
        <v>927</v>
      </c>
      <c r="D2605" t="s">
        <v>3052</v>
      </c>
      <c r="E2605" t="s">
        <v>3053</v>
      </c>
      <c r="F2605" t="s">
        <v>431</v>
      </c>
      <c r="G2605" t="s">
        <v>432</v>
      </c>
      <c r="H2605" t="s">
        <v>10997</v>
      </c>
      <c r="I2605">
        <v>17</v>
      </c>
      <c r="J2605">
        <v>0</v>
      </c>
      <c r="K2605">
        <v>0</v>
      </c>
      <c r="L2605">
        <v>17</v>
      </c>
      <c r="M2605">
        <v>0</v>
      </c>
      <c r="N2605">
        <v>0</v>
      </c>
      <c r="O2605">
        <v>0</v>
      </c>
    </row>
    <row r="2606" spans="1:15" x14ac:dyDescent="0.25">
      <c r="A2606" t="s">
        <v>1008</v>
      </c>
      <c r="B2606" t="s">
        <v>2928</v>
      </c>
      <c r="C2606" t="s">
        <v>927</v>
      </c>
      <c r="D2606" t="s">
        <v>3052</v>
      </c>
      <c r="E2606" t="s">
        <v>3053</v>
      </c>
      <c r="F2606" t="s">
        <v>431</v>
      </c>
      <c r="G2606" t="s">
        <v>432</v>
      </c>
      <c r="H2606" t="s">
        <v>4757</v>
      </c>
      <c r="I2606">
        <v>15</v>
      </c>
      <c r="J2606">
        <v>15</v>
      </c>
      <c r="K2606">
        <v>0</v>
      </c>
      <c r="L2606">
        <v>0</v>
      </c>
      <c r="M2606">
        <v>0</v>
      </c>
      <c r="N2606">
        <v>0</v>
      </c>
      <c r="O2606">
        <v>0</v>
      </c>
    </row>
    <row r="2607" spans="1:15" x14ac:dyDescent="0.25">
      <c r="A2607" t="s">
        <v>1263</v>
      </c>
      <c r="B2607" t="s">
        <v>2744</v>
      </c>
      <c r="C2607" t="s">
        <v>923</v>
      </c>
      <c r="D2607" t="s">
        <v>3063</v>
      </c>
      <c r="E2607" t="s">
        <v>3053</v>
      </c>
      <c r="F2607" t="s">
        <v>431</v>
      </c>
      <c r="G2607" t="s">
        <v>432</v>
      </c>
      <c r="H2607" t="s">
        <v>4758</v>
      </c>
      <c r="I2607">
        <v>5</v>
      </c>
      <c r="J2607">
        <v>5</v>
      </c>
      <c r="K2607">
        <v>0</v>
      </c>
      <c r="L2607">
        <v>0</v>
      </c>
      <c r="M2607">
        <v>0</v>
      </c>
      <c r="N2607">
        <v>0</v>
      </c>
      <c r="O2607">
        <v>0</v>
      </c>
    </row>
    <row r="2608" spans="1:15" x14ac:dyDescent="0.25">
      <c r="A2608" t="s">
        <v>937</v>
      </c>
      <c r="B2608" t="s">
        <v>1962</v>
      </c>
      <c r="C2608" t="s">
        <v>927</v>
      </c>
      <c r="D2608" t="s">
        <v>3052</v>
      </c>
      <c r="E2608" t="s">
        <v>3053</v>
      </c>
      <c r="F2608" t="s">
        <v>431</v>
      </c>
      <c r="G2608" t="s">
        <v>432</v>
      </c>
      <c r="H2608" t="s">
        <v>11991</v>
      </c>
      <c r="I2608">
        <v>29</v>
      </c>
      <c r="J2608">
        <v>0</v>
      </c>
      <c r="K2608">
        <v>0</v>
      </c>
      <c r="L2608">
        <v>0</v>
      </c>
      <c r="M2608">
        <v>0</v>
      </c>
      <c r="N2608">
        <v>0</v>
      </c>
      <c r="O2608">
        <v>29</v>
      </c>
    </row>
    <row r="2609" spans="1:15" x14ac:dyDescent="0.25">
      <c r="A2609" t="s">
        <v>1011</v>
      </c>
      <c r="B2609" t="s">
        <v>2020</v>
      </c>
      <c r="C2609" t="s">
        <v>927</v>
      </c>
      <c r="D2609" t="s">
        <v>3052</v>
      </c>
      <c r="E2609" t="s">
        <v>3053</v>
      </c>
      <c r="F2609" t="s">
        <v>431</v>
      </c>
      <c r="G2609" t="s">
        <v>432</v>
      </c>
      <c r="H2609" t="s">
        <v>4759</v>
      </c>
      <c r="I2609">
        <v>19</v>
      </c>
      <c r="J2609">
        <v>0</v>
      </c>
      <c r="K2609">
        <v>0</v>
      </c>
      <c r="L2609">
        <v>19</v>
      </c>
      <c r="M2609">
        <v>0</v>
      </c>
      <c r="N2609">
        <v>0</v>
      </c>
      <c r="O2609">
        <v>0</v>
      </c>
    </row>
    <row r="2610" spans="1:15" x14ac:dyDescent="0.25">
      <c r="A2610" t="s">
        <v>938</v>
      </c>
      <c r="B2610" t="s">
        <v>2791</v>
      </c>
      <c r="C2610" t="s">
        <v>927</v>
      </c>
      <c r="D2610" t="s">
        <v>3052</v>
      </c>
      <c r="E2610" t="s">
        <v>3053</v>
      </c>
      <c r="F2610" t="s">
        <v>431</v>
      </c>
      <c r="G2610" t="s">
        <v>432</v>
      </c>
      <c r="H2610" t="s">
        <v>4760</v>
      </c>
      <c r="I2610">
        <v>115</v>
      </c>
      <c r="J2610">
        <v>108</v>
      </c>
      <c r="K2610">
        <v>0</v>
      </c>
      <c r="L2610">
        <v>0</v>
      </c>
      <c r="M2610">
        <v>0</v>
      </c>
      <c r="N2610">
        <v>0</v>
      </c>
      <c r="O2610">
        <v>7</v>
      </c>
    </row>
    <row r="2611" spans="1:15" x14ac:dyDescent="0.25">
      <c r="A2611" t="s">
        <v>940</v>
      </c>
      <c r="B2611" t="s">
        <v>2647</v>
      </c>
      <c r="C2611" t="s">
        <v>927</v>
      </c>
      <c r="D2611" t="s">
        <v>3052</v>
      </c>
      <c r="E2611" t="s">
        <v>3053</v>
      </c>
      <c r="F2611" t="s">
        <v>431</v>
      </c>
      <c r="G2611" t="s">
        <v>432</v>
      </c>
      <c r="H2611" t="s">
        <v>11992</v>
      </c>
      <c r="I2611">
        <v>40</v>
      </c>
      <c r="J2611">
        <v>0</v>
      </c>
      <c r="K2611">
        <v>0</v>
      </c>
      <c r="L2611">
        <v>0</v>
      </c>
      <c r="M2611">
        <v>40</v>
      </c>
      <c r="N2611">
        <v>0</v>
      </c>
      <c r="O2611">
        <v>0</v>
      </c>
    </row>
    <row r="2612" spans="1:15" x14ac:dyDescent="0.25">
      <c r="A2612" t="s">
        <v>1273</v>
      </c>
      <c r="B2612" t="s">
        <v>2709</v>
      </c>
      <c r="C2612" t="s">
        <v>923</v>
      </c>
      <c r="D2612" t="s">
        <v>3063</v>
      </c>
      <c r="E2612" t="s">
        <v>3053</v>
      </c>
      <c r="F2612" t="s">
        <v>431</v>
      </c>
      <c r="G2612" t="s">
        <v>432</v>
      </c>
      <c r="H2612" t="s">
        <v>4761</v>
      </c>
      <c r="I2612">
        <v>62</v>
      </c>
      <c r="J2612">
        <v>56</v>
      </c>
      <c r="K2612">
        <v>0</v>
      </c>
      <c r="L2612">
        <v>6</v>
      </c>
      <c r="M2612">
        <v>0</v>
      </c>
      <c r="N2612">
        <v>13</v>
      </c>
      <c r="O2612">
        <v>0</v>
      </c>
    </row>
    <row r="2613" spans="1:15" x14ac:dyDescent="0.25">
      <c r="A2613" t="s">
        <v>1274</v>
      </c>
      <c r="B2613" t="s">
        <v>2159</v>
      </c>
      <c r="C2613" t="s">
        <v>923</v>
      </c>
      <c r="D2613" t="s">
        <v>3063</v>
      </c>
      <c r="E2613" t="s">
        <v>3053</v>
      </c>
      <c r="F2613" t="s">
        <v>431</v>
      </c>
      <c r="G2613" t="s">
        <v>432</v>
      </c>
      <c r="H2613" t="s">
        <v>4762</v>
      </c>
      <c r="I2613">
        <v>136</v>
      </c>
      <c r="J2613">
        <v>6</v>
      </c>
      <c r="K2613">
        <v>0</v>
      </c>
      <c r="L2613">
        <v>0</v>
      </c>
      <c r="M2613">
        <v>130</v>
      </c>
      <c r="N2613">
        <v>0</v>
      </c>
      <c r="O2613">
        <v>0</v>
      </c>
    </row>
    <row r="2614" spans="1:15" x14ac:dyDescent="0.25">
      <c r="A2614" t="s">
        <v>1013</v>
      </c>
      <c r="B2614" t="s">
        <v>1959</v>
      </c>
      <c r="C2614" t="s">
        <v>927</v>
      </c>
      <c r="D2614" t="s">
        <v>3052</v>
      </c>
      <c r="E2614" t="s">
        <v>3053</v>
      </c>
      <c r="F2614" t="s">
        <v>431</v>
      </c>
      <c r="G2614" t="s">
        <v>432</v>
      </c>
      <c r="H2614" t="s">
        <v>4763</v>
      </c>
      <c r="I2614">
        <v>15</v>
      </c>
      <c r="J2614">
        <v>0</v>
      </c>
      <c r="K2614">
        <v>0</v>
      </c>
      <c r="L2614">
        <v>15</v>
      </c>
      <c r="M2614">
        <v>0</v>
      </c>
      <c r="N2614">
        <v>0</v>
      </c>
      <c r="O2614">
        <v>0</v>
      </c>
    </row>
    <row r="2615" spans="1:15" x14ac:dyDescent="0.25">
      <c r="A2615" t="s">
        <v>1124</v>
      </c>
      <c r="B2615" t="s">
        <v>2981</v>
      </c>
      <c r="C2615" t="s">
        <v>923</v>
      </c>
      <c r="D2615" t="s">
        <v>3063</v>
      </c>
      <c r="E2615" t="s">
        <v>3053</v>
      </c>
      <c r="F2615" t="s">
        <v>431</v>
      </c>
      <c r="G2615" t="s">
        <v>432</v>
      </c>
      <c r="H2615" t="s">
        <v>4764</v>
      </c>
      <c r="I2615">
        <v>17</v>
      </c>
      <c r="J2615">
        <v>5</v>
      </c>
      <c r="K2615">
        <v>0</v>
      </c>
      <c r="L2615">
        <v>12</v>
      </c>
      <c r="M2615">
        <v>0</v>
      </c>
      <c r="N2615">
        <v>0</v>
      </c>
      <c r="O2615">
        <v>0</v>
      </c>
    </row>
    <row r="2616" spans="1:15" x14ac:dyDescent="0.25">
      <c r="A2616" t="s">
        <v>14385</v>
      </c>
      <c r="B2616" t="s">
        <v>3027</v>
      </c>
      <c r="C2616" t="s">
        <v>923</v>
      </c>
      <c r="D2616" t="s">
        <v>3063</v>
      </c>
      <c r="E2616" t="s">
        <v>3053</v>
      </c>
      <c r="F2616" t="s">
        <v>431</v>
      </c>
      <c r="G2616" t="s">
        <v>432</v>
      </c>
      <c r="H2616" t="s">
        <v>14684</v>
      </c>
      <c r="I2616">
        <v>18</v>
      </c>
      <c r="J2616">
        <v>0</v>
      </c>
      <c r="K2616">
        <v>0</v>
      </c>
      <c r="L2616">
        <v>18</v>
      </c>
      <c r="M2616">
        <v>0</v>
      </c>
      <c r="N2616">
        <v>0</v>
      </c>
      <c r="O2616">
        <v>0</v>
      </c>
    </row>
    <row r="2617" spans="1:15" x14ac:dyDescent="0.25">
      <c r="A2617" t="s">
        <v>14386</v>
      </c>
      <c r="B2617" t="s">
        <v>2975</v>
      </c>
      <c r="C2617" t="s">
        <v>927</v>
      </c>
      <c r="D2617" t="s">
        <v>3052</v>
      </c>
      <c r="E2617" t="s">
        <v>3053</v>
      </c>
      <c r="F2617" t="s">
        <v>431</v>
      </c>
      <c r="G2617" t="s">
        <v>432</v>
      </c>
      <c r="H2617" t="s">
        <v>14685</v>
      </c>
      <c r="I2617">
        <v>323</v>
      </c>
      <c r="J2617">
        <v>314</v>
      </c>
      <c r="K2617">
        <v>0</v>
      </c>
      <c r="L2617">
        <v>0</v>
      </c>
      <c r="M2617">
        <v>0</v>
      </c>
      <c r="N2617">
        <v>0</v>
      </c>
      <c r="O2617">
        <v>9</v>
      </c>
    </row>
    <row r="2618" spans="1:15" x14ac:dyDescent="0.25">
      <c r="A2618" t="s">
        <v>1025</v>
      </c>
      <c r="B2618" t="s">
        <v>2893</v>
      </c>
      <c r="C2618" t="s">
        <v>927</v>
      </c>
      <c r="D2618" t="s">
        <v>3052</v>
      </c>
      <c r="E2618" t="s">
        <v>3053</v>
      </c>
      <c r="F2618" t="s">
        <v>431</v>
      </c>
      <c r="G2618" t="s">
        <v>432</v>
      </c>
      <c r="H2618" t="s">
        <v>4765</v>
      </c>
      <c r="I2618">
        <v>1297</v>
      </c>
      <c r="J2618">
        <v>872</v>
      </c>
      <c r="K2618">
        <v>0</v>
      </c>
      <c r="L2618">
        <v>7</v>
      </c>
      <c r="M2618">
        <v>0</v>
      </c>
      <c r="N2618">
        <v>0</v>
      </c>
      <c r="O2618">
        <v>418</v>
      </c>
    </row>
    <row r="2619" spans="1:15" x14ac:dyDescent="0.25">
      <c r="A2619" t="s">
        <v>1293</v>
      </c>
      <c r="B2619" t="s">
        <v>2910</v>
      </c>
      <c r="C2619" t="s">
        <v>927</v>
      </c>
      <c r="D2619" t="s">
        <v>3052</v>
      </c>
      <c r="E2619" t="s">
        <v>3053</v>
      </c>
      <c r="F2619" t="s">
        <v>431</v>
      </c>
      <c r="G2619" t="s">
        <v>432</v>
      </c>
      <c r="H2619" t="s">
        <v>4766</v>
      </c>
      <c r="I2619">
        <v>40</v>
      </c>
      <c r="J2619">
        <v>0</v>
      </c>
      <c r="K2619">
        <v>0</v>
      </c>
      <c r="L2619">
        <v>40</v>
      </c>
      <c r="M2619">
        <v>0</v>
      </c>
      <c r="N2619">
        <v>0</v>
      </c>
      <c r="O2619">
        <v>0</v>
      </c>
    </row>
    <row r="2620" spans="1:15" x14ac:dyDescent="0.25">
      <c r="A2620" t="s">
        <v>943</v>
      </c>
      <c r="B2620" t="s">
        <v>2694</v>
      </c>
      <c r="C2620" t="s">
        <v>927</v>
      </c>
      <c r="D2620" t="s">
        <v>3052</v>
      </c>
      <c r="E2620" t="s">
        <v>3053</v>
      </c>
      <c r="F2620" t="s">
        <v>431</v>
      </c>
      <c r="G2620" t="s">
        <v>432</v>
      </c>
      <c r="H2620" t="s">
        <v>4767</v>
      </c>
      <c r="I2620">
        <v>277</v>
      </c>
      <c r="J2620">
        <v>193</v>
      </c>
      <c r="K2620">
        <v>0</v>
      </c>
      <c r="L2620">
        <v>0</v>
      </c>
      <c r="M2620">
        <v>0</v>
      </c>
      <c r="N2620">
        <v>0</v>
      </c>
      <c r="O2620">
        <v>84</v>
      </c>
    </row>
    <row r="2621" spans="1:15" x14ac:dyDescent="0.25">
      <c r="A2621" t="s">
        <v>945</v>
      </c>
      <c r="B2621" t="s">
        <v>2668</v>
      </c>
      <c r="C2621" t="s">
        <v>927</v>
      </c>
      <c r="D2621" t="s">
        <v>3052</v>
      </c>
      <c r="E2621" t="s">
        <v>3053</v>
      </c>
      <c r="F2621" t="s">
        <v>431</v>
      </c>
      <c r="G2621" t="s">
        <v>432</v>
      </c>
      <c r="H2621" t="s">
        <v>4768</v>
      </c>
      <c r="I2621">
        <v>1</v>
      </c>
      <c r="J2621">
        <v>0</v>
      </c>
      <c r="K2621">
        <v>0</v>
      </c>
      <c r="L2621">
        <v>0</v>
      </c>
      <c r="M2621">
        <v>0</v>
      </c>
      <c r="N2621">
        <v>0</v>
      </c>
      <c r="O2621">
        <v>1</v>
      </c>
    </row>
    <row r="2622" spans="1:15" x14ac:dyDescent="0.25">
      <c r="A2622" t="s">
        <v>1302</v>
      </c>
      <c r="B2622" t="s">
        <v>1961</v>
      </c>
      <c r="C2622" t="s">
        <v>923</v>
      </c>
      <c r="D2622" t="s">
        <v>3063</v>
      </c>
      <c r="E2622" t="s">
        <v>3053</v>
      </c>
      <c r="F2622" t="s">
        <v>431</v>
      </c>
      <c r="G2622" t="s">
        <v>432</v>
      </c>
      <c r="H2622" t="s">
        <v>4769</v>
      </c>
      <c r="I2622">
        <v>5</v>
      </c>
      <c r="J2622">
        <v>0</v>
      </c>
      <c r="K2622">
        <v>0</v>
      </c>
      <c r="L2622">
        <v>5</v>
      </c>
      <c r="M2622">
        <v>0</v>
      </c>
      <c r="N2622">
        <v>0</v>
      </c>
      <c r="O2622">
        <v>0</v>
      </c>
    </row>
    <row r="2623" spans="1:15" x14ac:dyDescent="0.25">
      <c r="A2623" t="s">
        <v>1134</v>
      </c>
      <c r="B2623" t="s">
        <v>2118</v>
      </c>
      <c r="C2623" t="s">
        <v>927</v>
      </c>
      <c r="D2623" t="s">
        <v>3052</v>
      </c>
      <c r="E2623" t="s">
        <v>3053</v>
      </c>
      <c r="F2623" t="s">
        <v>431</v>
      </c>
      <c r="G2623" t="s">
        <v>432</v>
      </c>
      <c r="H2623" t="s">
        <v>4770</v>
      </c>
      <c r="I2623">
        <v>2059</v>
      </c>
      <c r="J2623">
        <v>1693</v>
      </c>
      <c r="K2623">
        <v>0</v>
      </c>
      <c r="L2623">
        <v>127</v>
      </c>
      <c r="M2623">
        <v>80</v>
      </c>
      <c r="N2623">
        <v>7</v>
      </c>
      <c r="O2623">
        <v>159</v>
      </c>
    </row>
    <row r="2624" spans="1:15" x14ac:dyDescent="0.25">
      <c r="A2624" t="s">
        <v>949</v>
      </c>
      <c r="B2624" t="s">
        <v>3035</v>
      </c>
      <c r="C2624" t="s">
        <v>927</v>
      </c>
      <c r="D2624" t="s">
        <v>3052</v>
      </c>
      <c r="E2624" t="s">
        <v>3053</v>
      </c>
      <c r="F2624" t="s">
        <v>431</v>
      </c>
      <c r="G2624" t="s">
        <v>432</v>
      </c>
      <c r="H2624" t="s">
        <v>4771</v>
      </c>
      <c r="I2624">
        <v>451</v>
      </c>
      <c r="J2624">
        <v>0</v>
      </c>
      <c r="K2624">
        <v>0</v>
      </c>
      <c r="L2624">
        <v>0</v>
      </c>
      <c r="M2624">
        <v>0</v>
      </c>
      <c r="N2624">
        <v>0</v>
      </c>
      <c r="O2624">
        <v>451</v>
      </c>
    </row>
    <row r="2625" spans="1:15" x14ac:dyDescent="0.25">
      <c r="A2625" t="s">
        <v>1309</v>
      </c>
      <c r="B2625" t="s">
        <v>2690</v>
      </c>
      <c r="C2625" t="s">
        <v>927</v>
      </c>
      <c r="D2625" t="s">
        <v>3052</v>
      </c>
      <c r="E2625" t="s">
        <v>3053</v>
      </c>
      <c r="F2625" t="s">
        <v>431</v>
      </c>
      <c r="G2625" t="s">
        <v>432</v>
      </c>
      <c r="H2625" t="s">
        <v>4772</v>
      </c>
      <c r="I2625">
        <v>97</v>
      </c>
      <c r="J2625">
        <v>40</v>
      </c>
      <c r="K2625">
        <v>0</v>
      </c>
      <c r="L2625">
        <v>0</v>
      </c>
      <c r="M2625">
        <v>0</v>
      </c>
      <c r="N2625">
        <v>0</v>
      </c>
      <c r="O2625">
        <v>57</v>
      </c>
    </row>
    <row r="2626" spans="1:15" x14ac:dyDescent="0.25">
      <c r="A2626" t="s">
        <v>1136</v>
      </c>
      <c r="B2626" t="s">
        <v>1942</v>
      </c>
      <c r="C2626" t="s">
        <v>923</v>
      </c>
      <c r="D2626" t="s">
        <v>3063</v>
      </c>
      <c r="E2626" t="s">
        <v>3053</v>
      </c>
      <c r="F2626" t="s">
        <v>431</v>
      </c>
      <c r="G2626" t="s">
        <v>432</v>
      </c>
      <c r="H2626" t="s">
        <v>4773</v>
      </c>
      <c r="I2626">
        <v>74</v>
      </c>
      <c r="J2626">
        <v>74</v>
      </c>
      <c r="K2626">
        <v>0</v>
      </c>
      <c r="L2626">
        <v>0</v>
      </c>
      <c r="M2626">
        <v>0</v>
      </c>
      <c r="N2626">
        <v>0</v>
      </c>
      <c r="O2626">
        <v>0</v>
      </c>
    </row>
    <row r="2627" spans="1:15" x14ac:dyDescent="0.25">
      <c r="A2627" t="s">
        <v>1140</v>
      </c>
      <c r="B2627" t="s">
        <v>2697</v>
      </c>
      <c r="C2627" t="s">
        <v>927</v>
      </c>
      <c r="D2627" t="s">
        <v>3052</v>
      </c>
      <c r="E2627" t="s">
        <v>3053</v>
      </c>
      <c r="F2627" t="s">
        <v>431</v>
      </c>
      <c r="G2627" t="s">
        <v>432</v>
      </c>
      <c r="H2627" t="s">
        <v>4774</v>
      </c>
      <c r="I2627">
        <v>2</v>
      </c>
      <c r="J2627">
        <v>0</v>
      </c>
      <c r="K2627">
        <v>0</v>
      </c>
      <c r="L2627">
        <v>0</v>
      </c>
      <c r="M2627">
        <v>0</v>
      </c>
      <c r="N2627">
        <v>0</v>
      </c>
      <c r="O2627">
        <v>2</v>
      </c>
    </row>
    <row r="2628" spans="1:15" x14ac:dyDescent="0.25">
      <c r="A2628" t="s">
        <v>1043</v>
      </c>
      <c r="B2628" t="s">
        <v>2090</v>
      </c>
      <c r="C2628" t="s">
        <v>927</v>
      </c>
      <c r="D2628" t="s">
        <v>3052</v>
      </c>
      <c r="E2628" t="s">
        <v>3053</v>
      </c>
      <c r="F2628" t="s">
        <v>431</v>
      </c>
      <c r="G2628" t="s">
        <v>432</v>
      </c>
      <c r="H2628" t="s">
        <v>4775</v>
      </c>
      <c r="I2628">
        <v>364</v>
      </c>
      <c r="J2628">
        <v>292</v>
      </c>
      <c r="K2628">
        <v>0</v>
      </c>
      <c r="L2628">
        <v>0</v>
      </c>
      <c r="M2628">
        <v>63</v>
      </c>
      <c r="N2628">
        <v>0</v>
      </c>
      <c r="O2628">
        <v>9</v>
      </c>
    </row>
    <row r="2629" spans="1:15" x14ac:dyDescent="0.25">
      <c r="A2629" t="s">
        <v>1044</v>
      </c>
      <c r="B2629" t="s">
        <v>2000</v>
      </c>
      <c r="C2629" t="s">
        <v>923</v>
      </c>
      <c r="D2629" t="s">
        <v>3063</v>
      </c>
      <c r="E2629" t="s">
        <v>3053</v>
      </c>
      <c r="F2629" t="s">
        <v>431</v>
      </c>
      <c r="G2629" t="s">
        <v>432</v>
      </c>
      <c r="H2629" t="s">
        <v>10298</v>
      </c>
      <c r="I2629">
        <v>11</v>
      </c>
      <c r="J2629">
        <v>0</v>
      </c>
      <c r="K2629">
        <v>0</v>
      </c>
      <c r="L2629">
        <v>11</v>
      </c>
      <c r="M2629">
        <v>0</v>
      </c>
      <c r="N2629">
        <v>0</v>
      </c>
      <c r="O2629">
        <v>0</v>
      </c>
    </row>
    <row r="2630" spans="1:15" x14ac:dyDescent="0.25">
      <c r="A2630" t="s">
        <v>1144</v>
      </c>
      <c r="B2630" t="s">
        <v>2124</v>
      </c>
      <c r="C2630" t="s">
        <v>923</v>
      </c>
      <c r="D2630" t="s">
        <v>3063</v>
      </c>
      <c r="E2630" t="s">
        <v>3053</v>
      </c>
      <c r="F2630" t="s">
        <v>431</v>
      </c>
      <c r="G2630" t="s">
        <v>432</v>
      </c>
      <c r="H2630" t="s">
        <v>11993</v>
      </c>
      <c r="I2630">
        <v>10</v>
      </c>
      <c r="J2630">
        <v>10</v>
      </c>
      <c r="K2630">
        <v>0</v>
      </c>
      <c r="L2630">
        <v>0</v>
      </c>
      <c r="M2630">
        <v>0</v>
      </c>
      <c r="N2630">
        <v>0</v>
      </c>
      <c r="O2630">
        <v>0</v>
      </c>
    </row>
    <row r="2631" spans="1:15" x14ac:dyDescent="0.25">
      <c r="A2631" t="s">
        <v>1146</v>
      </c>
      <c r="B2631" t="s">
        <v>2117</v>
      </c>
      <c r="C2631" t="s">
        <v>927</v>
      </c>
      <c r="D2631" t="s">
        <v>3052</v>
      </c>
      <c r="E2631" t="s">
        <v>3053</v>
      </c>
      <c r="F2631" t="s">
        <v>431</v>
      </c>
      <c r="G2631" t="s">
        <v>432</v>
      </c>
      <c r="H2631" t="s">
        <v>4776</v>
      </c>
      <c r="I2631">
        <v>4922</v>
      </c>
      <c r="J2631">
        <v>3933</v>
      </c>
      <c r="K2631">
        <v>0</v>
      </c>
      <c r="L2631">
        <v>1</v>
      </c>
      <c r="M2631">
        <v>219</v>
      </c>
      <c r="N2631">
        <v>47</v>
      </c>
      <c r="O2631">
        <v>769</v>
      </c>
    </row>
    <row r="2632" spans="1:15" x14ac:dyDescent="0.25">
      <c r="A2632" t="s">
        <v>951</v>
      </c>
      <c r="B2632" t="s">
        <v>2680</v>
      </c>
      <c r="C2632" t="s">
        <v>927</v>
      </c>
      <c r="D2632" t="s">
        <v>3052</v>
      </c>
      <c r="E2632" t="s">
        <v>3053</v>
      </c>
      <c r="F2632" t="s">
        <v>431</v>
      </c>
      <c r="G2632" t="s">
        <v>432</v>
      </c>
      <c r="H2632" t="s">
        <v>4777</v>
      </c>
      <c r="I2632">
        <v>1</v>
      </c>
      <c r="J2632">
        <v>0</v>
      </c>
      <c r="K2632">
        <v>0</v>
      </c>
      <c r="L2632">
        <v>0</v>
      </c>
      <c r="M2632">
        <v>0</v>
      </c>
      <c r="N2632">
        <v>0</v>
      </c>
      <c r="O2632">
        <v>1</v>
      </c>
    </row>
    <row r="2633" spans="1:15" x14ac:dyDescent="0.25">
      <c r="A2633" t="s">
        <v>955</v>
      </c>
      <c r="B2633" t="s">
        <v>2660</v>
      </c>
      <c r="C2633" t="s">
        <v>927</v>
      </c>
      <c r="D2633" t="s">
        <v>3052</v>
      </c>
      <c r="E2633" t="s">
        <v>3053</v>
      </c>
      <c r="F2633" t="s">
        <v>431</v>
      </c>
      <c r="G2633" t="s">
        <v>432</v>
      </c>
      <c r="H2633" t="s">
        <v>4778</v>
      </c>
      <c r="I2633">
        <v>134</v>
      </c>
      <c r="J2633">
        <v>22</v>
      </c>
      <c r="K2633">
        <v>0</v>
      </c>
      <c r="L2633">
        <v>25</v>
      </c>
      <c r="M2633">
        <v>87</v>
      </c>
      <c r="N2633">
        <v>0</v>
      </c>
      <c r="O2633">
        <v>0</v>
      </c>
    </row>
    <row r="2634" spans="1:15" x14ac:dyDescent="0.25">
      <c r="A2634" t="s">
        <v>1155</v>
      </c>
      <c r="B2634" t="s">
        <v>2912</v>
      </c>
      <c r="C2634" t="s">
        <v>927</v>
      </c>
      <c r="D2634" t="s">
        <v>3052</v>
      </c>
      <c r="E2634" t="s">
        <v>3053</v>
      </c>
      <c r="F2634" t="s">
        <v>431</v>
      </c>
      <c r="G2634" t="s">
        <v>432</v>
      </c>
      <c r="H2634" t="s">
        <v>4779</v>
      </c>
      <c r="I2634">
        <v>498</v>
      </c>
      <c r="J2634">
        <v>246</v>
      </c>
      <c r="K2634">
        <v>0</v>
      </c>
      <c r="L2634">
        <v>0</v>
      </c>
      <c r="M2634">
        <v>0</v>
      </c>
      <c r="N2634">
        <v>3</v>
      </c>
      <c r="O2634">
        <v>252</v>
      </c>
    </row>
    <row r="2635" spans="1:15" x14ac:dyDescent="0.25">
      <c r="A2635" t="s">
        <v>11663</v>
      </c>
      <c r="B2635" t="s">
        <v>11768</v>
      </c>
      <c r="C2635" t="s">
        <v>927</v>
      </c>
      <c r="D2635" t="s">
        <v>3052</v>
      </c>
      <c r="E2635" t="s">
        <v>3053</v>
      </c>
      <c r="F2635" t="s">
        <v>431</v>
      </c>
      <c r="G2635" t="s">
        <v>432</v>
      </c>
      <c r="H2635" t="s">
        <v>11994</v>
      </c>
      <c r="I2635">
        <v>68</v>
      </c>
      <c r="J2635">
        <v>10</v>
      </c>
      <c r="K2635">
        <v>0</v>
      </c>
      <c r="L2635">
        <v>0</v>
      </c>
      <c r="M2635">
        <v>0</v>
      </c>
      <c r="N2635">
        <v>0</v>
      </c>
      <c r="O2635">
        <v>58</v>
      </c>
    </row>
    <row r="2636" spans="1:15" x14ac:dyDescent="0.25">
      <c r="A2636" t="s">
        <v>14380</v>
      </c>
      <c r="B2636" t="s">
        <v>2074</v>
      </c>
      <c r="C2636" t="s">
        <v>927</v>
      </c>
      <c r="D2636" t="s">
        <v>3052</v>
      </c>
      <c r="E2636" t="s">
        <v>3053</v>
      </c>
      <c r="F2636" t="s">
        <v>431</v>
      </c>
      <c r="G2636" t="s">
        <v>432</v>
      </c>
      <c r="H2636" t="s">
        <v>14686</v>
      </c>
      <c r="I2636">
        <v>748</v>
      </c>
      <c r="J2636">
        <v>747</v>
      </c>
      <c r="K2636">
        <v>0</v>
      </c>
      <c r="L2636">
        <v>0</v>
      </c>
      <c r="M2636">
        <v>0</v>
      </c>
      <c r="N2636">
        <v>6</v>
      </c>
      <c r="O2636">
        <v>1</v>
      </c>
    </row>
    <row r="2637" spans="1:15" x14ac:dyDescent="0.25">
      <c r="A2637" t="s">
        <v>1344</v>
      </c>
      <c r="B2637" t="s">
        <v>2957</v>
      </c>
      <c r="C2637" t="s">
        <v>923</v>
      </c>
      <c r="D2637" t="s">
        <v>3063</v>
      </c>
      <c r="E2637" t="s">
        <v>3053</v>
      </c>
      <c r="F2637" t="s">
        <v>431</v>
      </c>
      <c r="G2637" t="s">
        <v>432</v>
      </c>
      <c r="H2637" t="s">
        <v>4780</v>
      </c>
      <c r="I2637">
        <v>7</v>
      </c>
      <c r="J2637">
        <v>0</v>
      </c>
      <c r="K2637">
        <v>0</v>
      </c>
      <c r="L2637">
        <v>7</v>
      </c>
      <c r="M2637">
        <v>0</v>
      </c>
      <c r="N2637">
        <v>0</v>
      </c>
      <c r="O2637">
        <v>0</v>
      </c>
    </row>
    <row r="2638" spans="1:15" x14ac:dyDescent="0.25">
      <c r="A2638" t="s">
        <v>1158</v>
      </c>
      <c r="B2638" t="s">
        <v>2922</v>
      </c>
      <c r="C2638" t="s">
        <v>927</v>
      </c>
      <c r="D2638" t="s">
        <v>3052</v>
      </c>
      <c r="E2638" t="s">
        <v>3053</v>
      </c>
      <c r="F2638" t="s">
        <v>431</v>
      </c>
      <c r="G2638" t="s">
        <v>432</v>
      </c>
      <c r="H2638" t="s">
        <v>4781</v>
      </c>
      <c r="I2638">
        <v>18</v>
      </c>
      <c r="J2638">
        <v>0</v>
      </c>
      <c r="K2638">
        <v>18</v>
      </c>
      <c r="L2638">
        <v>0</v>
      </c>
      <c r="M2638">
        <v>0</v>
      </c>
      <c r="N2638">
        <v>0</v>
      </c>
      <c r="O2638">
        <v>0</v>
      </c>
    </row>
    <row r="2639" spans="1:15" x14ac:dyDescent="0.25">
      <c r="A2639" t="s">
        <v>962</v>
      </c>
      <c r="B2639" t="s">
        <v>2752</v>
      </c>
      <c r="C2639" t="s">
        <v>927</v>
      </c>
      <c r="D2639" t="s">
        <v>3052</v>
      </c>
      <c r="E2639" t="s">
        <v>3053</v>
      </c>
      <c r="F2639" t="s">
        <v>431</v>
      </c>
      <c r="G2639" t="s">
        <v>432</v>
      </c>
      <c r="H2639" t="s">
        <v>4782</v>
      </c>
      <c r="I2639">
        <v>1</v>
      </c>
      <c r="J2639">
        <v>1</v>
      </c>
      <c r="K2639">
        <v>0</v>
      </c>
      <c r="L2639">
        <v>0</v>
      </c>
      <c r="M2639">
        <v>0</v>
      </c>
      <c r="N2639">
        <v>0</v>
      </c>
      <c r="O2639">
        <v>0</v>
      </c>
    </row>
    <row r="2640" spans="1:15" x14ac:dyDescent="0.25">
      <c r="A2640" t="s">
        <v>1352</v>
      </c>
      <c r="B2640" t="s">
        <v>2085</v>
      </c>
      <c r="C2640" t="s">
        <v>923</v>
      </c>
      <c r="D2640" t="s">
        <v>3063</v>
      </c>
      <c r="E2640" t="s">
        <v>3053</v>
      </c>
      <c r="F2640" t="s">
        <v>431</v>
      </c>
      <c r="G2640" t="s">
        <v>432</v>
      </c>
      <c r="H2640" t="s">
        <v>11995</v>
      </c>
      <c r="I2640">
        <v>7</v>
      </c>
      <c r="J2640">
        <v>7</v>
      </c>
      <c r="K2640">
        <v>0</v>
      </c>
      <c r="L2640">
        <v>0</v>
      </c>
      <c r="M2640">
        <v>0</v>
      </c>
      <c r="N2640">
        <v>0</v>
      </c>
      <c r="O2640">
        <v>0</v>
      </c>
    </row>
    <row r="2641" spans="1:15" x14ac:dyDescent="0.25">
      <c r="A2641" t="s">
        <v>1160</v>
      </c>
      <c r="B2641" t="s">
        <v>2863</v>
      </c>
      <c r="C2641" t="s">
        <v>923</v>
      </c>
      <c r="D2641" t="s">
        <v>3063</v>
      </c>
      <c r="E2641" t="s">
        <v>3053</v>
      </c>
      <c r="F2641" t="s">
        <v>431</v>
      </c>
      <c r="G2641" t="s">
        <v>432</v>
      </c>
      <c r="H2641" t="s">
        <v>14687</v>
      </c>
      <c r="I2641">
        <v>7</v>
      </c>
      <c r="J2641">
        <v>7</v>
      </c>
      <c r="K2641">
        <v>0</v>
      </c>
      <c r="L2641">
        <v>0</v>
      </c>
      <c r="M2641">
        <v>0</v>
      </c>
      <c r="N2641">
        <v>0</v>
      </c>
      <c r="O2641">
        <v>0</v>
      </c>
    </row>
    <row r="2642" spans="1:15" x14ac:dyDescent="0.25">
      <c r="A2642" t="s">
        <v>1354</v>
      </c>
      <c r="B2642" t="s">
        <v>2676</v>
      </c>
      <c r="C2642" t="s">
        <v>927</v>
      </c>
      <c r="D2642" t="s">
        <v>3052</v>
      </c>
      <c r="E2642" t="s">
        <v>3053</v>
      </c>
      <c r="F2642" t="s">
        <v>431</v>
      </c>
      <c r="G2642" t="s">
        <v>432</v>
      </c>
      <c r="H2642" t="s">
        <v>10466</v>
      </c>
      <c r="I2642">
        <v>111</v>
      </c>
      <c r="J2642">
        <v>0</v>
      </c>
      <c r="K2642">
        <v>0</v>
      </c>
      <c r="L2642">
        <v>0</v>
      </c>
      <c r="M2642">
        <v>0</v>
      </c>
      <c r="N2642">
        <v>0</v>
      </c>
      <c r="O2642">
        <v>111</v>
      </c>
    </row>
    <row r="2643" spans="1:15" x14ac:dyDescent="0.25">
      <c r="A2643" t="s">
        <v>1357</v>
      </c>
      <c r="B2643" t="s">
        <v>2606</v>
      </c>
      <c r="C2643" t="s">
        <v>923</v>
      </c>
      <c r="D2643" t="s">
        <v>3063</v>
      </c>
      <c r="E2643" t="s">
        <v>3053</v>
      </c>
      <c r="F2643" t="s">
        <v>431</v>
      </c>
      <c r="G2643" t="s">
        <v>432</v>
      </c>
      <c r="H2643" t="s">
        <v>4783</v>
      </c>
      <c r="I2643">
        <v>8</v>
      </c>
      <c r="J2643">
        <v>0</v>
      </c>
      <c r="K2643">
        <v>0</v>
      </c>
      <c r="L2643">
        <v>8</v>
      </c>
      <c r="M2643">
        <v>0</v>
      </c>
      <c r="N2643">
        <v>0</v>
      </c>
      <c r="O2643">
        <v>0</v>
      </c>
    </row>
    <row r="2644" spans="1:15" x14ac:dyDescent="0.25">
      <c r="A2644" t="s">
        <v>1069</v>
      </c>
      <c r="B2644" t="s">
        <v>2001</v>
      </c>
      <c r="C2644" t="s">
        <v>927</v>
      </c>
      <c r="D2644" t="s">
        <v>3052</v>
      </c>
      <c r="E2644" t="s">
        <v>3053</v>
      </c>
      <c r="F2644" t="s">
        <v>431</v>
      </c>
      <c r="G2644" t="s">
        <v>432</v>
      </c>
      <c r="H2644" t="s">
        <v>4784</v>
      </c>
      <c r="I2644">
        <v>1</v>
      </c>
      <c r="J2644">
        <v>1</v>
      </c>
      <c r="K2644">
        <v>0</v>
      </c>
      <c r="L2644">
        <v>0</v>
      </c>
      <c r="M2644">
        <v>0</v>
      </c>
      <c r="N2644">
        <v>0</v>
      </c>
      <c r="O2644">
        <v>0</v>
      </c>
    </row>
    <row r="2645" spans="1:15" x14ac:dyDescent="0.25">
      <c r="A2645" t="s">
        <v>1071</v>
      </c>
      <c r="B2645" t="s">
        <v>2571</v>
      </c>
      <c r="C2645" t="s">
        <v>923</v>
      </c>
      <c r="D2645" t="s">
        <v>3063</v>
      </c>
      <c r="E2645" t="s">
        <v>3053</v>
      </c>
      <c r="F2645" t="s">
        <v>431</v>
      </c>
      <c r="G2645" t="s">
        <v>432</v>
      </c>
      <c r="H2645" t="s">
        <v>11996</v>
      </c>
      <c r="I2645">
        <v>17</v>
      </c>
      <c r="J2645">
        <v>0</v>
      </c>
      <c r="K2645">
        <v>0</v>
      </c>
      <c r="L2645">
        <v>17</v>
      </c>
      <c r="M2645">
        <v>0</v>
      </c>
      <c r="N2645">
        <v>0</v>
      </c>
      <c r="O2645">
        <v>0</v>
      </c>
    </row>
    <row r="2646" spans="1:15" x14ac:dyDescent="0.25">
      <c r="A2646" t="s">
        <v>1072</v>
      </c>
      <c r="B2646" t="s">
        <v>2907</v>
      </c>
      <c r="C2646" t="s">
        <v>927</v>
      </c>
      <c r="D2646" t="s">
        <v>3052</v>
      </c>
      <c r="E2646" t="s">
        <v>3053</v>
      </c>
      <c r="F2646" t="s">
        <v>431</v>
      </c>
      <c r="G2646" t="s">
        <v>432</v>
      </c>
      <c r="H2646" t="s">
        <v>14688</v>
      </c>
      <c r="I2646">
        <v>37</v>
      </c>
      <c r="J2646">
        <v>14</v>
      </c>
      <c r="K2646">
        <v>0</v>
      </c>
      <c r="L2646">
        <v>0</v>
      </c>
      <c r="M2646">
        <v>0</v>
      </c>
      <c r="N2646">
        <v>0</v>
      </c>
      <c r="O2646">
        <v>23</v>
      </c>
    </row>
    <row r="2647" spans="1:15" x14ac:dyDescent="0.25">
      <c r="A2647" t="s">
        <v>1380</v>
      </c>
      <c r="B2647" t="s">
        <v>2664</v>
      </c>
      <c r="C2647" t="s">
        <v>927</v>
      </c>
      <c r="D2647" t="s">
        <v>3052</v>
      </c>
      <c r="E2647" t="s">
        <v>3053</v>
      </c>
      <c r="F2647" t="s">
        <v>431</v>
      </c>
      <c r="G2647" t="s">
        <v>432</v>
      </c>
      <c r="H2647" t="s">
        <v>4785</v>
      </c>
      <c r="I2647">
        <v>1</v>
      </c>
      <c r="J2647">
        <v>0</v>
      </c>
      <c r="K2647">
        <v>0</v>
      </c>
      <c r="L2647">
        <v>0</v>
      </c>
      <c r="M2647">
        <v>0</v>
      </c>
      <c r="N2647">
        <v>0</v>
      </c>
      <c r="O2647">
        <v>1</v>
      </c>
    </row>
    <row r="2648" spans="1:15" x14ac:dyDescent="0.25">
      <c r="A2648" t="s">
        <v>1381</v>
      </c>
      <c r="B2648" t="s">
        <v>2397</v>
      </c>
      <c r="C2648" t="s">
        <v>923</v>
      </c>
      <c r="D2648" t="s">
        <v>3063</v>
      </c>
      <c r="E2648" t="s">
        <v>3053</v>
      </c>
      <c r="F2648" t="s">
        <v>431</v>
      </c>
      <c r="G2648" t="s">
        <v>432</v>
      </c>
      <c r="H2648" t="s">
        <v>4786</v>
      </c>
      <c r="I2648">
        <v>41</v>
      </c>
      <c r="J2648">
        <v>41</v>
      </c>
      <c r="K2648">
        <v>0</v>
      </c>
      <c r="L2648">
        <v>0</v>
      </c>
      <c r="M2648">
        <v>0</v>
      </c>
      <c r="N2648">
        <v>0</v>
      </c>
      <c r="O2648">
        <v>0</v>
      </c>
    </row>
    <row r="2649" spans="1:15" x14ac:dyDescent="0.25">
      <c r="A2649" t="s">
        <v>1388</v>
      </c>
      <c r="B2649" t="s">
        <v>2926</v>
      </c>
      <c r="C2649" t="s">
        <v>923</v>
      </c>
      <c r="D2649" t="s">
        <v>3063</v>
      </c>
      <c r="E2649" t="s">
        <v>3053</v>
      </c>
      <c r="F2649" t="s">
        <v>431</v>
      </c>
      <c r="G2649" t="s">
        <v>432</v>
      </c>
      <c r="H2649" t="s">
        <v>4787</v>
      </c>
      <c r="I2649">
        <v>26</v>
      </c>
      <c r="J2649">
        <v>0</v>
      </c>
      <c r="K2649">
        <v>0</v>
      </c>
      <c r="L2649">
        <v>0</v>
      </c>
      <c r="M2649">
        <v>26</v>
      </c>
      <c r="N2649">
        <v>0</v>
      </c>
      <c r="O2649">
        <v>0</v>
      </c>
    </row>
    <row r="2650" spans="1:15" x14ac:dyDescent="0.25">
      <c r="A2650" t="s">
        <v>1390</v>
      </c>
      <c r="B2650" t="s">
        <v>2978</v>
      </c>
      <c r="C2650" t="s">
        <v>923</v>
      </c>
      <c r="D2650" t="s">
        <v>3063</v>
      </c>
      <c r="E2650" t="s">
        <v>3053</v>
      </c>
      <c r="F2650" t="s">
        <v>431</v>
      </c>
      <c r="G2650" t="s">
        <v>432</v>
      </c>
      <c r="H2650" t="s">
        <v>4788</v>
      </c>
      <c r="I2650">
        <v>129</v>
      </c>
      <c r="J2650">
        <v>129</v>
      </c>
      <c r="K2650">
        <v>0</v>
      </c>
      <c r="L2650">
        <v>0</v>
      </c>
      <c r="M2650">
        <v>0</v>
      </c>
      <c r="N2650">
        <v>0</v>
      </c>
      <c r="O2650">
        <v>0</v>
      </c>
    </row>
    <row r="2651" spans="1:15" x14ac:dyDescent="0.25">
      <c r="A2651" t="s">
        <v>14377</v>
      </c>
      <c r="B2651" t="s">
        <v>14444</v>
      </c>
      <c r="C2651" t="s">
        <v>923</v>
      </c>
      <c r="D2651" t="s">
        <v>3063</v>
      </c>
      <c r="E2651" t="s">
        <v>3053</v>
      </c>
      <c r="F2651" t="s">
        <v>431</v>
      </c>
      <c r="G2651" t="s">
        <v>432</v>
      </c>
      <c r="H2651" t="s">
        <v>14689</v>
      </c>
      <c r="I2651">
        <v>18</v>
      </c>
      <c r="J2651">
        <v>18</v>
      </c>
      <c r="K2651">
        <v>0</v>
      </c>
      <c r="L2651">
        <v>0</v>
      </c>
      <c r="M2651">
        <v>0</v>
      </c>
      <c r="N2651">
        <v>0</v>
      </c>
      <c r="O2651">
        <v>0</v>
      </c>
    </row>
    <row r="2652" spans="1:15" x14ac:dyDescent="0.25">
      <c r="A2652" t="s">
        <v>1396</v>
      </c>
      <c r="B2652" t="s">
        <v>2750</v>
      </c>
      <c r="C2652" t="s">
        <v>923</v>
      </c>
      <c r="D2652" t="s">
        <v>3063</v>
      </c>
      <c r="E2652" t="s">
        <v>3053</v>
      </c>
      <c r="F2652" t="s">
        <v>431</v>
      </c>
      <c r="G2652" t="s">
        <v>432</v>
      </c>
      <c r="H2652" t="s">
        <v>4789</v>
      </c>
      <c r="I2652">
        <v>38</v>
      </c>
      <c r="J2652">
        <v>38</v>
      </c>
      <c r="K2652">
        <v>0</v>
      </c>
      <c r="L2652">
        <v>0</v>
      </c>
      <c r="M2652">
        <v>0</v>
      </c>
      <c r="N2652">
        <v>0</v>
      </c>
      <c r="O2652">
        <v>0</v>
      </c>
    </row>
    <row r="2653" spans="1:15" x14ac:dyDescent="0.25">
      <c r="A2653" t="s">
        <v>1398</v>
      </c>
      <c r="B2653" t="s">
        <v>2998</v>
      </c>
      <c r="C2653" t="s">
        <v>927</v>
      </c>
      <c r="D2653" t="s">
        <v>3052</v>
      </c>
      <c r="E2653" t="s">
        <v>3053</v>
      </c>
      <c r="F2653" t="s">
        <v>431</v>
      </c>
      <c r="G2653" t="s">
        <v>432</v>
      </c>
      <c r="H2653" t="s">
        <v>14690</v>
      </c>
      <c r="I2653">
        <v>241</v>
      </c>
      <c r="J2653">
        <v>0</v>
      </c>
      <c r="K2653">
        <v>0</v>
      </c>
      <c r="L2653">
        <v>241</v>
      </c>
      <c r="M2653">
        <v>0</v>
      </c>
      <c r="N2653">
        <v>0</v>
      </c>
      <c r="O2653">
        <v>0</v>
      </c>
    </row>
    <row r="2654" spans="1:15" x14ac:dyDescent="0.25">
      <c r="A2654" t="s">
        <v>971</v>
      </c>
      <c r="B2654" t="s">
        <v>2956</v>
      </c>
      <c r="C2654" t="s">
        <v>927</v>
      </c>
      <c r="D2654" t="s">
        <v>3052</v>
      </c>
      <c r="E2654" t="s">
        <v>3053</v>
      </c>
      <c r="F2654" t="s">
        <v>433</v>
      </c>
      <c r="G2654" t="s">
        <v>434</v>
      </c>
      <c r="H2654" t="s">
        <v>9890</v>
      </c>
      <c r="I2654">
        <v>58</v>
      </c>
      <c r="J2654">
        <v>32</v>
      </c>
      <c r="K2654">
        <v>0</v>
      </c>
      <c r="L2654">
        <v>0</v>
      </c>
      <c r="M2654">
        <v>0</v>
      </c>
      <c r="N2654">
        <v>0</v>
      </c>
      <c r="O2654">
        <v>26</v>
      </c>
    </row>
    <row r="2655" spans="1:15" x14ac:dyDescent="0.25">
      <c r="A2655" t="s">
        <v>933</v>
      </c>
      <c r="B2655" t="s">
        <v>2106</v>
      </c>
      <c r="C2655" t="s">
        <v>927</v>
      </c>
      <c r="D2655" t="s">
        <v>3052</v>
      </c>
      <c r="E2655" t="s">
        <v>3053</v>
      </c>
      <c r="F2655" t="s">
        <v>433</v>
      </c>
      <c r="G2655" t="s">
        <v>434</v>
      </c>
      <c r="H2655" t="s">
        <v>4791</v>
      </c>
      <c r="I2655">
        <v>209</v>
      </c>
      <c r="J2655">
        <v>136</v>
      </c>
      <c r="K2655">
        <v>0</v>
      </c>
      <c r="L2655">
        <v>0</v>
      </c>
      <c r="M2655">
        <v>0</v>
      </c>
      <c r="N2655">
        <v>0</v>
      </c>
      <c r="O2655">
        <v>73</v>
      </c>
    </row>
    <row r="2656" spans="1:15" x14ac:dyDescent="0.25">
      <c r="A2656" t="s">
        <v>992</v>
      </c>
      <c r="B2656" t="s">
        <v>3033</v>
      </c>
      <c r="C2656" t="s">
        <v>927</v>
      </c>
      <c r="D2656" t="s">
        <v>3052</v>
      </c>
      <c r="E2656" t="s">
        <v>3053</v>
      </c>
      <c r="F2656" t="s">
        <v>433</v>
      </c>
      <c r="G2656" t="s">
        <v>434</v>
      </c>
      <c r="H2656" t="s">
        <v>14691</v>
      </c>
      <c r="I2656">
        <v>9</v>
      </c>
      <c r="J2656">
        <v>7</v>
      </c>
      <c r="K2656">
        <v>0</v>
      </c>
      <c r="L2656">
        <v>0</v>
      </c>
      <c r="M2656">
        <v>0</v>
      </c>
      <c r="N2656">
        <v>0</v>
      </c>
      <c r="O2656">
        <v>2</v>
      </c>
    </row>
    <row r="2657" spans="1:15" x14ac:dyDescent="0.25">
      <c r="A2657" t="s">
        <v>1110</v>
      </c>
      <c r="B2657" t="s">
        <v>2888</v>
      </c>
      <c r="C2657" t="s">
        <v>927</v>
      </c>
      <c r="D2657" t="s">
        <v>3052</v>
      </c>
      <c r="E2657" t="s">
        <v>3053</v>
      </c>
      <c r="F2657" t="s">
        <v>433</v>
      </c>
      <c r="G2657" t="s">
        <v>434</v>
      </c>
      <c r="H2657" t="s">
        <v>10056</v>
      </c>
      <c r="I2657">
        <v>8</v>
      </c>
      <c r="J2657">
        <v>0</v>
      </c>
      <c r="K2657">
        <v>0</v>
      </c>
      <c r="L2657">
        <v>0</v>
      </c>
      <c r="M2657">
        <v>0</v>
      </c>
      <c r="N2657">
        <v>0</v>
      </c>
      <c r="O2657">
        <v>8</v>
      </c>
    </row>
    <row r="2658" spans="1:15" x14ac:dyDescent="0.25">
      <c r="A2658" t="s">
        <v>935</v>
      </c>
      <c r="B2658" t="s">
        <v>1960</v>
      </c>
      <c r="C2658" t="s">
        <v>923</v>
      </c>
      <c r="D2658" t="s">
        <v>3063</v>
      </c>
      <c r="E2658" t="s">
        <v>3053</v>
      </c>
      <c r="F2658" t="s">
        <v>433</v>
      </c>
      <c r="G2658" t="s">
        <v>434</v>
      </c>
      <c r="H2658" t="s">
        <v>4792</v>
      </c>
      <c r="I2658">
        <v>6</v>
      </c>
      <c r="J2658">
        <v>0</v>
      </c>
      <c r="K2658">
        <v>0</v>
      </c>
      <c r="L2658">
        <v>6</v>
      </c>
      <c r="M2658">
        <v>0</v>
      </c>
      <c r="N2658">
        <v>0</v>
      </c>
      <c r="O2658">
        <v>0</v>
      </c>
    </row>
    <row r="2659" spans="1:15" x14ac:dyDescent="0.25">
      <c r="A2659" t="s">
        <v>998</v>
      </c>
      <c r="B2659" t="s">
        <v>2820</v>
      </c>
      <c r="C2659" t="s">
        <v>927</v>
      </c>
      <c r="D2659" t="s">
        <v>3052</v>
      </c>
      <c r="E2659" t="s">
        <v>3053</v>
      </c>
      <c r="F2659" t="s">
        <v>433</v>
      </c>
      <c r="G2659" t="s">
        <v>434</v>
      </c>
      <c r="H2659" t="s">
        <v>14692</v>
      </c>
      <c r="I2659">
        <v>9</v>
      </c>
      <c r="J2659">
        <v>9</v>
      </c>
      <c r="K2659">
        <v>0</v>
      </c>
      <c r="L2659">
        <v>0</v>
      </c>
      <c r="M2659">
        <v>0</v>
      </c>
      <c r="N2659">
        <v>0</v>
      </c>
      <c r="O2659">
        <v>0</v>
      </c>
    </row>
    <row r="2660" spans="1:15" x14ac:dyDescent="0.25">
      <c r="A2660" t="s">
        <v>1113</v>
      </c>
      <c r="B2660" t="s">
        <v>1953</v>
      </c>
      <c r="C2660" t="s">
        <v>927</v>
      </c>
      <c r="D2660" t="s">
        <v>3052</v>
      </c>
      <c r="E2660" t="s">
        <v>3053</v>
      </c>
      <c r="F2660" t="s">
        <v>433</v>
      </c>
      <c r="G2660" t="s">
        <v>434</v>
      </c>
      <c r="H2660" t="s">
        <v>4793</v>
      </c>
      <c r="I2660">
        <v>205</v>
      </c>
      <c r="J2660">
        <v>164</v>
      </c>
      <c r="K2660">
        <v>0</v>
      </c>
      <c r="L2660">
        <v>0</v>
      </c>
      <c r="M2660">
        <v>0</v>
      </c>
      <c r="N2660">
        <v>4</v>
      </c>
      <c r="O2660">
        <v>41</v>
      </c>
    </row>
    <row r="2661" spans="1:15" x14ac:dyDescent="0.25">
      <c r="A2661" t="s">
        <v>1003</v>
      </c>
      <c r="B2661" t="s">
        <v>2862</v>
      </c>
      <c r="C2661" t="s">
        <v>927</v>
      </c>
      <c r="D2661" t="s">
        <v>3052</v>
      </c>
      <c r="E2661" t="s">
        <v>3053</v>
      </c>
      <c r="F2661" t="s">
        <v>433</v>
      </c>
      <c r="G2661" t="s">
        <v>434</v>
      </c>
      <c r="H2661" t="s">
        <v>4794</v>
      </c>
      <c r="I2661">
        <v>2</v>
      </c>
      <c r="J2661">
        <v>2</v>
      </c>
      <c r="K2661">
        <v>0</v>
      </c>
      <c r="L2661">
        <v>0</v>
      </c>
      <c r="M2661">
        <v>0</v>
      </c>
      <c r="N2661">
        <v>0</v>
      </c>
      <c r="O2661">
        <v>0</v>
      </c>
    </row>
    <row r="2662" spans="1:15" x14ac:dyDescent="0.25">
      <c r="A2662" t="s">
        <v>1010</v>
      </c>
      <c r="B2662" t="s">
        <v>2639</v>
      </c>
      <c r="C2662" t="s">
        <v>927</v>
      </c>
      <c r="D2662" t="s">
        <v>3052</v>
      </c>
      <c r="E2662" t="s">
        <v>3053</v>
      </c>
      <c r="F2662" t="s">
        <v>433</v>
      </c>
      <c r="G2662" t="s">
        <v>434</v>
      </c>
      <c r="H2662" t="s">
        <v>4795</v>
      </c>
      <c r="I2662">
        <v>118</v>
      </c>
      <c r="J2662">
        <v>93</v>
      </c>
      <c r="K2662">
        <v>0</v>
      </c>
      <c r="L2662">
        <v>0</v>
      </c>
      <c r="M2662">
        <v>0</v>
      </c>
      <c r="N2662">
        <v>0</v>
      </c>
      <c r="O2662">
        <v>25</v>
      </c>
    </row>
    <row r="2663" spans="1:15" x14ac:dyDescent="0.25">
      <c r="A2663" t="s">
        <v>937</v>
      </c>
      <c r="B2663" t="s">
        <v>1962</v>
      </c>
      <c r="C2663" t="s">
        <v>927</v>
      </c>
      <c r="D2663" t="s">
        <v>3052</v>
      </c>
      <c r="E2663" t="s">
        <v>3053</v>
      </c>
      <c r="F2663" t="s">
        <v>433</v>
      </c>
      <c r="G2663" t="s">
        <v>434</v>
      </c>
      <c r="H2663" t="s">
        <v>4796</v>
      </c>
      <c r="I2663">
        <v>29</v>
      </c>
      <c r="J2663">
        <v>0</v>
      </c>
      <c r="K2663">
        <v>0</v>
      </c>
      <c r="L2663">
        <v>0</v>
      </c>
      <c r="M2663">
        <v>0</v>
      </c>
      <c r="N2663">
        <v>0</v>
      </c>
      <c r="O2663">
        <v>29</v>
      </c>
    </row>
    <row r="2664" spans="1:15" x14ac:dyDescent="0.25">
      <c r="A2664" t="s">
        <v>1123</v>
      </c>
      <c r="B2664" t="s">
        <v>2691</v>
      </c>
      <c r="C2664" t="s">
        <v>927</v>
      </c>
      <c r="D2664" t="s">
        <v>3052</v>
      </c>
      <c r="E2664" t="s">
        <v>3053</v>
      </c>
      <c r="F2664" t="s">
        <v>433</v>
      </c>
      <c r="G2664" t="s">
        <v>434</v>
      </c>
      <c r="H2664" t="s">
        <v>4797</v>
      </c>
      <c r="I2664">
        <v>112</v>
      </c>
      <c r="J2664">
        <v>89</v>
      </c>
      <c r="K2664">
        <v>0</v>
      </c>
      <c r="L2664">
        <v>0</v>
      </c>
      <c r="M2664">
        <v>0</v>
      </c>
      <c r="N2664">
        <v>0</v>
      </c>
      <c r="O2664">
        <v>23</v>
      </c>
    </row>
    <row r="2665" spans="1:15" x14ac:dyDescent="0.25">
      <c r="A2665" t="s">
        <v>1026</v>
      </c>
      <c r="B2665" t="s">
        <v>2848</v>
      </c>
      <c r="C2665" t="s">
        <v>927</v>
      </c>
      <c r="D2665" t="s">
        <v>3052</v>
      </c>
      <c r="E2665" t="s">
        <v>3053</v>
      </c>
      <c r="F2665" t="s">
        <v>433</v>
      </c>
      <c r="G2665" t="s">
        <v>434</v>
      </c>
      <c r="H2665" t="s">
        <v>4798</v>
      </c>
      <c r="I2665">
        <v>160</v>
      </c>
      <c r="J2665">
        <v>69</v>
      </c>
      <c r="K2665">
        <v>0</v>
      </c>
      <c r="L2665">
        <v>0</v>
      </c>
      <c r="M2665">
        <v>65</v>
      </c>
      <c r="N2665">
        <v>0</v>
      </c>
      <c r="O2665">
        <v>26</v>
      </c>
    </row>
    <row r="2666" spans="1:15" x14ac:dyDescent="0.25">
      <c r="A2666" t="s">
        <v>10681</v>
      </c>
      <c r="B2666" t="s">
        <v>10680</v>
      </c>
      <c r="C2666" t="s">
        <v>927</v>
      </c>
      <c r="D2666" t="s">
        <v>3052</v>
      </c>
      <c r="E2666" t="s">
        <v>3053</v>
      </c>
      <c r="F2666" t="s">
        <v>433</v>
      </c>
      <c r="G2666" t="s">
        <v>434</v>
      </c>
      <c r="H2666" t="s">
        <v>14693</v>
      </c>
      <c r="I2666">
        <v>6</v>
      </c>
      <c r="J2666">
        <v>0</v>
      </c>
      <c r="K2666">
        <v>0</v>
      </c>
      <c r="L2666">
        <v>0</v>
      </c>
      <c r="M2666">
        <v>0</v>
      </c>
      <c r="N2666">
        <v>0</v>
      </c>
      <c r="O2666">
        <v>6</v>
      </c>
    </row>
    <row r="2667" spans="1:15" x14ac:dyDescent="0.25">
      <c r="A2667" t="s">
        <v>943</v>
      </c>
      <c r="B2667" t="s">
        <v>2694</v>
      </c>
      <c r="C2667" t="s">
        <v>927</v>
      </c>
      <c r="D2667" t="s">
        <v>3052</v>
      </c>
      <c r="E2667" t="s">
        <v>3053</v>
      </c>
      <c r="F2667" t="s">
        <v>433</v>
      </c>
      <c r="G2667" t="s">
        <v>434</v>
      </c>
      <c r="H2667" t="s">
        <v>4799</v>
      </c>
      <c r="I2667">
        <v>76</v>
      </c>
      <c r="J2667">
        <v>63</v>
      </c>
      <c r="K2667">
        <v>0</v>
      </c>
      <c r="L2667">
        <v>4</v>
      </c>
      <c r="M2667">
        <v>0</v>
      </c>
      <c r="N2667">
        <v>0</v>
      </c>
      <c r="O2667">
        <v>9</v>
      </c>
    </row>
    <row r="2668" spans="1:15" x14ac:dyDescent="0.25">
      <c r="A2668" t="s">
        <v>1031</v>
      </c>
      <c r="B2668" t="s">
        <v>2779</v>
      </c>
      <c r="C2668" t="s">
        <v>927</v>
      </c>
      <c r="D2668" t="s">
        <v>3052</v>
      </c>
      <c r="E2668" t="s">
        <v>3053</v>
      </c>
      <c r="F2668" t="s">
        <v>433</v>
      </c>
      <c r="G2668" t="s">
        <v>434</v>
      </c>
      <c r="H2668" t="s">
        <v>4800</v>
      </c>
      <c r="I2668">
        <v>14</v>
      </c>
      <c r="J2668">
        <v>9</v>
      </c>
      <c r="K2668">
        <v>0</v>
      </c>
      <c r="L2668">
        <v>0</v>
      </c>
      <c r="M2668">
        <v>0</v>
      </c>
      <c r="N2668">
        <v>0</v>
      </c>
      <c r="O2668">
        <v>5</v>
      </c>
    </row>
    <row r="2669" spans="1:15" x14ac:dyDescent="0.25">
      <c r="A2669" t="s">
        <v>1041</v>
      </c>
      <c r="B2669" t="s">
        <v>2826</v>
      </c>
      <c r="C2669" t="s">
        <v>927</v>
      </c>
      <c r="D2669" t="s">
        <v>3052</v>
      </c>
      <c r="E2669" t="s">
        <v>3053</v>
      </c>
      <c r="F2669" t="s">
        <v>433</v>
      </c>
      <c r="G2669" t="s">
        <v>434</v>
      </c>
      <c r="H2669" t="s">
        <v>4801</v>
      </c>
      <c r="I2669">
        <v>19</v>
      </c>
      <c r="J2669">
        <v>0</v>
      </c>
      <c r="K2669">
        <v>0</v>
      </c>
      <c r="L2669">
        <v>0</v>
      </c>
      <c r="M2669">
        <v>0</v>
      </c>
      <c r="N2669">
        <v>0</v>
      </c>
      <c r="O2669">
        <v>19</v>
      </c>
    </row>
    <row r="2670" spans="1:15" x14ac:dyDescent="0.25">
      <c r="A2670" t="s">
        <v>9787</v>
      </c>
      <c r="B2670" t="s">
        <v>2822</v>
      </c>
      <c r="C2670" t="s">
        <v>927</v>
      </c>
      <c r="D2670" t="s">
        <v>3052</v>
      </c>
      <c r="E2670" t="s">
        <v>3053</v>
      </c>
      <c r="F2670" t="s">
        <v>433</v>
      </c>
      <c r="G2670" t="s">
        <v>434</v>
      </c>
      <c r="H2670" t="s">
        <v>10247</v>
      </c>
      <c r="I2670">
        <v>47</v>
      </c>
      <c r="J2670">
        <v>46</v>
      </c>
      <c r="K2670">
        <v>0</v>
      </c>
      <c r="L2670">
        <v>0</v>
      </c>
      <c r="M2670">
        <v>0</v>
      </c>
      <c r="N2670">
        <v>0</v>
      </c>
      <c r="O2670">
        <v>1</v>
      </c>
    </row>
    <row r="2671" spans="1:15" x14ac:dyDescent="0.25">
      <c r="A2671" t="s">
        <v>1144</v>
      </c>
      <c r="B2671" t="s">
        <v>2124</v>
      </c>
      <c r="C2671" t="s">
        <v>923</v>
      </c>
      <c r="D2671" t="s">
        <v>3063</v>
      </c>
      <c r="E2671" t="s">
        <v>3053</v>
      </c>
      <c r="F2671" t="s">
        <v>433</v>
      </c>
      <c r="G2671" t="s">
        <v>434</v>
      </c>
      <c r="H2671" t="s">
        <v>11997</v>
      </c>
      <c r="I2671">
        <v>16</v>
      </c>
      <c r="J2671">
        <v>16</v>
      </c>
      <c r="K2671">
        <v>0</v>
      </c>
      <c r="L2671">
        <v>0</v>
      </c>
      <c r="M2671">
        <v>0</v>
      </c>
      <c r="N2671">
        <v>0</v>
      </c>
      <c r="O2671">
        <v>0</v>
      </c>
    </row>
    <row r="2672" spans="1:15" x14ac:dyDescent="0.25">
      <c r="A2672" t="s">
        <v>1048</v>
      </c>
      <c r="B2672" t="s">
        <v>2989</v>
      </c>
      <c r="C2672" t="s">
        <v>927</v>
      </c>
      <c r="D2672" t="s">
        <v>3052</v>
      </c>
      <c r="E2672" t="s">
        <v>3053</v>
      </c>
      <c r="F2672" t="s">
        <v>433</v>
      </c>
      <c r="G2672" t="s">
        <v>434</v>
      </c>
      <c r="H2672" t="s">
        <v>10311</v>
      </c>
      <c r="I2672">
        <v>4</v>
      </c>
      <c r="J2672">
        <v>0</v>
      </c>
      <c r="K2672">
        <v>0</v>
      </c>
      <c r="L2672">
        <v>4</v>
      </c>
      <c r="M2672">
        <v>0</v>
      </c>
      <c r="N2672">
        <v>0</v>
      </c>
      <c r="O2672">
        <v>0</v>
      </c>
    </row>
    <row r="2673" spans="1:15" x14ac:dyDescent="0.25">
      <c r="A2673" t="s">
        <v>1051</v>
      </c>
      <c r="B2673" t="s">
        <v>2995</v>
      </c>
      <c r="C2673" t="s">
        <v>927</v>
      </c>
      <c r="D2673" t="s">
        <v>3052</v>
      </c>
      <c r="E2673" t="s">
        <v>3053</v>
      </c>
      <c r="F2673" t="s">
        <v>433</v>
      </c>
      <c r="G2673" t="s">
        <v>434</v>
      </c>
      <c r="H2673" t="s">
        <v>4802</v>
      </c>
      <c r="I2673">
        <v>6</v>
      </c>
      <c r="J2673">
        <v>0</v>
      </c>
      <c r="K2673">
        <v>0</v>
      </c>
      <c r="L2673">
        <v>6</v>
      </c>
      <c r="M2673">
        <v>0</v>
      </c>
      <c r="N2673">
        <v>0</v>
      </c>
      <c r="O2673">
        <v>0</v>
      </c>
    </row>
    <row r="2674" spans="1:15" x14ac:dyDescent="0.25">
      <c r="A2674" t="s">
        <v>1152</v>
      </c>
      <c r="B2674" t="s">
        <v>3031</v>
      </c>
      <c r="C2674" t="s">
        <v>927</v>
      </c>
      <c r="D2674" t="s">
        <v>3052</v>
      </c>
      <c r="E2674" t="s">
        <v>3053</v>
      </c>
      <c r="F2674" t="s">
        <v>433</v>
      </c>
      <c r="G2674" t="s">
        <v>434</v>
      </c>
      <c r="H2674" t="s">
        <v>4803</v>
      </c>
      <c r="I2674">
        <v>6</v>
      </c>
      <c r="J2674">
        <v>0</v>
      </c>
      <c r="K2674">
        <v>0</v>
      </c>
      <c r="L2674">
        <v>5</v>
      </c>
      <c r="M2674">
        <v>0</v>
      </c>
      <c r="N2674">
        <v>0</v>
      </c>
      <c r="O2674">
        <v>1</v>
      </c>
    </row>
    <row r="2675" spans="1:15" x14ac:dyDescent="0.25">
      <c r="A2675" t="s">
        <v>11720</v>
      </c>
      <c r="B2675" t="s">
        <v>10718</v>
      </c>
      <c r="C2675" t="s">
        <v>927</v>
      </c>
      <c r="D2675" t="s">
        <v>3052</v>
      </c>
      <c r="E2675" t="s">
        <v>3053</v>
      </c>
      <c r="F2675" t="s">
        <v>433</v>
      </c>
      <c r="G2675" t="s">
        <v>434</v>
      </c>
      <c r="H2675" t="s">
        <v>14694</v>
      </c>
      <c r="I2675">
        <v>38</v>
      </c>
      <c r="J2675">
        <v>17</v>
      </c>
      <c r="K2675">
        <v>0</v>
      </c>
      <c r="L2675">
        <v>0</v>
      </c>
      <c r="M2675">
        <v>0</v>
      </c>
      <c r="N2675">
        <v>0</v>
      </c>
      <c r="O2675">
        <v>21</v>
      </c>
    </row>
    <row r="2676" spans="1:15" x14ac:dyDescent="0.25">
      <c r="A2676" t="s">
        <v>9788</v>
      </c>
      <c r="B2676" t="s">
        <v>9871</v>
      </c>
      <c r="C2676" t="s">
        <v>927</v>
      </c>
      <c r="D2676" t="s">
        <v>3052</v>
      </c>
      <c r="E2676" t="s">
        <v>3053</v>
      </c>
      <c r="F2676" t="s">
        <v>433</v>
      </c>
      <c r="G2676" t="s">
        <v>434</v>
      </c>
      <c r="H2676" t="s">
        <v>10998</v>
      </c>
      <c r="I2676">
        <v>103</v>
      </c>
      <c r="J2676">
        <v>103</v>
      </c>
      <c r="K2676">
        <v>0</v>
      </c>
      <c r="L2676">
        <v>0</v>
      </c>
      <c r="M2676">
        <v>0</v>
      </c>
      <c r="N2676">
        <v>0</v>
      </c>
      <c r="O2676">
        <v>0</v>
      </c>
    </row>
    <row r="2677" spans="1:15" x14ac:dyDescent="0.25">
      <c r="A2677" t="s">
        <v>1057</v>
      </c>
      <c r="B2677" t="s">
        <v>1972</v>
      </c>
      <c r="C2677" t="s">
        <v>927</v>
      </c>
      <c r="D2677" t="s">
        <v>3052</v>
      </c>
      <c r="E2677" t="s">
        <v>3053</v>
      </c>
      <c r="F2677" t="s">
        <v>433</v>
      </c>
      <c r="G2677" t="s">
        <v>434</v>
      </c>
      <c r="H2677" t="s">
        <v>4804</v>
      </c>
      <c r="I2677">
        <v>58</v>
      </c>
      <c r="J2677">
        <v>44</v>
      </c>
      <c r="K2677">
        <v>0</v>
      </c>
      <c r="L2677">
        <v>0</v>
      </c>
      <c r="M2677">
        <v>0</v>
      </c>
      <c r="N2677">
        <v>0</v>
      </c>
      <c r="O2677">
        <v>14</v>
      </c>
    </row>
    <row r="2678" spans="1:15" x14ac:dyDescent="0.25">
      <c r="A2678" t="s">
        <v>955</v>
      </c>
      <c r="B2678" t="s">
        <v>2660</v>
      </c>
      <c r="C2678" t="s">
        <v>927</v>
      </c>
      <c r="D2678" t="s">
        <v>3052</v>
      </c>
      <c r="E2678" t="s">
        <v>3053</v>
      </c>
      <c r="F2678" t="s">
        <v>433</v>
      </c>
      <c r="G2678" t="s">
        <v>434</v>
      </c>
      <c r="H2678" t="s">
        <v>4805</v>
      </c>
      <c r="I2678">
        <v>4263</v>
      </c>
      <c r="J2678">
        <v>3170</v>
      </c>
      <c r="K2678">
        <v>5</v>
      </c>
      <c r="L2678">
        <v>48</v>
      </c>
      <c r="M2678">
        <v>952</v>
      </c>
      <c r="N2678">
        <v>57</v>
      </c>
      <c r="O2678">
        <v>88</v>
      </c>
    </row>
    <row r="2679" spans="1:15" x14ac:dyDescent="0.25">
      <c r="A2679" t="s">
        <v>960</v>
      </c>
      <c r="B2679" t="s">
        <v>2080</v>
      </c>
      <c r="C2679" t="s">
        <v>927</v>
      </c>
      <c r="D2679" t="s">
        <v>3052</v>
      </c>
      <c r="E2679" t="s">
        <v>3053</v>
      </c>
      <c r="F2679" t="s">
        <v>433</v>
      </c>
      <c r="G2679" t="s">
        <v>434</v>
      </c>
      <c r="H2679" t="s">
        <v>4806</v>
      </c>
      <c r="I2679">
        <v>1</v>
      </c>
      <c r="J2679">
        <v>0</v>
      </c>
      <c r="K2679">
        <v>0</v>
      </c>
      <c r="L2679">
        <v>0</v>
      </c>
      <c r="M2679">
        <v>0</v>
      </c>
      <c r="N2679">
        <v>0</v>
      </c>
      <c r="O2679">
        <v>1</v>
      </c>
    </row>
    <row r="2680" spans="1:15" x14ac:dyDescent="0.25">
      <c r="A2680" t="s">
        <v>14374</v>
      </c>
      <c r="B2680" t="s">
        <v>1943</v>
      </c>
      <c r="C2680" t="s">
        <v>927</v>
      </c>
      <c r="D2680" t="s">
        <v>3052</v>
      </c>
      <c r="E2680" t="s">
        <v>3053</v>
      </c>
      <c r="F2680" t="s">
        <v>433</v>
      </c>
      <c r="G2680" t="s">
        <v>434</v>
      </c>
      <c r="H2680" t="s">
        <v>14695</v>
      </c>
      <c r="I2680">
        <v>32</v>
      </c>
      <c r="J2680">
        <v>0</v>
      </c>
      <c r="K2680">
        <v>0</v>
      </c>
      <c r="L2680">
        <v>0</v>
      </c>
      <c r="M2680">
        <v>0</v>
      </c>
      <c r="N2680">
        <v>0</v>
      </c>
      <c r="O2680">
        <v>32</v>
      </c>
    </row>
    <row r="2681" spans="1:15" x14ac:dyDescent="0.25">
      <c r="A2681" t="s">
        <v>962</v>
      </c>
      <c r="B2681" t="s">
        <v>2752</v>
      </c>
      <c r="C2681" t="s">
        <v>927</v>
      </c>
      <c r="D2681" t="s">
        <v>3052</v>
      </c>
      <c r="E2681" t="s">
        <v>3053</v>
      </c>
      <c r="F2681" t="s">
        <v>433</v>
      </c>
      <c r="G2681" t="s">
        <v>434</v>
      </c>
      <c r="H2681" t="s">
        <v>11998</v>
      </c>
      <c r="I2681">
        <v>47</v>
      </c>
      <c r="J2681">
        <v>35</v>
      </c>
      <c r="K2681">
        <v>0</v>
      </c>
      <c r="L2681">
        <v>0</v>
      </c>
      <c r="M2681">
        <v>0</v>
      </c>
      <c r="N2681">
        <v>0</v>
      </c>
      <c r="O2681">
        <v>12</v>
      </c>
    </row>
    <row r="2682" spans="1:15" x14ac:dyDescent="0.25">
      <c r="A2682" t="s">
        <v>1168</v>
      </c>
      <c r="B2682" t="s">
        <v>2712</v>
      </c>
      <c r="C2682" t="s">
        <v>927</v>
      </c>
      <c r="D2682" t="s">
        <v>3052</v>
      </c>
      <c r="E2682" t="s">
        <v>3053</v>
      </c>
      <c r="F2682" t="s">
        <v>433</v>
      </c>
      <c r="G2682" t="s">
        <v>434</v>
      </c>
      <c r="H2682" t="s">
        <v>4807</v>
      </c>
      <c r="I2682">
        <v>543</v>
      </c>
      <c r="J2682">
        <v>386</v>
      </c>
      <c r="K2682">
        <v>0</v>
      </c>
      <c r="L2682">
        <v>32</v>
      </c>
      <c r="M2682">
        <v>0</v>
      </c>
      <c r="N2682">
        <v>0</v>
      </c>
      <c r="O2682">
        <v>125</v>
      </c>
    </row>
    <row r="2683" spans="1:15" x14ac:dyDescent="0.25">
      <c r="A2683" t="s">
        <v>1172</v>
      </c>
      <c r="B2683" t="s">
        <v>3023</v>
      </c>
      <c r="C2683" t="s">
        <v>927</v>
      </c>
      <c r="D2683" t="s">
        <v>3052</v>
      </c>
      <c r="E2683" t="s">
        <v>3053</v>
      </c>
      <c r="F2683" t="s">
        <v>433</v>
      </c>
      <c r="G2683" t="s">
        <v>434</v>
      </c>
      <c r="H2683" t="s">
        <v>4808</v>
      </c>
      <c r="I2683">
        <v>74</v>
      </c>
      <c r="J2683">
        <v>38</v>
      </c>
      <c r="K2683">
        <v>0</v>
      </c>
      <c r="L2683">
        <v>0</v>
      </c>
      <c r="M2683">
        <v>0</v>
      </c>
      <c r="N2683">
        <v>0</v>
      </c>
      <c r="O2683">
        <v>36</v>
      </c>
    </row>
    <row r="2684" spans="1:15" x14ac:dyDescent="0.25">
      <c r="A2684" t="s">
        <v>1176</v>
      </c>
      <c r="B2684" t="s">
        <v>2952</v>
      </c>
      <c r="C2684" t="s">
        <v>923</v>
      </c>
      <c r="D2684" t="s">
        <v>3063</v>
      </c>
      <c r="E2684" t="s">
        <v>3053</v>
      </c>
      <c r="F2684" t="s">
        <v>433</v>
      </c>
      <c r="G2684" t="s">
        <v>434</v>
      </c>
      <c r="H2684" t="s">
        <v>4809</v>
      </c>
      <c r="I2684">
        <v>4</v>
      </c>
      <c r="J2684">
        <v>0</v>
      </c>
      <c r="K2684">
        <v>0</v>
      </c>
      <c r="L2684">
        <v>4</v>
      </c>
      <c r="M2684">
        <v>0</v>
      </c>
      <c r="N2684">
        <v>0</v>
      </c>
      <c r="O2684">
        <v>0</v>
      </c>
    </row>
    <row r="2685" spans="1:15" x14ac:dyDescent="0.25">
      <c r="A2685" t="s">
        <v>981</v>
      </c>
      <c r="B2685" t="s">
        <v>2985</v>
      </c>
      <c r="C2685" t="s">
        <v>927</v>
      </c>
      <c r="D2685" t="s">
        <v>3052</v>
      </c>
      <c r="E2685" t="s">
        <v>3053</v>
      </c>
      <c r="F2685" t="s">
        <v>433</v>
      </c>
      <c r="G2685" t="s">
        <v>434</v>
      </c>
      <c r="H2685" t="s">
        <v>4790</v>
      </c>
      <c r="I2685">
        <v>23</v>
      </c>
      <c r="J2685">
        <v>8</v>
      </c>
      <c r="K2685">
        <v>0</v>
      </c>
      <c r="L2685">
        <v>0</v>
      </c>
      <c r="M2685">
        <v>0</v>
      </c>
      <c r="N2685">
        <v>0</v>
      </c>
      <c r="O2685">
        <v>15</v>
      </c>
    </row>
    <row r="2686" spans="1:15" x14ac:dyDescent="0.25">
      <c r="A2686" t="s">
        <v>14398</v>
      </c>
      <c r="B2686" t="s">
        <v>2587</v>
      </c>
      <c r="C2686" t="s">
        <v>923</v>
      </c>
      <c r="D2686" t="s">
        <v>3063</v>
      </c>
      <c r="E2686" t="s">
        <v>3053</v>
      </c>
      <c r="F2686" t="s">
        <v>435</v>
      </c>
      <c r="G2686" t="s">
        <v>436</v>
      </c>
      <c r="H2686" t="s">
        <v>14696</v>
      </c>
      <c r="I2686">
        <v>29</v>
      </c>
      <c r="J2686">
        <v>0</v>
      </c>
      <c r="K2686">
        <v>0</v>
      </c>
      <c r="L2686">
        <v>29</v>
      </c>
      <c r="M2686">
        <v>0</v>
      </c>
      <c r="N2686">
        <v>0</v>
      </c>
      <c r="O2686">
        <v>0</v>
      </c>
    </row>
    <row r="2687" spans="1:15" x14ac:dyDescent="0.25">
      <c r="A2687" t="s">
        <v>10568</v>
      </c>
      <c r="B2687" t="s">
        <v>10567</v>
      </c>
      <c r="C2687" t="s">
        <v>927</v>
      </c>
      <c r="D2687" t="s">
        <v>3052</v>
      </c>
      <c r="E2687" t="s">
        <v>3053</v>
      </c>
      <c r="F2687" t="s">
        <v>435</v>
      </c>
      <c r="G2687" t="s">
        <v>436</v>
      </c>
      <c r="H2687" t="s">
        <v>10999</v>
      </c>
      <c r="I2687">
        <v>176</v>
      </c>
      <c r="J2687">
        <v>125</v>
      </c>
      <c r="K2687">
        <v>0</v>
      </c>
      <c r="L2687">
        <v>0</v>
      </c>
      <c r="M2687">
        <v>0</v>
      </c>
      <c r="N2687">
        <v>0</v>
      </c>
      <c r="O2687">
        <v>51</v>
      </c>
    </row>
    <row r="2688" spans="1:15" x14ac:dyDescent="0.25">
      <c r="A2688" t="s">
        <v>926</v>
      </c>
      <c r="B2688" t="s">
        <v>2923</v>
      </c>
      <c r="C2688" t="s">
        <v>927</v>
      </c>
      <c r="D2688" t="s">
        <v>3052</v>
      </c>
      <c r="E2688" t="s">
        <v>3053</v>
      </c>
      <c r="F2688" t="s">
        <v>435</v>
      </c>
      <c r="G2688" t="s">
        <v>436</v>
      </c>
      <c r="H2688" t="s">
        <v>4810</v>
      </c>
      <c r="I2688">
        <v>2</v>
      </c>
      <c r="J2688">
        <v>0</v>
      </c>
      <c r="K2688">
        <v>0</v>
      </c>
      <c r="L2688">
        <v>0</v>
      </c>
      <c r="M2688">
        <v>0</v>
      </c>
      <c r="N2688">
        <v>0</v>
      </c>
      <c r="O2688">
        <v>2</v>
      </c>
    </row>
    <row r="2689" spans="1:15" x14ac:dyDescent="0.25">
      <c r="A2689" t="s">
        <v>1575</v>
      </c>
      <c r="B2689" t="s">
        <v>2112</v>
      </c>
      <c r="C2689" t="s">
        <v>927</v>
      </c>
      <c r="D2689" t="s">
        <v>3052</v>
      </c>
      <c r="E2689" t="s">
        <v>3053</v>
      </c>
      <c r="F2689" t="s">
        <v>435</v>
      </c>
      <c r="G2689" t="s">
        <v>436</v>
      </c>
      <c r="H2689" t="s">
        <v>11999</v>
      </c>
      <c r="I2689">
        <v>45</v>
      </c>
      <c r="J2689">
        <v>2</v>
      </c>
      <c r="K2689">
        <v>0</v>
      </c>
      <c r="L2689">
        <v>0</v>
      </c>
      <c r="M2689">
        <v>0</v>
      </c>
      <c r="N2689">
        <v>0</v>
      </c>
      <c r="O2689">
        <v>43</v>
      </c>
    </row>
    <row r="2690" spans="1:15" x14ac:dyDescent="0.25">
      <c r="A2690" t="s">
        <v>931</v>
      </c>
      <c r="B2690" t="s">
        <v>1978</v>
      </c>
      <c r="C2690" t="s">
        <v>927</v>
      </c>
      <c r="D2690" t="s">
        <v>3052</v>
      </c>
      <c r="E2690" t="s">
        <v>3053</v>
      </c>
      <c r="F2690" t="s">
        <v>435</v>
      </c>
      <c r="G2690" t="s">
        <v>436</v>
      </c>
      <c r="H2690" t="s">
        <v>4811</v>
      </c>
      <c r="I2690">
        <v>53</v>
      </c>
      <c r="J2690">
        <v>32</v>
      </c>
      <c r="K2690">
        <v>0</v>
      </c>
      <c r="L2690">
        <v>0</v>
      </c>
      <c r="M2690">
        <v>0</v>
      </c>
      <c r="N2690">
        <v>0</v>
      </c>
      <c r="O2690">
        <v>21</v>
      </c>
    </row>
    <row r="2691" spans="1:15" x14ac:dyDescent="0.25">
      <c r="A2691" t="s">
        <v>1704</v>
      </c>
      <c r="B2691" t="s">
        <v>2059</v>
      </c>
      <c r="C2691" t="s">
        <v>923</v>
      </c>
      <c r="D2691" t="s">
        <v>3063</v>
      </c>
      <c r="E2691" t="s">
        <v>3053</v>
      </c>
      <c r="F2691" t="s">
        <v>435</v>
      </c>
      <c r="G2691" t="s">
        <v>436</v>
      </c>
      <c r="H2691" t="s">
        <v>4812</v>
      </c>
      <c r="I2691">
        <v>7</v>
      </c>
      <c r="J2691">
        <v>7</v>
      </c>
      <c r="K2691">
        <v>0</v>
      </c>
      <c r="L2691">
        <v>0</v>
      </c>
      <c r="M2691">
        <v>0</v>
      </c>
      <c r="N2691">
        <v>0</v>
      </c>
      <c r="O2691">
        <v>0</v>
      </c>
    </row>
    <row r="2692" spans="1:15" x14ac:dyDescent="0.25">
      <c r="A2692" t="s">
        <v>9784</v>
      </c>
      <c r="B2692" t="s">
        <v>1994</v>
      </c>
      <c r="C2692" t="s">
        <v>927</v>
      </c>
      <c r="D2692" t="s">
        <v>3052</v>
      </c>
      <c r="E2692" t="s">
        <v>3053</v>
      </c>
      <c r="F2692" t="s">
        <v>435</v>
      </c>
      <c r="G2692" t="s">
        <v>436</v>
      </c>
      <c r="H2692" t="s">
        <v>9936</v>
      </c>
      <c r="I2692">
        <v>22</v>
      </c>
      <c r="J2692">
        <v>0</v>
      </c>
      <c r="K2692">
        <v>0</v>
      </c>
      <c r="L2692">
        <v>22</v>
      </c>
      <c r="M2692">
        <v>0</v>
      </c>
      <c r="N2692">
        <v>12</v>
      </c>
      <c r="O2692">
        <v>0</v>
      </c>
    </row>
    <row r="2693" spans="1:15" x14ac:dyDescent="0.25">
      <c r="A2693" t="s">
        <v>1720</v>
      </c>
      <c r="B2693" t="s">
        <v>2655</v>
      </c>
      <c r="C2693" t="s">
        <v>927</v>
      </c>
      <c r="D2693" t="s">
        <v>3052</v>
      </c>
      <c r="E2693" t="s">
        <v>3053</v>
      </c>
      <c r="F2693" t="s">
        <v>435</v>
      </c>
      <c r="G2693" t="s">
        <v>436</v>
      </c>
      <c r="H2693" t="s">
        <v>4813</v>
      </c>
      <c r="I2693">
        <v>76</v>
      </c>
      <c r="J2693">
        <v>55</v>
      </c>
      <c r="K2693">
        <v>0</v>
      </c>
      <c r="L2693">
        <v>0</v>
      </c>
      <c r="M2693">
        <v>0</v>
      </c>
      <c r="N2693">
        <v>0</v>
      </c>
      <c r="O2693">
        <v>21</v>
      </c>
    </row>
    <row r="2694" spans="1:15" x14ac:dyDescent="0.25">
      <c r="A2694" t="s">
        <v>998</v>
      </c>
      <c r="B2694" t="s">
        <v>2820</v>
      </c>
      <c r="C2694" t="s">
        <v>927</v>
      </c>
      <c r="D2694" t="s">
        <v>3052</v>
      </c>
      <c r="E2694" t="s">
        <v>3053</v>
      </c>
      <c r="F2694" t="s">
        <v>435</v>
      </c>
      <c r="G2694" t="s">
        <v>436</v>
      </c>
      <c r="H2694" t="s">
        <v>4814</v>
      </c>
      <c r="I2694">
        <v>10</v>
      </c>
      <c r="J2694">
        <v>6</v>
      </c>
      <c r="K2694">
        <v>0</v>
      </c>
      <c r="L2694">
        <v>0</v>
      </c>
      <c r="M2694">
        <v>0</v>
      </c>
      <c r="N2694">
        <v>0</v>
      </c>
      <c r="O2694">
        <v>4</v>
      </c>
    </row>
    <row r="2695" spans="1:15" x14ac:dyDescent="0.25">
      <c r="A2695" t="s">
        <v>1416</v>
      </c>
      <c r="B2695" t="s">
        <v>2029</v>
      </c>
      <c r="C2695" t="s">
        <v>923</v>
      </c>
      <c r="D2695" t="s">
        <v>3063</v>
      </c>
      <c r="E2695" t="s">
        <v>3053</v>
      </c>
      <c r="F2695" t="s">
        <v>435</v>
      </c>
      <c r="G2695" t="s">
        <v>436</v>
      </c>
      <c r="H2695" t="s">
        <v>12000</v>
      </c>
      <c r="I2695">
        <v>3</v>
      </c>
      <c r="J2695">
        <v>0</v>
      </c>
      <c r="K2695">
        <v>0</v>
      </c>
      <c r="L2695">
        <v>3</v>
      </c>
      <c r="M2695">
        <v>0</v>
      </c>
      <c r="N2695">
        <v>0</v>
      </c>
      <c r="O2695">
        <v>0</v>
      </c>
    </row>
    <row r="2696" spans="1:15" x14ac:dyDescent="0.25">
      <c r="A2696" t="s">
        <v>10638</v>
      </c>
      <c r="B2696" t="s">
        <v>2057</v>
      </c>
      <c r="C2696" t="s">
        <v>927</v>
      </c>
      <c r="D2696" t="s">
        <v>3052</v>
      </c>
      <c r="E2696" t="s">
        <v>3053</v>
      </c>
      <c r="F2696" t="s">
        <v>435</v>
      </c>
      <c r="G2696" t="s">
        <v>436</v>
      </c>
      <c r="H2696" t="s">
        <v>11000</v>
      </c>
      <c r="I2696">
        <v>13</v>
      </c>
      <c r="J2696">
        <v>0</v>
      </c>
      <c r="K2696">
        <v>0</v>
      </c>
      <c r="L2696">
        <v>13</v>
      </c>
      <c r="M2696">
        <v>0</v>
      </c>
      <c r="N2696">
        <v>0</v>
      </c>
      <c r="O2696">
        <v>0</v>
      </c>
    </row>
    <row r="2697" spans="1:15" x14ac:dyDescent="0.25">
      <c r="A2697" t="s">
        <v>1010</v>
      </c>
      <c r="B2697" t="s">
        <v>2639</v>
      </c>
      <c r="C2697" t="s">
        <v>927</v>
      </c>
      <c r="D2697" t="s">
        <v>3052</v>
      </c>
      <c r="E2697" t="s">
        <v>3053</v>
      </c>
      <c r="F2697" t="s">
        <v>435</v>
      </c>
      <c r="G2697" t="s">
        <v>436</v>
      </c>
      <c r="H2697" t="s">
        <v>4815</v>
      </c>
      <c r="I2697">
        <v>140</v>
      </c>
      <c r="J2697">
        <v>124</v>
      </c>
      <c r="K2697">
        <v>0</v>
      </c>
      <c r="L2697">
        <v>0</v>
      </c>
      <c r="M2697">
        <v>0</v>
      </c>
      <c r="N2697">
        <v>1</v>
      </c>
      <c r="O2697">
        <v>16</v>
      </c>
    </row>
    <row r="2698" spans="1:15" x14ac:dyDescent="0.25">
      <c r="A2698" t="s">
        <v>937</v>
      </c>
      <c r="B2698" t="s">
        <v>1962</v>
      </c>
      <c r="C2698" t="s">
        <v>927</v>
      </c>
      <c r="D2698" t="s">
        <v>3052</v>
      </c>
      <c r="E2698" t="s">
        <v>3053</v>
      </c>
      <c r="F2698" t="s">
        <v>435</v>
      </c>
      <c r="G2698" t="s">
        <v>436</v>
      </c>
      <c r="H2698" t="s">
        <v>4816</v>
      </c>
      <c r="I2698">
        <v>67</v>
      </c>
      <c r="J2698">
        <v>0</v>
      </c>
      <c r="K2698">
        <v>0</v>
      </c>
      <c r="L2698">
        <v>0</v>
      </c>
      <c r="M2698">
        <v>0</v>
      </c>
      <c r="N2698">
        <v>0</v>
      </c>
      <c r="O2698">
        <v>67</v>
      </c>
    </row>
    <row r="2699" spans="1:15" x14ac:dyDescent="0.25">
      <c r="A2699" t="s">
        <v>940</v>
      </c>
      <c r="B2699" t="s">
        <v>2647</v>
      </c>
      <c r="C2699" t="s">
        <v>927</v>
      </c>
      <c r="D2699" t="s">
        <v>3052</v>
      </c>
      <c r="E2699" t="s">
        <v>3053</v>
      </c>
      <c r="F2699" t="s">
        <v>435</v>
      </c>
      <c r="G2699" t="s">
        <v>436</v>
      </c>
      <c r="H2699" t="s">
        <v>4817</v>
      </c>
      <c r="I2699">
        <v>87</v>
      </c>
      <c r="J2699">
        <v>0</v>
      </c>
      <c r="K2699">
        <v>0</v>
      </c>
      <c r="L2699">
        <v>0</v>
      </c>
      <c r="M2699">
        <v>87</v>
      </c>
      <c r="N2699">
        <v>0</v>
      </c>
      <c r="O2699">
        <v>0</v>
      </c>
    </row>
    <row r="2700" spans="1:15" x14ac:dyDescent="0.25">
      <c r="A2700" t="s">
        <v>1013</v>
      </c>
      <c r="B2700" t="s">
        <v>1959</v>
      </c>
      <c r="C2700" t="s">
        <v>927</v>
      </c>
      <c r="D2700" t="s">
        <v>3052</v>
      </c>
      <c r="E2700" t="s">
        <v>3053</v>
      </c>
      <c r="F2700" t="s">
        <v>435</v>
      </c>
      <c r="G2700" t="s">
        <v>436</v>
      </c>
      <c r="H2700" t="s">
        <v>4818</v>
      </c>
      <c r="I2700">
        <v>4</v>
      </c>
      <c r="J2700">
        <v>0</v>
      </c>
      <c r="K2700">
        <v>0</v>
      </c>
      <c r="L2700">
        <v>4</v>
      </c>
      <c r="M2700">
        <v>0</v>
      </c>
      <c r="N2700">
        <v>0</v>
      </c>
      <c r="O2700">
        <v>0</v>
      </c>
    </row>
    <row r="2701" spans="1:15" x14ac:dyDescent="0.25">
      <c r="A2701" t="s">
        <v>942</v>
      </c>
      <c r="B2701" t="s">
        <v>2113</v>
      </c>
      <c r="C2701" t="s">
        <v>927</v>
      </c>
      <c r="D2701" t="s">
        <v>3052</v>
      </c>
      <c r="E2701" t="s">
        <v>3053</v>
      </c>
      <c r="F2701" t="s">
        <v>435</v>
      </c>
      <c r="G2701" t="s">
        <v>436</v>
      </c>
      <c r="H2701" t="s">
        <v>4819</v>
      </c>
      <c r="I2701">
        <v>1914</v>
      </c>
      <c r="J2701">
        <v>1394</v>
      </c>
      <c r="K2701">
        <v>0</v>
      </c>
      <c r="L2701">
        <v>18</v>
      </c>
      <c r="M2701">
        <v>0</v>
      </c>
      <c r="N2701">
        <v>0</v>
      </c>
      <c r="O2701">
        <v>502</v>
      </c>
    </row>
    <row r="2702" spans="1:15" x14ac:dyDescent="0.25">
      <c r="A2702" t="s">
        <v>1302</v>
      </c>
      <c r="B2702" t="s">
        <v>1961</v>
      </c>
      <c r="C2702" t="s">
        <v>923</v>
      </c>
      <c r="D2702" t="s">
        <v>3063</v>
      </c>
      <c r="E2702" t="s">
        <v>3053</v>
      </c>
      <c r="F2702" t="s">
        <v>435</v>
      </c>
      <c r="G2702" t="s">
        <v>436</v>
      </c>
      <c r="H2702" t="s">
        <v>14697</v>
      </c>
      <c r="I2702">
        <v>4</v>
      </c>
      <c r="J2702">
        <v>0</v>
      </c>
      <c r="K2702">
        <v>0</v>
      </c>
      <c r="L2702">
        <v>4</v>
      </c>
      <c r="M2702">
        <v>0</v>
      </c>
      <c r="N2702">
        <v>0</v>
      </c>
      <c r="O2702">
        <v>0</v>
      </c>
    </row>
    <row r="2703" spans="1:15" x14ac:dyDescent="0.25">
      <c r="A2703" t="s">
        <v>1051</v>
      </c>
      <c r="B2703" t="s">
        <v>2995</v>
      </c>
      <c r="C2703" t="s">
        <v>927</v>
      </c>
      <c r="D2703" t="s">
        <v>3052</v>
      </c>
      <c r="E2703" t="s">
        <v>3053</v>
      </c>
      <c r="F2703" t="s">
        <v>435</v>
      </c>
      <c r="G2703" t="s">
        <v>436</v>
      </c>
      <c r="H2703" t="s">
        <v>4820</v>
      </c>
      <c r="I2703">
        <v>14</v>
      </c>
      <c r="J2703">
        <v>0</v>
      </c>
      <c r="K2703">
        <v>0</v>
      </c>
      <c r="L2703">
        <v>14</v>
      </c>
      <c r="M2703">
        <v>0</v>
      </c>
      <c r="N2703">
        <v>0</v>
      </c>
      <c r="O2703">
        <v>0</v>
      </c>
    </row>
    <row r="2704" spans="1:15" x14ac:dyDescent="0.25">
      <c r="A2704" t="s">
        <v>11720</v>
      </c>
      <c r="B2704" t="s">
        <v>10718</v>
      </c>
      <c r="C2704" t="s">
        <v>927</v>
      </c>
      <c r="D2704" t="s">
        <v>3052</v>
      </c>
      <c r="E2704" t="s">
        <v>3053</v>
      </c>
      <c r="F2704" t="s">
        <v>435</v>
      </c>
      <c r="G2704" t="s">
        <v>436</v>
      </c>
      <c r="H2704" t="s">
        <v>14698</v>
      </c>
      <c r="I2704">
        <v>1</v>
      </c>
      <c r="J2704">
        <v>0</v>
      </c>
      <c r="K2704">
        <v>0</v>
      </c>
      <c r="L2704">
        <v>0</v>
      </c>
      <c r="M2704">
        <v>0</v>
      </c>
      <c r="N2704">
        <v>0</v>
      </c>
      <c r="O2704">
        <v>1</v>
      </c>
    </row>
    <row r="2705" spans="1:15" x14ac:dyDescent="0.25">
      <c r="A2705" t="s">
        <v>1056</v>
      </c>
      <c r="B2705" t="s">
        <v>2966</v>
      </c>
      <c r="C2705" t="s">
        <v>927</v>
      </c>
      <c r="D2705" t="s">
        <v>3052</v>
      </c>
      <c r="E2705" t="s">
        <v>3053</v>
      </c>
      <c r="F2705" t="s">
        <v>435</v>
      </c>
      <c r="G2705" t="s">
        <v>436</v>
      </c>
      <c r="H2705" t="s">
        <v>4821</v>
      </c>
      <c r="I2705">
        <v>24</v>
      </c>
      <c r="J2705">
        <v>0</v>
      </c>
      <c r="K2705">
        <v>0</v>
      </c>
      <c r="L2705">
        <v>24</v>
      </c>
      <c r="M2705">
        <v>0</v>
      </c>
      <c r="N2705">
        <v>7</v>
      </c>
      <c r="O2705">
        <v>0</v>
      </c>
    </row>
    <row r="2706" spans="1:15" x14ac:dyDescent="0.25">
      <c r="A2706" t="s">
        <v>1057</v>
      </c>
      <c r="B2706" t="s">
        <v>1972</v>
      </c>
      <c r="C2706" t="s">
        <v>927</v>
      </c>
      <c r="D2706" t="s">
        <v>3052</v>
      </c>
      <c r="E2706" t="s">
        <v>3053</v>
      </c>
      <c r="F2706" t="s">
        <v>435</v>
      </c>
      <c r="G2706" t="s">
        <v>436</v>
      </c>
      <c r="H2706" t="s">
        <v>4822</v>
      </c>
      <c r="I2706">
        <v>10</v>
      </c>
      <c r="J2706">
        <v>10</v>
      </c>
      <c r="K2706">
        <v>0</v>
      </c>
      <c r="L2706">
        <v>0</v>
      </c>
      <c r="M2706">
        <v>0</v>
      </c>
      <c r="N2706">
        <v>0</v>
      </c>
      <c r="O2706">
        <v>0</v>
      </c>
    </row>
    <row r="2707" spans="1:15" x14ac:dyDescent="0.25">
      <c r="A2707" t="s">
        <v>955</v>
      </c>
      <c r="B2707" t="s">
        <v>2660</v>
      </c>
      <c r="C2707" t="s">
        <v>927</v>
      </c>
      <c r="D2707" t="s">
        <v>3052</v>
      </c>
      <c r="E2707" t="s">
        <v>3053</v>
      </c>
      <c r="F2707" t="s">
        <v>435</v>
      </c>
      <c r="G2707" t="s">
        <v>436</v>
      </c>
      <c r="H2707" t="s">
        <v>4823</v>
      </c>
      <c r="I2707">
        <v>146</v>
      </c>
      <c r="J2707">
        <v>146</v>
      </c>
      <c r="K2707">
        <v>0</v>
      </c>
      <c r="L2707">
        <v>0</v>
      </c>
      <c r="M2707">
        <v>0</v>
      </c>
      <c r="N2707">
        <v>0</v>
      </c>
      <c r="O2707">
        <v>0</v>
      </c>
    </row>
    <row r="2708" spans="1:15" x14ac:dyDescent="0.25">
      <c r="A2708" t="s">
        <v>14401</v>
      </c>
      <c r="B2708" t="s">
        <v>2539</v>
      </c>
      <c r="C2708" t="s">
        <v>923</v>
      </c>
      <c r="D2708" t="s">
        <v>3063</v>
      </c>
      <c r="E2708" t="s">
        <v>3053</v>
      </c>
      <c r="F2708" t="s">
        <v>435</v>
      </c>
      <c r="G2708" t="s">
        <v>436</v>
      </c>
      <c r="H2708" t="s">
        <v>14699</v>
      </c>
      <c r="I2708">
        <v>32</v>
      </c>
      <c r="J2708">
        <v>0</v>
      </c>
      <c r="K2708">
        <v>0</v>
      </c>
      <c r="L2708">
        <v>0</v>
      </c>
      <c r="M2708">
        <v>32</v>
      </c>
      <c r="N2708">
        <v>0</v>
      </c>
      <c r="O2708">
        <v>0</v>
      </c>
    </row>
    <row r="2709" spans="1:15" x14ac:dyDescent="0.25">
      <c r="A2709" t="s">
        <v>960</v>
      </c>
      <c r="B2709" t="s">
        <v>2080</v>
      </c>
      <c r="C2709" t="s">
        <v>927</v>
      </c>
      <c r="D2709" t="s">
        <v>3052</v>
      </c>
      <c r="E2709" t="s">
        <v>3053</v>
      </c>
      <c r="F2709" t="s">
        <v>435</v>
      </c>
      <c r="G2709" t="s">
        <v>436</v>
      </c>
      <c r="H2709" t="s">
        <v>4824</v>
      </c>
      <c r="I2709">
        <v>689</v>
      </c>
      <c r="J2709">
        <v>481</v>
      </c>
      <c r="K2709">
        <v>0</v>
      </c>
      <c r="L2709">
        <v>35</v>
      </c>
      <c r="M2709">
        <v>0</v>
      </c>
      <c r="N2709">
        <v>0</v>
      </c>
      <c r="O2709">
        <v>173</v>
      </c>
    </row>
    <row r="2710" spans="1:15" x14ac:dyDescent="0.25">
      <c r="A2710" t="s">
        <v>962</v>
      </c>
      <c r="B2710" t="s">
        <v>2752</v>
      </c>
      <c r="C2710" t="s">
        <v>927</v>
      </c>
      <c r="D2710" t="s">
        <v>3052</v>
      </c>
      <c r="E2710" t="s">
        <v>3053</v>
      </c>
      <c r="F2710" t="s">
        <v>435</v>
      </c>
      <c r="G2710" t="s">
        <v>436</v>
      </c>
      <c r="H2710" t="s">
        <v>4825</v>
      </c>
      <c r="I2710">
        <v>64</v>
      </c>
      <c r="J2710">
        <v>56</v>
      </c>
      <c r="K2710">
        <v>0</v>
      </c>
      <c r="L2710">
        <v>0</v>
      </c>
      <c r="M2710">
        <v>0</v>
      </c>
      <c r="N2710">
        <v>0</v>
      </c>
      <c r="O2710">
        <v>8</v>
      </c>
    </row>
    <row r="2711" spans="1:15" x14ac:dyDescent="0.25">
      <c r="A2711" t="s">
        <v>964</v>
      </c>
      <c r="B2711" t="s">
        <v>1969</v>
      </c>
      <c r="C2711" t="s">
        <v>927</v>
      </c>
      <c r="D2711" t="s">
        <v>3052</v>
      </c>
      <c r="E2711" t="s">
        <v>3053</v>
      </c>
      <c r="F2711" t="s">
        <v>435</v>
      </c>
      <c r="G2711" t="s">
        <v>436</v>
      </c>
      <c r="H2711" t="s">
        <v>4826</v>
      </c>
      <c r="I2711">
        <v>149</v>
      </c>
      <c r="J2711">
        <v>107</v>
      </c>
      <c r="K2711">
        <v>0</v>
      </c>
      <c r="L2711">
        <v>0</v>
      </c>
      <c r="M2711">
        <v>0</v>
      </c>
      <c r="N2711">
        <v>0</v>
      </c>
      <c r="O2711">
        <v>42</v>
      </c>
    </row>
    <row r="2712" spans="1:15" x14ac:dyDescent="0.25">
      <c r="A2712" t="s">
        <v>1770</v>
      </c>
      <c r="B2712" t="s">
        <v>3030</v>
      </c>
      <c r="C2712" t="s">
        <v>927</v>
      </c>
      <c r="D2712" t="s">
        <v>3052</v>
      </c>
      <c r="E2712" t="s">
        <v>3053</v>
      </c>
      <c r="F2712" t="s">
        <v>435</v>
      </c>
      <c r="G2712" t="s">
        <v>436</v>
      </c>
      <c r="H2712" t="s">
        <v>11001</v>
      </c>
      <c r="I2712">
        <v>73</v>
      </c>
      <c r="J2712">
        <v>50</v>
      </c>
      <c r="K2712">
        <v>0</v>
      </c>
      <c r="L2712">
        <v>0</v>
      </c>
      <c r="M2712">
        <v>0</v>
      </c>
      <c r="N2712">
        <v>0</v>
      </c>
      <c r="O2712">
        <v>23</v>
      </c>
    </row>
    <row r="2713" spans="1:15" x14ac:dyDescent="0.25">
      <c r="A2713" t="s">
        <v>1780</v>
      </c>
      <c r="B2713" t="s">
        <v>2256</v>
      </c>
      <c r="C2713" t="s">
        <v>923</v>
      </c>
      <c r="D2713" t="s">
        <v>3063</v>
      </c>
      <c r="E2713" t="s">
        <v>3053</v>
      </c>
      <c r="F2713" t="s">
        <v>435</v>
      </c>
      <c r="G2713" t="s">
        <v>436</v>
      </c>
      <c r="H2713" t="s">
        <v>4827</v>
      </c>
      <c r="I2713">
        <v>2</v>
      </c>
      <c r="J2713">
        <v>2</v>
      </c>
      <c r="K2713">
        <v>0</v>
      </c>
      <c r="L2713">
        <v>0</v>
      </c>
      <c r="M2713">
        <v>0</v>
      </c>
      <c r="N2713">
        <v>0</v>
      </c>
      <c r="O2713">
        <v>0</v>
      </c>
    </row>
    <row r="2714" spans="1:15" x14ac:dyDescent="0.25">
      <c r="A2714" t="s">
        <v>1069</v>
      </c>
      <c r="B2714" t="s">
        <v>2001</v>
      </c>
      <c r="C2714" t="s">
        <v>927</v>
      </c>
      <c r="D2714" t="s">
        <v>3052</v>
      </c>
      <c r="E2714" t="s">
        <v>3053</v>
      </c>
      <c r="F2714" t="s">
        <v>435</v>
      </c>
      <c r="G2714" t="s">
        <v>436</v>
      </c>
      <c r="H2714" t="s">
        <v>4828</v>
      </c>
      <c r="I2714">
        <v>214</v>
      </c>
      <c r="J2714">
        <v>161</v>
      </c>
      <c r="K2714">
        <v>0</v>
      </c>
      <c r="L2714">
        <v>20</v>
      </c>
      <c r="M2714">
        <v>2</v>
      </c>
      <c r="N2714">
        <v>0</v>
      </c>
      <c r="O2714">
        <v>31</v>
      </c>
    </row>
    <row r="2715" spans="1:15" x14ac:dyDescent="0.25">
      <c r="A2715" t="s">
        <v>1078</v>
      </c>
      <c r="B2715" t="s">
        <v>1950</v>
      </c>
      <c r="C2715" t="s">
        <v>923</v>
      </c>
      <c r="D2715" t="s">
        <v>3063</v>
      </c>
      <c r="E2715" t="s">
        <v>3053</v>
      </c>
      <c r="F2715" t="s">
        <v>435</v>
      </c>
      <c r="G2715" t="s">
        <v>436</v>
      </c>
      <c r="H2715" t="s">
        <v>4829</v>
      </c>
      <c r="I2715">
        <v>4</v>
      </c>
      <c r="J2715">
        <v>0</v>
      </c>
      <c r="K2715">
        <v>0</v>
      </c>
      <c r="L2715">
        <v>4</v>
      </c>
      <c r="M2715">
        <v>0</v>
      </c>
      <c r="N2715">
        <v>0</v>
      </c>
      <c r="O2715">
        <v>0</v>
      </c>
    </row>
    <row r="2716" spans="1:15" x14ac:dyDescent="0.25">
      <c r="A2716" t="s">
        <v>1793</v>
      </c>
      <c r="B2716" t="s">
        <v>2075</v>
      </c>
      <c r="C2716" t="s">
        <v>927</v>
      </c>
      <c r="D2716" t="s">
        <v>3052</v>
      </c>
      <c r="E2716" t="s">
        <v>3053</v>
      </c>
      <c r="F2716" t="s">
        <v>435</v>
      </c>
      <c r="G2716" t="s">
        <v>436</v>
      </c>
      <c r="H2716" t="s">
        <v>4830</v>
      </c>
      <c r="I2716">
        <v>71</v>
      </c>
      <c r="J2716">
        <v>24</v>
      </c>
      <c r="K2716">
        <v>0</v>
      </c>
      <c r="L2716">
        <v>23</v>
      </c>
      <c r="M2716">
        <v>0</v>
      </c>
      <c r="N2716">
        <v>0</v>
      </c>
      <c r="O2716">
        <v>24</v>
      </c>
    </row>
    <row r="2717" spans="1:15" x14ac:dyDescent="0.25">
      <c r="A2717" t="s">
        <v>11715</v>
      </c>
      <c r="B2717" t="s">
        <v>2784</v>
      </c>
      <c r="C2717" t="s">
        <v>927</v>
      </c>
      <c r="D2717" t="s">
        <v>3052</v>
      </c>
      <c r="E2717" t="s">
        <v>3053</v>
      </c>
      <c r="F2717" t="s">
        <v>435</v>
      </c>
      <c r="G2717" t="s">
        <v>436</v>
      </c>
      <c r="H2717" t="s">
        <v>14700</v>
      </c>
      <c r="I2717">
        <v>5</v>
      </c>
      <c r="J2717">
        <v>5</v>
      </c>
      <c r="K2717">
        <v>0</v>
      </c>
      <c r="L2717">
        <v>0</v>
      </c>
      <c r="M2717">
        <v>0</v>
      </c>
      <c r="N2717">
        <v>0</v>
      </c>
      <c r="O2717">
        <v>0</v>
      </c>
    </row>
    <row r="2718" spans="1:15" x14ac:dyDescent="0.25">
      <c r="A2718" t="s">
        <v>1564</v>
      </c>
      <c r="B2718" t="s">
        <v>3039</v>
      </c>
      <c r="C2718" t="s">
        <v>927</v>
      </c>
      <c r="D2718" t="s">
        <v>3052</v>
      </c>
      <c r="E2718" t="s">
        <v>3053</v>
      </c>
      <c r="F2718" t="s">
        <v>437</v>
      </c>
      <c r="G2718" t="s">
        <v>438</v>
      </c>
      <c r="H2718" t="s">
        <v>12001</v>
      </c>
      <c r="I2718">
        <v>4</v>
      </c>
      <c r="J2718">
        <v>0</v>
      </c>
      <c r="K2718">
        <v>0</v>
      </c>
      <c r="L2718">
        <v>0</v>
      </c>
      <c r="M2718">
        <v>0</v>
      </c>
      <c r="N2718">
        <v>0</v>
      </c>
      <c r="O2718">
        <v>4</v>
      </c>
    </row>
    <row r="2719" spans="1:15" x14ac:dyDescent="0.25">
      <c r="A2719" t="s">
        <v>1196</v>
      </c>
      <c r="B2719" t="s">
        <v>3004</v>
      </c>
      <c r="C2719" t="s">
        <v>927</v>
      </c>
      <c r="D2719" t="s">
        <v>3052</v>
      </c>
      <c r="E2719" t="s">
        <v>3053</v>
      </c>
      <c r="F2719" t="s">
        <v>437</v>
      </c>
      <c r="G2719" t="s">
        <v>438</v>
      </c>
      <c r="H2719" t="s">
        <v>4831</v>
      </c>
      <c r="I2719">
        <v>77</v>
      </c>
      <c r="J2719">
        <v>47</v>
      </c>
      <c r="K2719">
        <v>0</v>
      </c>
      <c r="L2719">
        <v>15</v>
      </c>
      <c r="M2719">
        <v>0</v>
      </c>
      <c r="N2719">
        <v>0</v>
      </c>
      <c r="O2719">
        <v>15</v>
      </c>
    </row>
    <row r="2720" spans="1:15" x14ac:dyDescent="0.25">
      <c r="A2720" t="s">
        <v>924</v>
      </c>
      <c r="B2720" t="s">
        <v>2963</v>
      </c>
      <c r="C2720" t="s">
        <v>923</v>
      </c>
      <c r="D2720" t="s">
        <v>3063</v>
      </c>
      <c r="E2720" t="s">
        <v>3053</v>
      </c>
      <c r="F2720" t="s">
        <v>437</v>
      </c>
      <c r="G2720" t="s">
        <v>438</v>
      </c>
      <c r="H2720" t="s">
        <v>4832</v>
      </c>
      <c r="I2720">
        <v>18</v>
      </c>
      <c r="J2720">
        <v>10</v>
      </c>
      <c r="K2720">
        <v>0</v>
      </c>
      <c r="L2720">
        <v>8</v>
      </c>
      <c r="M2720">
        <v>0</v>
      </c>
      <c r="N2720">
        <v>0</v>
      </c>
      <c r="O2720">
        <v>0</v>
      </c>
    </row>
    <row r="2721" spans="1:15" x14ac:dyDescent="0.25">
      <c r="A2721" t="s">
        <v>10568</v>
      </c>
      <c r="B2721" t="s">
        <v>10567</v>
      </c>
      <c r="C2721" t="s">
        <v>927</v>
      </c>
      <c r="D2721" t="s">
        <v>3052</v>
      </c>
      <c r="E2721" t="s">
        <v>3053</v>
      </c>
      <c r="F2721" t="s">
        <v>437</v>
      </c>
      <c r="G2721" t="s">
        <v>438</v>
      </c>
      <c r="H2721" t="s">
        <v>11002</v>
      </c>
      <c r="I2721">
        <v>4928</v>
      </c>
      <c r="J2721">
        <v>4157</v>
      </c>
      <c r="K2721">
        <v>0</v>
      </c>
      <c r="L2721">
        <v>1</v>
      </c>
      <c r="M2721">
        <v>614</v>
      </c>
      <c r="N2721">
        <v>0</v>
      </c>
      <c r="O2721">
        <v>156</v>
      </c>
    </row>
    <row r="2722" spans="1:15" x14ac:dyDescent="0.25">
      <c r="A2722" t="s">
        <v>926</v>
      </c>
      <c r="B2722" t="s">
        <v>2923</v>
      </c>
      <c r="C2722" t="s">
        <v>927</v>
      </c>
      <c r="D2722" t="s">
        <v>3052</v>
      </c>
      <c r="E2722" t="s">
        <v>3053</v>
      </c>
      <c r="F2722" t="s">
        <v>437</v>
      </c>
      <c r="G2722" t="s">
        <v>438</v>
      </c>
      <c r="H2722" t="s">
        <v>4833</v>
      </c>
      <c r="I2722">
        <v>8</v>
      </c>
      <c r="J2722">
        <v>0</v>
      </c>
      <c r="K2722">
        <v>0</v>
      </c>
      <c r="L2722">
        <v>3</v>
      </c>
      <c r="M2722">
        <v>0</v>
      </c>
      <c r="N2722">
        <v>0</v>
      </c>
      <c r="O2722">
        <v>5</v>
      </c>
    </row>
    <row r="2723" spans="1:15" x14ac:dyDescent="0.25">
      <c r="A2723" t="s">
        <v>929</v>
      </c>
      <c r="B2723" t="s">
        <v>2999</v>
      </c>
      <c r="C2723" t="s">
        <v>927</v>
      </c>
      <c r="D2723" t="s">
        <v>3052</v>
      </c>
      <c r="E2723" t="s">
        <v>3053</v>
      </c>
      <c r="F2723" t="s">
        <v>437</v>
      </c>
      <c r="G2723" t="s">
        <v>438</v>
      </c>
      <c r="H2723" t="s">
        <v>4834</v>
      </c>
      <c r="I2723">
        <v>59</v>
      </c>
      <c r="J2723">
        <v>0</v>
      </c>
      <c r="K2723">
        <v>0</v>
      </c>
      <c r="L2723">
        <v>0</v>
      </c>
      <c r="M2723">
        <v>59</v>
      </c>
      <c r="N2723">
        <v>0</v>
      </c>
      <c r="O2723">
        <v>0</v>
      </c>
    </row>
    <row r="2724" spans="1:15" x14ac:dyDescent="0.25">
      <c r="A2724" t="s">
        <v>931</v>
      </c>
      <c r="B2724" t="s">
        <v>1978</v>
      </c>
      <c r="C2724" t="s">
        <v>927</v>
      </c>
      <c r="D2724" t="s">
        <v>3052</v>
      </c>
      <c r="E2724" t="s">
        <v>3053</v>
      </c>
      <c r="F2724" t="s">
        <v>437</v>
      </c>
      <c r="G2724" t="s">
        <v>438</v>
      </c>
      <c r="H2724" t="s">
        <v>4835</v>
      </c>
      <c r="I2724">
        <v>179</v>
      </c>
      <c r="J2724">
        <v>114</v>
      </c>
      <c r="K2724">
        <v>0</v>
      </c>
      <c r="L2724">
        <v>0</v>
      </c>
      <c r="M2724">
        <v>0</v>
      </c>
      <c r="N2724">
        <v>0</v>
      </c>
      <c r="O2724">
        <v>65</v>
      </c>
    </row>
    <row r="2725" spans="1:15" x14ac:dyDescent="0.25">
      <c r="A2725" t="s">
        <v>933</v>
      </c>
      <c r="B2725" t="s">
        <v>2106</v>
      </c>
      <c r="C2725" t="s">
        <v>927</v>
      </c>
      <c r="D2725" t="s">
        <v>3052</v>
      </c>
      <c r="E2725" t="s">
        <v>3053</v>
      </c>
      <c r="F2725" t="s">
        <v>437</v>
      </c>
      <c r="G2725" t="s">
        <v>438</v>
      </c>
      <c r="H2725" t="s">
        <v>4836</v>
      </c>
      <c r="I2725">
        <v>92</v>
      </c>
      <c r="J2725">
        <v>78</v>
      </c>
      <c r="K2725">
        <v>0</v>
      </c>
      <c r="L2725">
        <v>3</v>
      </c>
      <c r="M2725">
        <v>0</v>
      </c>
      <c r="N2725">
        <v>0</v>
      </c>
      <c r="O2725">
        <v>11</v>
      </c>
    </row>
    <row r="2726" spans="1:15" x14ac:dyDescent="0.25">
      <c r="A2726" t="s">
        <v>10638</v>
      </c>
      <c r="B2726" t="s">
        <v>2057</v>
      </c>
      <c r="C2726" t="s">
        <v>927</v>
      </c>
      <c r="D2726" t="s">
        <v>3052</v>
      </c>
      <c r="E2726" t="s">
        <v>3053</v>
      </c>
      <c r="F2726" t="s">
        <v>437</v>
      </c>
      <c r="G2726" t="s">
        <v>438</v>
      </c>
      <c r="H2726" t="s">
        <v>11003</v>
      </c>
      <c r="I2726">
        <v>4</v>
      </c>
      <c r="J2726">
        <v>0</v>
      </c>
      <c r="K2726">
        <v>0</v>
      </c>
      <c r="L2726">
        <v>4</v>
      </c>
      <c r="M2726">
        <v>0</v>
      </c>
      <c r="N2726">
        <v>0</v>
      </c>
      <c r="O2726">
        <v>0</v>
      </c>
    </row>
    <row r="2727" spans="1:15" x14ac:dyDescent="0.25">
      <c r="A2727" t="s">
        <v>938</v>
      </c>
      <c r="B2727" t="s">
        <v>2791</v>
      </c>
      <c r="C2727" t="s">
        <v>927</v>
      </c>
      <c r="D2727" t="s">
        <v>3052</v>
      </c>
      <c r="E2727" t="s">
        <v>3053</v>
      </c>
      <c r="F2727" t="s">
        <v>437</v>
      </c>
      <c r="G2727" t="s">
        <v>438</v>
      </c>
      <c r="H2727" t="s">
        <v>4837</v>
      </c>
      <c r="I2727">
        <v>134</v>
      </c>
      <c r="J2727">
        <v>117</v>
      </c>
      <c r="K2727">
        <v>0</v>
      </c>
      <c r="L2727">
        <v>9</v>
      </c>
      <c r="M2727">
        <v>0</v>
      </c>
      <c r="N2727">
        <v>0</v>
      </c>
      <c r="O2727">
        <v>8</v>
      </c>
    </row>
    <row r="2728" spans="1:15" x14ac:dyDescent="0.25">
      <c r="A2728" t="s">
        <v>1013</v>
      </c>
      <c r="B2728" t="s">
        <v>1959</v>
      </c>
      <c r="C2728" t="s">
        <v>927</v>
      </c>
      <c r="D2728" t="s">
        <v>3052</v>
      </c>
      <c r="E2728" t="s">
        <v>3053</v>
      </c>
      <c r="F2728" t="s">
        <v>437</v>
      </c>
      <c r="G2728" t="s">
        <v>438</v>
      </c>
      <c r="H2728" t="s">
        <v>11004</v>
      </c>
      <c r="I2728">
        <v>8</v>
      </c>
      <c r="J2728">
        <v>0</v>
      </c>
      <c r="K2728">
        <v>0</v>
      </c>
      <c r="L2728">
        <v>8</v>
      </c>
      <c r="M2728">
        <v>0</v>
      </c>
      <c r="N2728">
        <v>0</v>
      </c>
      <c r="O2728">
        <v>0</v>
      </c>
    </row>
    <row r="2729" spans="1:15" x14ac:dyDescent="0.25">
      <c r="A2729" t="s">
        <v>1025</v>
      </c>
      <c r="B2729" t="s">
        <v>2893</v>
      </c>
      <c r="C2729" t="s">
        <v>927</v>
      </c>
      <c r="D2729" t="s">
        <v>3052</v>
      </c>
      <c r="E2729" t="s">
        <v>3053</v>
      </c>
      <c r="F2729" t="s">
        <v>437</v>
      </c>
      <c r="G2729" t="s">
        <v>438</v>
      </c>
      <c r="H2729" t="s">
        <v>4838</v>
      </c>
      <c r="I2729">
        <v>7</v>
      </c>
      <c r="J2729">
        <v>0</v>
      </c>
      <c r="K2729">
        <v>0</v>
      </c>
      <c r="L2729">
        <v>6</v>
      </c>
      <c r="M2729">
        <v>0</v>
      </c>
      <c r="N2729">
        <v>0</v>
      </c>
      <c r="O2729">
        <v>1</v>
      </c>
    </row>
    <row r="2730" spans="1:15" x14ac:dyDescent="0.25">
      <c r="A2730" t="s">
        <v>10681</v>
      </c>
      <c r="B2730" t="s">
        <v>10680</v>
      </c>
      <c r="C2730" t="s">
        <v>927</v>
      </c>
      <c r="D2730" t="s">
        <v>3052</v>
      </c>
      <c r="E2730" t="s">
        <v>3053</v>
      </c>
      <c r="F2730" t="s">
        <v>437</v>
      </c>
      <c r="G2730" t="s">
        <v>438</v>
      </c>
      <c r="H2730" t="s">
        <v>14701</v>
      </c>
      <c r="I2730">
        <v>4</v>
      </c>
      <c r="J2730">
        <v>0</v>
      </c>
      <c r="K2730">
        <v>0</v>
      </c>
      <c r="L2730">
        <v>0</v>
      </c>
      <c r="M2730">
        <v>0</v>
      </c>
      <c r="N2730">
        <v>0</v>
      </c>
      <c r="O2730">
        <v>4</v>
      </c>
    </row>
    <row r="2731" spans="1:15" x14ac:dyDescent="0.25">
      <c r="A2731" t="s">
        <v>943</v>
      </c>
      <c r="B2731" t="s">
        <v>2694</v>
      </c>
      <c r="C2731" t="s">
        <v>927</v>
      </c>
      <c r="D2731" t="s">
        <v>3052</v>
      </c>
      <c r="E2731" t="s">
        <v>3053</v>
      </c>
      <c r="F2731" t="s">
        <v>437</v>
      </c>
      <c r="G2731" t="s">
        <v>438</v>
      </c>
      <c r="H2731" t="s">
        <v>4839</v>
      </c>
      <c r="I2731">
        <v>7</v>
      </c>
      <c r="J2731">
        <v>0</v>
      </c>
      <c r="K2731">
        <v>0</v>
      </c>
      <c r="L2731">
        <v>0</v>
      </c>
      <c r="M2731">
        <v>0</v>
      </c>
      <c r="N2731">
        <v>0</v>
      </c>
      <c r="O2731">
        <v>7</v>
      </c>
    </row>
    <row r="2732" spans="1:15" x14ac:dyDescent="0.25">
      <c r="A2732" t="s">
        <v>945</v>
      </c>
      <c r="B2732" t="s">
        <v>2668</v>
      </c>
      <c r="C2732" t="s">
        <v>927</v>
      </c>
      <c r="D2732" t="s">
        <v>3052</v>
      </c>
      <c r="E2732" t="s">
        <v>3053</v>
      </c>
      <c r="F2732" t="s">
        <v>437</v>
      </c>
      <c r="G2732" t="s">
        <v>438</v>
      </c>
      <c r="H2732" t="s">
        <v>4840</v>
      </c>
      <c r="I2732">
        <v>3</v>
      </c>
      <c r="J2732">
        <v>0</v>
      </c>
      <c r="K2732">
        <v>0</v>
      </c>
      <c r="L2732">
        <v>0</v>
      </c>
      <c r="M2732">
        <v>0</v>
      </c>
      <c r="N2732">
        <v>0</v>
      </c>
      <c r="O2732">
        <v>3</v>
      </c>
    </row>
    <row r="2733" spans="1:15" x14ac:dyDescent="0.25">
      <c r="A2733" t="s">
        <v>9828</v>
      </c>
      <c r="B2733" t="s">
        <v>2659</v>
      </c>
      <c r="C2733" t="s">
        <v>923</v>
      </c>
      <c r="D2733" t="s">
        <v>3063</v>
      </c>
      <c r="E2733" t="s">
        <v>3053</v>
      </c>
      <c r="F2733" t="s">
        <v>437</v>
      </c>
      <c r="G2733" t="s">
        <v>438</v>
      </c>
      <c r="H2733" t="s">
        <v>10304</v>
      </c>
      <c r="I2733">
        <v>278</v>
      </c>
      <c r="J2733">
        <v>274</v>
      </c>
      <c r="K2733">
        <v>0</v>
      </c>
      <c r="L2733">
        <v>4</v>
      </c>
      <c r="M2733">
        <v>0</v>
      </c>
      <c r="N2733">
        <v>0</v>
      </c>
      <c r="O2733">
        <v>0</v>
      </c>
    </row>
    <row r="2734" spans="1:15" x14ac:dyDescent="0.25">
      <c r="A2734" t="s">
        <v>951</v>
      </c>
      <c r="B2734" t="s">
        <v>2680</v>
      </c>
      <c r="C2734" t="s">
        <v>927</v>
      </c>
      <c r="D2734" t="s">
        <v>3052</v>
      </c>
      <c r="E2734" t="s">
        <v>3053</v>
      </c>
      <c r="F2734" t="s">
        <v>437</v>
      </c>
      <c r="G2734" t="s">
        <v>438</v>
      </c>
      <c r="H2734" t="s">
        <v>4841</v>
      </c>
      <c r="I2734">
        <v>36</v>
      </c>
      <c r="J2734">
        <v>30</v>
      </c>
      <c r="K2734">
        <v>0</v>
      </c>
      <c r="L2734">
        <v>0</v>
      </c>
      <c r="M2734">
        <v>0</v>
      </c>
      <c r="N2734">
        <v>0</v>
      </c>
      <c r="O2734">
        <v>6</v>
      </c>
    </row>
    <row r="2735" spans="1:15" x14ac:dyDescent="0.25">
      <c r="A2735" t="s">
        <v>953</v>
      </c>
      <c r="B2735" t="s">
        <v>2014</v>
      </c>
      <c r="C2735" t="s">
        <v>927</v>
      </c>
      <c r="D2735" t="s">
        <v>3052</v>
      </c>
      <c r="E2735" t="s">
        <v>3053</v>
      </c>
      <c r="F2735" t="s">
        <v>437</v>
      </c>
      <c r="G2735" t="s">
        <v>438</v>
      </c>
      <c r="H2735" t="s">
        <v>4842</v>
      </c>
      <c r="I2735">
        <v>4</v>
      </c>
      <c r="J2735">
        <v>0</v>
      </c>
      <c r="K2735">
        <v>0</v>
      </c>
      <c r="L2735">
        <v>4</v>
      </c>
      <c r="M2735">
        <v>0</v>
      </c>
      <c r="N2735">
        <v>0</v>
      </c>
      <c r="O2735">
        <v>0</v>
      </c>
    </row>
    <row r="2736" spans="1:15" x14ac:dyDescent="0.25">
      <c r="A2736" t="s">
        <v>9788</v>
      </c>
      <c r="B2736" t="s">
        <v>9871</v>
      </c>
      <c r="C2736" t="s">
        <v>927</v>
      </c>
      <c r="D2736" t="s">
        <v>3052</v>
      </c>
      <c r="E2736" t="s">
        <v>3053</v>
      </c>
      <c r="F2736" t="s">
        <v>437</v>
      </c>
      <c r="G2736" t="s">
        <v>438</v>
      </c>
      <c r="H2736" t="s">
        <v>10346</v>
      </c>
      <c r="I2736">
        <v>16</v>
      </c>
      <c r="J2736">
        <v>16</v>
      </c>
      <c r="K2736">
        <v>0</v>
      </c>
      <c r="L2736">
        <v>0</v>
      </c>
      <c r="M2736">
        <v>0</v>
      </c>
      <c r="N2736">
        <v>0</v>
      </c>
      <c r="O2736">
        <v>0</v>
      </c>
    </row>
    <row r="2737" spans="1:15" x14ac:dyDescent="0.25">
      <c r="A2737" t="s">
        <v>955</v>
      </c>
      <c r="B2737" t="s">
        <v>2660</v>
      </c>
      <c r="C2737" t="s">
        <v>927</v>
      </c>
      <c r="D2737" t="s">
        <v>3052</v>
      </c>
      <c r="E2737" t="s">
        <v>3053</v>
      </c>
      <c r="F2737" t="s">
        <v>437</v>
      </c>
      <c r="G2737" t="s">
        <v>438</v>
      </c>
      <c r="H2737" t="s">
        <v>4843</v>
      </c>
      <c r="I2737">
        <v>83</v>
      </c>
      <c r="J2737">
        <v>0</v>
      </c>
      <c r="K2737">
        <v>0</v>
      </c>
      <c r="L2737">
        <v>0</v>
      </c>
      <c r="M2737">
        <v>83</v>
      </c>
      <c r="N2737">
        <v>0</v>
      </c>
      <c r="O2737">
        <v>0</v>
      </c>
    </row>
    <row r="2738" spans="1:15" x14ac:dyDescent="0.25">
      <c r="A2738" t="s">
        <v>1658</v>
      </c>
      <c r="B2738" t="s">
        <v>2892</v>
      </c>
      <c r="C2738" t="s">
        <v>927</v>
      </c>
      <c r="D2738" t="s">
        <v>3052</v>
      </c>
      <c r="E2738" t="s">
        <v>3053</v>
      </c>
      <c r="F2738" t="s">
        <v>437</v>
      </c>
      <c r="G2738" t="s">
        <v>438</v>
      </c>
      <c r="H2738" t="s">
        <v>4844</v>
      </c>
      <c r="I2738">
        <v>30</v>
      </c>
      <c r="J2738">
        <v>21</v>
      </c>
      <c r="K2738">
        <v>0</v>
      </c>
      <c r="L2738">
        <v>0</v>
      </c>
      <c r="M2738">
        <v>0</v>
      </c>
      <c r="N2738">
        <v>0</v>
      </c>
      <c r="O2738">
        <v>9</v>
      </c>
    </row>
    <row r="2739" spans="1:15" x14ac:dyDescent="0.25">
      <c r="A2739" t="s">
        <v>11663</v>
      </c>
      <c r="B2739" t="s">
        <v>11768</v>
      </c>
      <c r="C2739" t="s">
        <v>927</v>
      </c>
      <c r="D2739" t="s">
        <v>3052</v>
      </c>
      <c r="E2739" t="s">
        <v>3053</v>
      </c>
      <c r="F2739" t="s">
        <v>437</v>
      </c>
      <c r="G2739" t="s">
        <v>438</v>
      </c>
      <c r="H2739" t="s">
        <v>12002</v>
      </c>
      <c r="I2739">
        <v>10</v>
      </c>
      <c r="J2739">
        <v>10</v>
      </c>
      <c r="K2739">
        <v>0</v>
      </c>
      <c r="L2739">
        <v>0</v>
      </c>
      <c r="M2739">
        <v>0</v>
      </c>
      <c r="N2739">
        <v>0</v>
      </c>
      <c r="O2739">
        <v>0</v>
      </c>
    </row>
    <row r="2740" spans="1:15" x14ac:dyDescent="0.25">
      <c r="A2740" t="s">
        <v>960</v>
      </c>
      <c r="B2740" t="s">
        <v>2080</v>
      </c>
      <c r="C2740" t="s">
        <v>927</v>
      </c>
      <c r="D2740" t="s">
        <v>3052</v>
      </c>
      <c r="E2740" t="s">
        <v>3053</v>
      </c>
      <c r="F2740" t="s">
        <v>437</v>
      </c>
      <c r="G2740" t="s">
        <v>438</v>
      </c>
      <c r="H2740" t="s">
        <v>4845</v>
      </c>
      <c r="I2740">
        <v>776</v>
      </c>
      <c r="J2740">
        <v>583</v>
      </c>
      <c r="K2740">
        <v>0</v>
      </c>
      <c r="L2740">
        <v>38</v>
      </c>
      <c r="M2740">
        <v>25</v>
      </c>
      <c r="N2740">
        <v>1</v>
      </c>
      <c r="O2740">
        <v>130</v>
      </c>
    </row>
    <row r="2741" spans="1:15" x14ac:dyDescent="0.25">
      <c r="A2741" t="s">
        <v>14374</v>
      </c>
      <c r="B2741" t="s">
        <v>1943</v>
      </c>
      <c r="C2741" t="s">
        <v>927</v>
      </c>
      <c r="D2741" t="s">
        <v>3052</v>
      </c>
      <c r="E2741" t="s">
        <v>3053</v>
      </c>
      <c r="F2741" t="s">
        <v>437</v>
      </c>
      <c r="G2741" t="s">
        <v>438</v>
      </c>
      <c r="H2741" t="s">
        <v>14702</v>
      </c>
      <c r="I2741">
        <v>13</v>
      </c>
      <c r="J2741">
        <v>0</v>
      </c>
      <c r="K2741">
        <v>0</v>
      </c>
      <c r="L2741">
        <v>0</v>
      </c>
      <c r="M2741">
        <v>0</v>
      </c>
      <c r="N2741">
        <v>0</v>
      </c>
      <c r="O2741">
        <v>13</v>
      </c>
    </row>
    <row r="2742" spans="1:15" x14ac:dyDescent="0.25">
      <c r="A2742" t="s">
        <v>962</v>
      </c>
      <c r="B2742" t="s">
        <v>2752</v>
      </c>
      <c r="C2742" t="s">
        <v>927</v>
      </c>
      <c r="D2742" t="s">
        <v>3052</v>
      </c>
      <c r="E2742" t="s">
        <v>3053</v>
      </c>
      <c r="F2742" t="s">
        <v>437</v>
      </c>
      <c r="G2742" t="s">
        <v>438</v>
      </c>
      <c r="H2742" t="s">
        <v>12003</v>
      </c>
      <c r="I2742">
        <v>30</v>
      </c>
      <c r="J2742">
        <v>21</v>
      </c>
      <c r="K2742">
        <v>0</v>
      </c>
      <c r="L2742">
        <v>0</v>
      </c>
      <c r="M2742">
        <v>0</v>
      </c>
      <c r="N2742">
        <v>0</v>
      </c>
      <c r="O2742">
        <v>9</v>
      </c>
    </row>
    <row r="2743" spans="1:15" x14ac:dyDescent="0.25">
      <c r="A2743" t="s">
        <v>964</v>
      </c>
      <c r="B2743" t="s">
        <v>1969</v>
      </c>
      <c r="C2743" t="s">
        <v>927</v>
      </c>
      <c r="D2743" t="s">
        <v>3052</v>
      </c>
      <c r="E2743" t="s">
        <v>3053</v>
      </c>
      <c r="F2743" t="s">
        <v>437</v>
      </c>
      <c r="G2743" t="s">
        <v>438</v>
      </c>
      <c r="H2743" t="s">
        <v>4846</v>
      </c>
      <c r="I2743">
        <v>116</v>
      </c>
      <c r="J2743">
        <v>78</v>
      </c>
      <c r="K2743">
        <v>0</v>
      </c>
      <c r="L2743">
        <v>0</v>
      </c>
      <c r="M2743">
        <v>0</v>
      </c>
      <c r="N2743">
        <v>0</v>
      </c>
      <c r="O2743">
        <v>38</v>
      </c>
    </row>
    <row r="2744" spans="1:15" x14ac:dyDescent="0.25">
      <c r="A2744" t="s">
        <v>1069</v>
      </c>
      <c r="B2744" t="s">
        <v>2001</v>
      </c>
      <c r="C2744" t="s">
        <v>927</v>
      </c>
      <c r="D2744" t="s">
        <v>3052</v>
      </c>
      <c r="E2744" t="s">
        <v>3053</v>
      </c>
      <c r="F2744" t="s">
        <v>437</v>
      </c>
      <c r="G2744" t="s">
        <v>438</v>
      </c>
      <c r="H2744" t="s">
        <v>4847</v>
      </c>
      <c r="I2744">
        <v>22</v>
      </c>
      <c r="J2744">
        <v>18</v>
      </c>
      <c r="K2744">
        <v>0</v>
      </c>
      <c r="L2744">
        <v>0</v>
      </c>
      <c r="M2744">
        <v>0</v>
      </c>
      <c r="N2744">
        <v>0</v>
      </c>
      <c r="O2744">
        <v>4</v>
      </c>
    </row>
    <row r="2745" spans="1:15" x14ac:dyDescent="0.25">
      <c r="A2745" t="s">
        <v>966</v>
      </c>
      <c r="B2745" t="s">
        <v>2684</v>
      </c>
      <c r="C2745" t="s">
        <v>927</v>
      </c>
      <c r="D2745" t="s">
        <v>3052</v>
      </c>
      <c r="E2745" t="s">
        <v>3053</v>
      </c>
      <c r="F2745" t="s">
        <v>437</v>
      </c>
      <c r="G2745" t="s">
        <v>438</v>
      </c>
      <c r="H2745" t="s">
        <v>4848</v>
      </c>
      <c r="I2745">
        <v>372</v>
      </c>
      <c r="J2745">
        <v>204</v>
      </c>
      <c r="K2745">
        <v>0</v>
      </c>
      <c r="L2745">
        <v>0</v>
      </c>
      <c r="M2745">
        <v>8</v>
      </c>
      <c r="N2745">
        <v>0</v>
      </c>
      <c r="O2745">
        <v>160</v>
      </c>
    </row>
    <row r="2746" spans="1:15" x14ac:dyDescent="0.25">
      <c r="A2746" t="s">
        <v>1686</v>
      </c>
      <c r="B2746" t="s">
        <v>2988</v>
      </c>
      <c r="C2746" t="s">
        <v>923</v>
      </c>
      <c r="D2746" t="s">
        <v>3063</v>
      </c>
      <c r="E2746" t="s">
        <v>3053</v>
      </c>
      <c r="F2746" t="s">
        <v>437</v>
      </c>
      <c r="G2746" t="s">
        <v>438</v>
      </c>
      <c r="H2746" t="s">
        <v>10506</v>
      </c>
      <c r="I2746">
        <v>17</v>
      </c>
      <c r="J2746">
        <v>0</v>
      </c>
      <c r="K2746">
        <v>0</v>
      </c>
      <c r="L2746">
        <v>17</v>
      </c>
      <c r="M2746">
        <v>0</v>
      </c>
      <c r="N2746">
        <v>0</v>
      </c>
      <c r="O2746">
        <v>0</v>
      </c>
    </row>
    <row r="2747" spans="1:15" x14ac:dyDescent="0.25">
      <c r="A2747" t="s">
        <v>968</v>
      </c>
      <c r="B2747" t="s">
        <v>2091</v>
      </c>
      <c r="C2747" t="s">
        <v>927</v>
      </c>
      <c r="D2747" t="s">
        <v>3052</v>
      </c>
      <c r="E2747" t="s">
        <v>3053</v>
      </c>
      <c r="F2747" t="s">
        <v>437</v>
      </c>
      <c r="G2747" t="s">
        <v>438</v>
      </c>
      <c r="H2747" t="s">
        <v>4849</v>
      </c>
      <c r="I2747">
        <v>355</v>
      </c>
      <c r="J2747">
        <v>216</v>
      </c>
      <c r="K2747">
        <v>0</v>
      </c>
      <c r="L2747">
        <v>0</v>
      </c>
      <c r="M2747">
        <v>0</v>
      </c>
      <c r="N2747">
        <v>0</v>
      </c>
      <c r="O2747">
        <v>139</v>
      </c>
    </row>
    <row r="2748" spans="1:15" x14ac:dyDescent="0.25">
      <c r="A2748" t="s">
        <v>1080</v>
      </c>
      <c r="B2748" t="s">
        <v>2030</v>
      </c>
      <c r="C2748" t="s">
        <v>923</v>
      </c>
      <c r="D2748" t="s">
        <v>3063</v>
      </c>
      <c r="E2748" t="s">
        <v>3053</v>
      </c>
      <c r="F2748" t="s">
        <v>437</v>
      </c>
      <c r="G2748" t="s">
        <v>438</v>
      </c>
      <c r="H2748" t="s">
        <v>12004</v>
      </c>
      <c r="I2748">
        <v>2</v>
      </c>
      <c r="J2748">
        <v>0</v>
      </c>
      <c r="K2748">
        <v>0</v>
      </c>
      <c r="L2748">
        <v>2</v>
      </c>
      <c r="M2748">
        <v>0</v>
      </c>
      <c r="N2748">
        <v>0</v>
      </c>
      <c r="O2748">
        <v>0</v>
      </c>
    </row>
    <row r="2749" spans="1:15" x14ac:dyDescent="0.25">
      <c r="A2749" t="s">
        <v>1090</v>
      </c>
      <c r="B2749" t="s">
        <v>2875</v>
      </c>
      <c r="C2749" t="s">
        <v>927</v>
      </c>
      <c r="D2749" t="s">
        <v>3052</v>
      </c>
      <c r="E2749" t="s">
        <v>3053</v>
      </c>
      <c r="F2749" t="s">
        <v>439</v>
      </c>
      <c r="G2749" t="s">
        <v>440</v>
      </c>
      <c r="H2749" t="s">
        <v>4850</v>
      </c>
      <c r="I2749">
        <v>186</v>
      </c>
      <c r="J2749">
        <v>135</v>
      </c>
      <c r="K2749">
        <v>0</v>
      </c>
      <c r="L2749">
        <v>0</v>
      </c>
      <c r="M2749">
        <v>0</v>
      </c>
      <c r="N2749">
        <v>0</v>
      </c>
      <c r="O2749">
        <v>51</v>
      </c>
    </row>
    <row r="2750" spans="1:15" x14ac:dyDescent="0.25">
      <c r="A2750" t="s">
        <v>9784</v>
      </c>
      <c r="B2750" t="s">
        <v>1994</v>
      </c>
      <c r="C2750" t="s">
        <v>927</v>
      </c>
      <c r="D2750" t="s">
        <v>3052</v>
      </c>
      <c r="E2750" t="s">
        <v>3053</v>
      </c>
      <c r="F2750" t="s">
        <v>439</v>
      </c>
      <c r="G2750" t="s">
        <v>440</v>
      </c>
      <c r="H2750" t="s">
        <v>9937</v>
      </c>
      <c r="I2750">
        <v>4</v>
      </c>
      <c r="J2750">
        <v>0</v>
      </c>
      <c r="K2750">
        <v>0</v>
      </c>
      <c r="L2750">
        <v>4</v>
      </c>
      <c r="M2750">
        <v>0</v>
      </c>
      <c r="N2750">
        <v>0</v>
      </c>
      <c r="O2750">
        <v>0</v>
      </c>
    </row>
    <row r="2751" spans="1:15" x14ac:dyDescent="0.25">
      <c r="A2751" t="s">
        <v>1097</v>
      </c>
      <c r="B2751" t="s">
        <v>2717</v>
      </c>
      <c r="C2751" t="s">
        <v>923</v>
      </c>
      <c r="D2751" t="s">
        <v>3063</v>
      </c>
      <c r="E2751" t="s">
        <v>3053</v>
      </c>
      <c r="F2751" t="s">
        <v>439</v>
      </c>
      <c r="G2751" t="s">
        <v>440</v>
      </c>
      <c r="H2751" t="s">
        <v>4851</v>
      </c>
      <c r="I2751">
        <v>6</v>
      </c>
      <c r="J2751">
        <v>0</v>
      </c>
      <c r="K2751">
        <v>0</v>
      </c>
      <c r="L2751">
        <v>0</v>
      </c>
      <c r="M2751">
        <v>6</v>
      </c>
      <c r="N2751">
        <v>0</v>
      </c>
      <c r="O2751">
        <v>0</v>
      </c>
    </row>
    <row r="2752" spans="1:15" x14ac:dyDescent="0.25">
      <c r="A2752" t="s">
        <v>1100</v>
      </c>
      <c r="B2752" t="s">
        <v>2855</v>
      </c>
      <c r="C2752" t="s">
        <v>927</v>
      </c>
      <c r="D2752" t="s">
        <v>3052</v>
      </c>
      <c r="E2752" t="s">
        <v>3053</v>
      </c>
      <c r="F2752" t="s">
        <v>439</v>
      </c>
      <c r="G2752" t="s">
        <v>440</v>
      </c>
      <c r="H2752" t="s">
        <v>14703</v>
      </c>
      <c r="I2752">
        <v>13</v>
      </c>
      <c r="J2752">
        <v>8</v>
      </c>
      <c r="K2752">
        <v>0</v>
      </c>
      <c r="L2752">
        <v>0</v>
      </c>
      <c r="M2752">
        <v>0</v>
      </c>
      <c r="N2752">
        <v>0</v>
      </c>
      <c r="O2752">
        <v>5</v>
      </c>
    </row>
    <row r="2753" spans="1:15" x14ac:dyDescent="0.25">
      <c r="A2753" t="s">
        <v>933</v>
      </c>
      <c r="B2753" t="s">
        <v>2106</v>
      </c>
      <c r="C2753" t="s">
        <v>927</v>
      </c>
      <c r="D2753" t="s">
        <v>3052</v>
      </c>
      <c r="E2753" t="s">
        <v>3053</v>
      </c>
      <c r="F2753" t="s">
        <v>439</v>
      </c>
      <c r="G2753" t="s">
        <v>440</v>
      </c>
      <c r="H2753" t="s">
        <v>4852</v>
      </c>
      <c r="I2753">
        <v>3271</v>
      </c>
      <c r="J2753">
        <v>2561</v>
      </c>
      <c r="K2753">
        <v>0</v>
      </c>
      <c r="L2753">
        <v>32</v>
      </c>
      <c r="M2753">
        <v>475</v>
      </c>
      <c r="N2753">
        <v>15</v>
      </c>
      <c r="O2753">
        <v>203</v>
      </c>
    </row>
    <row r="2754" spans="1:15" x14ac:dyDescent="0.25">
      <c r="A2754" t="s">
        <v>998</v>
      </c>
      <c r="B2754" t="s">
        <v>2820</v>
      </c>
      <c r="C2754" t="s">
        <v>927</v>
      </c>
      <c r="D2754" t="s">
        <v>3052</v>
      </c>
      <c r="E2754" t="s">
        <v>3053</v>
      </c>
      <c r="F2754" t="s">
        <v>439</v>
      </c>
      <c r="G2754" t="s">
        <v>440</v>
      </c>
      <c r="H2754" t="s">
        <v>4853</v>
      </c>
      <c r="I2754">
        <v>7</v>
      </c>
      <c r="J2754">
        <v>5</v>
      </c>
      <c r="K2754">
        <v>0</v>
      </c>
      <c r="L2754">
        <v>0</v>
      </c>
      <c r="M2754">
        <v>0</v>
      </c>
      <c r="N2754">
        <v>0</v>
      </c>
      <c r="O2754">
        <v>2</v>
      </c>
    </row>
    <row r="2755" spans="1:15" x14ac:dyDescent="0.25">
      <c r="A2755" t="s">
        <v>1112</v>
      </c>
      <c r="B2755" t="s">
        <v>2143</v>
      </c>
      <c r="C2755" t="s">
        <v>927</v>
      </c>
      <c r="D2755" t="s">
        <v>3052</v>
      </c>
      <c r="E2755" t="s">
        <v>3053</v>
      </c>
      <c r="F2755" t="s">
        <v>439</v>
      </c>
      <c r="G2755" t="s">
        <v>440</v>
      </c>
      <c r="H2755" t="s">
        <v>4854</v>
      </c>
      <c r="I2755">
        <v>20</v>
      </c>
      <c r="J2755">
        <v>20</v>
      </c>
      <c r="K2755">
        <v>0</v>
      </c>
      <c r="L2755">
        <v>0</v>
      </c>
      <c r="M2755">
        <v>0</v>
      </c>
      <c r="N2755">
        <v>0</v>
      </c>
      <c r="O2755">
        <v>0</v>
      </c>
    </row>
    <row r="2756" spans="1:15" x14ac:dyDescent="0.25">
      <c r="A2756" t="s">
        <v>1000</v>
      </c>
      <c r="B2756" t="s">
        <v>1984</v>
      </c>
      <c r="C2756" t="s">
        <v>923</v>
      </c>
      <c r="D2756" t="s">
        <v>3063</v>
      </c>
      <c r="E2756" t="s">
        <v>3053</v>
      </c>
      <c r="F2756" t="s">
        <v>439</v>
      </c>
      <c r="G2756" t="s">
        <v>440</v>
      </c>
      <c r="H2756" t="s">
        <v>4855</v>
      </c>
      <c r="I2756">
        <v>1</v>
      </c>
      <c r="J2756">
        <v>0</v>
      </c>
      <c r="K2756">
        <v>0</v>
      </c>
      <c r="L2756">
        <v>1</v>
      </c>
      <c r="M2756">
        <v>0</v>
      </c>
      <c r="N2756">
        <v>0</v>
      </c>
      <c r="O2756">
        <v>0</v>
      </c>
    </row>
    <row r="2757" spans="1:15" x14ac:dyDescent="0.25">
      <c r="A2757" t="s">
        <v>1010</v>
      </c>
      <c r="B2757" t="s">
        <v>2639</v>
      </c>
      <c r="C2757" t="s">
        <v>927</v>
      </c>
      <c r="D2757" t="s">
        <v>3052</v>
      </c>
      <c r="E2757" t="s">
        <v>3053</v>
      </c>
      <c r="F2757" t="s">
        <v>439</v>
      </c>
      <c r="G2757" t="s">
        <v>440</v>
      </c>
      <c r="H2757" t="s">
        <v>4856</v>
      </c>
      <c r="I2757">
        <v>26</v>
      </c>
      <c r="J2757">
        <v>24</v>
      </c>
      <c r="K2757">
        <v>0</v>
      </c>
      <c r="L2757">
        <v>0</v>
      </c>
      <c r="M2757">
        <v>0</v>
      </c>
      <c r="N2757">
        <v>2</v>
      </c>
      <c r="O2757">
        <v>2</v>
      </c>
    </row>
    <row r="2758" spans="1:15" x14ac:dyDescent="0.25">
      <c r="A2758" t="s">
        <v>1119</v>
      </c>
      <c r="B2758" t="s">
        <v>2777</v>
      </c>
      <c r="C2758" t="s">
        <v>927</v>
      </c>
      <c r="D2758" t="s">
        <v>3052</v>
      </c>
      <c r="E2758" t="s">
        <v>3053</v>
      </c>
      <c r="F2758" t="s">
        <v>439</v>
      </c>
      <c r="G2758" t="s">
        <v>440</v>
      </c>
      <c r="H2758" t="s">
        <v>4857</v>
      </c>
      <c r="I2758">
        <v>410</v>
      </c>
      <c r="J2758">
        <v>313</v>
      </c>
      <c r="K2758">
        <v>0</v>
      </c>
      <c r="L2758">
        <v>0</v>
      </c>
      <c r="M2758">
        <v>0</v>
      </c>
      <c r="N2758">
        <v>0</v>
      </c>
      <c r="O2758">
        <v>97</v>
      </c>
    </row>
    <row r="2759" spans="1:15" x14ac:dyDescent="0.25">
      <c r="A2759" t="s">
        <v>938</v>
      </c>
      <c r="B2759" t="s">
        <v>2791</v>
      </c>
      <c r="C2759" t="s">
        <v>927</v>
      </c>
      <c r="D2759" t="s">
        <v>3052</v>
      </c>
      <c r="E2759" t="s">
        <v>3053</v>
      </c>
      <c r="F2759" t="s">
        <v>439</v>
      </c>
      <c r="G2759" t="s">
        <v>440</v>
      </c>
      <c r="H2759" t="s">
        <v>4858</v>
      </c>
      <c r="I2759">
        <v>142</v>
      </c>
      <c r="J2759">
        <v>107</v>
      </c>
      <c r="K2759">
        <v>0</v>
      </c>
      <c r="L2759">
        <v>6</v>
      </c>
      <c r="M2759">
        <v>0</v>
      </c>
      <c r="N2759">
        <v>0</v>
      </c>
      <c r="O2759">
        <v>29</v>
      </c>
    </row>
    <row r="2760" spans="1:15" x14ac:dyDescent="0.25">
      <c r="A2760" t="s">
        <v>940</v>
      </c>
      <c r="B2760" t="s">
        <v>2647</v>
      </c>
      <c r="C2760" t="s">
        <v>927</v>
      </c>
      <c r="D2760" t="s">
        <v>3052</v>
      </c>
      <c r="E2760" t="s">
        <v>3053</v>
      </c>
      <c r="F2760" t="s">
        <v>439</v>
      </c>
      <c r="G2760" t="s">
        <v>440</v>
      </c>
      <c r="H2760" t="s">
        <v>4859</v>
      </c>
      <c r="I2760">
        <v>55</v>
      </c>
      <c r="J2760">
        <v>0</v>
      </c>
      <c r="K2760">
        <v>0</v>
      </c>
      <c r="L2760">
        <v>0</v>
      </c>
      <c r="M2760">
        <v>55</v>
      </c>
      <c r="N2760">
        <v>0</v>
      </c>
      <c r="O2760">
        <v>0</v>
      </c>
    </row>
    <row r="2761" spans="1:15" x14ac:dyDescent="0.25">
      <c r="A2761" t="s">
        <v>1013</v>
      </c>
      <c r="B2761" t="s">
        <v>1959</v>
      </c>
      <c r="C2761" t="s">
        <v>927</v>
      </c>
      <c r="D2761" t="s">
        <v>3052</v>
      </c>
      <c r="E2761" t="s">
        <v>3053</v>
      </c>
      <c r="F2761" t="s">
        <v>439</v>
      </c>
      <c r="G2761" t="s">
        <v>440</v>
      </c>
      <c r="H2761" t="s">
        <v>11005</v>
      </c>
      <c r="I2761">
        <v>9</v>
      </c>
      <c r="J2761">
        <v>0</v>
      </c>
      <c r="K2761">
        <v>0</v>
      </c>
      <c r="L2761">
        <v>9</v>
      </c>
      <c r="M2761">
        <v>0</v>
      </c>
      <c r="N2761">
        <v>0</v>
      </c>
      <c r="O2761">
        <v>0</v>
      </c>
    </row>
    <row r="2762" spans="1:15" x14ac:dyDescent="0.25">
      <c r="A2762" t="s">
        <v>10667</v>
      </c>
      <c r="B2762" t="s">
        <v>10666</v>
      </c>
      <c r="C2762" t="s">
        <v>927</v>
      </c>
      <c r="D2762" t="s">
        <v>3052</v>
      </c>
      <c r="E2762" t="s">
        <v>3053</v>
      </c>
      <c r="F2762" t="s">
        <v>439</v>
      </c>
      <c r="G2762" t="s">
        <v>440</v>
      </c>
      <c r="H2762" t="s">
        <v>11006</v>
      </c>
      <c r="I2762">
        <v>38</v>
      </c>
      <c r="J2762">
        <v>38</v>
      </c>
      <c r="K2762">
        <v>0</v>
      </c>
      <c r="L2762">
        <v>0</v>
      </c>
      <c r="M2762">
        <v>0</v>
      </c>
      <c r="N2762">
        <v>0</v>
      </c>
      <c r="O2762">
        <v>0</v>
      </c>
    </row>
    <row r="2763" spans="1:15" x14ac:dyDescent="0.25">
      <c r="A2763" t="s">
        <v>1126</v>
      </c>
      <c r="B2763" t="s">
        <v>2130</v>
      </c>
      <c r="C2763" t="s">
        <v>927</v>
      </c>
      <c r="D2763" t="s">
        <v>3052</v>
      </c>
      <c r="E2763" t="s">
        <v>3053</v>
      </c>
      <c r="F2763" t="s">
        <v>439</v>
      </c>
      <c r="G2763" t="s">
        <v>440</v>
      </c>
      <c r="H2763" t="s">
        <v>4860</v>
      </c>
      <c r="I2763">
        <v>35</v>
      </c>
      <c r="J2763">
        <v>7</v>
      </c>
      <c r="K2763">
        <v>0</v>
      </c>
      <c r="L2763">
        <v>0</v>
      </c>
      <c r="M2763">
        <v>0</v>
      </c>
      <c r="N2763">
        <v>0</v>
      </c>
      <c r="O2763">
        <v>28</v>
      </c>
    </row>
    <row r="2764" spans="1:15" x14ac:dyDescent="0.25">
      <c r="A2764" t="s">
        <v>1025</v>
      </c>
      <c r="B2764" t="s">
        <v>2893</v>
      </c>
      <c r="C2764" t="s">
        <v>927</v>
      </c>
      <c r="D2764" t="s">
        <v>3052</v>
      </c>
      <c r="E2764" t="s">
        <v>3053</v>
      </c>
      <c r="F2764" t="s">
        <v>439</v>
      </c>
      <c r="G2764" t="s">
        <v>440</v>
      </c>
      <c r="H2764" t="s">
        <v>4861</v>
      </c>
      <c r="I2764">
        <v>1</v>
      </c>
      <c r="J2764">
        <v>0</v>
      </c>
      <c r="K2764">
        <v>0</v>
      </c>
      <c r="L2764">
        <v>0</v>
      </c>
      <c r="M2764">
        <v>0</v>
      </c>
      <c r="N2764">
        <v>0</v>
      </c>
      <c r="O2764">
        <v>1</v>
      </c>
    </row>
    <row r="2765" spans="1:15" x14ac:dyDescent="0.25">
      <c r="A2765" t="s">
        <v>943</v>
      </c>
      <c r="B2765" t="s">
        <v>2694</v>
      </c>
      <c r="C2765" t="s">
        <v>927</v>
      </c>
      <c r="D2765" t="s">
        <v>3052</v>
      </c>
      <c r="E2765" t="s">
        <v>3053</v>
      </c>
      <c r="F2765" t="s">
        <v>439</v>
      </c>
      <c r="G2765" t="s">
        <v>440</v>
      </c>
      <c r="H2765" t="s">
        <v>4862</v>
      </c>
      <c r="I2765">
        <v>238</v>
      </c>
      <c r="J2765">
        <v>83</v>
      </c>
      <c r="K2765">
        <v>0</v>
      </c>
      <c r="L2765">
        <v>3</v>
      </c>
      <c r="M2765">
        <v>24</v>
      </c>
      <c r="N2765">
        <v>0</v>
      </c>
      <c r="O2765">
        <v>128</v>
      </c>
    </row>
    <row r="2766" spans="1:15" x14ac:dyDescent="0.25">
      <c r="A2766" t="s">
        <v>1134</v>
      </c>
      <c r="B2766" t="s">
        <v>2118</v>
      </c>
      <c r="C2766" t="s">
        <v>927</v>
      </c>
      <c r="D2766" t="s">
        <v>3052</v>
      </c>
      <c r="E2766" t="s">
        <v>3053</v>
      </c>
      <c r="F2766" t="s">
        <v>439</v>
      </c>
      <c r="G2766" t="s">
        <v>440</v>
      </c>
      <c r="H2766" t="s">
        <v>4863</v>
      </c>
      <c r="I2766">
        <v>116</v>
      </c>
      <c r="J2766">
        <v>7</v>
      </c>
      <c r="K2766">
        <v>0</v>
      </c>
      <c r="L2766">
        <v>24</v>
      </c>
      <c r="M2766">
        <v>27</v>
      </c>
      <c r="N2766">
        <v>0</v>
      </c>
      <c r="O2766">
        <v>58</v>
      </c>
    </row>
    <row r="2767" spans="1:15" x14ac:dyDescent="0.25">
      <c r="A2767" t="s">
        <v>949</v>
      </c>
      <c r="B2767" t="s">
        <v>3035</v>
      </c>
      <c r="C2767" t="s">
        <v>927</v>
      </c>
      <c r="D2767" t="s">
        <v>3052</v>
      </c>
      <c r="E2767" t="s">
        <v>3053</v>
      </c>
      <c r="F2767" t="s">
        <v>439</v>
      </c>
      <c r="G2767" t="s">
        <v>440</v>
      </c>
      <c r="H2767" t="s">
        <v>4864</v>
      </c>
      <c r="I2767">
        <v>14</v>
      </c>
      <c r="J2767">
        <v>0</v>
      </c>
      <c r="K2767">
        <v>0</v>
      </c>
      <c r="L2767">
        <v>0</v>
      </c>
      <c r="M2767">
        <v>0</v>
      </c>
      <c r="N2767">
        <v>0</v>
      </c>
      <c r="O2767">
        <v>14</v>
      </c>
    </row>
    <row r="2768" spans="1:15" x14ac:dyDescent="0.25">
      <c r="A2768" t="s">
        <v>1138</v>
      </c>
      <c r="B2768" t="s">
        <v>2635</v>
      </c>
      <c r="C2768" t="s">
        <v>923</v>
      </c>
      <c r="D2768" t="s">
        <v>3063</v>
      </c>
      <c r="E2768" t="s">
        <v>3053</v>
      </c>
      <c r="F2768" t="s">
        <v>439</v>
      </c>
      <c r="G2768" t="s">
        <v>440</v>
      </c>
      <c r="H2768" t="s">
        <v>4865</v>
      </c>
      <c r="I2768">
        <v>29</v>
      </c>
      <c r="J2768">
        <v>0</v>
      </c>
      <c r="K2768">
        <v>0</v>
      </c>
      <c r="L2768">
        <v>29</v>
      </c>
      <c r="M2768">
        <v>0</v>
      </c>
      <c r="N2768">
        <v>0</v>
      </c>
      <c r="O2768">
        <v>0</v>
      </c>
    </row>
    <row r="2769" spans="1:15" x14ac:dyDescent="0.25">
      <c r="A2769" t="s">
        <v>1041</v>
      </c>
      <c r="B2769" t="s">
        <v>2826</v>
      </c>
      <c r="C2769" t="s">
        <v>927</v>
      </c>
      <c r="D2769" t="s">
        <v>3052</v>
      </c>
      <c r="E2769" t="s">
        <v>3053</v>
      </c>
      <c r="F2769" t="s">
        <v>439</v>
      </c>
      <c r="G2769" t="s">
        <v>440</v>
      </c>
      <c r="H2769" t="s">
        <v>4866</v>
      </c>
      <c r="I2769">
        <v>1</v>
      </c>
      <c r="J2769">
        <v>0</v>
      </c>
      <c r="K2769">
        <v>0</v>
      </c>
      <c r="L2769">
        <v>0</v>
      </c>
      <c r="M2769">
        <v>0</v>
      </c>
      <c r="N2769">
        <v>0</v>
      </c>
      <c r="O2769">
        <v>1</v>
      </c>
    </row>
    <row r="2770" spans="1:15" x14ac:dyDescent="0.25">
      <c r="A2770" t="s">
        <v>9787</v>
      </c>
      <c r="B2770" t="s">
        <v>2822</v>
      </c>
      <c r="C2770" t="s">
        <v>927</v>
      </c>
      <c r="D2770" t="s">
        <v>3052</v>
      </c>
      <c r="E2770" t="s">
        <v>3053</v>
      </c>
      <c r="F2770" t="s">
        <v>439</v>
      </c>
      <c r="G2770" t="s">
        <v>440</v>
      </c>
      <c r="H2770" t="s">
        <v>10248</v>
      </c>
      <c r="I2770">
        <v>174</v>
      </c>
      <c r="J2770">
        <v>174</v>
      </c>
      <c r="K2770">
        <v>0</v>
      </c>
      <c r="L2770">
        <v>0</v>
      </c>
      <c r="M2770">
        <v>0</v>
      </c>
      <c r="N2770">
        <v>0</v>
      </c>
      <c r="O2770">
        <v>0</v>
      </c>
    </row>
    <row r="2771" spans="1:15" x14ac:dyDescent="0.25">
      <c r="A2771" t="s">
        <v>1140</v>
      </c>
      <c r="B2771" t="s">
        <v>2697</v>
      </c>
      <c r="C2771" t="s">
        <v>927</v>
      </c>
      <c r="D2771" t="s">
        <v>3052</v>
      </c>
      <c r="E2771" t="s">
        <v>3053</v>
      </c>
      <c r="F2771" t="s">
        <v>439</v>
      </c>
      <c r="G2771" t="s">
        <v>440</v>
      </c>
      <c r="H2771" t="s">
        <v>4867</v>
      </c>
      <c r="I2771">
        <v>65</v>
      </c>
      <c r="J2771">
        <v>47</v>
      </c>
      <c r="K2771">
        <v>0</v>
      </c>
      <c r="L2771">
        <v>0</v>
      </c>
      <c r="M2771">
        <v>0</v>
      </c>
      <c r="N2771">
        <v>0</v>
      </c>
      <c r="O2771">
        <v>18</v>
      </c>
    </row>
    <row r="2772" spans="1:15" x14ac:dyDescent="0.25">
      <c r="A2772" t="s">
        <v>1142</v>
      </c>
      <c r="B2772" t="s">
        <v>3003</v>
      </c>
      <c r="C2772" t="s">
        <v>927</v>
      </c>
      <c r="D2772" t="s">
        <v>3052</v>
      </c>
      <c r="E2772" t="s">
        <v>3053</v>
      </c>
      <c r="F2772" t="s">
        <v>439</v>
      </c>
      <c r="G2772" t="s">
        <v>440</v>
      </c>
      <c r="H2772" t="s">
        <v>4868</v>
      </c>
      <c r="I2772">
        <v>349</v>
      </c>
      <c r="J2772">
        <v>249</v>
      </c>
      <c r="K2772">
        <v>0</v>
      </c>
      <c r="L2772">
        <v>10</v>
      </c>
      <c r="M2772">
        <v>0</v>
      </c>
      <c r="N2772">
        <v>0</v>
      </c>
      <c r="O2772">
        <v>90</v>
      </c>
    </row>
    <row r="2773" spans="1:15" x14ac:dyDescent="0.25">
      <c r="A2773" t="s">
        <v>1146</v>
      </c>
      <c r="B2773" t="s">
        <v>2117</v>
      </c>
      <c r="C2773" t="s">
        <v>927</v>
      </c>
      <c r="D2773" t="s">
        <v>3052</v>
      </c>
      <c r="E2773" t="s">
        <v>3053</v>
      </c>
      <c r="F2773" t="s">
        <v>439</v>
      </c>
      <c r="G2773" t="s">
        <v>440</v>
      </c>
      <c r="H2773" t="s">
        <v>14704</v>
      </c>
      <c r="I2773">
        <v>477</v>
      </c>
      <c r="J2773">
        <v>359</v>
      </c>
      <c r="K2773">
        <v>0</v>
      </c>
      <c r="L2773">
        <v>48</v>
      </c>
      <c r="M2773">
        <v>0</v>
      </c>
      <c r="N2773">
        <v>2</v>
      </c>
      <c r="O2773">
        <v>70</v>
      </c>
    </row>
    <row r="2774" spans="1:15" x14ac:dyDescent="0.25">
      <c r="A2774" t="s">
        <v>951</v>
      </c>
      <c r="B2774" t="s">
        <v>2680</v>
      </c>
      <c r="C2774" t="s">
        <v>927</v>
      </c>
      <c r="D2774" t="s">
        <v>3052</v>
      </c>
      <c r="E2774" t="s">
        <v>3053</v>
      </c>
      <c r="F2774" t="s">
        <v>439</v>
      </c>
      <c r="G2774" t="s">
        <v>440</v>
      </c>
      <c r="H2774" t="s">
        <v>4869</v>
      </c>
      <c r="I2774">
        <v>23</v>
      </c>
      <c r="J2774">
        <v>23</v>
      </c>
      <c r="K2774">
        <v>0</v>
      </c>
      <c r="L2774">
        <v>0</v>
      </c>
      <c r="M2774">
        <v>0</v>
      </c>
      <c r="N2774">
        <v>0</v>
      </c>
      <c r="O2774">
        <v>0</v>
      </c>
    </row>
    <row r="2775" spans="1:15" x14ac:dyDescent="0.25">
      <c r="A2775" t="s">
        <v>11720</v>
      </c>
      <c r="B2775" t="s">
        <v>10718</v>
      </c>
      <c r="C2775" t="s">
        <v>927</v>
      </c>
      <c r="D2775" t="s">
        <v>3052</v>
      </c>
      <c r="E2775" t="s">
        <v>3053</v>
      </c>
      <c r="F2775" t="s">
        <v>439</v>
      </c>
      <c r="G2775" t="s">
        <v>440</v>
      </c>
      <c r="H2775" t="s">
        <v>14705</v>
      </c>
      <c r="I2775">
        <v>101</v>
      </c>
      <c r="J2775">
        <v>62</v>
      </c>
      <c r="K2775">
        <v>0</v>
      </c>
      <c r="L2775">
        <v>0</v>
      </c>
      <c r="M2775">
        <v>0</v>
      </c>
      <c r="N2775">
        <v>0</v>
      </c>
      <c r="O2775">
        <v>39</v>
      </c>
    </row>
    <row r="2776" spans="1:15" x14ac:dyDescent="0.25">
      <c r="A2776" t="s">
        <v>9788</v>
      </c>
      <c r="B2776" t="s">
        <v>9871</v>
      </c>
      <c r="C2776" t="s">
        <v>927</v>
      </c>
      <c r="D2776" t="s">
        <v>3052</v>
      </c>
      <c r="E2776" t="s">
        <v>3053</v>
      </c>
      <c r="F2776" t="s">
        <v>439</v>
      </c>
      <c r="G2776" t="s">
        <v>440</v>
      </c>
      <c r="H2776" t="s">
        <v>10347</v>
      </c>
      <c r="I2776">
        <v>161</v>
      </c>
      <c r="J2776">
        <v>161</v>
      </c>
      <c r="K2776">
        <v>0</v>
      </c>
      <c r="L2776">
        <v>0</v>
      </c>
      <c r="M2776">
        <v>0</v>
      </c>
      <c r="N2776">
        <v>0</v>
      </c>
      <c r="O2776">
        <v>0</v>
      </c>
    </row>
    <row r="2777" spans="1:15" x14ac:dyDescent="0.25">
      <c r="A2777" t="s">
        <v>955</v>
      </c>
      <c r="B2777" t="s">
        <v>2660</v>
      </c>
      <c r="C2777" t="s">
        <v>927</v>
      </c>
      <c r="D2777" t="s">
        <v>3052</v>
      </c>
      <c r="E2777" t="s">
        <v>3053</v>
      </c>
      <c r="F2777" t="s">
        <v>439</v>
      </c>
      <c r="G2777" t="s">
        <v>440</v>
      </c>
      <c r="H2777" t="s">
        <v>4870</v>
      </c>
      <c r="I2777">
        <v>125</v>
      </c>
      <c r="J2777">
        <v>71</v>
      </c>
      <c r="K2777">
        <v>0</v>
      </c>
      <c r="L2777">
        <v>0</v>
      </c>
      <c r="M2777">
        <v>41</v>
      </c>
      <c r="N2777">
        <v>0</v>
      </c>
      <c r="O2777">
        <v>13</v>
      </c>
    </row>
    <row r="2778" spans="1:15" x14ac:dyDescent="0.25">
      <c r="A2778" t="s">
        <v>1154</v>
      </c>
      <c r="B2778" t="s">
        <v>2861</v>
      </c>
      <c r="C2778" t="s">
        <v>927</v>
      </c>
      <c r="D2778" t="s">
        <v>3052</v>
      </c>
      <c r="E2778" t="s">
        <v>3053</v>
      </c>
      <c r="F2778" t="s">
        <v>439</v>
      </c>
      <c r="G2778" t="s">
        <v>440</v>
      </c>
      <c r="H2778" t="s">
        <v>10408</v>
      </c>
      <c r="I2778">
        <v>70</v>
      </c>
      <c r="J2778">
        <v>45</v>
      </c>
      <c r="K2778">
        <v>0</v>
      </c>
      <c r="L2778">
        <v>0</v>
      </c>
      <c r="M2778">
        <v>0</v>
      </c>
      <c r="N2778">
        <v>0</v>
      </c>
      <c r="O2778">
        <v>25</v>
      </c>
    </row>
    <row r="2779" spans="1:15" x14ac:dyDescent="0.25">
      <c r="A2779" t="s">
        <v>14380</v>
      </c>
      <c r="B2779" t="s">
        <v>2074</v>
      </c>
      <c r="C2779" t="s">
        <v>927</v>
      </c>
      <c r="D2779" t="s">
        <v>3052</v>
      </c>
      <c r="E2779" t="s">
        <v>3053</v>
      </c>
      <c r="F2779" t="s">
        <v>439</v>
      </c>
      <c r="G2779" t="s">
        <v>440</v>
      </c>
      <c r="H2779" t="s">
        <v>14706</v>
      </c>
      <c r="I2779">
        <v>4085</v>
      </c>
      <c r="J2779">
        <v>3267</v>
      </c>
      <c r="K2779">
        <v>0</v>
      </c>
      <c r="L2779">
        <v>3</v>
      </c>
      <c r="M2779">
        <v>427</v>
      </c>
      <c r="N2779">
        <v>40</v>
      </c>
      <c r="O2779">
        <v>388</v>
      </c>
    </row>
    <row r="2780" spans="1:15" x14ac:dyDescent="0.25">
      <c r="A2780" t="s">
        <v>14374</v>
      </c>
      <c r="B2780" t="s">
        <v>1943</v>
      </c>
      <c r="C2780" t="s">
        <v>927</v>
      </c>
      <c r="D2780" t="s">
        <v>3052</v>
      </c>
      <c r="E2780" t="s">
        <v>3053</v>
      </c>
      <c r="F2780" t="s">
        <v>439</v>
      </c>
      <c r="G2780" t="s">
        <v>440</v>
      </c>
      <c r="H2780" t="s">
        <v>14707</v>
      </c>
      <c r="I2780">
        <v>50</v>
      </c>
      <c r="J2780">
        <v>0</v>
      </c>
      <c r="K2780">
        <v>0</v>
      </c>
      <c r="L2780">
        <v>0</v>
      </c>
      <c r="M2780">
        <v>0</v>
      </c>
      <c r="N2780">
        <v>0</v>
      </c>
      <c r="O2780">
        <v>50</v>
      </c>
    </row>
    <row r="2781" spans="1:15" x14ac:dyDescent="0.25">
      <c r="A2781" t="s">
        <v>1176</v>
      </c>
      <c r="B2781" t="s">
        <v>2952</v>
      </c>
      <c r="C2781" t="s">
        <v>923</v>
      </c>
      <c r="D2781" t="s">
        <v>3063</v>
      </c>
      <c r="E2781" t="s">
        <v>3053</v>
      </c>
      <c r="F2781" t="s">
        <v>439</v>
      </c>
      <c r="G2781" t="s">
        <v>440</v>
      </c>
      <c r="H2781" t="s">
        <v>4871</v>
      </c>
      <c r="I2781">
        <v>6</v>
      </c>
      <c r="J2781">
        <v>0</v>
      </c>
      <c r="K2781">
        <v>0</v>
      </c>
      <c r="L2781">
        <v>6</v>
      </c>
      <c r="M2781">
        <v>0</v>
      </c>
      <c r="N2781">
        <v>0</v>
      </c>
      <c r="O2781">
        <v>0</v>
      </c>
    </row>
    <row r="2782" spans="1:15" x14ac:dyDescent="0.25">
      <c r="A2782" t="s">
        <v>1181</v>
      </c>
      <c r="B2782" t="s">
        <v>2894</v>
      </c>
      <c r="C2782" t="s">
        <v>927</v>
      </c>
      <c r="D2782" t="s">
        <v>3052</v>
      </c>
      <c r="E2782" t="s">
        <v>3053</v>
      </c>
      <c r="F2782" t="s">
        <v>439</v>
      </c>
      <c r="G2782" t="s">
        <v>440</v>
      </c>
      <c r="H2782" t="s">
        <v>4872</v>
      </c>
      <c r="I2782">
        <v>2</v>
      </c>
      <c r="J2782">
        <v>1</v>
      </c>
      <c r="K2782">
        <v>0</v>
      </c>
      <c r="L2782">
        <v>0</v>
      </c>
      <c r="M2782">
        <v>0</v>
      </c>
      <c r="N2782">
        <v>0</v>
      </c>
      <c r="O2782">
        <v>1</v>
      </c>
    </row>
    <row r="2783" spans="1:15" x14ac:dyDescent="0.25">
      <c r="A2783" t="s">
        <v>972</v>
      </c>
      <c r="B2783" t="s">
        <v>2842</v>
      </c>
      <c r="C2783" t="s">
        <v>927</v>
      </c>
      <c r="D2783" t="s">
        <v>3052</v>
      </c>
      <c r="E2783" t="s">
        <v>3053</v>
      </c>
      <c r="F2783" t="s">
        <v>441</v>
      </c>
      <c r="G2783" t="s">
        <v>442</v>
      </c>
      <c r="H2783" t="s">
        <v>4873</v>
      </c>
      <c r="I2783">
        <v>78</v>
      </c>
      <c r="J2783">
        <v>41</v>
      </c>
      <c r="K2783">
        <v>0</v>
      </c>
      <c r="L2783">
        <v>0</v>
      </c>
      <c r="M2783">
        <v>0</v>
      </c>
      <c r="N2783">
        <v>0</v>
      </c>
      <c r="O2783">
        <v>37</v>
      </c>
    </row>
    <row r="2784" spans="1:15" x14ac:dyDescent="0.25">
      <c r="A2784" t="s">
        <v>926</v>
      </c>
      <c r="B2784" t="s">
        <v>2923</v>
      </c>
      <c r="C2784" t="s">
        <v>927</v>
      </c>
      <c r="D2784" t="s">
        <v>3052</v>
      </c>
      <c r="E2784" t="s">
        <v>3053</v>
      </c>
      <c r="F2784" t="s">
        <v>441</v>
      </c>
      <c r="G2784" t="s">
        <v>442</v>
      </c>
      <c r="H2784" t="s">
        <v>4874</v>
      </c>
      <c r="I2784">
        <v>21</v>
      </c>
      <c r="J2784">
        <v>0</v>
      </c>
      <c r="K2784">
        <v>0</v>
      </c>
      <c r="L2784">
        <v>20</v>
      </c>
      <c r="M2784">
        <v>0</v>
      </c>
      <c r="N2784">
        <v>0</v>
      </c>
      <c r="O2784">
        <v>1</v>
      </c>
    </row>
    <row r="2785" spans="1:15" x14ac:dyDescent="0.25">
      <c r="A2785" t="s">
        <v>929</v>
      </c>
      <c r="B2785" t="s">
        <v>2999</v>
      </c>
      <c r="C2785" t="s">
        <v>927</v>
      </c>
      <c r="D2785" t="s">
        <v>3052</v>
      </c>
      <c r="E2785" t="s">
        <v>3053</v>
      </c>
      <c r="F2785" t="s">
        <v>441</v>
      </c>
      <c r="G2785" t="s">
        <v>442</v>
      </c>
      <c r="H2785" t="s">
        <v>4875</v>
      </c>
      <c r="I2785">
        <v>124</v>
      </c>
      <c r="J2785">
        <v>18</v>
      </c>
      <c r="K2785">
        <v>0</v>
      </c>
      <c r="L2785">
        <v>0</v>
      </c>
      <c r="M2785">
        <v>106</v>
      </c>
      <c r="N2785">
        <v>0</v>
      </c>
      <c r="O2785">
        <v>0</v>
      </c>
    </row>
    <row r="2786" spans="1:15" x14ac:dyDescent="0.25">
      <c r="A2786" t="s">
        <v>996</v>
      </c>
      <c r="B2786" t="s">
        <v>1952</v>
      </c>
      <c r="C2786" t="s">
        <v>923</v>
      </c>
      <c r="D2786" t="s">
        <v>3063</v>
      </c>
      <c r="E2786" t="s">
        <v>3053</v>
      </c>
      <c r="F2786" t="s">
        <v>441</v>
      </c>
      <c r="G2786" t="s">
        <v>442</v>
      </c>
      <c r="H2786" t="s">
        <v>4876</v>
      </c>
      <c r="I2786">
        <v>6</v>
      </c>
      <c r="J2786">
        <v>0</v>
      </c>
      <c r="K2786">
        <v>0</v>
      </c>
      <c r="L2786">
        <v>6</v>
      </c>
      <c r="M2786">
        <v>0</v>
      </c>
      <c r="N2786">
        <v>0</v>
      </c>
      <c r="O2786">
        <v>0</v>
      </c>
    </row>
    <row r="2787" spans="1:15" x14ac:dyDescent="0.25">
      <c r="A2787" t="s">
        <v>997</v>
      </c>
      <c r="B2787" t="s">
        <v>2033</v>
      </c>
      <c r="C2787" t="s">
        <v>927</v>
      </c>
      <c r="D2787" t="s">
        <v>3052</v>
      </c>
      <c r="E2787" t="s">
        <v>3053</v>
      </c>
      <c r="F2787" t="s">
        <v>441</v>
      </c>
      <c r="G2787" t="s">
        <v>442</v>
      </c>
      <c r="H2787" t="s">
        <v>4877</v>
      </c>
      <c r="I2787">
        <v>2</v>
      </c>
      <c r="J2787">
        <v>0</v>
      </c>
      <c r="K2787">
        <v>0</v>
      </c>
      <c r="L2787">
        <v>0</v>
      </c>
      <c r="M2787">
        <v>0</v>
      </c>
      <c r="N2787">
        <v>0</v>
      </c>
      <c r="O2787">
        <v>2</v>
      </c>
    </row>
    <row r="2788" spans="1:15" x14ac:dyDescent="0.25">
      <c r="A2788" t="s">
        <v>1001</v>
      </c>
      <c r="B2788" t="s">
        <v>3007</v>
      </c>
      <c r="C2788" t="s">
        <v>927</v>
      </c>
      <c r="D2788" t="s">
        <v>3052</v>
      </c>
      <c r="E2788" t="s">
        <v>3053</v>
      </c>
      <c r="F2788" t="s">
        <v>441</v>
      </c>
      <c r="G2788" t="s">
        <v>442</v>
      </c>
      <c r="H2788" t="s">
        <v>11007</v>
      </c>
      <c r="I2788">
        <v>6</v>
      </c>
      <c r="J2788">
        <v>0</v>
      </c>
      <c r="K2788">
        <v>0</v>
      </c>
      <c r="L2788">
        <v>6</v>
      </c>
      <c r="M2788">
        <v>0</v>
      </c>
      <c r="N2788">
        <v>0</v>
      </c>
      <c r="O2788">
        <v>0</v>
      </c>
    </row>
    <row r="2789" spans="1:15" x14ac:dyDescent="0.25">
      <c r="A2789" t="s">
        <v>10638</v>
      </c>
      <c r="B2789" t="s">
        <v>2057</v>
      </c>
      <c r="C2789" t="s">
        <v>927</v>
      </c>
      <c r="D2789" t="s">
        <v>3052</v>
      </c>
      <c r="E2789" t="s">
        <v>3053</v>
      </c>
      <c r="F2789" t="s">
        <v>441</v>
      </c>
      <c r="G2789" t="s">
        <v>442</v>
      </c>
      <c r="H2789" t="s">
        <v>14708</v>
      </c>
      <c r="I2789">
        <v>3</v>
      </c>
      <c r="J2789">
        <v>0</v>
      </c>
      <c r="K2789">
        <v>0</v>
      </c>
      <c r="L2789">
        <v>3</v>
      </c>
      <c r="M2789">
        <v>0</v>
      </c>
      <c r="N2789">
        <v>0</v>
      </c>
      <c r="O2789">
        <v>0</v>
      </c>
    </row>
    <row r="2790" spans="1:15" x14ac:dyDescent="0.25">
      <c r="A2790" t="s">
        <v>1006</v>
      </c>
      <c r="B2790" t="s">
        <v>2724</v>
      </c>
      <c r="C2790" t="s">
        <v>927</v>
      </c>
      <c r="D2790" t="s">
        <v>3052</v>
      </c>
      <c r="E2790" t="s">
        <v>3053</v>
      </c>
      <c r="F2790" t="s">
        <v>441</v>
      </c>
      <c r="G2790" t="s">
        <v>442</v>
      </c>
      <c r="H2790" t="s">
        <v>10076</v>
      </c>
      <c r="I2790">
        <v>1</v>
      </c>
      <c r="J2790">
        <v>0</v>
      </c>
      <c r="K2790">
        <v>0</v>
      </c>
      <c r="L2790">
        <v>0</v>
      </c>
      <c r="M2790">
        <v>0</v>
      </c>
      <c r="N2790">
        <v>0</v>
      </c>
      <c r="O2790">
        <v>1</v>
      </c>
    </row>
    <row r="2791" spans="1:15" x14ac:dyDescent="0.25">
      <c r="A2791" t="s">
        <v>937</v>
      </c>
      <c r="B2791" t="s">
        <v>1962</v>
      </c>
      <c r="C2791" t="s">
        <v>927</v>
      </c>
      <c r="D2791" t="s">
        <v>3052</v>
      </c>
      <c r="E2791" t="s">
        <v>3053</v>
      </c>
      <c r="F2791" t="s">
        <v>441</v>
      </c>
      <c r="G2791" t="s">
        <v>442</v>
      </c>
      <c r="H2791" t="s">
        <v>12005</v>
      </c>
      <c r="I2791">
        <v>23</v>
      </c>
      <c r="J2791">
        <v>0</v>
      </c>
      <c r="K2791">
        <v>0</v>
      </c>
      <c r="L2791">
        <v>0</v>
      </c>
      <c r="M2791">
        <v>0</v>
      </c>
      <c r="N2791">
        <v>0</v>
      </c>
      <c r="O2791">
        <v>23</v>
      </c>
    </row>
    <row r="2792" spans="1:15" x14ac:dyDescent="0.25">
      <c r="A2792" t="s">
        <v>940</v>
      </c>
      <c r="B2792" t="s">
        <v>2647</v>
      </c>
      <c r="C2792" t="s">
        <v>927</v>
      </c>
      <c r="D2792" t="s">
        <v>3052</v>
      </c>
      <c r="E2792" t="s">
        <v>3053</v>
      </c>
      <c r="F2792" t="s">
        <v>441</v>
      </c>
      <c r="G2792" t="s">
        <v>442</v>
      </c>
      <c r="H2792" t="s">
        <v>4878</v>
      </c>
      <c r="I2792">
        <v>37</v>
      </c>
      <c r="J2792">
        <v>0</v>
      </c>
      <c r="K2792">
        <v>0</v>
      </c>
      <c r="L2792">
        <v>0</v>
      </c>
      <c r="M2792">
        <v>37</v>
      </c>
      <c r="N2792">
        <v>0</v>
      </c>
      <c r="O2792">
        <v>0</v>
      </c>
    </row>
    <row r="2793" spans="1:15" x14ac:dyDescent="0.25">
      <c r="A2793" t="s">
        <v>1017</v>
      </c>
      <c r="B2793" t="s">
        <v>2671</v>
      </c>
      <c r="C2793" t="s">
        <v>923</v>
      </c>
      <c r="D2793" t="s">
        <v>3063</v>
      </c>
      <c r="E2793" t="s">
        <v>3053</v>
      </c>
      <c r="F2793" t="s">
        <v>441</v>
      </c>
      <c r="G2793" t="s">
        <v>442</v>
      </c>
      <c r="H2793" t="s">
        <v>4879</v>
      </c>
      <c r="I2793">
        <v>17</v>
      </c>
      <c r="J2793">
        <v>17</v>
      </c>
      <c r="K2793">
        <v>0</v>
      </c>
      <c r="L2793">
        <v>0</v>
      </c>
      <c r="M2793">
        <v>0</v>
      </c>
      <c r="N2793">
        <v>0</v>
      </c>
      <c r="O2793">
        <v>0</v>
      </c>
    </row>
    <row r="2794" spans="1:15" x14ac:dyDescent="0.25">
      <c r="A2794" t="s">
        <v>1019</v>
      </c>
      <c r="B2794" t="s">
        <v>2944</v>
      </c>
      <c r="C2794" t="s">
        <v>927</v>
      </c>
      <c r="D2794" t="s">
        <v>3052</v>
      </c>
      <c r="E2794" t="s">
        <v>3053</v>
      </c>
      <c r="F2794" t="s">
        <v>441</v>
      </c>
      <c r="G2794" t="s">
        <v>442</v>
      </c>
      <c r="H2794" t="s">
        <v>4880</v>
      </c>
      <c r="I2794">
        <v>1</v>
      </c>
      <c r="J2794">
        <v>0</v>
      </c>
      <c r="K2794">
        <v>0</v>
      </c>
      <c r="L2794">
        <v>0</v>
      </c>
      <c r="M2794">
        <v>0</v>
      </c>
      <c r="N2794">
        <v>0</v>
      </c>
      <c r="O2794">
        <v>1</v>
      </c>
    </row>
    <row r="2795" spans="1:15" x14ac:dyDescent="0.25">
      <c r="A2795" t="s">
        <v>1022</v>
      </c>
      <c r="B2795" t="s">
        <v>2116</v>
      </c>
      <c r="C2795" t="s">
        <v>927</v>
      </c>
      <c r="D2795" t="s">
        <v>3052</v>
      </c>
      <c r="E2795" t="s">
        <v>3053</v>
      </c>
      <c r="F2795" t="s">
        <v>441</v>
      </c>
      <c r="G2795" t="s">
        <v>442</v>
      </c>
      <c r="H2795" t="s">
        <v>4881</v>
      </c>
      <c r="I2795">
        <v>317</v>
      </c>
      <c r="J2795">
        <v>193</v>
      </c>
      <c r="K2795">
        <v>0</v>
      </c>
      <c r="L2795">
        <v>20</v>
      </c>
      <c r="M2795">
        <v>0</v>
      </c>
      <c r="N2795">
        <v>0</v>
      </c>
      <c r="O2795">
        <v>104</v>
      </c>
    </row>
    <row r="2796" spans="1:15" x14ac:dyDescent="0.25">
      <c r="A2796" t="s">
        <v>1023</v>
      </c>
      <c r="B2796" t="s">
        <v>2803</v>
      </c>
      <c r="C2796" t="s">
        <v>923</v>
      </c>
      <c r="D2796" t="s">
        <v>3063</v>
      </c>
      <c r="E2796" t="s">
        <v>3053</v>
      </c>
      <c r="F2796" t="s">
        <v>441</v>
      </c>
      <c r="G2796" t="s">
        <v>442</v>
      </c>
      <c r="H2796" t="s">
        <v>4882</v>
      </c>
      <c r="I2796">
        <v>140</v>
      </c>
      <c r="J2796">
        <v>140</v>
      </c>
      <c r="K2796">
        <v>0</v>
      </c>
      <c r="L2796">
        <v>0</v>
      </c>
      <c r="M2796">
        <v>0</v>
      </c>
      <c r="N2796">
        <v>0</v>
      </c>
      <c r="O2796">
        <v>0</v>
      </c>
    </row>
    <row r="2797" spans="1:15" x14ac:dyDescent="0.25">
      <c r="A2797" t="s">
        <v>1026</v>
      </c>
      <c r="B2797" t="s">
        <v>2848</v>
      </c>
      <c r="C2797" t="s">
        <v>927</v>
      </c>
      <c r="D2797" t="s">
        <v>3052</v>
      </c>
      <c r="E2797" t="s">
        <v>3053</v>
      </c>
      <c r="F2797" t="s">
        <v>441</v>
      </c>
      <c r="G2797" t="s">
        <v>442</v>
      </c>
      <c r="H2797" t="s">
        <v>4883</v>
      </c>
      <c r="I2797">
        <v>622</v>
      </c>
      <c r="J2797">
        <v>489</v>
      </c>
      <c r="K2797">
        <v>0</v>
      </c>
      <c r="L2797">
        <v>2</v>
      </c>
      <c r="M2797">
        <v>33</v>
      </c>
      <c r="N2797">
        <v>3</v>
      </c>
      <c r="O2797">
        <v>98</v>
      </c>
    </row>
    <row r="2798" spans="1:15" x14ac:dyDescent="0.25">
      <c r="A2798" t="s">
        <v>1038</v>
      </c>
      <c r="B2798" t="s">
        <v>2068</v>
      </c>
      <c r="C2798" t="s">
        <v>927</v>
      </c>
      <c r="D2798" t="s">
        <v>3052</v>
      </c>
      <c r="E2798" t="s">
        <v>3053</v>
      </c>
      <c r="F2798" t="s">
        <v>441</v>
      </c>
      <c r="G2798" t="s">
        <v>442</v>
      </c>
      <c r="H2798" t="s">
        <v>4884</v>
      </c>
      <c r="I2798">
        <v>2</v>
      </c>
      <c r="J2798">
        <v>0</v>
      </c>
      <c r="K2798">
        <v>0</v>
      </c>
      <c r="L2798">
        <v>0</v>
      </c>
      <c r="M2798">
        <v>0</v>
      </c>
      <c r="N2798">
        <v>0</v>
      </c>
      <c r="O2798">
        <v>2</v>
      </c>
    </row>
    <row r="2799" spans="1:15" x14ac:dyDescent="0.25">
      <c r="A2799" t="s">
        <v>1039</v>
      </c>
      <c r="B2799" t="s">
        <v>2885</v>
      </c>
      <c r="C2799" t="s">
        <v>927</v>
      </c>
      <c r="D2799" t="s">
        <v>3052</v>
      </c>
      <c r="E2799" t="s">
        <v>3053</v>
      </c>
      <c r="F2799" t="s">
        <v>441</v>
      </c>
      <c r="G2799" t="s">
        <v>442</v>
      </c>
      <c r="H2799" t="s">
        <v>14709</v>
      </c>
      <c r="I2799">
        <v>8</v>
      </c>
      <c r="J2799">
        <v>5</v>
      </c>
      <c r="K2799">
        <v>0</v>
      </c>
      <c r="L2799">
        <v>0</v>
      </c>
      <c r="M2799">
        <v>0</v>
      </c>
      <c r="N2799">
        <v>0</v>
      </c>
      <c r="O2799">
        <v>3</v>
      </c>
    </row>
    <row r="2800" spans="1:15" x14ac:dyDescent="0.25">
      <c r="A2800" t="s">
        <v>951</v>
      </c>
      <c r="B2800" t="s">
        <v>2680</v>
      </c>
      <c r="C2800" t="s">
        <v>927</v>
      </c>
      <c r="D2800" t="s">
        <v>3052</v>
      </c>
      <c r="E2800" t="s">
        <v>3053</v>
      </c>
      <c r="F2800" t="s">
        <v>441</v>
      </c>
      <c r="G2800" t="s">
        <v>442</v>
      </c>
      <c r="H2800" t="s">
        <v>10307</v>
      </c>
      <c r="I2800">
        <v>3</v>
      </c>
      <c r="J2800">
        <v>0</v>
      </c>
      <c r="K2800">
        <v>0</v>
      </c>
      <c r="L2800">
        <v>0</v>
      </c>
      <c r="M2800">
        <v>0</v>
      </c>
      <c r="N2800">
        <v>0</v>
      </c>
      <c r="O2800">
        <v>3</v>
      </c>
    </row>
    <row r="2801" spans="1:15" x14ac:dyDescent="0.25">
      <c r="A2801" t="s">
        <v>1049</v>
      </c>
      <c r="B2801" t="s">
        <v>2138</v>
      </c>
      <c r="C2801" t="s">
        <v>927</v>
      </c>
      <c r="D2801" t="s">
        <v>3052</v>
      </c>
      <c r="E2801" t="s">
        <v>3053</v>
      </c>
      <c r="F2801" t="s">
        <v>441</v>
      </c>
      <c r="G2801" t="s">
        <v>442</v>
      </c>
      <c r="H2801" t="s">
        <v>4885</v>
      </c>
      <c r="I2801">
        <v>6956</v>
      </c>
      <c r="J2801">
        <v>6079</v>
      </c>
      <c r="K2801">
        <v>0</v>
      </c>
      <c r="L2801">
        <v>80</v>
      </c>
      <c r="M2801">
        <v>378</v>
      </c>
      <c r="N2801">
        <v>0</v>
      </c>
      <c r="O2801">
        <v>419</v>
      </c>
    </row>
    <row r="2802" spans="1:15" x14ac:dyDescent="0.25">
      <c r="A2802" t="s">
        <v>1051</v>
      </c>
      <c r="B2802" t="s">
        <v>2995</v>
      </c>
      <c r="C2802" t="s">
        <v>927</v>
      </c>
      <c r="D2802" t="s">
        <v>3052</v>
      </c>
      <c r="E2802" t="s">
        <v>3053</v>
      </c>
      <c r="F2802" t="s">
        <v>441</v>
      </c>
      <c r="G2802" t="s">
        <v>442</v>
      </c>
      <c r="H2802" t="s">
        <v>4886</v>
      </c>
      <c r="I2802">
        <v>30</v>
      </c>
      <c r="J2802">
        <v>0</v>
      </c>
      <c r="K2802">
        <v>0</v>
      </c>
      <c r="L2802">
        <v>30</v>
      </c>
      <c r="M2802">
        <v>0</v>
      </c>
      <c r="N2802">
        <v>0</v>
      </c>
      <c r="O2802">
        <v>0</v>
      </c>
    </row>
    <row r="2803" spans="1:15" x14ac:dyDescent="0.25">
      <c r="A2803" t="s">
        <v>11720</v>
      </c>
      <c r="B2803" t="s">
        <v>10718</v>
      </c>
      <c r="C2803" t="s">
        <v>927</v>
      </c>
      <c r="D2803" t="s">
        <v>3052</v>
      </c>
      <c r="E2803" t="s">
        <v>3053</v>
      </c>
      <c r="F2803" t="s">
        <v>441</v>
      </c>
      <c r="G2803" t="s">
        <v>442</v>
      </c>
      <c r="H2803" t="s">
        <v>14710</v>
      </c>
      <c r="I2803">
        <v>17</v>
      </c>
      <c r="J2803">
        <v>4</v>
      </c>
      <c r="K2803">
        <v>0</v>
      </c>
      <c r="L2803">
        <v>0</v>
      </c>
      <c r="M2803">
        <v>0</v>
      </c>
      <c r="N2803">
        <v>0</v>
      </c>
      <c r="O2803">
        <v>13</v>
      </c>
    </row>
    <row r="2804" spans="1:15" x14ac:dyDescent="0.25">
      <c r="A2804" t="s">
        <v>1056</v>
      </c>
      <c r="B2804" t="s">
        <v>2966</v>
      </c>
      <c r="C2804" t="s">
        <v>927</v>
      </c>
      <c r="D2804" t="s">
        <v>3052</v>
      </c>
      <c r="E2804" t="s">
        <v>3053</v>
      </c>
      <c r="F2804" t="s">
        <v>441</v>
      </c>
      <c r="G2804" t="s">
        <v>442</v>
      </c>
      <c r="H2804" t="s">
        <v>4887</v>
      </c>
      <c r="I2804">
        <v>30</v>
      </c>
      <c r="J2804">
        <v>0</v>
      </c>
      <c r="K2804">
        <v>0</v>
      </c>
      <c r="L2804">
        <v>30</v>
      </c>
      <c r="M2804">
        <v>0</v>
      </c>
      <c r="N2804">
        <v>0</v>
      </c>
      <c r="O2804">
        <v>0</v>
      </c>
    </row>
    <row r="2805" spans="1:15" x14ac:dyDescent="0.25">
      <c r="A2805" t="s">
        <v>955</v>
      </c>
      <c r="B2805" t="s">
        <v>2660</v>
      </c>
      <c r="C2805" t="s">
        <v>927</v>
      </c>
      <c r="D2805" t="s">
        <v>3052</v>
      </c>
      <c r="E2805" t="s">
        <v>3053</v>
      </c>
      <c r="F2805" t="s">
        <v>441</v>
      </c>
      <c r="G2805" t="s">
        <v>442</v>
      </c>
      <c r="H2805" t="s">
        <v>4888</v>
      </c>
      <c r="I2805">
        <v>1</v>
      </c>
      <c r="J2805">
        <v>1</v>
      </c>
      <c r="K2805">
        <v>0</v>
      </c>
      <c r="L2805">
        <v>0</v>
      </c>
      <c r="M2805">
        <v>0</v>
      </c>
      <c r="N2805">
        <v>0</v>
      </c>
      <c r="O2805">
        <v>0</v>
      </c>
    </row>
    <row r="2806" spans="1:15" x14ac:dyDescent="0.25">
      <c r="A2806" t="s">
        <v>962</v>
      </c>
      <c r="B2806" t="s">
        <v>2752</v>
      </c>
      <c r="C2806" t="s">
        <v>927</v>
      </c>
      <c r="D2806" t="s">
        <v>3052</v>
      </c>
      <c r="E2806" t="s">
        <v>3053</v>
      </c>
      <c r="F2806" t="s">
        <v>441</v>
      </c>
      <c r="G2806" t="s">
        <v>442</v>
      </c>
      <c r="H2806" t="s">
        <v>10439</v>
      </c>
      <c r="I2806">
        <v>23</v>
      </c>
      <c r="J2806">
        <v>0</v>
      </c>
      <c r="K2806">
        <v>0</v>
      </c>
      <c r="L2806">
        <v>0</v>
      </c>
      <c r="M2806">
        <v>23</v>
      </c>
      <c r="N2806">
        <v>0</v>
      </c>
      <c r="O2806">
        <v>0</v>
      </c>
    </row>
    <row r="2807" spans="1:15" x14ac:dyDescent="0.25">
      <c r="A2807" t="s">
        <v>1684</v>
      </c>
      <c r="B2807" t="s">
        <v>2845</v>
      </c>
      <c r="C2807" t="s">
        <v>927</v>
      </c>
      <c r="D2807" t="s">
        <v>3052</v>
      </c>
      <c r="E2807" t="s">
        <v>3053</v>
      </c>
      <c r="F2807" t="s">
        <v>441</v>
      </c>
      <c r="G2807" t="s">
        <v>442</v>
      </c>
      <c r="H2807" t="s">
        <v>12006</v>
      </c>
      <c r="I2807">
        <v>1</v>
      </c>
      <c r="J2807">
        <v>0</v>
      </c>
      <c r="K2807">
        <v>0</v>
      </c>
      <c r="L2807">
        <v>0</v>
      </c>
      <c r="M2807">
        <v>0</v>
      </c>
      <c r="N2807">
        <v>0</v>
      </c>
      <c r="O2807">
        <v>1</v>
      </c>
    </row>
    <row r="2808" spans="1:15" x14ac:dyDescent="0.25">
      <c r="A2808" t="s">
        <v>11723</v>
      </c>
      <c r="B2808" t="s">
        <v>2719</v>
      </c>
      <c r="C2808" t="s">
        <v>927</v>
      </c>
      <c r="D2808" t="s">
        <v>3052</v>
      </c>
      <c r="E2808" t="s">
        <v>3053</v>
      </c>
      <c r="F2808" t="s">
        <v>443</v>
      </c>
      <c r="G2808" t="s">
        <v>444</v>
      </c>
      <c r="H2808" t="s">
        <v>12007</v>
      </c>
      <c r="I2808">
        <v>100</v>
      </c>
      <c r="J2808">
        <v>72</v>
      </c>
      <c r="K2808">
        <v>0</v>
      </c>
      <c r="L2808">
        <v>15</v>
      </c>
      <c r="M2808">
        <v>0</v>
      </c>
      <c r="N2808">
        <v>0</v>
      </c>
      <c r="O2808">
        <v>13</v>
      </c>
    </row>
    <row r="2809" spans="1:15" x14ac:dyDescent="0.25">
      <c r="A2809" t="s">
        <v>971</v>
      </c>
      <c r="B2809" t="s">
        <v>2956</v>
      </c>
      <c r="C2809" t="s">
        <v>927</v>
      </c>
      <c r="D2809" t="s">
        <v>3052</v>
      </c>
      <c r="E2809" t="s">
        <v>3053</v>
      </c>
      <c r="F2809" t="s">
        <v>443</v>
      </c>
      <c r="G2809" t="s">
        <v>444</v>
      </c>
      <c r="H2809" t="s">
        <v>4889</v>
      </c>
      <c r="I2809">
        <v>78</v>
      </c>
      <c r="J2809">
        <v>44</v>
      </c>
      <c r="K2809">
        <v>0</v>
      </c>
      <c r="L2809">
        <v>0</v>
      </c>
      <c r="M2809">
        <v>0</v>
      </c>
      <c r="N2809">
        <v>0</v>
      </c>
      <c r="O2809">
        <v>34</v>
      </c>
    </row>
    <row r="2810" spans="1:15" x14ac:dyDescent="0.25">
      <c r="A2810" t="s">
        <v>929</v>
      </c>
      <c r="B2810" t="s">
        <v>2999</v>
      </c>
      <c r="C2810" t="s">
        <v>927</v>
      </c>
      <c r="D2810" t="s">
        <v>3052</v>
      </c>
      <c r="E2810" t="s">
        <v>3053</v>
      </c>
      <c r="F2810" t="s">
        <v>443</v>
      </c>
      <c r="G2810" t="s">
        <v>444</v>
      </c>
      <c r="H2810" t="s">
        <v>4890</v>
      </c>
      <c r="I2810">
        <v>384</v>
      </c>
      <c r="J2810">
        <v>0</v>
      </c>
      <c r="K2810">
        <v>0</v>
      </c>
      <c r="L2810">
        <v>0</v>
      </c>
      <c r="M2810">
        <v>370</v>
      </c>
      <c r="N2810">
        <v>13</v>
      </c>
      <c r="O2810">
        <v>14</v>
      </c>
    </row>
    <row r="2811" spans="1:15" x14ac:dyDescent="0.25">
      <c r="A2811" t="s">
        <v>978</v>
      </c>
      <c r="B2811" t="s">
        <v>1999</v>
      </c>
      <c r="C2811" t="s">
        <v>923</v>
      </c>
      <c r="D2811" t="s">
        <v>3063</v>
      </c>
      <c r="E2811" t="s">
        <v>3053</v>
      </c>
      <c r="F2811" t="s">
        <v>443</v>
      </c>
      <c r="G2811" t="s">
        <v>444</v>
      </c>
      <c r="H2811" t="s">
        <v>4891</v>
      </c>
      <c r="I2811">
        <v>1</v>
      </c>
      <c r="J2811">
        <v>1</v>
      </c>
      <c r="K2811">
        <v>0</v>
      </c>
      <c r="L2811">
        <v>0</v>
      </c>
      <c r="M2811">
        <v>0</v>
      </c>
      <c r="N2811">
        <v>0</v>
      </c>
      <c r="O2811">
        <v>0</v>
      </c>
    </row>
    <row r="2812" spans="1:15" x14ac:dyDescent="0.25">
      <c r="A2812" t="s">
        <v>9790</v>
      </c>
      <c r="B2812" t="s">
        <v>1977</v>
      </c>
      <c r="C2812" t="s">
        <v>923</v>
      </c>
      <c r="D2812" t="s">
        <v>3063</v>
      </c>
      <c r="E2812" t="s">
        <v>3053</v>
      </c>
      <c r="F2812" t="s">
        <v>443</v>
      </c>
      <c r="G2812" t="s">
        <v>444</v>
      </c>
      <c r="H2812" t="s">
        <v>12008</v>
      </c>
      <c r="I2812">
        <v>3</v>
      </c>
      <c r="J2812">
        <v>0</v>
      </c>
      <c r="K2812">
        <v>0</v>
      </c>
      <c r="L2812">
        <v>3</v>
      </c>
      <c r="M2812">
        <v>0</v>
      </c>
      <c r="N2812">
        <v>0</v>
      </c>
      <c r="O2812">
        <v>0</v>
      </c>
    </row>
    <row r="2813" spans="1:15" x14ac:dyDescent="0.25">
      <c r="A2813" t="s">
        <v>1458</v>
      </c>
      <c r="B2813" t="s">
        <v>2024</v>
      </c>
      <c r="C2813" t="s">
        <v>923</v>
      </c>
      <c r="D2813" t="s">
        <v>3063</v>
      </c>
      <c r="E2813" t="s">
        <v>3053</v>
      </c>
      <c r="F2813" t="s">
        <v>443</v>
      </c>
      <c r="G2813" t="s">
        <v>444</v>
      </c>
      <c r="H2813" t="s">
        <v>12009</v>
      </c>
      <c r="I2813">
        <v>7</v>
      </c>
      <c r="J2813">
        <v>7</v>
      </c>
      <c r="K2813">
        <v>0</v>
      </c>
      <c r="L2813">
        <v>0</v>
      </c>
      <c r="M2813">
        <v>0</v>
      </c>
      <c r="N2813">
        <v>0</v>
      </c>
      <c r="O2813">
        <v>0</v>
      </c>
    </row>
    <row r="2814" spans="1:15" x14ac:dyDescent="0.25">
      <c r="A2814" t="s">
        <v>9784</v>
      </c>
      <c r="B2814" t="s">
        <v>1994</v>
      </c>
      <c r="C2814" t="s">
        <v>927</v>
      </c>
      <c r="D2814" t="s">
        <v>3052</v>
      </c>
      <c r="E2814" t="s">
        <v>3053</v>
      </c>
      <c r="F2814" t="s">
        <v>443</v>
      </c>
      <c r="G2814" t="s">
        <v>444</v>
      </c>
      <c r="H2814" t="s">
        <v>9938</v>
      </c>
      <c r="I2814">
        <v>14</v>
      </c>
      <c r="J2814">
        <v>0</v>
      </c>
      <c r="K2814">
        <v>0</v>
      </c>
      <c r="L2814">
        <v>14</v>
      </c>
      <c r="M2814">
        <v>0</v>
      </c>
      <c r="N2814">
        <v>0</v>
      </c>
      <c r="O2814">
        <v>0</v>
      </c>
    </row>
    <row r="2815" spans="1:15" x14ac:dyDescent="0.25">
      <c r="A2815" t="s">
        <v>1408</v>
      </c>
      <c r="B2815" t="s">
        <v>3028</v>
      </c>
      <c r="C2815" t="s">
        <v>927</v>
      </c>
      <c r="D2815" t="s">
        <v>3052</v>
      </c>
      <c r="E2815" t="s">
        <v>3053</v>
      </c>
      <c r="F2815" t="s">
        <v>443</v>
      </c>
      <c r="G2815" t="s">
        <v>444</v>
      </c>
      <c r="H2815" t="s">
        <v>4892</v>
      </c>
      <c r="I2815">
        <v>40</v>
      </c>
      <c r="J2815">
        <v>30</v>
      </c>
      <c r="K2815">
        <v>0</v>
      </c>
      <c r="L2815">
        <v>0</v>
      </c>
      <c r="M2815">
        <v>0</v>
      </c>
      <c r="N2815">
        <v>0</v>
      </c>
      <c r="O2815">
        <v>10</v>
      </c>
    </row>
    <row r="2816" spans="1:15" x14ac:dyDescent="0.25">
      <c r="A2816" t="s">
        <v>1411</v>
      </c>
      <c r="B2816" t="s">
        <v>2993</v>
      </c>
      <c r="C2816" t="s">
        <v>927</v>
      </c>
      <c r="D2816" t="s">
        <v>3052</v>
      </c>
      <c r="E2816" t="s">
        <v>3053</v>
      </c>
      <c r="F2816" t="s">
        <v>443</v>
      </c>
      <c r="G2816" t="s">
        <v>444</v>
      </c>
      <c r="H2816" t="s">
        <v>4893</v>
      </c>
      <c r="I2816">
        <v>29</v>
      </c>
      <c r="J2816">
        <v>28</v>
      </c>
      <c r="K2816">
        <v>0</v>
      </c>
      <c r="L2816">
        <v>0</v>
      </c>
      <c r="M2816">
        <v>0</v>
      </c>
      <c r="N2816">
        <v>0</v>
      </c>
      <c r="O2816">
        <v>1</v>
      </c>
    </row>
    <row r="2817" spans="1:15" x14ac:dyDescent="0.25">
      <c r="A2817" t="s">
        <v>996</v>
      </c>
      <c r="B2817" t="s">
        <v>1952</v>
      </c>
      <c r="C2817" t="s">
        <v>923</v>
      </c>
      <c r="D2817" t="s">
        <v>3063</v>
      </c>
      <c r="E2817" t="s">
        <v>3053</v>
      </c>
      <c r="F2817" t="s">
        <v>443</v>
      </c>
      <c r="G2817" t="s">
        <v>444</v>
      </c>
      <c r="H2817" t="s">
        <v>4894</v>
      </c>
      <c r="I2817">
        <v>17</v>
      </c>
      <c r="J2817">
        <v>0</v>
      </c>
      <c r="K2817">
        <v>0</v>
      </c>
      <c r="L2817">
        <v>17</v>
      </c>
      <c r="M2817">
        <v>0</v>
      </c>
      <c r="N2817">
        <v>0</v>
      </c>
      <c r="O2817">
        <v>0</v>
      </c>
    </row>
    <row r="2818" spans="1:15" x14ac:dyDescent="0.25">
      <c r="A2818" t="s">
        <v>10638</v>
      </c>
      <c r="B2818" t="s">
        <v>2057</v>
      </c>
      <c r="C2818" t="s">
        <v>927</v>
      </c>
      <c r="D2818" t="s">
        <v>3052</v>
      </c>
      <c r="E2818" t="s">
        <v>3053</v>
      </c>
      <c r="F2818" t="s">
        <v>443</v>
      </c>
      <c r="G2818" t="s">
        <v>444</v>
      </c>
      <c r="H2818" t="s">
        <v>11008</v>
      </c>
      <c r="I2818">
        <v>16</v>
      </c>
      <c r="J2818">
        <v>0</v>
      </c>
      <c r="K2818">
        <v>0</v>
      </c>
      <c r="L2818">
        <v>16</v>
      </c>
      <c r="M2818">
        <v>0</v>
      </c>
      <c r="N2818">
        <v>0</v>
      </c>
      <c r="O2818">
        <v>0</v>
      </c>
    </row>
    <row r="2819" spans="1:15" x14ac:dyDescent="0.25">
      <c r="A2819" t="s">
        <v>1006</v>
      </c>
      <c r="B2819" t="s">
        <v>2724</v>
      </c>
      <c r="C2819" t="s">
        <v>927</v>
      </c>
      <c r="D2819" t="s">
        <v>3052</v>
      </c>
      <c r="E2819" t="s">
        <v>3053</v>
      </c>
      <c r="F2819" t="s">
        <v>443</v>
      </c>
      <c r="G2819" t="s">
        <v>444</v>
      </c>
      <c r="H2819" t="s">
        <v>10077</v>
      </c>
      <c r="I2819">
        <v>1</v>
      </c>
      <c r="J2819">
        <v>0</v>
      </c>
      <c r="K2819">
        <v>0</v>
      </c>
      <c r="L2819">
        <v>0</v>
      </c>
      <c r="M2819">
        <v>0</v>
      </c>
      <c r="N2819">
        <v>0</v>
      </c>
      <c r="O2819">
        <v>1</v>
      </c>
    </row>
    <row r="2820" spans="1:15" x14ac:dyDescent="0.25">
      <c r="A2820" t="s">
        <v>1419</v>
      </c>
      <c r="B2820" t="s">
        <v>2013</v>
      </c>
      <c r="C2820" t="s">
        <v>923</v>
      </c>
      <c r="D2820" t="s">
        <v>3063</v>
      </c>
      <c r="E2820" t="s">
        <v>3053</v>
      </c>
      <c r="F2820" t="s">
        <v>443</v>
      </c>
      <c r="G2820" t="s">
        <v>444</v>
      </c>
      <c r="H2820" t="s">
        <v>4895</v>
      </c>
      <c r="I2820">
        <v>44</v>
      </c>
      <c r="J2820">
        <v>44</v>
      </c>
      <c r="K2820">
        <v>0</v>
      </c>
      <c r="L2820">
        <v>0</v>
      </c>
      <c r="M2820">
        <v>0</v>
      </c>
      <c r="N2820">
        <v>0</v>
      </c>
      <c r="O2820">
        <v>0</v>
      </c>
    </row>
    <row r="2821" spans="1:15" x14ac:dyDescent="0.25">
      <c r="A2821" t="s">
        <v>937</v>
      </c>
      <c r="B2821" t="s">
        <v>1962</v>
      </c>
      <c r="C2821" t="s">
        <v>927</v>
      </c>
      <c r="D2821" t="s">
        <v>3052</v>
      </c>
      <c r="E2821" t="s">
        <v>3053</v>
      </c>
      <c r="F2821" t="s">
        <v>443</v>
      </c>
      <c r="G2821" t="s">
        <v>444</v>
      </c>
      <c r="H2821" t="s">
        <v>4896</v>
      </c>
      <c r="I2821">
        <v>105</v>
      </c>
      <c r="J2821">
        <v>0</v>
      </c>
      <c r="K2821">
        <v>0</v>
      </c>
      <c r="L2821">
        <v>0</v>
      </c>
      <c r="M2821">
        <v>0</v>
      </c>
      <c r="N2821">
        <v>0</v>
      </c>
      <c r="O2821">
        <v>105</v>
      </c>
    </row>
    <row r="2822" spans="1:15" x14ac:dyDescent="0.25">
      <c r="A2822" t="s">
        <v>1011</v>
      </c>
      <c r="B2822" t="s">
        <v>2020</v>
      </c>
      <c r="C2822" t="s">
        <v>927</v>
      </c>
      <c r="D2822" t="s">
        <v>3052</v>
      </c>
      <c r="E2822" t="s">
        <v>3053</v>
      </c>
      <c r="F2822" t="s">
        <v>443</v>
      </c>
      <c r="G2822" t="s">
        <v>444</v>
      </c>
      <c r="H2822" t="s">
        <v>4897</v>
      </c>
      <c r="I2822">
        <v>11</v>
      </c>
      <c r="J2822">
        <v>0</v>
      </c>
      <c r="K2822">
        <v>0</v>
      </c>
      <c r="L2822">
        <v>11</v>
      </c>
      <c r="M2822">
        <v>0</v>
      </c>
      <c r="N2822">
        <v>0</v>
      </c>
      <c r="O2822">
        <v>0</v>
      </c>
    </row>
    <row r="2823" spans="1:15" x14ac:dyDescent="0.25">
      <c r="A2823" t="s">
        <v>938</v>
      </c>
      <c r="B2823" t="s">
        <v>2791</v>
      </c>
      <c r="C2823" t="s">
        <v>927</v>
      </c>
      <c r="D2823" t="s">
        <v>3052</v>
      </c>
      <c r="E2823" t="s">
        <v>3053</v>
      </c>
      <c r="F2823" t="s">
        <v>443</v>
      </c>
      <c r="G2823" t="s">
        <v>444</v>
      </c>
      <c r="H2823" t="s">
        <v>4898</v>
      </c>
      <c r="I2823">
        <v>157</v>
      </c>
      <c r="J2823">
        <v>133</v>
      </c>
      <c r="K2823">
        <v>0</v>
      </c>
      <c r="L2823">
        <v>7</v>
      </c>
      <c r="M2823">
        <v>0</v>
      </c>
      <c r="N2823">
        <v>0</v>
      </c>
      <c r="O2823">
        <v>17</v>
      </c>
    </row>
    <row r="2824" spans="1:15" x14ac:dyDescent="0.25">
      <c r="A2824" t="s">
        <v>940</v>
      </c>
      <c r="B2824" t="s">
        <v>2647</v>
      </c>
      <c r="C2824" t="s">
        <v>927</v>
      </c>
      <c r="D2824" t="s">
        <v>3052</v>
      </c>
      <c r="E2824" t="s">
        <v>3053</v>
      </c>
      <c r="F2824" t="s">
        <v>443</v>
      </c>
      <c r="G2824" t="s">
        <v>444</v>
      </c>
      <c r="H2824" t="s">
        <v>4899</v>
      </c>
      <c r="I2824">
        <v>112</v>
      </c>
      <c r="J2824">
        <v>0</v>
      </c>
      <c r="K2824">
        <v>0</v>
      </c>
      <c r="L2824">
        <v>1</v>
      </c>
      <c r="M2824">
        <v>105</v>
      </c>
      <c r="N2824">
        <v>0</v>
      </c>
      <c r="O2824">
        <v>6</v>
      </c>
    </row>
    <row r="2825" spans="1:15" x14ac:dyDescent="0.25">
      <c r="A2825" t="s">
        <v>1893</v>
      </c>
      <c r="B2825" t="s">
        <v>2793</v>
      </c>
      <c r="C2825" t="s">
        <v>923</v>
      </c>
      <c r="D2825" t="s">
        <v>3063</v>
      </c>
      <c r="E2825" t="s">
        <v>3053</v>
      </c>
      <c r="F2825" t="s">
        <v>443</v>
      </c>
      <c r="G2825" t="s">
        <v>444</v>
      </c>
      <c r="H2825" t="s">
        <v>4900</v>
      </c>
      <c r="I2825">
        <v>117</v>
      </c>
      <c r="J2825">
        <v>117</v>
      </c>
      <c r="K2825">
        <v>0</v>
      </c>
      <c r="L2825">
        <v>0</v>
      </c>
      <c r="M2825">
        <v>0</v>
      </c>
      <c r="N2825">
        <v>0</v>
      </c>
      <c r="O2825">
        <v>0</v>
      </c>
    </row>
    <row r="2826" spans="1:15" x14ac:dyDescent="0.25">
      <c r="A2826" t="s">
        <v>1013</v>
      </c>
      <c r="B2826" t="s">
        <v>1959</v>
      </c>
      <c r="C2826" t="s">
        <v>927</v>
      </c>
      <c r="D2826" t="s">
        <v>3052</v>
      </c>
      <c r="E2826" t="s">
        <v>3053</v>
      </c>
      <c r="F2826" t="s">
        <v>443</v>
      </c>
      <c r="G2826" t="s">
        <v>444</v>
      </c>
      <c r="H2826" t="s">
        <v>10126</v>
      </c>
      <c r="I2826">
        <v>7</v>
      </c>
      <c r="J2826">
        <v>0</v>
      </c>
      <c r="K2826">
        <v>0</v>
      </c>
      <c r="L2826">
        <v>7</v>
      </c>
      <c r="M2826">
        <v>0</v>
      </c>
      <c r="N2826">
        <v>0</v>
      </c>
      <c r="O2826">
        <v>0</v>
      </c>
    </row>
    <row r="2827" spans="1:15" x14ac:dyDescent="0.25">
      <c r="A2827" t="s">
        <v>1426</v>
      </c>
      <c r="B2827" t="s">
        <v>2137</v>
      </c>
      <c r="C2827" t="s">
        <v>927</v>
      </c>
      <c r="D2827" t="s">
        <v>3052</v>
      </c>
      <c r="E2827" t="s">
        <v>3053</v>
      </c>
      <c r="F2827" t="s">
        <v>443</v>
      </c>
      <c r="G2827" t="s">
        <v>444</v>
      </c>
      <c r="H2827" t="s">
        <v>4901</v>
      </c>
      <c r="I2827">
        <v>54</v>
      </c>
      <c r="J2827">
        <v>0</v>
      </c>
      <c r="K2827">
        <v>0</v>
      </c>
      <c r="L2827">
        <v>15</v>
      </c>
      <c r="M2827">
        <v>0</v>
      </c>
      <c r="N2827">
        <v>0</v>
      </c>
      <c r="O2827">
        <v>39</v>
      </c>
    </row>
    <row r="2828" spans="1:15" x14ac:dyDescent="0.25">
      <c r="A2828" t="s">
        <v>1427</v>
      </c>
      <c r="B2828" t="s">
        <v>2087</v>
      </c>
      <c r="C2828" t="s">
        <v>927</v>
      </c>
      <c r="D2828" t="s">
        <v>3052</v>
      </c>
      <c r="E2828" t="s">
        <v>3053</v>
      </c>
      <c r="F2828" t="s">
        <v>443</v>
      </c>
      <c r="G2828" t="s">
        <v>444</v>
      </c>
      <c r="H2828" t="s">
        <v>4902</v>
      </c>
      <c r="I2828">
        <v>392</v>
      </c>
      <c r="J2828">
        <v>309</v>
      </c>
      <c r="K2828">
        <v>0</v>
      </c>
      <c r="L2828">
        <v>0</v>
      </c>
      <c r="M2828">
        <v>0</v>
      </c>
      <c r="N2828">
        <v>0</v>
      </c>
      <c r="O2828">
        <v>83</v>
      </c>
    </row>
    <row r="2829" spans="1:15" x14ac:dyDescent="0.25">
      <c r="A2829" t="s">
        <v>1905</v>
      </c>
      <c r="B2829" t="s">
        <v>2327</v>
      </c>
      <c r="C2829" t="s">
        <v>927</v>
      </c>
      <c r="D2829" t="s">
        <v>3052</v>
      </c>
      <c r="E2829" t="s">
        <v>3053</v>
      </c>
      <c r="F2829" t="s">
        <v>443</v>
      </c>
      <c r="G2829" t="s">
        <v>444</v>
      </c>
      <c r="H2829" t="s">
        <v>4903</v>
      </c>
      <c r="I2829">
        <v>26</v>
      </c>
      <c r="J2829">
        <v>26</v>
      </c>
      <c r="K2829">
        <v>0</v>
      </c>
      <c r="L2829">
        <v>0</v>
      </c>
      <c r="M2829">
        <v>0</v>
      </c>
      <c r="N2829">
        <v>0</v>
      </c>
      <c r="O2829">
        <v>0</v>
      </c>
    </row>
    <row r="2830" spans="1:15" x14ac:dyDescent="0.25">
      <c r="A2830" t="s">
        <v>951</v>
      </c>
      <c r="B2830" t="s">
        <v>2680</v>
      </c>
      <c r="C2830" t="s">
        <v>927</v>
      </c>
      <c r="D2830" t="s">
        <v>3052</v>
      </c>
      <c r="E2830" t="s">
        <v>3053</v>
      </c>
      <c r="F2830" t="s">
        <v>443</v>
      </c>
      <c r="G2830" t="s">
        <v>444</v>
      </c>
      <c r="H2830" t="s">
        <v>4904</v>
      </c>
      <c r="I2830">
        <v>376</v>
      </c>
      <c r="J2830">
        <v>347</v>
      </c>
      <c r="K2830">
        <v>0</v>
      </c>
      <c r="L2830">
        <v>8</v>
      </c>
      <c r="M2830">
        <v>0</v>
      </c>
      <c r="N2830">
        <v>0</v>
      </c>
      <c r="O2830">
        <v>21</v>
      </c>
    </row>
    <row r="2831" spans="1:15" x14ac:dyDescent="0.25">
      <c r="A2831" t="s">
        <v>1048</v>
      </c>
      <c r="B2831" t="s">
        <v>2989</v>
      </c>
      <c r="C2831" t="s">
        <v>927</v>
      </c>
      <c r="D2831" t="s">
        <v>3052</v>
      </c>
      <c r="E2831" t="s">
        <v>3053</v>
      </c>
      <c r="F2831" t="s">
        <v>443</v>
      </c>
      <c r="G2831" t="s">
        <v>444</v>
      </c>
      <c r="H2831" t="s">
        <v>4905</v>
      </c>
      <c r="I2831">
        <v>47</v>
      </c>
      <c r="J2831">
        <v>2</v>
      </c>
      <c r="K2831">
        <v>0</v>
      </c>
      <c r="L2831">
        <v>45</v>
      </c>
      <c r="M2831">
        <v>0</v>
      </c>
      <c r="N2831">
        <v>0</v>
      </c>
      <c r="O2831">
        <v>0</v>
      </c>
    </row>
    <row r="2832" spans="1:15" x14ac:dyDescent="0.25">
      <c r="A2832" t="s">
        <v>1436</v>
      </c>
      <c r="B2832" t="s">
        <v>2209</v>
      </c>
      <c r="C2832" t="s">
        <v>927</v>
      </c>
      <c r="D2832" t="s">
        <v>3052</v>
      </c>
      <c r="E2832" t="s">
        <v>3053</v>
      </c>
      <c r="F2832" t="s">
        <v>443</v>
      </c>
      <c r="G2832" t="s">
        <v>444</v>
      </c>
      <c r="H2832" t="s">
        <v>4906</v>
      </c>
      <c r="I2832">
        <v>90</v>
      </c>
      <c r="J2832">
        <v>12</v>
      </c>
      <c r="K2832">
        <v>0</v>
      </c>
      <c r="L2832">
        <v>36</v>
      </c>
      <c r="M2832">
        <v>42</v>
      </c>
      <c r="N2832">
        <v>44</v>
      </c>
      <c r="O2832">
        <v>0</v>
      </c>
    </row>
    <row r="2833" spans="1:15" x14ac:dyDescent="0.25">
      <c r="A2833" t="s">
        <v>953</v>
      </c>
      <c r="B2833" t="s">
        <v>2014</v>
      </c>
      <c r="C2833" t="s">
        <v>927</v>
      </c>
      <c r="D2833" t="s">
        <v>3052</v>
      </c>
      <c r="E2833" t="s">
        <v>3053</v>
      </c>
      <c r="F2833" t="s">
        <v>443</v>
      </c>
      <c r="G2833" t="s">
        <v>444</v>
      </c>
      <c r="H2833" t="s">
        <v>4907</v>
      </c>
      <c r="I2833">
        <v>14</v>
      </c>
      <c r="J2833">
        <v>0</v>
      </c>
      <c r="K2833">
        <v>0</v>
      </c>
      <c r="L2833">
        <v>14</v>
      </c>
      <c r="M2833">
        <v>0</v>
      </c>
      <c r="N2833">
        <v>0</v>
      </c>
      <c r="O2833">
        <v>0</v>
      </c>
    </row>
    <row r="2834" spans="1:15" x14ac:dyDescent="0.25">
      <c r="A2834" t="s">
        <v>11720</v>
      </c>
      <c r="B2834" t="s">
        <v>10718</v>
      </c>
      <c r="C2834" t="s">
        <v>927</v>
      </c>
      <c r="D2834" t="s">
        <v>3052</v>
      </c>
      <c r="E2834" t="s">
        <v>3053</v>
      </c>
      <c r="F2834" t="s">
        <v>443</v>
      </c>
      <c r="G2834" t="s">
        <v>444</v>
      </c>
      <c r="H2834" t="s">
        <v>14711</v>
      </c>
      <c r="I2834">
        <v>60</v>
      </c>
      <c r="J2834">
        <v>41</v>
      </c>
      <c r="K2834">
        <v>0</v>
      </c>
      <c r="L2834">
        <v>0</v>
      </c>
      <c r="M2834">
        <v>0</v>
      </c>
      <c r="N2834">
        <v>0</v>
      </c>
      <c r="O2834">
        <v>19</v>
      </c>
    </row>
    <row r="2835" spans="1:15" x14ac:dyDescent="0.25">
      <c r="A2835" t="s">
        <v>9788</v>
      </c>
      <c r="B2835" t="s">
        <v>9871</v>
      </c>
      <c r="C2835" t="s">
        <v>927</v>
      </c>
      <c r="D2835" t="s">
        <v>3052</v>
      </c>
      <c r="E2835" t="s">
        <v>3053</v>
      </c>
      <c r="F2835" t="s">
        <v>443</v>
      </c>
      <c r="G2835" t="s">
        <v>444</v>
      </c>
      <c r="H2835" t="s">
        <v>11009</v>
      </c>
      <c r="I2835">
        <v>70</v>
      </c>
      <c r="J2835">
        <v>70</v>
      </c>
      <c r="K2835">
        <v>0</v>
      </c>
      <c r="L2835">
        <v>0</v>
      </c>
      <c r="M2835">
        <v>0</v>
      </c>
      <c r="N2835">
        <v>0</v>
      </c>
      <c r="O2835">
        <v>0</v>
      </c>
    </row>
    <row r="2836" spans="1:15" x14ac:dyDescent="0.25">
      <c r="A2836" t="s">
        <v>1057</v>
      </c>
      <c r="B2836" t="s">
        <v>1972</v>
      </c>
      <c r="C2836" t="s">
        <v>927</v>
      </c>
      <c r="D2836" t="s">
        <v>3052</v>
      </c>
      <c r="E2836" t="s">
        <v>3053</v>
      </c>
      <c r="F2836" t="s">
        <v>443</v>
      </c>
      <c r="G2836" t="s">
        <v>444</v>
      </c>
      <c r="H2836" t="s">
        <v>4908</v>
      </c>
      <c r="I2836">
        <v>3</v>
      </c>
      <c r="J2836">
        <v>3</v>
      </c>
      <c r="K2836">
        <v>0</v>
      </c>
      <c r="L2836">
        <v>0</v>
      </c>
      <c r="M2836">
        <v>0</v>
      </c>
      <c r="N2836">
        <v>0</v>
      </c>
      <c r="O2836">
        <v>0</v>
      </c>
    </row>
    <row r="2837" spans="1:15" x14ac:dyDescent="0.25">
      <c r="A2837" t="s">
        <v>955</v>
      </c>
      <c r="B2837" t="s">
        <v>2660</v>
      </c>
      <c r="C2837" t="s">
        <v>927</v>
      </c>
      <c r="D2837" t="s">
        <v>3052</v>
      </c>
      <c r="E2837" t="s">
        <v>3053</v>
      </c>
      <c r="F2837" t="s">
        <v>443</v>
      </c>
      <c r="G2837" t="s">
        <v>444</v>
      </c>
      <c r="H2837" t="s">
        <v>4909</v>
      </c>
      <c r="I2837">
        <v>337</v>
      </c>
      <c r="J2837">
        <v>224</v>
      </c>
      <c r="K2837">
        <v>0</v>
      </c>
      <c r="L2837">
        <v>33</v>
      </c>
      <c r="M2837">
        <v>49</v>
      </c>
      <c r="N2837">
        <v>0</v>
      </c>
      <c r="O2837">
        <v>31</v>
      </c>
    </row>
    <row r="2838" spans="1:15" x14ac:dyDescent="0.25">
      <c r="A2838" t="s">
        <v>14374</v>
      </c>
      <c r="B2838" t="s">
        <v>1943</v>
      </c>
      <c r="C2838" t="s">
        <v>927</v>
      </c>
      <c r="D2838" t="s">
        <v>3052</v>
      </c>
      <c r="E2838" t="s">
        <v>3053</v>
      </c>
      <c r="F2838" t="s">
        <v>443</v>
      </c>
      <c r="G2838" t="s">
        <v>444</v>
      </c>
      <c r="H2838" t="s">
        <v>14712</v>
      </c>
      <c r="I2838">
        <v>6</v>
      </c>
      <c r="J2838">
        <v>0</v>
      </c>
      <c r="K2838">
        <v>0</v>
      </c>
      <c r="L2838">
        <v>0</v>
      </c>
      <c r="M2838">
        <v>0</v>
      </c>
      <c r="N2838">
        <v>0</v>
      </c>
      <c r="O2838">
        <v>6</v>
      </c>
    </row>
    <row r="2839" spans="1:15" x14ac:dyDescent="0.25">
      <c r="A2839" t="s">
        <v>1909</v>
      </c>
      <c r="B2839" t="s">
        <v>2378</v>
      </c>
      <c r="C2839" t="s">
        <v>923</v>
      </c>
      <c r="D2839" t="s">
        <v>3063</v>
      </c>
      <c r="E2839" t="s">
        <v>3053</v>
      </c>
      <c r="F2839" t="s">
        <v>443</v>
      </c>
      <c r="G2839" t="s">
        <v>444</v>
      </c>
      <c r="H2839" t="s">
        <v>4910</v>
      </c>
      <c r="I2839">
        <v>78</v>
      </c>
      <c r="J2839">
        <v>41</v>
      </c>
      <c r="K2839">
        <v>0</v>
      </c>
      <c r="L2839">
        <v>0</v>
      </c>
      <c r="M2839">
        <v>37</v>
      </c>
      <c r="N2839">
        <v>1</v>
      </c>
      <c r="O2839">
        <v>0</v>
      </c>
    </row>
    <row r="2840" spans="1:15" x14ac:dyDescent="0.25">
      <c r="A2840" t="s">
        <v>1066</v>
      </c>
      <c r="B2840" t="s">
        <v>2557</v>
      </c>
      <c r="C2840" t="s">
        <v>927</v>
      </c>
      <c r="D2840" t="s">
        <v>3052</v>
      </c>
      <c r="E2840" t="s">
        <v>3053</v>
      </c>
      <c r="F2840" t="s">
        <v>443</v>
      </c>
      <c r="G2840" t="s">
        <v>444</v>
      </c>
      <c r="H2840" t="s">
        <v>4911</v>
      </c>
      <c r="I2840">
        <v>15</v>
      </c>
      <c r="J2840">
        <v>0</v>
      </c>
      <c r="K2840">
        <v>0</v>
      </c>
      <c r="L2840">
        <v>0</v>
      </c>
      <c r="M2840">
        <v>15</v>
      </c>
      <c r="N2840">
        <v>0</v>
      </c>
      <c r="O2840">
        <v>0</v>
      </c>
    </row>
    <row r="2841" spans="1:15" x14ac:dyDescent="0.25">
      <c r="A2841" t="s">
        <v>1069</v>
      </c>
      <c r="B2841" t="s">
        <v>2001</v>
      </c>
      <c r="C2841" t="s">
        <v>927</v>
      </c>
      <c r="D2841" t="s">
        <v>3052</v>
      </c>
      <c r="E2841" t="s">
        <v>3053</v>
      </c>
      <c r="F2841" t="s">
        <v>443</v>
      </c>
      <c r="G2841" t="s">
        <v>444</v>
      </c>
      <c r="H2841" t="s">
        <v>12010</v>
      </c>
      <c r="I2841">
        <v>1</v>
      </c>
      <c r="J2841">
        <v>0</v>
      </c>
      <c r="K2841">
        <v>0</v>
      </c>
      <c r="L2841">
        <v>0</v>
      </c>
      <c r="M2841">
        <v>0</v>
      </c>
      <c r="N2841">
        <v>0</v>
      </c>
      <c r="O2841">
        <v>1</v>
      </c>
    </row>
    <row r="2842" spans="1:15" x14ac:dyDescent="0.25">
      <c r="A2842" t="s">
        <v>1072</v>
      </c>
      <c r="B2842" t="s">
        <v>2907</v>
      </c>
      <c r="C2842" t="s">
        <v>927</v>
      </c>
      <c r="D2842" t="s">
        <v>3052</v>
      </c>
      <c r="E2842" t="s">
        <v>3053</v>
      </c>
      <c r="F2842" t="s">
        <v>443</v>
      </c>
      <c r="G2842" t="s">
        <v>444</v>
      </c>
      <c r="H2842" t="s">
        <v>4912</v>
      </c>
      <c r="I2842">
        <v>53</v>
      </c>
      <c r="J2842">
        <v>53</v>
      </c>
      <c r="K2842">
        <v>0</v>
      </c>
      <c r="L2842">
        <v>0</v>
      </c>
      <c r="M2842">
        <v>0</v>
      </c>
      <c r="N2842">
        <v>0</v>
      </c>
      <c r="O2842">
        <v>0</v>
      </c>
    </row>
    <row r="2843" spans="1:15" x14ac:dyDescent="0.25">
      <c r="A2843" t="s">
        <v>1180</v>
      </c>
      <c r="B2843" t="s">
        <v>2896</v>
      </c>
      <c r="C2843" t="s">
        <v>927</v>
      </c>
      <c r="D2843" t="s">
        <v>3052</v>
      </c>
      <c r="E2843" t="s">
        <v>3053</v>
      </c>
      <c r="F2843" t="s">
        <v>443</v>
      </c>
      <c r="G2843" t="s">
        <v>444</v>
      </c>
      <c r="H2843" t="s">
        <v>11010</v>
      </c>
      <c r="I2843">
        <v>84</v>
      </c>
      <c r="J2843">
        <v>44</v>
      </c>
      <c r="K2843">
        <v>0</v>
      </c>
      <c r="L2843">
        <v>0</v>
      </c>
      <c r="M2843">
        <v>0</v>
      </c>
      <c r="N2843">
        <v>0</v>
      </c>
      <c r="O2843">
        <v>40</v>
      </c>
    </row>
    <row r="2844" spans="1:15" x14ac:dyDescent="0.25">
      <c r="A2844" t="s">
        <v>1075</v>
      </c>
      <c r="B2844" t="s">
        <v>2830</v>
      </c>
      <c r="C2844" t="s">
        <v>927</v>
      </c>
      <c r="D2844" t="s">
        <v>3052</v>
      </c>
      <c r="E2844" t="s">
        <v>3053</v>
      </c>
      <c r="F2844" t="s">
        <v>443</v>
      </c>
      <c r="G2844" t="s">
        <v>444</v>
      </c>
      <c r="H2844" t="s">
        <v>4913</v>
      </c>
      <c r="I2844">
        <v>632</v>
      </c>
      <c r="J2844">
        <v>562</v>
      </c>
      <c r="K2844">
        <v>0</v>
      </c>
      <c r="L2844">
        <v>10</v>
      </c>
      <c r="M2844">
        <v>0</v>
      </c>
      <c r="N2844">
        <v>0</v>
      </c>
      <c r="O2844">
        <v>60</v>
      </c>
    </row>
    <row r="2845" spans="1:15" x14ac:dyDescent="0.25">
      <c r="A2845" t="s">
        <v>1684</v>
      </c>
      <c r="B2845" t="s">
        <v>2845</v>
      </c>
      <c r="C2845" t="s">
        <v>927</v>
      </c>
      <c r="D2845" t="s">
        <v>3052</v>
      </c>
      <c r="E2845" t="s">
        <v>3053</v>
      </c>
      <c r="F2845" t="s">
        <v>443</v>
      </c>
      <c r="G2845" t="s">
        <v>444</v>
      </c>
      <c r="H2845" t="s">
        <v>12011</v>
      </c>
      <c r="I2845">
        <v>1</v>
      </c>
      <c r="J2845">
        <v>0</v>
      </c>
      <c r="K2845">
        <v>0</v>
      </c>
      <c r="L2845">
        <v>0</v>
      </c>
      <c r="M2845">
        <v>0</v>
      </c>
      <c r="N2845">
        <v>0</v>
      </c>
      <c r="O2845">
        <v>1</v>
      </c>
    </row>
    <row r="2846" spans="1:15" x14ac:dyDescent="0.25">
      <c r="A2846" t="s">
        <v>1920</v>
      </c>
      <c r="B2846" t="s">
        <v>2871</v>
      </c>
      <c r="C2846" t="s">
        <v>927</v>
      </c>
      <c r="D2846" t="s">
        <v>3052</v>
      </c>
      <c r="E2846" t="s">
        <v>3053</v>
      </c>
      <c r="F2846" t="s">
        <v>443</v>
      </c>
      <c r="G2846" t="s">
        <v>444</v>
      </c>
      <c r="H2846" t="s">
        <v>4914</v>
      </c>
      <c r="I2846">
        <v>608</v>
      </c>
      <c r="J2846">
        <v>455</v>
      </c>
      <c r="K2846">
        <v>0</v>
      </c>
      <c r="L2846">
        <v>0</v>
      </c>
      <c r="M2846">
        <v>0</v>
      </c>
      <c r="N2846">
        <v>0</v>
      </c>
      <c r="O2846">
        <v>153</v>
      </c>
    </row>
    <row r="2847" spans="1:15" x14ac:dyDescent="0.25">
      <c r="A2847" t="s">
        <v>1080</v>
      </c>
      <c r="B2847" t="s">
        <v>2030</v>
      </c>
      <c r="C2847" t="s">
        <v>923</v>
      </c>
      <c r="D2847" t="s">
        <v>3063</v>
      </c>
      <c r="E2847" t="s">
        <v>3053</v>
      </c>
      <c r="F2847" t="s">
        <v>443</v>
      </c>
      <c r="G2847" t="s">
        <v>444</v>
      </c>
      <c r="H2847" t="s">
        <v>4915</v>
      </c>
      <c r="I2847">
        <v>3</v>
      </c>
      <c r="J2847">
        <v>0</v>
      </c>
      <c r="K2847">
        <v>0</v>
      </c>
      <c r="L2847">
        <v>3</v>
      </c>
      <c r="M2847">
        <v>0</v>
      </c>
      <c r="N2847">
        <v>0</v>
      </c>
      <c r="O2847">
        <v>0</v>
      </c>
    </row>
    <row r="2848" spans="1:15" x14ac:dyDescent="0.25">
      <c r="A2848" t="s">
        <v>10787</v>
      </c>
      <c r="B2848" t="s">
        <v>2599</v>
      </c>
      <c r="C2848" t="s">
        <v>923</v>
      </c>
      <c r="D2848" t="s">
        <v>3063</v>
      </c>
      <c r="E2848" t="s">
        <v>3053</v>
      </c>
      <c r="F2848" t="s">
        <v>443</v>
      </c>
      <c r="G2848" t="s">
        <v>444</v>
      </c>
      <c r="H2848" t="s">
        <v>11011</v>
      </c>
      <c r="I2848">
        <v>21</v>
      </c>
      <c r="J2848">
        <v>0</v>
      </c>
      <c r="K2848">
        <v>0</v>
      </c>
      <c r="L2848">
        <v>21</v>
      </c>
      <c r="M2848">
        <v>0</v>
      </c>
      <c r="N2848">
        <v>0</v>
      </c>
      <c r="O2848">
        <v>0</v>
      </c>
    </row>
    <row r="2849" spans="1:15" x14ac:dyDescent="0.25">
      <c r="A2849" t="s">
        <v>1563</v>
      </c>
      <c r="B2849" t="s">
        <v>2895</v>
      </c>
      <c r="C2849" t="s">
        <v>927</v>
      </c>
      <c r="D2849" t="s">
        <v>3052</v>
      </c>
      <c r="E2849" t="s">
        <v>3053</v>
      </c>
      <c r="F2849" t="s">
        <v>443</v>
      </c>
      <c r="G2849" t="s">
        <v>444</v>
      </c>
      <c r="H2849" t="s">
        <v>4916</v>
      </c>
      <c r="I2849">
        <v>441</v>
      </c>
      <c r="J2849">
        <v>348</v>
      </c>
      <c r="K2849">
        <v>0</v>
      </c>
      <c r="L2849">
        <v>0</v>
      </c>
      <c r="M2849">
        <v>0</v>
      </c>
      <c r="N2849">
        <v>0</v>
      </c>
      <c r="O2849">
        <v>93</v>
      </c>
    </row>
    <row r="2850" spans="1:15" x14ac:dyDescent="0.25">
      <c r="A2850" t="s">
        <v>926</v>
      </c>
      <c r="B2850" t="s">
        <v>2923</v>
      </c>
      <c r="C2850" t="s">
        <v>927</v>
      </c>
      <c r="D2850" t="s">
        <v>3052</v>
      </c>
      <c r="E2850" t="s">
        <v>3053</v>
      </c>
      <c r="F2850" t="s">
        <v>445</v>
      </c>
      <c r="G2850" t="s">
        <v>446</v>
      </c>
      <c r="H2850" t="s">
        <v>4917</v>
      </c>
      <c r="I2850">
        <v>1</v>
      </c>
      <c r="J2850">
        <v>0</v>
      </c>
      <c r="K2850">
        <v>0</v>
      </c>
      <c r="L2850">
        <v>0</v>
      </c>
      <c r="M2850">
        <v>0</v>
      </c>
      <c r="N2850">
        <v>0</v>
      </c>
      <c r="O2850">
        <v>1</v>
      </c>
    </row>
    <row r="2851" spans="1:15" x14ac:dyDescent="0.25">
      <c r="A2851" t="s">
        <v>929</v>
      </c>
      <c r="B2851" t="s">
        <v>2999</v>
      </c>
      <c r="C2851" t="s">
        <v>927</v>
      </c>
      <c r="D2851" t="s">
        <v>3052</v>
      </c>
      <c r="E2851" t="s">
        <v>3053</v>
      </c>
      <c r="F2851" t="s">
        <v>445</v>
      </c>
      <c r="G2851" t="s">
        <v>446</v>
      </c>
      <c r="H2851" t="s">
        <v>4918</v>
      </c>
      <c r="I2851">
        <v>50</v>
      </c>
      <c r="J2851">
        <v>0</v>
      </c>
      <c r="K2851">
        <v>0</v>
      </c>
      <c r="L2851">
        <v>0</v>
      </c>
      <c r="M2851">
        <v>50</v>
      </c>
      <c r="N2851">
        <v>0</v>
      </c>
      <c r="O2851">
        <v>0</v>
      </c>
    </row>
    <row r="2852" spans="1:15" x14ac:dyDescent="0.25">
      <c r="A2852" t="s">
        <v>1456</v>
      </c>
      <c r="B2852" t="s">
        <v>2844</v>
      </c>
      <c r="C2852" t="s">
        <v>927</v>
      </c>
      <c r="D2852" t="s">
        <v>3052</v>
      </c>
      <c r="E2852" t="s">
        <v>3053</v>
      </c>
      <c r="F2852" t="s">
        <v>445</v>
      </c>
      <c r="G2852" t="s">
        <v>446</v>
      </c>
      <c r="H2852" t="s">
        <v>4919</v>
      </c>
      <c r="I2852">
        <v>31</v>
      </c>
      <c r="J2852">
        <v>20</v>
      </c>
      <c r="K2852">
        <v>0</v>
      </c>
      <c r="L2852">
        <v>0</v>
      </c>
      <c r="M2852">
        <v>0</v>
      </c>
      <c r="N2852">
        <v>0</v>
      </c>
      <c r="O2852">
        <v>11</v>
      </c>
    </row>
    <row r="2853" spans="1:15" x14ac:dyDescent="0.25">
      <c r="A2853" t="s">
        <v>9790</v>
      </c>
      <c r="B2853" t="s">
        <v>1977</v>
      </c>
      <c r="C2853" t="s">
        <v>923</v>
      </c>
      <c r="D2853" t="s">
        <v>3063</v>
      </c>
      <c r="E2853" t="s">
        <v>3053</v>
      </c>
      <c r="F2853" t="s">
        <v>445</v>
      </c>
      <c r="G2853" t="s">
        <v>446</v>
      </c>
      <c r="H2853" t="s">
        <v>12012</v>
      </c>
      <c r="I2853">
        <v>3</v>
      </c>
      <c r="J2853">
        <v>0</v>
      </c>
      <c r="K2853">
        <v>0</v>
      </c>
      <c r="L2853">
        <v>3</v>
      </c>
      <c r="M2853">
        <v>0</v>
      </c>
      <c r="N2853">
        <v>0</v>
      </c>
      <c r="O2853">
        <v>0</v>
      </c>
    </row>
    <row r="2854" spans="1:15" x14ac:dyDescent="0.25">
      <c r="A2854" t="s">
        <v>989</v>
      </c>
      <c r="B2854" t="s">
        <v>2016</v>
      </c>
      <c r="C2854" t="s">
        <v>923</v>
      </c>
      <c r="D2854" t="s">
        <v>3063</v>
      </c>
      <c r="E2854" t="s">
        <v>3053</v>
      </c>
      <c r="F2854" t="s">
        <v>445</v>
      </c>
      <c r="G2854" t="s">
        <v>446</v>
      </c>
      <c r="H2854" t="s">
        <v>4920</v>
      </c>
      <c r="I2854">
        <v>3</v>
      </c>
      <c r="J2854">
        <v>0</v>
      </c>
      <c r="K2854">
        <v>0</v>
      </c>
      <c r="L2854">
        <v>3</v>
      </c>
      <c r="M2854">
        <v>0</v>
      </c>
      <c r="N2854">
        <v>0</v>
      </c>
      <c r="O2854">
        <v>0</v>
      </c>
    </row>
    <row r="2855" spans="1:15" x14ac:dyDescent="0.25">
      <c r="A2855" t="s">
        <v>997</v>
      </c>
      <c r="B2855" t="s">
        <v>2033</v>
      </c>
      <c r="C2855" t="s">
        <v>927</v>
      </c>
      <c r="D2855" t="s">
        <v>3052</v>
      </c>
      <c r="E2855" t="s">
        <v>3053</v>
      </c>
      <c r="F2855" t="s">
        <v>445</v>
      </c>
      <c r="G2855" t="s">
        <v>446</v>
      </c>
      <c r="H2855" t="s">
        <v>4921</v>
      </c>
      <c r="I2855">
        <v>4</v>
      </c>
      <c r="J2855">
        <v>0</v>
      </c>
      <c r="K2855">
        <v>0</v>
      </c>
      <c r="L2855">
        <v>0</v>
      </c>
      <c r="M2855">
        <v>0</v>
      </c>
      <c r="N2855">
        <v>0</v>
      </c>
      <c r="O2855">
        <v>4</v>
      </c>
    </row>
    <row r="2856" spans="1:15" x14ac:dyDescent="0.25">
      <c r="A2856" t="s">
        <v>1416</v>
      </c>
      <c r="B2856" t="s">
        <v>2029</v>
      </c>
      <c r="C2856" t="s">
        <v>923</v>
      </c>
      <c r="D2856" t="s">
        <v>3063</v>
      </c>
      <c r="E2856" t="s">
        <v>3053</v>
      </c>
      <c r="F2856" t="s">
        <v>445</v>
      </c>
      <c r="G2856" t="s">
        <v>446</v>
      </c>
      <c r="H2856" t="s">
        <v>12013</v>
      </c>
      <c r="I2856">
        <v>5</v>
      </c>
      <c r="J2856">
        <v>0</v>
      </c>
      <c r="K2856">
        <v>0</v>
      </c>
      <c r="L2856">
        <v>5</v>
      </c>
      <c r="M2856">
        <v>0</v>
      </c>
      <c r="N2856">
        <v>0</v>
      </c>
      <c r="O2856">
        <v>0</v>
      </c>
    </row>
    <row r="2857" spans="1:15" x14ac:dyDescent="0.25">
      <c r="A2857" t="s">
        <v>937</v>
      </c>
      <c r="B2857" t="s">
        <v>1962</v>
      </c>
      <c r="C2857" t="s">
        <v>927</v>
      </c>
      <c r="D2857" t="s">
        <v>3052</v>
      </c>
      <c r="E2857" t="s">
        <v>3053</v>
      </c>
      <c r="F2857" t="s">
        <v>445</v>
      </c>
      <c r="G2857" t="s">
        <v>446</v>
      </c>
      <c r="H2857" t="s">
        <v>4922</v>
      </c>
      <c r="I2857">
        <v>13</v>
      </c>
      <c r="J2857">
        <v>0</v>
      </c>
      <c r="K2857">
        <v>0</v>
      </c>
      <c r="L2857">
        <v>0</v>
      </c>
      <c r="M2857">
        <v>0</v>
      </c>
      <c r="N2857">
        <v>0</v>
      </c>
      <c r="O2857">
        <v>13</v>
      </c>
    </row>
    <row r="2858" spans="1:15" x14ac:dyDescent="0.25">
      <c r="A2858" t="s">
        <v>940</v>
      </c>
      <c r="B2858" t="s">
        <v>2647</v>
      </c>
      <c r="C2858" t="s">
        <v>927</v>
      </c>
      <c r="D2858" t="s">
        <v>3052</v>
      </c>
      <c r="E2858" t="s">
        <v>3053</v>
      </c>
      <c r="F2858" t="s">
        <v>445</v>
      </c>
      <c r="G2858" t="s">
        <v>446</v>
      </c>
      <c r="H2858" t="s">
        <v>4923</v>
      </c>
      <c r="I2858">
        <v>39</v>
      </c>
      <c r="J2858">
        <v>0</v>
      </c>
      <c r="K2858">
        <v>0</v>
      </c>
      <c r="L2858">
        <v>0</v>
      </c>
      <c r="M2858">
        <v>39</v>
      </c>
      <c r="N2858">
        <v>0</v>
      </c>
      <c r="O2858">
        <v>0</v>
      </c>
    </row>
    <row r="2859" spans="1:15" x14ac:dyDescent="0.25">
      <c r="A2859" t="s">
        <v>1013</v>
      </c>
      <c r="B2859" t="s">
        <v>1959</v>
      </c>
      <c r="C2859" t="s">
        <v>927</v>
      </c>
      <c r="D2859" t="s">
        <v>3052</v>
      </c>
      <c r="E2859" t="s">
        <v>3053</v>
      </c>
      <c r="F2859" t="s">
        <v>445</v>
      </c>
      <c r="G2859" t="s">
        <v>446</v>
      </c>
      <c r="H2859" t="s">
        <v>10127</v>
      </c>
      <c r="I2859">
        <v>3</v>
      </c>
      <c r="J2859">
        <v>0</v>
      </c>
      <c r="K2859">
        <v>0</v>
      </c>
      <c r="L2859">
        <v>3</v>
      </c>
      <c r="M2859">
        <v>0</v>
      </c>
      <c r="N2859">
        <v>0</v>
      </c>
      <c r="O2859">
        <v>0</v>
      </c>
    </row>
    <row r="2860" spans="1:15" x14ac:dyDescent="0.25">
      <c r="A2860" t="s">
        <v>10681</v>
      </c>
      <c r="B2860" t="s">
        <v>10680</v>
      </c>
      <c r="C2860" t="s">
        <v>927</v>
      </c>
      <c r="D2860" t="s">
        <v>3052</v>
      </c>
      <c r="E2860" t="s">
        <v>3053</v>
      </c>
      <c r="F2860" t="s">
        <v>445</v>
      </c>
      <c r="G2860" t="s">
        <v>446</v>
      </c>
      <c r="H2860" t="s">
        <v>14713</v>
      </c>
      <c r="I2860">
        <v>10</v>
      </c>
      <c r="J2860">
        <v>0</v>
      </c>
      <c r="K2860">
        <v>0</v>
      </c>
      <c r="L2860">
        <v>0</v>
      </c>
      <c r="M2860">
        <v>0</v>
      </c>
      <c r="N2860">
        <v>0</v>
      </c>
      <c r="O2860">
        <v>10</v>
      </c>
    </row>
    <row r="2861" spans="1:15" x14ac:dyDescent="0.25">
      <c r="A2861" t="s">
        <v>943</v>
      </c>
      <c r="B2861" t="s">
        <v>2694</v>
      </c>
      <c r="C2861" t="s">
        <v>927</v>
      </c>
      <c r="D2861" t="s">
        <v>3052</v>
      </c>
      <c r="E2861" t="s">
        <v>3053</v>
      </c>
      <c r="F2861" t="s">
        <v>445</v>
      </c>
      <c r="G2861" t="s">
        <v>446</v>
      </c>
      <c r="H2861" t="s">
        <v>4924</v>
      </c>
      <c r="I2861">
        <v>46</v>
      </c>
      <c r="J2861">
        <v>16</v>
      </c>
      <c r="K2861">
        <v>0</v>
      </c>
      <c r="L2861">
        <v>11</v>
      </c>
      <c r="M2861">
        <v>19</v>
      </c>
      <c r="N2861">
        <v>0</v>
      </c>
      <c r="O2861">
        <v>0</v>
      </c>
    </row>
    <row r="2862" spans="1:15" x14ac:dyDescent="0.25">
      <c r="A2862" t="s">
        <v>1030</v>
      </c>
      <c r="B2862" t="s">
        <v>2880</v>
      </c>
      <c r="C2862" t="s">
        <v>927</v>
      </c>
      <c r="D2862" t="s">
        <v>3052</v>
      </c>
      <c r="E2862" t="s">
        <v>3053</v>
      </c>
      <c r="F2862" t="s">
        <v>445</v>
      </c>
      <c r="G2862" t="s">
        <v>446</v>
      </c>
      <c r="H2862" t="s">
        <v>4925</v>
      </c>
      <c r="I2862">
        <v>964</v>
      </c>
      <c r="J2862">
        <v>732</v>
      </c>
      <c r="K2862">
        <v>0</v>
      </c>
      <c r="L2862">
        <v>36</v>
      </c>
      <c r="M2862">
        <v>60</v>
      </c>
      <c r="N2862">
        <v>0</v>
      </c>
      <c r="O2862">
        <v>136</v>
      </c>
    </row>
    <row r="2863" spans="1:15" x14ac:dyDescent="0.25">
      <c r="A2863" t="s">
        <v>1144</v>
      </c>
      <c r="B2863" t="s">
        <v>2124</v>
      </c>
      <c r="C2863" t="s">
        <v>923</v>
      </c>
      <c r="D2863" t="s">
        <v>3063</v>
      </c>
      <c r="E2863" t="s">
        <v>3053</v>
      </c>
      <c r="F2863" t="s">
        <v>445</v>
      </c>
      <c r="G2863" t="s">
        <v>446</v>
      </c>
      <c r="H2863" t="s">
        <v>12014</v>
      </c>
      <c r="I2863">
        <v>11</v>
      </c>
      <c r="J2863">
        <v>11</v>
      </c>
      <c r="K2863">
        <v>0</v>
      </c>
      <c r="L2863">
        <v>0</v>
      </c>
      <c r="M2863">
        <v>0</v>
      </c>
      <c r="N2863">
        <v>0</v>
      </c>
      <c r="O2863">
        <v>0</v>
      </c>
    </row>
    <row r="2864" spans="1:15" x14ac:dyDescent="0.25">
      <c r="A2864" t="s">
        <v>1048</v>
      </c>
      <c r="B2864" t="s">
        <v>2989</v>
      </c>
      <c r="C2864" t="s">
        <v>927</v>
      </c>
      <c r="D2864" t="s">
        <v>3052</v>
      </c>
      <c r="E2864" t="s">
        <v>3053</v>
      </c>
      <c r="F2864" t="s">
        <v>445</v>
      </c>
      <c r="G2864" t="s">
        <v>446</v>
      </c>
      <c r="H2864" t="s">
        <v>12015</v>
      </c>
      <c r="I2864">
        <v>6</v>
      </c>
      <c r="J2864">
        <v>6</v>
      </c>
      <c r="K2864">
        <v>0</v>
      </c>
      <c r="L2864">
        <v>0</v>
      </c>
      <c r="M2864">
        <v>0</v>
      </c>
      <c r="N2864">
        <v>0</v>
      </c>
      <c r="O2864">
        <v>0</v>
      </c>
    </row>
    <row r="2865" spans="1:15" x14ac:dyDescent="0.25">
      <c r="A2865" t="s">
        <v>1049</v>
      </c>
      <c r="B2865" t="s">
        <v>2138</v>
      </c>
      <c r="C2865" t="s">
        <v>927</v>
      </c>
      <c r="D2865" t="s">
        <v>3052</v>
      </c>
      <c r="E2865" t="s">
        <v>3053</v>
      </c>
      <c r="F2865" t="s">
        <v>445</v>
      </c>
      <c r="G2865" t="s">
        <v>446</v>
      </c>
      <c r="H2865" t="s">
        <v>4926</v>
      </c>
      <c r="I2865">
        <v>103</v>
      </c>
      <c r="J2865">
        <v>98</v>
      </c>
      <c r="K2865">
        <v>0</v>
      </c>
      <c r="L2865">
        <v>0</v>
      </c>
      <c r="M2865">
        <v>0</v>
      </c>
      <c r="N2865">
        <v>0</v>
      </c>
      <c r="O2865">
        <v>5</v>
      </c>
    </row>
    <row r="2866" spans="1:15" x14ac:dyDescent="0.25">
      <c r="A2866" t="s">
        <v>11720</v>
      </c>
      <c r="B2866" t="s">
        <v>10718</v>
      </c>
      <c r="C2866" t="s">
        <v>927</v>
      </c>
      <c r="D2866" t="s">
        <v>3052</v>
      </c>
      <c r="E2866" t="s">
        <v>3053</v>
      </c>
      <c r="F2866" t="s">
        <v>445</v>
      </c>
      <c r="G2866" t="s">
        <v>446</v>
      </c>
      <c r="H2866" t="s">
        <v>14714</v>
      </c>
      <c r="I2866">
        <v>25</v>
      </c>
      <c r="J2866">
        <v>11</v>
      </c>
      <c r="K2866">
        <v>0</v>
      </c>
      <c r="L2866">
        <v>0</v>
      </c>
      <c r="M2866">
        <v>0</v>
      </c>
      <c r="N2866">
        <v>0</v>
      </c>
      <c r="O2866">
        <v>14</v>
      </c>
    </row>
    <row r="2867" spans="1:15" x14ac:dyDescent="0.25">
      <c r="A2867" t="s">
        <v>9788</v>
      </c>
      <c r="B2867" t="s">
        <v>9871</v>
      </c>
      <c r="C2867" t="s">
        <v>927</v>
      </c>
      <c r="D2867" t="s">
        <v>3052</v>
      </c>
      <c r="E2867" t="s">
        <v>3053</v>
      </c>
      <c r="F2867" t="s">
        <v>445</v>
      </c>
      <c r="G2867" t="s">
        <v>446</v>
      </c>
      <c r="H2867" t="s">
        <v>11012</v>
      </c>
      <c r="I2867">
        <v>20</v>
      </c>
      <c r="J2867">
        <v>20</v>
      </c>
      <c r="K2867">
        <v>0</v>
      </c>
      <c r="L2867">
        <v>0</v>
      </c>
      <c r="M2867">
        <v>0</v>
      </c>
      <c r="N2867">
        <v>0</v>
      </c>
      <c r="O2867">
        <v>0</v>
      </c>
    </row>
    <row r="2868" spans="1:15" x14ac:dyDescent="0.25">
      <c r="A2868" t="s">
        <v>955</v>
      </c>
      <c r="B2868" t="s">
        <v>2660</v>
      </c>
      <c r="C2868" t="s">
        <v>927</v>
      </c>
      <c r="D2868" t="s">
        <v>3052</v>
      </c>
      <c r="E2868" t="s">
        <v>3053</v>
      </c>
      <c r="F2868" t="s">
        <v>445</v>
      </c>
      <c r="G2868" t="s">
        <v>446</v>
      </c>
      <c r="H2868" t="s">
        <v>4927</v>
      </c>
      <c r="I2868">
        <v>155</v>
      </c>
      <c r="J2868">
        <v>89</v>
      </c>
      <c r="K2868">
        <v>0</v>
      </c>
      <c r="L2868">
        <v>13</v>
      </c>
      <c r="M2868">
        <v>48</v>
      </c>
      <c r="N2868">
        <v>1</v>
      </c>
      <c r="O2868">
        <v>5</v>
      </c>
    </row>
    <row r="2869" spans="1:15" x14ac:dyDescent="0.25">
      <c r="A2869" t="s">
        <v>14374</v>
      </c>
      <c r="B2869" t="s">
        <v>1943</v>
      </c>
      <c r="C2869" t="s">
        <v>927</v>
      </c>
      <c r="D2869" t="s">
        <v>3052</v>
      </c>
      <c r="E2869" t="s">
        <v>3053</v>
      </c>
      <c r="F2869" t="s">
        <v>445</v>
      </c>
      <c r="G2869" t="s">
        <v>446</v>
      </c>
      <c r="H2869" t="s">
        <v>14715</v>
      </c>
      <c r="I2869">
        <v>14</v>
      </c>
      <c r="J2869">
        <v>0</v>
      </c>
      <c r="K2869">
        <v>0</v>
      </c>
      <c r="L2869">
        <v>0</v>
      </c>
      <c r="M2869">
        <v>0</v>
      </c>
      <c r="N2869">
        <v>0</v>
      </c>
      <c r="O2869">
        <v>14</v>
      </c>
    </row>
    <row r="2870" spans="1:15" x14ac:dyDescent="0.25">
      <c r="A2870" t="s">
        <v>1072</v>
      </c>
      <c r="B2870" t="s">
        <v>2907</v>
      </c>
      <c r="C2870" t="s">
        <v>927</v>
      </c>
      <c r="D2870" t="s">
        <v>3052</v>
      </c>
      <c r="E2870" t="s">
        <v>3053</v>
      </c>
      <c r="F2870" t="s">
        <v>445</v>
      </c>
      <c r="G2870" t="s">
        <v>446</v>
      </c>
      <c r="H2870" t="s">
        <v>4928</v>
      </c>
      <c r="I2870">
        <v>6</v>
      </c>
      <c r="J2870">
        <v>0</v>
      </c>
      <c r="K2870">
        <v>0</v>
      </c>
      <c r="L2870">
        <v>6</v>
      </c>
      <c r="M2870">
        <v>0</v>
      </c>
      <c r="N2870">
        <v>0</v>
      </c>
      <c r="O2870">
        <v>0</v>
      </c>
    </row>
    <row r="2871" spans="1:15" x14ac:dyDescent="0.25">
      <c r="A2871" t="s">
        <v>1076</v>
      </c>
      <c r="B2871" t="s">
        <v>2852</v>
      </c>
      <c r="C2871" t="s">
        <v>927</v>
      </c>
      <c r="D2871" t="s">
        <v>3052</v>
      </c>
      <c r="E2871" t="s">
        <v>3053</v>
      </c>
      <c r="F2871" t="s">
        <v>445</v>
      </c>
      <c r="G2871" t="s">
        <v>446</v>
      </c>
      <c r="H2871" t="s">
        <v>4929</v>
      </c>
      <c r="I2871">
        <v>6020</v>
      </c>
      <c r="J2871">
        <v>5644</v>
      </c>
      <c r="K2871">
        <v>0</v>
      </c>
      <c r="L2871">
        <v>2</v>
      </c>
      <c r="M2871">
        <v>165</v>
      </c>
      <c r="N2871">
        <v>0</v>
      </c>
      <c r="O2871">
        <v>209</v>
      </c>
    </row>
    <row r="2872" spans="1:15" x14ac:dyDescent="0.25">
      <c r="A2872" t="s">
        <v>1079</v>
      </c>
      <c r="B2872" t="s">
        <v>2810</v>
      </c>
      <c r="C2872" t="s">
        <v>927</v>
      </c>
      <c r="D2872" t="s">
        <v>3052</v>
      </c>
      <c r="E2872" t="s">
        <v>3053</v>
      </c>
      <c r="F2872" t="s">
        <v>445</v>
      </c>
      <c r="G2872" t="s">
        <v>446</v>
      </c>
      <c r="H2872" t="s">
        <v>10505</v>
      </c>
      <c r="I2872">
        <v>35</v>
      </c>
      <c r="J2872">
        <v>35</v>
      </c>
      <c r="K2872">
        <v>0</v>
      </c>
      <c r="L2872">
        <v>0</v>
      </c>
      <c r="M2872">
        <v>0</v>
      </c>
      <c r="N2872">
        <v>0</v>
      </c>
      <c r="O2872">
        <v>0</v>
      </c>
    </row>
    <row r="2873" spans="1:15" x14ac:dyDescent="0.25">
      <c r="A2873" t="s">
        <v>929</v>
      </c>
      <c r="B2873" t="s">
        <v>2999</v>
      </c>
      <c r="C2873" t="s">
        <v>927</v>
      </c>
      <c r="D2873" t="s">
        <v>3052</v>
      </c>
      <c r="E2873" t="s">
        <v>3053</v>
      </c>
      <c r="F2873" t="s">
        <v>447</v>
      </c>
      <c r="G2873" t="s">
        <v>448</v>
      </c>
      <c r="H2873" t="s">
        <v>4930</v>
      </c>
      <c r="I2873">
        <v>122</v>
      </c>
      <c r="J2873">
        <v>0</v>
      </c>
      <c r="K2873">
        <v>0</v>
      </c>
      <c r="L2873">
        <v>0</v>
      </c>
      <c r="M2873">
        <v>122</v>
      </c>
      <c r="N2873">
        <v>0</v>
      </c>
      <c r="O2873">
        <v>0</v>
      </c>
    </row>
    <row r="2874" spans="1:15" x14ac:dyDescent="0.25">
      <c r="A2874" t="s">
        <v>1088</v>
      </c>
      <c r="B2874" t="s">
        <v>2097</v>
      </c>
      <c r="C2874" t="s">
        <v>923</v>
      </c>
      <c r="D2874" t="s">
        <v>3063</v>
      </c>
      <c r="E2874" t="s">
        <v>3053</v>
      </c>
      <c r="F2874" t="s">
        <v>447</v>
      </c>
      <c r="G2874" t="s">
        <v>448</v>
      </c>
      <c r="H2874" t="s">
        <v>4931</v>
      </c>
      <c r="I2874">
        <v>6</v>
      </c>
      <c r="J2874">
        <v>6</v>
      </c>
      <c r="K2874">
        <v>0</v>
      </c>
      <c r="L2874">
        <v>0</v>
      </c>
      <c r="M2874">
        <v>0</v>
      </c>
      <c r="N2874">
        <v>0</v>
      </c>
      <c r="O2874">
        <v>0</v>
      </c>
    </row>
    <row r="2875" spans="1:15" x14ac:dyDescent="0.25">
      <c r="A2875" t="s">
        <v>1099</v>
      </c>
      <c r="B2875" t="s">
        <v>2641</v>
      </c>
      <c r="C2875" t="s">
        <v>927</v>
      </c>
      <c r="D2875" t="s">
        <v>3052</v>
      </c>
      <c r="E2875" t="s">
        <v>3053</v>
      </c>
      <c r="F2875" t="s">
        <v>447</v>
      </c>
      <c r="G2875" t="s">
        <v>448</v>
      </c>
      <c r="H2875" t="s">
        <v>4932</v>
      </c>
      <c r="I2875">
        <v>394</v>
      </c>
      <c r="J2875">
        <v>313</v>
      </c>
      <c r="K2875">
        <v>0</v>
      </c>
      <c r="L2875">
        <v>7</v>
      </c>
      <c r="M2875">
        <v>74</v>
      </c>
      <c r="N2875">
        <v>0</v>
      </c>
      <c r="O2875">
        <v>0</v>
      </c>
    </row>
    <row r="2876" spans="1:15" x14ac:dyDescent="0.25">
      <c r="A2876" t="s">
        <v>933</v>
      </c>
      <c r="B2876" t="s">
        <v>2106</v>
      </c>
      <c r="C2876" t="s">
        <v>927</v>
      </c>
      <c r="D2876" t="s">
        <v>3052</v>
      </c>
      <c r="E2876" t="s">
        <v>3053</v>
      </c>
      <c r="F2876" t="s">
        <v>447</v>
      </c>
      <c r="G2876" t="s">
        <v>448</v>
      </c>
      <c r="H2876" t="s">
        <v>4933</v>
      </c>
      <c r="I2876">
        <v>16</v>
      </c>
      <c r="J2876">
        <v>13</v>
      </c>
      <c r="K2876">
        <v>0</v>
      </c>
      <c r="L2876">
        <v>0</v>
      </c>
      <c r="M2876">
        <v>0</v>
      </c>
      <c r="N2876">
        <v>0</v>
      </c>
      <c r="O2876">
        <v>3</v>
      </c>
    </row>
    <row r="2877" spans="1:15" x14ac:dyDescent="0.25">
      <c r="A2877" t="s">
        <v>1110</v>
      </c>
      <c r="B2877" t="s">
        <v>2888</v>
      </c>
      <c r="C2877" t="s">
        <v>927</v>
      </c>
      <c r="D2877" t="s">
        <v>3052</v>
      </c>
      <c r="E2877" t="s">
        <v>3053</v>
      </c>
      <c r="F2877" t="s">
        <v>447</v>
      </c>
      <c r="G2877" t="s">
        <v>448</v>
      </c>
      <c r="H2877" t="s">
        <v>10057</v>
      </c>
      <c r="I2877">
        <v>162</v>
      </c>
      <c r="J2877">
        <v>110</v>
      </c>
      <c r="K2877">
        <v>0</v>
      </c>
      <c r="L2877">
        <v>0</v>
      </c>
      <c r="M2877">
        <v>0</v>
      </c>
      <c r="N2877">
        <v>0</v>
      </c>
      <c r="O2877">
        <v>52</v>
      </c>
    </row>
    <row r="2878" spans="1:15" x14ac:dyDescent="0.25">
      <c r="A2878" t="s">
        <v>998</v>
      </c>
      <c r="B2878" t="s">
        <v>2820</v>
      </c>
      <c r="C2878" t="s">
        <v>927</v>
      </c>
      <c r="D2878" t="s">
        <v>3052</v>
      </c>
      <c r="E2878" t="s">
        <v>3053</v>
      </c>
      <c r="F2878" t="s">
        <v>447</v>
      </c>
      <c r="G2878" t="s">
        <v>448</v>
      </c>
      <c r="H2878" t="s">
        <v>4934</v>
      </c>
      <c r="I2878">
        <v>24</v>
      </c>
      <c r="J2878">
        <v>13</v>
      </c>
      <c r="K2878">
        <v>0</v>
      </c>
      <c r="L2878">
        <v>0</v>
      </c>
      <c r="M2878">
        <v>0</v>
      </c>
      <c r="N2878">
        <v>0</v>
      </c>
      <c r="O2878">
        <v>11</v>
      </c>
    </row>
    <row r="2879" spans="1:15" x14ac:dyDescent="0.25">
      <c r="A2879" t="s">
        <v>1416</v>
      </c>
      <c r="B2879" t="s">
        <v>2029</v>
      </c>
      <c r="C2879" t="s">
        <v>923</v>
      </c>
      <c r="D2879" t="s">
        <v>3063</v>
      </c>
      <c r="E2879" t="s">
        <v>3053</v>
      </c>
      <c r="F2879" t="s">
        <v>447</v>
      </c>
      <c r="G2879" t="s">
        <v>448</v>
      </c>
      <c r="H2879" t="s">
        <v>12016</v>
      </c>
      <c r="I2879">
        <v>5</v>
      </c>
      <c r="J2879">
        <v>0</v>
      </c>
      <c r="K2879">
        <v>0</v>
      </c>
      <c r="L2879">
        <v>5</v>
      </c>
      <c r="M2879">
        <v>0</v>
      </c>
      <c r="N2879">
        <v>0</v>
      </c>
      <c r="O2879">
        <v>0</v>
      </c>
    </row>
    <row r="2880" spans="1:15" x14ac:dyDescent="0.25">
      <c r="A2880" t="s">
        <v>1113</v>
      </c>
      <c r="B2880" t="s">
        <v>1953</v>
      </c>
      <c r="C2880" t="s">
        <v>927</v>
      </c>
      <c r="D2880" t="s">
        <v>3052</v>
      </c>
      <c r="E2880" t="s">
        <v>3053</v>
      </c>
      <c r="F2880" t="s">
        <v>447</v>
      </c>
      <c r="G2880" t="s">
        <v>448</v>
      </c>
      <c r="H2880" t="s">
        <v>4935</v>
      </c>
      <c r="I2880">
        <v>6438</v>
      </c>
      <c r="J2880">
        <v>6105</v>
      </c>
      <c r="K2880">
        <v>0</v>
      </c>
      <c r="L2880">
        <v>32</v>
      </c>
      <c r="M2880">
        <v>150</v>
      </c>
      <c r="N2880">
        <v>150</v>
      </c>
      <c r="O2880">
        <v>151</v>
      </c>
    </row>
    <row r="2881" spans="1:15" x14ac:dyDescent="0.25">
      <c r="A2881" t="s">
        <v>10638</v>
      </c>
      <c r="B2881" t="s">
        <v>2057</v>
      </c>
      <c r="C2881" t="s">
        <v>927</v>
      </c>
      <c r="D2881" t="s">
        <v>3052</v>
      </c>
      <c r="E2881" t="s">
        <v>3053</v>
      </c>
      <c r="F2881" t="s">
        <v>447</v>
      </c>
      <c r="G2881" t="s">
        <v>448</v>
      </c>
      <c r="H2881" t="s">
        <v>11013</v>
      </c>
      <c r="I2881">
        <v>11</v>
      </c>
      <c r="J2881">
        <v>0</v>
      </c>
      <c r="K2881">
        <v>0</v>
      </c>
      <c r="L2881">
        <v>11</v>
      </c>
      <c r="M2881">
        <v>0</v>
      </c>
      <c r="N2881">
        <v>0</v>
      </c>
      <c r="O2881">
        <v>0</v>
      </c>
    </row>
    <row r="2882" spans="1:15" x14ac:dyDescent="0.25">
      <c r="A2882" t="s">
        <v>1010</v>
      </c>
      <c r="B2882" t="s">
        <v>2639</v>
      </c>
      <c r="C2882" t="s">
        <v>927</v>
      </c>
      <c r="D2882" t="s">
        <v>3052</v>
      </c>
      <c r="E2882" t="s">
        <v>3053</v>
      </c>
      <c r="F2882" t="s">
        <v>447</v>
      </c>
      <c r="G2882" t="s">
        <v>448</v>
      </c>
      <c r="H2882" t="s">
        <v>4936</v>
      </c>
      <c r="I2882">
        <v>118</v>
      </c>
      <c r="J2882">
        <v>85</v>
      </c>
      <c r="K2882">
        <v>0</v>
      </c>
      <c r="L2882">
        <v>0</v>
      </c>
      <c r="M2882">
        <v>0</v>
      </c>
      <c r="N2882">
        <v>0</v>
      </c>
      <c r="O2882">
        <v>33</v>
      </c>
    </row>
    <row r="2883" spans="1:15" x14ac:dyDescent="0.25">
      <c r="A2883" t="s">
        <v>938</v>
      </c>
      <c r="B2883" t="s">
        <v>2791</v>
      </c>
      <c r="C2883" t="s">
        <v>927</v>
      </c>
      <c r="D2883" t="s">
        <v>3052</v>
      </c>
      <c r="E2883" t="s">
        <v>3053</v>
      </c>
      <c r="F2883" t="s">
        <v>447</v>
      </c>
      <c r="G2883" t="s">
        <v>448</v>
      </c>
      <c r="H2883" t="s">
        <v>4937</v>
      </c>
      <c r="I2883">
        <v>19</v>
      </c>
      <c r="J2883">
        <v>0</v>
      </c>
      <c r="K2883">
        <v>0</v>
      </c>
      <c r="L2883">
        <v>19</v>
      </c>
      <c r="M2883">
        <v>0</v>
      </c>
      <c r="N2883">
        <v>0</v>
      </c>
      <c r="O2883">
        <v>0</v>
      </c>
    </row>
    <row r="2884" spans="1:15" x14ac:dyDescent="0.25">
      <c r="A2884" t="s">
        <v>940</v>
      </c>
      <c r="B2884" t="s">
        <v>2647</v>
      </c>
      <c r="C2884" t="s">
        <v>927</v>
      </c>
      <c r="D2884" t="s">
        <v>3052</v>
      </c>
      <c r="E2884" t="s">
        <v>3053</v>
      </c>
      <c r="F2884" t="s">
        <v>447</v>
      </c>
      <c r="G2884" t="s">
        <v>448</v>
      </c>
      <c r="H2884" t="s">
        <v>4938</v>
      </c>
      <c r="I2884">
        <v>260</v>
      </c>
      <c r="J2884">
        <v>6</v>
      </c>
      <c r="K2884">
        <v>0</v>
      </c>
      <c r="L2884">
        <v>0</v>
      </c>
      <c r="M2884">
        <v>254</v>
      </c>
      <c r="N2884">
        <v>0</v>
      </c>
      <c r="O2884">
        <v>0</v>
      </c>
    </row>
    <row r="2885" spans="1:15" x14ac:dyDescent="0.25">
      <c r="A2885" t="s">
        <v>10687</v>
      </c>
      <c r="B2885" t="s">
        <v>10686</v>
      </c>
      <c r="C2885" t="s">
        <v>923</v>
      </c>
      <c r="D2885" t="s">
        <v>3063</v>
      </c>
      <c r="E2885" t="s">
        <v>3053</v>
      </c>
      <c r="F2885" t="s">
        <v>447</v>
      </c>
      <c r="G2885" t="s">
        <v>448</v>
      </c>
      <c r="H2885" t="s">
        <v>14716</v>
      </c>
      <c r="I2885">
        <v>3</v>
      </c>
      <c r="J2885">
        <v>3</v>
      </c>
      <c r="K2885">
        <v>0</v>
      </c>
      <c r="L2885">
        <v>0</v>
      </c>
      <c r="M2885">
        <v>0</v>
      </c>
      <c r="N2885">
        <v>0</v>
      </c>
      <c r="O2885">
        <v>0</v>
      </c>
    </row>
    <row r="2886" spans="1:15" x14ac:dyDescent="0.25">
      <c r="A2886" t="s">
        <v>11672</v>
      </c>
      <c r="B2886" t="s">
        <v>2073</v>
      </c>
      <c r="C2886" t="s">
        <v>923</v>
      </c>
      <c r="D2886" t="s">
        <v>3063</v>
      </c>
      <c r="E2886" t="s">
        <v>3053</v>
      </c>
      <c r="F2886" t="s">
        <v>447</v>
      </c>
      <c r="G2886" t="s">
        <v>448</v>
      </c>
      <c r="H2886" t="s">
        <v>12017</v>
      </c>
      <c r="I2886">
        <v>12</v>
      </c>
      <c r="J2886">
        <v>12</v>
      </c>
      <c r="K2886">
        <v>0</v>
      </c>
      <c r="L2886">
        <v>0</v>
      </c>
      <c r="M2886">
        <v>0</v>
      </c>
      <c r="N2886">
        <v>0</v>
      </c>
      <c r="O2886">
        <v>0</v>
      </c>
    </row>
    <row r="2887" spans="1:15" x14ac:dyDescent="0.25">
      <c r="A2887" t="s">
        <v>1041</v>
      </c>
      <c r="B2887" t="s">
        <v>2826</v>
      </c>
      <c r="C2887" t="s">
        <v>927</v>
      </c>
      <c r="D2887" t="s">
        <v>3052</v>
      </c>
      <c r="E2887" t="s">
        <v>3053</v>
      </c>
      <c r="F2887" t="s">
        <v>447</v>
      </c>
      <c r="G2887" t="s">
        <v>448</v>
      </c>
      <c r="H2887" t="s">
        <v>4939</v>
      </c>
      <c r="I2887">
        <v>23</v>
      </c>
      <c r="J2887">
        <v>0</v>
      </c>
      <c r="K2887">
        <v>0</v>
      </c>
      <c r="L2887">
        <v>0</v>
      </c>
      <c r="M2887">
        <v>0</v>
      </c>
      <c r="N2887">
        <v>0</v>
      </c>
      <c r="O2887">
        <v>23</v>
      </c>
    </row>
    <row r="2888" spans="1:15" x14ac:dyDescent="0.25">
      <c r="A2888" t="s">
        <v>9787</v>
      </c>
      <c r="B2888" t="s">
        <v>2822</v>
      </c>
      <c r="C2888" t="s">
        <v>927</v>
      </c>
      <c r="D2888" t="s">
        <v>3052</v>
      </c>
      <c r="E2888" t="s">
        <v>3053</v>
      </c>
      <c r="F2888" t="s">
        <v>447</v>
      </c>
      <c r="G2888" t="s">
        <v>448</v>
      </c>
      <c r="H2888" t="s">
        <v>10249</v>
      </c>
      <c r="I2888">
        <v>461</v>
      </c>
      <c r="J2888">
        <v>384</v>
      </c>
      <c r="K2888">
        <v>0</v>
      </c>
      <c r="L2888">
        <v>38</v>
      </c>
      <c r="M2888">
        <v>39</v>
      </c>
      <c r="N2888">
        <v>1</v>
      </c>
      <c r="O2888">
        <v>0</v>
      </c>
    </row>
    <row r="2889" spans="1:15" x14ac:dyDescent="0.25">
      <c r="A2889" t="s">
        <v>1141</v>
      </c>
      <c r="B2889" t="s">
        <v>2642</v>
      </c>
      <c r="C2889" t="s">
        <v>927</v>
      </c>
      <c r="D2889" t="s">
        <v>3052</v>
      </c>
      <c r="E2889" t="s">
        <v>3053</v>
      </c>
      <c r="F2889" t="s">
        <v>447</v>
      </c>
      <c r="G2889" t="s">
        <v>448</v>
      </c>
      <c r="H2889" t="s">
        <v>4940</v>
      </c>
      <c r="I2889">
        <v>1463</v>
      </c>
      <c r="J2889">
        <v>977</v>
      </c>
      <c r="K2889">
        <v>0</v>
      </c>
      <c r="L2889">
        <v>154</v>
      </c>
      <c r="M2889">
        <v>260</v>
      </c>
      <c r="N2889">
        <v>0</v>
      </c>
      <c r="O2889">
        <v>72</v>
      </c>
    </row>
    <row r="2890" spans="1:15" x14ac:dyDescent="0.25">
      <c r="A2890" t="s">
        <v>1144</v>
      </c>
      <c r="B2890" t="s">
        <v>2124</v>
      </c>
      <c r="C2890" t="s">
        <v>923</v>
      </c>
      <c r="D2890" t="s">
        <v>3063</v>
      </c>
      <c r="E2890" t="s">
        <v>3053</v>
      </c>
      <c r="F2890" t="s">
        <v>447</v>
      </c>
      <c r="G2890" t="s">
        <v>448</v>
      </c>
      <c r="H2890" t="s">
        <v>14717</v>
      </c>
      <c r="I2890">
        <v>6</v>
      </c>
      <c r="J2890">
        <v>6</v>
      </c>
      <c r="K2890">
        <v>0</v>
      </c>
      <c r="L2890">
        <v>0</v>
      </c>
      <c r="M2890">
        <v>0</v>
      </c>
      <c r="N2890">
        <v>0</v>
      </c>
      <c r="O2890">
        <v>0</v>
      </c>
    </row>
    <row r="2891" spans="1:15" x14ac:dyDescent="0.25">
      <c r="A2891" t="s">
        <v>1146</v>
      </c>
      <c r="B2891" t="s">
        <v>2117</v>
      </c>
      <c r="C2891" t="s">
        <v>927</v>
      </c>
      <c r="D2891" t="s">
        <v>3052</v>
      </c>
      <c r="E2891" t="s">
        <v>3053</v>
      </c>
      <c r="F2891" t="s">
        <v>447</v>
      </c>
      <c r="G2891" t="s">
        <v>448</v>
      </c>
      <c r="H2891" t="s">
        <v>14718</v>
      </c>
      <c r="I2891">
        <v>1</v>
      </c>
      <c r="J2891">
        <v>0</v>
      </c>
      <c r="K2891">
        <v>0</v>
      </c>
      <c r="L2891">
        <v>0</v>
      </c>
      <c r="M2891">
        <v>0</v>
      </c>
      <c r="N2891">
        <v>0</v>
      </c>
      <c r="O2891">
        <v>1</v>
      </c>
    </row>
    <row r="2892" spans="1:15" x14ac:dyDescent="0.25">
      <c r="A2892" t="s">
        <v>1147</v>
      </c>
      <c r="B2892" t="s">
        <v>2129</v>
      </c>
      <c r="C2892" t="s">
        <v>923</v>
      </c>
      <c r="D2892" t="s">
        <v>3063</v>
      </c>
      <c r="E2892" t="s">
        <v>3053</v>
      </c>
      <c r="F2892" t="s">
        <v>447</v>
      </c>
      <c r="G2892" t="s">
        <v>448</v>
      </c>
      <c r="H2892" t="s">
        <v>4941</v>
      </c>
      <c r="I2892">
        <v>9</v>
      </c>
      <c r="J2892">
        <v>9</v>
      </c>
      <c r="K2892">
        <v>0</v>
      </c>
      <c r="L2892">
        <v>0</v>
      </c>
      <c r="M2892">
        <v>0</v>
      </c>
      <c r="N2892">
        <v>0</v>
      </c>
      <c r="O2892">
        <v>0</v>
      </c>
    </row>
    <row r="2893" spans="1:15" x14ac:dyDescent="0.25">
      <c r="A2893" t="s">
        <v>951</v>
      </c>
      <c r="B2893" t="s">
        <v>2680</v>
      </c>
      <c r="C2893" t="s">
        <v>927</v>
      </c>
      <c r="D2893" t="s">
        <v>3052</v>
      </c>
      <c r="E2893" t="s">
        <v>3053</v>
      </c>
      <c r="F2893" t="s">
        <v>447</v>
      </c>
      <c r="G2893" t="s">
        <v>448</v>
      </c>
      <c r="H2893" t="s">
        <v>4942</v>
      </c>
      <c r="I2893">
        <v>161</v>
      </c>
      <c r="J2893">
        <v>161</v>
      </c>
      <c r="K2893">
        <v>0</v>
      </c>
      <c r="L2893">
        <v>0</v>
      </c>
      <c r="M2893">
        <v>0</v>
      </c>
      <c r="N2893">
        <v>0</v>
      </c>
      <c r="O2893">
        <v>0</v>
      </c>
    </row>
    <row r="2894" spans="1:15" x14ac:dyDescent="0.25">
      <c r="A2894" t="s">
        <v>1048</v>
      </c>
      <c r="B2894" t="s">
        <v>2989</v>
      </c>
      <c r="C2894" t="s">
        <v>927</v>
      </c>
      <c r="D2894" t="s">
        <v>3052</v>
      </c>
      <c r="E2894" t="s">
        <v>3053</v>
      </c>
      <c r="F2894" t="s">
        <v>447</v>
      </c>
      <c r="G2894" t="s">
        <v>448</v>
      </c>
      <c r="H2894" t="s">
        <v>12018</v>
      </c>
      <c r="I2894">
        <v>143</v>
      </c>
      <c r="J2894">
        <v>143</v>
      </c>
      <c r="K2894">
        <v>0</v>
      </c>
      <c r="L2894">
        <v>0</v>
      </c>
      <c r="M2894">
        <v>0</v>
      </c>
      <c r="N2894">
        <v>0</v>
      </c>
      <c r="O2894">
        <v>0</v>
      </c>
    </row>
    <row r="2895" spans="1:15" x14ac:dyDescent="0.25">
      <c r="A2895" t="s">
        <v>1051</v>
      </c>
      <c r="B2895" t="s">
        <v>2995</v>
      </c>
      <c r="C2895" t="s">
        <v>927</v>
      </c>
      <c r="D2895" t="s">
        <v>3052</v>
      </c>
      <c r="E2895" t="s">
        <v>3053</v>
      </c>
      <c r="F2895" t="s">
        <v>447</v>
      </c>
      <c r="G2895" t="s">
        <v>448</v>
      </c>
      <c r="H2895" t="s">
        <v>4943</v>
      </c>
      <c r="I2895">
        <v>2</v>
      </c>
      <c r="J2895">
        <v>0</v>
      </c>
      <c r="K2895">
        <v>0</v>
      </c>
      <c r="L2895">
        <v>2</v>
      </c>
      <c r="M2895">
        <v>0</v>
      </c>
      <c r="N2895">
        <v>0</v>
      </c>
      <c r="O2895">
        <v>0</v>
      </c>
    </row>
    <row r="2896" spans="1:15" x14ac:dyDescent="0.25">
      <c r="A2896" t="s">
        <v>1152</v>
      </c>
      <c r="B2896" t="s">
        <v>3031</v>
      </c>
      <c r="C2896" t="s">
        <v>927</v>
      </c>
      <c r="D2896" t="s">
        <v>3052</v>
      </c>
      <c r="E2896" t="s">
        <v>3053</v>
      </c>
      <c r="F2896" t="s">
        <v>447</v>
      </c>
      <c r="G2896" t="s">
        <v>448</v>
      </c>
      <c r="H2896" t="s">
        <v>4944</v>
      </c>
      <c r="I2896">
        <v>470</v>
      </c>
      <c r="J2896">
        <v>422</v>
      </c>
      <c r="K2896">
        <v>0</v>
      </c>
      <c r="L2896">
        <v>9</v>
      </c>
      <c r="M2896">
        <v>0</v>
      </c>
      <c r="N2896">
        <v>0</v>
      </c>
      <c r="O2896">
        <v>39</v>
      </c>
    </row>
    <row r="2897" spans="1:15" x14ac:dyDescent="0.25">
      <c r="A2897" t="s">
        <v>11720</v>
      </c>
      <c r="B2897" t="s">
        <v>10718</v>
      </c>
      <c r="C2897" t="s">
        <v>927</v>
      </c>
      <c r="D2897" t="s">
        <v>3052</v>
      </c>
      <c r="E2897" t="s">
        <v>3053</v>
      </c>
      <c r="F2897" t="s">
        <v>447</v>
      </c>
      <c r="G2897" t="s">
        <v>448</v>
      </c>
      <c r="H2897" t="s">
        <v>14719</v>
      </c>
      <c r="I2897">
        <v>33</v>
      </c>
      <c r="J2897">
        <v>16</v>
      </c>
      <c r="K2897">
        <v>0</v>
      </c>
      <c r="L2897">
        <v>0</v>
      </c>
      <c r="M2897">
        <v>0</v>
      </c>
      <c r="N2897">
        <v>0</v>
      </c>
      <c r="O2897">
        <v>17</v>
      </c>
    </row>
    <row r="2898" spans="1:15" x14ac:dyDescent="0.25">
      <c r="A2898" t="s">
        <v>9788</v>
      </c>
      <c r="B2898" t="s">
        <v>9871</v>
      </c>
      <c r="C2898" t="s">
        <v>927</v>
      </c>
      <c r="D2898" t="s">
        <v>3052</v>
      </c>
      <c r="E2898" t="s">
        <v>3053</v>
      </c>
      <c r="F2898" t="s">
        <v>447</v>
      </c>
      <c r="G2898" t="s">
        <v>448</v>
      </c>
      <c r="H2898" t="s">
        <v>10348</v>
      </c>
      <c r="I2898">
        <v>72</v>
      </c>
      <c r="J2898">
        <v>72</v>
      </c>
      <c r="K2898">
        <v>0</v>
      </c>
      <c r="L2898">
        <v>0</v>
      </c>
      <c r="M2898">
        <v>0</v>
      </c>
      <c r="N2898">
        <v>0</v>
      </c>
      <c r="O2898">
        <v>0</v>
      </c>
    </row>
    <row r="2899" spans="1:15" x14ac:dyDescent="0.25">
      <c r="A2899" t="s">
        <v>1057</v>
      </c>
      <c r="B2899" t="s">
        <v>1972</v>
      </c>
      <c r="C2899" t="s">
        <v>927</v>
      </c>
      <c r="D2899" t="s">
        <v>3052</v>
      </c>
      <c r="E2899" t="s">
        <v>3053</v>
      </c>
      <c r="F2899" t="s">
        <v>447</v>
      </c>
      <c r="G2899" t="s">
        <v>448</v>
      </c>
      <c r="H2899" t="s">
        <v>4945</v>
      </c>
      <c r="I2899">
        <v>66</v>
      </c>
      <c r="J2899">
        <v>0</v>
      </c>
      <c r="K2899">
        <v>0</v>
      </c>
      <c r="L2899">
        <v>66</v>
      </c>
      <c r="M2899">
        <v>0</v>
      </c>
      <c r="N2899">
        <v>0</v>
      </c>
      <c r="O2899">
        <v>0</v>
      </c>
    </row>
    <row r="2900" spans="1:15" x14ac:dyDescent="0.25">
      <c r="A2900" t="s">
        <v>955</v>
      </c>
      <c r="B2900" t="s">
        <v>2660</v>
      </c>
      <c r="C2900" t="s">
        <v>927</v>
      </c>
      <c r="D2900" t="s">
        <v>3052</v>
      </c>
      <c r="E2900" t="s">
        <v>3053</v>
      </c>
      <c r="F2900" t="s">
        <v>447</v>
      </c>
      <c r="G2900" t="s">
        <v>448</v>
      </c>
      <c r="H2900" t="s">
        <v>4946</v>
      </c>
      <c r="I2900">
        <v>140</v>
      </c>
      <c r="J2900">
        <v>116</v>
      </c>
      <c r="K2900">
        <v>0</v>
      </c>
      <c r="L2900">
        <v>19</v>
      </c>
      <c r="M2900">
        <v>0</v>
      </c>
      <c r="N2900">
        <v>3</v>
      </c>
      <c r="O2900">
        <v>5</v>
      </c>
    </row>
    <row r="2901" spans="1:15" x14ac:dyDescent="0.25">
      <c r="A2901" t="s">
        <v>9795</v>
      </c>
      <c r="B2901" t="s">
        <v>1982</v>
      </c>
      <c r="C2901" t="s">
        <v>923</v>
      </c>
      <c r="D2901" t="s">
        <v>3063</v>
      </c>
      <c r="E2901" t="s">
        <v>3053</v>
      </c>
      <c r="F2901" t="s">
        <v>447</v>
      </c>
      <c r="G2901" t="s">
        <v>448</v>
      </c>
      <c r="H2901" t="s">
        <v>12019</v>
      </c>
      <c r="I2901">
        <v>12</v>
      </c>
      <c r="J2901">
        <v>0</v>
      </c>
      <c r="K2901">
        <v>0</v>
      </c>
      <c r="L2901">
        <v>12</v>
      </c>
      <c r="M2901">
        <v>0</v>
      </c>
      <c r="N2901">
        <v>0</v>
      </c>
      <c r="O2901">
        <v>0</v>
      </c>
    </row>
    <row r="2902" spans="1:15" x14ac:dyDescent="0.25">
      <c r="A2902" t="s">
        <v>1066</v>
      </c>
      <c r="B2902" t="s">
        <v>2557</v>
      </c>
      <c r="C2902" t="s">
        <v>927</v>
      </c>
      <c r="D2902" t="s">
        <v>3052</v>
      </c>
      <c r="E2902" t="s">
        <v>3053</v>
      </c>
      <c r="F2902" t="s">
        <v>447</v>
      </c>
      <c r="G2902" t="s">
        <v>448</v>
      </c>
      <c r="H2902" t="s">
        <v>4947</v>
      </c>
      <c r="I2902">
        <v>11</v>
      </c>
      <c r="J2902">
        <v>0</v>
      </c>
      <c r="K2902">
        <v>0</v>
      </c>
      <c r="L2902">
        <v>0</v>
      </c>
      <c r="M2902">
        <v>11</v>
      </c>
      <c r="N2902">
        <v>0</v>
      </c>
      <c r="O2902">
        <v>0</v>
      </c>
    </row>
    <row r="2903" spans="1:15" x14ac:dyDescent="0.25">
      <c r="A2903" t="s">
        <v>1172</v>
      </c>
      <c r="B2903" t="s">
        <v>3023</v>
      </c>
      <c r="C2903" t="s">
        <v>927</v>
      </c>
      <c r="D2903" t="s">
        <v>3052</v>
      </c>
      <c r="E2903" t="s">
        <v>3053</v>
      </c>
      <c r="F2903" t="s">
        <v>447</v>
      </c>
      <c r="G2903" t="s">
        <v>448</v>
      </c>
      <c r="H2903" t="s">
        <v>4948</v>
      </c>
      <c r="I2903">
        <v>139</v>
      </c>
      <c r="J2903">
        <v>128</v>
      </c>
      <c r="K2903">
        <v>0</v>
      </c>
      <c r="L2903">
        <v>0</v>
      </c>
      <c r="M2903">
        <v>0</v>
      </c>
      <c r="N2903">
        <v>0</v>
      </c>
      <c r="O2903">
        <v>11</v>
      </c>
    </row>
    <row r="2904" spans="1:15" x14ac:dyDescent="0.25">
      <c r="A2904" t="s">
        <v>9796</v>
      </c>
      <c r="B2904" t="s">
        <v>2192</v>
      </c>
      <c r="C2904" t="s">
        <v>923</v>
      </c>
      <c r="D2904" t="s">
        <v>3063</v>
      </c>
      <c r="E2904" t="s">
        <v>3053</v>
      </c>
      <c r="F2904" t="s">
        <v>447</v>
      </c>
      <c r="G2904" t="s">
        <v>448</v>
      </c>
      <c r="H2904" t="s">
        <v>10485</v>
      </c>
      <c r="I2904">
        <v>67</v>
      </c>
      <c r="J2904">
        <v>0</v>
      </c>
      <c r="K2904">
        <v>0</v>
      </c>
      <c r="L2904">
        <v>0</v>
      </c>
      <c r="M2904">
        <v>67</v>
      </c>
      <c r="N2904">
        <v>0</v>
      </c>
      <c r="O2904">
        <v>0</v>
      </c>
    </row>
    <row r="2905" spans="1:15" x14ac:dyDescent="0.25">
      <c r="A2905" t="s">
        <v>9881</v>
      </c>
      <c r="B2905" t="s">
        <v>2254</v>
      </c>
      <c r="C2905" t="s">
        <v>923</v>
      </c>
      <c r="D2905" t="s">
        <v>3063</v>
      </c>
      <c r="E2905" t="s">
        <v>3053</v>
      </c>
      <c r="F2905" t="s">
        <v>447</v>
      </c>
      <c r="G2905" t="s">
        <v>448</v>
      </c>
      <c r="H2905" t="s">
        <v>10491</v>
      </c>
      <c r="I2905">
        <v>43</v>
      </c>
      <c r="J2905">
        <v>0</v>
      </c>
      <c r="K2905">
        <v>0</v>
      </c>
      <c r="L2905">
        <v>0</v>
      </c>
      <c r="M2905">
        <v>43</v>
      </c>
      <c r="N2905">
        <v>0</v>
      </c>
      <c r="O2905">
        <v>0</v>
      </c>
    </row>
    <row r="2906" spans="1:15" x14ac:dyDescent="0.25">
      <c r="A2906" t="s">
        <v>1176</v>
      </c>
      <c r="B2906" t="s">
        <v>2952</v>
      </c>
      <c r="C2906" t="s">
        <v>923</v>
      </c>
      <c r="D2906" t="s">
        <v>3063</v>
      </c>
      <c r="E2906" t="s">
        <v>3053</v>
      </c>
      <c r="F2906" t="s">
        <v>447</v>
      </c>
      <c r="G2906" t="s">
        <v>448</v>
      </c>
      <c r="H2906" t="s">
        <v>4949</v>
      </c>
      <c r="I2906">
        <v>2</v>
      </c>
      <c r="J2906">
        <v>0</v>
      </c>
      <c r="K2906">
        <v>0</v>
      </c>
      <c r="L2906">
        <v>2</v>
      </c>
      <c r="M2906">
        <v>0</v>
      </c>
      <c r="N2906">
        <v>0</v>
      </c>
      <c r="O2906">
        <v>0</v>
      </c>
    </row>
    <row r="2907" spans="1:15" x14ac:dyDescent="0.25">
      <c r="A2907" t="s">
        <v>9799</v>
      </c>
      <c r="B2907" t="s">
        <v>2246</v>
      </c>
      <c r="C2907" t="s">
        <v>923</v>
      </c>
      <c r="D2907" t="s">
        <v>3063</v>
      </c>
      <c r="E2907" t="s">
        <v>3053</v>
      </c>
      <c r="F2907" t="s">
        <v>447</v>
      </c>
      <c r="G2907" t="s">
        <v>448</v>
      </c>
      <c r="H2907" t="s">
        <v>10496</v>
      </c>
      <c r="I2907">
        <v>15</v>
      </c>
      <c r="J2907">
        <v>0</v>
      </c>
      <c r="K2907">
        <v>0</v>
      </c>
      <c r="L2907">
        <v>15</v>
      </c>
      <c r="M2907">
        <v>0</v>
      </c>
      <c r="N2907">
        <v>0</v>
      </c>
      <c r="O2907">
        <v>0</v>
      </c>
    </row>
    <row r="2908" spans="1:15" x14ac:dyDescent="0.25">
      <c r="A2908" t="s">
        <v>1183</v>
      </c>
      <c r="B2908" t="s">
        <v>2108</v>
      </c>
      <c r="C2908" t="s">
        <v>923</v>
      </c>
      <c r="D2908" t="s">
        <v>3063</v>
      </c>
      <c r="E2908" t="s">
        <v>3053</v>
      </c>
      <c r="F2908" t="s">
        <v>447</v>
      </c>
      <c r="G2908" t="s">
        <v>448</v>
      </c>
      <c r="H2908" t="s">
        <v>12020</v>
      </c>
      <c r="I2908">
        <v>6</v>
      </c>
      <c r="J2908">
        <v>6</v>
      </c>
      <c r="K2908">
        <v>0</v>
      </c>
      <c r="L2908">
        <v>0</v>
      </c>
      <c r="M2908">
        <v>0</v>
      </c>
      <c r="N2908">
        <v>0</v>
      </c>
      <c r="O2908">
        <v>0</v>
      </c>
    </row>
    <row r="2909" spans="1:15" x14ac:dyDescent="0.25">
      <c r="A2909" t="s">
        <v>1195</v>
      </c>
      <c r="B2909" t="s">
        <v>2924</v>
      </c>
      <c r="C2909" t="s">
        <v>927</v>
      </c>
      <c r="D2909" t="s">
        <v>3052</v>
      </c>
      <c r="E2909" t="s">
        <v>3053</v>
      </c>
      <c r="F2909" t="s">
        <v>449</v>
      </c>
      <c r="G2909" t="s">
        <v>450</v>
      </c>
      <c r="H2909" t="s">
        <v>4950</v>
      </c>
      <c r="I2909">
        <v>9</v>
      </c>
      <c r="J2909">
        <v>0</v>
      </c>
      <c r="K2909">
        <v>0</v>
      </c>
      <c r="L2909">
        <v>9</v>
      </c>
      <c r="M2909">
        <v>0</v>
      </c>
      <c r="N2909">
        <v>0</v>
      </c>
      <c r="O2909">
        <v>0</v>
      </c>
    </row>
    <row r="2910" spans="1:15" x14ac:dyDescent="0.25">
      <c r="A2910" t="s">
        <v>1565</v>
      </c>
      <c r="B2910" t="s">
        <v>2543</v>
      </c>
      <c r="C2910" t="s">
        <v>923</v>
      </c>
      <c r="D2910" t="s">
        <v>3063</v>
      </c>
      <c r="E2910" t="s">
        <v>3053</v>
      </c>
      <c r="F2910" t="s">
        <v>449</v>
      </c>
      <c r="G2910" t="s">
        <v>450</v>
      </c>
      <c r="H2910" t="s">
        <v>4951</v>
      </c>
      <c r="I2910">
        <v>17</v>
      </c>
      <c r="J2910">
        <v>1</v>
      </c>
      <c r="K2910">
        <v>0</v>
      </c>
      <c r="L2910">
        <v>16</v>
      </c>
      <c r="M2910">
        <v>0</v>
      </c>
      <c r="N2910">
        <v>0</v>
      </c>
      <c r="O2910">
        <v>0</v>
      </c>
    </row>
    <row r="2911" spans="1:15" x14ac:dyDescent="0.25">
      <c r="A2911" t="s">
        <v>929</v>
      </c>
      <c r="B2911" t="s">
        <v>2999</v>
      </c>
      <c r="C2911" t="s">
        <v>927</v>
      </c>
      <c r="D2911" t="s">
        <v>3052</v>
      </c>
      <c r="E2911" t="s">
        <v>3053</v>
      </c>
      <c r="F2911" t="s">
        <v>449</v>
      </c>
      <c r="G2911" t="s">
        <v>450</v>
      </c>
      <c r="H2911" t="s">
        <v>4952</v>
      </c>
      <c r="I2911">
        <v>181</v>
      </c>
      <c r="J2911">
        <v>0</v>
      </c>
      <c r="K2911">
        <v>0</v>
      </c>
      <c r="L2911">
        <v>0</v>
      </c>
      <c r="M2911">
        <v>181</v>
      </c>
      <c r="N2911">
        <v>0</v>
      </c>
      <c r="O2911">
        <v>0</v>
      </c>
    </row>
    <row r="2912" spans="1:15" x14ac:dyDescent="0.25">
      <c r="A2912" t="s">
        <v>978</v>
      </c>
      <c r="B2912" t="s">
        <v>1999</v>
      </c>
      <c r="C2912" t="s">
        <v>923</v>
      </c>
      <c r="D2912" t="s">
        <v>3063</v>
      </c>
      <c r="E2912" t="s">
        <v>3053</v>
      </c>
      <c r="F2912" t="s">
        <v>449</v>
      </c>
      <c r="G2912" t="s">
        <v>450</v>
      </c>
      <c r="H2912" t="s">
        <v>4953</v>
      </c>
      <c r="I2912">
        <v>1</v>
      </c>
      <c r="J2912">
        <v>1</v>
      </c>
      <c r="K2912">
        <v>0</v>
      </c>
      <c r="L2912">
        <v>0</v>
      </c>
      <c r="M2912">
        <v>0</v>
      </c>
      <c r="N2912">
        <v>0</v>
      </c>
      <c r="O2912">
        <v>0</v>
      </c>
    </row>
    <row r="2913" spans="1:15" x14ac:dyDescent="0.25">
      <c r="A2913" t="s">
        <v>9784</v>
      </c>
      <c r="B2913" t="s">
        <v>1994</v>
      </c>
      <c r="C2913" t="s">
        <v>927</v>
      </c>
      <c r="D2913" t="s">
        <v>3052</v>
      </c>
      <c r="E2913" t="s">
        <v>3053</v>
      </c>
      <c r="F2913" t="s">
        <v>449</v>
      </c>
      <c r="G2913" t="s">
        <v>450</v>
      </c>
      <c r="H2913" t="s">
        <v>9939</v>
      </c>
      <c r="I2913">
        <v>10</v>
      </c>
      <c r="J2913">
        <v>0</v>
      </c>
      <c r="K2913">
        <v>0</v>
      </c>
      <c r="L2913">
        <v>10</v>
      </c>
      <c r="M2913">
        <v>0</v>
      </c>
      <c r="N2913">
        <v>0</v>
      </c>
      <c r="O2913">
        <v>0</v>
      </c>
    </row>
    <row r="2914" spans="1:15" x14ac:dyDescent="0.25">
      <c r="A2914" t="s">
        <v>933</v>
      </c>
      <c r="B2914" t="s">
        <v>2106</v>
      </c>
      <c r="C2914" t="s">
        <v>927</v>
      </c>
      <c r="D2914" t="s">
        <v>3052</v>
      </c>
      <c r="E2914" t="s">
        <v>3053</v>
      </c>
      <c r="F2914" t="s">
        <v>449</v>
      </c>
      <c r="G2914" t="s">
        <v>450</v>
      </c>
      <c r="H2914" t="s">
        <v>4954</v>
      </c>
      <c r="I2914">
        <v>55</v>
      </c>
      <c r="J2914">
        <v>42</v>
      </c>
      <c r="K2914">
        <v>0</v>
      </c>
      <c r="L2914">
        <v>0</v>
      </c>
      <c r="M2914">
        <v>0</v>
      </c>
      <c r="N2914">
        <v>0</v>
      </c>
      <c r="O2914">
        <v>13</v>
      </c>
    </row>
    <row r="2915" spans="1:15" x14ac:dyDescent="0.25">
      <c r="A2915" t="s">
        <v>1000</v>
      </c>
      <c r="B2915" t="s">
        <v>1984</v>
      </c>
      <c r="C2915" t="s">
        <v>923</v>
      </c>
      <c r="D2915" t="s">
        <v>3063</v>
      </c>
      <c r="E2915" t="s">
        <v>3053</v>
      </c>
      <c r="F2915" t="s">
        <v>449</v>
      </c>
      <c r="G2915" t="s">
        <v>450</v>
      </c>
      <c r="H2915" t="s">
        <v>4955</v>
      </c>
      <c r="I2915">
        <v>11</v>
      </c>
      <c r="J2915">
        <v>0</v>
      </c>
      <c r="K2915">
        <v>0</v>
      </c>
      <c r="L2915">
        <v>11</v>
      </c>
      <c r="M2915">
        <v>0</v>
      </c>
      <c r="N2915">
        <v>0</v>
      </c>
      <c r="O2915">
        <v>0</v>
      </c>
    </row>
    <row r="2916" spans="1:15" x14ac:dyDescent="0.25">
      <c r="A2916" t="s">
        <v>10638</v>
      </c>
      <c r="B2916" t="s">
        <v>2057</v>
      </c>
      <c r="C2916" t="s">
        <v>927</v>
      </c>
      <c r="D2916" t="s">
        <v>3052</v>
      </c>
      <c r="E2916" t="s">
        <v>3053</v>
      </c>
      <c r="F2916" t="s">
        <v>449</v>
      </c>
      <c r="G2916" t="s">
        <v>450</v>
      </c>
      <c r="H2916" t="s">
        <v>11014</v>
      </c>
      <c r="I2916">
        <v>2</v>
      </c>
      <c r="J2916">
        <v>0</v>
      </c>
      <c r="K2916">
        <v>0</v>
      </c>
      <c r="L2916">
        <v>2</v>
      </c>
      <c r="M2916">
        <v>0</v>
      </c>
      <c r="N2916">
        <v>0</v>
      </c>
      <c r="O2916">
        <v>0</v>
      </c>
    </row>
    <row r="2917" spans="1:15" x14ac:dyDescent="0.25">
      <c r="A2917" t="s">
        <v>1010</v>
      </c>
      <c r="B2917" t="s">
        <v>2639</v>
      </c>
      <c r="C2917" t="s">
        <v>927</v>
      </c>
      <c r="D2917" t="s">
        <v>3052</v>
      </c>
      <c r="E2917" t="s">
        <v>3053</v>
      </c>
      <c r="F2917" t="s">
        <v>449</v>
      </c>
      <c r="G2917" t="s">
        <v>450</v>
      </c>
      <c r="H2917" t="s">
        <v>4956</v>
      </c>
      <c r="I2917">
        <v>36</v>
      </c>
      <c r="J2917">
        <v>23</v>
      </c>
      <c r="K2917">
        <v>0</v>
      </c>
      <c r="L2917">
        <v>0</v>
      </c>
      <c r="M2917">
        <v>0</v>
      </c>
      <c r="N2917">
        <v>0</v>
      </c>
      <c r="O2917">
        <v>13</v>
      </c>
    </row>
    <row r="2918" spans="1:15" x14ac:dyDescent="0.25">
      <c r="A2918" t="s">
        <v>938</v>
      </c>
      <c r="B2918" t="s">
        <v>2791</v>
      </c>
      <c r="C2918" t="s">
        <v>927</v>
      </c>
      <c r="D2918" t="s">
        <v>3052</v>
      </c>
      <c r="E2918" t="s">
        <v>3053</v>
      </c>
      <c r="F2918" t="s">
        <v>449</v>
      </c>
      <c r="G2918" t="s">
        <v>450</v>
      </c>
      <c r="H2918" t="s">
        <v>4957</v>
      </c>
      <c r="I2918">
        <v>146</v>
      </c>
      <c r="J2918">
        <v>146</v>
      </c>
      <c r="K2918">
        <v>0</v>
      </c>
      <c r="L2918">
        <v>0</v>
      </c>
      <c r="M2918">
        <v>0</v>
      </c>
      <c r="N2918">
        <v>1</v>
      </c>
      <c r="O2918">
        <v>0</v>
      </c>
    </row>
    <row r="2919" spans="1:15" x14ac:dyDescent="0.25">
      <c r="A2919" t="s">
        <v>940</v>
      </c>
      <c r="B2919" t="s">
        <v>2647</v>
      </c>
      <c r="C2919" t="s">
        <v>927</v>
      </c>
      <c r="D2919" t="s">
        <v>3052</v>
      </c>
      <c r="E2919" t="s">
        <v>3053</v>
      </c>
      <c r="F2919" t="s">
        <v>449</v>
      </c>
      <c r="G2919" t="s">
        <v>450</v>
      </c>
      <c r="H2919" t="s">
        <v>4958</v>
      </c>
      <c r="I2919">
        <v>90</v>
      </c>
      <c r="J2919">
        <v>0</v>
      </c>
      <c r="K2919">
        <v>0</v>
      </c>
      <c r="L2919">
        <v>0</v>
      </c>
      <c r="M2919">
        <v>90</v>
      </c>
      <c r="N2919">
        <v>0</v>
      </c>
      <c r="O2919">
        <v>0</v>
      </c>
    </row>
    <row r="2920" spans="1:15" x14ac:dyDescent="0.25">
      <c r="A2920" t="s">
        <v>1126</v>
      </c>
      <c r="B2920" t="s">
        <v>2130</v>
      </c>
      <c r="C2920" t="s">
        <v>927</v>
      </c>
      <c r="D2920" t="s">
        <v>3052</v>
      </c>
      <c r="E2920" t="s">
        <v>3053</v>
      </c>
      <c r="F2920" t="s">
        <v>449</v>
      </c>
      <c r="G2920" t="s">
        <v>450</v>
      </c>
      <c r="H2920" t="s">
        <v>14720</v>
      </c>
      <c r="I2920">
        <v>4</v>
      </c>
      <c r="J2920">
        <v>0</v>
      </c>
      <c r="K2920">
        <v>0</v>
      </c>
      <c r="L2920">
        <v>0</v>
      </c>
      <c r="M2920">
        <v>0</v>
      </c>
      <c r="N2920">
        <v>0</v>
      </c>
      <c r="O2920">
        <v>4</v>
      </c>
    </row>
    <row r="2921" spans="1:15" x14ac:dyDescent="0.25">
      <c r="A2921" t="s">
        <v>1025</v>
      </c>
      <c r="B2921" t="s">
        <v>2893</v>
      </c>
      <c r="C2921" t="s">
        <v>927</v>
      </c>
      <c r="D2921" t="s">
        <v>3052</v>
      </c>
      <c r="E2921" t="s">
        <v>3053</v>
      </c>
      <c r="F2921" t="s">
        <v>449</v>
      </c>
      <c r="G2921" t="s">
        <v>450</v>
      </c>
      <c r="H2921" t="s">
        <v>10182</v>
      </c>
      <c r="I2921">
        <v>3</v>
      </c>
      <c r="J2921">
        <v>0</v>
      </c>
      <c r="K2921">
        <v>0</v>
      </c>
      <c r="L2921">
        <v>0</v>
      </c>
      <c r="M2921">
        <v>0</v>
      </c>
      <c r="N2921">
        <v>0</v>
      </c>
      <c r="O2921">
        <v>3</v>
      </c>
    </row>
    <row r="2922" spans="1:15" x14ac:dyDescent="0.25">
      <c r="A2922" t="s">
        <v>10681</v>
      </c>
      <c r="B2922" t="s">
        <v>10680</v>
      </c>
      <c r="C2922" t="s">
        <v>927</v>
      </c>
      <c r="D2922" t="s">
        <v>3052</v>
      </c>
      <c r="E2922" t="s">
        <v>3053</v>
      </c>
      <c r="F2922" t="s">
        <v>449</v>
      </c>
      <c r="G2922" t="s">
        <v>450</v>
      </c>
      <c r="H2922" t="s">
        <v>14721</v>
      </c>
      <c r="I2922">
        <v>1</v>
      </c>
      <c r="J2922">
        <v>0</v>
      </c>
      <c r="K2922">
        <v>0</v>
      </c>
      <c r="L2922">
        <v>0</v>
      </c>
      <c r="M2922">
        <v>0</v>
      </c>
      <c r="N2922">
        <v>0</v>
      </c>
      <c r="O2922">
        <v>1</v>
      </c>
    </row>
    <row r="2923" spans="1:15" x14ac:dyDescent="0.25">
      <c r="A2923" t="s">
        <v>945</v>
      </c>
      <c r="B2923" t="s">
        <v>2668</v>
      </c>
      <c r="C2923" t="s">
        <v>927</v>
      </c>
      <c r="D2923" t="s">
        <v>3052</v>
      </c>
      <c r="E2923" t="s">
        <v>3053</v>
      </c>
      <c r="F2923" t="s">
        <v>449</v>
      </c>
      <c r="G2923" t="s">
        <v>450</v>
      </c>
      <c r="H2923" t="s">
        <v>4959</v>
      </c>
      <c r="I2923">
        <v>4</v>
      </c>
      <c r="J2923">
        <v>2</v>
      </c>
      <c r="K2923">
        <v>0</v>
      </c>
      <c r="L2923">
        <v>0</v>
      </c>
      <c r="M2923">
        <v>0</v>
      </c>
      <c r="N2923">
        <v>0</v>
      </c>
      <c r="O2923">
        <v>2</v>
      </c>
    </row>
    <row r="2924" spans="1:15" x14ac:dyDescent="0.25">
      <c r="A2924" t="s">
        <v>1041</v>
      </c>
      <c r="B2924" t="s">
        <v>2826</v>
      </c>
      <c r="C2924" t="s">
        <v>927</v>
      </c>
      <c r="D2924" t="s">
        <v>3052</v>
      </c>
      <c r="E2924" t="s">
        <v>3053</v>
      </c>
      <c r="F2924" t="s">
        <v>449</v>
      </c>
      <c r="G2924" t="s">
        <v>450</v>
      </c>
      <c r="H2924" t="s">
        <v>4960</v>
      </c>
      <c r="I2924">
        <v>31</v>
      </c>
      <c r="J2924">
        <v>0</v>
      </c>
      <c r="K2924">
        <v>0</v>
      </c>
      <c r="L2924">
        <v>0</v>
      </c>
      <c r="M2924">
        <v>0</v>
      </c>
      <c r="N2924">
        <v>0</v>
      </c>
      <c r="O2924">
        <v>31</v>
      </c>
    </row>
    <row r="2925" spans="1:15" x14ac:dyDescent="0.25">
      <c r="A2925" t="s">
        <v>9787</v>
      </c>
      <c r="B2925" t="s">
        <v>2822</v>
      </c>
      <c r="C2925" t="s">
        <v>927</v>
      </c>
      <c r="D2925" t="s">
        <v>3052</v>
      </c>
      <c r="E2925" t="s">
        <v>3053</v>
      </c>
      <c r="F2925" t="s">
        <v>449</v>
      </c>
      <c r="G2925" t="s">
        <v>450</v>
      </c>
      <c r="H2925" t="s">
        <v>10250</v>
      </c>
      <c r="I2925">
        <v>110</v>
      </c>
      <c r="J2925">
        <v>60</v>
      </c>
      <c r="K2925">
        <v>0</v>
      </c>
      <c r="L2925">
        <v>0</v>
      </c>
      <c r="M2925">
        <v>50</v>
      </c>
      <c r="N2925">
        <v>5</v>
      </c>
      <c r="O2925">
        <v>0</v>
      </c>
    </row>
    <row r="2926" spans="1:15" x14ac:dyDescent="0.25">
      <c r="A2926" t="s">
        <v>951</v>
      </c>
      <c r="B2926" t="s">
        <v>2680</v>
      </c>
      <c r="C2926" t="s">
        <v>927</v>
      </c>
      <c r="D2926" t="s">
        <v>3052</v>
      </c>
      <c r="E2926" t="s">
        <v>3053</v>
      </c>
      <c r="F2926" t="s">
        <v>449</v>
      </c>
      <c r="G2926" t="s">
        <v>450</v>
      </c>
      <c r="H2926" t="s">
        <v>4961</v>
      </c>
      <c r="I2926">
        <v>545</v>
      </c>
      <c r="J2926">
        <v>459</v>
      </c>
      <c r="K2926">
        <v>0</v>
      </c>
      <c r="L2926">
        <v>0</v>
      </c>
      <c r="M2926">
        <v>81</v>
      </c>
      <c r="N2926">
        <v>0</v>
      </c>
      <c r="O2926">
        <v>5</v>
      </c>
    </row>
    <row r="2927" spans="1:15" x14ac:dyDescent="0.25">
      <c r="A2927" t="s">
        <v>1056</v>
      </c>
      <c r="B2927" t="s">
        <v>2966</v>
      </c>
      <c r="C2927" t="s">
        <v>927</v>
      </c>
      <c r="D2927" t="s">
        <v>3052</v>
      </c>
      <c r="E2927" t="s">
        <v>3053</v>
      </c>
      <c r="F2927" t="s">
        <v>449</v>
      </c>
      <c r="G2927" t="s">
        <v>450</v>
      </c>
      <c r="H2927" t="s">
        <v>4962</v>
      </c>
      <c r="I2927">
        <v>5</v>
      </c>
      <c r="J2927">
        <v>0</v>
      </c>
      <c r="K2927">
        <v>0</v>
      </c>
      <c r="L2927">
        <v>5</v>
      </c>
      <c r="M2927">
        <v>0</v>
      </c>
      <c r="N2927">
        <v>0</v>
      </c>
      <c r="O2927">
        <v>0</v>
      </c>
    </row>
    <row r="2928" spans="1:15" x14ac:dyDescent="0.25">
      <c r="A2928" t="s">
        <v>955</v>
      </c>
      <c r="B2928" t="s">
        <v>2660</v>
      </c>
      <c r="C2928" t="s">
        <v>927</v>
      </c>
      <c r="D2928" t="s">
        <v>3052</v>
      </c>
      <c r="E2928" t="s">
        <v>3053</v>
      </c>
      <c r="F2928" t="s">
        <v>449</v>
      </c>
      <c r="G2928" t="s">
        <v>450</v>
      </c>
      <c r="H2928" t="s">
        <v>4963</v>
      </c>
      <c r="I2928">
        <v>28</v>
      </c>
      <c r="J2928">
        <v>0</v>
      </c>
      <c r="K2928">
        <v>0</v>
      </c>
      <c r="L2928">
        <v>28</v>
      </c>
      <c r="M2928">
        <v>0</v>
      </c>
      <c r="N2928">
        <v>0</v>
      </c>
      <c r="O2928">
        <v>0</v>
      </c>
    </row>
    <row r="2929" spans="1:15" x14ac:dyDescent="0.25">
      <c r="A2929" t="s">
        <v>1654</v>
      </c>
      <c r="B2929" t="s">
        <v>2850</v>
      </c>
      <c r="C2929" t="s">
        <v>927</v>
      </c>
      <c r="D2929" t="s">
        <v>3052</v>
      </c>
      <c r="E2929" t="s">
        <v>3053</v>
      </c>
      <c r="F2929" t="s">
        <v>449</v>
      </c>
      <c r="G2929" t="s">
        <v>450</v>
      </c>
      <c r="H2929" t="s">
        <v>4964</v>
      </c>
      <c r="I2929">
        <v>80</v>
      </c>
      <c r="J2929">
        <v>0</v>
      </c>
      <c r="K2929">
        <v>0</v>
      </c>
      <c r="L2929">
        <v>18</v>
      </c>
      <c r="M2929">
        <v>52</v>
      </c>
      <c r="N2929">
        <v>0</v>
      </c>
      <c r="O2929">
        <v>10</v>
      </c>
    </row>
    <row r="2930" spans="1:15" x14ac:dyDescent="0.25">
      <c r="A2930" t="s">
        <v>1661</v>
      </c>
      <c r="B2930" t="s">
        <v>2764</v>
      </c>
      <c r="C2930" t="s">
        <v>923</v>
      </c>
      <c r="D2930" t="s">
        <v>3063</v>
      </c>
      <c r="E2930" t="s">
        <v>3053</v>
      </c>
      <c r="F2930" t="s">
        <v>449</v>
      </c>
      <c r="G2930" t="s">
        <v>450</v>
      </c>
      <c r="H2930" t="s">
        <v>4965</v>
      </c>
      <c r="I2930">
        <v>49</v>
      </c>
      <c r="J2930">
        <v>0</v>
      </c>
      <c r="K2930">
        <v>0</v>
      </c>
      <c r="L2930">
        <v>49</v>
      </c>
      <c r="M2930">
        <v>0</v>
      </c>
      <c r="N2930">
        <v>0</v>
      </c>
      <c r="O2930">
        <v>0</v>
      </c>
    </row>
    <row r="2931" spans="1:15" x14ac:dyDescent="0.25">
      <c r="A2931" t="s">
        <v>11663</v>
      </c>
      <c r="B2931" t="s">
        <v>11768</v>
      </c>
      <c r="C2931" t="s">
        <v>927</v>
      </c>
      <c r="D2931" t="s">
        <v>3052</v>
      </c>
      <c r="E2931" t="s">
        <v>3053</v>
      </c>
      <c r="F2931" t="s">
        <v>449</v>
      </c>
      <c r="G2931" t="s">
        <v>450</v>
      </c>
      <c r="H2931" t="s">
        <v>12021</v>
      </c>
      <c r="I2931">
        <v>411</v>
      </c>
      <c r="J2931">
        <v>335</v>
      </c>
      <c r="K2931">
        <v>0</v>
      </c>
      <c r="L2931">
        <v>9</v>
      </c>
      <c r="M2931">
        <v>0</v>
      </c>
      <c r="N2931">
        <v>1</v>
      </c>
      <c r="O2931">
        <v>67</v>
      </c>
    </row>
    <row r="2932" spans="1:15" x14ac:dyDescent="0.25">
      <c r="A2932" t="s">
        <v>1062</v>
      </c>
      <c r="B2932" t="s">
        <v>1993</v>
      </c>
      <c r="C2932" t="s">
        <v>927</v>
      </c>
      <c r="D2932" t="s">
        <v>3052</v>
      </c>
      <c r="E2932" t="s">
        <v>3053</v>
      </c>
      <c r="F2932" t="s">
        <v>449</v>
      </c>
      <c r="G2932" t="s">
        <v>450</v>
      </c>
      <c r="H2932" t="s">
        <v>4966</v>
      </c>
      <c r="I2932">
        <v>19</v>
      </c>
      <c r="J2932">
        <v>19</v>
      </c>
      <c r="K2932">
        <v>0</v>
      </c>
      <c r="L2932">
        <v>0</v>
      </c>
      <c r="M2932">
        <v>0</v>
      </c>
      <c r="N2932">
        <v>0</v>
      </c>
      <c r="O2932">
        <v>0</v>
      </c>
    </row>
    <row r="2933" spans="1:15" x14ac:dyDescent="0.25">
      <c r="A2933" t="s">
        <v>962</v>
      </c>
      <c r="B2933" t="s">
        <v>2752</v>
      </c>
      <c r="C2933" t="s">
        <v>927</v>
      </c>
      <c r="D2933" t="s">
        <v>3052</v>
      </c>
      <c r="E2933" t="s">
        <v>3053</v>
      </c>
      <c r="F2933" t="s">
        <v>449</v>
      </c>
      <c r="G2933" t="s">
        <v>450</v>
      </c>
      <c r="H2933" t="s">
        <v>4967</v>
      </c>
      <c r="I2933">
        <v>780</v>
      </c>
      <c r="J2933">
        <v>605</v>
      </c>
      <c r="K2933">
        <v>0</v>
      </c>
      <c r="L2933">
        <v>0</v>
      </c>
      <c r="M2933">
        <v>167</v>
      </c>
      <c r="N2933">
        <v>0</v>
      </c>
      <c r="O2933">
        <v>8</v>
      </c>
    </row>
    <row r="2934" spans="1:15" x14ac:dyDescent="0.25">
      <c r="A2934" t="s">
        <v>11709</v>
      </c>
      <c r="B2934" t="s">
        <v>2913</v>
      </c>
      <c r="C2934" t="s">
        <v>923</v>
      </c>
      <c r="D2934" t="s">
        <v>3063</v>
      </c>
      <c r="E2934" t="s">
        <v>3053</v>
      </c>
      <c r="F2934" t="s">
        <v>449</v>
      </c>
      <c r="G2934" t="s">
        <v>450</v>
      </c>
      <c r="H2934" t="s">
        <v>12022</v>
      </c>
      <c r="I2934">
        <v>11</v>
      </c>
      <c r="J2934">
        <v>0</v>
      </c>
      <c r="K2934">
        <v>0</v>
      </c>
      <c r="L2934">
        <v>0</v>
      </c>
      <c r="M2934">
        <v>11</v>
      </c>
      <c r="N2934">
        <v>0</v>
      </c>
      <c r="O2934">
        <v>0</v>
      </c>
    </row>
    <row r="2935" spans="1:15" x14ac:dyDescent="0.25">
      <c r="A2935" t="s">
        <v>1684</v>
      </c>
      <c r="B2935" t="s">
        <v>2845</v>
      </c>
      <c r="C2935" t="s">
        <v>927</v>
      </c>
      <c r="D2935" t="s">
        <v>3052</v>
      </c>
      <c r="E2935" t="s">
        <v>3053</v>
      </c>
      <c r="F2935" t="s">
        <v>449</v>
      </c>
      <c r="G2935" t="s">
        <v>450</v>
      </c>
      <c r="H2935" t="s">
        <v>4968</v>
      </c>
      <c r="I2935">
        <v>14</v>
      </c>
      <c r="J2935">
        <v>12</v>
      </c>
      <c r="K2935">
        <v>0</v>
      </c>
      <c r="L2935">
        <v>0</v>
      </c>
      <c r="M2935">
        <v>0</v>
      </c>
      <c r="N2935">
        <v>0</v>
      </c>
      <c r="O2935">
        <v>2</v>
      </c>
    </row>
    <row r="2936" spans="1:15" x14ac:dyDescent="0.25">
      <c r="A2936" t="s">
        <v>1699</v>
      </c>
      <c r="B2936" t="s">
        <v>1949</v>
      </c>
      <c r="C2936" t="s">
        <v>923</v>
      </c>
      <c r="D2936" t="s">
        <v>3063</v>
      </c>
      <c r="E2936" t="s">
        <v>3053</v>
      </c>
      <c r="F2936" t="s">
        <v>449</v>
      </c>
      <c r="G2936" t="s">
        <v>450</v>
      </c>
      <c r="H2936" t="s">
        <v>4969</v>
      </c>
      <c r="I2936">
        <v>62</v>
      </c>
      <c r="J2936">
        <v>0</v>
      </c>
      <c r="K2936">
        <v>0</v>
      </c>
      <c r="L2936">
        <v>62</v>
      </c>
      <c r="M2936">
        <v>0</v>
      </c>
      <c r="N2936">
        <v>0</v>
      </c>
      <c r="O2936">
        <v>0</v>
      </c>
    </row>
    <row r="2937" spans="1:15" x14ac:dyDescent="0.25">
      <c r="A2937" t="s">
        <v>1196</v>
      </c>
      <c r="B2937" t="s">
        <v>3004</v>
      </c>
      <c r="C2937" t="s">
        <v>927</v>
      </c>
      <c r="D2937" t="s">
        <v>3052</v>
      </c>
      <c r="E2937" t="s">
        <v>3053</v>
      </c>
      <c r="F2937" t="s">
        <v>451</v>
      </c>
      <c r="G2937" t="s">
        <v>452</v>
      </c>
      <c r="H2937" t="s">
        <v>4970</v>
      </c>
      <c r="I2937">
        <v>53</v>
      </c>
      <c r="J2937">
        <v>53</v>
      </c>
      <c r="K2937">
        <v>0</v>
      </c>
      <c r="L2937">
        <v>0</v>
      </c>
      <c r="M2937">
        <v>0</v>
      </c>
      <c r="N2937">
        <v>0</v>
      </c>
      <c r="O2937">
        <v>0</v>
      </c>
    </row>
    <row r="2938" spans="1:15" x14ac:dyDescent="0.25">
      <c r="A2938" t="s">
        <v>10568</v>
      </c>
      <c r="B2938" t="s">
        <v>10567</v>
      </c>
      <c r="C2938" t="s">
        <v>927</v>
      </c>
      <c r="D2938" t="s">
        <v>3052</v>
      </c>
      <c r="E2938" t="s">
        <v>3053</v>
      </c>
      <c r="F2938" t="s">
        <v>451</v>
      </c>
      <c r="G2938" t="s">
        <v>452</v>
      </c>
      <c r="H2938" t="s">
        <v>11015</v>
      </c>
      <c r="I2938">
        <v>557</v>
      </c>
      <c r="J2938">
        <v>513</v>
      </c>
      <c r="K2938">
        <v>0</v>
      </c>
      <c r="L2938">
        <v>2</v>
      </c>
      <c r="M2938">
        <v>0</v>
      </c>
      <c r="N2938">
        <v>0</v>
      </c>
      <c r="O2938">
        <v>42</v>
      </c>
    </row>
    <row r="2939" spans="1:15" x14ac:dyDescent="0.25">
      <c r="A2939" t="s">
        <v>926</v>
      </c>
      <c r="B2939" t="s">
        <v>2923</v>
      </c>
      <c r="C2939" t="s">
        <v>927</v>
      </c>
      <c r="D2939" t="s">
        <v>3052</v>
      </c>
      <c r="E2939" t="s">
        <v>3053</v>
      </c>
      <c r="F2939" t="s">
        <v>451</v>
      </c>
      <c r="G2939" t="s">
        <v>452</v>
      </c>
      <c r="H2939" t="s">
        <v>4971</v>
      </c>
      <c r="I2939">
        <v>13</v>
      </c>
      <c r="J2939">
        <v>0</v>
      </c>
      <c r="K2939">
        <v>0</v>
      </c>
      <c r="L2939">
        <v>0</v>
      </c>
      <c r="M2939">
        <v>0</v>
      </c>
      <c r="N2939">
        <v>0</v>
      </c>
      <c r="O2939">
        <v>13</v>
      </c>
    </row>
    <row r="2940" spans="1:15" x14ac:dyDescent="0.25">
      <c r="A2940" t="s">
        <v>929</v>
      </c>
      <c r="B2940" t="s">
        <v>2999</v>
      </c>
      <c r="C2940" t="s">
        <v>927</v>
      </c>
      <c r="D2940" t="s">
        <v>3052</v>
      </c>
      <c r="E2940" t="s">
        <v>3053</v>
      </c>
      <c r="F2940" t="s">
        <v>451</v>
      </c>
      <c r="G2940" t="s">
        <v>452</v>
      </c>
      <c r="H2940" t="s">
        <v>4972</v>
      </c>
      <c r="I2940">
        <v>22</v>
      </c>
      <c r="J2940">
        <v>0</v>
      </c>
      <c r="K2940">
        <v>0</v>
      </c>
      <c r="L2940">
        <v>0</v>
      </c>
      <c r="M2940">
        <v>22</v>
      </c>
      <c r="N2940">
        <v>0</v>
      </c>
      <c r="O2940">
        <v>0</v>
      </c>
    </row>
    <row r="2941" spans="1:15" x14ac:dyDescent="0.25">
      <c r="A2941" t="s">
        <v>1575</v>
      </c>
      <c r="B2941" t="s">
        <v>2112</v>
      </c>
      <c r="C2941" t="s">
        <v>927</v>
      </c>
      <c r="D2941" t="s">
        <v>3052</v>
      </c>
      <c r="E2941" t="s">
        <v>3053</v>
      </c>
      <c r="F2941" t="s">
        <v>451</v>
      </c>
      <c r="G2941" t="s">
        <v>452</v>
      </c>
      <c r="H2941" t="s">
        <v>9905</v>
      </c>
      <c r="I2941">
        <v>16</v>
      </c>
      <c r="J2941">
        <v>11</v>
      </c>
      <c r="K2941">
        <v>0</v>
      </c>
      <c r="L2941">
        <v>0</v>
      </c>
      <c r="M2941">
        <v>0</v>
      </c>
      <c r="N2941">
        <v>0</v>
      </c>
      <c r="O2941">
        <v>5</v>
      </c>
    </row>
    <row r="2942" spans="1:15" x14ac:dyDescent="0.25">
      <c r="A2942" t="s">
        <v>931</v>
      </c>
      <c r="B2942" t="s">
        <v>1978</v>
      </c>
      <c r="C2942" t="s">
        <v>927</v>
      </c>
      <c r="D2942" t="s">
        <v>3052</v>
      </c>
      <c r="E2942" t="s">
        <v>3053</v>
      </c>
      <c r="F2942" t="s">
        <v>451</v>
      </c>
      <c r="G2942" t="s">
        <v>452</v>
      </c>
      <c r="H2942" t="s">
        <v>4973</v>
      </c>
      <c r="I2942">
        <v>213</v>
      </c>
      <c r="J2942">
        <v>132</v>
      </c>
      <c r="K2942">
        <v>0</v>
      </c>
      <c r="L2942">
        <v>0</v>
      </c>
      <c r="M2942">
        <v>0</v>
      </c>
      <c r="N2942">
        <v>0</v>
      </c>
      <c r="O2942">
        <v>81</v>
      </c>
    </row>
    <row r="2943" spans="1:15" x14ac:dyDescent="0.25">
      <c r="A2943" t="s">
        <v>9784</v>
      </c>
      <c r="B2943" t="s">
        <v>1994</v>
      </c>
      <c r="C2943" t="s">
        <v>927</v>
      </c>
      <c r="D2943" t="s">
        <v>3052</v>
      </c>
      <c r="E2943" t="s">
        <v>3053</v>
      </c>
      <c r="F2943" t="s">
        <v>451</v>
      </c>
      <c r="G2943" t="s">
        <v>452</v>
      </c>
      <c r="H2943" t="s">
        <v>9940</v>
      </c>
      <c r="I2943">
        <v>4</v>
      </c>
      <c r="J2943">
        <v>0</v>
      </c>
      <c r="K2943">
        <v>0</v>
      </c>
      <c r="L2943">
        <v>4</v>
      </c>
      <c r="M2943">
        <v>0</v>
      </c>
      <c r="N2943">
        <v>0</v>
      </c>
      <c r="O2943">
        <v>0</v>
      </c>
    </row>
    <row r="2944" spans="1:15" x14ac:dyDescent="0.25">
      <c r="A2944" t="s">
        <v>933</v>
      </c>
      <c r="B2944" t="s">
        <v>2106</v>
      </c>
      <c r="C2944" t="s">
        <v>927</v>
      </c>
      <c r="D2944" t="s">
        <v>3052</v>
      </c>
      <c r="E2944" t="s">
        <v>3053</v>
      </c>
      <c r="F2944" t="s">
        <v>451</v>
      </c>
      <c r="G2944" t="s">
        <v>452</v>
      </c>
      <c r="H2944" t="s">
        <v>4974</v>
      </c>
      <c r="I2944">
        <v>33</v>
      </c>
      <c r="J2944">
        <v>16</v>
      </c>
      <c r="K2944">
        <v>0</v>
      </c>
      <c r="L2944">
        <v>9</v>
      </c>
      <c r="M2944">
        <v>0</v>
      </c>
      <c r="N2944">
        <v>0</v>
      </c>
      <c r="O2944">
        <v>8</v>
      </c>
    </row>
    <row r="2945" spans="1:15" x14ac:dyDescent="0.25">
      <c r="A2945" t="s">
        <v>1588</v>
      </c>
      <c r="B2945" t="s">
        <v>2237</v>
      </c>
      <c r="C2945" t="s">
        <v>923</v>
      </c>
      <c r="D2945" t="s">
        <v>3063</v>
      </c>
      <c r="E2945" t="s">
        <v>3053</v>
      </c>
      <c r="F2945" t="s">
        <v>451</v>
      </c>
      <c r="G2945" t="s">
        <v>452</v>
      </c>
      <c r="H2945" t="s">
        <v>4975</v>
      </c>
      <c r="I2945">
        <v>46</v>
      </c>
      <c r="J2945">
        <v>0</v>
      </c>
      <c r="K2945">
        <v>0</v>
      </c>
      <c r="L2945">
        <v>0</v>
      </c>
      <c r="M2945">
        <v>46</v>
      </c>
      <c r="N2945">
        <v>0</v>
      </c>
      <c r="O2945">
        <v>0</v>
      </c>
    </row>
    <row r="2946" spans="1:15" x14ac:dyDescent="0.25">
      <c r="A2946" t="s">
        <v>11660</v>
      </c>
      <c r="B2946" t="s">
        <v>2041</v>
      </c>
      <c r="C2946" t="s">
        <v>923</v>
      </c>
      <c r="D2946" t="s">
        <v>3063</v>
      </c>
      <c r="E2946" t="s">
        <v>3053</v>
      </c>
      <c r="F2946" t="s">
        <v>451</v>
      </c>
      <c r="G2946" t="s">
        <v>452</v>
      </c>
      <c r="H2946" t="s">
        <v>12023</v>
      </c>
      <c r="I2946">
        <v>9</v>
      </c>
      <c r="J2946">
        <v>0</v>
      </c>
      <c r="K2946">
        <v>0</v>
      </c>
      <c r="L2946">
        <v>9</v>
      </c>
      <c r="M2946">
        <v>0</v>
      </c>
      <c r="N2946">
        <v>0</v>
      </c>
      <c r="O2946">
        <v>0</v>
      </c>
    </row>
    <row r="2947" spans="1:15" x14ac:dyDescent="0.25">
      <c r="A2947" t="s">
        <v>10638</v>
      </c>
      <c r="B2947" t="s">
        <v>2057</v>
      </c>
      <c r="C2947" t="s">
        <v>927</v>
      </c>
      <c r="D2947" t="s">
        <v>3052</v>
      </c>
      <c r="E2947" t="s">
        <v>3053</v>
      </c>
      <c r="F2947" t="s">
        <v>451</v>
      </c>
      <c r="G2947" t="s">
        <v>452</v>
      </c>
      <c r="H2947" t="s">
        <v>11016</v>
      </c>
      <c r="I2947">
        <v>46</v>
      </c>
      <c r="J2947">
        <v>0</v>
      </c>
      <c r="K2947">
        <v>0</v>
      </c>
      <c r="L2947">
        <v>46</v>
      </c>
      <c r="M2947">
        <v>0</v>
      </c>
      <c r="N2947">
        <v>0</v>
      </c>
      <c r="O2947">
        <v>0</v>
      </c>
    </row>
    <row r="2948" spans="1:15" x14ac:dyDescent="0.25">
      <c r="A2948" t="s">
        <v>937</v>
      </c>
      <c r="B2948" t="s">
        <v>1962</v>
      </c>
      <c r="C2948" t="s">
        <v>927</v>
      </c>
      <c r="D2948" t="s">
        <v>3052</v>
      </c>
      <c r="E2948" t="s">
        <v>3053</v>
      </c>
      <c r="F2948" t="s">
        <v>451</v>
      </c>
      <c r="G2948" t="s">
        <v>452</v>
      </c>
      <c r="H2948" t="s">
        <v>4976</v>
      </c>
      <c r="I2948">
        <v>28</v>
      </c>
      <c r="J2948">
        <v>0</v>
      </c>
      <c r="K2948">
        <v>0</v>
      </c>
      <c r="L2948">
        <v>0</v>
      </c>
      <c r="M2948">
        <v>0</v>
      </c>
      <c r="N2948">
        <v>0</v>
      </c>
      <c r="O2948">
        <v>28</v>
      </c>
    </row>
    <row r="2949" spans="1:15" x14ac:dyDescent="0.25">
      <c r="A2949" t="s">
        <v>1011</v>
      </c>
      <c r="B2949" t="s">
        <v>2020</v>
      </c>
      <c r="C2949" t="s">
        <v>927</v>
      </c>
      <c r="D2949" t="s">
        <v>3052</v>
      </c>
      <c r="E2949" t="s">
        <v>3053</v>
      </c>
      <c r="F2949" t="s">
        <v>451</v>
      </c>
      <c r="G2949" t="s">
        <v>452</v>
      </c>
      <c r="H2949" t="s">
        <v>10109</v>
      </c>
      <c r="I2949">
        <v>6</v>
      </c>
      <c r="J2949">
        <v>0</v>
      </c>
      <c r="K2949">
        <v>0</v>
      </c>
      <c r="L2949">
        <v>6</v>
      </c>
      <c r="M2949">
        <v>0</v>
      </c>
      <c r="N2949">
        <v>0</v>
      </c>
      <c r="O2949">
        <v>0</v>
      </c>
    </row>
    <row r="2950" spans="1:15" x14ac:dyDescent="0.25">
      <c r="A2950" t="s">
        <v>938</v>
      </c>
      <c r="B2950" t="s">
        <v>2791</v>
      </c>
      <c r="C2950" t="s">
        <v>927</v>
      </c>
      <c r="D2950" t="s">
        <v>3052</v>
      </c>
      <c r="E2950" t="s">
        <v>3053</v>
      </c>
      <c r="F2950" t="s">
        <v>451</v>
      </c>
      <c r="G2950" t="s">
        <v>452</v>
      </c>
      <c r="H2950" t="s">
        <v>4977</v>
      </c>
      <c r="I2950">
        <v>12</v>
      </c>
      <c r="J2950">
        <v>0</v>
      </c>
      <c r="K2950">
        <v>0</v>
      </c>
      <c r="L2950">
        <v>9</v>
      </c>
      <c r="M2950">
        <v>0</v>
      </c>
      <c r="N2950">
        <v>0</v>
      </c>
      <c r="O2950">
        <v>3</v>
      </c>
    </row>
    <row r="2951" spans="1:15" x14ac:dyDescent="0.25">
      <c r="A2951" t="s">
        <v>940</v>
      </c>
      <c r="B2951" t="s">
        <v>2647</v>
      </c>
      <c r="C2951" t="s">
        <v>927</v>
      </c>
      <c r="D2951" t="s">
        <v>3052</v>
      </c>
      <c r="E2951" t="s">
        <v>3053</v>
      </c>
      <c r="F2951" t="s">
        <v>451</v>
      </c>
      <c r="G2951" t="s">
        <v>452</v>
      </c>
      <c r="H2951" t="s">
        <v>4978</v>
      </c>
      <c r="I2951">
        <v>135</v>
      </c>
      <c r="J2951">
        <v>0</v>
      </c>
      <c r="K2951">
        <v>0</v>
      </c>
      <c r="L2951">
        <v>0</v>
      </c>
      <c r="M2951">
        <v>125</v>
      </c>
      <c r="N2951">
        <v>0</v>
      </c>
      <c r="O2951">
        <v>10</v>
      </c>
    </row>
    <row r="2952" spans="1:15" x14ac:dyDescent="0.25">
      <c r="A2952" t="s">
        <v>1012</v>
      </c>
      <c r="B2952" t="s">
        <v>2911</v>
      </c>
      <c r="C2952" t="s">
        <v>927</v>
      </c>
      <c r="D2952" t="s">
        <v>3052</v>
      </c>
      <c r="E2952" t="s">
        <v>3053</v>
      </c>
      <c r="F2952" t="s">
        <v>451</v>
      </c>
      <c r="G2952" t="s">
        <v>452</v>
      </c>
      <c r="H2952" t="s">
        <v>4979</v>
      </c>
      <c r="I2952">
        <v>186</v>
      </c>
      <c r="J2952">
        <v>164</v>
      </c>
      <c r="K2952">
        <v>0</v>
      </c>
      <c r="L2952">
        <v>0</v>
      </c>
      <c r="M2952">
        <v>0</v>
      </c>
      <c r="N2952">
        <v>0</v>
      </c>
      <c r="O2952">
        <v>22</v>
      </c>
    </row>
    <row r="2953" spans="1:15" x14ac:dyDescent="0.25">
      <c r="A2953" t="s">
        <v>1025</v>
      </c>
      <c r="B2953" t="s">
        <v>2893</v>
      </c>
      <c r="C2953" t="s">
        <v>927</v>
      </c>
      <c r="D2953" t="s">
        <v>3052</v>
      </c>
      <c r="E2953" t="s">
        <v>3053</v>
      </c>
      <c r="F2953" t="s">
        <v>451</v>
      </c>
      <c r="G2953" t="s">
        <v>452</v>
      </c>
      <c r="H2953" t="s">
        <v>10183</v>
      </c>
      <c r="I2953">
        <v>2</v>
      </c>
      <c r="J2953">
        <v>0</v>
      </c>
      <c r="K2953">
        <v>0</v>
      </c>
      <c r="L2953">
        <v>0</v>
      </c>
      <c r="M2953">
        <v>0</v>
      </c>
      <c r="N2953">
        <v>0</v>
      </c>
      <c r="O2953">
        <v>2</v>
      </c>
    </row>
    <row r="2954" spans="1:15" x14ac:dyDescent="0.25">
      <c r="A2954" t="s">
        <v>949</v>
      </c>
      <c r="B2954" t="s">
        <v>3035</v>
      </c>
      <c r="C2954" t="s">
        <v>927</v>
      </c>
      <c r="D2954" t="s">
        <v>3052</v>
      </c>
      <c r="E2954" t="s">
        <v>3053</v>
      </c>
      <c r="F2954" t="s">
        <v>451</v>
      </c>
      <c r="G2954" t="s">
        <v>452</v>
      </c>
      <c r="H2954" t="s">
        <v>4980</v>
      </c>
      <c r="I2954">
        <v>1</v>
      </c>
      <c r="J2954">
        <v>0</v>
      </c>
      <c r="K2954">
        <v>0</v>
      </c>
      <c r="L2954">
        <v>0</v>
      </c>
      <c r="M2954">
        <v>0</v>
      </c>
      <c r="N2954">
        <v>0</v>
      </c>
      <c r="O2954">
        <v>1</v>
      </c>
    </row>
    <row r="2955" spans="1:15" x14ac:dyDescent="0.25">
      <c r="A2955" t="s">
        <v>1044</v>
      </c>
      <c r="B2955" t="s">
        <v>2000</v>
      </c>
      <c r="C2955" t="s">
        <v>923</v>
      </c>
      <c r="D2955" t="s">
        <v>3063</v>
      </c>
      <c r="E2955" t="s">
        <v>3053</v>
      </c>
      <c r="F2955" t="s">
        <v>451</v>
      </c>
      <c r="G2955" t="s">
        <v>452</v>
      </c>
      <c r="H2955" t="s">
        <v>4981</v>
      </c>
      <c r="I2955">
        <v>12</v>
      </c>
      <c r="J2955">
        <v>0</v>
      </c>
      <c r="K2955">
        <v>0</v>
      </c>
      <c r="L2955">
        <v>12</v>
      </c>
      <c r="M2955">
        <v>0</v>
      </c>
      <c r="N2955">
        <v>0</v>
      </c>
      <c r="O2955">
        <v>0</v>
      </c>
    </row>
    <row r="2956" spans="1:15" x14ac:dyDescent="0.25">
      <c r="A2956" t="s">
        <v>951</v>
      </c>
      <c r="B2956" t="s">
        <v>2680</v>
      </c>
      <c r="C2956" t="s">
        <v>927</v>
      </c>
      <c r="D2956" t="s">
        <v>3052</v>
      </c>
      <c r="E2956" t="s">
        <v>3053</v>
      </c>
      <c r="F2956" t="s">
        <v>451</v>
      </c>
      <c r="G2956" t="s">
        <v>452</v>
      </c>
      <c r="H2956" t="s">
        <v>4982</v>
      </c>
      <c r="I2956">
        <v>123</v>
      </c>
      <c r="J2956">
        <v>123</v>
      </c>
      <c r="K2956">
        <v>0</v>
      </c>
      <c r="L2956">
        <v>0</v>
      </c>
      <c r="M2956">
        <v>0</v>
      </c>
      <c r="N2956">
        <v>1</v>
      </c>
      <c r="O2956">
        <v>0</v>
      </c>
    </row>
    <row r="2957" spans="1:15" x14ac:dyDescent="0.25">
      <c r="A2957" t="s">
        <v>953</v>
      </c>
      <c r="B2957" t="s">
        <v>2014</v>
      </c>
      <c r="C2957" t="s">
        <v>927</v>
      </c>
      <c r="D2957" t="s">
        <v>3052</v>
      </c>
      <c r="E2957" t="s">
        <v>3053</v>
      </c>
      <c r="F2957" t="s">
        <v>451</v>
      </c>
      <c r="G2957" t="s">
        <v>452</v>
      </c>
      <c r="H2957" t="s">
        <v>4983</v>
      </c>
      <c r="I2957">
        <v>7</v>
      </c>
      <c r="J2957">
        <v>0</v>
      </c>
      <c r="K2957">
        <v>0</v>
      </c>
      <c r="L2957">
        <v>7</v>
      </c>
      <c r="M2957">
        <v>0</v>
      </c>
      <c r="N2957">
        <v>0</v>
      </c>
      <c r="O2957">
        <v>0</v>
      </c>
    </row>
    <row r="2958" spans="1:15" x14ac:dyDescent="0.25">
      <c r="A2958" t="s">
        <v>1654</v>
      </c>
      <c r="B2958" t="s">
        <v>2850</v>
      </c>
      <c r="C2958" t="s">
        <v>927</v>
      </c>
      <c r="D2958" t="s">
        <v>3052</v>
      </c>
      <c r="E2958" t="s">
        <v>3053</v>
      </c>
      <c r="F2958" t="s">
        <v>451</v>
      </c>
      <c r="G2958" t="s">
        <v>452</v>
      </c>
      <c r="H2958" t="s">
        <v>4984</v>
      </c>
      <c r="I2958">
        <v>160</v>
      </c>
      <c r="J2958">
        <v>57</v>
      </c>
      <c r="K2958">
        <v>0</v>
      </c>
      <c r="L2958">
        <v>0</v>
      </c>
      <c r="M2958">
        <v>95</v>
      </c>
      <c r="N2958">
        <v>0</v>
      </c>
      <c r="O2958">
        <v>8</v>
      </c>
    </row>
    <row r="2959" spans="1:15" x14ac:dyDescent="0.25">
      <c r="A2959" t="s">
        <v>11663</v>
      </c>
      <c r="B2959" t="s">
        <v>11768</v>
      </c>
      <c r="C2959" t="s">
        <v>927</v>
      </c>
      <c r="D2959" t="s">
        <v>3052</v>
      </c>
      <c r="E2959" t="s">
        <v>3053</v>
      </c>
      <c r="F2959" t="s">
        <v>451</v>
      </c>
      <c r="G2959" t="s">
        <v>452</v>
      </c>
      <c r="H2959" t="s">
        <v>12024</v>
      </c>
      <c r="I2959">
        <v>46</v>
      </c>
      <c r="J2959">
        <v>46</v>
      </c>
      <c r="K2959">
        <v>0</v>
      </c>
      <c r="L2959">
        <v>0</v>
      </c>
      <c r="M2959">
        <v>0</v>
      </c>
      <c r="N2959">
        <v>0</v>
      </c>
      <c r="O2959">
        <v>0</v>
      </c>
    </row>
    <row r="2960" spans="1:15" x14ac:dyDescent="0.25">
      <c r="A2960" t="s">
        <v>960</v>
      </c>
      <c r="B2960" t="s">
        <v>2080</v>
      </c>
      <c r="C2960" t="s">
        <v>927</v>
      </c>
      <c r="D2960" t="s">
        <v>3052</v>
      </c>
      <c r="E2960" t="s">
        <v>3053</v>
      </c>
      <c r="F2960" t="s">
        <v>451</v>
      </c>
      <c r="G2960" t="s">
        <v>452</v>
      </c>
      <c r="H2960" t="s">
        <v>4985</v>
      </c>
      <c r="I2960">
        <v>106</v>
      </c>
      <c r="J2960">
        <v>68</v>
      </c>
      <c r="K2960">
        <v>0</v>
      </c>
      <c r="L2960">
        <v>16</v>
      </c>
      <c r="M2960">
        <v>0</v>
      </c>
      <c r="N2960">
        <v>0</v>
      </c>
      <c r="O2960">
        <v>22</v>
      </c>
    </row>
    <row r="2961" spans="1:15" x14ac:dyDescent="0.25">
      <c r="A2961" t="s">
        <v>962</v>
      </c>
      <c r="B2961" t="s">
        <v>2752</v>
      </c>
      <c r="C2961" t="s">
        <v>927</v>
      </c>
      <c r="D2961" t="s">
        <v>3052</v>
      </c>
      <c r="E2961" t="s">
        <v>3053</v>
      </c>
      <c r="F2961" t="s">
        <v>451</v>
      </c>
      <c r="G2961" t="s">
        <v>452</v>
      </c>
      <c r="H2961" t="s">
        <v>4986</v>
      </c>
      <c r="I2961">
        <v>180</v>
      </c>
      <c r="J2961">
        <v>142</v>
      </c>
      <c r="K2961">
        <v>0</v>
      </c>
      <c r="L2961">
        <v>0</v>
      </c>
      <c r="M2961">
        <v>4</v>
      </c>
      <c r="N2961">
        <v>0</v>
      </c>
      <c r="O2961">
        <v>34</v>
      </c>
    </row>
    <row r="2962" spans="1:15" x14ac:dyDescent="0.25">
      <c r="A2962" t="s">
        <v>964</v>
      </c>
      <c r="B2962" t="s">
        <v>1969</v>
      </c>
      <c r="C2962" t="s">
        <v>927</v>
      </c>
      <c r="D2962" t="s">
        <v>3052</v>
      </c>
      <c r="E2962" t="s">
        <v>3053</v>
      </c>
      <c r="F2962" t="s">
        <v>451</v>
      </c>
      <c r="G2962" t="s">
        <v>452</v>
      </c>
      <c r="H2962" t="s">
        <v>4987</v>
      </c>
      <c r="I2962">
        <v>295</v>
      </c>
      <c r="J2962">
        <v>195</v>
      </c>
      <c r="K2962">
        <v>0</v>
      </c>
      <c r="L2962">
        <v>0</v>
      </c>
      <c r="M2962">
        <v>0</v>
      </c>
      <c r="N2962">
        <v>0</v>
      </c>
      <c r="O2962">
        <v>100</v>
      </c>
    </row>
    <row r="2963" spans="1:15" x14ac:dyDescent="0.25">
      <c r="A2963" t="s">
        <v>966</v>
      </c>
      <c r="B2963" t="s">
        <v>2684</v>
      </c>
      <c r="C2963" t="s">
        <v>927</v>
      </c>
      <c r="D2963" t="s">
        <v>3052</v>
      </c>
      <c r="E2963" t="s">
        <v>3053</v>
      </c>
      <c r="F2963" t="s">
        <v>451</v>
      </c>
      <c r="G2963" t="s">
        <v>452</v>
      </c>
      <c r="H2963" t="s">
        <v>4988</v>
      </c>
      <c r="I2963">
        <v>1170</v>
      </c>
      <c r="J2963">
        <v>735</v>
      </c>
      <c r="K2963">
        <v>0</v>
      </c>
      <c r="L2963">
        <v>4</v>
      </c>
      <c r="M2963">
        <v>95</v>
      </c>
      <c r="N2963">
        <v>0</v>
      </c>
      <c r="O2963">
        <v>336</v>
      </c>
    </row>
    <row r="2964" spans="1:15" x14ac:dyDescent="0.25">
      <c r="A2964" t="s">
        <v>1686</v>
      </c>
      <c r="B2964" t="s">
        <v>2988</v>
      </c>
      <c r="C2964" t="s">
        <v>923</v>
      </c>
      <c r="D2964" t="s">
        <v>3063</v>
      </c>
      <c r="E2964" t="s">
        <v>3053</v>
      </c>
      <c r="F2964" t="s">
        <v>451</v>
      </c>
      <c r="G2964" t="s">
        <v>452</v>
      </c>
      <c r="H2964" t="s">
        <v>4989</v>
      </c>
      <c r="I2964">
        <v>9</v>
      </c>
      <c r="J2964">
        <v>0</v>
      </c>
      <c r="K2964">
        <v>0</v>
      </c>
      <c r="L2964">
        <v>9</v>
      </c>
      <c r="M2964">
        <v>0</v>
      </c>
      <c r="N2964">
        <v>0</v>
      </c>
      <c r="O2964">
        <v>0</v>
      </c>
    </row>
    <row r="2965" spans="1:15" x14ac:dyDescent="0.25">
      <c r="A2965" t="s">
        <v>968</v>
      </c>
      <c r="B2965" t="s">
        <v>2091</v>
      </c>
      <c r="C2965" t="s">
        <v>927</v>
      </c>
      <c r="D2965" t="s">
        <v>3052</v>
      </c>
      <c r="E2965" t="s">
        <v>3053</v>
      </c>
      <c r="F2965" t="s">
        <v>451</v>
      </c>
      <c r="G2965" t="s">
        <v>452</v>
      </c>
      <c r="H2965" t="s">
        <v>4990</v>
      </c>
      <c r="I2965">
        <v>5794</v>
      </c>
      <c r="J2965">
        <v>4803</v>
      </c>
      <c r="K2965">
        <v>0</v>
      </c>
      <c r="L2965">
        <v>25</v>
      </c>
      <c r="M2965">
        <v>329</v>
      </c>
      <c r="N2965">
        <v>1</v>
      </c>
      <c r="O2965">
        <v>637</v>
      </c>
    </row>
    <row r="2966" spans="1:15" x14ac:dyDescent="0.25">
      <c r="A2966" t="s">
        <v>1564</v>
      </c>
      <c r="B2966" t="s">
        <v>3039</v>
      </c>
      <c r="C2966" t="s">
        <v>927</v>
      </c>
      <c r="D2966" t="s">
        <v>3052</v>
      </c>
      <c r="E2966" t="s">
        <v>3053</v>
      </c>
      <c r="F2966" t="s">
        <v>453</v>
      </c>
      <c r="G2966" t="s">
        <v>454</v>
      </c>
      <c r="H2966" t="s">
        <v>12025</v>
      </c>
      <c r="I2966">
        <v>47</v>
      </c>
      <c r="J2966">
        <v>0</v>
      </c>
      <c r="K2966">
        <v>0</v>
      </c>
      <c r="L2966">
        <v>0</v>
      </c>
      <c r="M2966">
        <v>0</v>
      </c>
      <c r="N2966">
        <v>0</v>
      </c>
      <c r="O2966">
        <v>47</v>
      </c>
    </row>
    <row r="2967" spans="1:15" x14ac:dyDescent="0.25">
      <c r="A2967" t="s">
        <v>1196</v>
      </c>
      <c r="B2967" t="s">
        <v>3004</v>
      </c>
      <c r="C2967" t="s">
        <v>927</v>
      </c>
      <c r="D2967" t="s">
        <v>3052</v>
      </c>
      <c r="E2967" t="s">
        <v>3053</v>
      </c>
      <c r="F2967" t="s">
        <v>453</v>
      </c>
      <c r="G2967" t="s">
        <v>454</v>
      </c>
      <c r="H2967" t="s">
        <v>4991</v>
      </c>
      <c r="I2967">
        <v>461</v>
      </c>
      <c r="J2967">
        <v>365</v>
      </c>
      <c r="K2967">
        <v>0</v>
      </c>
      <c r="L2967">
        <v>13</v>
      </c>
      <c r="M2967">
        <v>0</v>
      </c>
      <c r="N2967">
        <v>0</v>
      </c>
      <c r="O2967">
        <v>83</v>
      </c>
    </row>
    <row r="2968" spans="1:15" x14ac:dyDescent="0.25">
      <c r="A2968" t="s">
        <v>926</v>
      </c>
      <c r="B2968" t="s">
        <v>2923</v>
      </c>
      <c r="C2968" t="s">
        <v>927</v>
      </c>
      <c r="D2968" t="s">
        <v>3052</v>
      </c>
      <c r="E2968" t="s">
        <v>3053</v>
      </c>
      <c r="F2968" t="s">
        <v>453</v>
      </c>
      <c r="G2968" t="s">
        <v>454</v>
      </c>
      <c r="H2968" t="s">
        <v>4992</v>
      </c>
      <c r="I2968">
        <v>1</v>
      </c>
      <c r="J2968">
        <v>0</v>
      </c>
      <c r="K2968">
        <v>0</v>
      </c>
      <c r="L2968">
        <v>0</v>
      </c>
      <c r="M2968">
        <v>0</v>
      </c>
      <c r="N2968">
        <v>0</v>
      </c>
      <c r="O2968">
        <v>1</v>
      </c>
    </row>
    <row r="2969" spans="1:15" x14ac:dyDescent="0.25">
      <c r="A2969" t="s">
        <v>1010</v>
      </c>
      <c r="B2969" t="s">
        <v>2639</v>
      </c>
      <c r="C2969" t="s">
        <v>927</v>
      </c>
      <c r="D2969" t="s">
        <v>3052</v>
      </c>
      <c r="E2969" t="s">
        <v>3053</v>
      </c>
      <c r="F2969" t="s">
        <v>453</v>
      </c>
      <c r="G2969" t="s">
        <v>454</v>
      </c>
      <c r="H2969" t="s">
        <v>4993</v>
      </c>
      <c r="I2969">
        <v>32</v>
      </c>
      <c r="J2969">
        <v>32</v>
      </c>
      <c r="K2969">
        <v>0</v>
      </c>
      <c r="L2969">
        <v>0</v>
      </c>
      <c r="M2969">
        <v>0</v>
      </c>
      <c r="N2969">
        <v>0</v>
      </c>
      <c r="O2969">
        <v>0</v>
      </c>
    </row>
    <row r="2970" spans="1:15" x14ac:dyDescent="0.25">
      <c r="A2970" t="s">
        <v>937</v>
      </c>
      <c r="B2970" t="s">
        <v>1962</v>
      </c>
      <c r="C2970" t="s">
        <v>927</v>
      </c>
      <c r="D2970" t="s">
        <v>3052</v>
      </c>
      <c r="E2970" t="s">
        <v>3053</v>
      </c>
      <c r="F2970" t="s">
        <v>453</v>
      </c>
      <c r="G2970" t="s">
        <v>454</v>
      </c>
      <c r="H2970" t="s">
        <v>4994</v>
      </c>
      <c r="I2970">
        <v>12</v>
      </c>
      <c r="J2970">
        <v>0</v>
      </c>
      <c r="K2970">
        <v>0</v>
      </c>
      <c r="L2970">
        <v>0</v>
      </c>
      <c r="M2970">
        <v>0</v>
      </c>
      <c r="N2970">
        <v>0</v>
      </c>
      <c r="O2970">
        <v>12</v>
      </c>
    </row>
    <row r="2971" spans="1:15" x14ac:dyDescent="0.25">
      <c r="A2971" t="s">
        <v>14386</v>
      </c>
      <c r="B2971" t="s">
        <v>2975</v>
      </c>
      <c r="C2971" t="s">
        <v>927</v>
      </c>
      <c r="D2971" t="s">
        <v>3052</v>
      </c>
      <c r="E2971" t="s">
        <v>3053</v>
      </c>
      <c r="F2971" t="s">
        <v>453</v>
      </c>
      <c r="G2971" t="s">
        <v>454</v>
      </c>
      <c r="H2971" t="s">
        <v>14722</v>
      </c>
      <c r="I2971">
        <v>4</v>
      </c>
      <c r="J2971">
        <v>4</v>
      </c>
      <c r="K2971">
        <v>0</v>
      </c>
      <c r="L2971">
        <v>0</v>
      </c>
      <c r="M2971">
        <v>0</v>
      </c>
      <c r="N2971">
        <v>0</v>
      </c>
      <c r="O2971">
        <v>0</v>
      </c>
    </row>
    <row r="2972" spans="1:15" x14ac:dyDescent="0.25">
      <c r="A2972" t="s">
        <v>1284</v>
      </c>
      <c r="B2972" t="s">
        <v>2700</v>
      </c>
      <c r="C2972" t="s">
        <v>923</v>
      </c>
      <c r="D2972" t="s">
        <v>3063</v>
      </c>
      <c r="E2972" t="s">
        <v>3053</v>
      </c>
      <c r="F2972" t="s">
        <v>453</v>
      </c>
      <c r="G2972" t="s">
        <v>454</v>
      </c>
      <c r="H2972" t="s">
        <v>14723</v>
      </c>
      <c r="I2972">
        <v>11</v>
      </c>
      <c r="J2972">
        <v>0</v>
      </c>
      <c r="K2972">
        <v>0</v>
      </c>
      <c r="L2972">
        <v>0</v>
      </c>
      <c r="M2972">
        <v>11</v>
      </c>
      <c r="N2972">
        <v>0</v>
      </c>
      <c r="O2972">
        <v>0</v>
      </c>
    </row>
    <row r="2973" spans="1:15" x14ac:dyDescent="0.25">
      <c r="A2973" t="s">
        <v>1025</v>
      </c>
      <c r="B2973" t="s">
        <v>2893</v>
      </c>
      <c r="C2973" t="s">
        <v>927</v>
      </c>
      <c r="D2973" t="s">
        <v>3052</v>
      </c>
      <c r="E2973" t="s">
        <v>3053</v>
      </c>
      <c r="F2973" t="s">
        <v>453</v>
      </c>
      <c r="G2973" t="s">
        <v>454</v>
      </c>
      <c r="H2973" t="s">
        <v>4995</v>
      </c>
      <c r="I2973">
        <v>14</v>
      </c>
      <c r="J2973">
        <v>0</v>
      </c>
      <c r="K2973">
        <v>0</v>
      </c>
      <c r="L2973">
        <v>0</v>
      </c>
      <c r="M2973">
        <v>0</v>
      </c>
      <c r="N2973">
        <v>0</v>
      </c>
      <c r="O2973">
        <v>14</v>
      </c>
    </row>
    <row r="2974" spans="1:15" x14ac:dyDescent="0.25">
      <c r="A2974" t="s">
        <v>943</v>
      </c>
      <c r="B2974" t="s">
        <v>2694</v>
      </c>
      <c r="C2974" t="s">
        <v>927</v>
      </c>
      <c r="D2974" t="s">
        <v>3052</v>
      </c>
      <c r="E2974" t="s">
        <v>3053</v>
      </c>
      <c r="F2974" t="s">
        <v>453</v>
      </c>
      <c r="G2974" t="s">
        <v>454</v>
      </c>
      <c r="H2974" t="s">
        <v>4996</v>
      </c>
      <c r="I2974">
        <v>247</v>
      </c>
      <c r="J2974">
        <v>142</v>
      </c>
      <c r="K2974">
        <v>0</v>
      </c>
      <c r="L2974">
        <v>0</v>
      </c>
      <c r="M2974">
        <v>0</v>
      </c>
      <c r="N2974">
        <v>0</v>
      </c>
      <c r="O2974">
        <v>105</v>
      </c>
    </row>
    <row r="2975" spans="1:15" x14ac:dyDescent="0.25">
      <c r="A2975" t="s">
        <v>1300</v>
      </c>
      <c r="B2975" t="s">
        <v>2644</v>
      </c>
      <c r="C2975" t="s">
        <v>927</v>
      </c>
      <c r="D2975" t="s">
        <v>3052</v>
      </c>
      <c r="E2975" t="s">
        <v>3053</v>
      </c>
      <c r="F2975" t="s">
        <v>453</v>
      </c>
      <c r="G2975" t="s">
        <v>454</v>
      </c>
      <c r="H2975" t="s">
        <v>4997</v>
      </c>
      <c r="I2975">
        <v>1</v>
      </c>
      <c r="J2975">
        <v>1</v>
      </c>
      <c r="K2975">
        <v>0</v>
      </c>
      <c r="L2975">
        <v>0</v>
      </c>
      <c r="M2975">
        <v>0</v>
      </c>
      <c r="N2975">
        <v>0</v>
      </c>
      <c r="O2975">
        <v>0</v>
      </c>
    </row>
    <row r="2976" spans="1:15" x14ac:dyDescent="0.25">
      <c r="A2976" t="s">
        <v>1043</v>
      </c>
      <c r="B2976" t="s">
        <v>2090</v>
      </c>
      <c r="C2976" t="s">
        <v>927</v>
      </c>
      <c r="D2976" t="s">
        <v>3052</v>
      </c>
      <c r="E2976" t="s">
        <v>3053</v>
      </c>
      <c r="F2976" t="s">
        <v>453</v>
      </c>
      <c r="G2976" t="s">
        <v>454</v>
      </c>
      <c r="H2976" t="s">
        <v>4998</v>
      </c>
      <c r="I2976">
        <v>4805</v>
      </c>
      <c r="J2976">
        <v>3821</v>
      </c>
      <c r="K2976">
        <v>0</v>
      </c>
      <c r="L2976">
        <v>13</v>
      </c>
      <c r="M2976">
        <v>739</v>
      </c>
      <c r="N2976">
        <v>0</v>
      </c>
      <c r="O2976">
        <v>232</v>
      </c>
    </row>
    <row r="2977" spans="1:15" x14ac:dyDescent="0.25">
      <c r="A2977" t="s">
        <v>1146</v>
      </c>
      <c r="B2977" t="s">
        <v>2117</v>
      </c>
      <c r="C2977" t="s">
        <v>927</v>
      </c>
      <c r="D2977" t="s">
        <v>3052</v>
      </c>
      <c r="E2977" t="s">
        <v>3053</v>
      </c>
      <c r="F2977" t="s">
        <v>453</v>
      </c>
      <c r="G2977" t="s">
        <v>454</v>
      </c>
      <c r="H2977" t="s">
        <v>14724</v>
      </c>
      <c r="I2977">
        <v>1</v>
      </c>
      <c r="J2977">
        <v>0</v>
      </c>
      <c r="K2977">
        <v>0</v>
      </c>
      <c r="L2977">
        <v>0</v>
      </c>
      <c r="M2977">
        <v>0</v>
      </c>
      <c r="N2977">
        <v>0</v>
      </c>
      <c r="O2977">
        <v>1</v>
      </c>
    </row>
    <row r="2978" spans="1:15" x14ac:dyDescent="0.25">
      <c r="A2978" t="s">
        <v>953</v>
      </c>
      <c r="B2978" t="s">
        <v>2014</v>
      </c>
      <c r="C2978" t="s">
        <v>927</v>
      </c>
      <c r="D2978" t="s">
        <v>3052</v>
      </c>
      <c r="E2978" t="s">
        <v>3053</v>
      </c>
      <c r="F2978" t="s">
        <v>453</v>
      </c>
      <c r="G2978" t="s">
        <v>454</v>
      </c>
      <c r="H2978" t="s">
        <v>4999</v>
      </c>
      <c r="I2978">
        <v>19</v>
      </c>
      <c r="J2978">
        <v>0</v>
      </c>
      <c r="K2978">
        <v>0</v>
      </c>
      <c r="L2978">
        <v>19</v>
      </c>
      <c r="M2978">
        <v>0</v>
      </c>
      <c r="N2978">
        <v>0</v>
      </c>
      <c r="O2978">
        <v>0</v>
      </c>
    </row>
    <row r="2979" spans="1:15" x14ac:dyDescent="0.25">
      <c r="A2979" t="s">
        <v>1057</v>
      </c>
      <c r="B2979" t="s">
        <v>1972</v>
      </c>
      <c r="C2979" t="s">
        <v>927</v>
      </c>
      <c r="D2979" t="s">
        <v>3052</v>
      </c>
      <c r="E2979" t="s">
        <v>3053</v>
      </c>
      <c r="F2979" t="s">
        <v>453</v>
      </c>
      <c r="G2979" t="s">
        <v>454</v>
      </c>
      <c r="H2979" t="s">
        <v>5000</v>
      </c>
      <c r="I2979">
        <v>6</v>
      </c>
      <c r="J2979">
        <v>6</v>
      </c>
      <c r="K2979">
        <v>0</v>
      </c>
      <c r="L2979">
        <v>0</v>
      </c>
      <c r="M2979">
        <v>0</v>
      </c>
      <c r="N2979">
        <v>0</v>
      </c>
      <c r="O2979">
        <v>0</v>
      </c>
    </row>
    <row r="2980" spans="1:15" x14ac:dyDescent="0.25">
      <c r="A2980" t="s">
        <v>11663</v>
      </c>
      <c r="B2980" t="s">
        <v>11768</v>
      </c>
      <c r="C2980" t="s">
        <v>927</v>
      </c>
      <c r="D2980" t="s">
        <v>3052</v>
      </c>
      <c r="E2980" t="s">
        <v>3053</v>
      </c>
      <c r="F2980" t="s">
        <v>453</v>
      </c>
      <c r="G2980" t="s">
        <v>454</v>
      </c>
      <c r="H2980" t="s">
        <v>12026</v>
      </c>
      <c r="I2980">
        <v>408</v>
      </c>
      <c r="J2980">
        <v>291</v>
      </c>
      <c r="K2980">
        <v>0</v>
      </c>
      <c r="L2980">
        <v>0</v>
      </c>
      <c r="M2980">
        <v>27</v>
      </c>
      <c r="N2980">
        <v>1</v>
      </c>
      <c r="O2980">
        <v>90</v>
      </c>
    </row>
    <row r="2981" spans="1:15" x14ac:dyDescent="0.25">
      <c r="A2981" t="s">
        <v>1667</v>
      </c>
      <c r="B2981" t="s">
        <v>2657</v>
      </c>
      <c r="C2981" t="s">
        <v>923</v>
      </c>
      <c r="D2981" t="s">
        <v>3063</v>
      </c>
      <c r="E2981" t="s">
        <v>3053</v>
      </c>
      <c r="F2981" t="s">
        <v>453</v>
      </c>
      <c r="G2981" t="s">
        <v>454</v>
      </c>
      <c r="H2981" t="s">
        <v>5001</v>
      </c>
      <c r="I2981">
        <v>15</v>
      </c>
      <c r="J2981">
        <v>0</v>
      </c>
      <c r="K2981">
        <v>0</v>
      </c>
      <c r="L2981">
        <v>0</v>
      </c>
      <c r="M2981">
        <v>15</v>
      </c>
      <c r="N2981">
        <v>0</v>
      </c>
      <c r="O2981">
        <v>0</v>
      </c>
    </row>
    <row r="2982" spans="1:15" x14ac:dyDescent="0.25">
      <c r="A2982" t="s">
        <v>1368</v>
      </c>
      <c r="B2982" t="s">
        <v>3022</v>
      </c>
      <c r="C2982" t="s">
        <v>923</v>
      </c>
      <c r="D2982" t="s">
        <v>3063</v>
      </c>
      <c r="E2982" t="s">
        <v>3053</v>
      </c>
      <c r="F2982" t="s">
        <v>453</v>
      </c>
      <c r="G2982" t="s">
        <v>454</v>
      </c>
      <c r="H2982" t="s">
        <v>5002</v>
      </c>
      <c r="I2982">
        <v>18</v>
      </c>
      <c r="J2982">
        <v>2</v>
      </c>
      <c r="K2982">
        <v>16</v>
      </c>
      <c r="L2982">
        <v>0</v>
      </c>
      <c r="M2982">
        <v>0</v>
      </c>
      <c r="N2982">
        <v>2</v>
      </c>
      <c r="O2982">
        <v>0</v>
      </c>
    </row>
    <row r="2983" spans="1:15" x14ac:dyDescent="0.25">
      <c r="A2983" t="s">
        <v>1374</v>
      </c>
      <c r="B2983" t="s">
        <v>2580</v>
      </c>
      <c r="C2983" t="s">
        <v>923</v>
      </c>
      <c r="D2983" t="s">
        <v>3063</v>
      </c>
      <c r="E2983" t="s">
        <v>3053</v>
      </c>
      <c r="F2983" t="s">
        <v>453</v>
      </c>
      <c r="G2983" t="s">
        <v>454</v>
      </c>
      <c r="H2983" t="s">
        <v>5003</v>
      </c>
      <c r="I2983">
        <v>52</v>
      </c>
      <c r="J2983">
        <v>0</v>
      </c>
      <c r="K2983">
        <v>0</v>
      </c>
      <c r="L2983">
        <v>52</v>
      </c>
      <c r="M2983">
        <v>0</v>
      </c>
      <c r="N2983">
        <v>0</v>
      </c>
      <c r="O2983">
        <v>0</v>
      </c>
    </row>
    <row r="2984" spans="1:15" x14ac:dyDescent="0.25">
      <c r="A2984" t="s">
        <v>1688</v>
      </c>
      <c r="B2984" t="s">
        <v>2148</v>
      </c>
      <c r="C2984" t="s">
        <v>923</v>
      </c>
      <c r="D2984" t="s">
        <v>3063</v>
      </c>
      <c r="E2984" t="s">
        <v>3053</v>
      </c>
      <c r="F2984" t="s">
        <v>453</v>
      </c>
      <c r="G2984" t="s">
        <v>454</v>
      </c>
      <c r="H2984" t="s">
        <v>5004</v>
      </c>
      <c r="I2984">
        <v>115</v>
      </c>
      <c r="J2984">
        <v>0</v>
      </c>
      <c r="K2984">
        <v>0</v>
      </c>
      <c r="L2984">
        <v>10</v>
      </c>
      <c r="M2984">
        <v>105</v>
      </c>
      <c r="N2984">
        <v>0</v>
      </c>
      <c r="O2984">
        <v>0</v>
      </c>
    </row>
    <row r="2985" spans="1:15" x14ac:dyDescent="0.25">
      <c r="A2985" t="s">
        <v>1080</v>
      </c>
      <c r="B2985" t="s">
        <v>2030</v>
      </c>
      <c r="C2985" t="s">
        <v>923</v>
      </c>
      <c r="D2985" t="s">
        <v>3063</v>
      </c>
      <c r="E2985" t="s">
        <v>3053</v>
      </c>
      <c r="F2985" t="s">
        <v>453</v>
      </c>
      <c r="G2985" t="s">
        <v>454</v>
      </c>
      <c r="H2985" t="s">
        <v>5005</v>
      </c>
      <c r="I2985">
        <v>7</v>
      </c>
      <c r="J2985">
        <v>0</v>
      </c>
      <c r="K2985">
        <v>0</v>
      </c>
      <c r="L2985">
        <v>7</v>
      </c>
      <c r="M2985">
        <v>0</v>
      </c>
      <c r="N2985">
        <v>0</v>
      </c>
      <c r="O2985">
        <v>0</v>
      </c>
    </row>
    <row r="2986" spans="1:15" x14ac:dyDescent="0.25">
      <c r="A2986" t="s">
        <v>1398</v>
      </c>
      <c r="B2986" t="s">
        <v>2998</v>
      </c>
      <c r="C2986" t="s">
        <v>927</v>
      </c>
      <c r="D2986" t="s">
        <v>3052</v>
      </c>
      <c r="E2986" t="s">
        <v>3053</v>
      </c>
      <c r="F2986" t="s">
        <v>453</v>
      </c>
      <c r="G2986" t="s">
        <v>454</v>
      </c>
      <c r="H2986" t="s">
        <v>14725</v>
      </c>
      <c r="I2986">
        <v>44</v>
      </c>
      <c r="J2986">
        <v>0</v>
      </c>
      <c r="K2986">
        <v>0</v>
      </c>
      <c r="L2986">
        <v>44</v>
      </c>
      <c r="M2986">
        <v>0</v>
      </c>
      <c r="N2986">
        <v>0</v>
      </c>
      <c r="O2986">
        <v>0</v>
      </c>
    </row>
    <row r="2987" spans="1:15" x14ac:dyDescent="0.25">
      <c r="A2987" t="s">
        <v>1195</v>
      </c>
      <c r="B2987" t="s">
        <v>2924</v>
      </c>
      <c r="C2987" t="s">
        <v>927</v>
      </c>
      <c r="D2987" t="s">
        <v>3052</v>
      </c>
      <c r="E2987" t="s">
        <v>3053</v>
      </c>
      <c r="F2987" t="s">
        <v>455</v>
      </c>
      <c r="G2987" t="s">
        <v>456</v>
      </c>
      <c r="H2987" t="s">
        <v>5006</v>
      </c>
      <c r="I2987">
        <v>58</v>
      </c>
      <c r="J2987">
        <v>0</v>
      </c>
      <c r="K2987">
        <v>0</v>
      </c>
      <c r="L2987">
        <v>0</v>
      </c>
      <c r="M2987">
        <v>0</v>
      </c>
      <c r="N2987">
        <v>0</v>
      </c>
      <c r="O2987">
        <v>58</v>
      </c>
    </row>
    <row r="2988" spans="1:15" x14ac:dyDescent="0.25">
      <c r="A2988" t="s">
        <v>929</v>
      </c>
      <c r="B2988" t="s">
        <v>2999</v>
      </c>
      <c r="C2988" t="s">
        <v>927</v>
      </c>
      <c r="D2988" t="s">
        <v>3052</v>
      </c>
      <c r="E2988" t="s">
        <v>3053</v>
      </c>
      <c r="F2988" t="s">
        <v>455</v>
      </c>
      <c r="G2988" t="s">
        <v>456</v>
      </c>
      <c r="H2988" t="s">
        <v>5007</v>
      </c>
      <c r="I2988">
        <v>160</v>
      </c>
      <c r="J2988">
        <v>0</v>
      </c>
      <c r="K2988">
        <v>0</v>
      </c>
      <c r="L2988">
        <v>0</v>
      </c>
      <c r="M2988">
        <v>160</v>
      </c>
      <c r="N2988">
        <v>0</v>
      </c>
      <c r="O2988">
        <v>0</v>
      </c>
    </row>
    <row r="2989" spans="1:15" x14ac:dyDescent="0.25">
      <c r="A2989" t="s">
        <v>1087</v>
      </c>
      <c r="B2989" t="s">
        <v>2979</v>
      </c>
      <c r="C2989" t="s">
        <v>923</v>
      </c>
      <c r="D2989" t="s">
        <v>3063</v>
      </c>
      <c r="E2989" t="s">
        <v>3053</v>
      </c>
      <c r="F2989" t="s">
        <v>455</v>
      </c>
      <c r="G2989" t="s">
        <v>456</v>
      </c>
      <c r="H2989" t="s">
        <v>5008</v>
      </c>
      <c r="I2989">
        <v>56</v>
      </c>
      <c r="J2989">
        <v>56</v>
      </c>
      <c r="K2989">
        <v>0</v>
      </c>
      <c r="L2989">
        <v>0</v>
      </c>
      <c r="M2989">
        <v>0</v>
      </c>
      <c r="N2989">
        <v>7</v>
      </c>
      <c r="O2989">
        <v>0</v>
      </c>
    </row>
    <row r="2990" spans="1:15" x14ac:dyDescent="0.25">
      <c r="A2990" t="s">
        <v>978</v>
      </c>
      <c r="B2990" t="s">
        <v>1999</v>
      </c>
      <c r="C2990" t="s">
        <v>923</v>
      </c>
      <c r="D2990" t="s">
        <v>3063</v>
      </c>
      <c r="E2990" t="s">
        <v>3053</v>
      </c>
      <c r="F2990" t="s">
        <v>455</v>
      </c>
      <c r="G2990" t="s">
        <v>456</v>
      </c>
      <c r="H2990" t="s">
        <v>11017</v>
      </c>
      <c r="I2990">
        <v>1</v>
      </c>
      <c r="J2990">
        <v>0</v>
      </c>
      <c r="K2990">
        <v>0</v>
      </c>
      <c r="L2990">
        <v>1</v>
      </c>
      <c r="M2990">
        <v>0</v>
      </c>
      <c r="N2990">
        <v>0</v>
      </c>
      <c r="O2990">
        <v>0</v>
      </c>
    </row>
    <row r="2991" spans="1:15" x14ac:dyDescent="0.25">
      <c r="A2991" t="s">
        <v>9790</v>
      </c>
      <c r="B2991" t="s">
        <v>1977</v>
      </c>
      <c r="C2991" t="s">
        <v>923</v>
      </c>
      <c r="D2991" t="s">
        <v>3063</v>
      </c>
      <c r="E2991" t="s">
        <v>3053</v>
      </c>
      <c r="F2991" t="s">
        <v>455</v>
      </c>
      <c r="G2991" t="s">
        <v>456</v>
      </c>
      <c r="H2991" t="s">
        <v>12027</v>
      </c>
      <c r="I2991">
        <v>16</v>
      </c>
      <c r="J2991">
        <v>0</v>
      </c>
      <c r="K2991">
        <v>0</v>
      </c>
      <c r="L2991">
        <v>16</v>
      </c>
      <c r="M2991">
        <v>0</v>
      </c>
      <c r="N2991">
        <v>0</v>
      </c>
      <c r="O2991">
        <v>0</v>
      </c>
    </row>
    <row r="2992" spans="1:15" x14ac:dyDescent="0.25">
      <c r="A2992" t="s">
        <v>1212</v>
      </c>
      <c r="B2992" t="s">
        <v>2004</v>
      </c>
      <c r="C2992" t="s">
        <v>923</v>
      </c>
      <c r="D2992" t="s">
        <v>3063</v>
      </c>
      <c r="E2992" t="s">
        <v>3053</v>
      </c>
      <c r="F2992" t="s">
        <v>455</v>
      </c>
      <c r="G2992" t="s">
        <v>456</v>
      </c>
      <c r="H2992" t="s">
        <v>5009</v>
      </c>
      <c r="I2992">
        <v>13</v>
      </c>
      <c r="J2992">
        <v>0</v>
      </c>
      <c r="K2992">
        <v>0</v>
      </c>
      <c r="L2992">
        <v>13</v>
      </c>
      <c r="M2992">
        <v>0</v>
      </c>
      <c r="N2992">
        <v>0</v>
      </c>
      <c r="O2992">
        <v>0</v>
      </c>
    </row>
    <row r="2993" spans="1:15" x14ac:dyDescent="0.25">
      <c r="A2993" t="s">
        <v>1224</v>
      </c>
      <c r="B2993" t="s">
        <v>2932</v>
      </c>
      <c r="C2993" t="s">
        <v>927</v>
      </c>
      <c r="D2993" t="s">
        <v>3052</v>
      </c>
      <c r="E2993" t="s">
        <v>3053</v>
      </c>
      <c r="F2993" t="s">
        <v>455</v>
      </c>
      <c r="G2993" t="s">
        <v>456</v>
      </c>
      <c r="H2993" t="s">
        <v>5010</v>
      </c>
      <c r="I2993">
        <v>741</v>
      </c>
      <c r="J2993">
        <v>433</v>
      </c>
      <c r="K2993">
        <v>0</v>
      </c>
      <c r="L2993">
        <v>154</v>
      </c>
      <c r="M2993">
        <v>137</v>
      </c>
      <c r="N2993">
        <v>41</v>
      </c>
      <c r="O2993">
        <v>17</v>
      </c>
    </row>
    <row r="2994" spans="1:15" x14ac:dyDescent="0.25">
      <c r="A2994" t="s">
        <v>933</v>
      </c>
      <c r="B2994" t="s">
        <v>2106</v>
      </c>
      <c r="C2994" t="s">
        <v>927</v>
      </c>
      <c r="D2994" t="s">
        <v>3052</v>
      </c>
      <c r="E2994" t="s">
        <v>3053</v>
      </c>
      <c r="F2994" t="s">
        <v>455</v>
      </c>
      <c r="G2994" t="s">
        <v>456</v>
      </c>
      <c r="H2994" t="s">
        <v>5011</v>
      </c>
      <c r="I2994">
        <v>388</v>
      </c>
      <c r="J2994">
        <v>175</v>
      </c>
      <c r="K2994">
        <v>0</v>
      </c>
      <c r="L2994">
        <v>0</v>
      </c>
      <c r="M2994">
        <v>0</v>
      </c>
      <c r="N2994">
        <v>0</v>
      </c>
      <c r="O2994">
        <v>213</v>
      </c>
    </row>
    <row r="2995" spans="1:15" x14ac:dyDescent="0.25">
      <c r="A2995" t="s">
        <v>1227</v>
      </c>
      <c r="B2995" t="s">
        <v>2023</v>
      </c>
      <c r="C2995" t="s">
        <v>923</v>
      </c>
      <c r="D2995" t="s">
        <v>3063</v>
      </c>
      <c r="E2995" t="s">
        <v>3053</v>
      </c>
      <c r="F2995" t="s">
        <v>455</v>
      </c>
      <c r="G2995" t="s">
        <v>456</v>
      </c>
      <c r="H2995" t="s">
        <v>10037</v>
      </c>
      <c r="I2995">
        <v>4</v>
      </c>
      <c r="J2995">
        <v>4</v>
      </c>
      <c r="K2995">
        <v>0</v>
      </c>
      <c r="L2995">
        <v>0</v>
      </c>
      <c r="M2995">
        <v>0</v>
      </c>
      <c r="N2995">
        <v>0</v>
      </c>
      <c r="O2995">
        <v>0</v>
      </c>
    </row>
    <row r="2996" spans="1:15" x14ac:dyDescent="0.25">
      <c r="A2996" t="s">
        <v>1234</v>
      </c>
      <c r="B2996" t="s">
        <v>2093</v>
      </c>
      <c r="C2996" t="s">
        <v>923</v>
      </c>
      <c r="D2996" t="s">
        <v>3063</v>
      </c>
      <c r="E2996" t="s">
        <v>3053</v>
      </c>
      <c r="F2996" t="s">
        <v>455</v>
      </c>
      <c r="G2996" t="s">
        <v>456</v>
      </c>
      <c r="H2996" t="s">
        <v>5012</v>
      </c>
      <c r="I2996">
        <v>12</v>
      </c>
      <c r="J2996">
        <v>12</v>
      </c>
      <c r="K2996">
        <v>0</v>
      </c>
      <c r="L2996">
        <v>0</v>
      </c>
      <c r="M2996">
        <v>0</v>
      </c>
      <c r="N2996">
        <v>0</v>
      </c>
      <c r="O2996">
        <v>0</v>
      </c>
    </row>
    <row r="2997" spans="1:15" x14ac:dyDescent="0.25">
      <c r="A2997" t="s">
        <v>10638</v>
      </c>
      <c r="B2997" t="s">
        <v>2057</v>
      </c>
      <c r="C2997" t="s">
        <v>927</v>
      </c>
      <c r="D2997" t="s">
        <v>3052</v>
      </c>
      <c r="E2997" t="s">
        <v>3053</v>
      </c>
      <c r="F2997" t="s">
        <v>455</v>
      </c>
      <c r="G2997" t="s">
        <v>456</v>
      </c>
      <c r="H2997" t="s">
        <v>11018</v>
      </c>
      <c r="I2997">
        <v>8</v>
      </c>
      <c r="J2997">
        <v>0</v>
      </c>
      <c r="K2997">
        <v>0</v>
      </c>
      <c r="L2997">
        <v>8</v>
      </c>
      <c r="M2997">
        <v>0</v>
      </c>
      <c r="N2997">
        <v>0</v>
      </c>
      <c r="O2997">
        <v>0</v>
      </c>
    </row>
    <row r="2998" spans="1:15" x14ac:dyDescent="0.25">
      <c r="A2998" t="s">
        <v>1008</v>
      </c>
      <c r="B2998" t="s">
        <v>2928</v>
      </c>
      <c r="C2998" t="s">
        <v>927</v>
      </c>
      <c r="D2998" t="s">
        <v>3052</v>
      </c>
      <c r="E2998" t="s">
        <v>3053</v>
      </c>
      <c r="F2998" t="s">
        <v>455</v>
      </c>
      <c r="G2998" t="s">
        <v>456</v>
      </c>
      <c r="H2998" t="s">
        <v>5013</v>
      </c>
      <c r="I2998">
        <v>39</v>
      </c>
      <c r="J2998">
        <v>38</v>
      </c>
      <c r="K2998">
        <v>0</v>
      </c>
      <c r="L2998">
        <v>0</v>
      </c>
      <c r="M2998">
        <v>1</v>
      </c>
      <c r="N2998">
        <v>2</v>
      </c>
      <c r="O2998">
        <v>0</v>
      </c>
    </row>
    <row r="2999" spans="1:15" x14ac:dyDescent="0.25">
      <c r="A2999" t="s">
        <v>937</v>
      </c>
      <c r="B2999" t="s">
        <v>1962</v>
      </c>
      <c r="C2999" t="s">
        <v>927</v>
      </c>
      <c r="D2999" t="s">
        <v>3052</v>
      </c>
      <c r="E2999" t="s">
        <v>3053</v>
      </c>
      <c r="F2999" t="s">
        <v>455</v>
      </c>
      <c r="G2999" t="s">
        <v>456</v>
      </c>
      <c r="H2999" t="s">
        <v>14726</v>
      </c>
      <c r="I2999">
        <v>3</v>
      </c>
      <c r="J2999">
        <v>0</v>
      </c>
      <c r="K2999">
        <v>0</v>
      </c>
      <c r="L2999">
        <v>0</v>
      </c>
      <c r="M2999">
        <v>0</v>
      </c>
      <c r="N2999">
        <v>0</v>
      </c>
      <c r="O2999">
        <v>3</v>
      </c>
    </row>
    <row r="3000" spans="1:15" x14ac:dyDescent="0.25">
      <c r="A3000" t="s">
        <v>1011</v>
      </c>
      <c r="B3000" t="s">
        <v>2020</v>
      </c>
      <c r="C3000" t="s">
        <v>927</v>
      </c>
      <c r="D3000" t="s">
        <v>3052</v>
      </c>
      <c r="E3000" t="s">
        <v>3053</v>
      </c>
      <c r="F3000" t="s">
        <v>455</v>
      </c>
      <c r="G3000" t="s">
        <v>456</v>
      </c>
      <c r="H3000" t="s">
        <v>5014</v>
      </c>
      <c r="I3000">
        <v>16</v>
      </c>
      <c r="J3000">
        <v>0</v>
      </c>
      <c r="K3000">
        <v>0</v>
      </c>
      <c r="L3000">
        <v>16</v>
      </c>
      <c r="M3000">
        <v>0</v>
      </c>
      <c r="N3000">
        <v>0</v>
      </c>
      <c r="O3000">
        <v>0</v>
      </c>
    </row>
    <row r="3001" spans="1:15" x14ac:dyDescent="0.25">
      <c r="A3001" t="s">
        <v>938</v>
      </c>
      <c r="B3001" t="s">
        <v>2791</v>
      </c>
      <c r="C3001" t="s">
        <v>927</v>
      </c>
      <c r="D3001" t="s">
        <v>3052</v>
      </c>
      <c r="E3001" t="s">
        <v>3053</v>
      </c>
      <c r="F3001" t="s">
        <v>455</v>
      </c>
      <c r="G3001" t="s">
        <v>456</v>
      </c>
      <c r="H3001" t="s">
        <v>5015</v>
      </c>
      <c r="I3001">
        <v>48</v>
      </c>
      <c r="J3001">
        <v>35</v>
      </c>
      <c r="K3001">
        <v>0</v>
      </c>
      <c r="L3001">
        <v>0</v>
      </c>
      <c r="M3001">
        <v>0</v>
      </c>
      <c r="N3001">
        <v>0</v>
      </c>
      <c r="O3001">
        <v>13</v>
      </c>
    </row>
    <row r="3002" spans="1:15" x14ac:dyDescent="0.25">
      <c r="A3002" t="s">
        <v>940</v>
      </c>
      <c r="B3002" t="s">
        <v>2647</v>
      </c>
      <c r="C3002" t="s">
        <v>927</v>
      </c>
      <c r="D3002" t="s">
        <v>3052</v>
      </c>
      <c r="E3002" t="s">
        <v>3053</v>
      </c>
      <c r="F3002" t="s">
        <v>455</v>
      </c>
      <c r="G3002" t="s">
        <v>456</v>
      </c>
      <c r="H3002" t="s">
        <v>5016</v>
      </c>
      <c r="I3002">
        <v>92</v>
      </c>
      <c r="J3002">
        <v>0</v>
      </c>
      <c r="K3002">
        <v>0</v>
      </c>
      <c r="L3002">
        <v>0</v>
      </c>
      <c r="M3002">
        <v>92</v>
      </c>
      <c r="N3002">
        <v>0</v>
      </c>
      <c r="O3002">
        <v>0</v>
      </c>
    </row>
    <row r="3003" spans="1:15" x14ac:dyDescent="0.25">
      <c r="A3003" t="s">
        <v>1274</v>
      </c>
      <c r="B3003" t="s">
        <v>2159</v>
      </c>
      <c r="C3003" t="s">
        <v>923</v>
      </c>
      <c r="D3003" t="s">
        <v>3063</v>
      </c>
      <c r="E3003" t="s">
        <v>3053</v>
      </c>
      <c r="F3003" t="s">
        <v>455</v>
      </c>
      <c r="G3003" t="s">
        <v>456</v>
      </c>
      <c r="H3003" t="s">
        <v>12028</v>
      </c>
      <c r="I3003">
        <v>12</v>
      </c>
      <c r="J3003">
        <v>0</v>
      </c>
      <c r="K3003">
        <v>0</v>
      </c>
      <c r="L3003">
        <v>0</v>
      </c>
      <c r="M3003">
        <v>12</v>
      </c>
      <c r="N3003">
        <v>0</v>
      </c>
      <c r="O3003">
        <v>0</v>
      </c>
    </row>
    <row r="3004" spans="1:15" x14ac:dyDescent="0.25">
      <c r="A3004" t="s">
        <v>1013</v>
      </c>
      <c r="B3004" t="s">
        <v>1959</v>
      </c>
      <c r="C3004" t="s">
        <v>927</v>
      </c>
      <c r="D3004" t="s">
        <v>3052</v>
      </c>
      <c r="E3004" t="s">
        <v>3053</v>
      </c>
      <c r="F3004" t="s">
        <v>455</v>
      </c>
      <c r="G3004" t="s">
        <v>456</v>
      </c>
      <c r="H3004" t="s">
        <v>5017</v>
      </c>
      <c r="I3004">
        <v>54</v>
      </c>
      <c r="J3004">
        <v>0</v>
      </c>
      <c r="K3004">
        <v>0</v>
      </c>
      <c r="L3004">
        <v>54</v>
      </c>
      <c r="M3004">
        <v>0</v>
      </c>
      <c r="N3004">
        <v>0</v>
      </c>
      <c r="O3004">
        <v>0</v>
      </c>
    </row>
    <row r="3005" spans="1:15" x14ac:dyDescent="0.25">
      <c r="A3005" t="s">
        <v>1124</v>
      </c>
      <c r="B3005" t="s">
        <v>2981</v>
      </c>
      <c r="C3005" t="s">
        <v>923</v>
      </c>
      <c r="D3005" t="s">
        <v>3063</v>
      </c>
      <c r="E3005" t="s">
        <v>3053</v>
      </c>
      <c r="F3005" t="s">
        <v>455</v>
      </c>
      <c r="G3005" t="s">
        <v>456</v>
      </c>
      <c r="H3005" t="s">
        <v>5018</v>
      </c>
      <c r="I3005">
        <v>24</v>
      </c>
      <c r="J3005">
        <v>24</v>
      </c>
      <c r="K3005">
        <v>0</v>
      </c>
      <c r="L3005">
        <v>0</v>
      </c>
      <c r="M3005">
        <v>0</v>
      </c>
      <c r="N3005">
        <v>0</v>
      </c>
      <c r="O3005">
        <v>0</v>
      </c>
    </row>
    <row r="3006" spans="1:15" x14ac:dyDescent="0.25">
      <c r="A3006" t="s">
        <v>1126</v>
      </c>
      <c r="B3006" t="s">
        <v>2130</v>
      </c>
      <c r="C3006" t="s">
        <v>927</v>
      </c>
      <c r="D3006" t="s">
        <v>3052</v>
      </c>
      <c r="E3006" t="s">
        <v>3053</v>
      </c>
      <c r="F3006" t="s">
        <v>455</v>
      </c>
      <c r="G3006" t="s">
        <v>456</v>
      </c>
      <c r="H3006" t="s">
        <v>11019</v>
      </c>
      <c r="I3006">
        <v>76</v>
      </c>
      <c r="J3006">
        <v>0</v>
      </c>
      <c r="K3006">
        <v>0</v>
      </c>
      <c r="L3006">
        <v>0</v>
      </c>
      <c r="M3006">
        <v>0</v>
      </c>
      <c r="N3006">
        <v>0</v>
      </c>
      <c r="O3006">
        <v>76</v>
      </c>
    </row>
    <row r="3007" spans="1:15" x14ac:dyDescent="0.25">
      <c r="A3007" t="s">
        <v>1127</v>
      </c>
      <c r="B3007" t="s">
        <v>3034</v>
      </c>
      <c r="C3007" t="s">
        <v>927</v>
      </c>
      <c r="D3007" t="s">
        <v>3052</v>
      </c>
      <c r="E3007" t="s">
        <v>3053</v>
      </c>
      <c r="F3007" t="s">
        <v>455</v>
      </c>
      <c r="G3007" t="s">
        <v>456</v>
      </c>
      <c r="H3007" t="s">
        <v>5019</v>
      </c>
      <c r="I3007">
        <v>27</v>
      </c>
      <c r="J3007">
        <v>27</v>
      </c>
      <c r="K3007">
        <v>0</v>
      </c>
      <c r="L3007">
        <v>0</v>
      </c>
      <c r="M3007">
        <v>0</v>
      </c>
      <c r="N3007">
        <v>0</v>
      </c>
      <c r="O3007">
        <v>0</v>
      </c>
    </row>
    <row r="3008" spans="1:15" x14ac:dyDescent="0.25">
      <c r="A3008" t="s">
        <v>1025</v>
      </c>
      <c r="B3008" t="s">
        <v>2893</v>
      </c>
      <c r="C3008" t="s">
        <v>927</v>
      </c>
      <c r="D3008" t="s">
        <v>3052</v>
      </c>
      <c r="E3008" t="s">
        <v>3053</v>
      </c>
      <c r="F3008" t="s">
        <v>455</v>
      </c>
      <c r="G3008" t="s">
        <v>456</v>
      </c>
      <c r="H3008" t="s">
        <v>5020</v>
      </c>
      <c r="I3008">
        <v>2051</v>
      </c>
      <c r="J3008">
        <v>1812</v>
      </c>
      <c r="K3008">
        <v>0</v>
      </c>
      <c r="L3008">
        <v>33</v>
      </c>
      <c r="M3008">
        <v>0</v>
      </c>
      <c r="N3008">
        <v>25</v>
      </c>
      <c r="O3008">
        <v>206</v>
      </c>
    </row>
    <row r="3009" spans="1:15" x14ac:dyDescent="0.25">
      <c r="A3009" t="s">
        <v>943</v>
      </c>
      <c r="B3009" t="s">
        <v>2694</v>
      </c>
      <c r="C3009" t="s">
        <v>927</v>
      </c>
      <c r="D3009" t="s">
        <v>3052</v>
      </c>
      <c r="E3009" t="s">
        <v>3053</v>
      </c>
      <c r="F3009" t="s">
        <v>455</v>
      </c>
      <c r="G3009" t="s">
        <v>456</v>
      </c>
      <c r="H3009" t="s">
        <v>5021</v>
      </c>
      <c r="I3009">
        <v>1476</v>
      </c>
      <c r="J3009">
        <v>1021</v>
      </c>
      <c r="K3009">
        <v>0</v>
      </c>
      <c r="L3009">
        <v>19</v>
      </c>
      <c r="M3009">
        <v>184</v>
      </c>
      <c r="N3009">
        <v>0</v>
      </c>
      <c r="O3009">
        <v>252</v>
      </c>
    </row>
    <row r="3010" spans="1:15" x14ac:dyDescent="0.25">
      <c r="A3010" t="s">
        <v>945</v>
      </c>
      <c r="B3010" t="s">
        <v>2668</v>
      </c>
      <c r="C3010" t="s">
        <v>927</v>
      </c>
      <c r="D3010" t="s">
        <v>3052</v>
      </c>
      <c r="E3010" t="s">
        <v>3053</v>
      </c>
      <c r="F3010" t="s">
        <v>455</v>
      </c>
      <c r="G3010" t="s">
        <v>456</v>
      </c>
      <c r="H3010" t="s">
        <v>5022</v>
      </c>
      <c r="I3010">
        <v>1</v>
      </c>
      <c r="J3010">
        <v>0</v>
      </c>
      <c r="K3010">
        <v>0</v>
      </c>
      <c r="L3010">
        <v>0</v>
      </c>
      <c r="M3010">
        <v>0</v>
      </c>
      <c r="N3010">
        <v>0</v>
      </c>
      <c r="O3010">
        <v>1</v>
      </c>
    </row>
    <row r="3011" spans="1:15" x14ac:dyDescent="0.25">
      <c r="A3011" t="s">
        <v>1131</v>
      </c>
      <c r="B3011" t="s">
        <v>2637</v>
      </c>
      <c r="C3011" t="s">
        <v>927</v>
      </c>
      <c r="D3011" t="s">
        <v>3052</v>
      </c>
      <c r="E3011" t="s">
        <v>3053</v>
      </c>
      <c r="F3011" t="s">
        <v>455</v>
      </c>
      <c r="G3011" t="s">
        <v>456</v>
      </c>
      <c r="H3011" t="s">
        <v>5023</v>
      </c>
      <c r="I3011">
        <v>567</v>
      </c>
      <c r="J3011">
        <v>412</v>
      </c>
      <c r="K3011">
        <v>0</v>
      </c>
      <c r="L3011">
        <v>43</v>
      </c>
      <c r="M3011">
        <v>0</v>
      </c>
      <c r="N3011">
        <v>0</v>
      </c>
      <c r="O3011">
        <v>112</v>
      </c>
    </row>
    <row r="3012" spans="1:15" x14ac:dyDescent="0.25">
      <c r="A3012" t="s">
        <v>1307</v>
      </c>
      <c r="B3012" t="s">
        <v>2982</v>
      </c>
      <c r="C3012" t="s">
        <v>927</v>
      </c>
      <c r="D3012" t="s">
        <v>3052</v>
      </c>
      <c r="E3012" t="s">
        <v>3053</v>
      </c>
      <c r="F3012" t="s">
        <v>455</v>
      </c>
      <c r="G3012" t="s">
        <v>456</v>
      </c>
      <c r="H3012" t="s">
        <v>5024</v>
      </c>
      <c r="I3012">
        <v>97</v>
      </c>
      <c r="J3012">
        <v>69</v>
      </c>
      <c r="K3012">
        <v>0</v>
      </c>
      <c r="L3012">
        <v>0</v>
      </c>
      <c r="M3012">
        <v>0</v>
      </c>
      <c r="N3012">
        <v>0</v>
      </c>
      <c r="O3012">
        <v>28</v>
      </c>
    </row>
    <row r="3013" spans="1:15" x14ac:dyDescent="0.25">
      <c r="A3013" t="s">
        <v>1134</v>
      </c>
      <c r="B3013" t="s">
        <v>2118</v>
      </c>
      <c r="C3013" t="s">
        <v>927</v>
      </c>
      <c r="D3013" t="s">
        <v>3052</v>
      </c>
      <c r="E3013" t="s">
        <v>3053</v>
      </c>
      <c r="F3013" t="s">
        <v>455</v>
      </c>
      <c r="G3013" t="s">
        <v>456</v>
      </c>
      <c r="H3013" t="s">
        <v>5025</v>
      </c>
      <c r="I3013">
        <v>843</v>
      </c>
      <c r="J3013">
        <v>774</v>
      </c>
      <c r="K3013">
        <v>0</v>
      </c>
      <c r="L3013">
        <v>0</v>
      </c>
      <c r="M3013">
        <v>0</v>
      </c>
      <c r="N3013">
        <v>0</v>
      </c>
      <c r="O3013">
        <v>69</v>
      </c>
    </row>
    <row r="3014" spans="1:15" x14ac:dyDescent="0.25">
      <c r="A3014" t="s">
        <v>949</v>
      </c>
      <c r="B3014" t="s">
        <v>3035</v>
      </c>
      <c r="C3014" t="s">
        <v>927</v>
      </c>
      <c r="D3014" t="s">
        <v>3052</v>
      </c>
      <c r="E3014" t="s">
        <v>3053</v>
      </c>
      <c r="F3014" t="s">
        <v>455</v>
      </c>
      <c r="G3014" t="s">
        <v>456</v>
      </c>
      <c r="H3014" t="s">
        <v>5026</v>
      </c>
      <c r="I3014">
        <v>70</v>
      </c>
      <c r="J3014">
        <v>0</v>
      </c>
      <c r="K3014">
        <v>0</v>
      </c>
      <c r="L3014">
        <v>0</v>
      </c>
      <c r="M3014">
        <v>0</v>
      </c>
      <c r="N3014">
        <v>0</v>
      </c>
      <c r="O3014">
        <v>70</v>
      </c>
    </row>
    <row r="3015" spans="1:15" x14ac:dyDescent="0.25">
      <c r="A3015" t="s">
        <v>1136</v>
      </c>
      <c r="B3015" t="s">
        <v>1942</v>
      </c>
      <c r="C3015" t="s">
        <v>923</v>
      </c>
      <c r="D3015" t="s">
        <v>3063</v>
      </c>
      <c r="E3015" t="s">
        <v>3053</v>
      </c>
      <c r="F3015" t="s">
        <v>455</v>
      </c>
      <c r="G3015" t="s">
        <v>456</v>
      </c>
      <c r="H3015" t="s">
        <v>11020</v>
      </c>
      <c r="I3015">
        <v>17</v>
      </c>
      <c r="J3015">
        <v>17</v>
      </c>
      <c r="K3015">
        <v>0</v>
      </c>
      <c r="L3015">
        <v>0</v>
      </c>
      <c r="M3015">
        <v>0</v>
      </c>
      <c r="N3015">
        <v>0</v>
      </c>
      <c r="O3015">
        <v>0</v>
      </c>
    </row>
    <row r="3016" spans="1:15" x14ac:dyDescent="0.25">
      <c r="A3016" t="s">
        <v>1041</v>
      </c>
      <c r="B3016" t="s">
        <v>2826</v>
      </c>
      <c r="C3016" t="s">
        <v>927</v>
      </c>
      <c r="D3016" t="s">
        <v>3052</v>
      </c>
      <c r="E3016" t="s">
        <v>3053</v>
      </c>
      <c r="F3016" t="s">
        <v>455</v>
      </c>
      <c r="G3016" t="s">
        <v>456</v>
      </c>
      <c r="H3016" t="s">
        <v>5027</v>
      </c>
      <c r="I3016">
        <v>9</v>
      </c>
      <c r="J3016">
        <v>0</v>
      </c>
      <c r="K3016">
        <v>0</v>
      </c>
      <c r="L3016">
        <v>0</v>
      </c>
      <c r="M3016">
        <v>0</v>
      </c>
      <c r="N3016">
        <v>0</v>
      </c>
      <c r="O3016">
        <v>9</v>
      </c>
    </row>
    <row r="3017" spans="1:15" x14ac:dyDescent="0.25">
      <c r="A3017" t="s">
        <v>1139</v>
      </c>
      <c r="B3017" t="s">
        <v>2025</v>
      </c>
      <c r="C3017" t="s">
        <v>923</v>
      </c>
      <c r="D3017" t="s">
        <v>3063</v>
      </c>
      <c r="E3017" t="s">
        <v>3053</v>
      </c>
      <c r="F3017" t="s">
        <v>455</v>
      </c>
      <c r="G3017" t="s">
        <v>456</v>
      </c>
      <c r="H3017" t="s">
        <v>5028</v>
      </c>
      <c r="I3017">
        <v>190</v>
      </c>
      <c r="J3017">
        <v>180</v>
      </c>
      <c r="K3017">
        <v>0</v>
      </c>
      <c r="L3017">
        <v>10</v>
      </c>
      <c r="M3017">
        <v>0</v>
      </c>
      <c r="N3017">
        <v>4</v>
      </c>
      <c r="O3017">
        <v>0</v>
      </c>
    </row>
    <row r="3018" spans="1:15" x14ac:dyDescent="0.25">
      <c r="A3018" t="s">
        <v>1140</v>
      </c>
      <c r="B3018" t="s">
        <v>2697</v>
      </c>
      <c r="C3018" t="s">
        <v>927</v>
      </c>
      <c r="D3018" t="s">
        <v>3052</v>
      </c>
      <c r="E3018" t="s">
        <v>3053</v>
      </c>
      <c r="F3018" t="s">
        <v>455</v>
      </c>
      <c r="G3018" t="s">
        <v>456</v>
      </c>
      <c r="H3018" t="s">
        <v>5029</v>
      </c>
      <c r="I3018">
        <v>887</v>
      </c>
      <c r="J3018">
        <v>452</v>
      </c>
      <c r="K3018">
        <v>362</v>
      </c>
      <c r="L3018">
        <v>0</v>
      </c>
      <c r="M3018">
        <v>0</v>
      </c>
      <c r="N3018">
        <v>16</v>
      </c>
      <c r="O3018">
        <v>73</v>
      </c>
    </row>
    <row r="3019" spans="1:15" x14ac:dyDescent="0.25">
      <c r="A3019" t="s">
        <v>1142</v>
      </c>
      <c r="B3019" t="s">
        <v>3003</v>
      </c>
      <c r="C3019" t="s">
        <v>927</v>
      </c>
      <c r="D3019" t="s">
        <v>3052</v>
      </c>
      <c r="E3019" t="s">
        <v>3053</v>
      </c>
      <c r="F3019" t="s">
        <v>455</v>
      </c>
      <c r="G3019" t="s">
        <v>456</v>
      </c>
      <c r="H3019" t="s">
        <v>5030</v>
      </c>
      <c r="I3019">
        <v>125</v>
      </c>
      <c r="J3019">
        <v>82</v>
      </c>
      <c r="K3019">
        <v>0</v>
      </c>
      <c r="L3019">
        <v>0</v>
      </c>
      <c r="M3019">
        <v>0</v>
      </c>
      <c r="N3019">
        <v>4</v>
      </c>
      <c r="O3019">
        <v>43</v>
      </c>
    </row>
    <row r="3020" spans="1:15" x14ac:dyDescent="0.25">
      <c r="A3020" t="s">
        <v>1044</v>
      </c>
      <c r="B3020" t="s">
        <v>2000</v>
      </c>
      <c r="C3020" t="s">
        <v>923</v>
      </c>
      <c r="D3020" t="s">
        <v>3063</v>
      </c>
      <c r="E3020" t="s">
        <v>3053</v>
      </c>
      <c r="F3020" t="s">
        <v>455</v>
      </c>
      <c r="G3020" t="s">
        <v>456</v>
      </c>
      <c r="H3020" t="s">
        <v>5031</v>
      </c>
      <c r="I3020">
        <v>59</v>
      </c>
      <c r="J3020">
        <v>0</v>
      </c>
      <c r="K3020">
        <v>0</v>
      </c>
      <c r="L3020">
        <v>59</v>
      </c>
      <c r="M3020">
        <v>0</v>
      </c>
      <c r="N3020">
        <v>0</v>
      </c>
      <c r="O3020">
        <v>0</v>
      </c>
    </row>
    <row r="3021" spans="1:15" x14ac:dyDescent="0.25">
      <c r="A3021" t="s">
        <v>1146</v>
      </c>
      <c r="B3021" t="s">
        <v>2117</v>
      </c>
      <c r="C3021" t="s">
        <v>927</v>
      </c>
      <c r="D3021" t="s">
        <v>3052</v>
      </c>
      <c r="E3021" t="s">
        <v>3053</v>
      </c>
      <c r="F3021" t="s">
        <v>455</v>
      </c>
      <c r="G3021" t="s">
        <v>456</v>
      </c>
      <c r="H3021" t="s">
        <v>5032</v>
      </c>
      <c r="I3021">
        <v>77</v>
      </c>
      <c r="J3021">
        <v>75</v>
      </c>
      <c r="K3021">
        <v>0</v>
      </c>
      <c r="L3021">
        <v>0</v>
      </c>
      <c r="M3021">
        <v>0</v>
      </c>
      <c r="N3021">
        <v>1</v>
      </c>
      <c r="O3021">
        <v>2</v>
      </c>
    </row>
    <row r="3022" spans="1:15" x14ac:dyDescent="0.25">
      <c r="A3022" t="s">
        <v>951</v>
      </c>
      <c r="B3022" t="s">
        <v>2680</v>
      </c>
      <c r="C3022" t="s">
        <v>927</v>
      </c>
      <c r="D3022" t="s">
        <v>3052</v>
      </c>
      <c r="E3022" t="s">
        <v>3053</v>
      </c>
      <c r="F3022" t="s">
        <v>455</v>
      </c>
      <c r="G3022" t="s">
        <v>456</v>
      </c>
      <c r="H3022" t="s">
        <v>5033</v>
      </c>
      <c r="I3022">
        <v>91</v>
      </c>
      <c r="J3022">
        <v>87</v>
      </c>
      <c r="K3022">
        <v>0</v>
      </c>
      <c r="L3022">
        <v>0</v>
      </c>
      <c r="M3022">
        <v>0</v>
      </c>
      <c r="N3022">
        <v>0</v>
      </c>
      <c r="O3022">
        <v>4</v>
      </c>
    </row>
    <row r="3023" spans="1:15" x14ac:dyDescent="0.25">
      <c r="A3023" t="s">
        <v>11720</v>
      </c>
      <c r="B3023" t="s">
        <v>10718</v>
      </c>
      <c r="C3023" t="s">
        <v>927</v>
      </c>
      <c r="D3023" t="s">
        <v>3052</v>
      </c>
      <c r="E3023" t="s">
        <v>3053</v>
      </c>
      <c r="F3023" t="s">
        <v>455</v>
      </c>
      <c r="G3023" t="s">
        <v>456</v>
      </c>
      <c r="H3023" t="s">
        <v>14727</v>
      </c>
      <c r="I3023">
        <v>34</v>
      </c>
      <c r="J3023">
        <v>0</v>
      </c>
      <c r="K3023">
        <v>0</v>
      </c>
      <c r="L3023">
        <v>0</v>
      </c>
      <c r="M3023">
        <v>0</v>
      </c>
      <c r="N3023">
        <v>0</v>
      </c>
      <c r="O3023">
        <v>34</v>
      </c>
    </row>
    <row r="3024" spans="1:15" x14ac:dyDescent="0.25">
      <c r="A3024" t="s">
        <v>955</v>
      </c>
      <c r="B3024" t="s">
        <v>2660</v>
      </c>
      <c r="C3024" t="s">
        <v>927</v>
      </c>
      <c r="D3024" t="s">
        <v>3052</v>
      </c>
      <c r="E3024" t="s">
        <v>3053</v>
      </c>
      <c r="F3024" t="s">
        <v>455</v>
      </c>
      <c r="G3024" t="s">
        <v>456</v>
      </c>
      <c r="H3024" t="s">
        <v>5034</v>
      </c>
      <c r="I3024">
        <v>245</v>
      </c>
      <c r="J3024">
        <v>210</v>
      </c>
      <c r="K3024">
        <v>0</v>
      </c>
      <c r="L3024">
        <v>32</v>
      </c>
      <c r="M3024">
        <v>0</v>
      </c>
      <c r="N3024">
        <v>2</v>
      </c>
      <c r="O3024">
        <v>3</v>
      </c>
    </row>
    <row r="3025" spans="1:15" x14ac:dyDescent="0.25">
      <c r="A3025" t="s">
        <v>1155</v>
      </c>
      <c r="B3025" t="s">
        <v>2912</v>
      </c>
      <c r="C3025" t="s">
        <v>927</v>
      </c>
      <c r="D3025" t="s">
        <v>3052</v>
      </c>
      <c r="E3025" t="s">
        <v>3053</v>
      </c>
      <c r="F3025" t="s">
        <v>455</v>
      </c>
      <c r="G3025" t="s">
        <v>456</v>
      </c>
      <c r="H3025" t="s">
        <v>5035</v>
      </c>
      <c r="I3025">
        <v>1</v>
      </c>
      <c r="J3025">
        <v>0</v>
      </c>
      <c r="K3025">
        <v>0</v>
      </c>
      <c r="L3025">
        <v>0</v>
      </c>
      <c r="M3025">
        <v>0</v>
      </c>
      <c r="N3025">
        <v>0</v>
      </c>
      <c r="O3025">
        <v>1</v>
      </c>
    </row>
    <row r="3026" spans="1:15" x14ac:dyDescent="0.25">
      <c r="A3026" t="s">
        <v>11663</v>
      </c>
      <c r="B3026" t="s">
        <v>11768</v>
      </c>
      <c r="C3026" t="s">
        <v>927</v>
      </c>
      <c r="D3026" t="s">
        <v>3052</v>
      </c>
      <c r="E3026" t="s">
        <v>3053</v>
      </c>
      <c r="F3026" t="s">
        <v>455</v>
      </c>
      <c r="G3026" t="s">
        <v>456</v>
      </c>
      <c r="H3026" t="s">
        <v>12029</v>
      </c>
      <c r="I3026">
        <v>522</v>
      </c>
      <c r="J3026">
        <v>440</v>
      </c>
      <c r="K3026">
        <v>0</v>
      </c>
      <c r="L3026">
        <v>0</v>
      </c>
      <c r="M3026">
        <v>34</v>
      </c>
      <c r="N3026">
        <v>4</v>
      </c>
      <c r="O3026">
        <v>48</v>
      </c>
    </row>
    <row r="3027" spans="1:15" x14ac:dyDescent="0.25">
      <c r="A3027" t="s">
        <v>14380</v>
      </c>
      <c r="B3027" t="s">
        <v>2074</v>
      </c>
      <c r="C3027" t="s">
        <v>927</v>
      </c>
      <c r="D3027" t="s">
        <v>3052</v>
      </c>
      <c r="E3027" t="s">
        <v>3053</v>
      </c>
      <c r="F3027" t="s">
        <v>455</v>
      </c>
      <c r="G3027" t="s">
        <v>456</v>
      </c>
      <c r="H3027" t="s">
        <v>14728</v>
      </c>
      <c r="I3027">
        <v>1</v>
      </c>
      <c r="J3027">
        <v>1</v>
      </c>
      <c r="K3027">
        <v>0</v>
      </c>
      <c r="L3027">
        <v>0</v>
      </c>
      <c r="M3027">
        <v>0</v>
      </c>
      <c r="N3027">
        <v>1</v>
      </c>
      <c r="O3027">
        <v>0</v>
      </c>
    </row>
    <row r="3028" spans="1:15" x14ac:dyDescent="0.25">
      <c r="A3028" t="s">
        <v>1158</v>
      </c>
      <c r="B3028" t="s">
        <v>2922</v>
      </c>
      <c r="C3028" t="s">
        <v>927</v>
      </c>
      <c r="D3028" t="s">
        <v>3052</v>
      </c>
      <c r="E3028" t="s">
        <v>3053</v>
      </c>
      <c r="F3028" t="s">
        <v>455</v>
      </c>
      <c r="G3028" t="s">
        <v>456</v>
      </c>
      <c r="H3028" t="s">
        <v>5036</v>
      </c>
      <c r="I3028">
        <v>8</v>
      </c>
      <c r="J3028">
        <v>0</v>
      </c>
      <c r="K3028">
        <v>0</v>
      </c>
      <c r="L3028">
        <v>8</v>
      </c>
      <c r="M3028">
        <v>0</v>
      </c>
      <c r="N3028">
        <v>0</v>
      </c>
      <c r="O3028">
        <v>0</v>
      </c>
    </row>
    <row r="3029" spans="1:15" x14ac:dyDescent="0.25">
      <c r="A3029" t="s">
        <v>1348</v>
      </c>
      <c r="B3029" t="s">
        <v>2373</v>
      </c>
      <c r="C3029" t="s">
        <v>923</v>
      </c>
      <c r="D3029" t="s">
        <v>3063</v>
      </c>
      <c r="E3029" t="s">
        <v>3053</v>
      </c>
      <c r="F3029" t="s">
        <v>455</v>
      </c>
      <c r="G3029" t="s">
        <v>456</v>
      </c>
      <c r="H3029" t="s">
        <v>5037</v>
      </c>
      <c r="I3029">
        <v>1</v>
      </c>
      <c r="J3029">
        <v>1</v>
      </c>
      <c r="K3029">
        <v>0</v>
      </c>
      <c r="L3029">
        <v>0</v>
      </c>
      <c r="M3029">
        <v>0</v>
      </c>
      <c r="N3029">
        <v>0</v>
      </c>
      <c r="O3029">
        <v>0</v>
      </c>
    </row>
    <row r="3030" spans="1:15" x14ac:dyDescent="0.25">
      <c r="A3030" t="s">
        <v>1352</v>
      </c>
      <c r="B3030" t="s">
        <v>2085</v>
      </c>
      <c r="C3030" t="s">
        <v>923</v>
      </c>
      <c r="D3030" t="s">
        <v>3063</v>
      </c>
      <c r="E3030" t="s">
        <v>3053</v>
      </c>
      <c r="F3030" t="s">
        <v>455</v>
      </c>
      <c r="G3030" t="s">
        <v>456</v>
      </c>
      <c r="H3030" t="s">
        <v>11021</v>
      </c>
      <c r="I3030">
        <v>47</v>
      </c>
      <c r="J3030">
        <v>47</v>
      </c>
      <c r="K3030">
        <v>0</v>
      </c>
      <c r="L3030">
        <v>0</v>
      </c>
      <c r="M3030">
        <v>0</v>
      </c>
      <c r="N3030">
        <v>0</v>
      </c>
      <c r="O3030">
        <v>0</v>
      </c>
    </row>
    <row r="3031" spans="1:15" x14ac:dyDescent="0.25">
      <c r="A3031" t="s">
        <v>1160</v>
      </c>
      <c r="B3031" t="s">
        <v>2863</v>
      </c>
      <c r="C3031" t="s">
        <v>923</v>
      </c>
      <c r="D3031" t="s">
        <v>3063</v>
      </c>
      <c r="E3031" t="s">
        <v>3053</v>
      </c>
      <c r="F3031" t="s">
        <v>455</v>
      </c>
      <c r="G3031" t="s">
        <v>456</v>
      </c>
      <c r="H3031" t="s">
        <v>5038</v>
      </c>
      <c r="I3031">
        <v>21</v>
      </c>
      <c r="J3031">
        <v>21</v>
      </c>
      <c r="K3031">
        <v>0</v>
      </c>
      <c r="L3031">
        <v>0</v>
      </c>
      <c r="M3031">
        <v>0</v>
      </c>
      <c r="N3031">
        <v>0</v>
      </c>
      <c r="O3031">
        <v>0</v>
      </c>
    </row>
    <row r="3032" spans="1:15" x14ac:dyDescent="0.25">
      <c r="A3032" t="s">
        <v>1072</v>
      </c>
      <c r="B3032" t="s">
        <v>2907</v>
      </c>
      <c r="C3032" t="s">
        <v>927</v>
      </c>
      <c r="D3032" t="s">
        <v>3052</v>
      </c>
      <c r="E3032" t="s">
        <v>3053</v>
      </c>
      <c r="F3032" t="s">
        <v>455</v>
      </c>
      <c r="G3032" t="s">
        <v>456</v>
      </c>
      <c r="H3032" t="s">
        <v>5039</v>
      </c>
      <c r="I3032">
        <v>622</v>
      </c>
      <c r="J3032">
        <v>423</v>
      </c>
      <c r="K3032">
        <v>0</v>
      </c>
      <c r="L3032">
        <v>94</v>
      </c>
      <c r="M3032">
        <v>36</v>
      </c>
      <c r="N3032">
        <v>1</v>
      </c>
      <c r="O3032">
        <v>69</v>
      </c>
    </row>
    <row r="3033" spans="1:15" x14ac:dyDescent="0.25">
      <c r="A3033" t="s">
        <v>1367</v>
      </c>
      <c r="B3033" t="s">
        <v>2263</v>
      </c>
      <c r="C3033" t="s">
        <v>923</v>
      </c>
      <c r="D3033" t="s">
        <v>3063</v>
      </c>
      <c r="E3033" t="s">
        <v>3053</v>
      </c>
      <c r="F3033" t="s">
        <v>455</v>
      </c>
      <c r="G3033" t="s">
        <v>456</v>
      </c>
      <c r="H3033" t="s">
        <v>5040</v>
      </c>
      <c r="I3033">
        <v>50</v>
      </c>
      <c r="J3033">
        <v>0</v>
      </c>
      <c r="K3033">
        <v>0</v>
      </c>
      <c r="L3033">
        <v>0</v>
      </c>
      <c r="M3033">
        <v>50</v>
      </c>
      <c r="N3033">
        <v>0</v>
      </c>
      <c r="O3033">
        <v>0</v>
      </c>
    </row>
    <row r="3034" spans="1:15" x14ac:dyDescent="0.25">
      <c r="A3034" t="s">
        <v>1390</v>
      </c>
      <c r="B3034" t="s">
        <v>2978</v>
      </c>
      <c r="C3034" t="s">
        <v>923</v>
      </c>
      <c r="D3034" t="s">
        <v>3063</v>
      </c>
      <c r="E3034" t="s">
        <v>3053</v>
      </c>
      <c r="F3034" t="s">
        <v>455</v>
      </c>
      <c r="G3034" t="s">
        <v>456</v>
      </c>
      <c r="H3034" t="s">
        <v>5041</v>
      </c>
      <c r="I3034">
        <v>43</v>
      </c>
      <c r="J3034">
        <v>43</v>
      </c>
      <c r="K3034">
        <v>0</v>
      </c>
      <c r="L3034">
        <v>0</v>
      </c>
      <c r="M3034">
        <v>0</v>
      </c>
      <c r="N3034">
        <v>0</v>
      </c>
      <c r="O3034">
        <v>0</v>
      </c>
    </row>
    <row r="3035" spans="1:15" x14ac:dyDescent="0.25">
      <c r="A3035" t="s">
        <v>14377</v>
      </c>
      <c r="B3035" t="s">
        <v>14444</v>
      </c>
      <c r="C3035" t="s">
        <v>923</v>
      </c>
      <c r="D3035" t="s">
        <v>3063</v>
      </c>
      <c r="E3035" t="s">
        <v>3053</v>
      </c>
      <c r="F3035" t="s">
        <v>455</v>
      </c>
      <c r="G3035" t="s">
        <v>456</v>
      </c>
      <c r="H3035" t="s">
        <v>14729</v>
      </c>
      <c r="I3035">
        <v>13</v>
      </c>
      <c r="J3035">
        <v>0</v>
      </c>
      <c r="K3035">
        <v>0</v>
      </c>
      <c r="L3035">
        <v>13</v>
      </c>
      <c r="M3035">
        <v>0</v>
      </c>
      <c r="N3035">
        <v>0</v>
      </c>
      <c r="O3035">
        <v>0</v>
      </c>
    </row>
    <row r="3036" spans="1:15" x14ac:dyDescent="0.25">
      <c r="A3036" t="s">
        <v>924</v>
      </c>
      <c r="B3036" t="s">
        <v>2963</v>
      </c>
      <c r="C3036" t="s">
        <v>923</v>
      </c>
      <c r="D3036" t="s">
        <v>3063</v>
      </c>
      <c r="E3036" t="s">
        <v>3053</v>
      </c>
      <c r="F3036" t="s">
        <v>457</v>
      </c>
      <c r="G3036" t="s">
        <v>458</v>
      </c>
      <c r="H3036" t="s">
        <v>5042</v>
      </c>
      <c r="I3036">
        <v>10</v>
      </c>
      <c r="J3036">
        <v>0</v>
      </c>
      <c r="K3036">
        <v>0</v>
      </c>
      <c r="L3036">
        <v>10</v>
      </c>
      <c r="M3036">
        <v>0</v>
      </c>
      <c r="N3036">
        <v>0</v>
      </c>
      <c r="O3036">
        <v>0</v>
      </c>
    </row>
    <row r="3037" spans="1:15" x14ac:dyDescent="0.25">
      <c r="A3037" t="s">
        <v>929</v>
      </c>
      <c r="B3037" t="s">
        <v>2999</v>
      </c>
      <c r="C3037" t="s">
        <v>927</v>
      </c>
      <c r="D3037" t="s">
        <v>3052</v>
      </c>
      <c r="E3037" t="s">
        <v>3053</v>
      </c>
      <c r="F3037" t="s">
        <v>457</v>
      </c>
      <c r="G3037" t="s">
        <v>458</v>
      </c>
      <c r="H3037" t="s">
        <v>5043</v>
      </c>
      <c r="I3037">
        <v>101</v>
      </c>
      <c r="J3037">
        <v>0</v>
      </c>
      <c r="K3037">
        <v>0</v>
      </c>
      <c r="L3037">
        <v>0</v>
      </c>
      <c r="M3037">
        <v>101</v>
      </c>
      <c r="N3037">
        <v>0</v>
      </c>
      <c r="O3037">
        <v>0</v>
      </c>
    </row>
    <row r="3038" spans="1:15" x14ac:dyDescent="0.25">
      <c r="A3038" t="s">
        <v>9790</v>
      </c>
      <c r="B3038" t="s">
        <v>1977</v>
      </c>
      <c r="C3038" t="s">
        <v>923</v>
      </c>
      <c r="D3038" t="s">
        <v>3063</v>
      </c>
      <c r="E3038" t="s">
        <v>3053</v>
      </c>
      <c r="F3038" t="s">
        <v>457</v>
      </c>
      <c r="G3038" t="s">
        <v>458</v>
      </c>
      <c r="H3038" t="s">
        <v>12030</v>
      </c>
      <c r="I3038">
        <v>4</v>
      </c>
      <c r="J3038">
        <v>0</v>
      </c>
      <c r="K3038">
        <v>0</v>
      </c>
      <c r="L3038">
        <v>4</v>
      </c>
      <c r="M3038">
        <v>0</v>
      </c>
      <c r="N3038">
        <v>0</v>
      </c>
      <c r="O3038">
        <v>0</v>
      </c>
    </row>
    <row r="3039" spans="1:15" x14ac:dyDescent="0.25">
      <c r="A3039" t="s">
        <v>1090</v>
      </c>
      <c r="B3039" t="s">
        <v>2875</v>
      </c>
      <c r="C3039" t="s">
        <v>927</v>
      </c>
      <c r="D3039" t="s">
        <v>3052</v>
      </c>
      <c r="E3039" t="s">
        <v>3053</v>
      </c>
      <c r="F3039" t="s">
        <v>457</v>
      </c>
      <c r="G3039" t="s">
        <v>458</v>
      </c>
      <c r="H3039" t="s">
        <v>5044</v>
      </c>
      <c r="I3039">
        <v>33</v>
      </c>
      <c r="J3039">
        <v>19</v>
      </c>
      <c r="K3039">
        <v>0</v>
      </c>
      <c r="L3039">
        <v>0</v>
      </c>
      <c r="M3039">
        <v>0</v>
      </c>
      <c r="N3039">
        <v>0</v>
      </c>
      <c r="O3039">
        <v>14</v>
      </c>
    </row>
    <row r="3040" spans="1:15" x14ac:dyDescent="0.25">
      <c r="A3040" t="s">
        <v>1100</v>
      </c>
      <c r="B3040" t="s">
        <v>2855</v>
      </c>
      <c r="C3040" t="s">
        <v>927</v>
      </c>
      <c r="D3040" t="s">
        <v>3052</v>
      </c>
      <c r="E3040" t="s">
        <v>3053</v>
      </c>
      <c r="F3040" t="s">
        <v>457</v>
      </c>
      <c r="G3040" t="s">
        <v>458</v>
      </c>
      <c r="H3040" t="s">
        <v>14730</v>
      </c>
      <c r="I3040">
        <v>26</v>
      </c>
      <c r="J3040">
        <v>16</v>
      </c>
      <c r="K3040">
        <v>0</v>
      </c>
      <c r="L3040">
        <v>10</v>
      </c>
      <c r="M3040">
        <v>0</v>
      </c>
      <c r="N3040">
        <v>0</v>
      </c>
      <c r="O3040">
        <v>0</v>
      </c>
    </row>
    <row r="3041" spans="1:15" x14ac:dyDescent="0.25">
      <c r="A3041" t="s">
        <v>933</v>
      </c>
      <c r="B3041" t="s">
        <v>2106</v>
      </c>
      <c r="C3041" t="s">
        <v>927</v>
      </c>
      <c r="D3041" t="s">
        <v>3052</v>
      </c>
      <c r="E3041" t="s">
        <v>3053</v>
      </c>
      <c r="F3041" t="s">
        <v>457</v>
      </c>
      <c r="G3041" t="s">
        <v>458</v>
      </c>
      <c r="H3041" t="s">
        <v>5045</v>
      </c>
      <c r="I3041">
        <v>9</v>
      </c>
      <c r="J3041">
        <v>8</v>
      </c>
      <c r="K3041">
        <v>0</v>
      </c>
      <c r="L3041">
        <v>0</v>
      </c>
      <c r="M3041">
        <v>0</v>
      </c>
      <c r="N3041">
        <v>0</v>
      </c>
      <c r="O3041">
        <v>1</v>
      </c>
    </row>
    <row r="3042" spans="1:15" x14ac:dyDescent="0.25">
      <c r="A3042" t="s">
        <v>1111</v>
      </c>
      <c r="B3042" t="s">
        <v>2795</v>
      </c>
      <c r="C3042" t="s">
        <v>927</v>
      </c>
      <c r="D3042" t="s">
        <v>3052</v>
      </c>
      <c r="E3042" t="s">
        <v>3053</v>
      </c>
      <c r="F3042" t="s">
        <v>457</v>
      </c>
      <c r="G3042" t="s">
        <v>458</v>
      </c>
      <c r="H3042" t="s">
        <v>5046</v>
      </c>
      <c r="I3042">
        <v>193</v>
      </c>
      <c r="J3042">
        <v>170</v>
      </c>
      <c r="K3042">
        <v>0</v>
      </c>
      <c r="L3042">
        <v>0</v>
      </c>
      <c r="M3042">
        <v>0</v>
      </c>
      <c r="N3042">
        <v>0</v>
      </c>
      <c r="O3042">
        <v>23</v>
      </c>
    </row>
    <row r="3043" spans="1:15" x14ac:dyDescent="0.25">
      <c r="A3043" t="s">
        <v>1010</v>
      </c>
      <c r="B3043" t="s">
        <v>2639</v>
      </c>
      <c r="C3043" t="s">
        <v>927</v>
      </c>
      <c r="D3043" t="s">
        <v>3052</v>
      </c>
      <c r="E3043" t="s">
        <v>3053</v>
      </c>
      <c r="F3043" t="s">
        <v>457</v>
      </c>
      <c r="G3043" t="s">
        <v>458</v>
      </c>
      <c r="H3043" t="s">
        <v>5047</v>
      </c>
      <c r="I3043">
        <v>81</v>
      </c>
      <c r="J3043">
        <v>76</v>
      </c>
      <c r="K3043">
        <v>0</v>
      </c>
      <c r="L3043">
        <v>0</v>
      </c>
      <c r="M3043">
        <v>0</v>
      </c>
      <c r="N3043">
        <v>0</v>
      </c>
      <c r="O3043">
        <v>5</v>
      </c>
    </row>
    <row r="3044" spans="1:15" x14ac:dyDescent="0.25">
      <c r="A3044" t="s">
        <v>938</v>
      </c>
      <c r="B3044" t="s">
        <v>2791</v>
      </c>
      <c r="C3044" t="s">
        <v>927</v>
      </c>
      <c r="D3044" t="s">
        <v>3052</v>
      </c>
      <c r="E3044" t="s">
        <v>3053</v>
      </c>
      <c r="F3044" t="s">
        <v>457</v>
      </c>
      <c r="G3044" t="s">
        <v>458</v>
      </c>
      <c r="H3044" t="s">
        <v>5048</v>
      </c>
      <c r="I3044">
        <v>398</v>
      </c>
      <c r="J3044">
        <v>325</v>
      </c>
      <c r="K3044">
        <v>0</v>
      </c>
      <c r="L3044">
        <v>0</v>
      </c>
      <c r="M3044">
        <v>57</v>
      </c>
      <c r="N3044">
        <v>0</v>
      </c>
      <c r="O3044">
        <v>16</v>
      </c>
    </row>
    <row r="3045" spans="1:15" x14ac:dyDescent="0.25">
      <c r="A3045" t="s">
        <v>1025</v>
      </c>
      <c r="B3045" t="s">
        <v>2893</v>
      </c>
      <c r="C3045" t="s">
        <v>927</v>
      </c>
      <c r="D3045" t="s">
        <v>3052</v>
      </c>
      <c r="E3045" t="s">
        <v>3053</v>
      </c>
      <c r="F3045" t="s">
        <v>457</v>
      </c>
      <c r="G3045" t="s">
        <v>458</v>
      </c>
      <c r="H3045" t="s">
        <v>5049</v>
      </c>
      <c r="I3045">
        <v>562</v>
      </c>
      <c r="J3045">
        <v>439</v>
      </c>
      <c r="K3045">
        <v>0</v>
      </c>
      <c r="L3045">
        <v>41</v>
      </c>
      <c r="M3045">
        <v>0</v>
      </c>
      <c r="N3045">
        <v>0</v>
      </c>
      <c r="O3045">
        <v>82</v>
      </c>
    </row>
    <row r="3046" spans="1:15" x14ac:dyDescent="0.25">
      <c r="A3046" t="s">
        <v>943</v>
      </c>
      <c r="B3046" t="s">
        <v>2694</v>
      </c>
      <c r="C3046" t="s">
        <v>927</v>
      </c>
      <c r="D3046" t="s">
        <v>3052</v>
      </c>
      <c r="E3046" t="s">
        <v>3053</v>
      </c>
      <c r="F3046" t="s">
        <v>457</v>
      </c>
      <c r="G3046" t="s">
        <v>458</v>
      </c>
      <c r="H3046" t="s">
        <v>5050</v>
      </c>
      <c r="I3046">
        <v>3</v>
      </c>
      <c r="J3046">
        <v>0</v>
      </c>
      <c r="K3046">
        <v>0</v>
      </c>
      <c r="L3046">
        <v>0</v>
      </c>
      <c r="M3046">
        <v>0</v>
      </c>
      <c r="N3046">
        <v>0</v>
      </c>
      <c r="O3046">
        <v>3</v>
      </c>
    </row>
    <row r="3047" spans="1:15" x14ac:dyDescent="0.25">
      <c r="A3047" t="s">
        <v>945</v>
      </c>
      <c r="B3047" t="s">
        <v>2668</v>
      </c>
      <c r="C3047" t="s">
        <v>927</v>
      </c>
      <c r="D3047" t="s">
        <v>3052</v>
      </c>
      <c r="E3047" t="s">
        <v>3053</v>
      </c>
      <c r="F3047" t="s">
        <v>457</v>
      </c>
      <c r="G3047" t="s">
        <v>458</v>
      </c>
      <c r="H3047" t="s">
        <v>5051</v>
      </c>
      <c r="I3047">
        <v>190</v>
      </c>
      <c r="J3047">
        <v>116</v>
      </c>
      <c r="K3047">
        <v>0</v>
      </c>
      <c r="L3047">
        <v>0</v>
      </c>
      <c r="M3047">
        <v>0</v>
      </c>
      <c r="N3047">
        <v>0</v>
      </c>
      <c r="O3047">
        <v>74</v>
      </c>
    </row>
    <row r="3048" spans="1:15" x14ac:dyDescent="0.25">
      <c r="A3048" t="s">
        <v>1033</v>
      </c>
      <c r="B3048" t="s">
        <v>2039</v>
      </c>
      <c r="C3048" t="s">
        <v>923</v>
      </c>
      <c r="D3048" t="s">
        <v>3063</v>
      </c>
      <c r="E3048" t="s">
        <v>3053</v>
      </c>
      <c r="F3048" t="s">
        <v>457</v>
      </c>
      <c r="G3048" t="s">
        <v>458</v>
      </c>
      <c r="H3048" t="s">
        <v>5052</v>
      </c>
      <c r="I3048">
        <v>27</v>
      </c>
      <c r="J3048">
        <v>0</v>
      </c>
      <c r="K3048">
        <v>0</v>
      </c>
      <c r="L3048">
        <v>27</v>
      </c>
      <c r="M3048">
        <v>0</v>
      </c>
      <c r="N3048">
        <v>0</v>
      </c>
      <c r="O3048">
        <v>0</v>
      </c>
    </row>
    <row r="3049" spans="1:15" x14ac:dyDescent="0.25">
      <c r="A3049" t="s">
        <v>1134</v>
      </c>
      <c r="B3049" t="s">
        <v>2118</v>
      </c>
      <c r="C3049" t="s">
        <v>927</v>
      </c>
      <c r="D3049" t="s">
        <v>3052</v>
      </c>
      <c r="E3049" t="s">
        <v>3053</v>
      </c>
      <c r="F3049" t="s">
        <v>457</v>
      </c>
      <c r="G3049" t="s">
        <v>458</v>
      </c>
      <c r="H3049" t="s">
        <v>5053</v>
      </c>
      <c r="I3049">
        <v>201</v>
      </c>
      <c r="J3049">
        <v>52</v>
      </c>
      <c r="K3049">
        <v>0</v>
      </c>
      <c r="L3049">
        <v>8</v>
      </c>
      <c r="M3049">
        <v>22</v>
      </c>
      <c r="N3049">
        <v>5</v>
      </c>
      <c r="O3049">
        <v>119</v>
      </c>
    </row>
    <row r="3050" spans="1:15" x14ac:dyDescent="0.25">
      <c r="A3050" t="s">
        <v>1041</v>
      </c>
      <c r="B3050" t="s">
        <v>2826</v>
      </c>
      <c r="C3050" t="s">
        <v>927</v>
      </c>
      <c r="D3050" t="s">
        <v>3052</v>
      </c>
      <c r="E3050" t="s">
        <v>3053</v>
      </c>
      <c r="F3050" t="s">
        <v>457</v>
      </c>
      <c r="G3050" t="s">
        <v>458</v>
      </c>
      <c r="H3050" t="s">
        <v>5054</v>
      </c>
      <c r="I3050">
        <v>5</v>
      </c>
      <c r="J3050">
        <v>0</v>
      </c>
      <c r="K3050">
        <v>0</v>
      </c>
      <c r="L3050">
        <v>0</v>
      </c>
      <c r="M3050">
        <v>0</v>
      </c>
      <c r="N3050">
        <v>0</v>
      </c>
      <c r="O3050">
        <v>5</v>
      </c>
    </row>
    <row r="3051" spans="1:15" x14ac:dyDescent="0.25">
      <c r="A3051" t="s">
        <v>9787</v>
      </c>
      <c r="B3051" t="s">
        <v>2822</v>
      </c>
      <c r="C3051" t="s">
        <v>927</v>
      </c>
      <c r="D3051" t="s">
        <v>3052</v>
      </c>
      <c r="E3051" t="s">
        <v>3053</v>
      </c>
      <c r="F3051" t="s">
        <v>457</v>
      </c>
      <c r="G3051" t="s">
        <v>458</v>
      </c>
      <c r="H3051" t="s">
        <v>10251</v>
      </c>
      <c r="I3051">
        <v>62</v>
      </c>
      <c r="J3051">
        <v>62</v>
      </c>
      <c r="K3051">
        <v>0</v>
      </c>
      <c r="L3051">
        <v>0</v>
      </c>
      <c r="M3051">
        <v>0</v>
      </c>
      <c r="N3051">
        <v>0</v>
      </c>
      <c r="O3051">
        <v>0</v>
      </c>
    </row>
    <row r="3052" spans="1:15" x14ac:dyDescent="0.25">
      <c r="A3052" t="s">
        <v>1146</v>
      </c>
      <c r="B3052" t="s">
        <v>2117</v>
      </c>
      <c r="C3052" t="s">
        <v>927</v>
      </c>
      <c r="D3052" t="s">
        <v>3052</v>
      </c>
      <c r="E3052" t="s">
        <v>3053</v>
      </c>
      <c r="F3052" t="s">
        <v>457</v>
      </c>
      <c r="G3052" t="s">
        <v>458</v>
      </c>
      <c r="H3052" t="s">
        <v>11022</v>
      </c>
      <c r="I3052">
        <v>25</v>
      </c>
      <c r="J3052">
        <v>4</v>
      </c>
      <c r="K3052">
        <v>0</v>
      </c>
      <c r="L3052">
        <v>6</v>
      </c>
      <c r="M3052">
        <v>0</v>
      </c>
      <c r="N3052">
        <v>0</v>
      </c>
      <c r="O3052">
        <v>15</v>
      </c>
    </row>
    <row r="3053" spans="1:15" x14ac:dyDescent="0.25">
      <c r="A3053" t="s">
        <v>951</v>
      </c>
      <c r="B3053" t="s">
        <v>2680</v>
      </c>
      <c r="C3053" t="s">
        <v>927</v>
      </c>
      <c r="D3053" t="s">
        <v>3052</v>
      </c>
      <c r="E3053" t="s">
        <v>3053</v>
      </c>
      <c r="F3053" t="s">
        <v>457</v>
      </c>
      <c r="G3053" t="s">
        <v>458</v>
      </c>
      <c r="H3053" t="s">
        <v>5055</v>
      </c>
      <c r="I3053">
        <v>42</v>
      </c>
      <c r="J3053">
        <v>2</v>
      </c>
      <c r="K3053">
        <v>0</v>
      </c>
      <c r="L3053">
        <v>0</v>
      </c>
      <c r="M3053">
        <v>40</v>
      </c>
      <c r="N3053">
        <v>0</v>
      </c>
      <c r="O3053">
        <v>0</v>
      </c>
    </row>
    <row r="3054" spans="1:15" x14ac:dyDescent="0.25">
      <c r="A3054" t="s">
        <v>1152</v>
      </c>
      <c r="B3054" t="s">
        <v>3031</v>
      </c>
      <c r="C3054" t="s">
        <v>927</v>
      </c>
      <c r="D3054" t="s">
        <v>3052</v>
      </c>
      <c r="E3054" t="s">
        <v>3053</v>
      </c>
      <c r="F3054" t="s">
        <v>457</v>
      </c>
      <c r="G3054" t="s">
        <v>458</v>
      </c>
      <c r="H3054" t="s">
        <v>5056</v>
      </c>
      <c r="I3054">
        <v>1</v>
      </c>
      <c r="J3054">
        <v>0</v>
      </c>
      <c r="K3054">
        <v>0</v>
      </c>
      <c r="L3054">
        <v>0</v>
      </c>
      <c r="M3054">
        <v>0</v>
      </c>
      <c r="N3054">
        <v>0</v>
      </c>
      <c r="O3054">
        <v>1</v>
      </c>
    </row>
    <row r="3055" spans="1:15" x14ac:dyDescent="0.25">
      <c r="A3055" t="s">
        <v>955</v>
      </c>
      <c r="B3055" t="s">
        <v>2660</v>
      </c>
      <c r="C3055" t="s">
        <v>927</v>
      </c>
      <c r="D3055" t="s">
        <v>3052</v>
      </c>
      <c r="E3055" t="s">
        <v>3053</v>
      </c>
      <c r="F3055" t="s">
        <v>457</v>
      </c>
      <c r="G3055" t="s">
        <v>458</v>
      </c>
      <c r="H3055" t="s">
        <v>5057</v>
      </c>
      <c r="I3055">
        <v>190</v>
      </c>
      <c r="J3055">
        <v>190</v>
      </c>
      <c r="K3055">
        <v>0</v>
      </c>
      <c r="L3055">
        <v>0</v>
      </c>
      <c r="M3055">
        <v>0</v>
      </c>
      <c r="N3055">
        <v>0</v>
      </c>
      <c r="O3055">
        <v>0</v>
      </c>
    </row>
    <row r="3056" spans="1:15" x14ac:dyDescent="0.25">
      <c r="A3056" t="s">
        <v>14380</v>
      </c>
      <c r="B3056" t="s">
        <v>2074</v>
      </c>
      <c r="C3056" t="s">
        <v>927</v>
      </c>
      <c r="D3056" t="s">
        <v>3052</v>
      </c>
      <c r="E3056" t="s">
        <v>3053</v>
      </c>
      <c r="F3056" t="s">
        <v>457</v>
      </c>
      <c r="G3056" t="s">
        <v>458</v>
      </c>
      <c r="H3056" t="s">
        <v>14731</v>
      </c>
      <c r="I3056">
        <v>228</v>
      </c>
      <c r="J3056">
        <v>8</v>
      </c>
      <c r="K3056">
        <v>0</v>
      </c>
      <c r="L3056">
        <v>0</v>
      </c>
      <c r="M3056">
        <v>0</v>
      </c>
      <c r="N3056">
        <v>0</v>
      </c>
      <c r="O3056">
        <v>220</v>
      </c>
    </row>
    <row r="3057" spans="1:15" x14ac:dyDescent="0.25">
      <c r="A3057" t="s">
        <v>1159</v>
      </c>
      <c r="B3057" t="s">
        <v>2829</v>
      </c>
      <c r="C3057" t="s">
        <v>927</v>
      </c>
      <c r="D3057" t="s">
        <v>3052</v>
      </c>
      <c r="E3057" t="s">
        <v>3053</v>
      </c>
      <c r="F3057" t="s">
        <v>457</v>
      </c>
      <c r="G3057" t="s">
        <v>458</v>
      </c>
      <c r="H3057" t="s">
        <v>5058</v>
      </c>
      <c r="I3057">
        <v>2</v>
      </c>
      <c r="J3057">
        <v>0</v>
      </c>
      <c r="K3057">
        <v>0</v>
      </c>
      <c r="L3057">
        <v>2</v>
      </c>
      <c r="M3057">
        <v>0</v>
      </c>
      <c r="N3057">
        <v>0</v>
      </c>
      <c r="O3057">
        <v>0</v>
      </c>
    </row>
    <row r="3058" spans="1:15" x14ac:dyDescent="0.25">
      <c r="A3058" t="s">
        <v>1167</v>
      </c>
      <c r="B3058" t="s">
        <v>2190</v>
      </c>
      <c r="C3058" t="s">
        <v>923</v>
      </c>
      <c r="D3058" t="s">
        <v>3063</v>
      </c>
      <c r="E3058" t="s">
        <v>3053</v>
      </c>
      <c r="F3058" t="s">
        <v>457</v>
      </c>
      <c r="G3058" t="s">
        <v>458</v>
      </c>
      <c r="H3058" t="s">
        <v>5059</v>
      </c>
      <c r="I3058">
        <v>47</v>
      </c>
      <c r="J3058">
        <v>0</v>
      </c>
      <c r="K3058">
        <v>0</v>
      </c>
      <c r="L3058">
        <v>47</v>
      </c>
      <c r="M3058">
        <v>0</v>
      </c>
      <c r="N3058">
        <v>0</v>
      </c>
      <c r="O3058">
        <v>0</v>
      </c>
    </row>
    <row r="3059" spans="1:15" x14ac:dyDescent="0.25">
      <c r="A3059" t="s">
        <v>1176</v>
      </c>
      <c r="B3059" t="s">
        <v>2952</v>
      </c>
      <c r="C3059" t="s">
        <v>923</v>
      </c>
      <c r="D3059" t="s">
        <v>3063</v>
      </c>
      <c r="E3059" t="s">
        <v>3053</v>
      </c>
      <c r="F3059" t="s">
        <v>457</v>
      </c>
      <c r="G3059" t="s">
        <v>458</v>
      </c>
      <c r="H3059" t="s">
        <v>5060</v>
      </c>
      <c r="I3059">
        <v>12</v>
      </c>
      <c r="J3059">
        <v>0</v>
      </c>
      <c r="K3059">
        <v>0</v>
      </c>
      <c r="L3059">
        <v>12</v>
      </c>
      <c r="M3059">
        <v>0</v>
      </c>
      <c r="N3059">
        <v>0</v>
      </c>
      <c r="O3059">
        <v>0</v>
      </c>
    </row>
    <row r="3060" spans="1:15" x14ac:dyDescent="0.25">
      <c r="A3060" t="s">
        <v>1072</v>
      </c>
      <c r="B3060" t="s">
        <v>2907</v>
      </c>
      <c r="C3060" t="s">
        <v>927</v>
      </c>
      <c r="D3060" t="s">
        <v>3052</v>
      </c>
      <c r="E3060" t="s">
        <v>3053</v>
      </c>
      <c r="F3060" t="s">
        <v>457</v>
      </c>
      <c r="G3060" t="s">
        <v>458</v>
      </c>
      <c r="H3060" t="s">
        <v>5061</v>
      </c>
      <c r="I3060">
        <v>13</v>
      </c>
      <c r="J3060">
        <v>0</v>
      </c>
      <c r="K3060">
        <v>0</v>
      </c>
      <c r="L3060">
        <v>0</v>
      </c>
      <c r="M3060">
        <v>8</v>
      </c>
      <c r="N3060">
        <v>0</v>
      </c>
      <c r="O3060">
        <v>5</v>
      </c>
    </row>
    <row r="3061" spans="1:15" x14ac:dyDescent="0.25">
      <c r="A3061" t="s">
        <v>1197</v>
      </c>
      <c r="B3061" t="s">
        <v>2559</v>
      </c>
      <c r="C3061" t="s">
        <v>923</v>
      </c>
      <c r="D3061" t="s">
        <v>3063</v>
      </c>
      <c r="E3061" t="s">
        <v>3053</v>
      </c>
      <c r="F3061" t="s">
        <v>459</v>
      </c>
      <c r="G3061" t="s">
        <v>460</v>
      </c>
      <c r="H3061" t="s">
        <v>5062</v>
      </c>
      <c r="I3061">
        <v>34</v>
      </c>
      <c r="J3061">
        <v>0</v>
      </c>
      <c r="K3061">
        <v>0</v>
      </c>
      <c r="L3061">
        <v>10</v>
      </c>
      <c r="M3061">
        <v>24</v>
      </c>
      <c r="N3061">
        <v>0</v>
      </c>
      <c r="O3061">
        <v>0</v>
      </c>
    </row>
    <row r="3062" spans="1:15" x14ac:dyDescent="0.25">
      <c r="A3062" t="s">
        <v>926</v>
      </c>
      <c r="B3062" t="s">
        <v>2923</v>
      </c>
      <c r="C3062" t="s">
        <v>927</v>
      </c>
      <c r="D3062" t="s">
        <v>3052</v>
      </c>
      <c r="E3062" t="s">
        <v>3053</v>
      </c>
      <c r="F3062" t="s">
        <v>459</v>
      </c>
      <c r="G3062" t="s">
        <v>460</v>
      </c>
      <c r="H3062" t="s">
        <v>5063</v>
      </c>
      <c r="I3062">
        <v>3</v>
      </c>
      <c r="J3062">
        <v>0</v>
      </c>
      <c r="K3062">
        <v>0</v>
      </c>
      <c r="L3062">
        <v>3</v>
      </c>
      <c r="M3062">
        <v>0</v>
      </c>
      <c r="N3062">
        <v>0</v>
      </c>
      <c r="O3062">
        <v>0</v>
      </c>
    </row>
    <row r="3063" spans="1:15" x14ac:dyDescent="0.25">
      <c r="A3063" t="s">
        <v>9790</v>
      </c>
      <c r="B3063" t="s">
        <v>1977</v>
      </c>
      <c r="C3063" t="s">
        <v>923</v>
      </c>
      <c r="D3063" t="s">
        <v>3063</v>
      </c>
      <c r="E3063" t="s">
        <v>3053</v>
      </c>
      <c r="F3063" t="s">
        <v>459</v>
      </c>
      <c r="G3063" t="s">
        <v>460</v>
      </c>
      <c r="H3063" t="s">
        <v>12031</v>
      </c>
      <c r="I3063">
        <v>6</v>
      </c>
      <c r="J3063">
        <v>0</v>
      </c>
      <c r="K3063">
        <v>0</v>
      </c>
      <c r="L3063">
        <v>6</v>
      </c>
      <c r="M3063">
        <v>0</v>
      </c>
      <c r="N3063">
        <v>0</v>
      </c>
      <c r="O3063">
        <v>0</v>
      </c>
    </row>
    <row r="3064" spans="1:15" x14ac:dyDescent="0.25">
      <c r="A3064" t="s">
        <v>9784</v>
      </c>
      <c r="B3064" t="s">
        <v>1994</v>
      </c>
      <c r="C3064" t="s">
        <v>927</v>
      </c>
      <c r="D3064" t="s">
        <v>3052</v>
      </c>
      <c r="E3064" t="s">
        <v>3053</v>
      </c>
      <c r="F3064" t="s">
        <v>459</v>
      </c>
      <c r="G3064" t="s">
        <v>460</v>
      </c>
      <c r="H3064" t="s">
        <v>9941</v>
      </c>
      <c r="I3064">
        <v>9</v>
      </c>
      <c r="J3064">
        <v>0</v>
      </c>
      <c r="K3064">
        <v>0</v>
      </c>
      <c r="L3064">
        <v>9</v>
      </c>
      <c r="M3064">
        <v>0</v>
      </c>
      <c r="N3064">
        <v>0</v>
      </c>
      <c r="O3064">
        <v>0</v>
      </c>
    </row>
    <row r="3065" spans="1:15" x14ac:dyDescent="0.25">
      <c r="A3065" t="s">
        <v>933</v>
      </c>
      <c r="B3065" t="s">
        <v>2106</v>
      </c>
      <c r="C3065" t="s">
        <v>927</v>
      </c>
      <c r="D3065" t="s">
        <v>3052</v>
      </c>
      <c r="E3065" t="s">
        <v>3053</v>
      </c>
      <c r="F3065" t="s">
        <v>459</v>
      </c>
      <c r="G3065" t="s">
        <v>460</v>
      </c>
      <c r="H3065" t="s">
        <v>5064</v>
      </c>
      <c r="I3065">
        <v>119</v>
      </c>
      <c r="J3065">
        <v>81</v>
      </c>
      <c r="K3065">
        <v>0</v>
      </c>
      <c r="L3065">
        <v>0</v>
      </c>
      <c r="M3065">
        <v>0</v>
      </c>
      <c r="N3065">
        <v>0</v>
      </c>
      <c r="O3065">
        <v>38</v>
      </c>
    </row>
    <row r="3066" spans="1:15" x14ac:dyDescent="0.25">
      <c r="A3066" t="s">
        <v>1602</v>
      </c>
      <c r="B3066" t="s">
        <v>2643</v>
      </c>
      <c r="C3066" t="s">
        <v>923</v>
      </c>
      <c r="D3066" t="s">
        <v>3063</v>
      </c>
      <c r="E3066" t="s">
        <v>3053</v>
      </c>
      <c r="F3066" t="s">
        <v>459</v>
      </c>
      <c r="G3066" t="s">
        <v>460</v>
      </c>
      <c r="H3066" t="s">
        <v>5065</v>
      </c>
      <c r="I3066">
        <v>91</v>
      </c>
      <c r="J3066">
        <v>0</v>
      </c>
      <c r="K3066">
        <v>0</v>
      </c>
      <c r="L3066">
        <v>0</v>
      </c>
      <c r="M3066">
        <v>91</v>
      </c>
      <c r="N3066">
        <v>0</v>
      </c>
      <c r="O3066">
        <v>0</v>
      </c>
    </row>
    <row r="3067" spans="1:15" x14ac:dyDescent="0.25">
      <c r="A3067" t="s">
        <v>1011</v>
      </c>
      <c r="B3067" t="s">
        <v>2020</v>
      </c>
      <c r="C3067" t="s">
        <v>927</v>
      </c>
      <c r="D3067" t="s">
        <v>3052</v>
      </c>
      <c r="E3067" t="s">
        <v>3053</v>
      </c>
      <c r="F3067" t="s">
        <v>459</v>
      </c>
      <c r="G3067" t="s">
        <v>460</v>
      </c>
      <c r="H3067" t="s">
        <v>5066</v>
      </c>
      <c r="I3067">
        <v>5</v>
      </c>
      <c r="J3067">
        <v>0</v>
      </c>
      <c r="K3067">
        <v>0</v>
      </c>
      <c r="L3067">
        <v>5</v>
      </c>
      <c r="M3067">
        <v>0</v>
      </c>
      <c r="N3067">
        <v>0</v>
      </c>
      <c r="O3067">
        <v>0</v>
      </c>
    </row>
    <row r="3068" spans="1:15" x14ac:dyDescent="0.25">
      <c r="A3068" t="s">
        <v>938</v>
      </c>
      <c r="B3068" t="s">
        <v>2791</v>
      </c>
      <c r="C3068" t="s">
        <v>927</v>
      </c>
      <c r="D3068" t="s">
        <v>3052</v>
      </c>
      <c r="E3068" t="s">
        <v>3053</v>
      </c>
      <c r="F3068" t="s">
        <v>459</v>
      </c>
      <c r="G3068" t="s">
        <v>460</v>
      </c>
      <c r="H3068" t="s">
        <v>5067</v>
      </c>
      <c r="I3068">
        <v>3</v>
      </c>
      <c r="J3068">
        <v>0</v>
      </c>
      <c r="K3068">
        <v>0</v>
      </c>
      <c r="L3068">
        <v>0</v>
      </c>
      <c r="M3068">
        <v>0</v>
      </c>
      <c r="N3068">
        <v>0</v>
      </c>
      <c r="O3068">
        <v>3</v>
      </c>
    </row>
    <row r="3069" spans="1:15" x14ac:dyDescent="0.25">
      <c r="A3069" t="s">
        <v>1013</v>
      </c>
      <c r="B3069" t="s">
        <v>1959</v>
      </c>
      <c r="C3069" t="s">
        <v>927</v>
      </c>
      <c r="D3069" t="s">
        <v>3052</v>
      </c>
      <c r="E3069" t="s">
        <v>3053</v>
      </c>
      <c r="F3069" t="s">
        <v>459</v>
      </c>
      <c r="G3069" t="s">
        <v>460</v>
      </c>
      <c r="H3069" t="s">
        <v>5068</v>
      </c>
      <c r="I3069">
        <v>5</v>
      </c>
      <c r="J3069">
        <v>0</v>
      </c>
      <c r="K3069">
        <v>0</v>
      </c>
      <c r="L3069">
        <v>5</v>
      </c>
      <c r="M3069">
        <v>0</v>
      </c>
      <c r="N3069">
        <v>0</v>
      </c>
      <c r="O3069">
        <v>0</v>
      </c>
    </row>
    <row r="3070" spans="1:15" x14ac:dyDescent="0.25">
      <c r="A3070" t="s">
        <v>1025</v>
      </c>
      <c r="B3070" t="s">
        <v>2893</v>
      </c>
      <c r="C3070" t="s">
        <v>927</v>
      </c>
      <c r="D3070" t="s">
        <v>3052</v>
      </c>
      <c r="E3070" t="s">
        <v>3053</v>
      </c>
      <c r="F3070" t="s">
        <v>459</v>
      </c>
      <c r="G3070" t="s">
        <v>460</v>
      </c>
      <c r="H3070" t="s">
        <v>5069</v>
      </c>
      <c r="I3070">
        <v>111</v>
      </c>
      <c r="J3070">
        <v>78</v>
      </c>
      <c r="K3070">
        <v>0</v>
      </c>
      <c r="L3070">
        <v>0</v>
      </c>
      <c r="M3070">
        <v>0</v>
      </c>
      <c r="N3070">
        <v>1</v>
      </c>
      <c r="O3070">
        <v>33</v>
      </c>
    </row>
    <row r="3071" spans="1:15" x14ac:dyDescent="0.25">
      <c r="A3071" t="s">
        <v>10687</v>
      </c>
      <c r="B3071" t="s">
        <v>10686</v>
      </c>
      <c r="C3071" t="s">
        <v>923</v>
      </c>
      <c r="D3071" t="s">
        <v>3063</v>
      </c>
      <c r="E3071" t="s">
        <v>3053</v>
      </c>
      <c r="F3071" t="s">
        <v>459</v>
      </c>
      <c r="G3071" t="s">
        <v>460</v>
      </c>
      <c r="H3071" t="s">
        <v>14732</v>
      </c>
      <c r="I3071">
        <v>31</v>
      </c>
      <c r="J3071">
        <v>31</v>
      </c>
      <c r="K3071">
        <v>0</v>
      </c>
      <c r="L3071">
        <v>0</v>
      </c>
      <c r="M3071">
        <v>0</v>
      </c>
      <c r="N3071">
        <v>0</v>
      </c>
      <c r="O3071">
        <v>0</v>
      </c>
    </row>
    <row r="3072" spans="1:15" x14ac:dyDescent="0.25">
      <c r="A3072" t="s">
        <v>1627</v>
      </c>
      <c r="B3072" t="s">
        <v>2035</v>
      </c>
      <c r="C3072" t="s">
        <v>923</v>
      </c>
      <c r="D3072" t="s">
        <v>3063</v>
      </c>
      <c r="E3072" t="s">
        <v>3053</v>
      </c>
      <c r="F3072" t="s">
        <v>459</v>
      </c>
      <c r="G3072" t="s">
        <v>460</v>
      </c>
      <c r="H3072" t="s">
        <v>11023</v>
      </c>
      <c r="I3072">
        <v>2</v>
      </c>
      <c r="J3072">
        <v>2</v>
      </c>
      <c r="K3072">
        <v>0</v>
      </c>
      <c r="L3072">
        <v>0</v>
      </c>
      <c r="M3072">
        <v>0</v>
      </c>
      <c r="N3072">
        <v>0</v>
      </c>
      <c r="O3072">
        <v>0</v>
      </c>
    </row>
    <row r="3073" spans="1:15" x14ac:dyDescent="0.25">
      <c r="A3073" t="s">
        <v>943</v>
      </c>
      <c r="B3073" t="s">
        <v>2694</v>
      </c>
      <c r="C3073" t="s">
        <v>927</v>
      </c>
      <c r="D3073" t="s">
        <v>3052</v>
      </c>
      <c r="E3073" t="s">
        <v>3053</v>
      </c>
      <c r="F3073" t="s">
        <v>459</v>
      </c>
      <c r="G3073" t="s">
        <v>460</v>
      </c>
      <c r="H3073" t="s">
        <v>5070</v>
      </c>
      <c r="I3073">
        <v>81</v>
      </c>
      <c r="J3073">
        <v>21</v>
      </c>
      <c r="K3073">
        <v>0</v>
      </c>
      <c r="L3073">
        <v>0</v>
      </c>
      <c r="M3073">
        <v>0</v>
      </c>
      <c r="N3073">
        <v>0</v>
      </c>
      <c r="O3073">
        <v>60</v>
      </c>
    </row>
    <row r="3074" spans="1:15" x14ac:dyDescent="0.25">
      <c r="A3074" t="s">
        <v>1300</v>
      </c>
      <c r="B3074" t="s">
        <v>2644</v>
      </c>
      <c r="C3074" t="s">
        <v>927</v>
      </c>
      <c r="D3074" t="s">
        <v>3052</v>
      </c>
      <c r="E3074" t="s">
        <v>3053</v>
      </c>
      <c r="F3074" t="s">
        <v>459</v>
      </c>
      <c r="G3074" t="s">
        <v>460</v>
      </c>
      <c r="H3074" t="s">
        <v>5071</v>
      </c>
      <c r="I3074">
        <v>218</v>
      </c>
      <c r="J3074">
        <v>65</v>
      </c>
      <c r="K3074">
        <v>0</v>
      </c>
      <c r="L3074">
        <v>10</v>
      </c>
      <c r="M3074">
        <v>106</v>
      </c>
      <c r="N3074">
        <v>14</v>
      </c>
      <c r="O3074">
        <v>37</v>
      </c>
    </row>
    <row r="3075" spans="1:15" x14ac:dyDescent="0.25">
      <c r="A3075" t="s">
        <v>949</v>
      </c>
      <c r="B3075" t="s">
        <v>3035</v>
      </c>
      <c r="C3075" t="s">
        <v>927</v>
      </c>
      <c r="D3075" t="s">
        <v>3052</v>
      </c>
      <c r="E3075" t="s">
        <v>3053</v>
      </c>
      <c r="F3075" t="s">
        <v>459</v>
      </c>
      <c r="G3075" t="s">
        <v>460</v>
      </c>
      <c r="H3075" t="s">
        <v>5072</v>
      </c>
      <c r="I3075">
        <v>1</v>
      </c>
      <c r="J3075">
        <v>0</v>
      </c>
      <c r="K3075">
        <v>0</v>
      </c>
      <c r="L3075">
        <v>0</v>
      </c>
      <c r="M3075">
        <v>0</v>
      </c>
      <c r="N3075">
        <v>0</v>
      </c>
      <c r="O3075">
        <v>1</v>
      </c>
    </row>
    <row r="3076" spans="1:15" x14ac:dyDescent="0.25">
      <c r="A3076" t="s">
        <v>1041</v>
      </c>
      <c r="B3076" t="s">
        <v>2826</v>
      </c>
      <c r="C3076" t="s">
        <v>927</v>
      </c>
      <c r="D3076" t="s">
        <v>3052</v>
      </c>
      <c r="E3076" t="s">
        <v>3053</v>
      </c>
      <c r="F3076" t="s">
        <v>459</v>
      </c>
      <c r="G3076" t="s">
        <v>460</v>
      </c>
      <c r="H3076" t="s">
        <v>5073</v>
      </c>
      <c r="I3076">
        <v>50</v>
      </c>
      <c r="J3076">
        <v>0</v>
      </c>
      <c r="K3076">
        <v>0</v>
      </c>
      <c r="L3076">
        <v>0</v>
      </c>
      <c r="M3076">
        <v>0</v>
      </c>
      <c r="N3076">
        <v>0</v>
      </c>
      <c r="O3076">
        <v>50</v>
      </c>
    </row>
    <row r="3077" spans="1:15" x14ac:dyDescent="0.25">
      <c r="A3077" t="s">
        <v>9787</v>
      </c>
      <c r="B3077" t="s">
        <v>2822</v>
      </c>
      <c r="C3077" t="s">
        <v>927</v>
      </c>
      <c r="D3077" t="s">
        <v>3052</v>
      </c>
      <c r="E3077" t="s">
        <v>3053</v>
      </c>
      <c r="F3077" t="s">
        <v>459</v>
      </c>
      <c r="G3077" t="s">
        <v>460</v>
      </c>
      <c r="H3077" t="s">
        <v>10252</v>
      </c>
      <c r="I3077">
        <v>206</v>
      </c>
      <c r="J3077">
        <v>206</v>
      </c>
      <c r="K3077">
        <v>0</v>
      </c>
      <c r="L3077">
        <v>0</v>
      </c>
      <c r="M3077">
        <v>0</v>
      </c>
      <c r="N3077">
        <v>0</v>
      </c>
      <c r="O3077">
        <v>0</v>
      </c>
    </row>
    <row r="3078" spans="1:15" x14ac:dyDescent="0.25">
      <c r="A3078" t="s">
        <v>1043</v>
      </c>
      <c r="B3078" t="s">
        <v>2090</v>
      </c>
      <c r="C3078" t="s">
        <v>927</v>
      </c>
      <c r="D3078" t="s">
        <v>3052</v>
      </c>
      <c r="E3078" t="s">
        <v>3053</v>
      </c>
      <c r="F3078" t="s">
        <v>459</v>
      </c>
      <c r="G3078" t="s">
        <v>460</v>
      </c>
      <c r="H3078" t="s">
        <v>5074</v>
      </c>
      <c r="I3078">
        <v>46</v>
      </c>
      <c r="J3078">
        <v>40</v>
      </c>
      <c r="K3078">
        <v>0</v>
      </c>
      <c r="L3078">
        <v>0</v>
      </c>
      <c r="M3078">
        <v>0</v>
      </c>
      <c r="N3078">
        <v>0</v>
      </c>
      <c r="O3078">
        <v>6</v>
      </c>
    </row>
    <row r="3079" spans="1:15" x14ac:dyDescent="0.25">
      <c r="A3079" t="s">
        <v>1331</v>
      </c>
      <c r="B3079" t="s">
        <v>2856</v>
      </c>
      <c r="C3079" t="s">
        <v>927</v>
      </c>
      <c r="D3079" t="s">
        <v>3052</v>
      </c>
      <c r="E3079" t="s">
        <v>3053</v>
      </c>
      <c r="F3079" t="s">
        <v>459</v>
      </c>
      <c r="G3079" t="s">
        <v>460</v>
      </c>
      <c r="H3079" t="s">
        <v>5075</v>
      </c>
      <c r="I3079">
        <v>46</v>
      </c>
      <c r="J3079">
        <v>46</v>
      </c>
      <c r="K3079">
        <v>0</v>
      </c>
      <c r="L3079">
        <v>0</v>
      </c>
      <c r="M3079">
        <v>0</v>
      </c>
      <c r="N3079">
        <v>0</v>
      </c>
      <c r="O3079">
        <v>0</v>
      </c>
    </row>
    <row r="3080" spans="1:15" x14ac:dyDescent="0.25">
      <c r="A3080" t="s">
        <v>1057</v>
      </c>
      <c r="B3080" t="s">
        <v>1972</v>
      </c>
      <c r="C3080" t="s">
        <v>927</v>
      </c>
      <c r="D3080" t="s">
        <v>3052</v>
      </c>
      <c r="E3080" t="s">
        <v>3053</v>
      </c>
      <c r="F3080" t="s">
        <v>459</v>
      </c>
      <c r="G3080" t="s">
        <v>460</v>
      </c>
      <c r="H3080" t="s">
        <v>5076</v>
      </c>
      <c r="I3080">
        <v>21</v>
      </c>
      <c r="J3080">
        <v>0</v>
      </c>
      <c r="K3080">
        <v>0</v>
      </c>
      <c r="L3080">
        <v>21</v>
      </c>
      <c r="M3080">
        <v>0</v>
      </c>
      <c r="N3080">
        <v>0</v>
      </c>
      <c r="O3080">
        <v>0</v>
      </c>
    </row>
    <row r="3081" spans="1:15" x14ac:dyDescent="0.25">
      <c r="A3081" t="s">
        <v>1155</v>
      </c>
      <c r="B3081" t="s">
        <v>2912</v>
      </c>
      <c r="C3081" t="s">
        <v>927</v>
      </c>
      <c r="D3081" t="s">
        <v>3052</v>
      </c>
      <c r="E3081" t="s">
        <v>3053</v>
      </c>
      <c r="F3081" t="s">
        <v>459</v>
      </c>
      <c r="G3081" t="s">
        <v>460</v>
      </c>
      <c r="H3081" t="s">
        <v>5077</v>
      </c>
      <c r="I3081">
        <v>1</v>
      </c>
      <c r="J3081">
        <v>0</v>
      </c>
      <c r="K3081">
        <v>0</v>
      </c>
      <c r="L3081">
        <v>0</v>
      </c>
      <c r="M3081">
        <v>0</v>
      </c>
      <c r="N3081">
        <v>0</v>
      </c>
      <c r="O3081">
        <v>1</v>
      </c>
    </row>
    <row r="3082" spans="1:15" x14ac:dyDescent="0.25">
      <c r="A3082" t="s">
        <v>1677</v>
      </c>
      <c r="B3082" t="s">
        <v>2608</v>
      </c>
      <c r="C3082" t="s">
        <v>923</v>
      </c>
      <c r="D3082" t="s">
        <v>3063</v>
      </c>
      <c r="E3082" t="s">
        <v>3053</v>
      </c>
      <c r="F3082" t="s">
        <v>459</v>
      </c>
      <c r="G3082" t="s">
        <v>460</v>
      </c>
      <c r="H3082" t="s">
        <v>5078</v>
      </c>
      <c r="I3082">
        <v>4</v>
      </c>
      <c r="J3082">
        <v>0</v>
      </c>
      <c r="K3082">
        <v>0</v>
      </c>
      <c r="L3082">
        <v>4</v>
      </c>
      <c r="M3082">
        <v>0</v>
      </c>
      <c r="N3082">
        <v>0</v>
      </c>
      <c r="O3082">
        <v>0</v>
      </c>
    </row>
    <row r="3083" spans="1:15" x14ac:dyDescent="0.25">
      <c r="A3083" t="s">
        <v>1072</v>
      </c>
      <c r="B3083" t="s">
        <v>2907</v>
      </c>
      <c r="C3083" t="s">
        <v>927</v>
      </c>
      <c r="D3083" t="s">
        <v>3052</v>
      </c>
      <c r="E3083" t="s">
        <v>3053</v>
      </c>
      <c r="F3083" t="s">
        <v>459</v>
      </c>
      <c r="G3083" t="s">
        <v>460</v>
      </c>
      <c r="H3083" t="s">
        <v>5079</v>
      </c>
      <c r="I3083">
        <v>3</v>
      </c>
      <c r="J3083">
        <v>0</v>
      </c>
      <c r="K3083">
        <v>0</v>
      </c>
      <c r="L3083">
        <v>3</v>
      </c>
      <c r="M3083">
        <v>0</v>
      </c>
      <c r="N3083">
        <v>0</v>
      </c>
      <c r="O3083">
        <v>0</v>
      </c>
    </row>
    <row r="3084" spans="1:15" x14ac:dyDescent="0.25">
      <c r="A3084" t="s">
        <v>1684</v>
      </c>
      <c r="B3084" t="s">
        <v>2845</v>
      </c>
      <c r="C3084" t="s">
        <v>927</v>
      </c>
      <c r="D3084" t="s">
        <v>3052</v>
      </c>
      <c r="E3084" t="s">
        <v>3053</v>
      </c>
      <c r="F3084" t="s">
        <v>459</v>
      </c>
      <c r="G3084" t="s">
        <v>460</v>
      </c>
      <c r="H3084" t="s">
        <v>14733</v>
      </c>
      <c r="I3084">
        <v>2050</v>
      </c>
      <c r="J3084">
        <v>1732</v>
      </c>
      <c r="K3084">
        <v>0</v>
      </c>
      <c r="L3084">
        <v>6</v>
      </c>
      <c r="M3084">
        <v>185</v>
      </c>
      <c r="N3084">
        <v>3</v>
      </c>
      <c r="O3084">
        <v>127</v>
      </c>
    </row>
    <row r="3085" spans="1:15" x14ac:dyDescent="0.25">
      <c r="A3085" t="s">
        <v>1374</v>
      </c>
      <c r="B3085" t="s">
        <v>2580</v>
      </c>
      <c r="C3085" t="s">
        <v>923</v>
      </c>
      <c r="D3085" t="s">
        <v>3063</v>
      </c>
      <c r="E3085" t="s">
        <v>3053</v>
      </c>
      <c r="F3085" t="s">
        <v>459</v>
      </c>
      <c r="G3085" t="s">
        <v>460</v>
      </c>
      <c r="H3085" t="s">
        <v>5080</v>
      </c>
      <c r="I3085">
        <v>67</v>
      </c>
      <c r="J3085">
        <v>0</v>
      </c>
      <c r="K3085">
        <v>0</v>
      </c>
      <c r="L3085">
        <v>67</v>
      </c>
      <c r="M3085">
        <v>0</v>
      </c>
      <c r="N3085">
        <v>0</v>
      </c>
      <c r="O3085">
        <v>0</v>
      </c>
    </row>
    <row r="3086" spans="1:15" x14ac:dyDescent="0.25">
      <c r="A3086" t="s">
        <v>1380</v>
      </c>
      <c r="B3086" t="s">
        <v>2664</v>
      </c>
      <c r="C3086" t="s">
        <v>927</v>
      </c>
      <c r="D3086" t="s">
        <v>3052</v>
      </c>
      <c r="E3086" t="s">
        <v>3053</v>
      </c>
      <c r="F3086" t="s">
        <v>459</v>
      </c>
      <c r="G3086" t="s">
        <v>460</v>
      </c>
      <c r="H3086" t="s">
        <v>5081</v>
      </c>
      <c r="I3086">
        <v>1</v>
      </c>
      <c r="J3086">
        <v>0</v>
      </c>
      <c r="K3086">
        <v>0</v>
      </c>
      <c r="L3086">
        <v>0</v>
      </c>
      <c r="M3086">
        <v>0</v>
      </c>
      <c r="N3086">
        <v>0</v>
      </c>
      <c r="O3086">
        <v>1</v>
      </c>
    </row>
    <row r="3087" spans="1:15" x14ac:dyDescent="0.25">
      <c r="A3087" t="s">
        <v>1080</v>
      </c>
      <c r="B3087" t="s">
        <v>2030</v>
      </c>
      <c r="C3087" t="s">
        <v>923</v>
      </c>
      <c r="D3087" t="s">
        <v>3063</v>
      </c>
      <c r="E3087" t="s">
        <v>3053</v>
      </c>
      <c r="F3087" t="s">
        <v>459</v>
      </c>
      <c r="G3087" t="s">
        <v>460</v>
      </c>
      <c r="H3087" t="s">
        <v>5082</v>
      </c>
      <c r="I3087">
        <v>10</v>
      </c>
      <c r="J3087">
        <v>0</v>
      </c>
      <c r="K3087">
        <v>0</v>
      </c>
      <c r="L3087">
        <v>10</v>
      </c>
      <c r="M3087">
        <v>0</v>
      </c>
      <c r="N3087">
        <v>0</v>
      </c>
      <c r="O3087">
        <v>0</v>
      </c>
    </row>
    <row r="3088" spans="1:15" x14ac:dyDescent="0.25">
      <c r="A3088" t="s">
        <v>9785</v>
      </c>
      <c r="B3088" t="s">
        <v>1967</v>
      </c>
      <c r="C3088" t="s">
        <v>923</v>
      </c>
      <c r="D3088" t="s">
        <v>3063</v>
      </c>
      <c r="E3088" t="s">
        <v>3053</v>
      </c>
      <c r="F3088" t="s">
        <v>461</v>
      </c>
      <c r="G3088" t="s">
        <v>462</v>
      </c>
      <c r="H3088" t="s">
        <v>10045</v>
      </c>
      <c r="I3088">
        <v>3</v>
      </c>
      <c r="J3088">
        <v>0</v>
      </c>
      <c r="K3088">
        <v>0</v>
      </c>
      <c r="L3088">
        <v>3</v>
      </c>
      <c r="M3088">
        <v>0</v>
      </c>
      <c r="N3088">
        <v>0</v>
      </c>
      <c r="O3088">
        <v>0</v>
      </c>
    </row>
    <row r="3089" spans="1:15" x14ac:dyDescent="0.25">
      <c r="A3089" t="s">
        <v>997</v>
      </c>
      <c r="B3089" t="s">
        <v>2033</v>
      </c>
      <c r="C3089" t="s">
        <v>927</v>
      </c>
      <c r="D3089" t="s">
        <v>3052</v>
      </c>
      <c r="E3089" t="s">
        <v>3053</v>
      </c>
      <c r="F3089" t="s">
        <v>461</v>
      </c>
      <c r="G3089" t="s">
        <v>462</v>
      </c>
      <c r="H3089" t="s">
        <v>5083</v>
      </c>
      <c r="I3089">
        <v>5251</v>
      </c>
      <c r="J3089">
        <v>3395</v>
      </c>
      <c r="K3089">
        <v>0</v>
      </c>
      <c r="L3089">
        <v>0</v>
      </c>
      <c r="M3089">
        <v>1789</v>
      </c>
      <c r="N3089">
        <v>37</v>
      </c>
      <c r="O3089">
        <v>67</v>
      </c>
    </row>
    <row r="3090" spans="1:15" x14ac:dyDescent="0.25">
      <c r="A3090" t="s">
        <v>1001</v>
      </c>
      <c r="B3090" t="s">
        <v>3007</v>
      </c>
      <c r="C3090" t="s">
        <v>927</v>
      </c>
      <c r="D3090" t="s">
        <v>3052</v>
      </c>
      <c r="E3090" t="s">
        <v>3053</v>
      </c>
      <c r="F3090" t="s">
        <v>461</v>
      </c>
      <c r="G3090" t="s">
        <v>462</v>
      </c>
      <c r="H3090" t="s">
        <v>5084</v>
      </c>
      <c r="I3090">
        <v>24</v>
      </c>
      <c r="J3090">
        <v>0</v>
      </c>
      <c r="K3090">
        <v>0</v>
      </c>
      <c r="L3090">
        <v>24</v>
      </c>
      <c r="M3090">
        <v>0</v>
      </c>
      <c r="N3090">
        <v>0</v>
      </c>
      <c r="O3090">
        <v>0</v>
      </c>
    </row>
    <row r="3091" spans="1:15" x14ac:dyDescent="0.25">
      <c r="A3091" t="s">
        <v>1003</v>
      </c>
      <c r="B3091" t="s">
        <v>2862</v>
      </c>
      <c r="C3091" t="s">
        <v>927</v>
      </c>
      <c r="D3091" t="s">
        <v>3052</v>
      </c>
      <c r="E3091" t="s">
        <v>3053</v>
      </c>
      <c r="F3091" t="s">
        <v>461</v>
      </c>
      <c r="G3091" t="s">
        <v>462</v>
      </c>
      <c r="H3091" t="s">
        <v>5085</v>
      </c>
      <c r="I3091">
        <v>219</v>
      </c>
      <c r="J3091">
        <v>188</v>
      </c>
      <c r="K3091">
        <v>0</v>
      </c>
      <c r="L3091">
        <v>5</v>
      </c>
      <c r="M3091">
        <v>0</v>
      </c>
      <c r="N3091">
        <v>0</v>
      </c>
      <c r="O3091">
        <v>26</v>
      </c>
    </row>
    <row r="3092" spans="1:15" x14ac:dyDescent="0.25">
      <c r="A3092" t="s">
        <v>1004</v>
      </c>
      <c r="B3092" t="s">
        <v>2887</v>
      </c>
      <c r="C3092" t="s">
        <v>927</v>
      </c>
      <c r="D3092" t="s">
        <v>3052</v>
      </c>
      <c r="E3092" t="s">
        <v>3053</v>
      </c>
      <c r="F3092" t="s">
        <v>461</v>
      </c>
      <c r="G3092" t="s">
        <v>462</v>
      </c>
      <c r="H3092" t="s">
        <v>5086</v>
      </c>
      <c r="I3092">
        <v>12</v>
      </c>
      <c r="J3092">
        <v>6</v>
      </c>
      <c r="K3092">
        <v>0</v>
      </c>
      <c r="L3092">
        <v>0</v>
      </c>
      <c r="M3092">
        <v>0</v>
      </c>
      <c r="N3092">
        <v>0</v>
      </c>
      <c r="O3092">
        <v>6</v>
      </c>
    </row>
    <row r="3093" spans="1:15" x14ac:dyDescent="0.25">
      <c r="A3093" t="s">
        <v>10638</v>
      </c>
      <c r="B3093" t="s">
        <v>2057</v>
      </c>
      <c r="C3093" t="s">
        <v>927</v>
      </c>
      <c r="D3093" t="s">
        <v>3052</v>
      </c>
      <c r="E3093" t="s">
        <v>3053</v>
      </c>
      <c r="F3093" t="s">
        <v>461</v>
      </c>
      <c r="G3093" t="s">
        <v>462</v>
      </c>
      <c r="H3093" t="s">
        <v>11024</v>
      </c>
      <c r="I3093">
        <v>11</v>
      </c>
      <c r="J3093">
        <v>0</v>
      </c>
      <c r="K3093">
        <v>0</v>
      </c>
      <c r="L3093">
        <v>11</v>
      </c>
      <c r="M3093">
        <v>0</v>
      </c>
      <c r="N3093">
        <v>0</v>
      </c>
      <c r="O3093">
        <v>0</v>
      </c>
    </row>
    <row r="3094" spans="1:15" x14ac:dyDescent="0.25">
      <c r="A3094" t="s">
        <v>940</v>
      </c>
      <c r="B3094" t="s">
        <v>2647</v>
      </c>
      <c r="C3094" t="s">
        <v>927</v>
      </c>
      <c r="D3094" t="s">
        <v>3052</v>
      </c>
      <c r="E3094" t="s">
        <v>3053</v>
      </c>
      <c r="F3094" t="s">
        <v>461</v>
      </c>
      <c r="G3094" t="s">
        <v>462</v>
      </c>
      <c r="H3094" t="s">
        <v>11025</v>
      </c>
      <c r="I3094">
        <v>61</v>
      </c>
      <c r="J3094">
        <v>0</v>
      </c>
      <c r="K3094">
        <v>0</v>
      </c>
      <c r="L3094">
        <v>0</v>
      </c>
      <c r="M3094">
        <v>40</v>
      </c>
      <c r="N3094">
        <v>0</v>
      </c>
      <c r="O3094">
        <v>21</v>
      </c>
    </row>
    <row r="3095" spans="1:15" x14ac:dyDescent="0.25">
      <c r="A3095" t="s">
        <v>1013</v>
      </c>
      <c r="B3095" t="s">
        <v>1959</v>
      </c>
      <c r="C3095" t="s">
        <v>927</v>
      </c>
      <c r="D3095" t="s">
        <v>3052</v>
      </c>
      <c r="E3095" t="s">
        <v>3053</v>
      </c>
      <c r="F3095" t="s">
        <v>461</v>
      </c>
      <c r="G3095" t="s">
        <v>462</v>
      </c>
      <c r="H3095" t="s">
        <v>12032</v>
      </c>
      <c r="I3095">
        <v>20</v>
      </c>
      <c r="J3095">
        <v>0</v>
      </c>
      <c r="K3095">
        <v>0</v>
      </c>
      <c r="L3095">
        <v>20</v>
      </c>
      <c r="M3095">
        <v>0</v>
      </c>
      <c r="N3095">
        <v>0</v>
      </c>
      <c r="O3095">
        <v>0</v>
      </c>
    </row>
    <row r="3096" spans="1:15" x14ac:dyDescent="0.25">
      <c r="A3096" t="s">
        <v>1026</v>
      </c>
      <c r="B3096" t="s">
        <v>2848</v>
      </c>
      <c r="C3096" t="s">
        <v>927</v>
      </c>
      <c r="D3096" t="s">
        <v>3052</v>
      </c>
      <c r="E3096" t="s">
        <v>3053</v>
      </c>
      <c r="F3096" t="s">
        <v>461</v>
      </c>
      <c r="G3096" t="s">
        <v>462</v>
      </c>
      <c r="H3096" t="s">
        <v>5087</v>
      </c>
      <c r="I3096">
        <v>113</v>
      </c>
      <c r="J3096">
        <v>113</v>
      </c>
      <c r="K3096">
        <v>0</v>
      </c>
      <c r="L3096">
        <v>0</v>
      </c>
      <c r="M3096">
        <v>0</v>
      </c>
      <c r="N3096">
        <v>1</v>
      </c>
      <c r="O3096">
        <v>0</v>
      </c>
    </row>
    <row r="3097" spans="1:15" x14ac:dyDescent="0.25">
      <c r="A3097" t="s">
        <v>10681</v>
      </c>
      <c r="B3097" t="s">
        <v>10680</v>
      </c>
      <c r="C3097" t="s">
        <v>927</v>
      </c>
      <c r="D3097" t="s">
        <v>3052</v>
      </c>
      <c r="E3097" t="s">
        <v>3053</v>
      </c>
      <c r="F3097" t="s">
        <v>461</v>
      </c>
      <c r="G3097" t="s">
        <v>462</v>
      </c>
      <c r="H3097" t="s">
        <v>14734</v>
      </c>
      <c r="I3097">
        <v>2</v>
      </c>
      <c r="J3097">
        <v>0</v>
      </c>
      <c r="K3097">
        <v>0</v>
      </c>
      <c r="L3097">
        <v>0</v>
      </c>
      <c r="M3097">
        <v>0</v>
      </c>
      <c r="N3097">
        <v>0</v>
      </c>
      <c r="O3097">
        <v>2</v>
      </c>
    </row>
    <row r="3098" spans="1:15" x14ac:dyDescent="0.25">
      <c r="A3098" t="s">
        <v>943</v>
      </c>
      <c r="B3098" t="s">
        <v>2694</v>
      </c>
      <c r="C3098" t="s">
        <v>927</v>
      </c>
      <c r="D3098" t="s">
        <v>3052</v>
      </c>
      <c r="E3098" t="s">
        <v>3053</v>
      </c>
      <c r="F3098" t="s">
        <v>461</v>
      </c>
      <c r="G3098" t="s">
        <v>462</v>
      </c>
      <c r="H3098" t="s">
        <v>5088</v>
      </c>
      <c r="I3098">
        <v>375</v>
      </c>
      <c r="J3098">
        <v>288</v>
      </c>
      <c r="K3098">
        <v>0</v>
      </c>
      <c r="L3098">
        <v>16</v>
      </c>
      <c r="M3098">
        <v>38</v>
      </c>
      <c r="N3098">
        <v>0</v>
      </c>
      <c r="O3098">
        <v>33</v>
      </c>
    </row>
    <row r="3099" spans="1:15" x14ac:dyDescent="0.25">
      <c r="A3099" t="s">
        <v>1030</v>
      </c>
      <c r="B3099" t="s">
        <v>2880</v>
      </c>
      <c r="C3099" t="s">
        <v>927</v>
      </c>
      <c r="D3099" t="s">
        <v>3052</v>
      </c>
      <c r="E3099" t="s">
        <v>3053</v>
      </c>
      <c r="F3099" t="s">
        <v>461</v>
      </c>
      <c r="G3099" t="s">
        <v>462</v>
      </c>
      <c r="H3099" t="s">
        <v>5089</v>
      </c>
      <c r="I3099">
        <v>2</v>
      </c>
      <c r="J3099">
        <v>0</v>
      </c>
      <c r="K3099">
        <v>0</v>
      </c>
      <c r="L3099">
        <v>0</v>
      </c>
      <c r="M3099">
        <v>0</v>
      </c>
      <c r="N3099">
        <v>0</v>
      </c>
      <c r="O3099">
        <v>2</v>
      </c>
    </row>
    <row r="3100" spans="1:15" x14ac:dyDescent="0.25">
      <c r="A3100" t="s">
        <v>1038</v>
      </c>
      <c r="B3100" t="s">
        <v>2068</v>
      </c>
      <c r="C3100" t="s">
        <v>927</v>
      </c>
      <c r="D3100" t="s">
        <v>3052</v>
      </c>
      <c r="E3100" t="s">
        <v>3053</v>
      </c>
      <c r="F3100" t="s">
        <v>461</v>
      </c>
      <c r="G3100" t="s">
        <v>462</v>
      </c>
      <c r="H3100" t="s">
        <v>5090</v>
      </c>
      <c r="I3100">
        <v>78</v>
      </c>
      <c r="J3100">
        <v>78</v>
      </c>
      <c r="K3100">
        <v>0</v>
      </c>
      <c r="L3100">
        <v>0</v>
      </c>
      <c r="M3100">
        <v>0</v>
      </c>
      <c r="N3100">
        <v>0</v>
      </c>
      <c r="O3100">
        <v>0</v>
      </c>
    </row>
    <row r="3101" spans="1:15" x14ac:dyDescent="0.25">
      <c r="A3101" t="s">
        <v>1042</v>
      </c>
      <c r="B3101" t="s">
        <v>2115</v>
      </c>
      <c r="C3101" t="s">
        <v>923</v>
      </c>
      <c r="D3101" t="s">
        <v>3063</v>
      </c>
      <c r="E3101" t="s">
        <v>3053</v>
      </c>
      <c r="F3101" t="s">
        <v>461</v>
      </c>
      <c r="G3101" t="s">
        <v>462</v>
      </c>
      <c r="H3101" t="s">
        <v>5091</v>
      </c>
      <c r="I3101">
        <v>34</v>
      </c>
      <c r="J3101">
        <v>0</v>
      </c>
      <c r="K3101">
        <v>0</v>
      </c>
      <c r="L3101">
        <v>34</v>
      </c>
      <c r="M3101">
        <v>0</v>
      </c>
      <c r="N3101">
        <v>0</v>
      </c>
      <c r="O3101">
        <v>0</v>
      </c>
    </row>
    <row r="3102" spans="1:15" x14ac:dyDescent="0.25">
      <c r="A3102" t="s">
        <v>951</v>
      </c>
      <c r="B3102" t="s">
        <v>2680</v>
      </c>
      <c r="C3102" t="s">
        <v>927</v>
      </c>
      <c r="D3102" t="s">
        <v>3052</v>
      </c>
      <c r="E3102" t="s">
        <v>3053</v>
      </c>
      <c r="F3102" t="s">
        <v>461</v>
      </c>
      <c r="G3102" t="s">
        <v>462</v>
      </c>
      <c r="H3102" t="s">
        <v>5092</v>
      </c>
      <c r="I3102">
        <v>10</v>
      </c>
      <c r="J3102">
        <v>10</v>
      </c>
      <c r="K3102">
        <v>0</v>
      </c>
      <c r="L3102">
        <v>0</v>
      </c>
      <c r="M3102">
        <v>0</v>
      </c>
      <c r="N3102">
        <v>0</v>
      </c>
      <c r="O3102">
        <v>0</v>
      </c>
    </row>
    <row r="3103" spans="1:15" x14ac:dyDescent="0.25">
      <c r="A3103" t="s">
        <v>1048</v>
      </c>
      <c r="B3103" t="s">
        <v>2989</v>
      </c>
      <c r="C3103" t="s">
        <v>927</v>
      </c>
      <c r="D3103" t="s">
        <v>3052</v>
      </c>
      <c r="E3103" t="s">
        <v>3053</v>
      </c>
      <c r="F3103" t="s">
        <v>461</v>
      </c>
      <c r="G3103" t="s">
        <v>462</v>
      </c>
      <c r="H3103" t="s">
        <v>12033</v>
      </c>
      <c r="I3103">
        <v>184</v>
      </c>
      <c r="J3103">
        <v>159</v>
      </c>
      <c r="K3103">
        <v>0</v>
      </c>
      <c r="L3103">
        <v>3</v>
      </c>
      <c r="M3103">
        <v>10</v>
      </c>
      <c r="N3103">
        <v>0</v>
      </c>
      <c r="O3103">
        <v>12</v>
      </c>
    </row>
    <row r="3104" spans="1:15" x14ac:dyDescent="0.25">
      <c r="A3104" t="s">
        <v>1049</v>
      </c>
      <c r="B3104" t="s">
        <v>2138</v>
      </c>
      <c r="C3104" t="s">
        <v>927</v>
      </c>
      <c r="D3104" t="s">
        <v>3052</v>
      </c>
      <c r="E3104" t="s">
        <v>3053</v>
      </c>
      <c r="F3104" t="s">
        <v>461</v>
      </c>
      <c r="G3104" t="s">
        <v>462</v>
      </c>
      <c r="H3104" t="s">
        <v>5093</v>
      </c>
      <c r="I3104">
        <v>85</v>
      </c>
      <c r="J3104">
        <v>77</v>
      </c>
      <c r="K3104">
        <v>0</v>
      </c>
      <c r="L3104">
        <v>0</v>
      </c>
      <c r="M3104">
        <v>0</v>
      </c>
      <c r="N3104">
        <v>0</v>
      </c>
      <c r="O3104">
        <v>8</v>
      </c>
    </row>
    <row r="3105" spans="1:15" x14ac:dyDescent="0.25">
      <c r="A3105" t="s">
        <v>1056</v>
      </c>
      <c r="B3105" t="s">
        <v>2966</v>
      </c>
      <c r="C3105" t="s">
        <v>927</v>
      </c>
      <c r="D3105" t="s">
        <v>3052</v>
      </c>
      <c r="E3105" t="s">
        <v>3053</v>
      </c>
      <c r="F3105" t="s">
        <v>461</v>
      </c>
      <c r="G3105" t="s">
        <v>462</v>
      </c>
      <c r="H3105" t="s">
        <v>5094</v>
      </c>
      <c r="I3105">
        <v>14</v>
      </c>
      <c r="J3105">
        <v>14</v>
      </c>
      <c r="K3105">
        <v>0</v>
      </c>
      <c r="L3105">
        <v>0</v>
      </c>
      <c r="M3105">
        <v>0</v>
      </c>
      <c r="N3105">
        <v>0</v>
      </c>
      <c r="O3105">
        <v>0</v>
      </c>
    </row>
    <row r="3106" spans="1:15" x14ac:dyDescent="0.25">
      <c r="A3106" t="s">
        <v>1069</v>
      </c>
      <c r="B3106" t="s">
        <v>2001</v>
      </c>
      <c r="C3106" t="s">
        <v>927</v>
      </c>
      <c r="D3106" t="s">
        <v>3052</v>
      </c>
      <c r="E3106" t="s">
        <v>3053</v>
      </c>
      <c r="F3106" t="s">
        <v>461</v>
      </c>
      <c r="G3106" t="s">
        <v>462</v>
      </c>
      <c r="H3106" t="s">
        <v>5095</v>
      </c>
      <c r="I3106">
        <v>117</v>
      </c>
      <c r="J3106">
        <v>117</v>
      </c>
      <c r="K3106">
        <v>0</v>
      </c>
      <c r="L3106">
        <v>0</v>
      </c>
      <c r="M3106">
        <v>0</v>
      </c>
      <c r="N3106">
        <v>0</v>
      </c>
      <c r="O3106">
        <v>0</v>
      </c>
    </row>
    <row r="3107" spans="1:15" x14ac:dyDescent="0.25">
      <c r="A3107" t="s">
        <v>1072</v>
      </c>
      <c r="B3107" t="s">
        <v>2907</v>
      </c>
      <c r="C3107" t="s">
        <v>927</v>
      </c>
      <c r="D3107" t="s">
        <v>3052</v>
      </c>
      <c r="E3107" t="s">
        <v>3053</v>
      </c>
      <c r="F3107" t="s">
        <v>461</v>
      </c>
      <c r="G3107" t="s">
        <v>462</v>
      </c>
      <c r="H3107" t="s">
        <v>5096</v>
      </c>
      <c r="I3107">
        <v>234</v>
      </c>
      <c r="J3107">
        <v>167</v>
      </c>
      <c r="K3107">
        <v>0</v>
      </c>
      <c r="L3107">
        <v>0</v>
      </c>
      <c r="M3107">
        <v>55</v>
      </c>
      <c r="N3107">
        <v>0</v>
      </c>
      <c r="O3107">
        <v>12</v>
      </c>
    </row>
    <row r="3108" spans="1:15" x14ac:dyDescent="0.25">
      <c r="A3108" t="s">
        <v>1077</v>
      </c>
      <c r="B3108" t="s">
        <v>2711</v>
      </c>
      <c r="C3108" t="s">
        <v>927</v>
      </c>
      <c r="D3108" t="s">
        <v>3052</v>
      </c>
      <c r="E3108" t="s">
        <v>3053</v>
      </c>
      <c r="F3108" t="s">
        <v>461</v>
      </c>
      <c r="G3108" t="s">
        <v>462</v>
      </c>
      <c r="H3108" t="s">
        <v>5097</v>
      </c>
      <c r="I3108">
        <v>6</v>
      </c>
      <c r="J3108">
        <v>6</v>
      </c>
      <c r="K3108">
        <v>0</v>
      </c>
      <c r="L3108">
        <v>0</v>
      </c>
      <c r="M3108">
        <v>0</v>
      </c>
      <c r="N3108">
        <v>0</v>
      </c>
      <c r="O3108">
        <v>0</v>
      </c>
    </row>
    <row r="3109" spans="1:15" x14ac:dyDescent="0.25">
      <c r="A3109" t="s">
        <v>1079</v>
      </c>
      <c r="B3109" t="s">
        <v>2810</v>
      </c>
      <c r="C3109" t="s">
        <v>927</v>
      </c>
      <c r="D3109" t="s">
        <v>3052</v>
      </c>
      <c r="E3109" t="s">
        <v>3053</v>
      </c>
      <c r="F3109" t="s">
        <v>461</v>
      </c>
      <c r="G3109" t="s">
        <v>462</v>
      </c>
      <c r="H3109" t="s">
        <v>5098</v>
      </c>
      <c r="I3109">
        <v>148</v>
      </c>
      <c r="J3109">
        <v>117</v>
      </c>
      <c r="K3109">
        <v>0</v>
      </c>
      <c r="L3109">
        <v>20</v>
      </c>
      <c r="M3109">
        <v>0</v>
      </c>
      <c r="N3109">
        <v>0</v>
      </c>
      <c r="O3109">
        <v>11</v>
      </c>
    </row>
    <row r="3110" spans="1:15" x14ac:dyDescent="0.25">
      <c r="A3110" t="s">
        <v>926</v>
      </c>
      <c r="B3110" t="s">
        <v>2923</v>
      </c>
      <c r="C3110" t="s">
        <v>927</v>
      </c>
      <c r="D3110" t="s">
        <v>3052</v>
      </c>
      <c r="E3110" t="s">
        <v>3053</v>
      </c>
      <c r="F3110" t="s">
        <v>463</v>
      </c>
      <c r="G3110" t="s">
        <v>464</v>
      </c>
      <c r="H3110" t="s">
        <v>5099</v>
      </c>
      <c r="I3110">
        <v>2</v>
      </c>
      <c r="J3110">
        <v>0</v>
      </c>
      <c r="K3110">
        <v>0</v>
      </c>
      <c r="L3110">
        <v>0</v>
      </c>
      <c r="M3110">
        <v>0</v>
      </c>
      <c r="N3110">
        <v>0</v>
      </c>
      <c r="O3110">
        <v>2</v>
      </c>
    </row>
    <row r="3111" spans="1:15" x14ac:dyDescent="0.25">
      <c r="A3111" t="s">
        <v>931</v>
      </c>
      <c r="B3111" t="s">
        <v>1978</v>
      </c>
      <c r="C3111" t="s">
        <v>927</v>
      </c>
      <c r="D3111" t="s">
        <v>3052</v>
      </c>
      <c r="E3111" t="s">
        <v>3053</v>
      </c>
      <c r="F3111" t="s">
        <v>463</v>
      </c>
      <c r="G3111" t="s">
        <v>464</v>
      </c>
      <c r="H3111" t="s">
        <v>5100</v>
      </c>
      <c r="I3111">
        <v>190</v>
      </c>
      <c r="J3111">
        <v>134</v>
      </c>
      <c r="K3111">
        <v>0</v>
      </c>
      <c r="L3111">
        <v>0</v>
      </c>
      <c r="M3111">
        <v>0</v>
      </c>
      <c r="N3111">
        <v>0</v>
      </c>
      <c r="O3111">
        <v>56</v>
      </c>
    </row>
    <row r="3112" spans="1:15" x14ac:dyDescent="0.25">
      <c r="A3112" t="s">
        <v>1581</v>
      </c>
      <c r="B3112" t="s">
        <v>2917</v>
      </c>
      <c r="C3112" t="s">
        <v>927</v>
      </c>
      <c r="D3112" t="s">
        <v>3052</v>
      </c>
      <c r="E3112" t="s">
        <v>3053</v>
      </c>
      <c r="F3112" t="s">
        <v>463</v>
      </c>
      <c r="G3112" t="s">
        <v>464</v>
      </c>
      <c r="H3112" t="s">
        <v>5101</v>
      </c>
      <c r="I3112">
        <v>82</v>
      </c>
      <c r="J3112">
        <v>9</v>
      </c>
      <c r="K3112">
        <v>4</v>
      </c>
      <c r="L3112">
        <v>69</v>
      </c>
      <c r="M3112">
        <v>0</v>
      </c>
      <c r="N3112">
        <v>0</v>
      </c>
      <c r="O3112">
        <v>0</v>
      </c>
    </row>
    <row r="3113" spans="1:15" x14ac:dyDescent="0.25">
      <c r="A3113" t="s">
        <v>1716</v>
      </c>
      <c r="B3113" t="s">
        <v>2618</v>
      </c>
      <c r="C3113" t="s">
        <v>923</v>
      </c>
      <c r="D3113" t="s">
        <v>3063</v>
      </c>
      <c r="E3113" t="s">
        <v>3053</v>
      </c>
      <c r="F3113" t="s">
        <v>463</v>
      </c>
      <c r="G3113" t="s">
        <v>464</v>
      </c>
      <c r="H3113" t="s">
        <v>5102</v>
      </c>
      <c r="I3113">
        <v>85</v>
      </c>
      <c r="J3113">
        <v>0</v>
      </c>
      <c r="K3113">
        <v>0</v>
      </c>
      <c r="L3113">
        <v>85</v>
      </c>
      <c r="M3113">
        <v>0</v>
      </c>
      <c r="N3113">
        <v>0</v>
      </c>
      <c r="O3113">
        <v>0</v>
      </c>
    </row>
    <row r="3114" spans="1:15" x14ac:dyDescent="0.25">
      <c r="A3114" t="s">
        <v>933</v>
      </c>
      <c r="B3114" t="s">
        <v>2106</v>
      </c>
      <c r="C3114" t="s">
        <v>927</v>
      </c>
      <c r="D3114" t="s">
        <v>3052</v>
      </c>
      <c r="E3114" t="s">
        <v>3053</v>
      </c>
      <c r="F3114" t="s">
        <v>463</v>
      </c>
      <c r="G3114" t="s">
        <v>464</v>
      </c>
      <c r="H3114" t="s">
        <v>5103</v>
      </c>
      <c r="I3114">
        <v>155</v>
      </c>
      <c r="J3114">
        <v>155</v>
      </c>
      <c r="K3114">
        <v>0</v>
      </c>
      <c r="L3114">
        <v>0</v>
      </c>
      <c r="M3114">
        <v>0</v>
      </c>
      <c r="N3114">
        <v>3</v>
      </c>
      <c r="O3114">
        <v>0</v>
      </c>
    </row>
    <row r="3115" spans="1:15" x14ac:dyDescent="0.25">
      <c r="A3115" t="s">
        <v>1720</v>
      </c>
      <c r="B3115" t="s">
        <v>2655</v>
      </c>
      <c r="C3115" t="s">
        <v>927</v>
      </c>
      <c r="D3115" t="s">
        <v>3052</v>
      </c>
      <c r="E3115" t="s">
        <v>3053</v>
      </c>
      <c r="F3115" t="s">
        <v>463</v>
      </c>
      <c r="G3115" t="s">
        <v>464</v>
      </c>
      <c r="H3115" t="s">
        <v>5104</v>
      </c>
      <c r="I3115">
        <v>1178</v>
      </c>
      <c r="J3115">
        <v>1165</v>
      </c>
      <c r="K3115">
        <v>0</v>
      </c>
      <c r="L3115">
        <v>0</v>
      </c>
      <c r="M3115">
        <v>0</v>
      </c>
      <c r="N3115">
        <v>0</v>
      </c>
      <c r="O3115">
        <v>13</v>
      </c>
    </row>
    <row r="3116" spans="1:15" x14ac:dyDescent="0.25">
      <c r="A3116" t="s">
        <v>1731</v>
      </c>
      <c r="B3116" t="s">
        <v>2212</v>
      </c>
      <c r="C3116" t="s">
        <v>923</v>
      </c>
      <c r="D3116" t="s">
        <v>3063</v>
      </c>
      <c r="E3116" t="s">
        <v>3053</v>
      </c>
      <c r="F3116" t="s">
        <v>463</v>
      </c>
      <c r="G3116" t="s">
        <v>464</v>
      </c>
      <c r="H3116" t="s">
        <v>5105</v>
      </c>
      <c r="I3116">
        <v>143</v>
      </c>
      <c r="J3116">
        <v>0</v>
      </c>
      <c r="K3116">
        <v>0</v>
      </c>
      <c r="L3116">
        <v>0</v>
      </c>
      <c r="M3116">
        <v>143</v>
      </c>
      <c r="N3116">
        <v>0</v>
      </c>
      <c r="O3116">
        <v>0</v>
      </c>
    </row>
    <row r="3117" spans="1:15" x14ac:dyDescent="0.25">
      <c r="A3117" t="s">
        <v>1416</v>
      </c>
      <c r="B3117" t="s">
        <v>2029</v>
      </c>
      <c r="C3117" t="s">
        <v>923</v>
      </c>
      <c r="D3117" t="s">
        <v>3063</v>
      </c>
      <c r="E3117" t="s">
        <v>3053</v>
      </c>
      <c r="F3117" t="s">
        <v>463</v>
      </c>
      <c r="G3117" t="s">
        <v>464</v>
      </c>
      <c r="H3117" t="s">
        <v>12034</v>
      </c>
      <c r="I3117">
        <v>3</v>
      </c>
      <c r="J3117">
        <v>0</v>
      </c>
      <c r="K3117">
        <v>0</v>
      </c>
      <c r="L3117">
        <v>3</v>
      </c>
      <c r="M3117">
        <v>0</v>
      </c>
      <c r="N3117">
        <v>0</v>
      </c>
      <c r="O3117">
        <v>0</v>
      </c>
    </row>
    <row r="3118" spans="1:15" x14ac:dyDescent="0.25">
      <c r="A3118" t="s">
        <v>1000</v>
      </c>
      <c r="B3118" t="s">
        <v>1984</v>
      </c>
      <c r="C3118" t="s">
        <v>923</v>
      </c>
      <c r="D3118" t="s">
        <v>3063</v>
      </c>
      <c r="E3118" t="s">
        <v>3053</v>
      </c>
      <c r="F3118" t="s">
        <v>463</v>
      </c>
      <c r="G3118" t="s">
        <v>464</v>
      </c>
      <c r="H3118" t="s">
        <v>5106</v>
      </c>
      <c r="I3118">
        <v>4</v>
      </c>
      <c r="J3118">
        <v>0</v>
      </c>
      <c r="K3118">
        <v>0</v>
      </c>
      <c r="L3118">
        <v>4</v>
      </c>
      <c r="M3118">
        <v>0</v>
      </c>
      <c r="N3118">
        <v>0</v>
      </c>
      <c r="O3118">
        <v>0</v>
      </c>
    </row>
    <row r="3119" spans="1:15" x14ac:dyDescent="0.25">
      <c r="A3119" t="s">
        <v>10638</v>
      </c>
      <c r="B3119" t="s">
        <v>2057</v>
      </c>
      <c r="C3119" t="s">
        <v>927</v>
      </c>
      <c r="D3119" t="s">
        <v>3052</v>
      </c>
      <c r="E3119" t="s">
        <v>3053</v>
      </c>
      <c r="F3119" t="s">
        <v>463</v>
      </c>
      <c r="G3119" t="s">
        <v>464</v>
      </c>
      <c r="H3119" t="s">
        <v>11026</v>
      </c>
      <c r="I3119">
        <v>6</v>
      </c>
      <c r="J3119">
        <v>0</v>
      </c>
      <c r="K3119">
        <v>0</v>
      </c>
      <c r="L3119">
        <v>6</v>
      </c>
      <c r="M3119">
        <v>0</v>
      </c>
      <c r="N3119">
        <v>0</v>
      </c>
      <c r="O3119">
        <v>0</v>
      </c>
    </row>
    <row r="3120" spans="1:15" x14ac:dyDescent="0.25">
      <c r="A3120" t="s">
        <v>938</v>
      </c>
      <c r="B3120" t="s">
        <v>2791</v>
      </c>
      <c r="C3120" t="s">
        <v>927</v>
      </c>
      <c r="D3120" t="s">
        <v>3052</v>
      </c>
      <c r="E3120" t="s">
        <v>3053</v>
      </c>
      <c r="F3120" t="s">
        <v>463</v>
      </c>
      <c r="G3120" t="s">
        <v>464</v>
      </c>
      <c r="H3120" t="s">
        <v>5107</v>
      </c>
      <c r="I3120">
        <v>35</v>
      </c>
      <c r="J3120">
        <v>0</v>
      </c>
      <c r="K3120">
        <v>0</v>
      </c>
      <c r="L3120">
        <v>35</v>
      </c>
      <c r="M3120">
        <v>0</v>
      </c>
      <c r="N3120">
        <v>0</v>
      </c>
      <c r="O3120">
        <v>0</v>
      </c>
    </row>
    <row r="3121" spans="1:15" x14ac:dyDescent="0.25">
      <c r="A3121" t="s">
        <v>1013</v>
      </c>
      <c r="B3121" t="s">
        <v>1959</v>
      </c>
      <c r="C3121" t="s">
        <v>927</v>
      </c>
      <c r="D3121" t="s">
        <v>3052</v>
      </c>
      <c r="E3121" t="s">
        <v>3053</v>
      </c>
      <c r="F3121" t="s">
        <v>463</v>
      </c>
      <c r="G3121" t="s">
        <v>464</v>
      </c>
      <c r="H3121" t="s">
        <v>5108</v>
      </c>
      <c r="I3121">
        <v>30</v>
      </c>
      <c r="J3121">
        <v>0</v>
      </c>
      <c r="K3121">
        <v>0</v>
      </c>
      <c r="L3121">
        <v>30</v>
      </c>
      <c r="M3121">
        <v>0</v>
      </c>
      <c r="N3121">
        <v>0</v>
      </c>
      <c r="O3121">
        <v>0</v>
      </c>
    </row>
    <row r="3122" spans="1:15" x14ac:dyDescent="0.25">
      <c r="A3122" t="s">
        <v>1740</v>
      </c>
      <c r="B3122" t="s">
        <v>2904</v>
      </c>
      <c r="C3122" t="s">
        <v>923</v>
      </c>
      <c r="D3122" t="s">
        <v>3063</v>
      </c>
      <c r="E3122" t="s">
        <v>3053</v>
      </c>
      <c r="F3122" t="s">
        <v>463</v>
      </c>
      <c r="G3122" t="s">
        <v>464</v>
      </c>
      <c r="H3122" t="s">
        <v>12035</v>
      </c>
      <c r="I3122">
        <v>34</v>
      </c>
      <c r="J3122">
        <v>0</v>
      </c>
      <c r="K3122">
        <v>0</v>
      </c>
      <c r="L3122">
        <v>34</v>
      </c>
      <c r="M3122">
        <v>0</v>
      </c>
      <c r="N3122">
        <v>0</v>
      </c>
      <c r="O3122">
        <v>0</v>
      </c>
    </row>
    <row r="3123" spans="1:15" x14ac:dyDescent="0.25">
      <c r="A3123" t="s">
        <v>942</v>
      </c>
      <c r="B3123" t="s">
        <v>2113</v>
      </c>
      <c r="C3123" t="s">
        <v>927</v>
      </c>
      <c r="D3123" t="s">
        <v>3052</v>
      </c>
      <c r="E3123" t="s">
        <v>3053</v>
      </c>
      <c r="F3123" t="s">
        <v>463</v>
      </c>
      <c r="G3123" t="s">
        <v>464</v>
      </c>
      <c r="H3123" t="s">
        <v>5109</v>
      </c>
      <c r="I3123">
        <v>1160</v>
      </c>
      <c r="J3123">
        <v>879</v>
      </c>
      <c r="K3123">
        <v>0</v>
      </c>
      <c r="L3123">
        <v>31</v>
      </c>
      <c r="M3123">
        <v>0</v>
      </c>
      <c r="N3123">
        <v>0</v>
      </c>
      <c r="O3123">
        <v>250</v>
      </c>
    </row>
    <row r="3124" spans="1:15" x14ac:dyDescent="0.25">
      <c r="A3124" t="s">
        <v>1025</v>
      </c>
      <c r="B3124" t="s">
        <v>2893</v>
      </c>
      <c r="C3124" t="s">
        <v>927</v>
      </c>
      <c r="D3124" t="s">
        <v>3052</v>
      </c>
      <c r="E3124" t="s">
        <v>3053</v>
      </c>
      <c r="F3124" t="s">
        <v>463</v>
      </c>
      <c r="G3124" t="s">
        <v>464</v>
      </c>
      <c r="H3124" t="s">
        <v>5110</v>
      </c>
      <c r="I3124">
        <v>1</v>
      </c>
      <c r="J3124">
        <v>0</v>
      </c>
      <c r="K3124">
        <v>0</v>
      </c>
      <c r="L3124">
        <v>0</v>
      </c>
      <c r="M3124">
        <v>0</v>
      </c>
      <c r="N3124">
        <v>0</v>
      </c>
      <c r="O3124">
        <v>1</v>
      </c>
    </row>
    <row r="3125" spans="1:15" x14ac:dyDescent="0.25">
      <c r="A3125" t="s">
        <v>1743</v>
      </c>
      <c r="B3125" t="s">
        <v>2086</v>
      </c>
      <c r="C3125" t="s">
        <v>927</v>
      </c>
      <c r="D3125" t="s">
        <v>3052</v>
      </c>
      <c r="E3125" t="s">
        <v>3053</v>
      </c>
      <c r="F3125" t="s">
        <v>463</v>
      </c>
      <c r="G3125" t="s">
        <v>464</v>
      </c>
      <c r="H3125" t="s">
        <v>5111</v>
      </c>
      <c r="I3125">
        <v>7</v>
      </c>
      <c r="J3125">
        <v>0</v>
      </c>
      <c r="K3125">
        <v>0</v>
      </c>
      <c r="L3125">
        <v>7</v>
      </c>
      <c r="M3125">
        <v>0</v>
      </c>
      <c r="N3125">
        <v>0</v>
      </c>
      <c r="O3125">
        <v>0</v>
      </c>
    </row>
    <row r="3126" spans="1:15" x14ac:dyDescent="0.25">
      <c r="A3126" t="s">
        <v>945</v>
      </c>
      <c r="B3126" t="s">
        <v>2668</v>
      </c>
      <c r="C3126" t="s">
        <v>927</v>
      </c>
      <c r="D3126" t="s">
        <v>3052</v>
      </c>
      <c r="E3126" t="s">
        <v>3053</v>
      </c>
      <c r="F3126" t="s">
        <v>463</v>
      </c>
      <c r="G3126" t="s">
        <v>464</v>
      </c>
      <c r="H3126" t="s">
        <v>5112</v>
      </c>
      <c r="I3126">
        <v>1</v>
      </c>
      <c r="J3126">
        <v>0</v>
      </c>
      <c r="K3126">
        <v>0</v>
      </c>
      <c r="L3126">
        <v>0</v>
      </c>
      <c r="M3126">
        <v>0</v>
      </c>
      <c r="N3126">
        <v>0</v>
      </c>
      <c r="O3126">
        <v>1</v>
      </c>
    </row>
    <row r="3127" spans="1:15" x14ac:dyDescent="0.25">
      <c r="A3127" t="s">
        <v>951</v>
      </c>
      <c r="B3127" t="s">
        <v>2680</v>
      </c>
      <c r="C3127" t="s">
        <v>927</v>
      </c>
      <c r="D3127" t="s">
        <v>3052</v>
      </c>
      <c r="E3127" t="s">
        <v>3053</v>
      </c>
      <c r="F3127" t="s">
        <v>463</v>
      </c>
      <c r="G3127" t="s">
        <v>464</v>
      </c>
      <c r="H3127" t="s">
        <v>5113</v>
      </c>
      <c r="I3127">
        <v>1</v>
      </c>
      <c r="J3127">
        <v>0</v>
      </c>
      <c r="K3127">
        <v>0</v>
      </c>
      <c r="L3127">
        <v>0</v>
      </c>
      <c r="M3127">
        <v>0</v>
      </c>
      <c r="N3127">
        <v>0</v>
      </c>
      <c r="O3127">
        <v>1</v>
      </c>
    </row>
    <row r="3128" spans="1:15" x14ac:dyDescent="0.25">
      <c r="A3128" t="s">
        <v>1051</v>
      </c>
      <c r="B3128" t="s">
        <v>2995</v>
      </c>
      <c r="C3128" t="s">
        <v>927</v>
      </c>
      <c r="D3128" t="s">
        <v>3052</v>
      </c>
      <c r="E3128" t="s">
        <v>3053</v>
      </c>
      <c r="F3128" t="s">
        <v>463</v>
      </c>
      <c r="G3128" t="s">
        <v>464</v>
      </c>
      <c r="H3128" t="s">
        <v>5114</v>
      </c>
      <c r="I3128">
        <v>18</v>
      </c>
      <c r="J3128">
        <v>0</v>
      </c>
      <c r="K3128">
        <v>0</v>
      </c>
      <c r="L3128">
        <v>15</v>
      </c>
      <c r="M3128">
        <v>0</v>
      </c>
      <c r="N3128">
        <v>0</v>
      </c>
      <c r="O3128">
        <v>3</v>
      </c>
    </row>
    <row r="3129" spans="1:15" x14ac:dyDescent="0.25">
      <c r="A3129" t="s">
        <v>1056</v>
      </c>
      <c r="B3129" t="s">
        <v>2966</v>
      </c>
      <c r="C3129" t="s">
        <v>927</v>
      </c>
      <c r="D3129" t="s">
        <v>3052</v>
      </c>
      <c r="E3129" t="s">
        <v>3053</v>
      </c>
      <c r="F3129" t="s">
        <v>463</v>
      </c>
      <c r="G3129" t="s">
        <v>464</v>
      </c>
      <c r="H3129" t="s">
        <v>5115</v>
      </c>
      <c r="I3129">
        <v>27</v>
      </c>
      <c r="J3129">
        <v>0</v>
      </c>
      <c r="K3129">
        <v>0</v>
      </c>
      <c r="L3129">
        <v>27</v>
      </c>
      <c r="M3129">
        <v>0</v>
      </c>
      <c r="N3129">
        <v>0</v>
      </c>
      <c r="O3129">
        <v>0</v>
      </c>
    </row>
    <row r="3130" spans="1:15" x14ac:dyDescent="0.25">
      <c r="A3130" t="s">
        <v>955</v>
      </c>
      <c r="B3130" t="s">
        <v>2660</v>
      </c>
      <c r="C3130" t="s">
        <v>927</v>
      </c>
      <c r="D3130" t="s">
        <v>3052</v>
      </c>
      <c r="E3130" t="s">
        <v>3053</v>
      </c>
      <c r="F3130" t="s">
        <v>463</v>
      </c>
      <c r="G3130" t="s">
        <v>464</v>
      </c>
      <c r="H3130" t="s">
        <v>5116</v>
      </c>
      <c r="I3130">
        <v>240</v>
      </c>
      <c r="J3130">
        <v>209</v>
      </c>
      <c r="K3130">
        <v>0</v>
      </c>
      <c r="L3130">
        <v>11</v>
      </c>
      <c r="M3130">
        <v>12</v>
      </c>
      <c r="N3130">
        <v>0</v>
      </c>
      <c r="O3130">
        <v>8</v>
      </c>
    </row>
    <row r="3131" spans="1:15" x14ac:dyDescent="0.25">
      <c r="A3131" t="s">
        <v>1765</v>
      </c>
      <c r="B3131" t="s">
        <v>2940</v>
      </c>
      <c r="C3131" t="s">
        <v>923</v>
      </c>
      <c r="D3131" t="s">
        <v>3063</v>
      </c>
      <c r="E3131" t="s">
        <v>3053</v>
      </c>
      <c r="F3131" t="s">
        <v>463</v>
      </c>
      <c r="G3131" t="s">
        <v>464</v>
      </c>
      <c r="H3131" t="s">
        <v>10419</v>
      </c>
      <c r="I3131">
        <v>16</v>
      </c>
      <c r="J3131">
        <v>16</v>
      </c>
      <c r="K3131">
        <v>0</v>
      </c>
      <c r="L3131">
        <v>0</v>
      </c>
      <c r="M3131">
        <v>0</v>
      </c>
      <c r="N3131">
        <v>0</v>
      </c>
      <c r="O3131">
        <v>0</v>
      </c>
    </row>
    <row r="3132" spans="1:15" x14ac:dyDescent="0.25">
      <c r="A3132" t="s">
        <v>960</v>
      </c>
      <c r="B3132" t="s">
        <v>2080</v>
      </c>
      <c r="C3132" t="s">
        <v>927</v>
      </c>
      <c r="D3132" t="s">
        <v>3052</v>
      </c>
      <c r="E3132" t="s">
        <v>3053</v>
      </c>
      <c r="F3132" t="s">
        <v>463</v>
      </c>
      <c r="G3132" t="s">
        <v>464</v>
      </c>
      <c r="H3132" t="s">
        <v>5117</v>
      </c>
      <c r="I3132">
        <v>1052</v>
      </c>
      <c r="J3132">
        <v>836</v>
      </c>
      <c r="K3132">
        <v>0</v>
      </c>
      <c r="L3132">
        <v>49</v>
      </c>
      <c r="M3132">
        <v>0</v>
      </c>
      <c r="N3132">
        <v>0</v>
      </c>
      <c r="O3132">
        <v>167</v>
      </c>
    </row>
    <row r="3133" spans="1:15" x14ac:dyDescent="0.25">
      <c r="A3133" t="s">
        <v>962</v>
      </c>
      <c r="B3133" t="s">
        <v>2752</v>
      </c>
      <c r="C3133" t="s">
        <v>927</v>
      </c>
      <c r="D3133" t="s">
        <v>3052</v>
      </c>
      <c r="E3133" t="s">
        <v>3053</v>
      </c>
      <c r="F3133" t="s">
        <v>463</v>
      </c>
      <c r="G3133" t="s">
        <v>464</v>
      </c>
      <c r="H3133" t="s">
        <v>5118</v>
      </c>
      <c r="I3133">
        <v>41</v>
      </c>
      <c r="J3133">
        <v>5</v>
      </c>
      <c r="K3133">
        <v>0</v>
      </c>
      <c r="L3133">
        <v>34</v>
      </c>
      <c r="M3133">
        <v>0</v>
      </c>
      <c r="N3133">
        <v>0</v>
      </c>
      <c r="O3133">
        <v>2</v>
      </c>
    </row>
    <row r="3134" spans="1:15" x14ac:dyDescent="0.25">
      <c r="A3134" t="s">
        <v>964</v>
      </c>
      <c r="B3134" t="s">
        <v>1969</v>
      </c>
      <c r="C3134" t="s">
        <v>927</v>
      </c>
      <c r="D3134" t="s">
        <v>3052</v>
      </c>
      <c r="E3134" t="s">
        <v>3053</v>
      </c>
      <c r="F3134" t="s">
        <v>463</v>
      </c>
      <c r="G3134" t="s">
        <v>464</v>
      </c>
      <c r="H3134" t="s">
        <v>5119</v>
      </c>
      <c r="I3134">
        <v>106</v>
      </c>
      <c r="J3134">
        <v>73</v>
      </c>
      <c r="K3134">
        <v>0</v>
      </c>
      <c r="L3134">
        <v>0</v>
      </c>
      <c r="M3134">
        <v>0</v>
      </c>
      <c r="N3134">
        <v>0</v>
      </c>
      <c r="O3134">
        <v>33</v>
      </c>
    </row>
    <row r="3135" spans="1:15" x14ac:dyDescent="0.25">
      <c r="A3135" t="s">
        <v>1770</v>
      </c>
      <c r="B3135" t="s">
        <v>3030</v>
      </c>
      <c r="C3135" t="s">
        <v>927</v>
      </c>
      <c r="D3135" t="s">
        <v>3052</v>
      </c>
      <c r="E3135" t="s">
        <v>3053</v>
      </c>
      <c r="F3135" t="s">
        <v>463</v>
      </c>
      <c r="G3135" t="s">
        <v>464</v>
      </c>
      <c r="H3135" t="s">
        <v>5120</v>
      </c>
      <c r="I3135">
        <v>63</v>
      </c>
      <c r="J3135">
        <v>41</v>
      </c>
      <c r="K3135">
        <v>0</v>
      </c>
      <c r="L3135">
        <v>0</v>
      </c>
      <c r="M3135">
        <v>0</v>
      </c>
      <c r="N3135">
        <v>0</v>
      </c>
      <c r="O3135">
        <v>22</v>
      </c>
    </row>
    <row r="3136" spans="1:15" x14ac:dyDescent="0.25">
      <c r="A3136" t="s">
        <v>1069</v>
      </c>
      <c r="B3136" t="s">
        <v>2001</v>
      </c>
      <c r="C3136" t="s">
        <v>927</v>
      </c>
      <c r="D3136" t="s">
        <v>3052</v>
      </c>
      <c r="E3136" t="s">
        <v>3053</v>
      </c>
      <c r="F3136" t="s">
        <v>463</v>
      </c>
      <c r="G3136" t="s">
        <v>464</v>
      </c>
      <c r="H3136" t="s">
        <v>5121</v>
      </c>
      <c r="I3136">
        <v>664</v>
      </c>
      <c r="J3136">
        <v>319</v>
      </c>
      <c r="K3136">
        <v>0</v>
      </c>
      <c r="L3136">
        <v>58</v>
      </c>
      <c r="M3136">
        <v>224</v>
      </c>
      <c r="N3136">
        <v>0</v>
      </c>
      <c r="O3136">
        <v>63</v>
      </c>
    </row>
    <row r="3137" spans="1:15" x14ac:dyDescent="0.25">
      <c r="A3137" t="s">
        <v>1793</v>
      </c>
      <c r="B3137" t="s">
        <v>2075</v>
      </c>
      <c r="C3137" t="s">
        <v>927</v>
      </c>
      <c r="D3137" t="s">
        <v>3052</v>
      </c>
      <c r="E3137" t="s">
        <v>3053</v>
      </c>
      <c r="F3137" t="s">
        <v>463</v>
      </c>
      <c r="G3137" t="s">
        <v>464</v>
      </c>
      <c r="H3137" t="s">
        <v>5122</v>
      </c>
      <c r="I3137">
        <v>225</v>
      </c>
      <c r="J3137">
        <v>102</v>
      </c>
      <c r="K3137">
        <v>0</v>
      </c>
      <c r="L3137">
        <v>106</v>
      </c>
      <c r="M3137">
        <v>0</v>
      </c>
      <c r="N3137">
        <v>2</v>
      </c>
      <c r="O3137">
        <v>17</v>
      </c>
    </row>
    <row r="3138" spans="1:15" x14ac:dyDescent="0.25">
      <c r="A3138" t="s">
        <v>1196</v>
      </c>
      <c r="B3138" t="s">
        <v>3004</v>
      </c>
      <c r="C3138" t="s">
        <v>927</v>
      </c>
      <c r="D3138" t="s">
        <v>3052</v>
      </c>
      <c r="E3138" t="s">
        <v>3053</v>
      </c>
      <c r="F3138" t="s">
        <v>465</v>
      </c>
      <c r="G3138" t="s">
        <v>466</v>
      </c>
      <c r="H3138" t="s">
        <v>5123</v>
      </c>
      <c r="I3138">
        <v>4</v>
      </c>
      <c r="J3138">
        <v>4</v>
      </c>
      <c r="K3138">
        <v>0</v>
      </c>
      <c r="L3138">
        <v>0</v>
      </c>
      <c r="M3138">
        <v>0</v>
      </c>
      <c r="N3138">
        <v>0</v>
      </c>
      <c r="O3138">
        <v>0</v>
      </c>
    </row>
    <row r="3139" spans="1:15" x14ac:dyDescent="0.25">
      <c r="A3139" t="s">
        <v>10568</v>
      </c>
      <c r="B3139" t="s">
        <v>10567</v>
      </c>
      <c r="C3139" t="s">
        <v>927</v>
      </c>
      <c r="D3139" t="s">
        <v>3052</v>
      </c>
      <c r="E3139" t="s">
        <v>3053</v>
      </c>
      <c r="F3139" t="s">
        <v>465</v>
      </c>
      <c r="G3139" t="s">
        <v>466</v>
      </c>
      <c r="H3139" t="s">
        <v>11027</v>
      </c>
      <c r="I3139">
        <v>135</v>
      </c>
      <c r="J3139">
        <v>135</v>
      </c>
      <c r="K3139">
        <v>0</v>
      </c>
      <c r="L3139">
        <v>0</v>
      </c>
      <c r="M3139">
        <v>0</v>
      </c>
      <c r="N3139">
        <v>0</v>
      </c>
      <c r="O3139">
        <v>0</v>
      </c>
    </row>
    <row r="3140" spans="1:15" x14ac:dyDescent="0.25">
      <c r="A3140" t="s">
        <v>926</v>
      </c>
      <c r="B3140" t="s">
        <v>2923</v>
      </c>
      <c r="C3140" t="s">
        <v>927</v>
      </c>
      <c r="D3140" t="s">
        <v>3052</v>
      </c>
      <c r="E3140" t="s">
        <v>3053</v>
      </c>
      <c r="F3140" t="s">
        <v>465</v>
      </c>
      <c r="G3140" t="s">
        <v>466</v>
      </c>
      <c r="H3140" t="s">
        <v>5124</v>
      </c>
      <c r="I3140">
        <v>12</v>
      </c>
      <c r="J3140">
        <v>0</v>
      </c>
      <c r="K3140">
        <v>0</v>
      </c>
      <c r="L3140">
        <v>9</v>
      </c>
      <c r="M3140">
        <v>0</v>
      </c>
      <c r="N3140">
        <v>0</v>
      </c>
      <c r="O3140">
        <v>3</v>
      </c>
    </row>
    <row r="3141" spans="1:15" x14ac:dyDescent="0.25">
      <c r="A3141" t="s">
        <v>929</v>
      </c>
      <c r="B3141" t="s">
        <v>2999</v>
      </c>
      <c r="C3141" t="s">
        <v>927</v>
      </c>
      <c r="D3141" t="s">
        <v>3052</v>
      </c>
      <c r="E3141" t="s">
        <v>3053</v>
      </c>
      <c r="F3141" t="s">
        <v>465</v>
      </c>
      <c r="G3141" t="s">
        <v>466</v>
      </c>
      <c r="H3141" t="s">
        <v>5125</v>
      </c>
      <c r="I3141">
        <v>37</v>
      </c>
      <c r="J3141">
        <v>0</v>
      </c>
      <c r="K3141">
        <v>0</v>
      </c>
      <c r="L3141">
        <v>0</v>
      </c>
      <c r="M3141">
        <v>37</v>
      </c>
      <c r="N3141">
        <v>0</v>
      </c>
      <c r="O3141">
        <v>0</v>
      </c>
    </row>
    <row r="3142" spans="1:15" x14ac:dyDescent="0.25">
      <c r="A3142" t="s">
        <v>931</v>
      </c>
      <c r="B3142" t="s">
        <v>1978</v>
      </c>
      <c r="C3142" t="s">
        <v>927</v>
      </c>
      <c r="D3142" t="s">
        <v>3052</v>
      </c>
      <c r="E3142" t="s">
        <v>3053</v>
      </c>
      <c r="F3142" t="s">
        <v>465</v>
      </c>
      <c r="G3142" t="s">
        <v>466</v>
      </c>
      <c r="H3142" t="s">
        <v>5126</v>
      </c>
      <c r="I3142">
        <v>11</v>
      </c>
      <c r="J3142">
        <v>9</v>
      </c>
      <c r="K3142">
        <v>0</v>
      </c>
      <c r="L3142">
        <v>0</v>
      </c>
      <c r="M3142">
        <v>0</v>
      </c>
      <c r="N3142">
        <v>0</v>
      </c>
      <c r="O3142">
        <v>2</v>
      </c>
    </row>
    <row r="3143" spans="1:15" x14ac:dyDescent="0.25">
      <c r="A3143" t="s">
        <v>9784</v>
      </c>
      <c r="B3143" t="s">
        <v>1994</v>
      </c>
      <c r="C3143" t="s">
        <v>927</v>
      </c>
      <c r="D3143" t="s">
        <v>3052</v>
      </c>
      <c r="E3143" t="s">
        <v>3053</v>
      </c>
      <c r="F3143" t="s">
        <v>465</v>
      </c>
      <c r="G3143" t="s">
        <v>466</v>
      </c>
      <c r="H3143" t="s">
        <v>9942</v>
      </c>
      <c r="I3143">
        <v>12</v>
      </c>
      <c r="J3143">
        <v>0</v>
      </c>
      <c r="K3143">
        <v>0</v>
      </c>
      <c r="L3143">
        <v>12</v>
      </c>
      <c r="M3143">
        <v>0</v>
      </c>
      <c r="N3143">
        <v>0</v>
      </c>
      <c r="O3143">
        <v>0</v>
      </c>
    </row>
    <row r="3144" spans="1:15" x14ac:dyDescent="0.25">
      <c r="A3144" t="s">
        <v>1581</v>
      </c>
      <c r="B3144" t="s">
        <v>2917</v>
      </c>
      <c r="C3144" t="s">
        <v>927</v>
      </c>
      <c r="D3144" t="s">
        <v>3052</v>
      </c>
      <c r="E3144" t="s">
        <v>3053</v>
      </c>
      <c r="F3144" t="s">
        <v>465</v>
      </c>
      <c r="G3144" t="s">
        <v>466</v>
      </c>
      <c r="H3144" t="s">
        <v>5127</v>
      </c>
      <c r="I3144">
        <v>25</v>
      </c>
      <c r="J3144">
        <v>0</v>
      </c>
      <c r="K3144">
        <v>0</v>
      </c>
      <c r="L3144">
        <v>25</v>
      </c>
      <c r="M3144">
        <v>0</v>
      </c>
      <c r="N3144">
        <v>0</v>
      </c>
      <c r="O3144">
        <v>0</v>
      </c>
    </row>
    <row r="3145" spans="1:15" x14ac:dyDescent="0.25">
      <c r="A3145" t="s">
        <v>11701</v>
      </c>
      <c r="B3145" t="s">
        <v>2653</v>
      </c>
      <c r="C3145" t="s">
        <v>923</v>
      </c>
      <c r="D3145" t="s">
        <v>3063</v>
      </c>
      <c r="E3145" t="s">
        <v>3053</v>
      </c>
      <c r="F3145" t="s">
        <v>465</v>
      </c>
      <c r="G3145" t="s">
        <v>466</v>
      </c>
      <c r="H3145" t="s">
        <v>12036</v>
      </c>
      <c r="I3145">
        <v>55</v>
      </c>
      <c r="J3145">
        <v>0</v>
      </c>
      <c r="K3145">
        <v>0</v>
      </c>
      <c r="L3145">
        <v>0</v>
      </c>
      <c r="M3145">
        <v>55</v>
      </c>
      <c r="N3145">
        <v>0</v>
      </c>
      <c r="O3145">
        <v>0</v>
      </c>
    </row>
    <row r="3146" spans="1:15" x14ac:dyDescent="0.25">
      <c r="A3146" t="s">
        <v>933</v>
      </c>
      <c r="B3146" t="s">
        <v>2106</v>
      </c>
      <c r="C3146" t="s">
        <v>927</v>
      </c>
      <c r="D3146" t="s">
        <v>3052</v>
      </c>
      <c r="E3146" t="s">
        <v>3053</v>
      </c>
      <c r="F3146" t="s">
        <v>465</v>
      </c>
      <c r="G3146" t="s">
        <v>466</v>
      </c>
      <c r="H3146" t="s">
        <v>5128</v>
      </c>
      <c r="I3146">
        <v>4</v>
      </c>
      <c r="J3146">
        <v>0</v>
      </c>
      <c r="K3146">
        <v>0</v>
      </c>
      <c r="L3146">
        <v>4</v>
      </c>
      <c r="M3146">
        <v>0</v>
      </c>
      <c r="N3146">
        <v>0</v>
      </c>
      <c r="O3146">
        <v>0</v>
      </c>
    </row>
    <row r="3147" spans="1:15" x14ac:dyDescent="0.25">
      <c r="A3147" t="s">
        <v>10638</v>
      </c>
      <c r="B3147" t="s">
        <v>2057</v>
      </c>
      <c r="C3147" t="s">
        <v>927</v>
      </c>
      <c r="D3147" t="s">
        <v>3052</v>
      </c>
      <c r="E3147" t="s">
        <v>3053</v>
      </c>
      <c r="F3147" t="s">
        <v>465</v>
      </c>
      <c r="G3147" t="s">
        <v>466</v>
      </c>
      <c r="H3147" t="s">
        <v>11028</v>
      </c>
      <c r="I3147">
        <v>13</v>
      </c>
      <c r="J3147">
        <v>0</v>
      </c>
      <c r="K3147">
        <v>0</v>
      </c>
      <c r="L3147">
        <v>13</v>
      </c>
      <c r="M3147">
        <v>0</v>
      </c>
      <c r="N3147">
        <v>0</v>
      </c>
      <c r="O3147">
        <v>0</v>
      </c>
    </row>
    <row r="3148" spans="1:15" x14ac:dyDescent="0.25">
      <c r="A3148" t="s">
        <v>937</v>
      </c>
      <c r="B3148" t="s">
        <v>1962</v>
      </c>
      <c r="C3148" t="s">
        <v>927</v>
      </c>
      <c r="D3148" t="s">
        <v>3052</v>
      </c>
      <c r="E3148" t="s">
        <v>3053</v>
      </c>
      <c r="F3148" t="s">
        <v>465</v>
      </c>
      <c r="G3148" t="s">
        <v>466</v>
      </c>
      <c r="H3148" t="s">
        <v>5129</v>
      </c>
      <c r="I3148">
        <v>1</v>
      </c>
      <c r="J3148">
        <v>0</v>
      </c>
      <c r="K3148">
        <v>0</v>
      </c>
      <c r="L3148">
        <v>0</v>
      </c>
      <c r="M3148">
        <v>0</v>
      </c>
      <c r="N3148">
        <v>0</v>
      </c>
      <c r="O3148">
        <v>1</v>
      </c>
    </row>
    <row r="3149" spans="1:15" x14ac:dyDescent="0.25">
      <c r="A3149" t="s">
        <v>1011</v>
      </c>
      <c r="B3149" t="s">
        <v>2020</v>
      </c>
      <c r="C3149" t="s">
        <v>927</v>
      </c>
      <c r="D3149" t="s">
        <v>3052</v>
      </c>
      <c r="E3149" t="s">
        <v>3053</v>
      </c>
      <c r="F3149" t="s">
        <v>465</v>
      </c>
      <c r="G3149" t="s">
        <v>466</v>
      </c>
      <c r="H3149" t="s">
        <v>5130</v>
      </c>
      <c r="I3149">
        <v>6</v>
      </c>
      <c r="J3149">
        <v>0</v>
      </c>
      <c r="K3149">
        <v>0</v>
      </c>
      <c r="L3149">
        <v>6</v>
      </c>
      <c r="M3149">
        <v>0</v>
      </c>
      <c r="N3149">
        <v>0</v>
      </c>
      <c r="O3149">
        <v>0</v>
      </c>
    </row>
    <row r="3150" spans="1:15" x14ac:dyDescent="0.25">
      <c r="A3150" t="s">
        <v>938</v>
      </c>
      <c r="B3150" t="s">
        <v>2791</v>
      </c>
      <c r="C3150" t="s">
        <v>927</v>
      </c>
      <c r="D3150" t="s">
        <v>3052</v>
      </c>
      <c r="E3150" t="s">
        <v>3053</v>
      </c>
      <c r="F3150" t="s">
        <v>465</v>
      </c>
      <c r="G3150" t="s">
        <v>466</v>
      </c>
      <c r="H3150" t="s">
        <v>5131</v>
      </c>
      <c r="I3150">
        <v>11</v>
      </c>
      <c r="J3150">
        <v>9</v>
      </c>
      <c r="K3150">
        <v>0</v>
      </c>
      <c r="L3150">
        <v>2</v>
      </c>
      <c r="M3150">
        <v>0</v>
      </c>
      <c r="N3150">
        <v>0</v>
      </c>
      <c r="O3150">
        <v>0</v>
      </c>
    </row>
    <row r="3151" spans="1:15" x14ac:dyDescent="0.25">
      <c r="A3151" t="s">
        <v>1012</v>
      </c>
      <c r="B3151" t="s">
        <v>2911</v>
      </c>
      <c r="C3151" t="s">
        <v>927</v>
      </c>
      <c r="D3151" t="s">
        <v>3052</v>
      </c>
      <c r="E3151" t="s">
        <v>3053</v>
      </c>
      <c r="F3151" t="s">
        <v>465</v>
      </c>
      <c r="G3151" t="s">
        <v>466</v>
      </c>
      <c r="H3151" t="s">
        <v>5132</v>
      </c>
      <c r="I3151">
        <v>354</v>
      </c>
      <c r="J3151">
        <v>295</v>
      </c>
      <c r="K3151">
        <v>0</v>
      </c>
      <c r="L3151">
        <v>0</v>
      </c>
      <c r="M3151">
        <v>31</v>
      </c>
      <c r="N3151">
        <v>0</v>
      </c>
      <c r="O3151">
        <v>28</v>
      </c>
    </row>
    <row r="3152" spans="1:15" x14ac:dyDescent="0.25">
      <c r="A3152" t="s">
        <v>1126</v>
      </c>
      <c r="B3152" t="s">
        <v>2130</v>
      </c>
      <c r="C3152" t="s">
        <v>927</v>
      </c>
      <c r="D3152" t="s">
        <v>3052</v>
      </c>
      <c r="E3152" t="s">
        <v>3053</v>
      </c>
      <c r="F3152" t="s">
        <v>465</v>
      </c>
      <c r="G3152" t="s">
        <v>466</v>
      </c>
      <c r="H3152" t="s">
        <v>14735</v>
      </c>
      <c r="I3152">
        <v>7</v>
      </c>
      <c r="J3152">
        <v>0</v>
      </c>
      <c r="K3152">
        <v>0</v>
      </c>
      <c r="L3152">
        <v>0</v>
      </c>
      <c r="M3152">
        <v>0</v>
      </c>
      <c r="N3152">
        <v>0</v>
      </c>
      <c r="O3152">
        <v>7</v>
      </c>
    </row>
    <row r="3153" spans="1:15" x14ac:dyDescent="0.25">
      <c r="A3153" t="s">
        <v>1628</v>
      </c>
      <c r="B3153" t="s">
        <v>2851</v>
      </c>
      <c r="C3153" t="s">
        <v>927</v>
      </c>
      <c r="D3153" t="s">
        <v>3052</v>
      </c>
      <c r="E3153" t="s">
        <v>3053</v>
      </c>
      <c r="F3153" t="s">
        <v>465</v>
      </c>
      <c r="G3153" t="s">
        <v>466</v>
      </c>
      <c r="H3153" t="s">
        <v>5133</v>
      </c>
      <c r="I3153">
        <v>31</v>
      </c>
      <c r="J3153">
        <v>31</v>
      </c>
      <c r="K3153">
        <v>0</v>
      </c>
      <c r="L3153">
        <v>0</v>
      </c>
      <c r="M3153">
        <v>0</v>
      </c>
      <c r="N3153">
        <v>0</v>
      </c>
      <c r="O3153">
        <v>0</v>
      </c>
    </row>
    <row r="3154" spans="1:15" x14ac:dyDescent="0.25">
      <c r="A3154" t="s">
        <v>945</v>
      </c>
      <c r="B3154" t="s">
        <v>2668</v>
      </c>
      <c r="C3154" t="s">
        <v>927</v>
      </c>
      <c r="D3154" t="s">
        <v>3052</v>
      </c>
      <c r="E3154" t="s">
        <v>3053</v>
      </c>
      <c r="F3154" t="s">
        <v>465</v>
      </c>
      <c r="G3154" t="s">
        <v>466</v>
      </c>
      <c r="H3154" t="s">
        <v>5134</v>
      </c>
      <c r="I3154">
        <v>1</v>
      </c>
      <c r="J3154">
        <v>0</v>
      </c>
      <c r="K3154">
        <v>0</v>
      </c>
      <c r="L3154">
        <v>0</v>
      </c>
      <c r="M3154">
        <v>0</v>
      </c>
      <c r="N3154">
        <v>0</v>
      </c>
      <c r="O3154">
        <v>1</v>
      </c>
    </row>
    <row r="3155" spans="1:15" x14ac:dyDescent="0.25">
      <c r="A3155" t="s">
        <v>1140</v>
      </c>
      <c r="B3155" t="s">
        <v>2697</v>
      </c>
      <c r="C3155" t="s">
        <v>927</v>
      </c>
      <c r="D3155" t="s">
        <v>3052</v>
      </c>
      <c r="E3155" t="s">
        <v>3053</v>
      </c>
      <c r="F3155" t="s">
        <v>465</v>
      </c>
      <c r="G3155" t="s">
        <v>466</v>
      </c>
      <c r="H3155" t="s">
        <v>5135</v>
      </c>
      <c r="I3155">
        <v>1</v>
      </c>
      <c r="J3155">
        <v>0</v>
      </c>
      <c r="K3155">
        <v>0</v>
      </c>
      <c r="L3155">
        <v>0</v>
      </c>
      <c r="M3155">
        <v>0</v>
      </c>
      <c r="N3155">
        <v>0</v>
      </c>
      <c r="O3155">
        <v>1</v>
      </c>
    </row>
    <row r="3156" spans="1:15" x14ac:dyDescent="0.25">
      <c r="A3156" t="s">
        <v>951</v>
      </c>
      <c r="B3156" t="s">
        <v>2680</v>
      </c>
      <c r="C3156" t="s">
        <v>927</v>
      </c>
      <c r="D3156" t="s">
        <v>3052</v>
      </c>
      <c r="E3156" t="s">
        <v>3053</v>
      </c>
      <c r="F3156" t="s">
        <v>465</v>
      </c>
      <c r="G3156" t="s">
        <v>466</v>
      </c>
      <c r="H3156" t="s">
        <v>5136</v>
      </c>
      <c r="I3156">
        <v>14</v>
      </c>
      <c r="J3156">
        <v>14</v>
      </c>
      <c r="K3156">
        <v>0</v>
      </c>
      <c r="L3156">
        <v>0</v>
      </c>
      <c r="M3156">
        <v>0</v>
      </c>
      <c r="N3156">
        <v>0</v>
      </c>
      <c r="O3156">
        <v>0</v>
      </c>
    </row>
    <row r="3157" spans="1:15" x14ac:dyDescent="0.25">
      <c r="A3157" t="s">
        <v>1644</v>
      </c>
      <c r="B3157" t="s">
        <v>2683</v>
      </c>
      <c r="C3157" t="s">
        <v>923</v>
      </c>
      <c r="D3157" t="s">
        <v>3063</v>
      </c>
      <c r="E3157" t="s">
        <v>3053</v>
      </c>
      <c r="F3157" t="s">
        <v>465</v>
      </c>
      <c r="G3157" t="s">
        <v>466</v>
      </c>
      <c r="H3157" t="s">
        <v>5137</v>
      </c>
      <c r="I3157">
        <v>12</v>
      </c>
      <c r="J3157">
        <v>12</v>
      </c>
      <c r="K3157">
        <v>0</v>
      </c>
      <c r="L3157">
        <v>0</v>
      </c>
      <c r="M3157">
        <v>0</v>
      </c>
      <c r="N3157">
        <v>0</v>
      </c>
      <c r="O3157">
        <v>0</v>
      </c>
    </row>
    <row r="3158" spans="1:15" x14ac:dyDescent="0.25">
      <c r="A3158" t="s">
        <v>1051</v>
      </c>
      <c r="B3158" t="s">
        <v>2995</v>
      </c>
      <c r="C3158" t="s">
        <v>927</v>
      </c>
      <c r="D3158" t="s">
        <v>3052</v>
      </c>
      <c r="E3158" t="s">
        <v>3053</v>
      </c>
      <c r="F3158" t="s">
        <v>465</v>
      </c>
      <c r="G3158" t="s">
        <v>466</v>
      </c>
      <c r="H3158" t="s">
        <v>5138</v>
      </c>
      <c r="I3158">
        <v>29</v>
      </c>
      <c r="J3158">
        <v>0</v>
      </c>
      <c r="K3158">
        <v>0</v>
      </c>
      <c r="L3158">
        <v>29</v>
      </c>
      <c r="M3158">
        <v>0</v>
      </c>
      <c r="N3158">
        <v>0</v>
      </c>
      <c r="O3158">
        <v>0</v>
      </c>
    </row>
    <row r="3159" spans="1:15" x14ac:dyDescent="0.25">
      <c r="A3159" t="s">
        <v>9788</v>
      </c>
      <c r="B3159" t="s">
        <v>9871</v>
      </c>
      <c r="C3159" t="s">
        <v>927</v>
      </c>
      <c r="D3159" t="s">
        <v>3052</v>
      </c>
      <c r="E3159" t="s">
        <v>3053</v>
      </c>
      <c r="F3159" t="s">
        <v>465</v>
      </c>
      <c r="G3159" t="s">
        <v>466</v>
      </c>
      <c r="H3159" t="s">
        <v>10349</v>
      </c>
      <c r="I3159">
        <v>34</v>
      </c>
      <c r="J3159">
        <v>34</v>
      </c>
      <c r="K3159">
        <v>0</v>
      </c>
      <c r="L3159">
        <v>0</v>
      </c>
      <c r="M3159">
        <v>0</v>
      </c>
      <c r="N3159">
        <v>0</v>
      </c>
      <c r="O3159">
        <v>0</v>
      </c>
    </row>
    <row r="3160" spans="1:15" x14ac:dyDescent="0.25">
      <c r="A3160" t="s">
        <v>955</v>
      </c>
      <c r="B3160" t="s">
        <v>2660</v>
      </c>
      <c r="C3160" t="s">
        <v>927</v>
      </c>
      <c r="D3160" t="s">
        <v>3052</v>
      </c>
      <c r="E3160" t="s">
        <v>3053</v>
      </c>
      <c r="F3160" t="s">
        <v>465</v>
      </c>
      <c r="G3160" t="s">
        <v>466</v>
      </c>
      <c r="H3160" t="s">
        <v>5139</v>
      </c>
      <c r="I3160">
        <v>53</v>
      </c>
      <c r="J3160">
        <v>53</v>
      </c>
      <c r="K3160">
        <v>0</v>
      </c>
      <c r="L3160">
        <v>0</v>
      </c>
      <c r="M3160">
        <v>0</v>
      </c>
      <c r="N3160">
        <v>0</v>
      </c>
      <c r="O3160">
        <v>0</v>
      </c>
    </row>
    <row r="3161" spans="1:15" x14ac:dyDescent="0.25">
      <c r="A3161" t="s">
        <v>14374</v>
      </c>
      <c r="B3161" t="s">
        <v>1943</v>
      </c>
      <c r="C3161" t="s">
        <v>927</v>
      </c>
      <c r="D3161" t="s">
        <v>3052</v>
      </c>
      <c r="E3161" t="s">
        <v>3053</v>
      </c>
      <c r="F3161" t="s">
        <v>465</v>
      </c>
      <c r="G3161" t="s">
        <v>466</v>
      </c>
      <c r="H3161" t="s">
        <v>14736</v>
      </c>
      <c r="I3161">
        <v>13</v>
      </c>
      <c r="J3161">
        <v>0</v>
      </c>
      <c r="K3161">
        <v>0</v>
      </c>
      <c r="L3161">
        <v>0</v>
      </c>
      <c r="M3161">
        <v>0</v>
      </c>
      <c r="N3161">
        <v>0</v>
      </c>
      <c r="O3161">
        <v>13</v>
      </c>
    </row>
    <row r="3162" spans="1:15" x14ac:dyDescent="0.25">
      <c r="A3162" t="s">
        <v>962</v>
      </c>
      <c r="B3162" t="s">
        <v>2752</v>
      </c>
      <c r="C3162" t="s">
        <v>927</v>
      </c>
      <c r="D3162" t="s">
        <v>3052</v>
      </c>
      <c r="E3162" t="s">
        <v>3053</v>
      </c>
      <c r="F3162" t="s">
        <v>465</v>
      </c>
      <c r="G3162" t="s">
        <v>466</v>
      </c>
      <c r="H3162" t="s">
        <v>5140</v>
      </c>
      <c r="I3162">
        <v>42</v>
      </c>
      <c r="J3162">
        <v>11</v>
      </c>
      <c r="K3162">
        <v>0</v>
      </c>
      <c r="L3162">
        <v>1</v>
      </c>
      <c r="M3162">
        <v>30</v>
      </c>
      <c r="N3162">
        <v>0</v>
      </c>
      <c r="O3162">
        <v>0</v>
      </c>
    </row>
    <row r="3163" spans="1:15" x14ac:dyDescent="0.25">
      <c r="A3163" t="s">
        <v>1670</v>
      </c>
      <c r="B3163" t="s">
        <v>2536</v>
      </c>
      <c r="C3163" t="s">
        <v>923</v>
      </c>
      <c r="D3163" t="s">
        <v>3063</v>
      </c>
      <c r="E3163" t="s">
        <v>3053</v>
      </c>
      <c r="F3163" t="s">
        <v>465</v>
      </c>
      <c r="G3163" t="s">
        <v>466</v>
      </c>
      <c r="H3163" t="s">
        <v>5141</v>
      </c>
      <c r="I3163">
        <v>16</v>
      </c>
      <c r="J3163">
        <v>0</v>
      </c>
      <c r="K3163">
        <v>0</v>
      </c>
      <c r="L3163">
        <v>0</v>
      </c>
      <c r="M3163">
        <v>16</v>
      </c>
      <c r="N3163">
        <v>0</v>
      </c>
      <c r="O3163">
        <v>0</v>
      </c>
    </row>
    <row r="3164" spans="1:15" x14ac:dyDescent="0.25">
      <c r="A3164" t="s">
        <v>1066</v>
      </c>
      <c r="B3164" t="s">
        <v>2557</v>
      </c>
      <c r="C3164" t="s">
        <v>927</v>
      </c>
      <c r="D3164" t="s">
        <v>3052</v>
      </c>
      <c r="E3164" t="s">
        <v>3053</v>
      </c>
      <c r="F3164" t="s">
        <v>465</v>
      </c>
      <c r="G3164" t="s">
        <v>466</v>
      </c>
      <c r="H3164" t="s">
        <v>5142</v>
      </c>
      <c r="I3164">
        <v>16</v>
      </c>
      <c r="J3164">
        <v>0</v>
      </c>
      <c r="K3164">
        <v>0</v>
      </c>
      <c r="L3164">
        <v>0</v>
      </c>
      <c r="M3164">
        <v>14</v>
      </c>
      <c r="N3164">
        <v>0</v>
      </c>
      <c r="O3164">
        <v>2</v>
      </c>
    </row>
    <row r="3165" spans="1:15" x14ac:dyDescent="0.25">
      <c r="A3165" t="s">
        <v>1069</v>
      </c>
      <c r="B3165" t="s">
        <v>2001</v>
      </c>
      <c r="C3165" t="s">
        <v>927</v>
      </c>
      <c r="D3165" t="s">
        <v>3052</v>
      </c>
      <c r="E3165" t="s">
        <v>3053</v>
      </c>
      <c r="F3165" t="s">
        <v>465</v>
      </c>
      <c r="G3165" t="s">
        <v>466</v>
      </c>
      <c r="H3165" t="s">
        <v>5143</v>
      </c>
      <c r="I3165">
        <v>89</v>
      </c>
      <c r="J3165">
        <v>65</v>
      </c>
      <c r="K3165">
        <v>0</v>
      </c>
      <c r="L3165">
        <v>0</v>
      </c>
      <c r="M3165">
        <v>0</v>
      </c>
      <c r="N3165">
        <v>0</v>
      </c>
      <c r="O3165">
        <v>24</v>
      </c>
    </row>
    <row r="3166" spans="1:15" x14ac:dyDescent="0.25">
      <c r="A3166" t="s">
        <v>966</v>
      </c>
      <c r="B3166" t="s">
        <v>2684</v>
      </c>
      <c r="C3166" t="s">
        <v>927</v>
      </c>
      <c r="D3166" t="s">
        <v>3052</v>
      </c>
      <c r="E3166" t="s">
        <v>3053</v>
      </c>
      <c r="F3166" t="s">
        <v>465</v>
      </c>
      <c r="G3166" t="s">
        <v>466</v>
      </c>
      <c r="H3166" t="s">
        <v>5144</v>
      </c>
      <c r="I3166">
        <v>285</v>
      </c>
      <c r="J3166">
        <v>209</v>
      </c>
      <c r="K3166">
        <v>0</v>
      </c>
      <c r="L3166">
        <v>0</v>
      </c>
      <c r="M3166">
        <v>0</v>
      </c>
      <c r="N3166">
        <v>0</v>
      </c>
      <c r="O3166">
        <v>76</v>
      </c>
    </row>
    <row r="3167" spans="1:15" x14ac:dyDescent="0.25">
      <c r="A3167" t="s">
        <v>1686</v>
      </c>
      <c r="B3167" t="s">
        <v>2988</v>
      </c>
      <c r="C3167" t="s">
        <v>923</v>
      </c>
      <c r="D3167" t="s">
        <v>3063</v>
      </c>
      <c r="E3167" t="s">
        <v>3053</v>
      </c>
      <c r="F3167" t="s">
        <v>465</v>
      </c>
      <c r="G3167" t="s">
        <v>466</v>
      </c>
      <c r="H3167" t="s">
        <v>5145</v>
      </c>
      <c r="I3167">
        <v>46</v>
      </c>
      <c r="J3167">
        <v>0</v>
      </c>
      <c r="K3167">
        <v>0</v>
      </c>
      <c r="L3167">
        <v>46</v>
      </c>
      <c r="M3167">
        <v>0</v>
      </c>
      <c r="N3167">
        <v>0</v>
      </c>
      <c r="O3167">
        <v>0</v>
      </c>
    </row>
    <row r="3168" spans="1:15" x14ac:dyDescent="0.25">
      <c r="A3168" t="s">
        <v>968</v>
      </c>
      <c r="B3168" t="s">
        <v>2091</v>
      </c>
      <c r="C3168" t="s">
        <v>927</v>
      </c>
      <c r="D3168" t="s">
        <v>3052</v>
      </c>
      <c r="E3168" t="s">
        <v>3053</v>
      </c>
      <c r="F3168" t="s">
        <v>465</v>
      </c>
      <c r="G3168" t="s">
        <v>466</v>
      </c>
      <c r="H3168" t="s">
        <v>5146</v>
      </c>
      <c r="I3168">
        <v>823</v>
      </c>
      <c r="J3168">
        <v>650</v>
      </c>
      <c r="K3168">
        <v>0</v>
      </c>
      <c r="L3168">
        <v>24</v>
      </c>
      <c r="M3168">
        <v>0</v>
      </c>
      <c r="N3168">
        <v>0</v>
      </c>
      <c r="O3168">
        <v>149</v>
      </c>
    </row>
    <row r="3169" spans="1:15" x14ac:dyDescent="0.25">
      <c r="A3169" t="s">
        <v>971</v>
      </c>
      <c r="B3169" t="s">
        <v>2956</v>
      </c>
      <c r="C3169" t="s">
        <v>927</v>
      </c>
      <c r="D3169" t="s">
        <v>3052</v>
      </c>
      <c r="E3169" t="s">
        <v>3053</v>
      </c>
      <c r="F3169" t="s">
        <v>467</v>
      </c>
      <c r="G3169" t="s">
        <v>468</v>
      </c>
      <c r="H3169" t="s">
        <v>5147</v>
      </c>
      <c r="I3169">
        <v>429</v>
      </c>
      <c r="J3169">
        <v>361</v>
      </c>
      <c r="K3169">
        <v>0</v>
      </c>
      <c r="L3169">
        <v>0</v>
      </c>
      <c r="M3169">
        <v>53</v>
      </c>
      <c r="N3169">
        <v>2</v>
      </c>
      <c r="O3169">
        <v>15</v>
      </c>
    </row>
    <row r="3170" spans="1:15" x14ac:dyDescent="0.25">
      <c r="A3170" t="s">
        <v>929</v>
      </c>
      <c r="B3170" t="s">
        <v>2999</v>
      </c>
      <c r="C3170" t="s">
        <v>927</v>
      </c>
      <c r="D3170" t="s">
        <v>3052</v>
      </c>
      <c r="E3170" t="s">
        <v>3053</v>
      </c>
      <c r="F3170" t="s">
        <v>467</v>
      </c>
      <c r="G3170" t="s">
        <v>468</v>
      </c>
      <c r="H3170" t="s">
        <v>5148</v>
      </c>
      <c r="I3170">
        <v>27</v>
      </c>
      <c r="J3170">
        <v>0</v>
      </c>
      <c r="K3170">
        <v>0</v>
      </c>
      <c r="L3170">
        <v>0</v>
      </c>
      <c r="M3170">
        <v>27</v>
      </c>
      <c r="N3170">
        <v>0</v>
      </c>
      <c r="O3170">
        <v>0</v>
      </c>
    </row>
    <row r="3171" spans="1:15" x14ac:dyDescent="0.25">
      <c r="A3171" t="s">
        <v>9784</v>
      </c>
      <c r="B3171" t="s">
        <v>1994</v>
      </c>
      <c r="C3171" t="s">
        <v>927</v>
      </c>
      <c r="D3171" t="s">
        <v>3052</v>
      </c>
      <c r="E3171" t="s">
        <v>3053</v>
      </c>
      <c r="F3171" t="s">
        <v>467</v>
      </c>
      <c r="G3171" t="s">
        <v>468</v>
      </c>
      <c r="H3171" t="s">
        <v>9943</v>
      </c>
      <c r="I3171">
        <v>12</v>
      </c>
      <c r="J3171">
        <v>0</v>
      </c>
      <c r="K3171">
        <v>0</v>
      </c>
      <c r="L3171">
        <v>12</v>
      </c>
      <c r="M3171">
        <v>0</v>
      </c>
      <c r="N3171">
        <v>0</v>
      </c>
      <c r="O3171">
        <v>0</v>
      </c>
    </row>
    <row r="3172" spans="1:15" x14ac:dyDescent="0.25">
      <c r="A3172" t="s">
        <v>989</v>
      </c>
      <c r="B3172" t="s">
        <v>2016</v>
      </c>
      <c r="C3172" t="s">
        <v>923</v>
      </c>
      <c r="D3172" t="s">
        <v>3063</v>
      </c>
      <c r="E3172" t="s">
        <v>3053</v>
      </c>
      <c r="F3172" t="s">
        <v>467</v>
      </c>
      <c r="G3172" t="s">
        <v>468</v>
      </c>
      <c r="H3172" t="s">
        <v>5150</v>
      </c>
      <c r="I3172">
        <v>5</v>
      </c>
      <c r="J3172">
        <v>0</v>
      </c>
      <c r="K3172">
        <v>0</v>
      </c>
      <c r="L3172">
        <v>5</v>
      </c>
      <c r="M3172">
        <v>0</v>
      </c>
      <c r="N3172">
        <v>0</v>
      </c>
      <c r="O3172">
        <v>0</v>
      </c>
    </row>
    <row r="3173" spans="1:15" x14ac:dyDescent="0.25">
      <c r="A3173" t="s">
        <v>933</v>
      </c>
      <c r="B3173" t="s">
        <v>2106</v>
      </c>
      <c r="C3173" t="s">
        <v>927</v>
      </c>
      <c r="D3173" t="s">
        <v>3052</v>
      </c>
      <c r="E3173" t="s">
        <v>3053</v>
      </c>
      <c r="F3173" t="s">
        <v>467</v>
      </c>
      <c r="G3173" t="s">
        <v>468</v>
      </c>
      <c r="H3173" t="s">
        <v>5151</v>
      </c>
      <c r="I3173">
        <v>4002</v>
      </c>
      <c r="J3173">
        <v>3536</v>
      </c>
      <c r="K3173">
        <v>0</v>
      </c>
      <c r="L3173">
        <v>2</v>
      </c>
      <c r="M3173">
        <v>380</v>
      </c>
      <c r="N3173">
        <v>5</v>
      </c>
      <c r="O3173">
        <v>84</v>
      </c>
    </row>
    <row r="3174" spans="1:15" x14ac:dyDescent="0.25">
      <c r="A3174" t="s">
        <v>992</v>
      </c>
      <c r="B3174" t="s">
        <v>3033</v>
      </c>
      <c r="C3174" t="s">
        <v>927</v>
      </c>
      <c r="D3174" t="s">
        <v>3052</v>
      </c>
      <c r="E3174" t="s">
        <v>3053</v>
      </c>
      <c r="F3174" t="s">
        <v>467</v>
      </c>
      <c r="G3174" t="s">
        <v>468</v>
      </c>
      <c r="H3174" t="s">
        <v>5152</v>
      </c>
      <c r="I3174">
        <v>67</v>
      </c>
      <c r="J3174">
        <v>47</v>
      </c>
      <c r="K3174">
        <v>0</v>
      </c>
      <c r="L3174">
        <v>0</v>
      </c>
      <c r="M3174">
        <v>0</v>
      </c>
      <c r="N3174">
        <v>0</v>
      </c>
      <c r="O3174">
        <v>20</v>
      </c>
    </row>
    <row r="3175" spans="1:15" x14ac:dyDescent="0.25">
      <c r="A3175" t="s">
        <v>1000</v>
      </c>
      <c r="B3175" t="s">
        <v>1984</v>
      </c>
      <c r="C3175" t="s">
        <v>923</v>
      </c>
      <c r="D3175" t="s">
        <v>3063</v>
      </c>
      <c r="E3175" t="s">
        <v>3053</v>
      </c>
      <c r="F3175" t="s">
        <v>467</v>
      </c>
      <c r="G3175" t="s">
        <v>468</v>
      </c>
      <c r="H3175" t="s">
        <v>5153</v>
      </c>
      <c r="I3175">
        <v>3</v>
      </c>
      <c r="J3175">
        <v>0</v>
      </c>
      <c r="K3175">
        <v>0</v>
      </c>
      <c r="L3175">
        <v>3</v>
      </c>
      <c r="M3175">
        <v>0</v>
      </c>
      <c r="N3175">
        <v>0</v>
      </c>
      <c r="O3175">
        <v>0</v>
      </c>
    </row>
    <row r="3176" spans="1:15" x14ac:dyDescent="0.25">
      <c r="A3176" t="s">
        <v>1113</v>
      </c>
      <c r="B3176" t="s">
        <v>1953</v>
      </c>
      <c r="C3176" t="s">
        <v>927</v>
      </c>
      <c r="D3176" t="s">
        <v>3052</v>
      </c>
      <c r="E3176" t="s">
        <v>3053</v>
      </c>
      <c r="F3176" t="s">
        <v>467</v>
      </c>
      <c r="G3176" t="s">
        <v>468</v>
      </c>
      <c r="H3176" t="s">
        <v>5154</v>
      </c>
      <c r="I3176">
        <v>25</v>
      </c>
      <c r="J3176">
        <v>13</v>
      </c>
      <c r="K3176">
        <v>0</v>
      </c>
      <c r="L3176">
        <v>0</v>
      </c>
      <c r="M3176">
        <v>0</v>
      </c>
      <c r="N3176">
        <v>0</v>
      </c>
      <c r="O3176">
        <v>12</v>
      </c>
    </row>
    <row r="3177" spans="1:15" x14ac:dyDescent="0.25">
      <c r="A3177" t="s">
        <v>1002</v>
      </c>
      <c r="B3177" t="s">
        <v>2078</v>
      </c>
      <c r="C3177" t="s">
        <v>923</v>
      </c>
      <c r="D3177" t="s">
        <v>3063</v>
      </c>
      <c r="E3177" t="s">
        <v>3053</v>
      </c>
      <c r="F3177" t="s">
        <v>467</v>
      </c>
      <c r="G3177" t="s">
        <v>468</v>
      </c>
      <c r="H3177" t="s">
        <v>5155</v>
      </c>
      <c r="I3177">
        <v>1</v>
      </c>
      <c r="J3177">
        <v>0</v>
      </c>
      <c r="K3177">
        <v>0</v>
      </c>
      <c r="L3177">
        <v>1</v>
      </c>
      <c r="M3177">
        <v>0</v>
      </c>
      <c r="N3177">
        <v>0</v>
      </c>
      <c r="O3177">
        <v>0</v>
      </c>
    </row>
    <row r="3178" spans="1:15" x14ac:dyDescent="0.25">
      <c r="A3178" t="s">
        <v>10638</v>
      </c>
      <c r="B3178" t="s">
        <v>2057</v>
      </c>
      <c r="C3178" t="s">
        <v>927</v>
      </c>
      <c r="D3178" t="s">
        <v>3052</v>
      </c>
      <c r="E3178" t="s">
        <v>3053</v>
      </c>
      <c r="F3178" t="s">
        <v>467</v>
      </c>
      <c r="G3178" t="s">
        <v>468</v>
      </c>
      <c r="H3178" t="s">
        <v>11029</v>
      </c>
      <c r="I3178">
        <v>6</v>
      </c>
      <c r="J3178">
        <v>0</v>
      </c>
      <c r="K3178">
        <v>0</v>
      </c>
      <c r="L3178">
        <v>6</v>
      </c>
      <c r="M3178">
        <v>0</v>
      </c>
      <c r="N3178">
        <v>0</v>
      </c>
      <c r="O3178">
        <v>0</v>
      </c>
    </row>
    <row r="3179" spans="1:15" x14ac:dyDescent="0.25">
      <c r="A3179" t="s">
        <v>937</v>
      </c>
      <c r="B3179" t="s">
        <v>1962</v>
      </c>
      <c r="C3179" t="s">
        <v>927</v>
      </c>
      <c r="D3179" t="s">
        <v>3052</v>
      </c>
      <c r="E3179" t="s">
        <v>3053</v>
      </c>
      <c r="F3179" t="s">
        <v>467</v>
      </c>
      <c r="G3179" t="s">
        <v>468</v>
      </c>
      <c r="H3179" t="s">
        <v>12037</v>
      </c>
      <c r="I3179">
        <v>23</v>
      </c>
      <c r="J3179">
        <v>0</v>
      </c>
      <c r="K3179">
        <v>0</v>
      </c>
      <c r="L3179">
        <v>0</v>
      </c>
      <c r="M3179">
        <v>0</v>
      </c>
      <c r="N3179">
        <v>0</v>
      </c>
      <c r="O3179">
        <v>23</v>
      </c>
    </row>
    <row r="3180" spans="1:15" x14ac:dyDescent="0.25">
      <c r="A3180" t="s">
        <v>938</v>
      </c>
      <c r="B3180" t="s">
        <v>2791</v>
      </c>
      <c r="C3180" t="s">
        <v>927</v>
      </c>
      <c r="D3180" t="s">
        <v>3052</v>
      </c>
      <c r="E3180" t="s">
        <v>3053</v>
      </c>
      <c r="F3180" t="s">
        <v>467</v>
      </c>
      <c r="G3180" t="s">
        <v>468</v>
      </c>
      <c r="H3180" t="s">
        <v>5156</v>
      </c>
      <c r="I3180">
        <v>107</v>
      </c>
      <c r="J3180">
        <v>75</v>
      </c>
      <c r="K3180">
        <v>0</v>
      </c>
      <c r="L3180">
        <v>16</v>
      </c>
      <c r="M3180">
        <v>0</v>
      </c>
      <c r="N3180">
        <v>0</v>
      </c>
      <c r="O3180">
        <v>16</v>
      </c>
    </row>
    <row r="3181" spans="1:15" x14ac:dyDescent="0.25">
      <c r="A3181" t="s">
        <v>940</v>
      </c>
      <c r="B3181" t="s">
        <v>2647</v>
      </c>
      <c r="C3181" t="s">
        <v>927</v>
      </c>
      <c r="D3181" t="s">
        <v>3052</v>
      </c>
      <c r="E3181" t="s">
        <v>3053</v>
      </c>
      <c r="F3181" t="s">
        <v>467</v>
      </c>
      <c r="G3181" t="s">
        <v>468</v>
      </c>
      <c r="H3181" t="s">
        <v>5157</v>
      </c>
      <c r="I3181">
        <v>70</v>
      </c>
      <c r="J3181">
        <v>1</v>
      </c>
      <c r="K3181">
        <v>0</v>
      </c>
      <c r="L3181">
        <v>0</v>
      </c>
      <c r="M3181">
        <v>69</v>
      </c>
      <c r="N3181">
        <v>0</v>
      </c>
      <c r="O3181">
        <v>0</v>
      </c>
    </row>
    <row r="3182" spans="1:15" x14ac:dyDescent="0.25">
      <c r="A3182" t="s">
        <v>1123</v>
      </c>
      <c r="B3182" t="s">
        <v>2691</v>
      </c>
      <c r="C3182" t="s">
        <v>927</v>
      </c>
      <c r="D3182" t="s">
        <v>3052</v>
      </c>
      <c r="E3182" t="s">
        <v>3053</v>
      </c>
      <c r="F3182" t="s">
        <v>467</v>
      </c>
      <c r="G3182" t="s">
        <v>468</v>
      </c>
      <c r="H3182" t="s">
        <v>5158</v>
      </c>
      <c r="I3182">
        <v>35</v>
      </c>
      <c r="J3182">
        <v>35</v>
      </c>
      <c r="K3182">
        <v>0</v>
      </c>
      <c r="L3182">
        <v>0</v>
      </c>
      <c r="M3182">
        <v>0</v>
      </c>
      <c r="N3182">
        <v>0</v>
      </c>
      <c r="O3182">
        <v>0</v>
      </c>
    </row>
    <row r="3183" spans="1:15" x14ac:dyDescent="0.25">
      <c r="A3183" t="s">
        <v>1013</v>
      </c>
      <c r="B3183" t="s">
        <v>1959</v>
      </c>
      <c r="C3183" t="s">
        <v>927</v>
      </c>
      <c r="D3183" t="s">
        <v>3052</v>
      </c>
      <c r="E3183" t="s">
        <v>3053</v>
      </c>
      <c r="F3183" t="s">
        <v>467</v>
      </c>
      <c r="G3183" t="s">
        <v>468</v>
      </c>
      <c r="H3183" t="s">
        <v>5159</v>
      </c>
      <c r="I3183">
        <v>38</v>
      </c>
      <c r="J3183">
        <v>0</v>
      </c>
      <c r="K3183">
        <v>0</v>
      </c>
      <c r="L3183">
        <v>38</v>
      </c>
      <c r="M3183">
        <v>0</v>
      </c>
      <c r="N3183">
        <v>0</v>
      </c>
      <c r="O3183">
        <v>0</v>
      </c>
    </row>
    <row r="3184" spans="1:15" x14ac:dyDescent="0.25">
      <c r="A3184" t="s">
        <v>1026</v>
      </c>
      <c r="B3184" t="s">
        <v>2848</v>
      </c>
      <c r="C3184" t="s">
        <v>927</v>
      </c>
      <c r="D3184" t="s">
        <v>3052</v>
      </c>
      <c r="E3184" t="s">
        <v>3053</v>
      </c>
      <c r="F3184" t="s">
        <v>467</v>
      </c>
      <c r="G3184" t="s">
        <v>468</v>
      </c>
      <c r="H3184" t="s">
        <v>5160</v>
      </c>
      <c r="I3184">
        <v>448</v>
      </c>
      <c r="J3184">
        <v>282</v>
      </c>
      <c r="K3184">
        <v>0</v>
      </c>
      <c r="L3184">
        <v>23</v>
      </c>
      <c r="M3184">
        <v>60</v>
      </c>
      <c r="N3184">
        <v>2</v>
      </c>
      <c r="O3184">
        <v>83</v>
      </c>
    </row>
    <row r="3185" spans="1:15" x14ac:dyDescent="0.25">
      <c r="A3185" t="s">
        <v>943</v>
      </c>
      <c r="B3185" t="s">
        <v>2694</v>
      </c>
      <c r="C3185" t="s">
        <v>927</v>
      </c>
      <c r="D3185" t="s">
        <v>3052</v>
      </c>
      <c r="E3185" t="s">
        <v>3053</v>
      </c>
      <c r="F3185" t="s">
        <v>467</v>
      </c>
      <c r="G3185" t="s">
        <v>468</v>
      </c>
      <c r="H3185" t="s">
        <v>5161</v>
      </c>
      <c r="I3185">
        <v>60</v>
      </c>
      <c r="J3185">
        <v>59</v>
      </c>
      <c r="K3185">
        <v>0</v>
      </c>
      <c r="L3185">
        <v>0</v>
      </c>
      <c r="M3185">
        <v>0</v>
      </c>
      <c r="N3185">
        <v>0</v>
      </c>
      <c r="O3185">
        <v>1</v>
      </c>
    </row>
    <row r="3186" spans="1:15" x14ac:dyDescent="0.25">
      <c r="A3186" t="s">
        <v>1031</v>
      </c>
      <c r="B3186" t="s">
        <v>2779</v>
      </c>
      <c r="C3186" t="s">
        <v>927</v>
      </c>
      <c r="D3186" t="s">
        <v>3052</v>
      </c>
      <c r="E3186" t="s">
        <v>3053</v>
      </c>
      <c r="F3186" t="s">
        <v>467</v>
      </c>
      <c r="G3186" t="s">
        <v>468</v>
      </c>
      <c r="H3186" t="s">
        <v>5162</v>
      </c>
      <c r="I3186">
        <v>124</v>
      </c>
      <c r="J3186">
        <v>98</v>
      </c>
      <c r="K3186">
        <v>0</v>
      </c>
      <c r="L3186">
        <v>19</v>
      </c>
      <c r="M3186">
        <v>0</v>
      </c>
      <c r="N3186">
        <v>4</v>
      </c>
      <c r="O3186">
        <v>7</v>
      </c>
    </row>
    <row r="3187" spans="1:15" x14ac:dyDescent="0.25">
      <c r="A3187" t="s">
        <v>1146</v>
      </c>
      <c r="B3187" t="s">
        <v>2117</v>
      </c>
      <c r="C3187" t="s">
        <v>927</v>
      </c>
      <c r="D3187" t="s">
        <v>3052</v>
      </c>
      <c r="E3187" t="s">
        <v>3053</v>
      </c>
      <c r="F3187" t="s">
        <v>467</v>
      </c>
      <c r="G3187" t="s">
        <v>468</v>
      </c>
      <c r="H3187" t="s">
        <v>14737</v>
      </c>
      <c r="I3187">
        <v>4</v>
      </c>
      <c r="J3187">
        <v>4</v>
      </c>
      <c r="K3187">
        <v>0</v>
      </c>
      <c r="L3187">
        <v>0</v>
      </c>
      <c r="M3187">
        <v>0</v>
      </c>
      <c r="N3187">
        <v>0</v>
      </c>
      <c r="O3187">
        <v>0</v>
      </c>
    </row>
    <row r="3188" spans="1:15" x14ac:dyDescent="0.25">
      <c r="A3188" t="s">
        <v>951</v>
      </c>
      <c r="B3188" t="s">
        <v>2680</v>
      </c>
      <c r="C3188" t="s">
        <v>927</v>
      </c>
      <c r="D3188" t="s">
        <v>3052</v>
      </c>
      <c r="E3188" t="s">
        <v>3053</v>
      </c>
      <c r="F3188" t="s">
        <v>467</v>
      </c>
      <c r="G3188" t="s">
        <v>468</v>
      </c>
      <c r="H3188" t="s">
        <v>5163</v>
      </c>
      <c r="I3188">
        <v>1</v>
      </c>
      <c r="J3188">
        <v>1</v>
      </c>
      <c r="K3188">
        <v>0</v>
      </c>
      <c r="L3188">
        <v>0</v>
      </c>
      <c r="M3188">
        <v>0</v>
      </c>
      <c r="N3188">
        <v>0</v>
      </c>
      <c r="O3188">
        <v>0</v>
      </c>
    </row>
    <row r="3189" spans="1:15" x14ac:dyDescent="0.25">
      <c r="A3189" t="s">
        <v>1048</v>
      </c>
      <c r="B3189" t="s">
        <v>2989</v>
      </c>
      <c r="C3189" t="s">
        <v>927</v>
      </c>
      <c r="D3189" t="s">
        <v>3052</v>
      </c>
      <c r="E3189" t="s">
        <v>3053</v>
      </c>
      <c r="F3189" t="s">
        <v>467</v>
      </c>
      <c r="G3189" t="s">
        <v>468</v>
      </c>
      <c r="H3189" t="s">
        <v>5164</v>
      </c>
      <c r="I3189">
        <v>70</v>
      </c>
      <c r="J3189">
        <v>15</v>
      </c>
      <c r="K3189">
        <v>0</v>
      </c>
      <c r="L3189">
        <v>55</v>
      </c>
      <c r="M3189">
        <v>0</v>
      </c>
      <c r="N3189">
        <v>0</v>
      </c>
      <c r="O3189">
        <v>0</v>
      </c>
    </row>
    <row r="3190" spans="1:15" x14ac:dyDescent="0.25">
      <c r="A3190" t="s">
        <v>1049</v>
      </c>
      <c r="B3190" t="s">
        <v>2138</v>
      </c>
      <c r="C3190" t="s">
        <v>927</v>
      </c>
      <c r="D3190" t="s">
        <v>3052</v>
      </c>
      <c r="E3190" t="s">
        <v>3053</v>
      </c>
      <c r="F3190" t="s">
        <v>467</v>
      </c>
      <c r="G3190" t="s">
        <v>468</v>
      </c>
      <c r="H3190" t="s">
        <v>14738</v>
      </c>
      <c r="I3190">
        <v>123</v>
      </c>
      <c r="J3190">
        <v>83</v>
      </c>
      <c r="K3190">
        <v>0</v>
      </c>
      <c r="L3190">
        <v>0</v>
      </c>
      <c r="M3190">
        <v>0</v>
      </c>
      <c r="N3190">
        <v>0</v>
      </c>
      <c r="O3190">
        <v>40</v>
      </c>
    </row>
    <row r="3191" spans="1:15" x14ac:dyDescent="0.25">
      <c r="A3191" t="s">
        <v>953</v>
      </c>
      <c r="B3191" t="s">
        <v>2014</v>
      </c>
      <c r="C3191" t="s">
        <v>927</v>
      </c>
      <c r="D3191" t="s">
        <v>3052</v>
      </c>
      <c r="E3191" t="s">
        <v>3053</v>
      </c>
      <c r="F3191" t="s">
        <v>467</v>
      </c>
      <c r="G3191" t="s">
        <v>468</v>
      </c>
      <c r="H3191" t="s">
        <v>5165</v>
      </c>
      <c r="I3191">
        <v>16</v>
      </c>
      <c r="J3191">
        <v>0</v>
      </c>
      <c r="K3191">
        <v>0</v>
      </c>
      <c r="L3191">
        <v>16</v>
      </c>
      <c r="M3191">
        <v>0</v>
      </c>
      <c r="N3191">
        <v>0</v>
      </c>
      <c r="O3191">
        <v>0</v>
      </c>
    </row>
    <row r="3192" spans="1:15" x14ac:dyDescent="0.25">
      <c r="A3192" t="s">
        <v>1152</v>
      </c>
      <c r="B3192" t="s">
        <v>3031</v>
      </c>
      <c r="C3192" t="s">
        <v>927</v>
      </c>
      <c r="D3192" t="s">
        <v>3052</v>
      </c>
      <c r="E3192" t="s">
        <v>3053</v>
      </c>
      <c r="F3192" t="s">
        <v>467</v>
      </c>
      <c r="G3192" t="s">
        <v>468</v>
      </c>
      <c r="H3192" t="s">
        <v>5166</v>
      </c>
      <c r="I3192">
        <v>1</v>
      </c>
      <c r="J3192">
        <v>0</v>
      </c>
      <c r="K3192">
        <v>0</v>
      </c>
      <c r="L3192">
        <v>0</v>
      </c>
      <c r="M3192">
        <v>0</v>
      </c>
      <c r="N3192">
        <v>0</v>
      </c>
      <c r="O3192">
        <v>1</v>
      </c>
    </row>
    <row r="3193" spans="1:15" x14ac:dyDescent="0.25">
      <c r="A3193" t="s">
        <v>1057</v>
      </c>
      <c r="B3193" t="s">
        <v>1972</v>
      </c>
      <c r="C3193" t="s">
        <v>927</v>
      </c>
      <c r="D3193" t="s">
        <v>3052</v>
      </c>
      <c r="E3193" t="s">
        <v>3053</v>
      </c>
      <c r="F3193" t="s">
        <v>467</v>
      </c>
      <c r="G3193" t="s">
        <v>468</v>
      </c>
      <c r="H3193" t="s">
        <v>5167</v>
      </c>
      <c r="I3193">
        <v>71</v>
      </c>
      <c r="J3193">
        <v>71</v>
      </c>
      <c r="K3193">
        <v>0</v>
      </c>
      <c r="L3193">
        <v>0</v>
      </c>
      <c r="M3193">
        <v>0</v>
      </c>
      <c r="N3193">
        <v>0</v>
      </c>
      <c r="O3193">
        <v>0</v>
      </c>
    </row>
    <row r="3194" spans="1:15" x14ac:dyDescent="0.25">
      <c r="A3194" t="s">
        <v>955</v>
      </c>
      <c r="B3194" t="s">
        <v>2660</v>
      </c>
      <c r="C3194" t="s">
        <v>927</v>
      </c>
      <c r="D3194" t="s">
        <v>3052</v>
      </c>
      <c r="E3194" t="s">
        <v>3053</v>
      </c>
      <c r="F3194" t="s">
        <v>467</v>
      </c>
      <c r="G3194" t="s">
        <v>468</v>
      </c>
      <c r="H3194" t="s">
        <v>5168</v>
      </c>
      <c r="I3194">
        <v>252</v>
      </c>
      <c r="J3194">
        <v>93</v>
      </c>
      <c r="K3194">
        <v>0</v>
      </c>
      <c r="L3194">
        <v>14</v>
      </c>
      <c r="M3194">
        <v>140</v>
      </c>
      <c r="N3194">
        <v>0</v>
      </c>
      <c r="O3194">
        <v>5</v>
      </c>
    </row>
    <row r="3195" spans="1:15" x14ac:dyDescent="0.25">
      <c r="A3195" t="s">
        <v>1168</v>
      </c>
      <c r="B3195" t="s">
        <v>2712</v>
      </c>
      <c r="C3195" t="s">
        <v>927</v>
      </c>
      <c r="D3195" t="s">
        <v>3052</v>
      </c>
      <c r="E3195" t="s">
        <v>3053</v>
      </c>
      <c r="F3195" t="s">
        <v>467</v>
      </c>
      <c r="G3195" t="s">
        <v>468</v>
      </c>
      <c r="H3195" t="s">
        <v>5169</v>
      </c>
      <c r="I3195">
        <v>205</v>
      </c>
      <c r="J3195">
        <v>180</v>
      </c>
      <c r="K3195">
        <v>0</v>
      </c>
      <c r="L3195">
        <v>25</v>
      </c>
      <c r="M3195">
        <v>0</v>
      </c>
      <c r="N3195">
        <v>0</v>
      </c>
      <c r="O3195">
        <v>0</v>
      </c>
    </row>
    <row r="3196" spans="1:15" x14ac:dyDescent="0.25">
      <c r="A3196" t="s">
        <v>1176</v>
      </c>
      <c r="B3196" t="s">
        <v>2952</v>
      </c>
      <c r="C3196" t="s">
        <v>923</v>
      </c>
      <c r="D3196" t="s">
        <v>3063</v>
      </c>
      <c r="E3196" t="s">
        <v>3053</v>
      </c>
      <c r="F3196" t="s">
        <v>467</v>
      </c>
      <c r="G3196" t="s">
        <v>468</v>
      </c>
      <c r="H3196" t="s">
        <v>5170</v>
      </c>
      <c r="I3196">
        <v>20</v>
      </c>
      <c r="J3196">
        <v>0</v>
      </c>
      <c r="K3196">
        <v>0</v>
      </c>
      <c r="L3196">
        <v>20</v>
      </c>
      <c r="M3196">
        <v>0</v>
      </c>
      <c r="N3196">
        <v>0</v>
      </c>
      <c r="O3196">
        <v>0</v>
      </c>
    </row>
    <row r="3197" spans="1:15" x14ac:dyDescent="0.25">
      <c r="A3197" t="s">
        <v>1190</v>
      </c>
      <c r="B3197" t="s">
        <v>2220</v>
      </c>
      <c r="C3197" t="s">
        <v>923</v>
      </c>
      <c r="D3197" t="s">
        <v>3063</v>
      </c>
      <c r="E3197" t="s">
        <v>3053</v>
      </c>
      <c r="F3197" t="s">
        <v>467</v>
      </c>
      <c r="G3197" t="s">
        <v>468</v>
      </c>
      <c r="H3197" t="s">
        <v>5171</v>
      </c>
      <c r="I3197">
        <v>21</v>
      </c>
      <c r="J3197">
        <v>0</v>
      </c>
      <c r="K3197">
        <v>0</v>
      </c>
      <c r="L3197">
        <v>0</v>
      </c>
      <c r="M3197">
        <v>21</v>
      </c>
      <c r="N3197">
        <v>0</v>
      </c>
      <c r="O3197">
        <v>0</v>
      </c>
    </row>
    <row r="3198" spans="1:15" x14ac:dyDescent="0.25">
      <c r="A3198" t="s">
        <v>981</v>
      </c>
      <c r="B3198" t="s">
        <v>2985</v>
      </c>
      <c r="C3198" t="s">
        <v>927</v>
      </c>
      <c r="D3198" t="s">
        <v>3052</v>
      </c>
      <c r="E3198" t="s">
        <v>3053</v>
      </c>
      <c r="F3198" t="s">
        <v>467</v>
      </c>
      <c r="G3198" t="s">
        <v>468</v>
      </c>
      <c r="H3198" t="s">
        <v>5149</v>
      </c>
      <c r="I3198">
        <v>5</v>
      </c>
      <c r="J3198">
        <v>2</v>
      </c>
      <c r="K3198">
        <v>0</v>
      </c>
      <c r="L3198">
        <v>0</v>
      </c>
      <c r="M3198">
        <v>0</v>
      </c>
      <c r="N3198">
        <v>0</v>
      </c>
      <c r="O3198">
        <v>3</v>
      </c>
    </row>
    <row r="3199" spans="1:15" x14ac:dyDescent="0.25">
      <c r="A3199" t="s">
        <v>929</v>
      </c>
      <c r="B3199" t="s">
        <v>2999</v>
      </c>
      <c r="C3199" t="s">
        <v>927</v>
      </c>
      <c r="D3199" t="s">
        <v>3052</v>
      </c>
      <c r="E3199" t="s">
        <v>3053</v>
      </c>
      <c r="F3199" t="s">
        <v>469</v>
      </c>
      <c r="G3199" t="s">
        <v>470</v>
      </c>
      <c r="H3199" t="s">
        <v>5172</v>
      </c>
      <c r="I3199">
        <v>136</v>
      </c>
      <c r="J3199">
        <v>0</v>
      </c>
      <c r="K3199">
        <v>0</v>
      </c>
      <c r="L3199">
        <v>0</v>
      </c>
      <c r="M3199">
        <v>121</v>
      </c>
      <c r="N3199">
        <v>0</v>
      </c>
      <c r="O3199">
        <v>15</v>
      </c>
    </row>
    <row r="3200" spans="1:15" x14ac:dyDescent="0.25">
      <c r="A3200" t="s">
        <v>1579</v>
      </c>
      <c r="B3200" t="s">
        <v>2523</v>
      </c>
      <c r="C3200" t="s">
        <v>923</v>
      </c>
      <c r="D3200" t="s">
        <v>3063</v>
      </c>
      <c r="E3200" t="s">
        <v>3053</v>
      </c>
      <c r="F3200" t="s">
        <v>469</v>
      </c>
      <c r="G3200" t="s">
        <v>470</v>
      </c>
      <c r="H3200" t="s">
        <v>5173</v>
      </c>
      <c r="I3200">
        <v>42</v>
      </c>
      <c r="J3200">
        <v>42</v>
      </c>
      <c r="K3200">
        <v>0</v>
      </c>
      <c r="L3200">
        <v>0</v>
      </c>
      <c r="M3200">
        <v>0</v>
      </c>
      <c r="N3200">
        <v>0</v>
      </c>
      <c r="O3200">
        <v>0</v>
      </c>
    </row>
    <row r="3201" spans="1:15" x14ac:dyDescent="0.25">
      <c r="A3201" t="s">
        <v>989</v>
      </c>
      <c r="B3201" t="s">
        <v>2016</v>
      </c>
      <c r="C3201" t="s">
        <v>923</v>
      </c>
      <c r="D3201" t="s">
        <v>3063</v>
      </c>
      <c r="E3201" t="s">
        <v>3053</v>
      </c>
      <c r="F3201" t="s">
        <v>469</v>
      </c>
      <c r="G3201" t="s">
        <v>470</v>
      </c>
      <c r="H3201" t="s">
        <v>11030</v>
      </c>
      <c r="I3201">
        <v>10</v>
      </c>
      <c r="J3201">
        <v>0</v>
      </c>
      <c r="K3201">
        <v>0</v>
      </c>
      <c r="L3201">
        <v>10</v>
      </c>
      <c r="M3201">
        <v>0</v>
      </c>
      <c r="N3201">
        <v>0</v>
      </c>
      <c r="O3201">
        <v>0</v>
      </c>
    </row>
    <row r="3202" spans="1:15" x14ac:dyDescent="0.25">
      <c r="A3202" t="s">
        <v>1105</v>
      </c>
      <c r="B3202" t="s">
        <v>2918</v>
      </c>
      <c r="C3202" t="s">
        <v>923</v>
      </c>
      <c r="D3202" t="s">
        <v>3063</v>
      </c>
      <c r="E3202" t="s">
        <v>3053</v>
      </c>
      <c r="F3202" t="s">
        <v>469</v>
      </c>
      <c r="G3202" t="s">
        <v>470</v>
      </c>
      <c r="H3202" t="s">
        <v>5174</v>
      </c>
      <c r="I3202">
        <v>45</v>
      </c>
      <c r="J3202">
        <v>45</v>
      </c>
      <c r="K3202">
        <v>0</v>
      </c>
      <c r="L3202">
        <v>0</v>
      </c>
      <c r="M3202">
        <v>0</v>
      </c>
      <c r="N3202">
        <v>0</v>
      </c>
      <c r="O3202">
        <v>0</v>
      </c>
    </row>
    <row r="3203" spans="1:15" x14ac:dyDescent="0.25">
      <c r="A3203" t="s">
        <v>998</v>
      </c>
      <c r="B3203" t="s">
        <v>2820</v>
      </c>
      <c r="C3203" t="s">
        <v>927</v>
      </c>
      <c r="D3203" t="s">
        <v>3052</v>
      </c>
      <c r="E3203" t="s">
        <v>3053</v>
      </c>
      <c r="F3203" t="s">
        <v>469</v>
      </c>
      <c r="G3203" t="s">
        <v>470</v>
      </c>
      <c r="H3203" t="s">
        <v>5175</v>
      </c>
      <c r="I3203">
        <v>21</v>
      </c>
      <c r="J3203">
        <v>10</v>
      </c>
      <c r="K3203">
        <v>0</v>
      </c>
      <c r="L3203">
        <v>0</v>
      </c>
      <c r="M3203">
        <v>0</v>
      </c>
      <c r="N3203">
        <v>0</v>
      </c>
      <c r="O3203">
        <v>11</v>
      </c>
    </row>
    <row r="3204" spans="1:15" x14ac:dyDescent="0.25">
      <c r="A3204" t="s">
        <v>1416</v>
      </c>
      <c r="B3204" t="s">
        <v>2029</v>
      </c>
      <c r="C3204" t="s">
        <v>923</v>
      </c>
      <c r="D3204" t="s">
        <v>3063</v>
      </c>
      <c r="E3204" t="s">
        <v>3053</v>
      </c>
      <c r="F3204" t="s">
        <v>469</v>
      </c>
      <c r="G3204" t="s">
        <v>470</v>
      </c>
      <c r="H3204" t="s">
        <v>12038</v>
      </c>
      <c r="I3204">
        <v>29</v>
      </c>
      <c r="J3204">
        <v>0</v>
      </c>
      <c r="K3204">
        <v>0</v>
      </c>
      <c r="L3204">
        <v>29</v>
      </c>
      <c r="M3204">
        <v>0</v>
      </c>
      <c r="N3204">
        <v>0</v>
      </c>
      <c r="O3204">
        <v>0</v>
      </c>
    </row>
    <row r="3205" spans="1:15" x14ac:dyDescent="0.25">
      <c r="A3205" t="s">
        <v>10638</v>
      </c>
      <c r="B3205" t="s">
        <v>2057</v>
      </c>
      <c r="C3205" t="s">
        <v>927</v>
      </c>
      <c r="D3205" t="s">
        <v>3052</v>
      </c>
      <c r="E3205" t="s">
        <v>3053</v>
      </c>
      <c r="F3205" t="s">
        <v>469</v>
      </c>
      <c r="G3205" t="s">
        <v>470</v>
      </c>
      <c r="H3205" t="s">
        <v>11031</v>
      </c>
      <c r="I3205">
        <v>19</v>
      </c>
      <c r="J3205">
        <v>0</v>
      </c>
      <c r="K3205">
        <v>0</v>
      </c>
      <c r="L3205">
        <v>19</v>
      </c>
      <c r="M3205">
        <v>0</v>
      </c>
      <c r="N3205">
        <v>0</v>
      </c>
      <c r="O3205">
        <v>0</v>
      </c>
    </row>
    <row r="3206" spans="1:15" x14ac:dyDescent="0.25">
      <c r="A3206" t="s">
        <v>937</v>
      </c>
      <c r="B3206" t="s">
        <v>1962</v>
      </c>
      <c r="C3206" t="s">
        <v>927</v>
      </c>
      <c r="D3206" t="s">
        <v>3052</v>
      </c>
      <c r="E3206" t="s">
        <v>3053</v>
      </c>
      <c r="F3206" t="s">
        <v>469</v>
      </c>
      <c r="G3206" t="s">
        <v>470</v>
      </c>
      <c r="H3206" t="s">
        <v>5176</v>
      </c>
      <c r="I3206">
        <v>5</v>
      </c>
      <c r="J3206">
        <v>0</v>
      </c>
      <c r="K3206">
        <v>0</v>
      </c>
      <c r="L3206">
        <v>0</v>
      </c>
      <c r="M3206">
        <v>0</v>
      </c>
      <c r="N3206">
        <v>0</v>
      </c>
      <c r="O3206">
        <v>5</v>
      </c>
    </row>
    <row r="3207" spans="1:15" x14ac:dyDescent="0.25">
      <c r="A3207" t="s">
        <v>940</v>
      </c>
      <c r="B3207" t="s">
        <v>2647</v>
      </c>
      <c r="C3207" t="s">
        <v>927</v>
      </c>
      <c r="D3207" t="s">
        <v>3052</v>
      </c>
      <c r="E3207" t="s">
        <v>3053</v>
      </c>
      <c r="F3207" t="s">
        <v>469</v>
      </c>
      <c r="G3207" t="s">
        <v>470</v>
      </c>
      <c r="H3207" t="s">
        <v>5177</v>
      </c>
      <c r="I3207">
        <v>60</v>
      </c>
      <c r="J3207">
        <v>0</v>
      </c>
      <c r="K3207">
        <v>0</v>
      </c>
      <c r="L3207">
        <v>0</v>
      </c>
      <c r="M3207">
        <v>60</v>
      </c>
      <c r="N3207">
        <v>0</v>
      </c>
      <c r="O3207">
        <v>0</v>
      </c>
    </row>
    <row r="3208" spans="1:15" x14ac:dyDescent="0.25">
      <c r="A3208" t="s">
        <v>1012</v>
      </c>
      <c r="B3208" t="s">
        <v>2911</v>
      </c>
      <c r="C3208" t="s">
        <v>927</v>
      </c>
      <c r="D3208" t="s">
        <v>3052</v>
      </c>
      <c r="E3208" t="s">
        <v>3053</v>
      </c>
      <c r="F3208" t="s">
        <v>469</v>
      </c>
      <c r="G3208" t="s">
        <v>470</v>
      </c>
      <c r="H3208" t="s">
        <v>5178</v>
      </c>
      <c r="I3208">
        <v>170</v>
      </c>
      <c r="J3208">
        <v>130</v>
      </c>
      <c r="K3208">
        <v>0</v>
      </c>
      <c r="L3208">
        <v>26</v>
      </c>
      <c r="M3208">
        <v>0</v>
      </c>
      <c r="N3208">
        <v>0</v>
      </c>
      <c r="O3208">
        <v>14</v>
      </c>
    </row>
    <row r="3209" spans="1:15" x14ac:dyDescent="0.25">
      <c r="A3209" t="s">
        <v>1013</v>
      </c>
      <c r="B3209" t="s">
        <v>1959</v>
      </c>
      <c r="C3209" t="s">
        <v>927</v>
      </c>
      <c r="D3209" t="s">
        <v>3052</v>
      </c>
      <c r="E3209" t="s">
        <v>3053</v>
      </c>
      <c r="F3209" t="s">
        <v>469</v>
      </c>
      <c r="G3209" t="s">
        <v>470</v>
      </c>
      <c r="H3209" t="s">
        <v>5179</v>
      </c>
      <c r="I3209">
        <v>27</v>
      </c>
      <c r="J3209">
        <v>0</v>
      </c>
      <c r="K3209">
        <v>0</v>
      </c>
      <c r="L3209">
        <v>27</v>
      </c>
      <c r="M3209">
        <v>0</v>
      </c>
      <c r="N3209">
        <v>0</v>
      </c>
      <c r="O3209">
        <v>0</v>
      </c>
    </row>
    <row r="3210" spans="1:15" x14ac:dyDescent="0.25">
      <c r="A3210" t="s">
        <v>1621</v>
      </c>
      <c r="B3210" t="s">
        <v>2165</v>
      </c>
      <c r="C3210" t="s">
        <v>923</v>
      </c>
      <c r="D3210" t="s">
        <v>3063</v>
      </c>
      <c r="E3210" t="s">
        <v>3053</v>
      </c>
      <c r="F3210" t="s">
        <v>469</v>
      </c>
      <c r="G3210" t="s">
        <v>470</v>
      </c>
      <c r="H3210" t="s">
        <v>5180</v>
      </c>
      <c r="I3210">
        <v>16</v>
      </c>
      <c r="J3210">
        <v>16</v>
      </c>
      <c r="K3210">
        <v>0</v>
      </c>
      <c r="L3210">
        <v>0</v>
      </c>
      <c r="M3210">
        <v>0</v>
      </c>
      <c r="N3210">
        <v>0</v>
      </c>
      <c r="O3210">
        <v>0</v>
      </c>
    </row>
    <row r="3211" spans="1:15" x14ac:dyDescent="0.25">
      <c r="A3211" t="s">
        <v>1025</v>
      </c>
      <c r="B3211" t="s">
        <v>2893</v>
      </c>
      <c r="C3211" t="s">
        <v>927</v>
      </c>
      <c r="D3211" t="s">
        <v>3052</v>
      </c>
      <c r="E3211" t="s">
        <v>3053</v>
      </c>
      <c r="F3211" t="s">
        <v>469</v>
      </c>
      <c r="G3211" t="s">
        <v>470</v>
      </c>
      <c r="H3211" t="s">
        <v>5181</v>
      </c>
      <c r="I3211">
        <v>4</v>
      </c>
      <c r="J3211">
        <v>0</v>
      </c>
      <c r="K3211">
        <v>0</v>
      </c>
      <c r="L3211">
        <v>0</v>
      </c>
      <c r="M3211">
        <v>0</v>
      </c>
      <c r="N3211">
        <v>0</v>
      </c>
      <c r="O3211">
        <v>4</v>
      </c>
    </row>
    <row r="3212" spans="1:15" x14ac:dyDescent="0.25">
      <c r="A3212" t="s">
        <v>1293</v>
      </c>
      <c r="B3212" t="s">
        <v>2910</v>
      </c>
      <c r="C3212" t="s">
        <v>927</v>
      </c>
      <c r="D3212" t="s">
        <v>3052</v>
      </c>
      <c r="E3212" t="s">
        <v>3053</v>
      </c>
      <c r="F3212" t="s">
        <v>469</v>
      </c>
      <c r="G3212" t="s">
        <v>470</v>
      </c>
      <c r="H3212" t="s">
        <v>5182</v>
      </c>
      <c r="I3212">
        <v>7</v>
      </c>
      <c r="J3212">
        <v>0</v>
      </c>
      <c r="K3212">
        <v>0</v>
      </c>
      <c r="L3212">
        <v>7</v>
      </c>
      <c r="M3212">
        <v>0</v>
      </c>
      <c r="N3212">
        <v>0</v>
      </c>
      <c r="O3212">
        <v>0</v>
      </c>
    </row>
    <row r="3213" spans="1:15" x14ac:dyDescent="0.25">
      <c r="A3213" t="s">
        <v>1296</v>
      </c>
      <c r="B3213" t="s">
        <v>2965</v>
      </c>
      <c r="C3213" t="s">
        <v>923</v>
      </c>
      <c r="D3213" t="s">
        <v>3063</v>
      </c>
      <c r="E3213" t="s">
        <v>3053</v>
      </c>
      <c r="F3213" t="s">
        <v>469</v>
      </c>
      <c r="G3213" t="s">
        <v>470</v>
      </c>
      <c r="H3213" t="s">
        <v>5183</v>
      </c>
      <c r="I3213">
        <v>27</v>
      </c>
      <c r="J3213">
        <v>0</v>
      </c>
      <c r="K3213">
        <v>0</v>
      </c>
      <c r="L3213">
        <v>0</v>
      </c>
      <c r="M3213">
        <v>27</v>
      </c>
      <c r="N3213">
        <v>0</v>
      </c>
      <c r="O3213">
        <v>0</v>
      </c>
    </row>
    <row r="3214" spans="1:15" x14ac:dyDescent="0.25">
      <c r="A3214" t="s">
        <v>1632</v>
      </c>
      <c r="B3214" t="s">
        <v>2474</v>
      </c>
      <c r="C3214" t="s">
        <v>923</v>
      </c>
      <c r="D3214" t="s">
        <v>3063</v>
      </c>
      <c r="E3214" t="s">
        <v>3053</v>
      </c>
      <c r="F3214" t="s">
        <v>469</v>
      </c>
      <c r="G3214" t="s">
        <v>470</v>
      </c>
      <c r="H3214" t="s">
        <v>5184</v>
      </c>
      <c r="I3214">
        <v>27</v>
      </c>
      <c r="J3214">
        <v>27</v>
      </c>
      <c r="K3214">
        <v>0</v>
      </c>
      <c r="L3214">
        <v>0</v>
      </c>
      <c r="M3214">
        <v>0</v>
      </c>
      <c r="N3214">
        <v>0</v>
      </c>
      <c r="O3214">
        <v>0</v>
      </c>
    </row>
    <row r="3215" spans="1:15" x14ac:dyDescent="0.25">
      <c r="A3215" t="s">
        <v>945</v>
      </c>
      <c r="B3215" t="s">
        <v>2668</v>
      </c>
      <c r="C3215" t="s">
        <v>927</v>
      </c>
      <c r="D3215" t="s">
        <v>3052</v>
      </c>
      <c r="E3215" t="s">
        <v>3053</v>
      </c>
      <c r="F3215" t="s">
        <v>469</v>
      </c>
      <c r="G3215" t="s">
        <v>470</v>
      </c>
      <c r="H3215" t="s">
        <v>5185</v>
      </c>
      <c r="I3215">
        <v>240</v>
      </c>
      <c r="J3215">
        <v>89</v>
      </c>
      <c r="K3215">
        <v>0</v>
      </c>
      <c r="L3215">
        <v>0</v>
      </c>
      <c r="M3215">
        <v>57</v>
      </c>
      <c r="N3215">
        <v>0</v>
      </c>
      <c r="O3215">
        <v>94</v>
      </c>
    </row>
    <row r="3216" spans="1:15" x14ac:dyDescent="0.25">
      <c r="A3216" t="s">
        <v>1041</v>
      </c>
      <c r="B3216" t="s">
        <v>2826</v>
      </c>
      <c r="C3216" t="s">
        <v>927</v>
      </c>
      <c r="D3216" t="s">
        <v>3052</v>
      </c>
      <c r="E3216" t="s">
        <v>3053</v>
      </c>
      <c r="F3216" t="s">
        <v>469</v>
      </c>
      <c r="G3216" t="s">
        <v>470</v>
      </c>
      <c r="H3216" t="s">
        <v>5186</v>
      </c>
      <c r="I3216">
        <v>1</v>
      </c>
      <c r="J3216">
        <v>0</v>
      </c>
      <c r="K3216">
        <v>0</v>
      </c>
      <c r="L3216">
        <v>0</v>
      </c>
      <c r="M3216">
        <v>0</v>
      </c>
      <c r="N3216">
        <v>0</v>
      </c>
      <c r="O3216">
        <v>1</v>
      </c>
    </row>
    <row r="3217" spans="1:15" x14ac:dyDescent="0.25">
      <c r="A3217" t="s">
        <v>9787</v>
      </c>
      <c r="B3217" t="s">
        <v>2822</v>
      </c>
      <c r="C3217" t="s">
        <v>927</v>
      </c>
      <c r="D3217" t="s">
        <v>3052</v>
      </c>
      <c r="E3217" t="s">
        <v>3053</v>
      </c>
      <c r="F3217" t="s">
        <v>469</v>
      </c>
      <c r="G3217" t="s">
        <v>470</v>
      </c>
      <c r="H3217" t="s">
        <v>10253</v>
      </c>
      <c r="I3217">
        <v>175</v>
      </c>
      <c r="J3217">
        <v>175</v>
      </c>
      <c r="K3217">
        <v>0</v>
      </c>
      <c r="L3217">
        <v>0</v>
      </c>
      <c r="M3217">
        <v>0</v>
      </c>
      <c r="N3217">
        <v>1</v>
      </c>
      <c r="O3217">
        <v>0</v>
      </c>
    </row>
    <row r="3218" spans="1:15" x14ac:dyDescent="0.25">
      <c r="A3218" t="s">
        <v>951</v>
      </c>
      <c r="B3218" t="s">
        <v>2680</v>
      </c>
      <c r="C3218" t="s">
        <v>927</v>
      </c>
      <c r="D3218" t="s">
        <v>3052</v>
      </c>
      <c r="E3218" t="s">
        <v>3053</v>
      </c>
      <c r="F3218" t="s">
        <v>469</v>
      </c>
      <c r="G3218" t="s">
        <v>470</v>
      </c>
      <c r="H3218" t="s">
        <v>5187</v>
      </c>
      <c r="I3218">
        <v>246</v>
      </c>
      <c r="J3218">
        <v>246</v>
      </c>
      <c r="K3218">
        <v>0</v>
      </c>
      <c r="L3218">
        <v>0</v>
      </c>
      <c r="M3218">
        <v>0</v>
      </c>
      <c r="N3218">
        <v>0</v>
      </c>
      <c r="O3218">
        <v>0</v>
      </c>
    </row>
    <row r="3219" spans="1:15" x14ac:dyDescent="0.25">
      <c r="A3219" t="s">
        <v>953</v>
      </c>
      <c r="B3219" t="s">
        <v>2014</v>
      </c>
      <c r="C3219" t="s">
        <v>927</v>
      </c>
      <c r="D3219" t="s">
        <v>3052</v>
      </c>
      <c r="E3219" t="s">
        <v>3053</v>
      </c>
      <c r="F3219" t="s">
        <v>469</v>
      </c>
      <c r="G3219" t="s">
        <v>470</v>
      </c>
      <c r="H3219" t="s">
        <v>5188</v>
      </c>
      <c r="I3219">
        <v>8</v>
      </c>
      <c r="J3219">
        <v>0</v>
      </c>
      <c r="K3219">
        <v>0</v>
      </c>
      <c r="L3219">
        <v>8</v>
      </c>
      <c r="M3219">
        <v>0</v>
      </c>
      <c r="N3219">
        <v>0</v>
      </c>
      <c r="O3219">
        <v>0</v>
      </c>
    </row>
    <row r="3220" spans="1:15" x14ac:dyDescent="0.25">
      <c r="A3220" t="s">
        <v>11720</v>
      </c>
      <c r="B3220" t="s">
        <v>10718</v>
      </c>
      <c r="C3220" t="s">
        <v>927</v>
      </c>
      <c r="D3220" t="s">
        <v>3052</v>
      </c>
      <c r="E3220" t="s">
        <v>3053</v>
      </c>
      <c r="F3220" t="s">
        <v>469</v>
      </c>
      <c r="G3220" t="s">
        <v>470</v>
      </c>
      <c r="H3220" t="s">
        <v>14739</v>
      </c>
      <c r="I3220">
        <v>21</v>
      </c>
      <c r="J3220">
        <v>13</v>
      </c>
      <c r="K3220">
        <v>0</v>
      </c>
      <c r="L3220">
        <v>0</v>
      </c>
      <c r="M3220">
        <v>0</v>
      </c>
      <c r="N3220">
        <v>0</v>
      </c>
      <c r="O3220">
        <v>8</v>
      </c>
    </row>
    <row r="3221" spans="1:15" x14ac:dyDescent="0.25">
      <c r="A3221" t="s">
        <v>9788</v>
      </c>
      <c r="B3221" t="s">
        <v>9871</v>
      </c>
      <c r="C3221" t="s">
        <v>927</v>
      </c>
      <c r="D3221" t="s">
        <v>3052</v>
      </c>
      <c r="E3221" t="s">
        <v>3053</v>
      </c>
      <c r="F3221" t="s">
        <v>469</v>
      </c>
      <c r="G3221" t="s">
        <v>470</v>
      </c>
      <c r="H3221" t="s">
        <v>10350</v>
      </c>
      <c r="I3221">
        <v>27</v>
      </c>
      <c r="J3221">
        <v>27</v>
      </c>
      <c r="K3221">
        <v>0</v>
      </c>
      <c r="L3221">
        <v>0</v>
      </c>
      <c r="M3221">
        <v>0</v>
      </c>
      <c r="N3221">
        <v>0</v>
      </c>
      <c r="O3221">
        <v>0</v>
      </c>
    </row>
    <row r="3222" spans="1:15" x14ac:dyDescent="0.25">
      <c r="A3222" t="s">
        <v>1056</v>
      </c>
      <c r="B3222" t="s">
        <v>2966</v>
      </c>
      <c r="C3222" t="s">
        <v>927</v>
      </c>
      <c r="D3222" t="s">
        <v>3052</v>
      </c>
      <c r="E3222" t="s">
        <v>3053</v>
      </c>
      <c r="F3222" t="s">
        <v>469</v>
      </c>
      <c r="G3222" t="s">
        <v>470</v>
      </c>
      <c r="H3222" t="s">
        <v>5189</v>
      </c>
      <c r="I3222">
        <v>11</v>
      </c>
      <c r="J3222">
        <v>0</v>
      </c>
      <c r="K3222">
        <v>0</v>
      </c>
      <c r="L3222">
        <v>11</v>
      </c>
      <c r="M3222">
        <v>0</v>
      </c>
      <c r="N3222">
        <v>0</v>
      </c>
      <c r="O3222">
        <v>0</v>
      </c>
    </row>
    <row r="3223" spans="1:15" x14ac:dyDescent="0.25">
      <c r="A3223" t="s">
        <v>1057</v>
      </c>
      <c r="B3223" t="s">
        <v>1972</v>
      </c>
      <c r="C3223" t="s">
        <v>927</v>
      </c>
      <c r="D3223" t="s">
        <v>3052</v>
      </c>
      <c r="E3223" t="s">
        <v>3053</v>
      </c>
      <c r="F3223" t="s">
        <v>469</v>
      </c>
      <c r="G3223" t="s">
        <v>470</v>
      </c>
      <c r="H3223" t="s">
        <v>5190</v>
      </c>
      <c r="I3223">
        <v>67</v>
      </c>
      <c r="J3223">
        <v>47</v>
      </c>
      <c r="K3223">
        <v>0</v>
      </c>
      <c r="L3223">
        <v>0</v>
      </c>
      <c r="M3223">
        <v>0</v>
      </c>
      <c r="N3223">
        <v>0</v>
      </c>
      <c r="O3223">
        <v>20</v>
      </c>
    </row>
    <row r="3224" spans="1:15" x14ac:dyDescent="0.25">
      <c r="A3224" t="s">
        <v>955</v>
      </c>
      <c r="B3224" t="s">
        <v>2660</v>
      </c>
      <c r="C3224" t="s">
        <v>927</v>
      </c>
      <c r="D3224" t="s">
        <v>3052</v>
      </c>
      <c r="E3224" t="s">
        <v>3053</v>
      </c>
      <c r="F3224" t="s">
        <v>469</v>
      </c>
      <c r="G3224" t="s">
        <v>470</v>
      </c>
      <c r="H3224" t="s">
        <v>5191</v>
      </c>
      <c r="I3224">
        <v>128</v>
      </c>
      <c r="J3224">
        <v>64</v>
      </c>
      <c r="K3224">
        <v>0</v>
      </c>
      <c r="L3224">
        <v>18</v>
      </c>
      <c r="M3224">
        <v>0</v>
      </c>
      <c r="N3224">
        <v>0</v>
      </c>
      <c r="O3224">
        <v>46</v>
      </c>
    </row>
    <row r="3225" spans="1:15" x14ac:dyDescent="0.25">
      <c r="A3225" t="s">
        <v>1155</v>
      </c>
      <c r="B3225" t="s">
        <v>2912</v>
      </c>
      <c r="C3225" t="s">
        <v>927</v>
      </c>
      <c r="D3225" t="s">
        <v>3052</v>
      </c>
      <c r="E3225" t="s">
        <v>3053</v>
      </c>
      <c r="F3225" t="s">
        <v>469</v>
      </c>
      <c r="G3225" t="s">
        <v>470</v>
      </c>
      <c r="H3225" t="s">
        <v>5192</v>
      </c>
      <c r="I3225">
        <v>1</v>
      </c>
      <c r="J3225">
        <v>0</v>
      </c>
      <c r="K3225">
        <v>0</v>
      </c>
      <c r="L3225">
        <v>0</v>
      </c>
      <c r="M3225">
        <v>0</v>
      </c>
      <c r="N3225">
        <v>0</v>
      </c>
      <c r="O3225">
        <v>1</v>
      </c>
    </row>
    <row r="3226" spans="1:15" x14ac:dyDescent="0.25">
      <c r="A3226" t="s">
        <v>1657</v>
      </c>
      <c r="B3226" t="s">
        <v>2521</v>
      </c>
      <c r="C3226" t="s">
        <v>923</v>
      </c>
      <c r="D3226" t="s">
        <v>3063</v>
      </c>
      <c r="E3226" t="s">
        <v>3053</v>
      </c>
      <c r="F3226" t="s">
        <v>469</v>
      </c>
      <c r="G3226" t="s">
        <v>470</v>
      </c>
      <c r="H3226" t="s">
        <v>5193</v>
      </c>
      <c r="I3226">
        <v>19</v>
      </c>
      <c r="J3226">
        <v>19</v>
      </c>
      <c r="K3226">
        <v>0</v>
      </c>
      <c r="L3226">
        <v>0</v>
      </c>
      <c r="M3226">
        <v>0</v>
      </c>
      <c r="N3226">
        <v>0</v>
      </c>
      <c r="O3226">
        <v>0</v>
      </c>
    </row>
    <row r="3227" spans="1:15" x14ac:dyDescent="0.25">
      <c r="A3227" t="s">
        <v>11663</v>
      </c>
      <c r="B3227" t="s">
        <v>11768</v>
      </c>
      <c r="C3227" t="s">
        <v>927</v>
      </c>
      <c r="D3227" t="s">
        <v>3052</v>
      </c>
      <c r="E3227" t="s">
        <v>3053</v>
      </c>
      <c r="F3227" t="s">
        <v>469</v>
      </c>
      <c r="G3227" t="s">
        <v>470</v>
      </c>
      <c r="H3227" t="s">
        <v>12039</v>
      </c>
      <c r="I3227">
        <v>542</v>
      </c>
      <c r="J3227">
        <v>485</v>
      </c>
      <c r="K3227">
        <v>0</v>
      </c>
      <c r="L3227">
        <v>7</v>
      </c>
      <c r="M3227">
        <v>0</v>
      </c>
      <c r="N3227">
        <v>3</v>
      </c>
      <c r="O3227">
        <v>50</v>
      </c>
    </row>
    <row r="3228" spans="1:15" x14ac:dyDescent="0.25">
      <c r="A3228" t="s">
        <v>14374</v>
      </c>
      <c r="B3228" t="s">
        <v>1943</v>
      </c>
      <c r="C3228" t="s">
        <v>927</v>
      </c>
      <c r="D3228" t="s">
        <v>3052</v>
      </c>
      <c r="E3228" t="s">
        <v>3053</v>
      </c>
      <c r="F3228" t="s">
        <v>469</v>
      </c>
      <c r="G3228" t="s">
        <v>470</v>
      </c>
      <c r="H3228" t="s">
        <v>14740</v>
      </c>
      <c r="I3228">
        <v>19</v>
      </c>
      <c r="J3228">
        <v>0</v>
      </c>
      <c r="K3228">
        <v>0</v>
      </c>
      <c r="L3228">
        <v>0</v>
      </c>
      <c r="M3228">
        <v>0</v>
      </c>
      <c r="N3228">
        <v>0</v>
      </c>
      <c r="O3228">
        <v>19</v>
      </c>
    </row>
    <row r="3229" spans="1:15" x14ac:dyDescent="0.25">
      <c r="A3229" t="s">
        <v>1072</v>
      </c>
      <c r="B3229" t="s">
        <v>2907</v>
      </c>
      <c r="C3229" t="s">
        <v>927</v>
      </c>
      <c r="D3229" t="s">
        <v>3052</v>
      </c>
      <c r="E3229" t="s">
        <v>3053</v>
      </c>
      <c r="F3229" t="s">
        <v>469</v>
      </c>
      <c r="G3229" t="s">
        <v>470</v>
      </c>
      <c r="H3229" t="s">
        <v>5194</v>
      </c>
      <c r="I3229">
        <v>18</v>
      </c>
      <c r="J3229">
        <v>18</v>
      </c>
      <c r="K3229">
        <v>0</v>
      </c>
      <c r="L3229">
        <v>0</v>
      </c>
      <c r="M3229">
        <v>0</v>
      </c>
      <c r="N3229">
        <v>0</v>
      </c>
      <c r="O3229">
        <v>0</v>
      </c>
    </row>
    <row r="3230" spans="1:15" x14ac:dyDescent="0.25">
      <c r="A3230" t="s">
        <v>11711</v>
      </c>
      <c r="B3230" t="s">
        <v>2219</v>
      </c>
      <c r="C3230" t="s">
        <v>923</v>
      </c>
      <c r="D3230" t="s">
        <v>3063</v>
      </c>
      <c r="E3230" t="s">
        <v>3053</v>
      </c>
      <c r="F3230" t="s">
        <v>469</v>
      </c>
      <c r="G3230" t="s">
        <v>470</v>
      </c>
      <c r="H3230" t="s">
        <v>12040</v>
      </c>
      <c r="I3230">
        <v>10</v>
      </c>
      <c r="J3230">
        <v>10</v>
      </c>
      <c r="K3230">
        <v>0</v>
      </c>
      <c r="L3230">
        <v>0</v>
      </c>
      <c r="M3230">
        <v>0</v>
      </c>
      <c r="N3230">
        <v>0</v>
      </c>
      <c r="O3230">
        <v>0</v>
      </c>
    </row>
    <row r="3231" spans="1:15" x14ac:dyDescent="0.25">
      <c r="A3231" t="s">
        <v>1684</v>
      </c>
      <c r="B3231" t="s">
        <v>2845</v>
      </c>
      <c r="C3231" t="s">
        <v>927</v>
      </c>
      <c r="D3231" t="s">
        <v>3052</v>
      </c>
      <c r="E3231" t="s">
        <v>3053</v>
      </c>
      <c r="F3231" t="s">
        <v>469</v>
      </c>
      <c r="G3231" t="s">
        <v>470</v>
      </c>
      <c r="H3231" t="s">
        <v>5195</v>
      </c>
      <c r="I3231">
        <v>305</v>
      </c>
      <c r="J3231">
        <v>248</v>
      </c>
      <c r="K3231">
        <v>0</v>
      </c>
      <c r="L3231">
        <v>7</v>
      </c>
      <c r="M3231">
        <v>0</v>
      </c>
      <c r="N3231">
        <v>0</v>
      </c>
      <c r="O3231">
        <v>50</v>
      </c>
    </row>
    <row r="3232" spans="1:15" x14ac:dyDescent="0.25">
      <c r="A3232" t="s">
        <v>1078</v>
      </c>
      <c r="B3232" t="s">
        <v>1950</v>
      </c>
      <c r="C3232" t="s">
        <v>923</v>
      </c>
      <c r="D3232" t="s">
        <v>3063</v>
      </c>
      <c r="E3232" t="s">
        <v>3053</v>
      </c>
      <c r="F3232" t="s">
        <v>469</v>
      </c>
      <c r="G3232" t="s">
        <v>470</v>
      </c>
      <c r="H3232" t="s">
        <v>5196</v>
      </c>
      <c r="I3232">
        <v>10</v>
      </c>
      <c r="J3232">
        <v>0</v>
      </c>
      <c r="K3232">
        <v>0</v>
      </c>
      <c r="L3232">
        <v>10</v>
      </c>
      <c r="M3232">
        <v>0</v>
      </c>
      <c r="N3232">
        <v>0</v>
      </c>
      <c r="O3232">
        <v>0</v>
      </c>
    </row>
    <row r="3233" spans="1:15" x14ac:dyDescent="0.25">
      <c r="A3233" t="s">
        <v>926</v>
      </c>
      <c r="B3233" t="s">
        <v>2923</v>
      </c>
      <c r="C3233" t="s">
        <v>927</v>
      </c>
      <c r="D3233" t="s">
        <v>3052</v>
      </c>
      <c r="E3233" t="s">
        <v>3053</v>
      </c>
      <c r="F3233" t="s">
        <v>471</v>
      </c>
      <c r="G3233" t="s">
        <v>472</v>
      </c>
      <c r="H3233" t="s">
        <v>5197</v>
      </c>
      <c r="I3233">
        <v>11</v>
      </c>
      <c r="J3233">
        <v>0</v>
      </c>
      <c r="K3233">
        <v>0</v>
      </c>
      <c r="L3233">
        <v>6</v>
      </c>
      <c r="M3233">
        <v>0</v>
      </c>
      <c r="N3233">
        <v>0</v>
      </c>
      <c r="O3233">
        <v>5</v>
      </c>
    </row>
    <row r="3234" spans="1:15" x14ac:dyDescent="0.25">
      <c r="A3234" t="s">
        <v>929</v>
      </c>
      <c r="B3234" t="s">
        <v>2999</v>
      </c>
      <c r="C3234" t="s">
        <v>927</v>
      </c>
      <c r="D3234" t="s">
        <v>3052</v>
      </c>
      <c r="E3234" t="s">
        <v>3053</v>
      </c>
      <c r="F3234" t="s">
        <v>471</v>
      </c>
      <c r="G3234" t="s">
        <v>472</v>
      </c>
      <c r="H3234" t="s">
        <v>5198</v>
      </c>
      <c r="I3234">
        <v>74</v>
      </c>
      <c r="J3234">
        <v>0</v>
      </c>
      <c r="K3234">
        <v>0</v>
      </c>
      <c r="L3234">
        <v>0</v>
      </c>
      <c r="M3234">
        <v>74</v>
      </c>
      <c r="N3234">
        <v>0</v>
      </c>
      <c r="O3234">
        <v>0</v>
      </c>
    </row>
    <row r="3235" spans="1:15" x14ac:dyDescent="0.25">
      <c r="A3235" t="s">
        <v>9790</v>
      </c>
      <c r="B3235" t="s">
        <v>1977</v>
      </c>
      <c r="C3235" t="s">
        <v>923</v>
      </c>
      <c r="D3235" t="s">
        <v>3063</v>
      </c>
      <c r="E3235" t="s">
        <v>3053</v>
      </c>
      <c r="F3235" t="s">
        <v>471</v>
      </c>
      <c r="G3235" t="s">
        <v>472</v>
      </c>
      <c r="H3235" t="s">
        <v>12041</v>
      </c>
      <c r="I3235">
        <v>28</v>
      </c>
      <c r="J3235">
        <v>0</v>
      </c>
      <c r="K3235">
        <v>0</v>
      </c>
      <c r="L3235">
        <v>28</v>
      </c>
      <c r="M3235">
        <v>0</v>
      </c>
      <c r="N3235">
        <v>0</v>
      </c>
      <c r="O3235">
        <v>0</v>
      </c>
    </row>
    <row r="3236" spans="1:15" x14ac:dyDescent="0.25">
      <c r="A3236" t="s">
        <v>9836</v>
      </c>
      <c r="B3236" t="s">
        <v>2808</v>
      </c>
      <c r="C3236" t="s">
        <v>927</v>
      </c>
      <c r="D3236" t="s">
        <v>3052</v>
      </c>
      <c r="E3236" t="s">
        <v>3053</v>
      </c>
      <c r="F3236" t="s">
        <v>471</v>
      </c>
      <c r="G3236" t="s">
        <v>472</v>
      </c>
      <c r="H3236" t="s">
        <v>11032</v>
      </c>
      <c r="I3236">
        <v>14</v>
      </c>
      <c r="J3236">
        <v>14</v>
      </c>
      <c r="K3236">
        <v>0</v>
      </c>
      <c r="L3236">
        <v>0</v>
      </c>
      <c r="M3236">
        <v>0</v>
      </c>
      <c r="N3236">
        <v>1</v>
      </c>
      <c r="O3236">
        <v>0</v>
      </c>
    </row>
    <row r="3237" spans="1:15" x14ac:dyDescent="0.25">
      <c r="A3237" t="s">
        <v>983</v>
      </c>
      <c r="B3237" t="s">
        <v>2069</v>
      </c>
      <c r="C3237" t="s">
        <v>927</v>
      </c>
      <c r="D3237" t="s">
        <v>3052</v>
      </c>
      <c r="E3237" t="s">
        <v>3053</v>
      </c>
      <c r="F3237" t="s">
        <v>471</v>
      </c>
      <c r="G3237" t="s">
        <v>472</v>
      </c>
      <c r="H3237" t="s">
        <v>5199</v>
      </c>
      <c r="I3237">
        <v>243</v>
      </c>
      <c r="J3237">
        <v>219</v>
      </c>
      <c r="K3237">
        <v>0</v>
      </c>
      <c r="L3237">
        <v>3</v>
      </c>
      <c r="M3237">
        <v>0</v>
      </c>
      <c r="N3237">
        <v>0</v>
      </c>
      <c r="O3237">
        <v>21</v>
      </c>
    </row>
    <row r="3238" spans="1:15" x14ac:dyDescent="0.25">
      <c r="A3238" t="s">
        <v>1715</v>
      </c>
      <c r="B3238" t="s">
        <v>2136</v>
      </c>
      <c r="C3238" t="s">
        <v>927</v>
      </c>
      <c r="D3238" t="s">
        <v>3052</v>
      </c>
      <c r="E3238" t="s">
        <v>3053</v>
      </c>
      <c r="F3238" t="s">
        <v>471</v>
      </c>
      <c r="G3238" t="s">
        <v>472</v>
      </c>
      <c r="H3238" t="s">
        <v>5200</v>
      </c>
      <c r="I3238">
        <v>1</v>
      </c>
      <c r="J3238">
        <v>0</v>
      </c>
      <c r="K3238">
        <v>0</v>
      </c>
      <c r="L3238">
        <v>0</v>
      </c>
      <c r="M3238">
        <v>0</v>
      </c>
      <c r="N3238">
        <v>0</v>
      </c>
      <c r="O3238">
        <v>1</v>
      </c>
    </row>
    <row r="3239" spans="1:15" x14ac:dyDescent="0.25">
      <c r="A3239" t="s">
        <v>998</v>
      </c>
      <c r="B3239" t="s">
        <v>2820</v>
      </c>
      <c r="C3239" t="s">
        <v>927</v>
      </c>
      <c r="D3239" t="s">
        <v>3052</v>
      </c>
      <c r="E3239" t="s">
        <v>3053</v>
      </c>
      <c r="F3239" t="s">
        <v>471</v>
      </c>
      <c r="G3239" t="s">
        <v>472</v>
      </c>
      <c r="H3239" t="s">
        <v>14741</v>
      </c>
      <c r="I3239">
        <v>45</v>
      </c>
      <c r="J3239">
        <v>43</v>
      </c>
      <c r="K3239">
        <v>0</v>
      </c>
      <c r="L3239">
        <v>0</v>
      </c>
      <c r="M3239">
        <v>0</v>
      </c>
      <c r="N3239">
        <v>0</v>
      </c>
      <c r="O3239">
        <v>2</v>
      </c>
    </row>
    <row r="3240" spans="1:15" x14ac:dyDescent="0.25">
      <c r="A3240" t="s">
        <v>1416</v>
      </c>
      <c r="B3240" t="s">
        <v>2029</v>
      </c>
      <c r="C3240" t="s">
        <v>923</v>
      </c>
      <c r="D3240" t="s">
        <v>3063</v>
      </c>
      <c r="E3240" t="s">
        <v>3053</v>
      </c>
      <c r="F3240" t="s">
        <v>471</v>
      </c>
      <c r="G3240" t="s">
        <v>472</v>
      </c>
      <c r="H3240" t="s">
        <v>12042</v>
      </c>
      <c r="I3240">
        <v>4</v>
      </c>
      <c r="J3240">
        <v>0</v>
      </c>
      <c r="K3240">
        <v>0</v>
      </c>
      <c r="L3240">
        <v>4</v>
      </c>
      <c r="M3240">
        <v>0</v>
      </c>
      <c r="N3240">
        <v>0</v>
      </c>
      <c r="O3240">
        <v>0</v>
      </c>
    </row>
    <row r="3241" spans="1:15" x14ac:dyDescent="0.25">
      <c r="A3241" t="s">
        <v>10638</v>
      </c>
      <c r="B3241" t="s">
        <v>2057</v>
      </c>
      <c r="C3241" t="s">
        <v>927</v>
      </c>
      <c r="D3241" t="s">
        <v>3052</v>
      </c>
      <c r="E3241" t="s">
        <v>3053</v>
      </c>
      <c r="F3241" t="s">
        <v>471</v>
      </c>
      <c r="G3241" t="s">
        <v>472</v>
      </c>
      <c r="H3241" t="s">
        <v>11033</v>
      </c>
      <c r="I3241">
        <v>11</v>
      </c>
      <c r="J3241">
        <v>0</v>
      </c>
      <c r="K3241">
        <v>0</v>
      </c>
      <c r="L3241">
        <v>11</v>
      </c>
      <c r="M3241">
        <v>0</v>
      </c>
      <c r="N3241">
        <v>0</v>
      </c>
      <c r="O3241">
        <v>0</v>
      </c>
    </row>
    <row r="3242" spans="1:15" x14ac:dyDescent="0.25">
      <c r="A3242" t="s">
        <v>937</v>
      </c>
      <c r="B3242" t="s">
        <v>1962</v>
      </c>
      <c r="C3242" t="s">
        <v>927</v>
      </c>
      <c r="D3242" t="s">
        <v>3052</v>
      </c>
      <c r="E3242" t="s">
        <v>3053</v>
      </c>
      <c r="F3242" t="s">
        <v>471</v>
      </c>
      <c r="G3242" t="s">
        <v>472</v>
      </c>
      <c r="H3242" t="s">
        <v>5201</v>
      </c>
      <c r="I3242">
        <v>34</v>
      </c>
      <c r="J3242">
        <v>0</v>
      </c>
      <c r="K3242">
        <v>0</v>
      </c>
      <c r="L3242">
        <v>0</v>
      </c>
      <c r="M3242">
        <v>0</v>
      </c>
      <c r="N3242">
        <v>0</v>
      </c>
      <c r="O3242">
        <v>34</v>
      </c>
    </row>
    <row r="3243" spans="1:15" x14ac:dyDescent="0.25">
      <c r="A3243" t="s">
        <v>1011</v>
      </c>
      <c r="B3243" t="s">
        <v>2020</v>
      </c>
      <c r="C3243" t="s">
        <v>927</v>
      </c>
      <c r="D3243" t="s">
        <v>3052</v>
      </c>
      <c r="E3243" t="s">
        <v>3053</v>
      </c>
      <c r="F3243" t="s">
        <v>471</v>
      </c>
      <c r="G3243" t="s">
        <v>472</v>
      </c>
      <c r="H3243" t="s">
        <v>11034</v>
      </c>
      <c r="I3243">
        <v>6</v>
      </c>
      <c r="J3243">
        <v>0</v>
      </c>
      <c r="K3243">
        <v>0</v>
      </c>
      <c r="L3243">
        <v>6</v>
      </c>
      <c r="M3243">
        <v>0</v>
      </c>
      <c r="N3243">
        <v>0</v>
      </c>
      <c r="O3243">
        <v>0</v>
      </c>
    </row>
    <row r="3244" spans="1:15" x14ac:dyDescent="0.25">
      <c r="A3244" t="s">
        <v>940</v>
      </c>
      <c r="B3244" t="s">
        <v>2647</v>
      </c>
      <c r="C3244" t="s">
        <v>927</v>
      </c>
      <c r="D3244" t="s">
        <v>3052</v>
      </c>
      <c r="E3244" t="s">
        <v>3053</v>
      </c>
      <c r="F3244" t="s">
        <v>471</v>
      </c>
      <c r="G3244" t="s">
        <v>472</v>
      </c>
      <c r="H3244" t="s">
        <v>5202</v>
      </c>
      <c r="I3244">
        <v>52</v>
      </c>
      <c r="J3244">
        <v>0</v>
      </c>
      <c r="K3244">
        <v>0</v>
      </c>
      <c r="L3244">
        <v>0</v>
      </c>
      <c r="M3244">
        <v>52</v>
      </c>
      <c r="N3244">
        <v>0</v>
      </c>
      <c r="O3244">
        <v>0</v>
      </c>
    </row>
    <row r="3245" spans="1:15" x14ac:dyDescent="0.25">
      <c r="A3245" t="s">
        <v>10667</v>
      </c>
      <c r="B3245" t="s">
        <v>10666</v>
      </c>
      <c r="C3245" t="s">
        <v>927</v>
      </c>
      <c r="D3245" t="s">
        <v>3052</v>
      </c>
      <c r="E3245" t="s">
        <v>3053</v>
      </c>
      <c r="F3245" t="s">
        <v>471</v>
      </c>
      <c r="G3245" t="s">
        <v>472</v>
      </c>
      <c r="H3245" t="s">
        <v>11035</v>
      </c>
      <c r="I3245">
        <v>53</v>
      </c>
      <c r="J3245">
        <v>53</v>
      </c>
      <c r="K3245">
        <v>0</v>
      </c>
      <c r="L3245">
        <v>0</v>
      </c>
      <c r="M3245">
        <v>0</v>
      </c>
      <c r="N3245">
        <v>0</v>
      </c>
      <c r="O3245">
        <v>0</v>
      </c>
    </row>
    <row r="3246" spans="1:15" x14ac:dyDescent="0.25">
      <c r="A3246" t="s">
        <v>1126</v>
      </c>
      <c r="B3246" t="s">
        <v>2130</v>
      </c>
      <c r="C3246" t="s">
        <v>927</v>
      </c>
      <c r="D3246" t="s">
        <v>3052</v>
      </c>
      <c r="E3246" t="s">
        <v>3053</v>
      </c>
      <c r="F3246" t="s">
        <v>471</v>
      </c>
      <c r="G3246" t="s">
        <v>472</v>
      </c>
      <c r="H3246" t="s">
        <v>11036</v>
      </c>
      <c r="I3246">
        <v>84</v>
      </c>
      <c r="J3246">
        <v>36</v>
      </c>
      <c r="K3246">
        <v>0</v>
      </c>
      <c r="L3246">
        <v>0</v>
      </c>
      <c r="M3246">
        <v>0</v>
      </c>
      <c r="N3246">
        <v>0</v>
      </c>
      <c r="O3246">
        <v>48</v>
      </c>
    </row>
    <row r="3247" spans="1:15" x14ac:dyDescent="0.25">
      <c r="A3247" t="s">
        <v>942</v>
      </c>
      <c r="B3247" t="s">
        <v>2113</v>
      </c>
      <c r="C3247" t="s">
        <v>927</v>
      </c>
      <c r="D3247" t="s">
        <v>3052</v>
      </c>
      <c r="E3247" t="s">
        <v>3053</v>
      </c>
      <c r="F3247" t="s">
        <v>471</v>
      </c>
      <c r="G3247" t="s">
        <v>472</v>
      </c>
      <c r="H3247" t="s">
        <v>5203</v>
      </c>
      <c r="I3247">
        <v>15</v>
      </c>
      <c r="J3247">
        <v>0</v>
      </c>
      <c r="K3247">
        <v>0</v>
      </c>
      <c r="L3247">
        <v>0</v>
      </c>
      <c r="M3247">
        <v>0</v>
      </c>
      <c r="N3247">
        <v>0</v>
      </c>
      <c r="O3247">
        <v>15</v>
      </c>
    </row>
    <row r="3248" spans="1:15" x14ac:dyDescent="0.25">
      <c r="A3248" t="s">
        <v>1025</v>
      </c>
      <c r="B3248" t="s">
        <v>2893</v>
      </c>
      <c r="C3248" t="s">
        <v>927</v>
      </c>
      <c r="D3248" t="s">
        <v>3052</v>
      </c>
      <c r="E3248" t="s">
        <v>3053</v>
      </c>
      <c r="F3248" t="s">
        <v>471</v>
      </c>
      <c r="G3248" t="s">
        <v>472</v>
      </c>
      <c r="H3248" t="s">
        <v>10184</v>
      </c>
      <c r="I3248">
        <v>1</v>
      </c>
      <c r="J3248">
        <v>0</v>
      </c>
      <c r="K3248">
        <v>0</v>
      </c>
      <c r="L3248">
        <v>0</v>
      </c>
      <c r="M3248">
        <v>0</v>
      </c>
      <c r="N3248">
        <v>0</v>
      </c>
      <c r="O3248">
        <v>1</v>
      </c>
    </row>
    <row r="3249" spans="1:15" x14ac:dyDescent="0.25">
      <c r="A3249" t="s">
        <v>1745</v>
      </c>
      <c r="B3249" t="s">
        <v>2884</v>
      </c>
      <c r="C3249" t="s">
        <v>927</v>
      </c>
      <c r="D3249" t="s">
        <v>3052</v>
      </c>
      <c r="E3249" t="s">
        <v>3053</v>
      </c>
      <c r="F3249" t="s">
        <v>471</v>
      </c>
      <c r="G3249" t="s">
        <v>472</v>
      </c>
      <c r="H3249" t="s">
        <v>5204</v>
      </c>
      <c r="I3249">
        <v>33</v>
      </c>
      <c r="J3249">
        <v>17</v>
      </c>
      <c r="K3249">
        <v>0</v>
      </c>
      <c r="L3249">
        <v>0</v>
      </c>
      <c r="M3249">
        <v>0</v>
      </c>
      <c r="N3249">
        <v>0</v>
      </c>
      <c r="O3249">
        <v>16</v>
      </c>
    </row>
    <row r="3250" spans="1:15" x14ac:dyDescent="0.25">
      <c r="A3250" t="s">
        <v>1042</v>
      </c>
      <c r="B3250" t="s">
        <v>2115</v>
      </c>
      <c r="C3250" t="s">
        <v>923</v>
      </c>
      <c r="D3250" t="s">
        <v>3063</v>
      </c>
      <c r="E3250" t="s">
        <v>3053</v>
      </c>
      <c r="F3250" t="s">
        <v>471</v>
      </c>
      <c r="G3250" t="s">
        <v>472</v>
      </c>
      <c r="H3250" t="s">
        <v>10293</v>
      </c>
      <c r="I3250">
        <v>10</v>
      </c>
      <c r="J3250">
        <v>0</v>
      </c>
      <c r="K3250">
        <v>0</v>
      </c>
      <c r="L3250">
        <v>10</v>
      </c>
      <c r="M3250">
        <v>0</v>
      </c>
      <c r="N3250">
        <v>0</v>
      </c>
      <c r="O3250">
        <v>0</v>
      </c>
    </row>
    <row r="3251" spans="1:15" x14ac:dyDescent="0.25">
      <c r="A3251" t="s">
        <v>1758</v>
      </c>
      <c r="B3251" t="s">
        <v>2997</v>
      </c>
      <c r="C3251" t="s">
        <v>927</v>
      </c>
      <c r="D3251" t="s">
        <v>3052</v>
      </c>
      <c r="E3251" t="s">
        <v>3053</v>
      </c>
      <c r="F3251" t="s">
        <v>471</v>
      </c>
      <c r="G3251" t="s">
        <v>472</v>
      </c>
      <c r="H3251" t="s">
        <v>5205</v>
      </c>
      <c r="I3251">
        <v>98</v>
      </c>
      <c r="J3251">
        <v>35</v>
      </c>
      <c r="K3251">
        <v>0</v>
      </c>
      <c r="L3251">
        <v>19</v>
      </c>
      <c r="M3251">
        <v>44</v>
      </c>
      <c r="N3251">
        <v>0</v>
      </c>
      <c r="O3251">
        <v>0</v>
      </c>
    </row>
    <row r="3252" spans="1:15" x14ac:dyDescent="0.25">
      <c r="A3252" t="s">
        <v>955</v>
      </c>
      <c r="B3252" t="s">
        <v>2660</v>
      </c>
      <c r="C3252" t="s">
        <v>927</v>
      </c>
      <c r="D3252" t="s">
        <v>3052</v>
      </c>
      <c r="E3252" t="s">
        <v>3053</v>
      </c>
      <c r="F3252" t="s">
        <v>471</v>
      </c>
      <c r="G3252" t="s">
        <v>472</v>
      </c>
      <c r="H3252" t="s">
        <v>5206</v>
      </c>
      <c r="I3252">
        <v>12</v>
      </c>
      <c r="J3252">
        <v>12</v>
      </c>
      <c r="K3252">
        <v>0</v>
      </c>
      <c r="L3252">
        <v>0</v>
      </c>
      <c r="M3252">
        <v>0</v>
      </c>
      <c r="N3252">
        <v>0</v>
      </c>
      <c r="O3252">
        <v>0</v>
      </c>
    </row>
    <row r="3253" spans="1:15" x14ac:dyDescent="0.25">
      <c r="A3253" t="s">
        <v>960</v>
      </c>
      <c r="B3253" t="s">
        <v>2080</v>
      </c>
      <c r="C3253" t="s">
        <v>927</v>
      </c>
      <c r="D3253" t="s">
        <v>3052</v>
      </c>
      <c r="E3253" t="s">
        <v>3053</v>
      </c>
      <c r="F3253" t="s">
        <v>471</v>
      </c>
      <c r="G3253" t="s">
        <v>472</v>
      </c>
      <c r="H3253" t="s">
        <v>5207</v>
      </c>
      <c r="I3253">
        <v>2</v>
      </c>
      <c r="J3253">
        <v>2</v>
      </c>
      <c r="K3253">
        <v>0</v>
      </c>
      <c r="L3253">
        <v>0</v>
      </c>
      <c r="M3253">
        <v>0</v>
      </c>
      <c r="N3253">
        <v>0</v>
      </c>
      <c r="O3253">
        <v>0</v>
      </c>
    </row>
    <row r="3254" spans="1:15" x14ac:dyDescent="0.25">
      <c r="A3254" t="s">
        <v>962</v>
      </c>
      <c r="B3254" t="s">
        <v>2752</v>
      </c>
      <c r="C3254" t="s">
        <v>927</v>
      </c>
      <c r="D3254" t="s">
        <v>3052</v>
      </c>
      <c r="E3254" t="s">
        <v>3053</v>
      </c>
      <c r="F3254" t="s">
        <v>471</v>
      </c>
      <c r="G3254" t="s">
        <v>472</v>
      </c>
      <c r="H3254" t="s">
        <v>5208</v>
      </c>
      <c r="I3254">
        <v>278</v>
      </c>
      <c r="J3254">
        <v>226</v>
      </c>
      <c r="K3254">
        <v>0</v>
      </c>
      <c r="L3254">
        <v>0</v>
      </c>
      <c r="M3254">
        <v>0</v>
      </c>
      <c r="N3254">
        <v>0</v>
      </c>
      <c r="O3254">
        <v>52</v>
      </c>
    </row>
    <row r="3255" spans="1:15" x14ac:dyDescent="0.25">
      <c r="A3255" t="s">
        <v>1069</v>
      </c>
      <c r="B3255" t="s">
        <v>2001</v>
      </c>
      <c r="C3255" t="s">
        <v>927</v>
      </c>
      <c r="D3255" t="s">
        <v>3052</v>
      </c>
      <c r="E3255" t="s">
        <v>3053</v>
      </c>
      <c r="F3255" t="s">
        <v>471</v>
      </c>
      <c r="G3255" t="s">
        <v>472</v>
      </c>
      <c r="H3255" t="s">
        <v>5209</v>
      </c>
      <c r="I3255">
        <v>288</v>
      </c>
      <c r="J3255">
        <v>239</v>
      </c>
      <c r="K3255">
        <v>0</v>
      </c>
      <c r="L3255">
        <v>10</v>
      </c>
      <c r="M3255">
        <v>0</v>
      </c>
      <c r="N3255">
        <v>0</v>
      </c>
      <c r="O3255">
        <v>39</v>
      </c>
    </row>
    <row r="3256" spans="1:15" x14ac:dyDescent="0.25">
      <c r="A3256" t="s">
        <v>1790</v>
      </c>
      <c r="B3256" t="s">
        <v>2865</v>
      </c>
      <c r="C3256" t="s">
        <v>927</v>
      </c>
      <c r="D3256" t="s">
        <v>3052</v>
      </c>
      <c r="E3256" t="s">
        <v>3053</v>
      </c>
      <c r="F3256" t="s">
        <v>471</v>
      </c>
      <c r="G3256" t="s">
        <v>472</v>
      </c>
      <c r="H3256" t="s">
        <v>5210</v>
      </c>
      <c r="I3256">
        <v>4005</v>
      </c>
      <c r="J3256">
        <v>3255</v>
      </c>
      <c r="K3256">
        <v>0</v>
      </c>
      <c r="L3256">
        <v>0</v>
      </c>
      <c r="M3256">
        <v>595</v>
      </c>
      <c r="N3256">
        <v>3</v>
      </c>
      <c r="O3256">
        <v>155</v>
      </c>
    </row>
    <row r="3257" spans="1:15" x14ac:dyDescent="0.25">
      <c r="A3257" t="s">
        <v>1080</v>
      </c>
      <c r="B3257" t="s">
        <v>2030</v>
      </c>
      <c r="C3257" t="s">
        <v>923</v>
      </c>
      <c r="D3257" t="s">
        <v>3063</v>
      </c>
      <c r="E3257" t="s">
        <v>3053</v>
      </c>
      <c r="F3257" t="s">
        <v>471</v>
      </c>
      <c r="G3257" t="s">
        <v>472</v>
      </c>
      <c r="H3257" t="s">
        <v>5211</v>
      </c>
      <c r="I3257">
        <v>7</v>
      </c>
      <c r="J3257">
        <v>0</v>
      </c>
      <c r="K3257">
        <v>0</v>
      </c>
      <c r="L3257">
        <v>7</v>
      </c>
      <c r="M3257">
        <v>0</v>
      </c>
      <c r="N3257">
        <v>0</v>
      </c>
      <c r="O3257">
        <v>0</v>
      </c>
    </row>
    <row r="3258" spans="1:15" x14ac:dyDescent="0.25">
      <c r="A3258" t="s">
        <v>1795</v>
      </c>
      <c r="B3258" t="s">
        <v>2766</v>
      </c>
      <c r="C3258" t="s">
        <v>923</v>
      </c>
      <c r="D3258" t="s">
        <v>3063</v>
      </c>
      <c r="E3258" t="s">
        <v>3053</v>
      </c>
      <c r="F3258" t="s">
        <v>471</v>
      </c>
      <c r="G3258" t="s">
        <v>472</v>
      </c>
      <c r="H3258" t="s">
        <v>5212</v>
      </c>
      <c r="I3258">
        <v>422</v>
      </c>
      <c r="J3258">
        <v>400</v>
      </c>
      <c r="K3258">
        <v>0</v>
      </c>
      <c r="L3258">
        <v>0</v>
      </c>
      <c r="M3258">
        <v>22</v>
      </c>
      <c r="N3258">
        <v>17</v>
      </c>
      <c r="O3258">
        <v>0</v>
      </c>
    </row>
    <row r="3259" spans="1:15" x14ac:dyDescent="0.25">
      <c r="A3259" t="s">
        <v>971</v>
      </c>
      <c r="B3259" t="s">
        <v>2956</v>
      </c>
      <c r="C3259" t="s">
        <v>927</v>
      </c>
      <c r="D3259" t="s">
        <v>3052</v>
      </c>
      <c r="E3259" t="s">
        <v>3053</v>
      </c>
      <c r="F3259" t="s">
        <v>473</v>
      </c>
      <c r="G3259" t="s">
        <v>474</v>
      </c>
      <c r="H3259" t="s">
        <v>5213</v>
      </c>
      <c r="I3259">
        <v>26</v>
      </c>
      <c r="J3259">
        <v>26</v>
      </c>
      <c r="K3259">
        <v>0</v>
      </c>
      <c r="L3259">
        <v>0</v>
      </c>
      <c r="M3259">
        <v>0</v>
      </c>
      <c r="N3259">
        <v>0</v>
      </c>
      <c r="O3259">
        <v>0</v>
      </c>
    </row>
    <row r="3260" spans="1:15" x14ac:dyDescent="0.25">
      <c r="A3260" t="s">
        <v>978</v>
      </c>
      <c r="B3260" t="s">
        <v>1999</v>
      </c>
      <c r="C3260" t="s">
        <v>923</v>
      </c>
      <c r="D3260" t="s">
        <v>3063</v>
      </c>
      <c r="E3260" t="s">
        <v>3053</v>
      </c>
      <c r="F3260" t="s">
        <v>473</v>
      </c>
      <c r="G3260" t="s">
        <v>474</v>
      </c>
      <c r="H3260" t="s">
        <v>5214</v>
      </c>
      <c r="I3260">
        <v>2</v>
      </c>
      <c r="J3260">
        <v>2</v>
      </c>
      <c r="K3260">
        <v>0</v>
      </c>
      <c r="L3260">
        <v>0</v>
      </c>
      <c r="M3260">
        <v>0</v>
      </c>
      <c r="N3260">
        <v>0</v>
      </c>
      <c r="O3260">
        <v>0</v>
      </c>
    </row>
    <row r="3261" spans="1:15" x14ac:dyDescent="0.25">
      <c r="A3261" t="s">
        <v>1458</v>
      </c>
      <c r="B3261" t="s">
        <v>2024</v>
      </c>
      <c r="C3261" t="s">
        <v>923</v>
      </c>
      <c r="D3261" t="s">
        <v>3063</v>
      </c>
      <c r="E3261" t="s">
        <v>3053</v>
      </c>
      <c r="F3261" t="s">
        <v>473</v>
      </c>
      <c r="G3261" t="s">
        <v>474</v>
      </c>
      <c r="H3261" t="s">
        <v>5215</v>
      </c>
      <c r="I3261">
        <v>15</v>
      </c>
      <c r="J3261">
        <v>15</v>
      </c>
      <c r="K3261">
        <v>0</v>
      </c>
      <c r="L3261">
        <v>0</v>
      </c>
      <c r="M3261">
        <v>0</v>
      </c>
      <c r="N3261">
        <v>0</v>
      </c>
      <c r="O3261">
        <v>0</v>
      </c>
    </row>
    <row r="3262" spans="1:15" x14ac:dyDescent="0.25">
      <c r="A3262" t="s">
        <v>1095</v>
      </c>
      <c r="B3262" t="s">
        <v>1946</v>
      </c>
      <c r="C3262" t="s">
        <v>923</v>
      </c>
      <c r="D3262" t="s">
        <v>3063</v>
      </c>
      <c r="E3262" t="s">
        <v>3053</v>
      </c>
      <c r="F3262" t="s">
        <v>473</v>
      </c>
      <c r="G3262" t="s">
        <v>474</v>
      </c>
      <c r="H3262" t="s">
        <v>11037</v>
      </c>
      <c r="I3262">
        <v>5</v>
      </c>
      <c r="J3262">
        <v>5</v>
      </c>
      <c r="K3262">
        <v>0</v>
      </c>
      <c r="L3262">
        <v>0</v>
      </c>
      <c r="M3262">
        <v>0</v>
      </c>
      <c r="N3262">
        <v>0</v>
      </c>
      <c r="O3262">
        <v>0</v>
      </c>
    </row>
    <row r="3263" spans="1:15" x14ac:dyDescent="0.25">
      <c r="A3263" t="s">
        <v>985</v>
      </c>
      <c r="B3263" t="s">
        <v>1964</v>
      </c>
      <c r="C3263" t="s">
        <v>923</v>
      </c>
      <c r="D3263" t="s">
        <v>3063</v>
      </c>
      <c r="E3263" t="s">
        <v>3053</v>
      </c>
      <c r="F3263" t="s">
        <v>473</v>
      </c>
      <c r="G3263" t="s">
        <v>474</v>
      </c>
      <c r="H3263" t="s">
        <v>5216</v>
      </c>
      <c r="I3263">
        <v>7</v>
      </c>
      <c r="J3263">
        <v>0</v>
      </c>
      <c r="K3263">
        <v>0</v>
      </c>
      <c r="L3263">
        <v>7</v>
      </c>
      <c r="M3263">
        <v>0</v>
      </c>
      <c r="N3263">
        <v>0</v>
      </c>
      <c r="O3263">
        <v>0</v>
      </c>
    </row>
    <row r="3264" spans="1:15" x14ac:dyDescent="0.25">
      <c r="A3264" t="s">
        <v>1473</v>
      </c>
      <c r="B3264" t="s">
        <v>2877</v>
      </c>
      <c r="C3264" t="s">
        <v>927</v>
      </c>
      <c r="D3264" t="s">
        <v>3052</v>
      </c>
      <c r="E3264" t="s">
        <v>3053</v>
      </c>
      <c r="F3264" t="s">
        <v>473</v>
      </c>
      <c r="G3264" t="s">
        <v>474</v>
      </c>
      <c r="H3264" t="s">
        <v>5217</v>
      </c>
      <c r="I3264">
        <v>45</v>
      </c>
      <c r="J3264">
        <v>22</v>
      </c>
      <c r="K3264">
        <v>0</v>
      </c>
      <c r="L3264">
        <v>6</v>
      </c>
      <c r="M3264">
        <v>0</v>
      </c>
      <c r="N3264">
        <v>0</v>
      </c>
      <c r="O3264">
        <v>17</v>
      </c>
    </row>
    <row r="3265" spans="1:15" x14ac:dyDescent="0.25">
      <c r="A3265" t="s">
        <v>935</v>
      </c>
      <c r="B3265" t="s">
        <v>1960</v>
      </c>
      <c r="C3265" t="s">
        <v>923</v>
      </c>
      <c r="D3265" t="s">
        <v>3063</v>
      </c>
      <c r="E3265" t="s">
        <v>3053</v>
      </c>
      <c r="F3265" t="s">
        <v>473</v>
      </c>
      <c r="G3265" t="s">
        <v>474</v>
      </c>
      <c r="H3265" t="s">
        <v>5218</v>
      </c>
      <c r="I3265">
        <v>16</v>
      </c>
      <c r="J3265">
        <v>0</v>
      </c>
      <c r="K3265">
        <v>0</v>
      </c>
      <c r="L3265">
        <v>16</v>
      </c>
      <c r="M3265">
        <v>0</v>
      </c>
      <c r="N3265">
        <v>0</v>
      </c>
      <c r="O3265">
        <v>0</v>
      </c>
    </row>
    <row r="3266" spans="1:15" x14ac:dyDescent="0.25">
      <c r="A3266" t="s">
        <v>1484</v>
      </c>
      <c r="B3266" t="s">
        <v>2897</v>
      </c>
      <c r="C3266" t="s">
        <v>927</v>
      </c>
      <c r="D3266" t="s">
        <v>3052</v>
      </c>
      <c r="E3266" t="s">
        <v>3053</v>
      </c>
      <c r="F3266" t="s">
        <v>473</v>
      </c>
      <c r="G3266" t="s">
        <v>474</v>
      </c>
      <c r="H3266" t="s">
        <v>5219</v>
      </c>
      <c r="I3266">
        <v>181</v>
      </c>
      <c r="J3266">
        <v>166</v>
      </c>
      <c r="K3266">
        <v>0</v>
      </c>
      <c r="L3266">
        <v>0</v>
      </c>
      <c r="M3266">
        <v>0</v>
      </c>
      <c r="N3266">
        <v>0</v>
      </c>
      <c r="O3266">
        <v>15</v>
      </c>
    </row>
    <row r="3267" spans="1:15" x14ac:dyDescent="0.25">
      <c r="A3267" t="s">
        <v>10638</v>
      </c>
      <c r="B3267" t="s">
        <v>2057</v>
      </c>
      <c r="C3267" t="s">
        <v>927</v>
      </c>
      <c r="D3267" t="s">
        <v>3052</v>
      </c>
      <c r="E3267" t="s">
        <v>3053</v>
      </c>
      <c r="F3267" t="s">
        <v>473</v>
      </c>
      <c r="G3267" t="s">
        <v>474</v>
      </c>
      <c r="H3267" t="s">
        <v>11038</v>
      </c>
      <c r="I3267">
        <v>5</v>
      </c>
      <c r="J3267">
        <v>0</v>
      </c>
      <c r="K3267">
        <v>0</v>
      </c>
      <c r="L3267">
        <v>5</v>
      </c>
      <c r="M3267">
        <v>0</v>
      </c>
      <c r="N3267">
        <v>0</v>
      </c>
      <c r="O3267">
        <v>0</v>
      </c>
    </row>
    <row r="3268" spans="1:15" x14ac:dyDescent="0.25">
      <c r="A3268" t="s">
        <v>1006</v>
      </c>
      <c r="B3268" t="s">
        <v>2724</v>
      </c>
      <c r="C3268" t="s">
        <v>927</v>
      </c>
      <c r="D3268" t="s">
        <v>3052</v>
      </c>
      <c r="E3268" t="s">
        <v>3053</v>
      </c>
      <c r="F3268" t="s">
        <v>473</v>
      </c>
      <c r="G3268" t="s">
        <v>474</v>
      </c>
      <c r="H3268" t="s">
        <v>5220</v>
      </c>
      <c r="I3268">
        <v>234</v>
      </c>
      <c r="J3268">
        <v>176</v>
      </c>
      <c r="K3268">
        <v>0</v>
      </c>
      <c r="L3268">
        <v>6</v>
      </c>
      <c r="M3268">
        <v>0</v>
      </c>
      <c r="N3268">
        <v>1</v>
      </c>
      <c r="O3268">
        <v>52</v>
      </c>
    </row>
    <row r="3269" spans="1:15" x14ac:dyDescent="0.25">
      <c r="A3269" t="s">
        <v>937</v>
      </c>
      <c r="B3269" t="s">
        <v>1962</v>
      </c>
      <c r="C3269" t="s">
        <v>927</v>
      </c>
      <c r="D3269" t="s">
        <v>3052</v>
      </c>
      <c r="E3269" t="s">
        <v>3053</v>
      </c>
      <c r="F3269" t="s">
        <v>473</v>
      </c>
      <c r="G3269" t="s">
        <v>474</v>
      </c>
      <c r="H3269" t="s">
        <v>5221</v>
      </c>
      <c r="I3269">
        <v>74</v>
      </c>
      <c r="J3269">
        <v>0</v>
      </c>
      <c r="K3269">
        <v>0</v>
      </c>
      <c r="L3269">
        <v>0</v>
      </c>
      <c r="M3269">
        <v>0</v>
      </c>
      <c r="N3269">
        <v>0</v>
      </c>
      <c r="O3269">
        <v>74</v>
      </c>
    </row>
    <row r="3270" spans="1:15" x14ac:dyDescent="0.25">
      <c r="A3270" t="s">
        <v>1422</v>
      </c>
      <c r="B3270" t="s">
        <v>1990</v>
      </c>
      <c r="C3270" t="s">
        <v>923</v>
      </c>
      <c r="D3270" t="s">
        <v>3063</v>
      </c>
      <c r="E3270" t="s">
        <v>3053</v>
      </c>
      <c r="F3270" t="s">
        <v>473</v>
      </c>
      <c r="G3270" t="s">
        <v>474</v>
      </c>
      <c r="H3270" t="s">
        <v>14742</v>
      </c>
      <c r="I3270">
        <v>9</v>
      </c>
      <c r="J3270">
        <v>9</v>
      </c>
      <c r="K3270">
        <v>0</v>
      </c>
      <c r="L3270">
        <v>0</v>
      </c>
      <c r="M3270">
        <v>0</v>
      </c>
      <c r="N3270">
        <v>0</v>
      </c>
      <c r="O3270">
        <v>0</v>
      </c>
    </row>
    <row r="3271" spans="1:15" x14ac:dyDescent="0.25">
      <c r="A3271" t="s">
        <v>1013</v>
      </c>
      <c r="B3271" t="s">
        <v>1959</v>
      </c>
      <c r="C3271" t="s">
        <v>927</v>
      </c>
      <c r="D3271" t="s">
        <v>3052</v>
      </c>
      <c r="E3271" t="s">
        <v>3053</v>
      </c>
      <c r="F3271" t="s">
        <v>473</v>
      </c>
      <c r="G3271" t="s">
        <v>474</v>
      </c>
      <c r="H3271" t="s">
        <v>11039</v>
      </c>
      <c r="I3271">
        <v>4</v>
      </c>
      <c r="J3271">
        <v>0</v>
      </c>
      <c r="K3271">
        <v>0</v>
      </c>
      <c r="L3271">
        <v>4</v>
      </c>
      <c r="M3271">
        <v>0</v>
      </c>
      <c r="N3271">
        <v>0</v>
      </c>
      <c r="O3271">
        <v>0</v>
      </c>
    </row>
    <row r="3272" spans="1:15" x14ac:dyDescent="0.25">
      <c r="A3272" t="s">
        <v>9819</v>
      </c>
      <c r="B3272" t="s">
        <v>2916</v>
      </c>
      <c r="C3272" t="s">
        <v>927</v>
      </c>
      <c r="D3272" t="s">
        <v>3052</v>
      </c>
      <c r="E3272" t="s">
        <v>3053</v>
      </c>
      <c r="F3272" t="s">
        <v>473</v>
      </c>
      <c r="G3272" t="s">
        <v>474</v>
      </c>
      <c r="H3272" t="s">
        <v>10138</v>
      </c>
      <c r="I3272">
        <v>149</v>
      </c>
      <c r="J3272">
        <v>113</v>
      </c>
      <c r="K3272">
        <v>0</v>
      </c>
      <c r="L3272">
        <v>0</v>
      </c>
      <c r="M3272">
        <v>0</v>
      </c>
      <c r="N3272">
        <v>0</v>
      </c>
      <c r="O3272">
        <v>36</v>
      </c>
    </row>
    <row r="3273" spans="1:15" x14ac:dyDescent="0.25">
      <c r="A3273" t="s">
        <v>1126</v>
      </c>
      <c r="B3273" t="s">
        <v>2130</v>
      </c>
      <c r="C3273" t="s">
        <v>927</v>
      </c>
      <c r="D3273" t="s">
        <v>3052</v>
      </c>
      <c r="E3273" t="s">
        <v>3053</v>
      </c>
      <c r="F3273" t="s">
        <v>473</v>
      </c>
      <c r="G3273" t="s">
        <v>474</v>
      </c>
      <c r="H3273" t="s">
        <v>11040</v>
      </c>
      <c r="I3273">
        <v>39</v>
      </c>
      <c r="J3273">
        <v>26</v>
      </c>
      <c r="K3273">
        <v>0</v>
      </c>
      <c r="L3273">
        <v>0</v>
      </c>
      <c r="M3273">
        <v>0</v>
      </c>
      <c r="N3273">
        <v>0</v>
      </c>
      <c r="O3273">
        <v>13</v>
      </c>
    </row>
    <row r="3274" spans="1:15" x14ac:dyDescent="0.25">
      <c r="A3274" t="s">
        <v>1031</v>
      </c>
      <c r="B3274" t="s">
        <v>2779</v>
      </c>
      <c r="C3274" t="s">
        <v>927</v>
      </c>
      <c r="D3274" t="s">
        <v>3052</v>
      </c>
      <c r="E3274" t="s">
        <v>3053</v>
      </c>
      <c r="F3274" t="s">
        <v>473</v>
      </c>
      <c r="G3274" t="s">
        <v>474</v>
      </c>
      <c r="H3274" t="s">
        <v>5222</v>
      </c>
      <c r="I3274">
        <v>132</v>
      </c>
      <c r="J3274">
        <v>94</v>
      </c>
      <c r="K3274">
        <v>0</v>
      </c>
      <c r="L3274">
        <v>0</v>
      </c>
      <c r="M3274">
        <v>23</v>
      </c>
      <c r="N3274">
        <v>2</v>
      </c>
      <c r="O3274">
        <v>15</v>
      </c>
    </row>
    <row r="3275" spans="1:15" x14ac:dyDescent="0.25">
      <c r="A3275" t="s">
        <v>1044</v>
      </c>
      <c r="B3275" t="s">
        <v>2000</v>
      </c>
      <c r="C3275" t="s">
        <v>923</v>
      </c>
      <c r="D3275" t="s">
        <v>3063</v>
      </c>
      <c r="E3275" t="s">
        <v>3053</v>
      </c>
      <c r="F3275" t="s">
        <v>473</v>
      </c>
      <c r="G3275" t="s">
        <v>474</v>
      </c>
      <c r="H3275" t="s">
        <v>5223</v>
      </c>
      <c r="I3275">
        <v>12</v>
      </c>
      <c r="J3275">
        <v>0</v>
      </c>
      <c r="K3275">
        <v>0</v>
      </c>
      <c r="L3275">
        <v>12</v>
      </c>
      <c r="M3275">
        <v>0</v>
      </c>
      <c r="N3275">
        <v>0</v>
      </c>
      <c r="O3275">
        <v>0</v>
      </c>
    </row>
    <row r="3276" spans="1:15" x14ac:dyDescent="0.25">
      <c r="A3276" t="s">
        <v>951</v>
      </c>
      <c r="B3276" t="s">
        <v>2680</v>
      </c>
      <c r="C3276" t="s">
        <v>927</v>
      </c>
      <c r="D3276" t="s">
        <v>3052</v>
      </c>
      <c r="E3276" t="s">
        <v>3053</v>
      </c>
      <c r="F3276" t="s">
        <v>473</v>
      </c>
      <c r="G3276" t="s">
        <v>474</v>
      </c>
      <c r="H3276" t="s">
        <v>5224</v>
      </c>
      <c r="I3276">
        <v>233</v>
      </c>
      <c r="J3276">
        <v>212</v>
      </c>
      <c r="K3276">
        <v>0</v>
      </c>
      <c r="L3276">
        <v>6</v>
      </c>
      <c r="M3276">
        <v>0</v>
      </c>
      <c r="N3276">
        <v>0</v>
      </c>
      <c r="O3276">
        <v>15</v>
      </c>
    </row>
    <row r="3277" spans="1:15" x14ac:dyDescent="0.25">
      <c r="A3277" t="s">
        <v>1048</v>
      </c>
      <c r="B3277" t="s">
        <v>2989</v>
      </c>
      <c r="C3277" t="s">
        <v>927</v>
      </c>
      <c r="D3277" t="s">
        <v>3052</v>
      </c>
      <c r="E3277" t="s">
        <v>3053</v>
      </c>
      <c r="F3277" t="s">
        <v>473</v>
      </c>
      <c r="G3277" t="s">
        <v>474</v>
      </c>
      <c r="H3277" t="s">
        <v>5225</v>
      </c>
      <c r="I3277">
        <v>16</v>
      </c>
      <c r="J3277">
        <v>0</v>
      </c>
      <c r="K3277">
        <v>0</v>
      </c>
      <c r="L3277">
        <v>16</v>
      </c>
      <c r="M3277">
        <v>0</v>
      </c>
      <c r="N3277">
        <v>0</v>
      </c>
      <c r="O3277">
        <v>0</v>
      </c>
    </row>
    <row r="3278" spans="1:15" x14ac:dyDescent="0.25">
      <c r="A3278" t="s">
        <v>1051</v>
      </c>
      <c r="B3278" t="s">
        <v>2995</v>
      </c>
      <c r="C3278" t="s">
        <v>927</v>
      </c>
      <c r="D3278" t="s">
        <v>3052</v>
      </c>
      <c r="E3278" t="s">
        <v>3053</v>
      </c>
      <c r="F3278" t="s">
        <v>473</v>
      </c>
      <c r="G3278" t="s">
        <v>474</v>
      </c>
      <c r="H3278" t="s">
        <v>5226</v>
      </c>
      <c r="I3278">
        <v>2135</v>
      </c>
      <c r="J3278">
        <v>1692</v>
      </c>
      <c r="K3278">
        <v>0</v>
      </c>
      <c r="L3278">
        <v>45</v>
      </c>
      <c r="M3278">
        <v>361</v>
      </c>
      <c r="N3278">
        <v>3</v>
      </c>
      <c r="O3278">
        <v>37</v>
      </c>
    </row>
    <row r="3279" spans="1:15" x14ac:dyDescent="0.25">
      <c r="A3279" t="s">
        <v>1529</v>
      </c>
      <c r="B3279" t="s">
        <v>1954</v>
      </c>
      <c r="C3279" t="s">
        <v>927</v>
      </c>
      <c r="D3279" t="s">
        <v>3052</v>
      </c>
      <c r="E3279" t="s">
        <v>3053</v>
      </c>
      <c r="F3279" t="s">
        <v>473</v>
      </c>
      <c r="G3279" t="s">
        <v>474</v>
      </c>
      <c r="H3279" t="s">
        <v>5227</v>
      </c>
      <c r="I3279">
        <v>28</v>
      </c>
      <c r="J3279">
        <v>20</v>
      </c>
      <c r="K3279">
        <v>0</v>
      </c>
      <c r="L3279">
        <v>8</v>
      </c>
      <c r="M3279">
        <v>0</v>
      </c>
      <c r="N3279">
        <v>0</v>
      </c>
      <c r="O3279">
        <v>0</v>
      </c>
    </row>
    <row r="3280" spans="1:15" x14ac:dyDescent="0.25">
      <c r="A3280" t="s">
        <v>11720</v>
      </c>
      <c r="B3280" t="s">
        <v>10718</v>
      </c>
      <c r="C3280" t="s">
        <v>927</v>
      </c>
      <c r="D3280" t="s">
        <v>3052</v>
      </c>
      <c r="E3280" t="s">
        <v>3053</v>
      </c>
      <c r="F3280" t="s">
        <v>473</v>
      </c>
      <c r="G3280" t="s">
        <v>474</v>
      </c>
      <c r="H3280" t="s">
        <v>14743</v>
      </c>
      <c r="I3280">
        <v>5</v>
      </c>
      <c r="J3280">
        <v>0</v>
      </c>
      <c r="K3280">
        <v>0</v>
      </c>
      <c r="L3280">
        <v>0</v>
      </c>
      <c r="M3280">
        <v>0</v>
      </c>
      <c r="N3280">
        <v>0</v>
      </c>
      <c r="O3280">
        <v>5</v>
      </c>
    </row>
    <row r="3281" spans="1:15" x14ac:dyDescent="0.25">
      <c r="A3281" t="s">
        <v>9788</v>
      </c>
      <c r="B3281" t="s">
        <v>9871</v>
      </c>
      <c r="C3281" t="s">
        <v>927</v>
      </c>
      <c r="D3281" t="s">
        <v>3052</v>
      </c>
      <c r="E3281" t="s">
        <v>3053</v>
      </c>
      <c r="F3281" t="s">
        <v>473</v>
      </c>
      <c r="G3281" t="s">
        <v>474</v>
      </c>
      <c r="H3281" t="s">
        <v>10351</v>
      </c>
      <c r="I3281">
        <v>92</v>
      </c>
      <c r="J3281">
        <v>92</v>
      </c>
      <c r="K3281">
        <v>0</v>
      </c>
      <c r="L3281">
        <v>0</v>
      </c>
      <c r="M3281">
        <v>0</v>
      </c>
      <c r="N3281">
        <v>0</v>
      </c>
      <c r="O3281">
        <v>0</v>
      </c>
    </row>
    <row r="3282" spans="1:15" x14ac:dyDescent="0.25">
      <c r="A3282" t="s">
        <v>14374</v>
      </c>
      <c r="B3282" t="s">
        <v>1943</v>
      </c>
      <c r="C3282" t="s">
        <v>927</v>
      </c>
      <c r="D3282" t="s">
        <v>3052</v>
      </c>
      <c r="E3282" t="s">
        <v>3053</v>
      </c>
      <c r="F3282" t="s">
        <v>473</v>
      </c>
      <c r="G3282" t="s">
        <v>474</v>
      </c>
      <c r="H3282" t="s">
        <v>14744</v>
      </c>
      <c r="I3282">
        <v>42</v>
      </c>
      <c r="J3282">
        <v>0</v>
      </c>
      <c r="K3282">
        <v>0</v>
      </c>
      <c r="L3282">
        <v>0</v>
      </c>
      <c r="M3282">
        <v>0</v>
      </c>
      <c r="N3282">
        <v>0</v>
      </c>
      <c r="O3282">
        <v>42</v>
      </c>
    </row>
    <row r="3283" spans="1:15" x14ac:dyDescent="0.25">
      <c r="A3283" t="s">
        <v>1069</v>
      </c>
      <c r="B3283" t="s">
        <v>2001</v>
      </c>
      <c r="C3283" t="s">
        <v>927</v>
      </c>
      <c r="D3283" t="s">
        <v>3052</v>
      </c>
      <c r="E3283" t="s">
        <v>3053</v>
      </c>
      <c r="F3283" t="s">
        <v>473</v>
      </c>
      <c r="G3283" t="s">
        <v>474</v>
      </c>
      <c r="H3283" t="s">
        <v>5228</v>
      </c>
      <c r="I3283">
        <v>2</v>
      </c>
      <c r="J3283">
        <v>0</v>
      </c>
      <c r="K3283">
        <v>0</v>
      </c>
      <c r="L3283">
        <v>0</v>
      </c>
      <c r="M3283">
        <v>0</v>
      </c>
      <c r="N3283">
        <v>0</v>
      </c>
      <c r="O3283">
        <v>2</v>
      </c>
    </row>
    <row r="3284" spans="1:15" x14ac:dyDescent="0.25">
      <c r="A3284" t="s">
        <v>1083</v>
      </c>
      <c r="B3284" t="s">
        <v>2757</v>
      </c>
      <c r="C3284" t="s">
        <v>927</v>
      </c>
      <c r="D3284" t="s">
        <v>3052</v>
      </c>
      <c r="E3284" t="s">
        <v>3053</v>
      </c>
      <c r="F3284" t="s">
        <v>473</v>
      </c>
      <c r="G3284" t="s">
        <v>474</v>
      </c>
      <c r="H3284" t="s">
        <v>5229</v>
      </c>
      <c r="I3284">
        <v>143</v>
      </c>
      <c r="J3284">
        <v>25</v>
      </c>
      <c r="K3284">
        <v>0</v>
      </c>
      <c r="L3284">
        <v>0</v>
      </c>
      <c r="M3284">
        <v>114</v>
      </c>
      <c r="N3284">
        <v>0</v>
      </c>
      <c r="O3284">
        <v>4</v>
      </c>
    </row>
    <row r="3285" spans="1:15" x14ac:dyDescent="0.25">
      <c r="A3285" t="s">
        <v>1016</v>
      </c>
      <c r="B3285" t="s">
        <v>2725</v>
      </c>
      <c r="C3285" t="s">
        <v>927</v>
      </c>
      <c r="D3285" t="s">
        <v>3052</v>
      </c>
      <c r="E3285" t="s">
        <v>3053</v>
      </c>
      <c r="F3285" t="s">
        <v>475</v>
      </c>
      <c r="G3285" t="s">
        <v>476</v>
      </c>
      <c r="H3285" t="s">
        <v>5239</v>
      </c>
      <c r="I3285">
        <v>127</v>
      </c>
      <c r="J3285">
        <v>61</v>
      </c>
      <c r="K3285">
        <v>0</v>
      </c>
      <c r="L3285">
        <v>0</v>
      </c>
      <c r="M3285">
        <v>66</v>
      </c>
      <c r="N3285">
        <v>0</v>
      </c>
      <c r="O3285">
        <v>0</v>
      </c>
    </row>
    <row r="3286" spans="1:15" x14ac:dyDescent="0.25">
      <c r="A3286" t="s">
        <v>971</v>
      </c>
      <c r="B3286" t="s">
        <v>2956</v>
      </c>
      <c r="C3286" t="s">
        <v>927</v>
      </c>
      <c r="D3286" t="s">
        <v>3052</v>
      </c>
      <c r="E3286" t="s">
        <v>3053</v>
      </c>
      <c r="F3286" t="s">
        <v>475</v>
      </c>
      <c r="G3286" t="s">
        <v>476</v>
      </c>
      <c r="H3286" t="s">
        <v>5230</v>
      </c>
      <c r="I3286">
        <v>100</v>
      </c>
      <c r="J3286">
        <v>78</v>
      </c>
      <c r="K3286">
        <v>0</v>
      </c>
      <c r="L3286">
        <v>0</v>
      </c>
      <c r="M3286">
        <v>22</v>
      </c>
      <c r="N3286">
        <v>0</v>
      </c>
      <c r="O3286">
        <v>0</v>
      </c>
    </row>
    <row r="3287" spans="1:15" x14ac:dyDescent="0.25">
      <c r="A3287" t="s">
        <v>1402</v>
      </c>
      <c r="B3287" t="s">
        <v>2044</v>
      </c>
      <c r="C3287" t="s">
        <v>923</v>
      </c>
      <c r="D3287" t="s">
        <v>3063</v>
      </c>
      <c r="E3287" t="s">
        <v>3053</v>
      </c>
      <c r="F3287" t="s">
        <v>475</v>
      </c>
      <c r="G3287" t="s">
        <v>476</v>
      </c>
      <c r="H3287" t="s">
        <v>5231</v>
      </c>
      <c r="I3287">
        <v>12</v>
      </c>
      <c r="J3287">
        <v>12</v>
      </c>
      <c r="K3287">
        <v>0</v>
      </c>
      <c r="L3287">
        <v>0</v>
      </c>
      <c r="M3287">
        <v>0</v>
      </c>
      <c r="N3287">
        <v>0</v>
      </c>
      <c r="O3287">
        <v>0</v>
      </c>
    </row>
    <row r="3288" spans="1:15" x14ac:dyDescent="0.25">
      <c r="A3288" t="s">
        <v>929</v>
      </c>
      <c r="B3288" t="s">
        <v>2999</v>
      </c>
      <c r="C3288" t="s">
        <v>927</v>
      </c>
      <c r="D3288" t="s">
        <v>3052</v>
      </c>
      <c r="E3288" t="s">
        <v>3053</v>
      </c>
      <c r="F3288" t="s">
        <v>475</v>
      </c>
      <c r="G3288" t="s">
        <v>476</v>
      </c>
      <c r="H3288" t="s">
        <v>5232</v>
      </c>
      <c r="I3288">
        <v>295</v>
      </c>
      <c r="J3288">
        <v>0</v>
      </c>
      <c r="K3288">
        <v>0</v>
      </c>
      <c r="L3288">
        <v>0</v>
      </c>
      <c r="M3288">
        <v>276</v>
      </c>
      <c r="N3288">
        <v>0</v>
      </c>
      <c r="O3288">
        <v>19</v>
      </c>
    </row>
    <row r="3289" spans="1:15" x14ac:dyDescent="0.25">
      <c r="A3289" t="s">
        <v>1407</v>
      </c>
      <c r="B3289" t="s">
        <v>2109</v>
      </c>
      <c r="C3289" t="s">
        <v>927</v>
      </c>
      <c r="D3289" t="s">
        <v>3052</v>
      </c>
      <c r="E3289" t="s">
        <v>3053</v>
      </c>
      <c r="F3289" t="s">
        <v>475</v>
      </c>
      <c r="G3289" t="s">
        <v>476</v>
      </c>
      <c r="H3289" t="s">
        <v>5233</v>
      </c>
      <c r="I3289">
        <v>543</v>
      </c>
      <c r="J3289">
        <v>279</v>
      </c>
      <c r="K3289">
        <v>0</v>
      </c>
      <c r="L3289">
        <v>90</v>
      </c>
      <c r="M3289">
        <v>169</v>
      </c>
      <c r="N3289">
        <v>0</v>
      </c>
      <c r="O3289">
        <v>5</v>
      </c>
    </row>
    <row r="3290" spans="1:15" x14ac:dyDescent="0.25">
      <c r="A3290" t="s">
        <v>9784</v>
      </c>
      <c r="B3290" t="s">
        <v>1994</v>
      </c>
      <c r="C3290" t="s">
        <v>927</v>
      </c>
      <c r="D3290" t="s">
        <v>3052</v>
      </c>
      <c r="E3290" t="s">
        <v>3053</v>
      </c>
      <c r="F3290" t="s">
        <v>475</v>
      </c>
      <c r="G3290" t="s">
        <v>476</v>
      </c>
      <c r="H3290" t="s">
        <v>9944</v>
      </c>
      <c r="I3290">
        <v>25</v>
      </c>
      <c r="J3290">
        <v>0</v>
      </c>
      <c r="K3290">
        <v>0</v>
      </c>
      <c r="L3290">
        <v>25</v>
      </c>
      <c r="M3290">
        <v>0</v>
      </c>
      <c r="N3290">
        <v>0</v>
      </c>
      <c r="O3290">
        <v>0</v>
      </c>
    </row>
    <row r="3291" spans="1:15" x14ac:dyDescent="0.25">
      <c r="A3291" t="s">
        <v>1412</v>
      </c>
      <c r="B3291" t="s">
        <v>2099</v>
      </c>
      <c r="C3291" t="s">
        <v>927</v>
      </c>
      <c r="D3291" t="s">
        <v>3052</v>
      </c>
      <c r="E3291" t="s">
        <v>3053</v>
      </c>
      <c r="F3291" t="s">
        <v>475</v>
      </c>
      <c r="G3291" t="s">
        <v>476</v>
      </c>
      <c r="H3291" t="s">
        <v>5234</v>
      </c>
      <c r="I3291">
        <v>313</v>
      </c>
      <c r="J3291">
        <v>204</v>
      </c>
      <c r="K3291">
        <v>0</v>
      </c>
      <c r="L3291">
        <v>0</v>
      </c>
      <c r="M3291">
        <v>108</v>
      </c>
      <c r="N3291">
        <v>0</v>
      </c>
      <c r="O3291">
        <v>1</v>
      </c>
    </row>
    <row r="3292" spans="1:15" x14ac:dyDescent="0.25">
      <c r="A3292" t="s">
        <v>1415</v>
      </c>
      <c r="B3292" t="s">
        <v>10618</v>
      </c>
      <c r="C3292" t="s">
        <v>927</v>
      </c>
      <c r="D3292" t="s">
        <v>3052</v>
      </c>
      <c r="E3292" t="s">
        <v>3053</v>
      </c>
      <c r="F3292" t="s">
        <v>475</v>
      </c>
      <c r="G3292" t="s">
        <v>476</v>
      </c>
      <c r="H3292" t="s">
        <v>5235</v>
      </c>
      <c r="I3292">
        <v>143</v>
      </c>
      <c r="J3292">
        <v>143</v>
      </c>
      <c r="K3292">
        <v>0</v>
      </c>
      <c r="L3292">
        <v>0</v>
      </c>
      <c r="M3292">
        <v>0</v>
      </c>
      <c r="N3292">
        <v>0</v>
      </c>
      <c r="O3292">
        <v>0</v>
      </c>
    </row>
    <row r="3293" spans="1:15" x14ac:dyDescent="0.25">
      <c r="A3293" t="s">
        <v>10638</v>
      </c>
      <c r="B3293" t="s">
        <v>2057</v>
      </c>
      <c r="C3293" t="s">
        <v>927</v>
      </c>
      <c r="D3293" t="s">
        <v>3052</v>
      </c>
      <c r="E3293" t="s">
        <v>3053</v>
      </c>
      <c r="F3293" t="s">
        <v>475</v>
      </c>
      <c r="G3293" t="s">
        <v>476</v>
      </c>
      <c r="H3293" t="s">
        <v>11041</v>
      </c>
      <c r="I3293">
        <v>9</v>
      </c>
      <c r="J3293">
        <v>0</v>
      </c>
      <c r="K3293">
        <v>0</v>
      </c>
      <c r="L3293">
        <v>9</v>
      </c>
      <c r="M3293">
        <v>0</v>
      </c>
      <c r="N3293">
        <v>0</v>
      </c>
      <c r="O3293">
        <v>0</v>
      </c>
    </row>
    <row r="3294" spans="1:15" x14ac:dyDescent="0.25">
      <c r="A3294" t="s">
        <v>938</v>
      </c>
      <c r="B3294" t="s">
        <v>2791</v>
      </c>
      <c r="C3294" t="s">
        <v>927</v>
      </c>
      <c r="D3294" t="s">
        <v>3052</v>
      </c>
      <c r="E3294" t="s">
        <v>3053</v>
      </c>
      <c r="F3294" t="s">
        <v>475</v>
      </c>
      <c r="G3294" t="s">
        <v>476</v>
      </c>
      <c r="H3294" t="s">
        <v>5236</v>
      </c>
      <c r="I3294">
        <v>1951</v>
      </c>
      <c r="J3294">
        <v>1573</v>
      </c>
      <c r="K3294">
        <v>0</v>
      </c>
      <c r="L3294">
        <v>167</v>
      </c>
      <c r="M3294">
        <v>107</v>
      </c>
      <c r="N3294">
        <v>2</v>
      </c>
      <c r="O3294">
        <v>104</v>
      </c>
    </row>
    <row r="3295" spans="1:15" x14ac:dyDescent="0.25">
      <c r="A3295" t="s">
        <v>940</v>
      </c>
      <c r="B3295" t="s">
        <v>2647</v>
      </c>
      <c r="C3295" t="s">
        <v>927</v>
      </c>
      <c r="D3295" t="s">
        <v>3052</v>
      </c>
      <c r="E3295" t="s">
        <v>3053</v>
      </c>
      <c r="F3295" t="s">
        <v>475</v>
      </c>
      <c r="G3295" t="s">
        <v>476</v>
      </c>
      <c r="H3295" t="s">
        <v>5237</v>
      </c>
      <c r="I3295">
        <v>256</v>
      </c>
      <c r="J3295">
        <v>0</v>
      </c>
      <c r="K3295">
        <v>0</v>
      </c>
      <c r="L3295">
        <v>0</v>
      </c>
      <c r="M3295">
        <v>256</v>
      </c>
      <c r="N3295">
        <v>0</v>
      </c>
      <c r="O3295">
        <v>0</v>
      </c>
    </row>
    <row r="3296" spans="1:15" x14ac:dyDescent="0.25">
      <c r="A3296" t="s">
        <v>1013</v>
      </c>
      <c r="B3296" t="s">
        <v>1959</v>
      </c>
      <c r="C3296" t="s">
        <v>927</v>
      </c>
      <c r="D3296" t="s">
        <v>3052</v>
      </c>
      <c r="E3296" t="s">
        <v>3053</v>
      </c>
      <c r="F3296" t="s">
        <v>475</v>
      </c>
      <c r="G3296" t="s">
        <v>476</v>
      </c>
      <c r="H3296" t="s">
        <v>5238</v>
      </c>
      <c r="I3296">
        <v>2</v>
      </c>
      <c r="J3296">
        <v>0</v>
      </c>
      <c r="K3296">
        <v>0</v>
      </c>
      <c r="L3296">
        <v>2</v>
      </c>
      <c r="M3296">
        <v>0</v>
      </c>
      <c r="N3296">
        <v>0</v>
      </c>
      <c r="O3296">
        <v>0</v>
      </c>
    </row>
    <row r="3297" spans="1:15" x14ac:dyDescent="0.25">
      <c r="A3297" t="s">
        <v>1427</v>
      </c>
      <c r="B3297" t="s">
        <v>2087</v>
      </c>
      <c r="C3297" t="s">
        <v>927</v>
      </c>
      <c r="D3297" t="s">
        <v>3052</v>
      </c>
      <c r="E3297" t="s">
        <v>3053</v>
      </c>
      <c r="F3297" t="s">
        <v>475</v>
      </c>
      <c r="G3297" t="s">
        <v>476</v>
      </c>
      <c r="H3297" t="s">
        <v>5240</v>
      </c>
      <c r="I3297">
        <v>812</v>
      </c>
      <c r="J3297">
        <v>633</v>
      </c>
      <c r="K3297">
        <v>0</v>
      </c>
      <c r="L3297">
        <v>35</v>
      </c>
      <c r="M3297">
        <v>7</v>
      </c>
      <c r="N3297">
        <v>0</v>
      </c>
      <c r="O3297">
        <v>137</v>
      </c>
    </row>
    <row r="3298" spans="1:15" x14ac:dyDescent="0.25">
      <c r="A3298" t="s">
        <v>1428</v>
      </c>
      <c r="B3298" t="s">
        <v>1951</v>
      </c>
      <c r="C3298" t="s">
        <v>923</v>
      </c>
      <c r="D3298" t="s">
        <v>3063</v>
      </c>
      <c r="E3298" t="s">
        <v>3053</v>
      </c>
      <c r="F3298" t="s">
        <v>475</v>
      </c>
      <c r="G3298" t="s">
        <v>476</v>
      </c>
      <c r="H3298" t="s">
        <v>5241</v>
      </c>
      <c r="I3298">
        <v>308</v>
      </c>
      <c r="J3298">
        <v>304</v>
      </c>
      <c r="K3298">
        <v>0</v>
      </c>
      <c r="L3298">
        <v>0</v>
      </c>
      <c r="M3298">
        <v>4</v>
      </c>
      <c r="N3298">
        <v>8</v>
      </c>
      <c r="O3298">
        <v>0</v>
      </c>
    </row>
    <row r="3299" spans="1:15" x14ac:dyDescent="0.25">
      <c r="A3299" t="s">
        <v>951</v>
      </c>
      <c r="B3299" t="s">
        <v>2680</v>
      </c>
      <c r="C3299" t="s">
        <v>927</v>
      </c>
      <c r="D3299" t="s">
        <v>3052</v>
      </c>
      <c r="E3299" t="s">
        <v>3053</v>
      </c>
      <c r="F3299" t="s">
        <v>475</v>
      </c>
      <c r="G3299" t="s">
        <v>476</v>
      </c>
      <c r="H3299" t="s">
        <v>5242</v>
      </c>
      <c r="I3299">
        <v>520</v>
      </c>
      <c r="J3299">
        <v>427</v>
      </c>
      <c r="K3299">
        <v>0</v>
      </c>
      <c r="L3299">
        <v>11</v>
      </c>
      <c r="M3299">
        <v>58</v>
      </c>
      <c r="N3299">
        <v>0</v>
      </c>
      <c r="O3299">
        <v>24</v>
      </c>
    </row>
    <row r="3300" spans="1:15" x14ac:dyDescent="0.25">
      <c r="A3300" t="s">
        <v>1048</v>
      </c>
      <c r="B3300" t="s">
        <v>2989</v>
      </c>
      <c r="C3300" t="s">
        <v>927</v>
      </c>
      <c r="D3300" t="s">
        <v>3052</v>
      </c>
      <c r="E3300" t="s">
        <v>3053</v>
      </c>
      <c r="F3300" t="s">
        <v>475</v>
      </c>
      <c r="G3300" t="s">
        <v>476</v>
      </c>
      <c r="H3300" t="s">
        <v>5243</v>
      </c>
      <c r="I3300">
        <v>8</v>
      </c>
      <c r="J3300">
        <v>0</v>
      </c>
      <c r="K3300">
        <v>0</v>
      </c>
      <c r="L3300">
        <v>8</v>
      </c>
      <c r="M3300">
        <v>0</v>
      </c>
      <c r="N3300">
        <v>0</v>
      </c>
      <c r="O3300">
        <v>0</v>
      </c>
    </row>
    <row r="3301" spans="1:15" x14ac:dyDescent="0.25">
      <c r="A3301" t="s">
        <v>1436</v>
      </c>
      <c r="B3301" t="s">
        <v>2209</v>
      </c>
      <c r="C3301" t="s">
        <v>927</v>
      </c>
      <c r="D3301" t="s">
        <v>3052</v>
      </c>
      <c r="E3301" t="s">
        <v>3053</v>
      </c>
      <c r="F3301" t="s">
        <v>475</v>
      </c>
      <c r="G3301" t="s">
        <v>476</v>
      </c>
      <c r="H3301" t="s">
        <v>5244</v>
      </c>
      <c r="I3301">
        <v>50</v>
      </c>
      <c r="J3301">
        <v>18</v>
      </c>
      <c r="K3301">
        <v>0</v>
      </c>
      <c r="L3301">
        <v>32</v>
      </c>
      <c r="M3301">
        <v>0</v>
      </c>
      <c r="N3301">
        <v>1</v>
      </c>
      <c r="O3301">
        <v>0</v>
      </c>
    </row>
    <row r="3302" spans="1:15" x14ac:dyDescent="0.25">
      <c r="A3302" t="s">
        <v>953</v>
      </c>
      <c r="B3302" t="s">
        <v>2014</v>
      </c>
      <c r="C3302" t="s">
        <v>927</v>
      </c>
      <c r="D3302" t="s">
        <v>3052</v>
      </c>
      <c r="E3302" t="s">
        <v>3053</v>
      </c>
      <c r="F3302" t="s">
        <v>475</v>
      </c>
      <c r="G3302" t="s">
        <v>476</v>
      </c>
      <c r="H3302" t="s">
        <v>14745</v>
      </c>
      <c r="I3302">
        <v>1</v>
      </c>
      <c r="J3302">
        <v>0</v>
      </c>
      <c r="K3302">
        <v>0</v>
      </c>
      <c r="L3302">
        <v>1</v>
      </c>
      <c r="M3302">
        <v>0</v>
      </c>
      <c r="N3302">
        <v>0</v>
      </c>
      <c r="O3302">
        <v>0</v>
      </c>
    </row>
    <row r="3303" spans="1:15" x14ac:dyDescent="0.25">
      <c r="A3303" t="s">
        <v>1442</v>
      </c>
      <c r="B3303" t="s">
        <v>2017</v>
      </c>
      <c r="C3303" t="s">
        <v>923</v>
      </c>
      <c r="D3303" t="s">
        <v>3063</v>
      </c>
      <c r="E3303" t="s">
        <v>3053</v>
      </c>
      <c r="F3303" t="s">
        <v>475</v>
      </c>
      <c r="G3303" t="s">
        <v>476</v>
      </c>
      <c r="H3303" t="s">
        <v>5245</v>
      </c>
      <c r="I3303">
        <v>18</v>
      </c>
      <c r="J3303">
        <v>17</v>
      </c>
      <c r="K3303">
        <v>0</v>
      </c>
      <c r="L3303">
        <v>1</v>
      </c>
      <c r="M3303">
        <v>0</v>
      </c>
      <c r="N3303">
        <v>0</v>
      </c>
      <c r="O3303">
        <v>0</v>
      </c>
    </row>
    <row r="3304" spans="1:15" x14ac:dyDescent="0.25">
      <c r="A3304" t="s">
        <v>1071</v>
      </c>
      <c r="B3304" t="s">
        <v>2571</v>
      </c>
      <c r="C3304" t="s">
        <v>923</v>
      </c>
      <c r="D3304" t="s">
        <v>3063</v>
      </c>
      <c r="E3304" t="s">
        <v>3053</v>
      </c>
      <c r="F3304" t="s">
        <v>475</v>
      </c>
      <c r="G3304" t="s">
        <v>476</v>
      </c>
      <c r="H3304" t="s">
        <v>5246</v>
      </c>
      <c r="I3304">
        <v>6</v>
      </c>
      <c r="J3304">
        <v>0</v>
      </c>
      <c r="K3304">
        <v>0</v>
      </c>
      <c r="L3304">
        <v>6</v>
      </c>
      <c r="M3304">
        <v>0</v>
      </c>
      <c r="N3304">
        <v>0</v>
      </c>
      <c r="O3304">
        <v>0</v>
      </c>
    </row>
    <row r="3305" spans="1:15" x14ac:dyDescent="0.25">
      <c r="A3305" t="s">
        <v>1072</v>
      </c>
      <c r="B3305" t="s">
        <v>2907</v>
      </c>
      <c r="C3305" t="s">
        <v>927</v>
      </c>
      <c r="D3305" t="s">
        <v>3052</v>
      </c>
      <c r="E3305" t="s">
        <v>3053</v>
      </c>
      <c r="F3305" t="s">
        <v>475</v>
      </c>
      <c r="G3305" t="s">
        <v>476</v>
      </c>
      <c r="H3305" t="s">
        <v>5247</v>
      </c>
      <c r="I3305">
        <v>245</v>
      </c>
      <c r="J3305">
        <v>183</v>
      </c>
      <c r="K3305">
        <v>0</v>
      </c>
      <c r="L3305">
        <v>38</v>
      </c>
      <c r="M3305">
        <v>0</v>
      </c>
      <c r="N3305">
        <v>0</v>
      </c>
      <c r="O3305">
        <v>24</v>
      </c>
    </row>
    <row r="3306" spans="1:15" x14ac:dyDescent="0.25">
      <c r="A3306" t="s">
        <v>1180</v>
      </c>
      <c r="B3306" t="s">
        <v>2896</v>
      </c>
      <c r="C3306" t="s">
        <v>927</v>
      </c>
      <c r="D3306" t="s">
        <v>3052</v>
      </c>
      <c r="E3306" t="s">
        <v>3053</v>
      </c>
      <c r="F3306" t="s">
        <v>475</v>
      </c>
      <c r="G3306" t="s">
        <v>476</v>
      </c>
      <c r="H3306" t="s">
        <v>5248</v>
      </c>
      <c r="I3306">
        <v>221</v>
      </c>
      <c r="J3306">
        <v>136</v>
      </c>
      <c r="K3306">
        <v>0</v>
      </c>
      <c r="L3306">
        <v>0</v>
      </c>
      <c r="M3306">
        <v>61</v>
      </c>
      <c r="N3306">
        <v>0</v>
      </c>
      <c r="O3306">
        <v>24</v>
      </c>
    </row>
    <row r="3307" spans="1:15" x14ac:dyDescent="0.25">
      <c r="A3307" t="s">
        <v>1447</v>
      </c>
      <c r="B3307" t="s">
        <v>3018</v>
      </c>
      <c r="C3307" t="s">
        <v>923</v>
      </c>
      <c r="D3307" t="s">
        <v>3063</v>
      </c>
      <c r="E3307" t="s">
        <v>3053</v>
      </c>
      <c r="F3307" t="s">
        <v>475</v>
      </c>
      <c r="G3307" t="s">
        <v>476</v>
      </c>
      <c r="H3307" t="s">
        <v>5249</v>
      </c>
      <c r="I3307">
        <v>24</v>
      </c>
      <c r="J3307">
        <v>7</v>
      </c>
      <c r="K3307">
        <v>0</v>
      </c>
      <c r="L3307">
        <v>17</v>
      </c>
      <c r="M3307">
        <v>0</v>
      </c>
      <c r="N3307">
        <v>0</v>
      </c>
      <c r="O3307">
        <v>0</v>
      </c>
    </row>
    <row r="3308" spans="1:15" x14ac:dyDescent="0.25">
      <c r="A3308" t="s">
        <v>971</v>
      </c>
      <c r="B3308" t="s">
        <v>2956</v>
      </c>
      <c r="C3308" t="s">
        <v>927</v>
      </c>
      <c r="D3308" t="s">
        <v>3052</v>
      </c>
      <c r="E3308" t="s">
        <v>3053</v>
      </c>
      <c r="F3308" t="s">
        <v>477</v>
      </c>
      <c r="G3308" t="s">
        <v>478</v>
      </c>
      <c r="H3308" t="s">
        <v>5250</v>
      </c>
      <c r="I3308">
        <v>306</v>
      </c>
      <c r="J3308">
        <v>218</v>
      </c>
      <c r="K3308">
        <v>0</v>
      </c>
      <c r="L3308">
        <v>0</v>
      </c>
      <c r="M3308">
        <v>87</v>
      </c>
      <c r="N3308">
        <v>0</v>
      </c>
      <c r="O3308">
        <v>1</v>
      </c>
    </row>
    <row r="3309" spans="1:15" x14ac:dyDescent="0.25">
      <c r="A3309" t="s">
        <v>972</v>
      </c>
      <c r="B3309" t="s">
        <v>2842</v>
      </c>
      <c r="C3309" t="s">
        <v>927</v>
      </c>
      <c r="D3309" t="s">
        <v>3052</v>
      </c>
      <c r="E3309" t="s">
        <v>3053</v>
      </c>
      <c r="F3309" t="s">
        <v>477</v>
      </c>
      <c r="G3309" t="s">
        <v>478</v>
      </c>
      <c r="H3309" t="s">
        <v>5251</v>
      </c>
      <c r="I3309">
        <v>12</v>
      </c>
      <c r="J3309">
        <v>0</v>
      </c>
      <c r="K3309">
        <v>0</v>
      </c>
      <c r="L3309">
        <v>0</v>
      </c>
      <c r="M3309">
        <v>0</v>
      </c>
      <c r="N3309">
        <v>0</v>
      </c>
      <c r="O3309">
        <v>12</v>
      </c>
    </row>
    <row r="3310" spans="1:15" x14ac:dyDescent="0.25">
      <c r="A3310" t="s">
        <v>926</v>
      </c>
      <c r="B3310" t="s">
        <v>2923</v>
      </c>
      <c r="C3310" t="s">
        <v>927</v>
      </c>
      <c r="D3310" t="s">
        <v>3052</v>
      </c>
      <c r="E3310" t="s">
        <v>3053</v>
      </c>
      <c r="F3310" t="s">
        <v>477</v>
      </c>
      <c r="G3310" t="s">
        <v>478</v>
      </c>
      <c r="H3310" t="s">
        <v>5252</v>
      </c>
      <c r="I3310">
        <v>21</v>
      </c>
      <c r="J3310">
        <v>0</v>
      </c>
      <c r="K3310">
        <v>0</v>
      </c>
      <c r="L3310">
        <v>15</v>
      </c>
      <c r="M3310">
        <v>0</v>
      </c>
      <c r="N3310">
        <v>0</v>
      </c>
      <c r="O3310">
        <v>6</v>
      </c>
    </row>
    <row r="3311" spans="1:15" x14ac:dyDescent="0.25">
      <c r="A3311" t="s">
        <v>929</v>
      </c>
      <c r="B3311" t="s">
        <v>2999</v>
      </c>
      <c r="C3311" t="s">
        <v>927</v>
      </c>
      <c r="D3311" t="s">
        <v>3052</v>
      </c>
      <c r="E3311" t="s">
        <v>3053</v>
      </c>
      <c r="F3311" t="s">
        <v>477</v>
      </c>
      <c r="G3311" t="s">
        <v>478</v>
      </c>
      <c r="H3311" t="s">
        <v>5253</v>
      </c>
      <c r="I3311">
        <v>29</v>
      </c>
      <c r="J3311">
        <v>0</v>
      </c>
      <c r="K3311">
        <v>0</v>
      </c>
      <c r="L3311">
        <v>0</v>
      </c>
      <c r="M3311">
        <v>29</v>
      </c>
      <c r="N3311">
        <v>0</v>
      </c>
      <c r="O3311">
        <v>0</v>
      </c>
    </row>
    <row r="3312" spans="1:15" x14ac:dyDescent="0.25">
      <c r="A3312" t="s">
        <v>9784</v>
      </c>
      <c r="B3312" t="s">
        <v>1994</v>
      </c>
      <c r="C3312" t="s">
        <v>927</v>
      </c>
      <c r="D3312" t="s">
        <v>3052</v>
      </c>
      <c r="E3312" t="s">
        <v>3053</v>
      </c>
      <c r="F3312" t="s">
        <v>477</v>
      </c>
      <c r="G3312" t="s">
        <v>478</v>
      </c>
      <c r="H3312" t="s">
        <v>9945</v>
      </c>
      <c r="I3312">
        <v>9</v>
      </c>
      <c r="J3312">
        <v>0</v>
      </c>
      <c r="K3312">
        <v>0</v>
      </c>
      <c r="L3312">
        <v>9</v>
      </c>
      <c r="M3312">
        <v>0</v>
      </c>
      <c r="N3312">
        <v>0</v>
      </c>
      <c r="O3312">
        <v>0</v>
      </c>
    </row>
    <row r="3313" spans="1:15" x14ac:dyDescent="0.25">
      <c r="A3313" t="s">
        <v>997</v>
      </c>
      <c r="B3313" t="s">
        <v>2033</v>
      </c>
      <c r="C3313" t="s">
        <v>927</v>
      </c>
      <c r="D3313" t="s">
        <v>3052</v>
      </c>
      <c r="E3313" t="s">
        <v>3053</v>
      </c>
      <c r="F3313" t="s">
        <v>477</v>
      </c>
      <c r="G3313" t="s">
        <v>478</v>
      </c>
      <c r="H3313" t="s">
        <v>5254</v>
      </c>
      <c r="I3313">
        <v>297</v>
      </c>
      <c r="J3313">
        <v>209</v>
      </c>
      <c r="K3313">
        <v>0</v>
      </c>
      <c r="L3313">
        <v>9</v>
      </c>
      <c r="M3313">
        <v>57</v>
      </c>
      <c r="N3313">
        <v>4</v>
      </c>
      <c r="O3313">
        <v>22</v>
      </c>
    </row>
    <row r="3314" spans="1:15" x14ac:dyDescent="0.25">
      <c r="A3314" t="s">
        <v>935</v>
      </c>
      <c r="B3314" t="s">
        <v>1960</v>
      </c>
      <c r="C3314" t="s">
        <v>923</v>
      </c>
      <c r="D3314" t="s">
        <v>3063</v>
      </c>
      <c r="E3314" t="s">
        <v>3053</v>
      </c>
      <c r="F3314" t="s">
        <v>477</v>
      </c>
      <c r="G3314" t="s">
        <v>478</v>
      </c>
      <c r="H3314" t="s">
        <v>5255</v>
      </c>
      <c r="I3314">
        <v>3</v>
      </c>
      <c r="J3314">
        <v>0</v>
      </c>
      <c r="K3314">
        <v>0</v>
      </c>
      <c r="L3314">
        <v>3</v>
      </c>
      <c r="M3314">
        <v>0</v>
      </c>
      <c r="N3314">
        <v>0</v>
      </c>
      <c r="O3314">
        <v>0</v>
      </c>
    </row>
    <row r="3315" spans="1:15" x14ac:dyDescent="0.25">
      <c r="A3315" t="s">
        <v>1001</v>
      </c>
      <c r="B3315" t="s">
        <v>3007</v>
      </c>
      <c r="C3315" t="s">
        <v>927</v>
      </c>
      <c r="D3315" t="s">
        <v>3052</v>
      </c>
      <c r="E3315" t="s">
        <v>3053</v>
      </c>
      <c r="F3315" t="s">
        <v>477</v>
      </c>
      <c r="G3315" t="s">
        <v>478</v>
      </c>
      <c r="H3315" t="s">
        <v>5256</v>
      </c>
      <c r="I3315">
        <v>77</v>
      </c>
      <c r="J3315">
        <v>0</v>
      </c>
      <c r="K3315">
        <v>0</v>
      </c>
      <c r="L3315">
        <v>77</v>
      </c>
      <c r="M3315">
        <v>0</v>
      </c>
      <c r="N3315">
        <v>0</v>
      </c>
      <c r="O3315">
        <v>0</v>
      </c>
    </row>
    <row r="3316" spans="1:15" x14ac:dyDescent="0.25">
      <c r="A3316" t="s">
        <v>10638</v>
      </c>
      <c r="B3316" t="s">
        <v>2057</v>
      </c>
      <c r="C3316" t="s">
        <v>927</v>
      </c>
      <c r="D3316" t="s">
        <v>3052</v>
      </c>
      <c r="E3316" t="s">
        <v>3053</v>
      </c>
      <c r="F3316" t="s">
        <v>477</v>
      </c>
      <c r="G3316" t="s">
        <v>478</v>
      </c>
      <c r="H3316" t="s">
        <v>11042</v>
      </c>
      <c r="I3316">
        <v>30</v>
      </c>
      <c r="J3316">
        <v>0</v>
      </c>
      <c r="K3316">
        <v>0</v>
      </c>
      <c r="L3316">
        <v>30</v>
      </c>
      <c r="M3316">
        <v>0</v>
      </c>
      <c r="N3316">
        <v>0</v>
      </c>
      <c r="O3316">
        <v>0</v>
      </c>
    </row>
    <row r="3317" spans="1:15" x14ac:dyDescent="0.25">
      <c r="A3317" t="s">
        <v>1011</v>
      </c>
      <c r="B3317" t="s">
        <v>2020</v>
      </c>
      <c r="C3317" t="s">
        <v>927</v>
      </c>
      <c r="D3317" t="s">
        <v>3052</v>
      </c>
      <c r="E3317" t="s">
        <v>3053</v>
      </c>
      <c r="F3317" t="s">
        <v>477</v>
      </c>
      <c r="G3317" t="s">
        <v>478</v>
      </c>
      <c r="H3317" t="s">
        <v>10110</v>
      </c>
      <c r="I3317">
        <v>6</v>
      </c>
      <c r="J3317">
        <v>0</v>
      </c>
      <c r="K3317">
        <v>0</v>
      </c>
      <c r="L3317">
        <v>6</v>
      </c>
      <c r="M3317">
        <v>0</v>
      </c>
      <c r="N3317">
        <v>0</v>
      </c>
      <c r="O3317">
        <v>0</v>
      </c>
    </row>
    <row r="3318" spans="1:15" x14ac:dyDescent="0.25">
      <c r="A3318" t="s">
        <v>938</v>
      </c>
      <c r="B3318" t="s">
        <v>2791</v>
      </c>
      <c r="C3318" t="s">
        <v>927</v>
      </c>
      <c r="D3318" t="s">
        <v>3052</v>
      </c>
      <c r="E3318" t="s">
        <v>3053</v>
      </c>
      <c r="F3318" t="s">
        <v>477</v>
      </c>
      <c r="G3318" t="s">
        <v>478</v>
      </c>
      <c r="H3318" t="s">
        <v>5257</v>
      </c>
      <c r="I3318">
        <v>9</v>
      </c>
      <c r="J3318">
        <v>9</v>
      </c>
      <c r="K3318">
        <v>0</v>
      </c>
      <c r="L3318">
        <v>0</v>
      </c>
      <c r="M3318">
        <v>0</v>
      </c>
      <c r="N3318">
        <v>0</v>
      </c>
      <c r="O3318">
        <v>0</v>
      </c>
    </row>
    <row r="3319" spans="1:15" x14ac:dyDescent="0.25">
      <c r="A3319" t="s">
        <v>940</v>
      </c>
      <c r="B3319" t="s">
        <v>2647</v>
      </c>
      <c r="C3319" t="s">
        <v>927</v>
      </c>
      <c r="D3319" t="s">
        <v>3052</v>
      </c>
      <c r="E3319" t="s">
        <v>3053</v>
      </c>
      <c r="F3319" t="s">
        <v>477</v>
      </c>
      <c r="G3319" t="s">
        <v>478</v>
      </c>
      <c r="H3319" t="s">
        <v>5258</v>
      </c>
      <c r="I3319">
        <v>39</v>
      </c>
      <c r="J3319">
        <v>0</v>
      </c>
      <c r="K3319">
        <v>0</v>
      </c>
      <c r="L3319">
        <v>0</v>
      </c>
      <c r="M3319">
        <v>39</v>
      </c>
      <c r="N3319">
        <v>0</v>
      </c>
      <c r="O3319">
        <v>0</v>
      </c>
    </row>
    <row r="3320" spans="1:15" x14ac:dyDescent="0.25">
      <c r="A3320" t="s">
        <v>1013</v>
      </c>
      <c r="B3320" t="s">
        <v>1959</v>
      </c>
      <c r="C3320" t="s">
        <v>927</v>
      </c>
      <c r="D3320" t="s">
        <v>3052</v>
      </c>
      <c r="E3320" t="s">
        <v>3053</v>
      </c>
      <c r="F3320" t="s">
        <v>477</v>
      </c>
      <c r="G3320" t="s">
        <v>478</v>
      </c>
      <c r="H3320" t="s">
        <v>5259</v>
      </c>
      <c r="I3320">
        <v>37</v>
      </c>
      <c r="J3320">
        <v>0</v>
      </c>
      <c r="K3320">
        <v>0</v>
      </c>
      <c r="L3320">
        <v>37</v>
      </c>
      <c r="M3320">
        <v>0</v>
      </c>
      <c r="N3320">
        <v>0</v>
      </c>
      <c r="O3320">
        <v>0</v>
      </c>
    </row>
    <row r="3321" spans="1:15" x14ac:dyDescent="0.25">
      <c r="A3321" t="s">
        <v>1014</v>
      </c>
      <c r="B3321" t="s">
        <v>2898</v>
      </c>
      <c r="C3321" t="s">
        <v>927</v>
      </c>
      <c r="D3321" t="s">
        <v>3052</v>
      </c>
      <c r="E3321" t="s">
        <v>3053</v>
      </c>
      <c r="F3321" t="s">
        <v>477</v>
      </c>
      <c r="G3321" t="s">
        <v>478</v>
      </c>
      <c r="H3321" t="s">
        <v>5260</v>
      </c>
      <c r="I3321">
        <v>3260</v>
      </c>
      <c r="J3321">
        <v>2342</v>
      </c>
      <c r="K3321">
        <v>0</v>
      </c>
      <c r="L3321">
        <v>23</v>
      </c>
      <c r="M3321">
        <v>842</v>
      </c>
      <c r="N3321">
        <v>15</v>
      </c>
      <c r="O3321">
        <v>53</v>
      </c>
    </row>
    <row r="3322" spans="1:15" x14ac:dyDescent="0.25">
      <c r="A3322" t="s">
        <v>1026</v>
      </c>
      <c r="B3322" t="s">
        <v>2848</v>
      </c>
      <c r="C3322" t="s">
        <v>927</v>
      </c>
      <c r="D3322" t="s">
        <v>3052</v>
      </c>
      <c r="E3322" t="s">
        <v>3053</v>
      </c>
      <c r="F3322" t="s">
        <v>477</v>
      </c>
      <c r="G3322" t="s">
        <v>478</v>
      </c>
      <c r="H3322" t="s">
        <v>5261</v>
      </c>
      <c r="I3322">
        <v>196</v>
      </c>
      <c r="J3322">
        <v>100</v>
      </c>
      <c r="K3322">
        <v>0</v>
      </c>
      <c r="L3322">
        <v>0</v>
      </c>
      <c r="M3322">
        <v>52</v>
      </c>
      <c r="N3322">
        <v>0</v>
      </c>
      <c r="O3322">
        <v>44</v>
      </c>
    </row>
    <row r="3323" spans="1:15" x14ac:dyDescent="0.25">
      <c r="A3323" t="s">
        <v>10681</v>
      </c>
      <c r="B3323" t="s">
        <v>10680</v>
      </c>
      <c r="C3323" t="s">
        <v>927</v>
      </c>
      <c r="D3323" t="s">
        <v>3052</v>
      </c>
      <c r="E3323" t="s">
        <v>3053</v>
      </c>
      <c r="F3323" t="s">
        <v>477</v>
      </c>
      <c r="G3323" t="s">
        <v>478</v>
      </c>
      <c r="H3323" t="s">
        <v>14746</v>
      </c>
      <c r="I3323">
        <v>3</v>
      </c>
      <c r="J3323">
        <v>0</v>
      </c>
      <c r="K3323">
        <v>0</v>
      </c>
      <c r="L3323">
        <v>0</v>
      </c>
      <c r="M3323">
        <v>0</v>
      </c>
      <c r="N3323">
        <v>0</v>
      </c>
      <c r="O3323">
        <v>3</v>
      </c>
    </row>
    <row r="3324" spans="1:15" x14ac:dyDescent="0.25">
      <c r="A3324" t="s">
        <v>943</v>
      </c>
      <c r="B3324" t="s">
        <v>2694</v>
      </c>
      <c r="C3324" t="s">
        <v>927</v>
      </c>
      <c r="D3324" t="s">
        <v>3052</v>
      </c>
      <c r="E3324" t="s">
        <v>3053</v>
      </c>
      <c r="F3324" t="s">
        <v>477</v>
      </c>
      <c r="G3324" t="s">
        <v>478</v>
      </c>
      <c r="H3324" t="s">
        <v>5262</v>
      </c>
      <c r="I3324">
        <v>87</v>
      </c>
      <c r="J3324">
        <v>59</v>
      </c>
      <c r="K3324">
        <v>0</v>
      </c>
      <c r="L3324">
        <v>0</v>
      </c>
      <c r="M3324">
        <v>0</v>
      </c>
      <c r="N3324">
        <v>0</v>
      </c>
      <c r="O3324">
        <v>28</v>
      </c>
    </row>
    <row r="3325" spans="1:15" x14ac:dyDescent="0.25">
      <c r="A3325" t="s">
        <v>1038</v>
      </c>
      <c r="B3325" t="s">
        <v>2068</v>
      </c>
      <c r="C3325" t="s">
        <v>927</v>
      </c>
      <c r="D3325" t="s">
        <v>3052</v>
      </c>
      <c r="E3325" t="s">
        <v>3053</v>
      </c>
      <c r="F3325" t="s">
        <v>477</v>
      </c>
      <c r="G3325" t="s">
        <v>478</v>
      </c>
      <c r="H3325" t="s">
        <v>5263</v>
      </c>
      <c r="I3325">
        <v>346</v>
      </c>
      <c r="J3325">
        <v>253</v>
      </c>
      <c r="K3325">
        <v>0</v>
      </c>
      <c r="L3325">
        <v>51</v>
      </c>
      <c r="M3325">
        <v>0</v>
      </c>
      <c r="N3325">
        <v>0</v>
      </c>
      <c r="O3325">
        <v>42</v>
      </c>
    </row>
    <row r="3326" spans="1:15" x14ac:dyDescent="0.25">
      <c r="A3326" t="s">
        <v>1043</v>
      </c>
      <c r="B3326" t="s">
        <v>2090</v>
      </c>
      <c r="C3326" t="s">
        <v>927</v>
      </c>
      <c r="D3326" t="s">
        <v>3052</v>
      </c>
      <c r="E3326" t="s">
        <v>3053</v>
      </c>
      <c r="F3326" t="s">
        <v>477</v>
      </c>
      <c r="G3326" t="s">
        <v>478</v>
      </c>
      <c r="H3326" t="s">
        <v>5264</v>
      </c>
      <c r="I3326">
        <v>156</v>
      </c>
      <c r="J3326">
        <v>156</v>
      </c>
      <c r="K3326">
        <v>0</v>
      </c>
      <c r="L3326">
        <v>0</v>
      </c>
      <c r="M3326">
        <v>0</v>
      </c>
      <c r="N3326">
        <v>0</v>
      </c>
      <c r="O3326">
        <v>0</v>
      </c>
    </row>
    <row r="3327" spans="1:15" x14ac:dyDescent="0.25">
      <c r="A3327" t="s">
        <v>951</v>
      </c>
      <c r="B3327" t="s">
        <v>2680</v>
      </c>
      <c r="C3327" t="s">
        <v>927</v>
      </c>
      <c r="D3327" t="s">
        <v>3052</v>
      </c>
      <c r="E3327" t="s">
        <v>3053</v>
      </c>
      <c r="F3327" t="s">
        <v>477</v>
      </c>
      <c r="G3327" t="s">
        <v>478</v>
      </c>
      <c r="H3327" t="s">
        <v>5265</v>
      </c>
      <c r="I3327">
        <v>108</v>
      </c>
      <c r="J3327">
        <v>66</v>
      </c>
      <c r="K3327">
        <v>0</v>
      </c>
      <c r="L3327">
        <v>0</v>
      </c>
      <c r="M3327">
        <v>0</v>
      </c>
      <c r="N3327">
        <v>0</v>
      </c>
      <c r="O3327">
        <v>42</v>
      </c>
    </row>
    <row r="3328" spans="1:15" x14ac:dyDescent="0.25">
      <c r="A3328" t="s">
        <v>1048</v>
      </c>
      <c r="B3328" t="s">
        <v>2989</v>
      </c>
      <c r="C3328" t="s">
        <v>927</v>
      </c>
      <c r="D3328" t="s">
        <v>3052</v>
      </c>
      <c r="E3328" t="s">
        <v>3053</v>
      </c>
      <c r="F3328" t="s">
        <v>477</v>
      </c>
      <c r="G3328" t="s">
        <v>478</v>
      </c>
      <c r="H3328" t="s">
        <v>12043</v>
      </c>
      <c r="I3328">
        <v>98</v>
      </c>
      <c r="J3328">
        <v>97</v>
      </c>
      <c r="K3328">
        <v>0</v>
      </c>
      <c r="L3328">
        <v>0</v>
      </c>
      <c r="M3328">
        <v>1</v>
      </c>
      <c r="N3328">
        <v>0</v>
      </c>
      <c r="O3328">
        <v>0</v>
      </c>
    </row>
    <row r="3329" spans="1:15" x14ac:dyDescent="0.25">
      <c r="A3329" t="s">
        <v>1049</v>
      </c>
      <c r="B3329" t="s">
        <v>2138</v>
      </c>
      <c r="C3329" t="s">
        <v>927</v>
      </c>
      <c r="D3329" t="s">
        <v>3052</v>
      </c>
      <c r="E3329" t="s">
        <v>3053</v>
      </c>
      <c r="F3329" t="s">
        <v>477</v>
      </c>
      <c r="G3329" t="s">
        <v>478</v>
      </c>
      <c r="H3329" t="s">
        <v>5266</v>
      </c>
      <c r="I3329">
        <v>55</v>
      </c>
      <c r="J3329">
        <v>45</v>
      </c>
      <c r="K3329">
        <v>0</v>
      </c>
      <c r="L3329">
        <v>0</v>
      </c>
      <c r="M3329">
        <v>0</v>
      </c>
      <c r="N3329">
        <v>0</v>
      </c>
      <c r="O3329">
        <v>10</v>
      </c>
    </row>
    <row r="3330" spans="1:15" x14ac:dyDescent="0.25">
      <c r="A3330" t="s">
        <v>1051</v>
      </c>
      <c r="B3330" t="s">
        <v>2995</v>
      </c>
      <c r="C3330" t="s">
        <v>927</v>
      </c>
      <c r="D3330" t="s">
        <v>3052</v>
      </c>
      <c r="E3330" t="s">
        <v>3053</v>
      </c>
      <c r="F3330" t="s">
        <v>477</v>
      </c>
      <c r="G3330" t="s">
        <v>478</v>
      </c>
      <c r="H3330" t="s">
        <v>5267</v>
      </c>
      <c r="I3330">
        <v>25</v>
      </c>
      <c r="J3330">
        <v>0</v>
      </c>
      <c r="K3330">
        <v>0</v>
      </c>
      <c r="L3330">
        <v>25</v>
      </c>
      <c r="M3330">
        <v>0</v>
      </c>
      <c r="N3330">
        <v>0</v>
      </c>
      <c r="O3330">
        <v>0</v>
      </c>
    </row>
    <row r="3331" spans="1:15" x14ac:dyDescent="0.25">
      <c r="A3331" t="s">
        <v>11720</v>
      </c>
      <c r="B3331" t="s">
        <v>10718</v>
      </c>
      <c r="C3331" t="s">
        <v>927</v>
      </c>
      <c r="D3331" t="s">
        <v>3052</v>
      </c>
      <c r="E3331" t="s">
        <v>3053</v>
      </c>
      <c r="F3331" t="s">
        <v>477</v>
      </c>
      <c r="G3331" t="s">
        <v>478</v>
      </c>
      <c r="H3331" t="s">
        <v>14747</v>
      </c>
      <c r="I3331">
        <v>32</v>
      </c>
      <c r="J3331">
        <v>22</v>
      </c>
      <c r="K3331">
        <v>0</v>
      </c>
      <c r="L3331">
        <v>0</v>
      </c>
      <c r="M3331">
        <v>0</v>
      </c>
      <c r="N3331">
        <v>0</v>
      </c>
      <c r="O3331">
        <v>10</v>
      </c>
    </row>
    <row r="3332" spans="1:15" x14ac:dyDescent="0.25">
      <c r="A3332" t="s">
        <v>9788</v>
      </c>
      <c r="B3332" t="s">
        <v>9871</v>
      </c>
      <c r="C3332" t="s">
        <v>927</v>
      </c>
      <c r="D3332" t="s">
        <v>3052</v>
      </c>
      <c r="E3332" t="s">
        <v>3053</v>
      </c>
      <c r="F3332" t="s">
        <v>477</v>
      </c>
      <c r="G3332" t="s">
        <v>478</v>
      </c>
      <c r="H3332" t="s">
        <v>14748</v>
      </c>
      <c r="I3332">
        <v>12</v>
      </c>
      <c r="J3332">
        <v>12</v>
      </c>
      <c r="K3332">
        <v>0</v>
      </c>
      <c r="L3332">
        <v>0</v>
      </c>
      <c r="M3332">
        <v>0</v>
      </c>
      <c r="N3332">
        <v>0</v>
      </c>
      <c r="O3332">
        <v>0</v>
      </c>
    </row>
    <row r="3333" spans="1:15" x14ac:dyDescent="0.25">
      <c r="A3333" t="s">
        <v>1069</v>
      </c>
      <c r="B3333" t="s">
        <v>2001</v>
      </c>
      <c r="C3333" t="s">
        <v>927</v>
      </c>
      <c r="D3333" t="s">
        <v>3052</v>
      </c>
      <c r="E3333" t="s">
        <v>3053</v>
      </c>
      <c r="F3333" t="s">
        <v>477</v>
      </c>
      <c r="G3333" t="s">
        <v>478</v>
      </c>
      <c r="H3333" t="s">
        <v>5268</v>
      </c>
      <c r="I3333">
        <v>271</v>
      </c>
      <c r="J3333">
        <v>207</v>
      </c>
      <c r="K3333">
        <v>0</v>
      </c>
      <c r="L3333">
        <v>0</v>
      </c>
      <c r="M3333">
        <v>64</v>
      </c>
      <c r="N3333">
        <v>0</v>
      </c>
      <c r="O3333">
        <v>0</v>
      </c>
    </row>
    <row r="3334" spans="1:15" x14ac:dyDescent="0.25">
      <c r="A3334" t="s">
        <v>1079</v>
      </c>
      <c r="B3334" t="s">
        <v>2810</v>
      </c>
      <c r="C3334" t="s">
        <v>927</v>
      </c>
      <c r="D3334" t="s">
        <v>3052</v>
      </c>
      <c r="E3334" t="s">
        <v>3053</v>
      </c>
      <c r="F3334" t="s">
        <v>477</v>
      </c>
      <c r="G3334" t="s">
        <v>478</v>
      </c>
      <c r="H3334" t="s">
        <v>5269</v>
      </c>
      <c r="I3334">
        <v>24</v>
      </c>
      <c r="J3334">
        <v>24</v>
      </c>
      <c r="K3334">
        <v>0</v>
      </c>
      <c r="L3334">
        <v>0</v>
      </c>
      <c r="M3334">
        <v>0</v>
      </c>
      <c r="N3334">
        <v>0</v>
      </c>
      <c r="O3334">
        <v>0</v>
      </c>
    </row>
    <row r="3335" spans="1:15" x14ac:dyDescent="0.25">
      <c r="A3335" t="s">
        <v>926</v>
      </c>
      <c r="B3335" t="s">
        <v>2923</v>
      </c>
      <c r="C3335" t="s">
        <v>927</v>
      </c>
      <c r="D3335" t="s">
        <v>3052</v>
      </c>
      <c r="E3335" t="s">
        <v>3053</v>
      </c>
      <c r="F3335" t="s">
        <v>479</v>
      </c>
      <c r="G3335" t="s">
        <v>480</v>
      </c>
      <c r="H3335" t="s">
        <v>5270</v>
      </c>
      <c r="I3335">
        <v>37</v>
      </c>
      <c r="J3335">
        <v>0</v>
      </c>
      <c r="K3335">
        <v>0</v>
      </c>
      <c r="L3335">
        <v>35</v>
      </c>
      <c r="M3335">
        <v>0</v>
      </c>
      <c r="N3335">
        <v>0</v>
      </c>
      <c r="O3335">
        <v>2</v>
      </c>
    </row>
    <row r="3336" spans="1:15" x14ac:dyDescent="0.25">
      <c r="A3336" t="s">
        <v>929</v>
      </c>
      <c r="B3336" t="s">
        <v>2999</v>
      </c>
      <c r="C3336" t="s">
        <v>927</v>
      </c>
      <c r="D3336" t="s">
        <v>3052</v>
      </c>
      <c r="E3336" t="s">
        <v>3053</v>
      </c>
      <c r="F3336" t="s">
        <v>479</v>
      </c>
      <c r="G3336" t="s">
        <v>480</v>
      </c>
      <c r="H3336" t="s">
        <v>5271</v>
      </c>
      <c r="I3336">
        <v>144</v>
      </c>
      <c r="J3336">
        <v>0</v>
      </c>
      <c r="K3336">
        <v>0</v>
      </c>
      <c r="L3336">
        <v>0</v>
      </c>
      <c r="M3336">
        <v>144</v>
      </c>
      <c r="N3336">
        <v>0</v>
      </c>
      <c r="O3336">
        <v>0</v>
      </c>
    </row>
    <row r="3337" spans="1:15" x14ac:dyDescent="0.25">
      <c r="A3337" t="s">
        <v>9790</v>
      </c>
      <c r="B3337" t="s">
        <v>1977</v>
      </c>
      <c r="C3337" t="s">
        <v>923</v>
      </c>
      <c r="D3337" t="s">
        <v>3063</v>
      </c>
      <c r="E3337" t="s">
        <v>3053</v>
      </c>
      <c r="F3337" t="s">
        <v>479</v>
      </c>
      <c r="G3337" t="s">
        <v>480</v>
      </c>
      <c r="H3337" t="s">
        <v>12044</v>
      </c>
      <c r="I3337">
        <v>36</v>
      </c>
      <c r="J3337">
        <v>0</v>
      </c>
      <c r="K3337">
        <v>0</v>
      </c>
      <c r="L3337">
        <v>36</v>
      </c>
      <c r="M3337">
        <v>0</v>
      </c>
      <c r="N3337">
        <v>1</v>
      </c>
      <c r="O3337">
        <v>0</v>
      </c>
    </row>
    <row r="3338" spans="1:15" x14ac:dyDescent="0.25">
      <c r="A3338" t="s">
        <v>9784</v>
      </c>
      <c r="B3338" t="s">
        <v>1994</v>
      </c>
      <c r="C3338" t="s">
        <v>927</v>
      </c>
      <c r="D3338" t="s">
        <v>3052</v>
      </c>
      <c r="E3338" t="s">
        <v>3053</v>
      </c>
      <c r="F3338" t="s">
        <v>479</v>
      </c>
      <c r="G3338" t="s">
        <v>480</v>
      </c>
      <c r="H3338" t="s">
        <v>9946</v>
      </c>
      <c r="I3338">
        <v>3</v>
      </c>
      <c r="J3338">
        <v>0</v>
      </c>
      <c r="K3338">
        <v>0</v>
      </c>
      <c r="L3338">
        <v>3</v>
      </c>
      <c r="M3338">
        <v>0</v>
      </c>
      <c r="N3338">
        <v>0</v>
      </c>
      <c r="O3338">
        <v>0</v>
      </c>
    </row>
    <row r="3339" spans="1:15" x14ac:dyDescent="0.25">
      <c r="A3339" t="s">
        <v>983</v>
      </c>
      <c r="B3339" t="s">
        <v>2069</v>
      </c>
      <c r="C3339" t="s">
        <v>927</v>
      </c>
      <c r="D3339" t="s">
        <v>3052</v>
      </c>
      <c r="E3339" t="s">
        <v>3053</v>
      </c>
      <c r="F3339" t="s">
        <v>479</v>
      </c>
      <c r="G3339" t="s">
        <v>480</v>
      </c>
      <c r="H3339" t="s">
        <v>5272</v>
      </c>
      <c r="I3339">
        <v>369</v>
      </c>
      <c r="J3339">
        <v>307</v>
      </c>
      <c r="K3339">
        <v>0</v>
      </c>
      <c r="L3339">
        <v>2</v>
      </c>
      <c r="M3339">
        <v>0</v>
      </c>
      <c r="N3339">
        <v>0</v>
      </c>
      <c r="O3339">
        <v>60</v>
      </c>
    </row>
    <row r="3340" spans="1:15" x14ac:dyDescent="0.25">
      <c r="A3340" t="s">
        <v>1713</v>
      </c>
      <c r="B3340" t="s">
        <v>2630</v>
      </c>
      <c r="C3340" t="s">
        <v>923</v>
      </c>
      <c r="D3340" t="s">
        <v>3063</v>
      </c>
      <c r="E3340" t="s">
        <v>3053</v>
      </c>
      <c r="F3340" t="s">
        <v>479</v>
      </c>
      <c r="G3340" t="s">
        <v>480</v>
      </c>
      <c r="H3340" t="s">
        <v>5273</v>
      </c>
      <c r="I3340">
        <v>96</v>
      </c>
      <c r="J3340">
        <v>0</v>
      </c>
      <c r="K3340">
        <v>0</v>
      </c>
      <c r="L3340">
        <v>96</v>
      </c>
      <c r="M3340">
        <v>0</v>
      </c>
      <c r="N3340">
        <v>0</v>
      </c>
      <c r="O3340">
        <v>0</v>
      </c>
    </row>
    <row r="3341" spans="1:15" x14ac:dyDescent="0.25">
      <c r="A3341" t="s">
        <v>1590</v>
      </c>
      <c r="B3341" t="s">
        <v>2853</v>
      </c>
      <c r="C3341" t="s">
        <v>927</v>
      </c>
      <c r="D3341" t="s">
        <v>3052</v>
      </c>
      <c r="E3341" t="s">
        <v>3053</v>
      </c>
      <c r="F3341" t="s">
        <v>479</v>
      </c>
      <c r="G3341" t="s">
        <v>480</v>
      </c>
      <c r="H3341" t="s">
        <v>5274</v>
      </c>
      <c r="I3341">
        <v>81</v>
      </c>
      <c r="J3341">
        <v>79</v>
      </c>
      <c r="K3341">
        <v>0</v>
      </c>
      <c r="L3341">
        <v>0</v>
      </c>
      <c r="M3341">
        <v>0</v>
      </c>
      <c r="N3341">
        <v>0</v>
      </c>
      <c r="O3341">
        <v>2</v>
      </c>
    </row>
    <row r="3342" spans="1:15" x14ac:dyDescent="0.25">
      <c r="A3342" t="s">
        <v>1729</v>
      </c>
      <c r="B3342" t="s">
        <v>2943</v>
      </c>
      <c r="C3342" t="s">
        <v>923</v>
      </c>
      <c r="D3342" t="s">
        <v>3063</v>
      </c>
      <c r="E3342" t="s">
        <v>3053</v>
      </c>
      <c r="F3342" t="s">
        <v>479</v>
      </c>
      <c r="G3342" t="s">
        <v>480</v>
      </c>
      <c r="H3342" t="s">
        <v>5275</v>
      </c>
      <c r="I3342">
        <v>117</v>
      </c>
      <c r="J3342">
        <v>50</v>
      </c>
      <c r="K3342">
        <v>0</v>
      </c>
      <c r="L3342">
        <v>67</v>
      </c>
      <c r="M3342">
        <v>0</v>
      </c>
      <c r="N3342">
        <v>1</v>
      </c>
      <c r="O3342">
        <v>0</v>
      </c>
    </row>
    <row r="3343" spans="1:15" x14ac:dyDescent="0.25">
      <c r="A3343" t="s">
        <v>935</v>
      </c>
      <c r="B3343" t="s">
        <v>1960</v>
      </c>
      <c r="C3343" t="s">
        <v>923</v>
      </c>
      <c r="D3343" t="s">
        <v>3063</v>
      </c>
      <c r="E3343" t="s">
        <v>3053</v>
      </c>
      <c r="F3343" t="s">
        <v>479</v>
      </c>
      <c r="G3343" t="s">
        <v>480</v>
      </c>
      <c r="H3343" t="s">
        <v>5276</v>
      </c>
      <c r="I3343">
        <v>3</v>
      </c>
      <c r="J3343">
        <v>0</v>
      </c>
      <c r="K3343">
        <v>0</v>
      </c>
      <c r="L3343">
        <v>3</v>
      </c>
      <c r="M3343">
        <v>0</v>
      </c>
      <c r="N3343">
        <v>0</v>
      </c>
      <c r="O3343">
        <v>0</v>
      </c>
    </row>
    <row r="3344" spans="1:15" x14ac:dyDescent="0.25">
      <c r="A3344" t="s">
        <v>1416</v>
      </c>
      <c r="B3344" t="s">
        <v>2029</v>
      </c>
      <c r="C3344" t="s">
        <v>923</v>
      </c>
      <c r="D3344" t="s">
        <v>3063</v>
      </c>
      <c r="E3344" t="s">
        <v>3053</v>
      </c>
      <c r="F3344" t="s">
        <v>479</v>
      </c>
      <c r="G3344" t="s">
        <v>480</v>
      </c>
      <c r="H3344" t="s">
        <v>12045</v>
      </c>
      <c r="I3344">
        <v>11</v>
      </c>
      <c r="J3344">
        <v>0</v>
      </c>
      <c r="K3344">
        <v>0</v>
      </c>
      <c r="L3344">
        <v>11</v>
      </c>
      <c r="M3344">
        <v>0</v>
      </c>
      <c r="N3344">
        <v>0</v>
      </c>
      <c r="O3344">
        <v>0</v>
      </c>
    </row>
    <row r="3345" spans="1:15" x14ac:dyDescent="0.25">
      <c r="A3345" t="s">
        <v>1000</v>
      </c>
      <c r="B3345" t="s">
        <v>1984</v>
      </c>
      <c r="C3345" t="s">
        <v>923</v>
      </c>
      <c r="D3345" t="s">
        <v>3063</v>
      </c>
      <c r="E3345" t="s">
        <v>3053</v>
      </c>
      <c r="F3345" t="s">
        <v>479</v>
      </c>
      <c r="G3345" t="s">
        <v>480</v>
      </c>
      <c r="H3345" t="s">
        <v>5277</v>
      </c>
      <c r="I3345">
        <v>4</v>
      </c>
      <c r="J3345">
        <v>0</v>
      </c>
      <c r="K3345">
        <v>0</v>
      </c>
      <c r="L3345">
        <v>4</v>
      </c>
      <c r="M3345">
        <v>0</v>
      </c>
      <c r="N3345">
        <v>0</v>
      </c>
      <c r="O3345">
        <v>0</v>
      </c>
    </row>
    <row r="3346" spans="1:15" x14ac:dyDescent="0.25">
      <c r="A3346" t="s">
        <v>1737</v>
      </c>
      <c r="B3346" t="s">
        <v>1933</v>
      </c>
      <c r="C3346" t="s">
        <v>927</v>
      </c>
      <c r="D3346" t="s">
        <v>3052</v>
      </c>
      <c r="E3346" t="s">
        <v>3053</v>
      </c>
      <c r="F3346" t="s">
        <v>479</v>
      </c>
      <c r="G3346" t="s">
        <v>480</v>
      </c>
      <c r="H3346" t="s">
        <v>5278</v>
      </c>
      <c r="I3346">
        <v>4565</v>
      </c>
      <c r="J3346">
        <v>4154</v>
      </c>
      <c r="K3346">
        <v>0</v>
      </c>
      <c r="L3346">
        <v>72</v>
      </c>
      <c r="M3346">
        <v>269</v>
      </c>
      <c r="N3346">
        <v>7</v>
      </c>
      <c r="O3346">
        <v>70</v>
      </c>
    </row>
    <row r="3347" spans="1:15" x14ac:dyDescent="0.25">
      <c r="A3347" t="s">
        <v>10638</v>
      </c>
      <c r="B3347" t="s">
        <v>2057</v>
      </c>
      <c r="C3347" t="s">
        <v>927</v>
      </c>
      <c r="D3347" t="s">
        <v>3052</v>
      </c>
      <c r="E3347" t="s">
        <v>3053</v>
      </c>
      <c r="F3347" t="s">
        <v>479</v>
      </c>
      <c r="G3347" t="s">
        <v>480</v>
      </c>
      <c r="H3347" t="s">
        <v>11043</v>
      </c>
      <c r="I3347">
        <v>7</v>
      </c>
      <c r="J3347">
        <v>0</v>
      </c>
      <c r="K3347">
        <v>0</v>
      </c>
      <c r="L3347">
        <v>7</v>
      </c>
      <c r="M3347">
        <v>0</v>
      </c>
      <c r="N3347">
        <v>0</v>
      </c>
      <c r="O3347">
        <v>0</v>
      </c>
    </row>
    <row r="3348" spans="1:15" x14ac:dyDescent="0.25">
      <c r="A3348" t="s">
        <v>10643</v>
      </c>
      <c r="B3348" t="s">
        <v>2987</v>
      </c>
      <c r="C3348" t="s">
        <v>927</v>
      </c>
      <c r="D3348" t="s">
        <v>3052</v>
      </c>
      <c r="E3348" t="s">
        <v>3053</v>
      </c>
      <c r="F3348" t="s">
        <v>479</v>
      </c>
      <c r="G3348" t="s">
        <v>480</v>
      </c>
      <c r="H3348" t="s">
        <v>11044</v>
      </c>
      <c r="I3348">
        <v>718</v>
      </c>
      <c r="J3348">
        <v>630</v>
      </c>
      <c r="K3348">
        <v>0</v>
      </c>
      <c r="L3348">
        <v>6</v>
      </c>
      <c r="M3348">
        <v>17</v>
      </c>
      <c r="N3348">
        <v>3</v>
      </c>
      <c r="O3348">
        <v>65</v>
      </c>
    </row>
    <row r="3349" spans="1:15" x14ac:dyDescent="0.25">
      <c r="A3349" t="s">
        <v>1739</v>
      </c>
      <c r="B3349" t="s">
        <v>2786</v>
      </c>
      <c r="C3349" t="s">
        <v>923</v>
      </c>
      <c r="D3349" t="s">
        <v>3063</v>
      </c>
      <c r="E3349" t="s">
        <v>3053</v>
      </c>
      <c r="F3349" t="s">
        <v>479</v>
      </c>
      <c r="G3349" t="s">
        <v>480</v>
      </c>
      <c r="H3349" t="s">
        <v>5279</v>
      </c>
      <c r="I3349">
        <v>8</v>
      </c>
      <c r="J3349">
        <v>8</v>
      </c>
      <c r="K3349">
        <v>0</v>
      </c>
      <c r="L3349">
        <v>0</v>
      </c>
      <c r="M3349">
        <v>0</v>
      </c>
      <c r="N3349">
        <v>0</v>
      </c>
      <c r="O3349">
        <v>0</v>
      </c>
    </row>
    <row r="3350" spans="1:15" x14ac:dyDescent="0.25">
      <c r="A3350" t="s">
        <v>11712</v>
      </c>
      <c r="B3350" t="s">
        <v>2970</v>
      </c>
      <c r="C3350" t="s">
        <v>923</v>
      </c>
      <c r="D3350" t="s">
        <v>3063</v>
      </c>
      <c r="E3350" t="s">
        <v>3053</v>
      </c>
      <c r="F3350" t="s">
        <v>479</v>
      </c>
      <c r="G3350" t="s">
        <v>480</v>
      </c>
      <c r="H3350" t="s">
        <v>12046</v>
      </c>
      <c r="I3350">
        <v>19</v>
      </c>
      <c r="J3350">
        <v>0</v>
      </c>
      <c r="K3350">
        <v>0</v>
      </c>
      <c r="L3350">
        <v>19</v>
      </c>
      <c r="M3350">
        <v>0</v>
      </c>
      <c r="N3350">
        <v>0</v>
      </c>
      <c r="O3350">
        <v>0</v>
      </c>
    </row>
    <row r="3351" spans="1:15" x14ac:dyDescent="0.25">
      <c r="A3351" t="s">
        <v>937</v>
      </c>
      <c r="B3351" t="s">
        <v>1962</v>
      </c>
      <c r="C3351" t="s">
        <v>927</v>
      </c>
      <c r="D3351" t="s">
        <v>3052</v>
      </c>
      <c r="E3351" t="s">
        <v>3053</v>
      </c>
      <c r="F3351" t="s">
        <v>479</v>
      </c>
      <c r="G3351" t="s">
        <v>480</v>
      </c>
      <c r="H3351" t="s">
        <v>5280</v>
      </c>
      <c r="I3351">
        <v>19</v>
      </c>
      <c r="J3351">
        <v>0</v>
      </c>
      <c r="K3351">
        <v>0</v>
      </c>
      <c r="L3351">
        <v>0</v>
      </c>
      <c r="M3351">
        <v>0</v>
      </c>
      <c r="N3351">
        <v>0</v>
      </c>
      <c r="O3351">
        <v>19</v>
      </c>
    </row>
    <row r="3352" spans="1:15" x14ac:dyDescent="0.25">
      <c r="A3352" t="s">
        <v>938</v>
      </c>
      <c r="B3352" t="s">
        <v>2791</v>
      </c>
      <c r="C3352" t="s">
        <v>927</v>
      </c>
      <c r="D3352" t="s">
        <v>3052</v>
      </c>
      <c r="E3352" t="s">
        <v>3053</v>
      </c>
      <c r="F3352" t="s">
        <v>479</v>
      </c>
      <c r="G3352" t="s">
        <v>480</v>
      </c>
      <c r="H3352" t="s">
        <v>5281</v>
      </c>
      <c r="I3352">
        <v>62</v>
      </c>
      <c r="J3352">
        <v>0</v>
      </c>
      <c r="K3352">
        <v>0</v>
      </c>
      <c r="L3352">
        <v>62</v>
      </c>
      <c r="M3352">
        <v>0</v>
      </c>
      <c r="N3352">
        <v>0</v>
      </c>
      <c r="O3352">
        <v>0</v>
      </c>
    </row>
    <row r="3353" spans="1:15" x14ac:dyDescent="0.25">
      <c r="A3353" t="s">
        <v>940</v>
      </c>
      <c r="B3353" t="s">
        <v>2647</v>
      </c>
      <c r="C3353" t="s">
        <v>927</v>
      </c>
      <c r="D3353" t="s">
        <v>3052</v>
      </c>
      <c r="E3353" t="s">
        <v>3053</v>
      </c>
      <c r="F3353" t="s">
        <v>479</v>
      </c>
      <c r="G3353" t="s">
        <v>480</v>
      </c>
      <c r="H3353" t="s">
        <v>5282</v>
      </c>
      <c r="I3353">
        <v>48</v>
      </c>
      <c r="J3353">
        <v>0</v>
      </c>
      <c r="K3353">
        <v>0</v>
      </c>
      <c r="L3353">
        <v>0</v>
      </c>
      <c r="M3353">
        <v>48</v>
      </c>
      <c r="N3353">
        <v>0</v>
      </c>
      <c r="O3353">
        <v>0</v>
      </c>
    </row>
    <row r="3354" spans="1:15" x14ac:dyDescent="0.25">
      <c r="A3354" t="s">
        <v>1013</v>
      </c>
      <c r="B3354" t="s">
        <v>1959</v>
      </c>
      <c r="C3354" t="s">
        <v>927</v>
      </c>
      <c r="D3354" t="s">
        <v>3052</v>
      </c>
      <c r="E3354" t="s">
        <v>3053</v>
      </c>
      <c r="F3354" t="s">
        <v>479</v>
      </c>
      <c r="G3354" t="s">
        <v>480</v>
      </c>
      <c r="H3354" t="s">
        <v>5283</v>
      </c>
      <c r="I3354">
        <v>2</v>
      </c>
      <c r="J3354">
        <v>0</v>
      </c>
      <c r="K3354">
        <v>0</v>
      </c>
      <c r="L3354">
        <v>2</v>
      </c>
      <c r="M3354">
        <v>0</v>
      </c>
      <c r="N3354">
        <v>0</v>
      </c>
      <c r="O3354">
        <v>0</v>
      </c>
    </row>
    <row r="3355" spans="1:15" x14ac:dyDescent="0.25">
      <c r="A3355" t="s">
        <v>942</v>
      </c>
      <c r="B3355" t="s">
        <v>2113</v>
      </c>
      <c r="C3355" t="s">
        <v>927</v>
      </c>
      <c r="D3355" t="s">
        <v>3052</v>
      </c>
      <c r="E3355" t="s">
        <v>3053</v>
      </c>
      <c r="F3355" t="s">
        <v>479</v>
      </c>
      <c r="G3355" t="s">
        <v>480</v>
      </c>
      <c r="H3355" t="s">
        <v>5284</v>
      </c>
      <c r="I3355">
        <v>64</v>
      </c>
      <c r="J3355">
        <v>51</v>
      </c>
      <c r="K3355">
        <v>0</v>
      </c>
      <c r="L3355">
        <v>0</v>
      </c>
      <c r="M3355">
        <v>0</v>
      </c>
      <c r="N3355">
        <v>0</v>
      </c>
      <c r="O3355">
        <v>13</v>
      </c>
    </row>
    <row r="3356" spans="1:15" x14ac:dyDescent="0.25">
      <c r="A3356" t="s">
        <v>10681</v>
      </c>
      <c r="B3356" t="s">
        <v>10680</v>
      </c>
      <c r="C3356" t="s">
        <v>927</v>
      </c>
      <c r="D3356" t="s">
        <v>3052</v>
      </c>
      <c r="E3356" t="s">
        <v>3053</v>
      </c>
      <c r="F3356" t="s">
        <v>479</v>
      </c>
      <c r="G3356" t="s">
        <v>480</v>
      </c>
      <c r="H3356" t="s">
        <v>14749</v>
      </c>
      <c r="I3356">
        <v>1</v>
      </c>
      <c r="J3356">
        <v>0</v>
      </c>
      <c r="K3356">
        <v>0</v>
      </c>
      <c r="L3356">
        <v>0</v>
      </c>
      <c r="M3356">
        <v>0</v>
      </c>
      <c r="N3356">
        <v>0</v>
      </c>
      <c r="O3356">
        <v>1</v>
      </c>
    </row>
    <row r="3357" spans="1:15" x14ac:dyDescent="0.25">
      <c r="A3357" t="s">
        <v>1745</v>
      </c>
      <c r="B3357" t="s">
        <v>2884</v>
      </c>
      <c r="C3357" t="s">
        <v>927</v>
      </c>
      <c r="D3357" t="s">
        <v>3052</v>
      </c>
      <c r="E3357" t="s">
        <v>3053</v>
      </c>
      <c r="F3357" t="s">
        <v>479</v>
      </c>
      <c r="G3357" t="s">
        <v>480</v>
      </c>
      <c r="H3357" t="s">
        <v>5285</v>
      </c>
      <c r="I3357">
        <v>306</v>
      </c>
      <c r="J3357">
        <v>249</v>
      </c>
      <c r="K3357">
        <v>0</v>
      </c>
      <c r="L3357">
        <v>0</v>
      </c>
      <c r="M3357">
        <v>0</v>
      </c>
      <c r="N3357">
        <v>0</v>
      </c>
      <c r="O3357">
        <v>57</v>
      </c>
    </row>
    <row r="3358" spans="1:15" x14ac:dyDescent="0.25">
      <c r="A3358" t="s">
        <v>945</v>
      </c>
      <c r="B3358" t="s">
        <v>2668</v>
      </c>
      <c r="C3358" t="s">
        <v>927</v>
      </c>
      <c r="D3358" t="s">
        <v>3052</v>
      </c>
      <c r="E3358" t="s">
        <v>3053</v>
      </c>
      <c r="F3358" t="s">
        <v>479</v>
      </c>
      <c r="G3358" t="s">
        <v>480</v>
      </c>
      <c r="H3358" t="s">
        <v>5286</v>
      </c>
      <c r="I3358">
        <v>1</v>
      </c>
      <c r="J3358">
        <v>0</v>
      </c>
      <c r="K3358">
        <v>0</v>
      </c>
      <c r="L3358">
        <v>0</v>
      </c>
      <c r="M3358">
        <v>0</v>
      </c>
      <c r="N3358">
        <v>0</v>
      </c>
      <c r="O3358">
        <v>1</v>
      </c>
    </row>
    <row r="3359" spans="1:15" x14ac:dyDescent="0.25">
      <c r="A3359" t="s">
        <v>951</v>
      </c>
      <c r="B3359" t="s">
        <v>2680</v>
      </c>
      <c r="C3359" t="s">
        <v>927</v>
      </c>
      <c r="D3359" t="s">
        <v>3052</v>
      </c>
      <c r="E3359" t="s">
        <v>3053</v>
      </c>
      <c r="F3359" t="s">
        <v>479</v>
      </c>
      <c r="G3359" t="s">
        <v>480</v>
      </c>
      <c r="H3359" t="s">
        <v>5287</v>
      </c>
      <c r="I3359">
        <v>2</v>
      </c>
      <c r="J3359">
        <v>0</v>
      </c>
      <c r="K3359">
        <v>0</v>
      </c>
      <c r="L3359">
        <v>0</v>
      </c>
      <c r="M3359">
        <v>0</v>
      </c>
      <c r="N3359">
        <v>0</v>
      </c>
      <c r="O3359">
        <v>2</v>
      </c>
    </row>
    <row r="3360" spans="1:15" x14ac:dyDescent="0.25">
      <c r="A3360" t="s">
        <v>1048</v>
      </c>
      <c r="B3360" t="s">
        <v>2989</v>
      </c>
      <c r="C3360" t="s">
        <v>927</v>
      </c>
      <c r="D3360" t="s">
        <v>3052</v>
      </c>
      <c r="E3360" t="s">
        <v>3053</v>
      </c>
      <c r="F3360" t="s">
        <v>479</v>
      </c>
      <c r="G3360" t="s">
        <v>480</v>
      </c>
      <c r="H3360" t="s">
        <v>5288</v>
      </c>
      <c r="I3360">
        <v>4</v>
      </c>
      <c r="J3360">
        <v>1</v>
      </c>
      <c r="K3360">
        <v>0</v>
      </c>
      <c r="L3360">
        <v>0</v>
      </c>
      <c r="M3360">
        <v>0</v>
      </c>
      <c r="N3360">
        <v>1</v>
      </c>
      <c r="O3360">
        <v>3</v>
      </c>
    </row>
    <row r="3361" spans="1:15" x14ac:dyDescent="0.25">
      <c r="A3361" t="s">
        <v>1049</v>
      </c>
      <c r="B3361" t="s">
        <v>2138</v>
      </c>
      <c r="C3361" t="s">
        <v>927</v>
      </c>
      <c r="D3361" t="s">
        <v>3052</v>
      </c>
      <c r="E3361" t="s">
        <v>3053</v>
      </c>
      <c r="F3361" t="s">
        <v>479</v>
      </c>
      <c r="G3361" t="s">
        <v>480</v>
      </c>
      <c r="H3361" t="s">
        <v>5289</v>
      </c>
      <c r="I3361">
        <v>26</v>
      </c>
      <c r="J3361">
        <v>0</v>
      </c>
      <c r="K3361">
        <v>0</v>
      </c>
      <c r="L3361">
        <v>0</v>
      </c>
      <c r="M3361">
        <v>0</v>
      </c>
      <c r="N3361">
        <v>0</v>
      </c>
      <c r="O3361">
        <v>26</v>
      </c>
    </row>
    <row r="3362" spans="1:15" x14ac:dyDescent="0.25">
      <c r="A3362" t="s">
        <v>1758</v>
      </c>
      <c r="B3362" t="s">
        <v>2997</v>
      </c>
      <c r="C3362" t="s">
        <v>927</v>
      </c>
      <c r="D3362" t="s">
        <v>3052</v>
      </c>
      <c r="E3362" t="s">
        <v>3053</v>
      </c>
      <c r="F3362" t="s">
        <v>479</v>
      </c>
      <c r="G3362" t="s">
        <v>480</v>
      </c>
      <c r="H3362" t="s">
        <v>5290</v>
      </c>
      <c r="I3362">
        <v>529</v>
      </c>
      <c r="J3362">
        <v>333</v>
      </c>
      <c r="K3362">
        <v>0</v>
      </c>
      <c r="L3362">
        <v>47</v>
      </c>
      <c r="M3362">
        <v>80</v>
      </c>
      <c r="N3362">
        <v>0</v>
      </c>
      <c r="O3362">
        <v>69</v>
      </c>
    </row>
    <row r="3363" spans="1:15" x14ac:dyDescent="0.25">
      <c r="A3363" t="s">
        <v>1057</v>
      </c>
      <c r="B3363" t="s">
        <v>1972</v>
      </c>
      <c r="C3363" t="s">
        <v>927</v>
      </c>
      <c r="D3363" t="s">
        <v>3052</v>
      </c>
      <c r="E3363" t="s">
        <v>3053</v>
      </c>
      <c r="F3363" t="s">
        <v>479</v>
      </c>
      <c r="G3363" t="s">
        <v>480</v>
      </c>
      <c r="H3363" t="s">
        <v>10399</v>
      </c>
      <c r="I3363">
        <v>79</v>
      </c>
      <c r="J3363">
        <v>53</v>
      </c>
      <c r="K3363">
        <v>0</v>
      </c>
      <c r="L3363">
        <v>0</v>
      </c>
      <c r="M3363">
        <v>0</v>
      </c>
      <c r="N3363">
        <v>0</v>
      </c>
      <c r="O3363">
        <v>26</v>
      </c>
    </row>
    <row r="3364" spans="1:15" x14ac:dyDescent="0.25">
      <c r="A3364" t="s">
        <v>960</v>
      </c>
      <c r="B3364" t="s">
        <v>2080</v>
      </c>
      <c r="C3364" t="s">
        <v>927</v>
      </c>
      <c r="D3364" t="s">
        <v>3052</v>
      </c>
      <c r="E3364" t="s">
        <v>3053</v>
      </c>
      <c r="F3364" t="s">
        <v>479</v>
      </c>
      <c r="G3364" t="s">
        <v>480</v>
      </c>
      <c r="H3364" t="s">
        <v>5291</v>
      </c>
      <c r="I3364">
        <v>131</v>
      </c>
      <c r="J3364">
        <v>113</v>
      </c>
      <c r="K3364">
        <v>0</v>
      </c>
      <c r="L3364">
        <v>0</v>
      </c>
      <c r="M3364">
        <v>0</v>
      </c>
      <c r="N3364">
        <v>0</v>
      </c>
      <c r="O3364">
        <v>18</v>
      </c>
    </row>
    <row r="3365" spans="1:15" x14ac:dyDescent="0.25">
      <c r="A3365" t="s">
        <v>962</v>
      </c>
      <c r="B3365" t="s">
        <v>2752</v>
      </c>
      <c r="C3365" t="s">
        <v>927</v>
      </c>
      <c r="D3365" t="s">
        <v>3052</v>
      </c>
      <c r="E3365" t="s">
        <v>3053</v>
      </c>
      <c r="F3365" t="s">
        <v>479</v>
      </c>
      <c r="G3365" t="s">
        <v>480</v>
      </c>
      <c r="H3365" t="s">
        <v>10440</v>
      </c>
      <c r="I3365">
        <v>91</v>
      </c>
      <c r="J3365">
        <v>55</v>
      </c>
      <c r="K3365">
        <v>0</v>
      </c>
      <c r="L3365">
        <v>22</v>
      </c>
      <c r="M3365">
        <v>0</v>
      </c>
      <c r="N3365">
        <v>1</v>
      </c>
      <c r="O3365">
        <v>14</v>
      </c>
    </row>
    <row r="3366" spans="1:15" x14ac:dyDescent="0.25">
      <c r="A3366" t="s">
        <v>1066</v>
      </c>
      <c r="B3366" t="s">
        <v>2557</v>
      </c>
      <c r="C3366" t="s">
        <v>927</v>
      </c>
      <c r="D3366" t="s">
        <v>3052</v>
      </c>
      <c r="E3366" t="s">
        <v>3053</v>
      </c>
      <c r="F3366" t="s">
        <v>479</v>
      </c>
      <c r="G3366" t="s">
        <v>480</v>
      </c>
      <c r="H3366" t="s">
        <v>5292</v>
      </c>
      <c r="I3366">
        <v>9</v>
      </c>
      <c r="J3366">
        <v>0</v>
      </c>
      <c r="K3366">
        <v>0</v>
      </c>
      <c r="L3366">
        <v>0</v>
      </c>
      <c r="M3366">
        <v>9</v>
      </c>
      <c r="N3366">
        <v>0</v>
      </c>
      <c r="O3366">
        <v>0</v>
      </c>
    </row>
    <row r="3367" spans="1:15" x14ac:dyDescent="0.25">
      <c r="A3367" t="s">
        <v>1784</v>
      </c>
      <c r="B3367" t="s">
        <v>2154</v>
      </c>
      <c r="C3367" t="s">
        <v>923</v>
      </c>
      <c r="D3367" t="s">
        <v>3063</v>
      </c>
      <c r="E3367" t="s">
        <v>3053</v>
      </c>
      <c r="F3367" t="s">
        <v>479</v>
      </c>
      <c r="G3367" t="s">
        <v>480</v>
      </c>
      <c r="H3367" t="s">
        <v>5293</v>
      </c>
      <c r="I3367">
        <v>137</v>
      </c>
      <c r="J3367">
        <v>0</v>
      </c>
      <c r="K3367">
        <v>0</v>
      </c>
      <c r="L3367">
        <v>0</v>
      </c>
      <c r="M3367">
        <v>137</v>
      </c>
      <c r="N3367">
        <v>0</v>
      </c>
      <c r="O3367">
        <v>0</v>
      </c>
    </row>
    <row r="3368" spans="1:15" x14ac:dyDescent="0.25">
      <c r="A3368" t="s">
        <v>1069</v>
      </c>
      <c r="B3368" t="s">
        <v>2001</v>
      </c>
      <c r="C3368" t="s">
        <v>927</v>
      </c>
      <c r="D3368" t="s">
        <v>3052</v>
      </c>
      <c r="E3368" t="s">
        <v>3053</v>
      </c>
      <c r="F3368" t="s">
        <v>479</v>
      </c>
      <c r="G3368" t="s">
        <v>480</v>
      </c>
      <c r="H3368" t="s">
        <v>5294</v>
      </c>
      <c r="I3368">
        <v>1452</v>
      </c>
      <c r="J3368">
        <v>1068</v>
      </c>
      <c r="K3368">
        <v>0</v>
      </c>
      <c r="L3368">
        <v>22</v>
      </c>
      <c r="M3368">
        <v>65</v>
      </c>
      <c r="N3368">
        <v>0</v>
      </c>
      <c r="O3368">
        <v>297</v>
      </c>
    </row>
    <row r="3369" spans="1:15" x14ac:dyDescent="0.25">
      <c r="A3369" t="s">
        <v>1072</v>
      </c>
      <c r="B3369" t="s">
        <v>2907</v>
      </c>
      <c r="C3369" t="s">
        <v>927</v>
      </c>
      <c r="D3369" t="s">
        <v>3052</v>
      </c>
      <c r="E3369" t="s">
        <v>3053</v>
      </c>
      <c r="F3369" t="s">
        <v>479</v>
      </c>
      <c r="G3369" t="s">
        <v>480</v>
      </c>
      <c r="H3369" t="s">
        <v>5295</v>
      </c>
      <c r="I3369">
        <v>83</v>
      </c>
      <c r="J3369">
        <v>0</v>
      </c>
      <c r="K3369">
        <v>0</v>
      </c>
      <c r="L3369">
        <v>83</v>
      </c>
      <c r="M3369">
        <v>0</v>
      </c>
      <c r="N3369">
        <v>0</v>
      </c>
      <c r="O3369">
        <v>0</v>
      </c>
    </row>
    <row r="3370" spans="1:15" x14ac:dyDescent="0.25">
      <c r="A3370" t="s">
        <v>1078</v>
      </c>
      <c r="B3370" t="s">
        <v>1950</v>
      </c>
      <c r="C3370" t="s">
        <v>923</v>
      </c>
      <c r="D3370" t="s">
        <v>3063</v>
      </c>
      <c r="E3370" t="s">
        <v>3053</v>
      </c>
      <c r="F3370" t="s">
        <v>479</v>
      </c>
      <c r="G3370" t="s">
        <v>480</v>
      </c>
      <c r="H3370" t="s">
        <v>5296</v>
      </c>
      <c r="I3370">
        <v>12</v>
      </c>
      <c r="J3370">
        <v>0</v>
      </c>
      <c r="K3370">
        <v>0</v>
      </c>
      <c r="L3370">
        <v>12</v>
      </c>
      <c r="M3370">
        <v>0</v>
      </c>
      <c r="N3370">
        <v>0</v>
      </c>
      <c r="O3370">
        <v>0</v>
      </c>
    </row>
    <row r="3371" spans="1:15" x14ac:dyDescent="0.25">
      <c r="A3371" t="s">
        <v>1790</v>
      </c>
      <c r="B3371" t="s">
        <v>2865</v>
      </c>
      <c r="C3371" t="s">
        <v>927</v>
      </c>
      <c r="D3371" t="s">
        <v>3052</v>
      </c>
      <c r="E3371" t="s">
        <v>3053</v>
      </c>
      <c r="F3371" t="s">
        <v>479</v>
      </c>
      <c r="G3371" t="s">
        <v>480</v>
      </c>
      <c r="H3371" t="s">
        <v>5297</v>
      </c>
      <c r="I3371">
        <v>124</v>
      </c>
      <c r="J3371">
        <v>112</v>
      </c>
      <c r="K3371">
        <v>0</v>
      </c>
      <c r="L3371">
        <v>0</v>
      </c>
      <c r="M3371">
        <v>0</v>
      </c>
      <c r="N3371">
        <v>0</v>
      </c>
      <c r="O3371">
        <v>12</v>
      </c>
    </row>
    <row r="3372" spans="1:15" x14ac:dyDescent="0.25">
      <c r="A3372" t="s">
        <v>1080</v>
      </c>
      <c r="B3372" t="s">
        <v>2030</v>
      </c>
      <c r="C3372" t="s">
        <v>923</v>
      </c>
      <c r="D3372" t="s">
        <v>3063</v>
      </c>
      <c r="E3372" t="s">
        <v>3053</v>
      </c>
      <c r="F3372" t="s">
        <v>479</v>
      </c>
      <c r="G3372" t="s">
        <v>480</v>
      </c>
      <c r="H3372" t="s">
        <v>5298</v>
      </c>
      <c r="I3372">
        <v>36</v>
      </c>
      <c r="J3372">
        <v>0</v>
      </c>
      <c r="K3372">
        <v>0</v>
      </c>
      <c r="L3372">
        <v>36</v>
      </c>
      <c r="M3372">
        <v>0</v>
      </c>
      <c r="N3372">
        <v>0</v>
      </c>
      <c r="O3372">
        <v>0</v>
      </c>
    </row>
    <row r="3373" spans="1:15" x14ac:dyDescent="0.25">
      <c r="A3373" t="s">
        <v>10568</v>
      </c>
      <c r="B3373" t="s">
        <v>10567</v>
      </c>
      <c r="C3373" t="s">
        <v>927</v>
      </c>
      <c r="D3373" t="s">
        <v>3052</v>
      </c>
      <c r="E3373" t="s">
        <v>3053</v>
      </c>
      <c r="F3373" t="s">
        <v>481</v>
      </c>
      <c r="G3373" t="s">
        <v>482</v>
      </c>
      <c r="H3373" t="s">
        <v>11045</v>
      </c>
      <c r="I3373">
        <v>213</v>
      </c>
      <c r="J3373">
        <v>112</v>
      </c>
      <c r="K3373">
        <v>0</v>
      </c>
      <c r="L3373">
        <v>0</v>
      </c>
      <c r="M3373">
        <v>5</v>
      </c>
      <c r="N3373">
        <v>0</v>
      </c>
      <c r="O3373">
        <v>96</v>
      </c>
    </row>
    <row r="3374" spans="1:15" x14ac:dyDescent="0.25">
      <c r="A3374" t="s">
        <v>926</v>
      </c>
      <c r="B3374" t="s">
        <v>2923</v>
      </c>
      <c r="C3374" t="s">
        <v>927</v>
      </c>
      <c r="D3374" t="s">
        <v>3052</v>
      </c>
      <c r="E3374" t="s">
        <v>3053</v>
      </c>
      <c r="F3374" t="s">
        <v>481</v>
      </c>
      <c r="G3374" t="s">
        <v>482</v>
      </c>
      <c r="H3374" t="s">
        <v>5299</v>
      </c>
      <c r="I3374">
        <v>3</v>
      </c>
      <c r="J3374">
        <v>0</v>
      </c>
      <c r="K3374">
        <v>0</v>
      </c>
      <c r="L3374">
        <v>0</v>
      </c>
      <c r="M3374">
        <v>0</v>
      </c>
      <c r="N3374">
        <v>0</v>
      </c>
      <c r="O3374">
        <v>3</v>
      </c>
    </row>
    <row r="3375" spans="1:15" x14ac:dyDescent="0.25">
      <c r="A3375" t="s">
        <v>1568</v>
      </c>
      <c r="B3375" t="s">
        <v>2704</v>
      </c>
      <c r="C3375" t="s">
        <v>923</v>
      </c>
      <c r="D3375" t="s">
        <v>3063</v>
      </c>
      <c r="E3375" t="s">
        <v>3053</v>
      </c>
      <c r="F3375" t="s">
        <v>481</v>
      </c>
      <c r="G3375" t="s">
        <v>482</v>
      </c>
      <c r="H3375" t="s">
        <v>5300</v>
      </c>
      <c r="I3375">
        <v>74</v>
      </c>
      <c r="J3375">
        <v>0</v>
      </c>
      <c r="K3375">
        <v>0</v>
      </c>
      <c r="L3375">
        <v>0</v>
      </c>
      <c r="M3375">
        <v>74</v>
      </c>
      <c r="N3375">
        <v>0</v>
      </c>
      <c r="O3375">
        <v>0</v>
      </c>
    </row>
    <row r="3376" spans="1:15" x14ac:dyDescent="0.25">
      <c r="A3376" t="s">
        <v>929</v>
      </c>
      <c r="B3376" t="s">
        <v>2999</v>
      </c>
      <c r="C3376" t="s">
        <v>927</v>
      </c>
      <c r="D3376" t="s">
        <v>3052</v>
      </c>
      <c r="E3376" t="s">
        <v>3053</v>
      </c>
      <c r="F3376" t="s">
        <v>481</v>
      </c>
      <c r="G3376" t="s">
        <v>482</v>
      </c>
      <c r="H3376" t="s">
        <v>5301</v>
      </c>
      <c r="I3376">
        <v>84</v>
      </c>
      <c r="J3376">
        <v>0</v>
      </c>
      <c r="K3376">
        <v>0</v>
      </c>
      <c r="L3376">
        <v>0</v>
      </c>
      <c r="M3376">
        <v>84</v>
      </c>
      <c r="N3376">
        <v>0</v>
      </c>
      <c r="O3376">
        <v>0</v>
      </c>
    </row>
    <row r="3377" spans="1:15" x14ac:dyDescent="0.25">
      <c r="A3377" t="s">
        <v>11701</v>
      </c>
      <c r="B3377" t="s">
        <v>2653</v>
      </c>
      <c r="C3377" t="s">
        <v>923</v>
      </c>
      <c r="D3377" t="s">
        <v>3063</v>
      </c>
      <c r="E3377" t="s">
        <v>3053</v>
      </c>
      <c r="F3377" t="s">
        <v>481</v>
      </c>
      <c r="G3377" t="s">
        <v>482</v>
      </c>
      <c r="H3377" t="s">
        <v>12047</v>
      </c>
      <c r="I3377">
        <v>56</v>
      </c>
      <c r="J3377">
        <v>0</v>
      </c>
      <c r="K3377">
        <v>0</v>
      </c>
      <c r="L3377">
        <v>0</v>
      </c>
      <c r="M3377">
        <v>56</v>
      </c>
      <c r="N3377">
        <v>0</v>
      </c>
      <c r="O3377">
        <v>0</v>
      </c>
    </row>
    <row r="3378" spans="1:15" x14ac:dyDescent="0.25">
      <c r="A3378" t="s">
        <v>938</v>
      </c>
      <c r="B3378" t="s">
        <v>2791</v>
      </c>
      <c r="C3378" t="s">
        <v>927</v>
      </c>
      <c r="D3378" t="s">
        <v>3052</v>
      </c>
      <c r="E3378" t="s">
        <v>3053</v>
      </c>
      <c r="F3378" t="s">
        <v>481</v>
      </c>
      <c r="G3378" t="s">
        <v>482</v>
      </c>
      <c r="H3378" t="s">
        <v>5302</v>
      </c>
      <c r="I3378">
        <v>270</v>
      </c>
      <c r="J3378">
        <v>260</v>
      </c>
      <c r="K3378">
        <v>0</v>
      </c>
      <c r="L3378">
        <v>0</v>
      </c>
      <c r="M3378">
        <v>0</v>
      </c>
      <c r="N3378">
        <v>0</v>
      </c>
      <c r="O3378">
        <v>10</v>
      </c>
    </row>
    <row r="3379" spans="1:15" x14ac:dyDescent="0.25">
      <c r="A3379" t="s">
        <v>1013</v>
      </c>
      <c r="B3379" t="s">
        <v>1959</v>
      </c>
      <c r="C3379" t="s">
        <v>927</v>
      </c>
      <c r="D3379" t="s">
        <v>3052</v>
      </c>
      <c r="E3379" t="s">
        <v>3053</v>
      </c>
      <c r="F3379" t="s">
        <v>481</v>
      </c>
      <c r="G3379" t="s">
        <v>482</v>
      </c>
      <c r="H3379" t="s">
        <v>11046</v>
      </c>
      <c r="I3379">
        <v>13</v>
      </c>
      <c r="J3379">
        <v>0</v>
      </c>
      <c r="K3379">
        <v>0</v>
      </c>
      <c r="L3379">
        <v>13</v>
      </c>
      <c r="M3379">
        <v>0</v>
      </c>
      <c r="N3379">
        <v>0</v>
      </c>
      <c r="O3379">
        <v>0</v>
      </c>
    </row>
    <row r="3380" spans="1:15" x14ac:dyDescent="0.25">
      <c r="A3380" t="s">
        <v>1628</v>
      </c>
      <c r="B3380" t="s">
        <v>2851</v>
      </c>
      <c r="C3380" t="s">
        <v>927</v>
      </c>
      <c r="D3380" t="s">
        <v>3052</v>
      </c>
      <c r="E3380" t="s">
        <v>3053</v>
      </c>
      <c r="F3380" t="s">
        <v>481</v>
      </c>
      <c r="G3380" t="s">
        <v>482</v>
      </c>
      <c r="H3380" t="s">
        <v>5303</v>
      </c>
      <c r="I3380">
        <v>385</v>
      </c>
      <c r="J3380">
        <v>376</v>
      </c>
      <c r="K3380">
        <v>0</v>
      </c>
      <c r="L3380">
        <v>0</v>
      </c>
      <c r="M3380">
        <v>0</v>
      </c>
      <c r="N3380">
        <v>2</v>
      </c>
      <c r="O3380">
        <v>9</v>
      </c>
    </row>
    <row r="3381" spans="1:15" x14ac:dyDescent="0.25">
      <c r="A3381" t="s">
        <v>945</v>
      </c>
      <c r="B3381" t="s">
        <v>2668</v>
      </c>
      <c r="C3381" t="s">
        <v>927</v>
      </c>
      <c r="D3381" t="s">
        <v>3052</v>
      </c>
      <c r="E3381" t="s">
        <v>3053</v>
      </c>
      <c r="F3381" t="s">
        <v>481</v>
      </c>
      <c r="G3381" t="s">
        <v>482</v>
      </c>
      <c r="H3381" t="s">
        <v>5304</v>
      </c>
      <c r="I3381">
        <v>6</v>
      </c>
      <c r="J3381">
        <v>0</v>
      </c>
      <c r="K3381">
        <v>0</v>
      </c>
      <c r="L3381">
        <v>0</v>
      </c>
      <c r="M3381">
        <v>0</v>
      </c>
      <c r="N3381">
        <v>0</v>
      </c>
      <c r="O3381">
        <v>6</v>
      </c>
    </row>
    <row r="3382" spans="1:15" x14ac:dyDescent="0.25">
      <c r="A3382" t="s">
        <v>951</v>
      </c>
      <c r="B3382" t="s">
        <v>2680</v>
      </c>
      <c r="C3382" t="s">
        <v>927</v>
      </c>
      <c r="D3382" t="s">
        <v>3052</v>
      </c>
      <c r="E3382" t="s">
        <v>3053</v>
      </c>
      <c r="F3382" t="s">
        <v>481</v>
      </c>
      <c r="G3382" t="s">
        <v>482</v>
      </c>
      <c r="H3382" t="s">
        <v>5305</v>
      </c>
      <c r="I3382">
        <v>42</v>
      </c>
      <c r="J3382">
        <v>42</v>
      </c>
      <c r="K3382">
        <v>0</v>
      </c>
      <c r="L3382">
        <v>0</v>
      </c>
      <c r="M3382">
        <v>0</v>
      </c>
      <c r="N3382">
        <v>0</v>
      </c>
      <c r="O3382">
        <v>0</v>
      </c>
    </row>
    <row r="3383" spans="1:15" x14ac:dyDescent="0.25">
      <c r="A3383" t="s">
        <v>1048</v>
      </c>
      <c r="B3383" t="s">
        <v>2989</v>
      </c>
      <c r="C3383" t="s">
        <v>927</v>
      </c>
      <c r="D3383" t="s">
        <v>3052</v>
      </c>
      <c r="E3383" t="s">
        <v>3053</v>
      </c>
      <c r="F3383" t="s">
        <v>481</v>
      </c>
      <c r="G3383" t="s">
        <v>482</v>
      </c>
      <c r="H3383" t="s">
        <v>14750</v>
      </c>
      <c r="I3383">
        <v>60</v>
      </c>
      <c r="J3383">
        <v>0</v>
      </c>
      <c r="K3383">
        <v>0</v>
      </c>
      <c r="L3383">
        <v>59</v>
      </c>
      <c r="M3383">
        <v>1</v>
      </c>
      <c r="N3383">
        <v>0</v>
      </c>
      <c r="O3383">
        <v>0</v>
      </c>
    </row>
    <row r="3384" spans="1:15" x14ac:dyDescent="0.25">
      <c r="A3384" t="s">
        <v>1051</v>
      </c>
      <c r="B3384" t="s">
        <v>2995</v>
      </c>
      <c r="C3384" t="s">
        <v>927</v>
      </c>
      <c r="D3384" t="s">
        <v>3052</v>
      </c>
      <c r="E3384" t="s">
        <v>3053</v>
      </c>
      <c r="F3384" t="s">
        <v>481</v>
      </c>
      <c r="G3384" t="s">
        <v>482</v>
      </c>
      <c r="H3384" t="s">
        <v>5306</v>
      </c>
      <c r="I3384">
        <v>13</v>
      </c>
      <c r="J3384">
        <v>0</v>
      </c>
      <c r="K3384">
        <v>0</v>
      </c>
      <c r="L3384">
        <v>13</v>
      </c>
      <c r="M3384">
        <v>0</v>
      </c>
      <c r="N3384">
        <v>0</v>
      </c>
      <c r="O3384">
        <v>0</v>
      </c>
    </row>
    <row r="3385" spans="1:15" x14ac:dyDescent="0.25">
      <c r="A3385" t="s">
        <v>953</v>
      </c>
      <c r="B3385" t="s">
        <v>2014</v>
      </c>
      <c r="C3385" t="s">
        <v>927</v>
      </c>
      <c r="D3385" t="s">
        <v>3052</v>
      </c>
      <c r="E3385" t="s">
        <v>3053</v>
      </c>
      <c r="F3385" t="s">
        <v>481</v>
      </c>
      <c r="G3385" t="s">
        <v>482</v>
      </c>
      <c r="H3385" t="s">
        <v>5307</v>
      </c>
      <c r="I3385">
        <v>1</v>
      </c>
      <c r="J3385">
        <v>0</v>
      </c>
      <c r="K3385">
        <v>0</v>
      </c>
      <c r="L3385">
        <v>1</v>
      </c>
      <c r="M3385">
        <v>0</v>
      </c>
      <c r="N3385">
        <v>0</v>
      </c>
      <c r="O3385">
        <v>0</v>
      </c>
    </row>
    <row r="3386" spans="1:15" x14ac:dyDescent="0.25">
      <c r="A3386" t="s">
        <v>955</v>
      </c>
      <c r="B3386" t="s">
        <v>2660</v>
      </c>
      <c r="C3386" t="s">
        <v>927</v>
      </c>
      <c r="D3386" t="s">
        <v>3052</v>
      </c>
      <c r="E3386" t="s">
        <v>3053</v>
      </c>
      <c r="F3386" t="s">
        <v>481</v>
      </c>
      <c r="G3386" t="s">
        <v>482</v>
      </c>
      <c r="H3386" t="s">
        <v>5308</v>
      </c>
      <c r="I3386">
        <v>4</v>
      </c>
      <c r="J3386">
        <v>0</v>
      </c>
      <c r="K3386">
        <v>0</v>
      </c>
      <c r="L3386">
        <v>4</v>
      </c>
      <c r="M3386">
        <v>0</v>
      </c>
      <c r="N3386">
        <v>0</v>
      </c>
      <c r="O3386">
        <v>0</v>
      </c>
    </row>
    <row r="3387" spans="1:15" x14ac:dyDescent="0.25">
      <c r="A3387" t="s">
        <v>11663</v>
      </c>
      <c r="B3387" t="s">
        <v>11768</v>
      </c>
      <c r="C3387" t="s">
        <v>927</v>
      </c>
      <c r="D3387" t="s">
        <v>3052</v>
      </c>
      <c r="E3387" t="s">
        <v>3053</v>
      </c>
      <c r="F3387" t="s">
        <v>481</v>
      </c>
      <c r="G3387" t="s">
        <v>482</v>
      </c>
      <c r="H3387" t="s">
        <v>12048</v>
      </c>
      <c r="I3387">
        <v>145</v>
      </c>
      <c r="J3387">
        <v>38</v>
      </c>
      <c r="K3387">
        <v>0</v>
      </c>
      <c r="L3387">
        <v>0</v>
      </c>
      <c r="M3387">
        <v>107</v>
      </c>
      <c r="N3387">
        <v>0</v>
      </c>
      <c r="O3387">
        <v>0</v>
      </c>
    </row>
    <row r="3388" spans="1:15" x14ac:dyDescent="0.25">
      <c r="A3388" t="s">
        <v>962</v>
      </c>
      <c r="B3388" t="s">
        <v>2752</v>
      </c>
      <c r="C3388" t="s">
        <v>927</v>
      </c>
      <c r="D3388" t="s">
        <v>3052</v>
      </c>
      <c r="E3388" t="s">
        <v>3053</v>
      </c>
      <c r="F3388" t="s">
        <v>481</v>
      </c>
      <c r="G3388" t="s">
        <v>482</v>
      </c>
      <c r="H3388" t="s">
        <v>5309</v>
      </c>
      <c r="I3388">
        <v>33</v>
      </c>
      <c r="J3388">
        <v>0</v>
      </c>
      <c r="K3388">
        <v>0</v>
      </c>
      <c r="L3388">
        <v>0</v>
      </c>
      <c r="M3388">
        <v>33</v>
      </c>
      <c r="N3388">
        <v>0</v>
      </c>
      <c r="O3388">
        <v>0</v>
      </c>
    </row>
    <row r="3389" spans="1:15" x14ac:dyDescent="0.25">
      <c r="A3389" t="s">
        <v>1066</v>
      </c>
      <c r="B3389" t="s">
        <v>2557</v>
      </c>
      <c r="C3389" t="s">
        <v>927</v>
      </c>
      <c r="D3389" t="s">
        <v>3052</v>
      </c>
      <c r="E3389" t="s">
        <v>3053</v>
      </c>
      <c r="F3389" t="s">
        <v>481</v>
      </c>
      <c r="G3389" t="s">
        <v>482</v>
      </c>
      <c r="H3389" t="s">
        <v>5310</v>
      </c>
      <c r="I3389">
        <v>17</v>
      </c>
      <c r="J3389">
        <v>0</v>
      </c>
      <c r="K3389">
        <v>0</v>
      </c>
      <c r="L3389">
        <v>0</v>
      </c>
      <c r="M3389">
        <v>17</v>
      </c>
      <c r="N3389">
        <v>0</v>
      </c>
      <c r="O3389">
        <v>0</v>
      </c>
    </row>
    <row r="3390" spans="1:15" x14ac:dyDescent="0.25">
      <c r="A3390" t="s">
        <v>1069</v>
      </c>
      <c r="B3390" t="s">
        <v>2001</v>
      </c>
      <c r="C3390" t="s">
        <v>927</v>
      </c>
      <c r="D3390" t="s">
        <v>3052</v>
      </c>
      <c r="E3390" t="s">
        <v>3053</v>
      </c>
      <c r="F3390" t="s">
        <v>481</v>
      </c>
      <c r="G3390" t="s">
        <v>482</v>
      </c>
      <c r="H3390" t="s">
        <v>5311</v>
      </c>
      <c r="I3390">
        <v>395</v>
      </c>
      <c r="J3390">
        <v>207</v>
      </c>
      <c r="K3390">
        <v>0</v>
      </c>
      <c r="L3390">
        <v>4</v>
      </c>
      <c r="M3390">
        <v>89</v>
      </c>
      <c r="N3390">
        <v>0</v>
      </c>
      <c r="O3390">
        <v>95</v>
      </c>
    </row>
    <row r="3391" spans="1:15" x14ac:dyDescent="0.25">
      <c r="A3391" t="s">
        <v>1681</v>
      </c>
      <c r="B3391" t="s">
        <v>3021</v>
      </c>
      <c r="C3391" t="s">
        <v>923</v>
      </c>
      <c r="D3391" t="s">
        <v>3063</v>
      </c>
      <c r="E3391" t="s">
        <v>3053</v>
      </c>
      <c r="F3391" t="s">
        <v>481</v>
      </c>
      <c r="G3391" t="s">
        <v>482</v>
      </c>
      <c r="H3391" t="s">
        <v>5312</v>
      </c>
      <c r="I3391">
        <v>8</v>
      </c>
      <c r="J3391">
        <v>0</v>
      </c>
      <c r="K3391">
        <v>0</v>
      </c>
      <c r="L3391">
        <v>8</v>
      </c>
      <c r="M3391">
        <v>0</v>
      </c>
      <c r="N3391">
        <v>0</v>
      </c>
      <c r="O3391">
        <v>0</v>
      </c>
    </row>
    <row r="3392" spans="1:15" x14ac:dyDescent="0.25">
      <c r="A3392" t="s">
        <v>966</v>
      </c>
      <c r="B3392" t="s">
        <v>2684</v>
      </c>
      <c r="C3392" t="s">
        <v>927</v>
      </c>
      <c r="D3392" t="s">
        <v>3052</v>
      </c>
      <c r="E3392" t="s">
        <v>3053</v>
      </c>
      <c r="F3392" t="s">
        <v>481</v>
      </c>
      <c r="G3392" t="s">
        <v>482</v>
      </c>
      <c r="H3392" t="s">
        <v>5313</v>
      </c>
      <c r="I3392">
        <v>67</v>
      </c>
      <c r="J3392">
        <v>65</v>
      </c>
      <c r="K3392">
        <v>0</v>
      </c>
      <c r="L3392">
        <v>0</v>
      </c>
      <c r="M3392">
        <v>0</v>
      </c>
      <c r="N3392">
        <v>0</v>
      </c>
      <c r="O3392">
        <v>2</v>
      </c>
    </row>
    <row r="3393" spans="1:15" x14ac:dyDescent="0.25">
      <c r="A3393" t="s">
        <v>1683</v>
      </c>
      <c r="B3393" t="s">
        <v>2082</v>
      </c>
      <c r="C3393" t="s">
        <v>923</v>
      </c>
      <c r="D3393" t="s">
        <v>3063</v>
      </c>
      <c r="E3393" t="s">
        <v>3053</v>
      </c>
      <c r="F3393" t="s">
        <v>481</v>
      </c>
      <c r="G3393" t="s">
        <v>482</v>
      </c>
      <c r="H3393" t="s">
        <v>5314</v>
      </c>
      <c r="I3393">
        <v>124</v>
      </c>
      <c r="J3393">
        <v>0</v>
      </c>
      <c r="K3393">
        <v>0</v>
      </c>
      <c r="L3393">
        <v>0</v>
      </c>
      <c r="M3393">
        <v>124</v>
      </c>
      <c r="N3393">
        <v>0</v>
      </c>
      <c r="O3393">
        <v>0</v>
      </c>
    </row>
    <row r="3394" spans="1:15" x14ac:dyDescent="0.25">
      <c r="A3394" t="s">
        <v>1686</v>
      </c>
      <c r="B3394" t="s">
        <v>2988</v>
      </c>
      <c r="C3394" t="s">
        <v>923</v>
      </c>
      <c r="D3394" t="s">
        <v>3063</v>
      </c>
      <c r="E3394" t="s">
        <v>3053</v>
      </c>
      <c r="F3394" t="s">
        <v>481</v>
      </c>
      <c r="G3394" t="s">
        <v>482</v>
      </c>
      <c r="H3394" t="s">
        <v>5315</v>
      </c>
      <c r="I3394">
        <v>15</v>
      </c>
      <c r="J3394">
        <v>0</v>
      </c>
      <c r="K3394">
        <v>0</v>
      </c>
      <c r="L3394">
        <v>15</v>
      </c>
      <c r="M3394">
        <v>0</v>
      </c>
      <c r="N3394">
        <v>0</v>
      </c>
      <c r="O3394">
        <v>0</v>
      </c>
    </row>
    <row r="3395" spans="1:15" x14ac:dyDescent="0.25">
      <c r="A3395" t="s">
        <v>968</v>
      </c>
      <c r="B3395" t="s">
        <v>2091</v>
      </c>
      <c r="C3395" t="s">
        <v>927</v>
      </c>
      <c r="D3395" t="s">
        <v>3052</v>
      </c>
      <c r="E3395" t="s">
        <v>3053</v>
      </c>
      <c r="F3395" t="s">
        <v>481</v>
      </c>
      <c r="G3395" t="s">
        <v>482</v>
      </c>
      <c r="H3395" t="s">
        <v>5316</v>
      </c>
      <c r="I3395">
        <v>1456</v>
      </c>
      <c r="J3395">
        <v>1220</v>
      </c>
      <c r="K3395">
        <v>0</v>
      </c>
      <c r="L3395">
        <v>22</v>
      </c>
      <c r="M3395">
        <v>0</v>
      </c>
      <c r="N3395">
        <v>1</v>
      </c>
      <c r="O3395">
        <v>214</v>
      </c>
    </row>
    <row r="3396" spans="1:15" x14ac:dyDescent="0.25">
      <c r="A3396" t="s">
        <v>926</v>
      </c>
      <c r="B3396" t="s">
        <v>2923</v>
      </c>
      <c r="C3396" t="s">
        <v>927</v>
      </c>
      <c r="D3396" t="s">
        <v>3052</v>
      </c>
      <c r="E3396" t="s">
        <v>3053</v>
      </c>
      <c r="F3396" t="s">
        <v>483</v>
      </c>
      <c r="G3396" t="s">
        <v>484</v>
      </c>
      <c r="H3396" t="s">
        <v>5317</v>
      </c>
      <c r="I3396">
        <v>6</v>
      </c>
      <c r="J3396">
        <v>0</v>
      </c>
      <c r="K3396">
        <v>0</v>
      </c>
      <c r="L3396">
        <v>6</v>
      </c>
      <c r="M3396">
        <v>0</v>
      </c>
      <c r="N3396">
        <v>0</v>
      </c>
      <c r="O3396">
        <v>0</v>
      </c>
    </row>
    <row r="3397" spans="1:15" x14ac:dyDescent="0.25">
      <c r="A3397" t="s">
        <v>933</v>
      </c>
      <c r="B3397" t="s">
        <v>2106</v>
      </c>
      <c r="C3397" t="s">
        <v>927</v>
      </c>
      <c r="D3397" t="s">
        <v>3052</v>
      </c>
      <c r="E3397" t="s">
        <v>3053</v>
      </c>
      <c r="F3397" t="s">
        <v>483</v>
      </c>
      <c r="G3397" t="s">
        <v>484</v>
      </c>
      <c r="H3397" t="s">
        <v>5318</v>
      </c>
      <c r="I3397">
        <v>97</v>
      </c>
      <c r="J3397">
        <v>86</v>
      </c>
      <c r="K3397">
        <v>0</v>
      </c>
      <c r="L3397">
        <v>0</v>
      </c>
      <c r="M3397">
        <v>0</v>
      </c>
      <c r="N3397">
        <v>0</v>
      </c>
      <c r="O3397">
        <v>11</v>
      </c>
    </row>
    <row r="3398" spans="1:15" x14ac:dyDescent="0.25">
      <c r="A3398" t="s">
        <v>11702</v>
      </c>
      <c r="B3398" t="s">
        <v>11747</v>
      </c>
      <c r="C3398" t="s">
        <v>923</v>
      </c>
      <c r="D3398" t="s">
        <v>3063</v>
      </c>
      <c r="E3398" t="s">
        <v>3053</v>
      </c>
      <c r="F3398" t="s">
        <v>483</v>
      </c>
      <c r="G3398" t="s">
        <v>484</v>
      </c>
      <c r="H3398" t="s">
        <v>12049</v>
      </c>
      <c r="I3398">
        <v>14</v>
      </c>
      <c r="J3398">
        <v>14</v>
      </c>
      <c r="K3398">
        <v>0</v>
      </c>
      <c r="L3398">
        <v>0</v>
      </c>
      <c r="M3398">
        <v>0</v>
      </c>
      <c r="N3398">
        <v>0</v>
      </c>
      <c r="O3398">
        <v>0</v>
      </c>
    </row>
    <row r="3399" spans="1:15" x14ac:dyDescent="0.25">
      <c r="A3399" t="s">
        <v>10638</v>
      </c>
      <c r="B3399" t="s">
        <v>2057</v>
      </c>
      <c r="C3399" t="s">
        <v>927</v>
      </c>
      <c r="D3399" t="s">
        <v>3052</v>
      </c>
      <c r="E3399" t="s">
        <v>3053</v>
      </c>
      <c r="F3399" t="s">
        <v>483</v>
      </c>
      <c r="G3399" t="s">
        <v>484</v>
      </c>
      <c r="H3399" t="s">
        <v>11047</v>
      </c>
      <c r="I3399">
        <v>4</v>
      </c>
      <c r="J3399">
        <v>0</v>
      </c>
      <c r="K3399">
        <v>0</v>
      </c>
      <c r="L3399">
        <v>4</v>
      </c>
      <c r="M3399">
        <v>0</v>
      </c>
      <c r="N3399">
        <v>0</v>
      </c>
      <c r="O3399">
        <v>0</v>
      </c>
    </row>
    <row r="3400" spans="1:15" x14ac:dyDescent="0.25">
      <c r="A3400" t="s">
        <v>1609</v>
      </c>
      <c r="B3400" t="s">
        <v>2935</v>
      </c>
      <c r="C3400" t="s">
        <v>923</v>
      </c>
      <c r="D3400" t="s">
        <v>3063</v>
      </c>
      <c r="E3400" t="s">
        <v>3053</v>
      </c>
      <c r="F3400" t="s">
        <v>483</v>
      </c>
      <c r="G3400" t="s">
        <v>484</v>
      </c>
      <c r="H3400" t="s">
        <v>5319</v>
      </c>
      <c r="I3400">
        <v>412</v>
      </c>
      <c r="J3400">
        <v>399</v>
      </c>
      <c r="K3400">
        <v>0</v>
      </c>
      <c r="L3400">
        <v>13</v>
      </c>
      <c r="M3400">
        <v>0</v>
      </c>
      <c r="N3400">
        <v>0</v>
      </c>
      <c r="O3400">
        <v>0</v>
      </c>
    </row>
    <row r="3401" spans="1:15" x14ac:dyDescent="0.25">
      <c r="A3401" t="s">
        <v>10651</v>
      </c>
      <c r="B3401" t="s">
        <v>1941</v>
      </c>
      <c r="C3401" t="s">
        <v>927</v>
      </c>
      <c r="D3401" t="s">
        <v>3052</v>
      </c>
      <c r="E3401" t="s">
        <v>3053</v>
      </c>
      <c r="F3401" t="s">
        <v>483</v>
      </c>
      <c r="G3401" t="s">
        <v>484</v>
      </c>
      <c r="H3401" t="s">
        <v>14751</v>
      </c>
      <c r="I3401">
        <v>67</v>
      </c>
      <c r="J3401">
        <v>43</v>
      </c>
      <c r="K3401">
        <v>0</v>
      </c>
      <c r="L3401">
        <v>0</v>
      </c>
      <c r="M3401">
        <v>0</v>
      </c>
      <c r="N3401">
        <v>0</v>
      </c>
      <c r="O3401">
        <v>24</v>
      </c>
    </row>
    <row r="3402" spans="1:15" x14ac:dyDescent="0.25">
      <c r="A3402" t="s">
        <v>937</v>
      </c>
      <c r="B3402" t="s">
        <v>1962</v>
      </c>
      <c r="C3402" t="s">
        <v>927</v>
      </c>
      <c r="D3402" t="s">
        <v>3052</v>
      </c>
      <c r="E3402" t="s">
        <v>3053</v>
      </c>
      <c r="F3402" t="s">
        <v>483</v>
      </c>
      <c r="G3402" t="s">
        <v>484</v>
      </c>
      <c r="H3402" t="s">
        <v>5320</v>
      </c>
      <c r="I3402">
        <v>5</v>
      </c>
      <c r="J3402">
        <v>0</v>
      </c>
      <c r="K3402">
        <v>0</v>
      </c>
      <c r="L3402">
        <v>0</v>
      </c>
      <c r="M3402">
        <v>0</v>
      </c>
      <c r="N3402">
        <v>0</v>
      </c>
      <c r="O3402">
        <v>5</v>
      </c>
    </row>
    <row r="3403" spans="1:15" x14ac:dyDescent="0.25">
      <c r="A3403" t="s">
        <v>938</v>
      </c>
      <c r="B3403" t="s">
        <v>2791</v>
      </c>
      <c r="C3403" t="s">
        <v>927</v>
      </c>
      <c r="D3403" t="s">
        <v>3052</v>
      </c>
      <c r="E3403" t="s">
        <v>3053</v>
      </c>
      <c r="F3403" t="s">
        <v>483</v>
      </c>
      <c r="G3403" t="s">
        <v>484</v>
      </c>
      <c r="H3403" t="s">
        <v>11048</v>
      </c>
      <c r="I3403">
        <v>2</v>
      </c>
      <c r="J3403">
        <v>0</v>
      </c>
      <c r="K3403">
        <v>0</v>
      </c>
      <c r="L3403">
        <v>2</v>
      </c>
      <c r="M3403">
        <v>0</v>
      </c>
      <c r="N3403">
        <v>0</v>
      </c>
      <c r="O3403">
        <v>0</v>
      </c>
    </row>
    <row r="3404" spans="1:15" x14ac:dyDescent="0.25">
      <c r="A3404" t="s">
        <v>1012</v>
      </c>
      <c r="B3404" t="s">
        <v>2911</v>
      </c>
      <c r="C3404" t="s">
        <v>927</v>
      </c>
      <c r="D3404" t="s">
        <v>3052</v>
      </c>
      <c r="E3404" t="s">
        <v>3053</v>
      </c>
      <c r="F3404" t="s">
        <v>483</v>
      </c>
      <c r="G3404" t="s">
        <v>484</v>
      </c>
      <c r="H3404" t="s">
        <v>5321</v>
      </c>
      <c r="I3404">
        <v>412</v>
      </c>
      <c r="J3404">
        <v>311</v>
      </c>
      <c r="K3404">
        <v>0</v>
      </c>
      <c r="L3404">
        <v>37</v>
      </c>
      <c r="M3404">
        <v>0</v>
      </c>
      <c r="N3404">
        <v>10</v>
      </c>
      <c r="O3404">
        <v>64</v>
      </c>
    </row>
    <row r="3405" spans="1:15" x14ac:dyDescent="0.25">
      <c r="A3405" t="s">
        <v>1025</v>
      </c>
      <c r="B3405" t="s">
        <v>2893</v>
      </c>
      <c r="C3405" t="s">
        <v>927</v>
      </c>
      <c r="D3405" t="s">
        <v>3052</v>
      </c>
      <c r="E3405" t="s">
        <v>3053</v>
      </c>
      <c r="F3405" t="s">
        <v>483</v>
      </c>
      <c r="G3405" t="s">
        <v>484</v>
      </c>
      <c r="H3405" t="s">
        <v>5322</v>
      </c>
      <c r="I3405">
        <v>31</v>
      </c>
      <c r="J3405">
        <v>0</v>
      </c>
      <c r="K3405">
        <v>0</v>
      </c>
      <c r="L3405">
        <v>0</v>
      </c>
      <c r="M3405">
        <v>0</v>
      </c>
      <c r="N3405">
        <v>0</v>
      </c>
      <c r="O3405">
        <v>31</v>
      </c>
    </row>
    <row r="3406" spans="1:15" x14ac:dyDescent="0.25">
      <c r="A3406" t="s">
        <v>945</v>
      </c>
      <c r="B3406" t="s">
        <v>2668</v>
      </c>
      <c r="C3406" t="s">
        <v>927</v>
      </c>
      <c r="D3406" t="s">
        <v>3052</v>
      </c>
      <c r="E3406" t="s">
        <v>3053</v>
      </c>
      <c r="F3406" t="s">
        <v>483</v>
      </c>
      <c r="G3406" t="s">
        <v>484</v>
      </c>
      <c r="H3406" t="s">
        <v>5323</v>
      </c>
      <c r="I3406">
        <v>592</v>
      </c>
      <c r="J3406">
        <v>355</v>
      </c>
      <c r="K3406">
        <v>0</v>
      </c>
      <c r="L3406">
        <v>0</v>
      </c>
      <c r="M3406">
        <v>15</v>
      </c>
      <c r="N3406">
        <v>0</v>
      </c>
      <c r="O3406">
        <v>222</v>
      </c>
    </row>
    <row r="3407" spans="1:15" x14ac:dyDescent="0.25">
      <c r="A3407" t="s">
        <v>1135</v>
      </c>
      <c r="B3407" t="s">
        <v>1996</v>
      </c>
      <c r="C3407" t="s">
        <v>923</v>
      </c>
      <c r="D3407" t="s">
        <v>3063</v>
      </c>
      <c r="E3407" t="s">
        <v>3053</v>
      </c>
      <c r="F3407" t="s">
        <v>483</v>
      </c>
      <c r="G3407" t="s">
        <v>484</v>
      </c>
      <c r="H3407" t="s">
        <v>10219</v>
      </c>
      <c r="I3407">
        <v>1</v>
      </c>
      <c r="J3407">
        <v>1</v>
      </c>
      <c r="K3407">
        <v>0</v>
      </c>
      <c r="L3407">
        <v>0</v>
      </c>
      <c r="M3407">
        <v>0</v>
      </c>
      <c r="N3407">
        <v>0</v>
      </c>
      <c r="O3407">
        <v>0</v>
      </c>
    </row>
    <row r="3408" spans="1:15" x14ac:dyDescent="0.25">
      <c r="A3408" t="s">
        <v>1041</v>
      </c>
      <c r="B3408" t="s">
        <v>2826</v>
      </c>
      <c r="C3408" t="s">
        <v>927</v>
      </c>
      <c r="D3408" t="s">
        <v>3052</v>
      </c>
      <c r="E3408" t="s">
        <v>3053</v>
      </c>
      <c r="F3408" t="s">
        <v>483</v>
      </c>
      <c r="G3408" t="s">
        <v>484</v>
      </c>
      <c r="H3408" t="s">
        <v>5324</v>
      </c>
      <c r="I3408">
        <v>73</v>
      </c>
      <c r="J3408">
        <v>0</v>
      </c>
      <c r="K3408">
        <v>0</v>
      </c>
      <c r="L3408">
        <v>0</v>
      </c>
      <c r="M3408">
        <v>0</v>
      </c>
      <c r="N3408">
        <v>0</v>
      </c>
      <c r="O3408">
        <v>73</v>
      </c>
    </row>
    <row r="3409" spans="1:15" x14ac:dyDescent="0.25">
      <c r="A3409" t="s">
        <v>9787</v>
      </c>
      <c r="B3409" t="s">
        <v>2822</v>
      </c>
      <c r="C3409" t="s">
        <v>927</v>
      </c>
      <c r="D3409" t="s">
        <v>3052</v>
      </c>
      <c r="E3409" t="s">
        <v>3053</v>
      </c>
      <c r="F3409" t="s">
        <v>483</v>
      </c>
      <c r="G3409" t="s">
        <v>484</v>
      </c>
      <c r="H3409" t="s">
        <v>10254</v>
      </c>
      <c r="I3409">
        <v>30</v>
      </c>
      <c r="J3409">
        <v>30</v>
      </c>
      <c r="K3409">
        <v>0</v>
      </c>
      <c r="L3409">
        <v>0</v>
      </c>
      <c r="M3409">
        <v>0</v>
      </c>
      <c r="N3409">
        <v>0</v>
      </c>
      <c r="O3409">
        <v>0</v>
      </c>
    </row>
    <row r="3410" spans="1:15" x14ac:dyDescent="0.25">
      <c r="A3410" t="s">
        <v>951</v>
      </c>
      <c r="B3410" t="s">
        <v>2680</v>
      </c>
      <c r="C3410" t="s">
        <v>927</v>
      </c>
      <c r="D3410" t="s">
        <v>3052</v>
      </c>
      <c r="E3410" t="s">
        <v>3053</v>
      </c>
      <c r="F3410" t="s">
        <v>483</v>
      </c>
      <c r="G3410" t="s">
        <v>484</v>
      </c>
      <c r="H3410" t="s">
        <v>5325</v>
      </c>
      <c r="I3410">
        <v>2</v>
      </c>
      <c r="J3410">
        <v>2</v>
      </c>
      <c r="K3410">
        <v>0</v>
      </c>
      <c r="L3410">
        <v>0</v>
      </c>
      <c r="M3410">
        <v>0</v>
      </c>
      <c r="N3410">
        <v>0</v>
      </c>
      <c r="O3410">
        <v>0</v>
      </c>
    </row>
    <row r="3411" spans="1:15" x14ac:dyDescent="0.25">
      <c r="A3411" t="s">
        <v>1048</v>
      </c>
      <c r="B3411" t="s">
        <v>2989</v>
      </c>
      <c r="C3411" t="s">
        <v>927</v>
      </c>
      <c r="D3411" t="s">
        <v>3052</v>
      </c>
      <c r="E3411" t="s">
        <v>3053</v>
      </c>
      <c r="F3411" t="s">
        <v>483</v>
      </c>
      <c r="G3411" t="s">
        <v>484</v>
      </c>
      <c r="H3411" t="s">
        <v>5326</v>
      </c>
      <c r="I3411">
        <v>6</v>
      </c>
      <c r="J3411">
        <v>0</v>
      </c>
      <c r="K3411">
        <v>0</v>
      </c>
      <c r="L3411">
        <v>6</v>
      </c>
      <c r="M3411">
        <v>0</v>
      </c>
      <c r="N3411">
        <v>0</v>
      </c>
      <c r="O3411">
        <v>0</v>
      </c>
    </row>
    <row r="3412" spans="1:15" x14ac:dyDescent="0.25">
      <c r="A3412" t="s">
        <v>9788</v>
      </c>
      <c r="B3412" t="s">
        <v>9871</v>
      </c>
      <c r="C3412" t="s">
        <v>927</v>
      </c>
      <c r="D3412" t="s">
        <v>3052</v>
      </c>
      <c r="E3412" t="s">
        <v>3053</v>
      </c>
      <c r="F3412" t="s">
        <v>483</v>
      </c>
      <c r="G3412" t="s">
        <v>484</v>
      </c>
      <c r="H3412" t="s">
        <v>11049</v>
      </c>
      <c r="I3412">
        <v>30</v>
      </c>
      <c r="J3412">
        <v>30</v>
      </c>
      <c r="K3412">
        <v>0</v>
      </c>
      <c r="L3412">
        <v>0</v>
      </c>
      <c r="M3412">
        <v>0</v>
      </c>
      <c r="N3412">
        <v>0</v>
      </c>
      <c r="O3412">
        <v>0</v>
      </c>
    </row>
    <row r="3413" spans="1:15" x14ac:dyDescent="0.25">
      <c r="A3413" t="s">
        <v>1057</v>
      </c>
      <c r="B3413" t="s">
        <v>1972</v>
      </c>
      <c r="C3413" t="s">
        <v>927</v>
      </c>
      <c r="D3413" t="s">
        <v>3052</v>
      </c>
      <c r="E3413" t="s">
        <v>3053</v>
      </c>
      <c r="F3413" t="s">
        <v>483</v>
      </c>
      <c r="G3413" t="s">
        <v>484</v>
      </c>
      <c r="H3413" t="s">
        <v>5327</v>
      </c>
      <c r="I3413">
        <v>70</v>
      </c>
      <c r="J3413">
        <v>0</v>
      </c>
      <c r="K3413">
        <v>0</v>
      </c>
      <c r="L3413">
        <v>10</v>
      </c>
      <c r="M3413">
        <v>51</v>
      </c>
      <c r="N3413">
        <v>0</v>
      </c>
      <c r="O3413">
        <v>9</v>
      </c>
    </row>
    <row r="3414" spans="1:15" x14ac:dyDescent="0.25">
      <c r="A3414" t="s">
        <v>11663</v>
      </c>
      <c r="B3414" t="s">
        <v>11768</v>
      </c>
      <c r="C3414" t="s">
        <v>927</v>
      </c>
      <c r="D3414" t="s">
        <v>3052</v>
      </c>
      <c r="E3414" t="s">
        <v>3053</v>
      </c>
      <c r="F3414" t="s">
        <v>483</v>
      </c>
      <c r="G3414" t="s">
        <v>484</v>
      </c>
      <c r="H3414" t="s">
        <v>12050</v>
      </c>
      <c r="I3414">
        <v>101</v>
      </c>
      <c r="J3414">
        <v>83</v>
      </c>
      <c r="K3414">
        <v>0</v>
      </c>
      <c r="L3414">
        <v>0</v>
      </c>
      <c r="M3414">
        <v>0</v>
      </c>
      <c r="N3414">
        <v>0</v>
      </c>
      <c r="O3414">
        <v>18</v>
      </c>
    </row>
    <row r="3415" spans="1:15" x14ac:dyDescent="0.25">
      <c r="A3415" t="s">
        <v>14374</v>
      </c>
      <c r="B3415" t="s">
        <v>1943</v>
      </c>
      <c r="C3415" t="s">
        <v>927</v>
      </c>
      <c r="D3415" t="s">
        <v>3052</v>
      </c>
      <c r="E3415" t="s">
        <v>3053</v>
      </c>
      <c r="F3415" t="s">
        <v>483</v>
      </c>
      <c r="G3415" t="s">
        <v>484</v>
      </c>
      <c r="H3415" t="s">
        <v>14752</v>
      </c>
      <c r="I3415">
        <v>28</v>
      </c>
      <c r="J3415">
        <v>0</v>
      </c>
      <c r="K3415">
        <v>0</v>
      </c>
      <c r="L3415">
        <v>0</v>
      </c>
      <c r="M3415">
        <v>0</v>
      </c>
      <c r="N3415">
        <v>0</v>
      </c>
      <c r="O3415">
        <v>28</v>
      </c>
    </row>
    <row r="3416" spans="1:15" x14ac:dyDescent="0.25">
      <c r="A3416" t="s">
        <v>9831</v>
      </c>
      <c r="B3416" t="s">
        <v>2320</v>
      </c>
      <c r="C3416" t="s">
        <v>923</v>
      </c>
      <c r="D3416" t="s">
        <v>3063</v>
      </c>
      <c r="E3416" t="s">
        <v>3053</v>
      </c>
      <c r="F3416" t="s">
        <v>483</v>
      </c>
      <c r="G3416" t="s">
        <v>484</v>
      </c>
      <c r="H3416" t="s">
        <v>10481</v>
      </c>
      <c r="I3416">
        <v>66</v>
      </c>
      <c r="J3416">
        <v>66</v>
      </c>
      <c r="K3416">
        <v>0</v>
      </c>
      <c r="L3416">
        <v>0</v>
      </c>
      <c r="M3416">
        <v>0</v>
      </c>
      <c r="N3416">
        <v>0</v>
      </c>
      <c r="O3416">
        <v>0</v>
      </c>
    </row>
    <row r="3417" spans="1:15" x14ac:dyDescent="0.25">
      <c r="A3417" t="s">
        <v>1684</v>
      </c>
      <c r="B3417" t="s">
        <v>2845</v>
      </c>
      <c r="C3417" t="s">
        <v>927</v>
      </c>
      <c r="D3417" t="s">
        <v>3052</v>
      </c>
      <c r="E3417" t="s">
        <v>3053</v>
      </c>
      <c r="F3417" t="s">
        <v>483</v>
      </c>
      <c r="G3417" t="s">
        <v>484</v>
      </c>
      <c r="H3417" t="s">
        <v>5328</v>
      </c>
      <c r="I3417">
        <v>449</v>
      </c>
      <c r="J3417">
        <v>233</v>
      </c>
      <c r="K3417">
        <v>0</v>
      </c>
      <c r="L3417">
        <v>0</v>
      </c>
      <c r="M3417">
        <v>56</v>
      </c>
      <c r="N3417">
        <v>6</v>
      </c>
      <c r="O3417">
        <v>160</v>
      </c>
    </row>
    <row r="3418" spans="1:15" x14ac:dyDescent="0.25">
      <c r="A3418" t="s">
        <v>1691</v>
      </c>
      <c r="B3418" t="s">
        <v>2980</v>
      </c>
      <c r="C3418" t="s">
        <v>927</v>
      </c>
      <c r="D3418" t="s">
        <v>3052</v>
      </c>
      <c r="E3418" t="s">
        <v>3053</v>
      </c>
      <c r="F3418" t="s">
        <v>483</v>
      </c>
      <c r="G3418" t="s">
        <v>484</v>
      </c>
      <c r="H3418" t="s">
        <v>5329</v>
      </c>
      <c r="I3418">
        <v>96</v>
      </c>
      <c r="J3418">
        <v>42</v>
      </c>
      <c r="K3418">
        <v>0</v>
      </c>
      <c r="L3418">
        <v>1</v>
      </c>
      <c r="M3418">
        <v>0</v>
      </c>
      <c r="N3418">
        <v>0</v>
      </c>
      <c r="O3418">
        <v>53</v>
      </c>
    </row>
    <row r="3419" spans="1:15" x14ac:dyDescent="0.25">
      <c r="A3419" t="s">
        <v>929</v>
      </c>
      <c r="B3419" t="s">
        <v>2999</v>
      </c>
      <c r="C3419" t="s">
        <v>927</v>
      </c>
      <c r="D3419" t="s">
        <v>3052</v>
      </c>
      <c r="E3419" t="s">
        <v>3053</v>
      </c>
      <c r="F3419" t="s">
        <v>485</v>
      </c>
      <c r="G3419" t="s">
        <v>486</v>
      </c>
      <c r="H3419" t="s">
        <v>5330</v>
      </c>
      <c r="I3419">
        <v>30</v>
      </c>
      <c r="J3419">
        <v>0</v>
      </c>
      <c r="K3419">
        <v>0</v>
      </c>
      <c r="L3419">
        <v>0</v>
      </c>
      <c r="M3419">
        <v>30</v>
      </c>
      <c r="N3419">
        <v>0</v>
      </c>
      <c r="O3419">
        <v>0</v>
      </c>
    </row>
    <row r="3420" spans="1:15" x14ac:dyDescent="0.25">
      <c r="A3420" t="s">
        <v>1099</v>
      </c>
      <c r="B3420" t="s">
        <v>2641</v>
      </c>
      <c r="C3420" t="s">
        <v>927</v>
      </c>
      <c r="D3420" t="s">
        <v>3052</v>
      </c>
      <c r="E3420" t="s">
        <v>3053</v>
      </c>
      <c r="F3420" t="s">
        <v>485</v>
      </c>
      <c r="G3420" t="s">
        <v>486</v>
      </c>
      <c r="H3420" t="s">
        <v>5331</v>
      </c>
      <c r="I3420">
        <v>398</v>
      </c>
      <c r="J3420">
        <v>354</v>
      </c>
      <c r="K3420">
        <v>0</v>
      </c>
      <c r="L3420">
        <v>0</v>
      </c>
      <c r="M3420">
        <v>31</v>
      </c>
      <c r="N3420">
        <v>0</v>
      </c>
      <c r="O3420">
        <v>13</v>
      </c>
    </row>
    <row r="3421" spans="1:15" x14ac:dyDescent="0.25">
      <c r="A3421" t="s">
        <v>933</v>
      </c>
      <c r="B3421" t="s">
        <v>2106</v>
      </c>
      <c r="C3421" t="s">
        <v>927</v>
      </c>
      <c r="D3421" t="s">
        <v>3052</v>
      </c>
      <c r="E3421" t="s">
        <v>3053</v>
      </c>
      <c r="F3421" t="s">
        <v>485</v>
      </c>
      <c r="G3421" t="s">
        <v>486</v>
      </c>
      <c r="H3421" t="s">
        <v>5332</v>
      </c>
      <c r="I3421">
        <v>81</v>
      </c>
      <c r="J3421">
        <v>75</v>
      </c>
      <c r="K3421">
        <v>0</v>
      </c>
      <c r="L3421">
        <v>0</v>
      </c>
      <c r="M3421">
        <v>0</v>
      </c>
      <c r="N3421">
        <v>0</v>
      </c>
      <c r="O3421">
        <v>6</v>
      </c>
    </row>
    <row r="3422" spans="1:15" x14ac:dyDescent="0.25">
      <c r="A3422" t="s">
        <v>997</v>
      </c>
      <c r="B3422" t="s">
        <v>2033</v>
      </c>
      <c r="C3422" t="s">
        <v>927</v>
      </c>
      <c r="D3422" t="s">
        <v>3052</v>
      </c>
      <c r="E3422" t="s">
        <v>3053</v>
      </c>
      <c r="F3422" t="s">
        <v>485</v>
      </c>
      <c r="G3422" t="s">
        <v>486</v>
      </c>
      <c r="H3422" t="s">
        <v>5333</v>
      </c>
      <c r="I3422">
        <v>1</v>
      </c>
      <c r="J3422">
        <v>0</v>
      </c>
      <c r="K3422">
        <v>0</v>
      </c>
      <c r="L3422">
        <v>0</v>
      </c>
      <c r="M3422">
        <v>0</v>
      </c>
      <c r="N3422">
        <v>0</v>
      </c>
      <c r="O3422">
        <v>1</v>
      </c>
    </row>
    <row r="3423" spans="1:15" x14ac:dyDescent="0.25">
      <c r="A3423" t="s">
        <v>1416</v>
      </c>
      <c r="B3423" t="s">
        <v>2029</v>
      </c>
      <c r="C3423" t="s">
        <v>923</v>
      </c>
      <c r="D3423" t="s">
        <v>3063</v>
      </c>
      <c r="E3423" t="s">
        <v>3053</v>
      </c>
      <c r="F3423" t="s">
        <v>485</v>
      </c>
      <c r="G3423" t="s">
        <v>486</v>
      </c>
      <c r="H3423" t="s">
        <v>12051</v>
      </c>
      <c r="I3423">
        <v>11</v>
      </c>
      <c r="J3423">
        <v>0</v>
      </c>
      <c r="K3423">
        <v>0</v>
      </c>
      <c r="L3423">
        <v>11</v>
      </c>
      <c r="M3423">
        <v>0</v>
      </c>
      <c r="N3423">
        <v>0</v>
      </c>
      <c r="O3423">
        <v>0</v>
      </c>
    </row>
    <row r="3424" spans="1:15" x14ac:dyDescent="0.25">
      <c r="A3424" t="s">
        <v>1113</v>
      </c>
      <c r="B3424" t="s">
        <v>1953</v>
      </c>
      <c r="C3424" t="s">
        <v>927</v>
      </c>
      <c r="D3424" t="s">
        <v>3052</v>
      </c>
      <c r="E3424" t="s">
        <v>3053</v>
      </c>
      <c r="F3424" t="s">
        <v>485</v>
      </c>
      <c r="G3424" t="s">
        <v>486</v>
      </c>
      <c r="H3424" t="s">
        <v>5334</v>
      </c>
      <c r="I3424">
        <v>605</v>
      </c>
      <c r="J3424">
        <v>563</v>
      </c>
      <c r="K3424">
        <v>0</v>
      </c>
      <c r="L3424">
        <v>0</v>
      </c>
      <c r="M3424">
        <v>0</v>
      </c>
      <c r="N3424">
        <v>13</v>
      </c>
      <c r="O3424">
        <v>42</v>
      </c>
    </row>
    <row r="3425" spans="1:15" x14ac:dyDescent="0.25">
      <c r="A3425" t="s">
        <v>10638</v>
      </c>
      <c r="B3425" t="s">
        <v>2057</v>
      </c>
      <c r="C3425" t="s">
        <v>927</v>
      </c>
      <c r="D3425" t="s">
        <v>3052</v>
      </c>
      <c r="E3425" t="s">
        <v>3053</v>
      </c>
      <c r="F3425" t="s">
        <v>485</v>
      </c>
      <c r="G3425" t="s">
        <v>486</v>
      </c>
      <c r="H3425" t="s">
        <v>11050</v>
      </c>
      <c r="I3425">
        <v>8</v>
      </c>
      <c r="J3425">
        <v>0</v>
      </c>
      <c r="K3425">
        <v>0</v>
      </c>
      <c r="L3425">
        <v>8</v>
      </c>
      <c r="M3425">
        <v>0</v>
      </c>
      <c r="N3425">
        <v>0</v>
      </c>
      <c r="O3425">
        <v>0</v>
      </c>
    </row>
    <row r="3426" spans="1:15" x14ac:dyDescent="0.25">
      <c r="A3426" t="s">
        <v>9792</v>
      </c>
      <c r="B3426" t="s">
        <v>3015</v>
      </c>
      <c r="C3426" t="s">
        <v>923</v>
      </c>
      <c r="D3426" t="s">
        <v>3063</v>
      </c>
      <c r="E3426" t="s">
        <v>3053</v>
      </c>
      <c r="F3426" t="s">
        <v>485</v>
      </c>
      <c r="G3426" t="s">
        <v>486</v>
      </c>
      <c r="H3426" t="s">
        <v>10093</v>
      </c>
      <c r="I3426">
        <v>57</v>
      </c>
      <c r="J3426">
        <v>0</v>
      </c>
      <c r="K3426">
        <v>0</v>
      </c>
      <c r="L3426">
        <v>57</v>
      </c>
      <c r="M3426">
        <v>0</v>
      </c>
      <c r="N3426">
        <v>0</v>
      </c>
      <c r="O3426">
        <v>0</v>
      </c>
    </row>
    <row r="3427" spans="1:15" x14ac:dyDescent="0.25">
      <c r="A3427" t="s">
        <v>940</v>
      </c>
      <c r="B3427" t="s">
        <v>2647</v>
      </c>
      <c r="C3427" t="s">
        <v>927</v>
      </c>
      <c r="D3427" t="s">
        <v>3052</v>
      </c>
      <c r="E3427" t="s">
        <v>3053</v>
      </c>
      <c r="F3427" t="s">
        <v>485</v>
      </c>
      <c r="G3427" t="s">
        <v>486</v>
      </c>
      <c r="H3427" t="s">
        <v>5335</v>
      </c>
      <c r="I3427">
        <v>48</v>
      </c>
      <c r="J3427">
        <v>0</v>
      </c>
      <c r="K3427">
        <v>0</v>
      </c>
      <c r="L3427">
        <v>0</v>
      </c>
      <c r="M3427">
        <v>48</v>
      </c>
      <c r="N3427">
        <v>0</v>
      </c>
      <c r="O3427">
        <v>0</v>
      </c>
    </row>
    <row r="3428" spans="1:15" x14ac:dyDescent="0.25">
      <c r="A3428" t="s">
        <v>1041</v>
      </c>
      <c r="B3428" t="s">
        <v>2826</v>
      </c>
      <c r="C3428" t="s">
        <v>927</v>
      </c>
      <c r="D3428" t="s">
        <v>3052</v>
      </c>
      <c r="E3428" t="s">
        <v>3053</v>
      </c>
      <c r="F3428" t="s">
        <v>485</v>
      </c>
      <c r="G3428" t="s">
        <v>486</v>
      </c>
      <c r="H3428" t="s">
        <v>5336</v>
      </c>
      <c r="I3428">
        <v>1</v>
      </c>
      <c r="J3428">
        <v>1</v>
      </c>
      <c r="K3428">
        <v>0</v>
      </c>
      <c r="L3428">
        <v>0</v>
      </c>
      <c r="M3428">
        <v>0</v>
      </c>
      <c r="N3428">
        <v>0</v>
      </c>
      <c r="O3428">
        <v>0</v>
      </c>
    </row>
    <row r="3429" spans="1:15" x14ac:dyDescent="0.25">
      <c r="A3429" t="s">
        <v>9787</v>
      </c>
      <c r="B3429" t="s">
        <v>2822</v>
      </c>
      <c r="C3429" t="s">
        <v>927</v>
      </c>
      <c r="D3429" t="s">
        <v>3052</v>
      </c>
      <c r="E3429" t="s">
        <v>3053</v>
      </c>
      <c r="F3429" t="s">
        <v>485</v>
      </c>
      <c r="G3429" t="s">
        <v>486</v>
      </c>
      <c r="H3429" t="s">
        <v>10255</v>
      </c>
      <c r="I3429">
        <v>268</v>
      </c>
      <c r="J3429">
        <v>244</v>
      </c>
      <c r="K3429">
        <v>0</v>
      </c>
      <c r="L3429">
        <v>0</v>
      </c>
      <c r="M3429">
        <v>24</v>
      </c>
      <c r="N3429">
        <v>1</v>
      </c>
      <c r="O3429">
        <v>0</v>
      </c>
    </row>
    <row r="3430" spans="1:15" x14ac:dyDescent="0.25">
      <c r="A3430" t="s">
        <v>1141</v>
      </c>
      <c r="B3430" t="s">
        <v>2642</v>
      </c>
      <c r="C3430" t="s">
        <v>927</v>
      </c>
      <c r="D3430" t="s">
        <v>3052</v>
      </c>
      <c r="E3430" t="s">
        <v>3053</v>
      </c>
      <c r="F3430" t="s">
        <v>485</v>
      </c>
      <c r="G3430" t="s">
        <v>486</v>
      </c>
      <c r="H3430" t="s">
        <v>5337</v>
      </c>
      <c r="I3430">
        <v>158</v>
      </c>
      <c r="J3430">
        <v>141</v>
      </c>
      <c r="K3430">
        <v>0</v>
      </c>
      <c r="L3430">
        <v>17</v>
      </c>
      <c r="M3430">
        <v>0</v>
      </c>
      <c r="N3430">
        <v>0</v>
      </c>
      <c r="O3430">
        <v>0</v>
      </c>
    </row>
    <row r="3431" spans="1:15" x14ac:dyDescent="0.25">
      <c r="A3431" t="s">
        <v>951</v>
      </c>
      <c r="B3431" t="s">
        <v>2680</v>
      </c>
      <c r="C3431" t="s">
        <v>927</v>
      </c>
      <c r="D3431" t="s">
        <v>3052</v>
      </c>
      <c r="E3431" t="s">
        <v>3053</v>
      </c>
      <c r="F3431" t="s">
        <v>485</v>
      </c>
      <c r="G3431" t="s">
        <v>486</v>
      </c>
      <c r="H3431" t="s">
        <v>5338</v>
      </c>
      <c r="I3431">
        <v>22</v>
      </c>
      <c r="J3431">
        <v>22</v>
      </c>
      <c r="K3431">
        <v>0</v>
      </c>
      <c r="L3431">
        <v>0</v>
      </c>
      <c r="M3431">
        <v>0</v>
      </c>
      <c r="N3431">
        <v>0</v>
      </c>
      <c r="O3431">
        <v>0</v>
      </c>
    </row>
    <row r="3432" spans="1:15" x14ac:dyDescent="0.25">
      <c r="A3432" t="s">
        <v>1048</v>
      </c>
      <c r="B3432" t="s">
        <v>2989</v>
      </c>
      <c r="C3432" t="s">
        <v>927</v>
      </c>
      <c r="D3432" t="s">
        <v>3052</v>
      </c>
      <c r="E3432" t="s">
        <v>3053</v>
      </c>
      <c r="F3432" t="s">
        <v>485</v>
      </c>
      <c r="G3432" t="s">
        <v>486</v>
      </c>
      <c r="H3432" t="s">
        <v>12052</v>
      </c>
      <c r="I3432">
        <v>66</v>
      </c>
      <c r="J3432">
        <v>31</v>
      </c>
      <c r="K3432">
        <v>0</v>
      </c>
      <c r="L3432">
        <v>35</v>
      </c>
      <c r="M3432">
        <v>0</v>
      </c>
      <c r="N3432">
        <v>0</v>
      </c>
      <c r="O3432">
        <v>0</v>
      </c>
    </row>
    <row r="3433" spans="1:15" x14ac:dyDescent="0.25">
      <c r="A3433" t="s">
        <v>1051</v>
      </c>
      <c r="B3433" t="s">
        <v>2995</v>
      </c>
      <c r="C3433" t="s">
        <v>927</v>
      </c>
      <c r="D3433" t="s">
        <v>3052</v>
      </c>
      <c r="E3433" t="s">
        <v>3053</v>
      </c>
      <c r="F3433" t="s">
        <v>485</v>
      </c>
      <c r="G3433" t="s">
        <v>486</v>
      </c>
      <c r="H3433" t="s">
        <v>5339</v>
      </c>
      <c r="I3433">
        <v>18</v>
      </c>
      <c r="J3433">
        <v>0</v>
      </c>
      <c r="K3433">
        <v>0</v>
      </c>
      <c r="L3433">
        <v>18</v>
      </c>
      <c r="M3433">
        <v>0</v>
      </c>
      <c r="N3433">
        <v>0</v>
      </c>
      <c r="O3433">
        <v>0</v>
      </c>
    </row>
    <row r="3434" spans="1:15" x14ac:dyDescent="0.25">
      <c r="A3434" t="s">
        <v>953</v>
      </c>
      <c r="B3434" t="s">
        <v>2014</v>
      </c>
      <c r="C3434" t="s">
        <v>927</v>
      </c>
      <c r="D3434" t="s">
        <v>3052</v>
      </c>
      <c r="E3434" t="s">
        <v>3053</v>
      </c>
      <c r="F3434" t="s">
        <v>485</v>
      </c>
      <c r="G3434" t="s">
        <v>486</v>
      </c>
      <c r="H3434" t="s">
        <v>14753</v>
      </c>
      <c r="I3434">
        <v>4</v>
      </c>
      <c r="J3434">
        <v>0</v>
      </c>
      <c r="K3434">
        <v>0</v>
      </c>
      <c r="L3434">
        <v>4</v>
      </c>
      <c r="M3434">
        <v>0</v>
      </c>
      <c r="N3434">
        <v>0</v>
      </c>
      <c r="O3434">
        <v>0</v>
      </c>
    </row>
    <row r="3435" spans="1:15" x14ac:dyDescent="0.25">
      <c r="A3435" t="s">
        <v>10809</v>
      </c>
      <c r="B3435" t="s">
        <v>10808</v>
      </c>
      <c r="C3435" t="s">
        <v>923</v>
      </c>
      <c r="D3435" t="s">
        <v>3063</v>
      </c>
      <c r="E3435" t="s">
        <v>3053</v>
      </c>
      <c r="F3435" t="s">
        <v>485</v>
      </c>
      <c r="G3435" t="s">
        <v>486</v>
      </c>
      <c r="H3435" t="s">
        <v>14754</v>
      </c>
      <c r="I3435">
        <v>1</v>
      </c>
      <c r="J3435">
        <v>1</v>
      </c>
      <c r="K3435">
        <v>0</v>
      </c>
      <c r="L3435">
        <v>0</v>
      </c>
      <c r="M3435">
        <v>0</v>
      </c>
      <c r="N3435">
        <v>0</v>
      </c>
      <c r="O3435">
        <v>0</v>
      </c>
    </row>
    <row r="3436" spans="1:15" x14ac:dyDescent="0.25">
      <c r="A3436" t="s">
        <v>1152</v>
      </c>
      <c r="B3436" t="s">
        <v>3031</v>
      </c>
      <c r="C3436" t="s">
        <v>927</v>
      </c>
      <c r="D3436" t="s">
        <v>3052</v>
      </c>
      <c r="E3436" t="s">
        <v>3053</v>
      </c>
      <c r="F3436" t="s">
        <v>485</v>
      </c>
      <c r="G3436" t="s">
        <v>486</v>
      </c>
      <c r="H3436" t="s">
        <v>5340</v>
      </c>
      <c r="I3436">
        <v>99</v>
      </c>
      <c r="J3436">
        <v>70</v>
      </c>
      <c r="K3436">
        <v>0</v>
      </c>
      <c r="L3436">
        <v>21</v>
      </c>
      <c r="M3436">
        <v>0</v>
      </c>
      <c r="N3436">
        <v>0</v>
      </c>
      <c r="O3436">
        <v>8</v>
      </c>
    </row>
    <row r="3437" spans="1:15" x14ac:dyDescent="0.25">
      <c r="A3437" t="s">
        <v>9788</v>
      </c>
      <c r="B3437" t="s">
        <v>9871</v>
      </c>
      <c r="C3437" t="s">
        <v>927</v>
      </c>
      <c r="D3437" t="s">
        <v>3052</v>
      </c>
      <c r="E3437" t="s">
        <v>3053</v>
      </c>
      <c r="F3437" t="s">
        <v>485</v>
      </c>
      <c r="G3437" t="s">
        <v>486</v>
      </c>
      <c r="H3437" t="s">
        <v>10352</v>
      </c>
      <c r="I3437">
        <v>22</v>
      </c>
      <c r="J3437">
        <v>22</v>
      </c>
      <c r="K3437">
        <v>0</v>
      </c>
      <c r="L3437">
        <v>0</v>
      </c>
      <c r="M3437">
        <v>0</v>
      </c>
      <c r="N3437">
        <v>0</v>
      </c>
      <c r="O3437">
        <v>0</v>
      </c>
    </row>
    <row r="3438" spans="1:15" x14ac:dyDescent="0.25">
      <c r="A3438" t="s">
        <v>1057</v>
      </c>
      <c r="B3438" t="s">
        <v>1972</v>
      </c>
      <c r="C3438" t="s">
        <v>927</v>
      </c>
      <c r="D3438" t="s">
        <v>3052</v>
      </c>
      <c r="E3438" t="s">
        <v>3053</v>
      </c>
      <c r="F3438" t="s">
        <v>485</v>
      </c>
      <c r="G3438" t="s">
        <v>486</v>
      </c>
      <c r="H3438" t="s">
        <v>5341</v>
      </c>
      <c r="I3438">
        <v>29</v>
      </c>
      <c r="J3438">
        <v>0</v>
      </c>
      <c r="K3438">
        <v>0</v>
      </c>
      <c r="L3438">
        <v>29</v>
      </c>
      <c r="M3438">
        <v>0</v>
      </c>
      <c r="N3438">
        <v>0</v>
      </c>
      <c r="O3438">
        <v>0</v>
      </c>
    </row>
    <row r="3439" spans="1:15" x14ac:dyDescent="0.25">
      <c r="A3439" t="s">
        <v>9795</v>
      </c>
      <c r="B3439" t="s">
        <v>1982</v>
      </c>
      <c r="C3439" t="s">
        <v>923</v>
      </c>
      <c r="D3439" t="s">
        <v>3063</v>
      </c>
      <c r="E3439" t="s">
        <v>3053</v>
      </c>
      <c r="F3439" t="s">
        <v>485</v>
      </c>
      <c r="G3439" t="s">
        <v>486</v>
      </c>
      <c r="H3439" t="s">
        <v>10416</v>
      </c>
      <c r="I3439">
        <v>32</v>
      </c>
      <c r="J3439">
        <v>0</v>
      </c>
      <c r="K3439">
        <v>0</v>
      </c>
      <c r="L3439">
        <v>32</v>
      </c>
      <c r="M3439">
        <v>0</v>
      </c>
      <c r="N3439">
        <v>0</v>
      </c>
      <c r="O3439">
        <v>0</v>
      </c>
    </row>
    <row r="3440" spans="1:15" x14ac:dyDescent="0.25">
      <c r="A3440" t="s">
        <v>14374</v>
      </c>
      <c r="B3440" t="s">
        <v>1943</v>
      </c>
      <c r="C3440" t="s">
        <v>927</v>
      </c>
      <c r="D3440" t="s">
        <v>3052</v>
      </c>
      <c r="E3440" t="s">
        <v>3053</v>
      </c>
      <c r="F3440" t="s">
        <v>485</v>
      </c>
      <c r="G3440" t="s">
        <v>486</v>
      </c>
      <c r="H3440" t="s">
        <v>14755</v>
      </c>
      <c r="I3440">
        <v>15</v>
      </c>
      <c r="J3440">
        <v>0</v>
      </c>
      <c r="K3440">
        <v>0</v>
      </c>
      <c r="L3440">
        <v>0</v>
      </c>
      <c r="M3440">
        <v>0</v>
      </c>
      <c r="N3440">
        <v>0</v>
      </c>
      <c r="O3440">
        <v>15</v>
      </c>
    </row>
    <row r="3441" spans="1:15" x14ac:dyDescent="0.25">
      <c r="A3441" t="s">
        <v>1066</v>
      </c>
      <c r="B3441" t="s">
        <v>2557</v>
      </c>
      <c r="C3441" t="s">
        <v>927</v>
      </c>
      <c r="D3441" t="s">
        <v>3052</v>
      </c>
      <c r="E3441" t="s">
        <v>3053</v>
      </c>
      <c r="F3441" t="s">
        <v>485</v>
      </c>
      <c r="G3441" t="s">
        <v>486</v>
      </c>
      <c r="H3441" t="s">
        <v>5342</v>
      </c>
      <c r="I3441">
        <v>9</v>
      </c>
      <c r="J3441">
        <v>0</v>
      </c>
      <c r="K3441">
        <v>0</v>
      </c>
      <c r="L3441">
        <v>0</v>
      </c>
      <c r="M3441">
        <v>9</v>
      </c>
      <c r="N3441">
        <v>0</v>
      </c>
      <c r="O3441">
        <v>0</v>
      </c>
    </row>
    <row r="3442" spans="1:15" x14ac:dyDescent="0.25">
      <c r="A3442" t="s">
        <v>1171</v>
      </c>
      <c r="B3442" t="s">
        <v>2286</v>
      </c>
      <c r="C3442" t="s">
        <v>923</v>
      </c>
      <c r="D3442" t="s">
        <v>3063</v>
      </c>
      <c r="E3442" t="s">
        <v>3053</v>
      </c>
      <c r="F3442" t="s">
        <v>485</v>
      </c>
      <c r="G3442" t="s">
        <v>486</v>
      </c>
      <c r="H3442" t="s">
        <v>5343</v>
      </c>
      <c r="I3442">
        <v>8</v>
      </c>
      <c r="J3442">
        <v>0</v>
      </c>
      <c r="K3442">
        <v>0</v>
      </c>
      <c r="L3442">
        <v>0</v>
      </c>
      <c r="M3442">
        <v>8</v>
      </c>
      <c r="N3442">
        <v>0</v>
      </c>
      <c r="O3442">
        <v>0</v>
      </c>
    </row>
    <row r="3443" spans="1:15" x14ac:dyDescent="0.25">
      <c r="A3443" t="s">
        <v>1193</v>
      </c>
      <c r="B3443" t="s">
        <v>2617</v>
      </c>
      <c r="C3443" t="s">
        <v>923</v>
      </c>
      <c r="D3443" t="s">
        <v>3063</v>
      </c>
      <c r="E3443" t="s">
        <v>3053</v>
      </c>
      <c r="F3443" t="s">
        <v>485</v>
      </c>
      <c r="G3443" t="s">
        <v>486</v>
      </c>
      <c r="H3443" t="s">
        <v>5344</v>
      </c>
      <c r="I3443">
        <v>29</v>
      </c>
      <c r="J3443">
        <v>0</v>
      </c>
      <c r="K3443">
        <v>0</v>
      </c>
      <c r="L3443">
        <v>29</v>
      </c>
      <c r="M3443">
        <v>0</v>
      </c>
      <c r="N3443">
        <v>0</v>
      </c>
      <c r="O3443">
        <v>0</v>
      </c>
    </row>
    <row r="3444" spans="1:15" x14ac:dyDescent="0.25">
      <c r="A3444" t="s">
        <v>1195</v>
      </c>
      <c r="B3444" t="s">
        <v>2924</v>
      </c>
      <c r="C3444" t="s">
        <v>927</v>
      </c>
      <c r="D3444" t="s">
        <v>3052</v>
      </c>
      <c r="E3444" t="s">
        <v>3053</v>
      </c>
      <c r="F3444" t="s">
        <v>487</v>
      </c>
      <c r="G3444" t="s">
        <v>488</v>
      </c>
      <c r="H3444" t="s">
        <v>5345</v>
      </c>
      <c r="I3444">
        <v>12</v>
      </c>
      <c r="J3444">
        <v>4</v>
      </c>
      <c r="K3444">
        <v>0</v>
      </c>
      <c r="L3444">
        <v>8</v>
      </c>
      <c r="M3444">
        <v>0</v>
      </c>
      <c r="N3444">
        <v>0</v>
      </c>
      <c r="O3444">
        <v>0</v>
      </c>
    </row>
    <row r="3445" spans="1:15" x14ac:dyDescent="0.25">
      <c r="A3445" t="s">
        <v>929</v>
      </c>
      <c r="B3445" t="s">
        <v>2999</v>
      </c>
      <c r="C3445" t="s">
        <v>927</v>
      </c>
      <c r="D3445" t="s">
        <v>3052</v>
      </c>
      <c r="E3445" t="s">
        <v>3053</v>
      </c>
      <c r="F3445" t="s">
        <v>487</v>
      </c>
      <c r="G3445" t="s">
        <v>488</v>
      </c>
      <c r="H3445" t="s">
        <v>5346</v>
      </c>
      <c r="I3445">
        <v>41</v>
      </c>
      <c r="J3445">
        <v>0</v>
      </c>
      <c r="K3445">
        <v>0</v>
      </c>
      <c r="L3445">
        <v>0</v>
      </c>
      <c r="M3445">
        <v>41</v>
      </c>
      <c r="N3445">
        <v>0</v>
      </c>
      <c r="O3445">
        <v>0</v>
      </c>
    </row>
    <row r="3446" spans="1:15" x14ac:dyDescent="0.25">
      <c r="A3446" t="s">
        <v>9784</v>
      </c>
      <c r="B3446" t="s">
        <v>1994</v>
      </c>
      <c r="C3446" t="s">
        <v>927</v>
      </c>
      <c r="D3446" t="s">
        <v>3052</v>
      </c>
      <c r="E3446" t="s">
        <v>3053</v>
      </c>
      <c r="F3446" t="s">
        <v>487</v>
      </c>
      <c r="G3446" t="s">
        <v>488</v>
      </c>
      <c r="H3446" t="s">
        <v>9947</v>
      </c>
      <c r="I3446">
        <v>9</v>
      </c>
      <c r="J3446">
        <v>0</v>
      </c>
      <c r="K3446">
        <v>0</v>
      </c>
      <c r="L3446">
        <v>9</v>
      </c>
      <c r="M3446">
        <v>0</v>
      </c>
      <c r="N3446">
        <v>0</v>
      </c>
      <c r="O3446">
        <v>0</v>
      </c>
    </row>
    <row r="3447" spans="1:15" x14ac:dyDescent="0.25">
      <c r="A3447" t="s">
        <v>1219</v>
      </c>
      <c r="B3447" t="s">
        <v>2569</v>
      </c>
      <c r="C3447" t="s">
        <v>923</v>
      </c>
      <c r="D3447" t="s">
        <v>3063</v>
      </c>
      <c r="E3447" t="s">
        <v>3053</v>
      </c>
      <c r="F3447" t="s">
        <v>487</v>
      </c>
      <c r="G3447" t="s">
        <v>488</v>
      </c>
      <c r="H3447" t="s">
        <v>5347</v>
      </c>
      <c r="I3447">
        <v>5</v>
      </c>
      <c r="J3447">
        <v>0</v>
      </c>
      <c r="K3447">
        <v>0</v>
      </c>
      <c r="L3447">
        <v>5</v>
      </c>
      <c r="M3447">
        <v>0</v>
      </c>
      <c r="N3447">
        <v>0</v>
      </c>
      <c r="O3447">
        <v>0</v>
      </c>
    </row>
    <row r="3448" spans="1:15" x14ac:dyDescent="0.25">
      <c r="A3448" t="s">
        <v>1220</v>
      </c>
      <c r="B3448" t="s">
        <v>1948</v>
      </c>
      <c r="C3448" t="s">
        <v>923</v>
      </c>
      <c r="D3448" t="s">
        <v>3063</v>
      </c>
      <c r="E3448" t="s">
        <v>3053</v>
      </c>
      <c r="F3448" t="s">
        <v>487</v>
      </c>
      <c r="G3448" t="s">
        <v>488</v>
      </c>
      <c r="H3448" t="s">
        <v>5348</v>
      </c>
      <c r="I3448">
        <v>83</v>
      </c>
      <c r="J3448">
        <v>0</v>
      </c>
      <c r="K3448">
        <v>69</v>
      </c>
      <c r="L3448">
        <v>14</v>
      </c>
      <c r="M3448">
        <v>0</v>
      </c>
      <c r="N3448">
        <v>1</v>
      </c>
      <c r="O3448">
        <v>0</v>
      </c>
    </row>
    <row r="3449" spans="1:15" x14ac:dyDescent="0.25">
      <c r="A3449" t="s">
        <v>1221</v>
      </c>
      <c r="B3449" t="s">
        <v>2838</v>
      </c>
      <c r="C3449" t="s">
        <v>923</v>
      </c>
      <c r="D3449" t="s">
        <v>3063</v>
      </c>
      <c r="E3449" t="s">
        <v>3053</v>
      </c>
      <c r="F3449" t="s">
        <v>487</v>
      </c>
      <c r="G3449" t="s">
        <v>488</v>
      </c>
      <c r="H3449" t="s">
        <v>5349</v>
      </c>
      <c r="I3449">
        <v>990</v>
      </c>
      <c r="J3449">
        <v>990</v>
      </c>
      <c r="K3449">
        <v>0</v>
      </c>
      <c r="L3449">
        <v>0</v>
      </c>
      <c r="M3449">
        <v>0</v>
      </c>
      <c r="N3449">
        <v>0</v>
      </c>
      <c r="O3449">
        <v>0</v>
      </c>
    </row>
    <row r="3450" spans="1:15" x14ac:dyDescent="0.25">
      <c r="A3450" t="s">
        <v>1102</v>
      </c>
      <c r="B3450" t="s">
        <v>2801</v>
      </c>
      <c r="C3450" t="s">
        <v>923</v>
      </c>
      <c r="D3450" t="s">
        <v>3063</v>
      </c>
      <c r="E3450" t="s">
        <v>3053</v>
      </c>
      <c r="F3450" t="s">
        <v>487</v>
      </c>
      <c r="G3450" t="s">
        <v>488</v>
      </c>
      <c r="H3450" t="s">
        <v>5350</v>
      </c>
      <c r="I3450">
        <v>36</v>
      </c>
      <c r="J3450">
        <v>36</v>
      </c>
      <c r="K3450">
        <v>0</v>
      </c>
      <c r="L3450">
        <v>0</v>
      </c>
      <c r="M3450">
        <v>0</v>
      </c>
      <c r="N3450">
        <v>0</v>
      </c>
      <c r="O3450">
        <v>0</v>
      </c>
    </row>
    <row r="3451" spans="1:15" x14ac:dyDescent="0.25">
      <c r="A3451" t="s">
        <v>1227</v>
      </c>
      <c r="B3451" t="s">
        <v>2023</v>
      </c>
      <c r="C3451" t="s">
        <v>923</v>
      </c>
      <c r="D3451" t="s">
        <v>3063</v>
      </c>
      <c r="E3451" t="s">
        <v>3053</v>
      </c>
      <c r="F3451" t="s">
        <v>487</v>
      </c>
      <c r="G3451" t="s">
        <v>488</v>
      </c>
      <c r="H3451" t="s">
        <v>10038</v>
      </c>
      <c r="I3451">
        <v>52</v>
      </c>
      <c r="J3451">
        <v>50</v>
      </c>
      <c r="K3451">
        <v>2</v>
      </c>
      <c r="L3451">
        <v>0</v>
      </c>
      <c r="M3451">
        <v>0</v>
      </c>
      <c r="N3451">
        <v>0</v>
      </c>
      <c r="O3451">
        <v>0</v>
      </c>
    </row>
    <row r="3452" spans="1:15" x14ac:dyDescent="0.25">
      <c r="A3452" t="s">
        <v>1234</v>
      </c>
      <c r="B3452" t="s">
        <v>2093</v>
      </c>
      <c r="C3452" t="s">
        <v>923</v>
      </c>
      <c r="D3452" t="s">
        <v>3063</v>
      </c>
      <c r="E3452" t="s">
        <v>3053</v>
      </c>
      <c r="F3452" t="s">
        <v>487</v>
      </c>
      <c r="G3452" t="s">
        <v>488</v>
      </c>
      <c r="H3452" t="s">
        <v>14756</v>
      </c>
      <c r="I3452">
        <v>28</v>
      </c>
      <c r="J3452">
        <v>28</v>
      </c>
      <c r="K3452">
        <v>0</v>
      </c>
      <c r="L3452">
        <v>0</v>
      </c>
      <c r="M3452">
        <v>0</v>
      </c>
      <c r="N3452">
        <v>0</v>
      </c>
      <c r="O3452">
        <v>0</v>
      </c>
    </row>
    <row r="3453" spans="1:15" x14ac:dyDescent="0.25">
      <c r="A3453" t="s">
        <v>1239</v>
      </c>
      <c r="B3453" t="s">
        <v>2990</v>
      </c>
      <c r="C3453" t="s">
        <v>923</v>
      </c>
      <c r="D3453" t="s">
        <v>3063</v>
      </c>
      <c r="E3453" t="s">
        <v>3053</v>
      </c>
      <c r="F3453" t="s">
        <v>487</v>
      </c>
      <c r="G3453" t="s">
        <v>488</v>
      </c>
      <c r="H3453" t="s">
        <v>5351</v>
      </c>
      <c r="I3453">
        <v>1</v>
      </c>
      <c r="J3453">
        <v>1</v>
      </c>
      <c r="K3453">
        <v>0</v>
      </c>
      <c r="L3453">
        <v>0</v>
      </c>
      <c r="M3453">
        <v>0</v>
      </c>
      <c r="N3453">
        <v>0</v>
      </c>
      <c r="O3453">
        <v>0</v>
      </c>
    </row>
    <row r="3454" spans="1:15" x14ac:dyDescent="0.25">
      <c r="A3454" t="s">
        <v>1416</v>
      </c>
      <c r="B3454" t="s">
        <v>2029</v>
      </c>
      <c r="C3454" t="s">
        <v>923</v>
      </c>
      <c r="D3454" t="s">
        <v>3063</v>
      </c>
      <c r="E3454" t="s">
        <v>3053</v>
      </c>
      <c r="F3454" t="s">
        <v>487</v>
      </c>
      <c r="G3454" t="s">
        <v>488</v>
      </c>
      <c r="H3454" t="s">
        <v>12053</v>
      </c>
      <c r="I3454">
        <v>6</v>
      </c>
      <c r="J3454">
        <v>0</v>
      </c>
      <c r="K3454">
        <v>0</v>
      </c>
      <c r="L3454">
        <v>6</v>
      </c>
      <c r="M3454">
        <v>0</v>
      </c>
      <c r="N3454">
        <v>0</v>
      </c>
      <c r="O3454">
        <v>0</v>
      </c>
    </row>
    <row r="3455" spans="1:15" x14ac:dyDescent="0.25">
      <c r="A3455" t="s">
        <v>10638</v>
      </c>
      <c r="B3455" t="s">
        <v>2057</v>
      </c>
      <c r="C3455" t="s">
        <v>927</v>
      </c>
      <c r="D3455" t="s">
        <v>3052</v>
      </c>
      <c r="E3455" t="s">
        <v>3053</v>
      </c>
      <c r="F3455" t="s">
        <v>487</v>
      </c>
      <c r="G3455" t="s">
        <v>488</v>
      </c>
      <c r="H3455" t="s">
        <v>11051</v>
      </c>
      <c r="I3455">
        <v>1</v>
      </c>
      <c r="J3455">
        <v>0</v>
      </c>
      <c r="K3455">
        <v>0</v>
      </c>
      <c r="L3455">
        <v>1</v>
      </c>
      <c r="M3455">
        <v>0</v>
      </c>
      <c r="N3455">
        <v>0</v>
      </c>
      <c r="O3455">
        <v>0</v>
      </c>
    </row>
    <row r="3456" spans="1:15" x14ac:dyDescent="0.25">
      <c r="A3456" t="s">
        <v>1254</v>
      </c>
      <c r="B3456" t="s">
        <v>2667</v>
      </c>
      <c r="C3456" t="s">
        <v>923</v>
      </c>
      <c r="D3456" t="s">
        <v>3063</v>
      </c>
      <c r="E3456" t="s">
        <v>3053</v>
      </c>
      <c r="F3456" t="s">
        <v>487</v>
      </c>
      <c r="G3456" t="s">
        <v>488</v>
      </c>
      <c r="H3456" t="s">
        <v>5352</v>
      </c>
      <c r="I3456">
        <v>17</v>
      </c>
      <c r="J3456">
        <v>17</v>
      </c>
      <c r="K3456">
        <v>0</v>
      </c>
      <c r="L3456">
        <v>0</v>
      </c>
      <c r="M3456">
        <v>0</v>
      </c>
      <c r="N3456">
        <v>0</v>
      </c>
      <c r="O3456">
        <v>0</v>
      </c>
    </row>
    <row r="3457" spans="1:15" x14ac:dyDescent="0.25">
      <c r="A3457" t="s">
        <v>1008</v>
      </c>
      <c r="B3457" t="s">
        <v>2928</v>
      </c>
      <c r="C3457" t="s">
        <v>927</v>
      </c>
      <c r="D3457" t="s">
        <v>3052</v>
      </c>
      <c r="E3457" t="s">
        <v>3053</v>
      </c>
      <c r="F3457" t="s">
        <v>487</v>
      </c>
      <c r="G3457" t="s">
        <v>488</v>
      </c>
      <c r="H3457" t="s">
        <v>5353</v>
      </c>
      <c r="I3457">
        <v>1</v>
      </c>
      <c r="J3457">
        <v>1</v>
      </c>
      <c r="K3457">
        <v>0</v>
      </c>
      <c r="L3457">
        <v>0</v>
      </c>
      <c r="M3457">
        <v>0</v>
      </c>
      <c r="N3457">
        <v>0</v>
      </c>
      <c r="O3457">
        <v>0</v>
      </c>
    </row>
    <row r="3458" spans="1:15" x14ac:dyDescent="0.25">
      <c r="A3458" t="s">
        <v>1264</v>
      </c>
      <c r="B3458" t="s">
        <v>2749</v>
      </c>
      <c r="C3458" t="s">
        <v>927</v>
      </c>
      <c r="D3458" t="s">
        <v>3052</v>
      </c>
      <c r="E3458" t="s">
        <v>3053</v>
      </c>
      <c r="F3458" t="s">
        <v>487</v>
      </c>
      <c r="G3458" t="s">
        <v>488</v>
      </c>
      <c r="H3458" t="s">
        <v>5354</v>
      </c>
      <c r="I3458">
        <v>518</v>
      </c>
      <c r="J3458">
        <v>500</v>
      </c>
      <c r="K3458">
        <v>0</v>
      </c>
      <c r="L3458">
        <v>8</v>
      </c>
      <c r="M3458">
        <v>0</v>
      </c>
      <c r="N3458">
        <v>0</v>
      </c>
      <c r="O3458">
        <v>10</v>
      </c>
    </row>
    <row r="3459" spans="1:15" x14ac:dyDescent="0.25">
      <c r="A3459" t="s">
        <v>938</v>
      </c>
      <c r="B3459" t="s">
        <v>2791</v>
      </c>
      <c r="C3459" t="s">
        <v>927</v>
      </c>
      <c r="D3459" t="s">
        <v>3052</v>
      </c>
      <c r="E3459" t="s">
        <v>3053</v>
      </c>
      <c r="F3459" t="s">
        <v>487</v>
      </c>
      <c r="G3459" t="s">
        <v>488</v>
      </c>
      <c r="H3459" t="s">
        <v>5355</v>
      </c>
      <c r="I3459">
        <v>66</v>
      </c>
      <c r="J3459">
        <v>39</v>
      </c>
      <c r="K3459">
        <v>0</v>
      </c>
      <c r="L3459">
        <v>0</v>
      </c>
      <c r="M3459">
        <v>0</v>
      </c>
      <c r="N3459">
        <v>0</v>
      </c>
      <c r="O3459">
        <v>27</v>
      </c>
    </row>
    <row r="3460" spans="1:15" x14ac:dyDescent="0.25">
      <c r="A3460" t="s">
        <v>1273</v>
      </c>
      <c r="B3460" t="s">
        <v>2709</v>
      </c>
      <c r="C3460" t="s">
        <v>923</v>
      </c>
      <c r="D3460" t="s">
        <v>3063</v>
      </c>
      <c r="E3460" t="s">
        <v>3053</v>
      </c>
      <c r="F3460" t="s">
        <v>487</v>
      </c>
      <c r="G3460" t="s">
        <v>488</v>
      </c>
      <c r="H3460" t="s">
        <v>5356</v>
      </c>
      <c r="I3460">
        <v>175</v>
      </c>
      <c r="J3460">
        <v>164</v>
      </c>
      <c r="K3460">
        <v>2</v>
      </c>
      <c r="L3460">
        <v>9</v>
      </c>
      <c r="M3460">
        <v>0</v>
      </c>
      <c r="N3460">
        <v>6</v>
      </c>
      <c r="O3460">
        <v>0</v>
      </c>
    </row>
    <row r="3461" spans="1:15" x14ac:dyDescent="0.25">
      <c r="A3461" t="s">
        <v>1274</v>
      </c>
      <c r="B3461" t="s">
        <v>2159</v>
      </c>
      <c r="C3461" t="s">
        <v>923</v>
      </c>
      <c r="D3461" t="s">
        <v>3063</v>
      </c>
      <c r="E3461" t="s">
        <v>3053</v>
      </c>
      <c r="F3461" t="s">
        <v>487</v>
      </c>
      <c r="G3461" t="s">
        <v>488</v>
      </c>
      <c r="H3461" t="s">
        <v>12054</v>
      </c>
      <c r="I3461">
        <v>34</v>
      </c>
      <c r="J3461">
        <v>0</v>
      </c>
      <c r="K3461">
        <v>0</v>
      </c>
      <c r="L3461">
        <v>0</v>
      </c>
      <c r="M3461">
        <v>34</v>
      </c>
      <c r="N3461">
        <v>0</v>
      </c>
      <c r="O3461">
        <v>0</v>
      </c>
    </row>
    <row r="3462" spans="1:15" x14ac:dyDescent="0.25">
      <c r="A3462" t="s">
        <v>1012</v>
      </c>
      <c r="B3462" t="s">
        <v>2911</v>
      </c>
      <c r="C3462" t="s">
        <v>927</v>
      </c>
      <c r="D3462" t="s">
        <v>3052</v>
      </c>
      <c r="E3462" t="s">
        <v>3053</v>
      </c>
      <c r="F3462" t="s">
        <v>487</v>
      </c>
      <c r="G3462" t="s">
        <v>488</v>
      </c>
      <c r="H3462" t="s">
        <v>5357</v>
      </c>
      <c r="I3462">
        <v>2416</v>
      </c>
      <c r="J3462">
        <v>2089</v>
      </c>
      <c r="K3462">
        <v>63</v>
      </c>
      <c r="L3462">
        <v>58</v>
      </c>
      <c r="M3462">
        <v>11</v>
      </c>
      <c r="N3462">
        <v>64</v>
      </c>
      <c r="O3462">
        <v>195</v>
      </c>
    </row>
    <row r="3463" spans="1:15" x14ac:dyDescent="0.25">
      <c r="A3463" t="s">
        <v>1013</v>
      </c>
      <c r="B3463" t="s">
        <v>1959</v>
      </c>
      <c r="C3463" t="s">
        <v>927</v>
      </c>
      <c r="D3463" t="s">
        <v>3052</v>
      </c>
      <c r="E3463" t="s">
        <v>3053</v>
      </c>
      <c r="F3463" t="s">
        <v>487</v>
      </c>
      <c r="G3463" t="s">
        <v>488</v>
      </c>
      <c r="H3463" t="s">
        <v>11052</v>
      </c>
      <c r="I3463">
        <v>4</v>
      </c>
      <c r="J3463">
        <v>0</v>
      </c>
      <c r="K3463">
        <v>0</v>
      </c>
      <c r="L3463">
        <v>4</v>
      </c>
      <c r="M3463">
        <v>0</v>
      </c>
      <c r="N3463">
        <v>0</v>
      </c>
      <c r="O3463">
        <v>0</v>
      </c>
    </row>
    <row r="3464" spans="1:15" x14ac:dyDescent="0.25">
      <c r="A3464" t="s">
        <v>1018</v>
      </c>
      <c r="B3464" t="s">
        <v>1980</v>
      </c>
      <c r="C3464" t="s">
        <v>923</v>
      </c>
      <c r="D3464" t="s">
        <v>3063</v>
      </c>
      <c r="E3464" t="s">
        <v>3053</v>
      </c>
      <c r="F3464" t="s">
        <v>487</v>
      </c>
      <c r="G3464" t="s">
        <v>488</v>
      </c>
      <c r="H3464" t="s">
        <v>5358</v>
      </c>
      <c r="I3464">
        <v>10</v>
      </c>
      <c r="J3464">
        <v>0</v>
      </c>
      <c r="K3464">
        <v>0</v>
      </c>
      <c r="L3464">
        <v>10</v>
      </c>
      <c r="M3464">
        <v>0</v>
      </c>
      <c r="N3464">
        <v>0</v>
      </c>
      <c r="O3464">
        <v>0</v>
      </c>
    </row>
    <row r="3465" spans="1:15" x14ac:dyDescent="0.25">
      <c r="A3465" t="s">
        <v>1127</v>
      </c>
      <c r="B3465" t="s">
        <v>3034</v>
      </c>
      <c r="C3465" t="s">
        <v>927</v>
      </c>
      <c r="D3465" t="s">
        <v>3052</v>
      </c>
      <c r="E3465" t="s">
        <v>3053</v>
      </c>
      <c r="F3465" t="s">
        <v>487</v>
      </c>
      <c r="G3465" t="s">
        <v>488</v>
      </c>
      <c r="H3465" t="s">
        <v>5359</v>
      </c>
      <c r="I3465">
        <v>4</v>
      </c>
      <c r="J3465">
        <v>4</v>
      </c>
      <c r="K3465">
        <v>0</v>
      </c>
      <c r="L3465">
        <v>0</v>
      </c>
      <c r="M3465">
        <v>0</v>
      </c>
      <c r="N3465">
        <v>0</v>
      </c>
      <c r="O3465">
        <v>0</v>
      </c>
    </row>
    <row r="3466" spans="1:15" x14ac:dyDescent="0.25">
      <c r="A3466" t="s">
        <v>1025</v>
      </c>
      <c r="B3466" t="s">
        <v>2893</v>
      </c>
      <c r="C3466" t="s">
        <v>927</v>
      </c>
      <c r="D3466" t="s">
        <v>3052</v>
      </c>
      <c r="E3466" t="s">
        <v>3053</v>
      </c>
      <c r="F3466" t="s">
        <v>487</v>
      </c>
      <c r="G3466" t="s">
        <v>488</v>
      </c>
      <c r="H3466" t="s">
        <v>5360</v>
      </c>
      <c r="I3466">
        <v>5690</v>
      </c>
      <c r="J3466">
        <v>4133</v>
      </c>
      <c r="K3466">
        <v>0</v>
      </c>
      <c r="L3466">
        <v>141</v>
      </c>
      <c r="M3466">
        <v>215</v>
      </c>
      <c r="N3466">
        <v>20</v>
      </c>
      <c r="O3466">
        <v>1201</v>
      </c>
    </row>
    <row r="3467" spans="1:15" x14ac:dyDescent="0.25">
      <c r="A3467" t="s">
        <v>10681</v>
      </c>
      <c r="B3467" t="s">
        <v>10680</v>
      </c>
      <c r="C3467" t="s">
        <v>927</v>
      </c>
      <c r="D3467" t="s">
        <v>3052</v>
      </c>
      <c r="E3467" t="s">
        <v>3053</v>
      </c>
      <c r="F3467" t="s">
        <v>487</v>
      </c>
      <c r="G3467" t="s">
        <v>488</v>
      </c>
      <c r="H3467" t="s">
        <v>14757</v>
      </c>
      <c r="I3467">
        <v>40</v>
      </c>
      <c r="J3467">
        <v>0</v>
      </c>
      <c r="K3467">
        <v>0</v>
      </c>
      <c r="L3467">
        <v>0</v>
      </c>
      <c r="M3467">
        <v>0</v>
      </c>
      <c r="N3467">
        <v>0</v>
      </c>
      <c r="O3467">
        <v>40</v>
      </c>
    </row>
    <row r="3468" spans="1:15" x14ac:dyDescent="0.25">
      <c r="A3468" t="s">
        <v>945</v>
      </c>
      <c r="B3468" t="s">
        <v>2668</v>
      </c>
      <c r="C3468" t="s">
        <v>927</v>
      </c>
      <c r="D3468" t="s">
        <v>3052</v>
      </c>
      <c r="E3468" t="s">
        <v>3053</v>
      </c>
      <c r="F3468" t="s">
        <v>487</v>
      </c>
      <c r="G3468" t="s">
        <v>488</v>
      </c>
      <c r="H3468" t="s">
        <v>5361</v>
      </c>
      <c r="I3468">
        <v>832</v>
      </c>
      <c r="J3468">
        <v>458</v>
      </c>
      <c r="K3468">
        <v>0</v>
      </c>
      <c r="L3468">
        <v>0</v>
      </c>
      <c r="M3468">
        <v>43</v>
      </c>
      <c r="N3468">
        <v>0</v>
      </c>
      <c r="O3468">
        <v>331</v>
      </c>
    </row>
    <row r="3469" spans="1:15" x14ac:dyDescent="0.25">
      <c r="A3469" t="s">
        <v>1305</v>
      </c>
      <c r="B3469" t="s">
        <v>2992</v>
      </c>
      <c r="C3469" t="s">
        <v>923</v>
      </c>
      <c r="D3469" t="s">
        <v>3063</v>
      </c>
      <c r="E3469" t="s">
        <v>3053</v>
      </c>
      <c r="F3469" t="s">
        <v>487</v>
      </c>
      <c r="G3469" t="s">
        <v>488</v>
      </c>
      <c r="H3469" t="s">
        <v>5362</v>
      </c>
      <c r="I3469">
        <v>68</v>
      </c>
      <c r="J3469">
        <v>55</v>
      </c>
      <c r="K3469">
        <v>0</v>
      </c>
      <c r="L3469">
        <v>0</v>
      </c>
      <c r="M3469">
        <v>13</v>
      </c>
      <c r="N3469">
        <v>0</v>
      </c>
      <c r="O3469">
        <v>0</v>
      </c>
    </row>
    <row r="3470" spans="1:15" x14ac:dyDescent="0.25">
      <c r="A3470" t="s">
        <v>1134</v>
      </c>
      <c r="B3470" t="s">
        <v>2118</v>
      </c>
      <c r="C3470" t="s">
        <v>927</v>
      </c>
      <c r="D3470" t="s">
        <v>3052</v>
      </c>
      <c r="E3470" t="s">
        <v>3053</v>
      </c>
      <c r="F3470" t="s">
        <v>487</v>
      </c>
      <c r="G3470" t="s">
        <v>488</v>
      </c>
      <c r="H3470" t="s">
        <v>5363</v>
      </c>
      <c r="I3470">
        <v>51</v>
      </c>
      <c r="J3470">
        <v>37</v>
      </c>
      <c r="K3470">
        <v>0</v>
      </c>
      <c r="L3470">
        <v>0</v>
      </c>
      <c r="M3470">
        <v>0</v>
      </c>
      <c r="N3470">
        <v>0</v>
      </c>
      <c r="O3470">
        <v>14</v>
      </c>
    </row>
    <row r="3471" spans="1:15" x14ac:dyDescent="0.25">
      <c r="A3471" t="s">
        <v>949</v>
      </c>
      <c r="B3471" t="s">
        <v>3035</v>
      </c>
      <c r="C3471" t="s">
        <v>927</v>
      </c>
      <c r="D3471" t="s">
        <v>3052</v>
      </c>
      <c r="E3471" t="s">
        <v>3053</v>
      </c>
      <c r="F3471" t="s">
        <v>487</v>
      </c>
      <c r="G3471" t="s">
        <v>488</v>
      </c>
      <c r="H3471" t="s">
        <v>5364</v>
      </c>
      <c r="I3471">
        <v>61</v>
      </c>
      <c r="J3471">
        <v>0</v>
      </c>
      <c r="K3471">
        <v>0</v>
      </c>
      <c r="L3471">
        <v>0</v>
      </c>
      <c r="M3471">
        <v>0</v>
      </c>
      <c r="N3471">
        <v>0</v>
      </c>
      <c r="O3471">
        <v>61</v>
      </c>
    </row>
    <row r="3472" spans="1:15" x14ac:dyDescent="0.25">
      <c r="A3472" t="s">
        <v>1041</v>
      </c>
      <c r="B3472" t="s">
        <v>2826</v>
      </c>
      <c r="C3472" t="s">
        <v>927</v>
      </c>
      <c r="D3472" t="s">
        <v>3052</v>
      </c>
      <c r="E3472" t="s">
        <v>3053</v>
      </c>
      <c r="F3472" t="s">
        <v>487</v>
      </c>
      <c r="G3472" t="s">
        <v>488</v>
      </c>
      <c r="H3472" t="s">
        <v>5365</v>
      </c>
      <c r="I3472">
        <v>1</v>
      </c>
      <c r="J3472">
        <v>0</v>
      </c>
      <c r="K3472">
        <v>0</v>
      </c>
      <c r="L3472">
        <v>0</v>
      </c>
      <c r="M3472">
        <v>0</v>
      </c>
      <c r="N3472">
        <v>0</v>
      </c>
      <c r="O3472">
        <v>1</v>
      </c>
    </row>
    <row r="3473" spans="1:15" x14ac:dyDescent="0.25">
      <c r="A3473" t="s">
        <v>1043</v>
      </c>
      <c r="B3473" t="s">
        <v>2090</v>
      </c>
      <c r="C3473" t="s">
        <v>927</v>
      </c>
      <c r="D3473" t="s">
        <v>3052</v>
      </c>
      <c r="E3473" t="s">
        <v>3053</v>
      </c>
      <c r="F3473" t="s">
        <v>487</v>
      </c>
      <c r="G3473" t="s">
        <v>488</v>
      </c>
      <c r="H3473" t="s">
        <v>5366</v>
      </c>
      <c r="I3473">
        <v>1006</v>
      </c>
      <c r="J3473">
        <v>807</v>
      </c>
      <c r="K3473">
        <v>0</v>
      </c>
      <c r="L3473">
        <v>8</v>
      </c>
      <c r="M3473">
        <v>31</v>
      </c>
      <c r="N3473">
        <v>0</v>
      </c>
      <c r="O3473">
        <v>160</v>
      </c>
    </row>
    <row r="3474" spans="1:15" x14ac:dyDescent="0.25">
      <c r="A3474" t="s">
        <v>1044</v>
      </c>
      <c r="B3474" t="s">
        <v>2000</v>
      </c>
      <c r="C3474" t="s">
        <v>923</v>
      </c>
      <c r="D3474" t="s">
        <v>3063</v>
      </c>
      <c r="E3474" t="s">
        <v>3053</v>
      </c>
      <c r="F3474" t="s">
        <v>487</v>
      </c>
      <c r="G3474" t="s">
        <v>488</v>
      </c>
      <c r="H3474" t="s">
        <v>5367</v>
      </c>
      <c r="I3474">
        <v>9</v>
      </c>
      <c r="J3474">
        <v>0</v>
      </c>
      <c r="K3474">
        <v>0</v>
      </c>
      <c r="L3474">
        <v>9</v>
      </c>
      <c r="M3474">
        <v>0</v>
      </c>
      <c r="N3474">
        <v>0</v>
      </c>
      <c r="O3474">
        <v>0</v>
      </c>
    </row>
    <row r="3475" spans="1:15" x14ac:dyDescent="0.25">
      <c r="A3475" t="s">
        <v>1146</v>
      </c>
      <c r="B3475" t="s">
        <v>2117</v>
      </c>
      <c r="C3475" t="s">
        <v>927</v>
      </c>
      <c r="D3475" t="s">
        <v>3052</v>
      </c>
      <c r="E3475" t="s">
        <v>3053</v>
      </c>
      <c r="F3475" t="s">
        <v>487</v>
      </c>
      <c r="G3475" t="s">
        <v>488</v>
      </c>
      <c r="H3475" t="s">
        <v>5368</v>
      </c>
      <c r="I3475">
        <v>3339</v>
      </c>
      <c r="J3475">
        <v>2852</v>
      </c>
      <c r="K3475">
        <v>0</v>
      </c>
      <c r="L3475">
        <v>66</v>
      </c>
      <c r="M3475">
        <v>58</v>
      </c>
      <c r="N3475">
        <v>3</v>
      </c>
      <c r="O3475">
        <v>363</v>
      </c>
    </row>
    <row r="3476" spans="1:15" x14ac:dyDescent="0.25">
      <c r="A3476" t="s">
        <v>1319</v>
      </c>
      <c r="B3476" t="s">
        <v>2228</v>
      </c>
      <c r="C3476" t="s">
        <v>923</v>
      </c>
      <c r="D3476" t="s">
        <v>3063</v>
      </c>
      <c r="E3476" t="s">
        <v>3053</v>
      </c>
      <c r="F3476" t="s">
        <v>487</v>
      </c>
      <c r="G3476" t="s">
        <v>488</v>
      </c>
      <c r="H3476" t="s">
        <v>5369</v>
      </c>
      <c r="I3476">
        <v>10</v>
      </c>
      <c r="J3476">
        <v>0</v>
      </c>
      <c r="K3476">
        <v>0</v>
      </c>
      <c r="L3476">
        <v>0</v>
      </c>
      <c r="M3476">
        <v>10</v>
      </c>
      <c r="N3476">
        <v>0</v>
      </c>
      <c r="O3476">
        <v>0</v>
      </c>
    </row>
    <row r="3477" spans="1:15" x14ac:dyDescent="0.25">
      <c r="A3477" t="s">
        <v>1906</v>
      </c>
      <c r="B3477" t="s">
        <v>1983</v>
      </c>
      <c r="C3477" t="s">
        <v>923</v>
      </c>
      <c r="D3477" t="s">
        <v>3063</v>
      </c>
      <c r="E3477" t="s">
        <v>3053</v>
      </c>
      <c r="F3477" t="s">
        <v>487</v>
      </c>
      <c r="G3477" t="s">
        <v>488</v>
      </c>
      <c r="H3477" t="s">
        <v>12055</v>
      </c>
      <c r="I3477">
        <v>173</v>
      </c>
      <c r="J3477">
        <v>173</v>
      </c>
      <c r="K3477">
        <v>0</v>
      </c>
      <c r="L3477">
        <v>0</v>
      </c>
      <c r="M3477">
        <v>0</v>
      </c>
      <c r="N3477">
        <v>0</v>
      </c>
      <c r="O3477">
        <v>0</v>
      </c>
    </row>
    <row r="3478" spans="1:15" x14ac:dyDescent="0.25">
      <c r="A3478" t="s">
        <v>953</v>
      </c>
      <c r="B3478" t="s">
        <v>2014</v>
      </c>
      <c r="C3478" t="s">
        <v>927</v>
      </c>
      <c r="D3478" t="s">
        <v>3052</v>
      </c>
      <c r="E3478" t="s">
        <v>3053</v>
      </c>
      <c r="F3478" t="s">
        <v>487</v>
      </c>
      <c r="G3478" t="s">
        <v>488</v>
      </c>
      <c r="H3478" t="s">
        <v>5370</v>
      </c>
      <c r="I3478">
        <v>16</v>
      </c>
      <c r="J3478">
        <v>0</v>
      </c>
      <c r="K3478">
        <v>0</v>
      </c>
      <c r="L3478">
        <v>16</v>
      </c>
      <c r="M3478">
        <v>0</v>
      </c>
      <c r="N3478">
        <v>0</v>
      </c>
      <c r="O3478">
        <v>0</v>
      </c>
    </row>
    <row r="3479" spans="1:15" x14ac:dyDescent="0.25">
      <c r="A3479" t="s">
        <v>10809</v>
      </c>
      <c r="B3479" t="s">
        <v>10808</v>
      </c>
      <c r="C3479" t="s">
        <v>923</v>
      </c>
      <c r="D3479" t="s">
        <v>3063</v>
      </c>
      <c r="E3479" t="s">
        <v>3053</v>
      </c>
      <c r="F3479" t="s">
        <v>487</v>
      </c>
      <c r="G3479" t="s">
        <v>488</v>
      </c>
      <c r="H3479" t="s">
        <v>14758</v>
      </c>
      <c r="I3479">
        <v>1</v>
      </c>
      <c r="J3479">
        <v>1</v>
      </c>
      <c r="K3479">
        <v>0</v>
      </c>
      <c r="L3479">
        <v>0</v>
      </c>
      <c r="M3479">
        <v>0</v>
      </c>
      <c r="N3479">
        <v>0</v>
      </c>
      <c r="O3479">
        <v>0</v>
      </c>
    </row>
    <row r="3480" spans="1:15" x14ac:dyDescent="0.25">
      <c r="A3480" t="s">
        <v>955</v>
      </c>
      <c r="B3480" t="s">
        <v>2660</v>
      </c>
      <c r="C3480" t="s">
        <v>927</v>
      </c>
      <c r="D3480" t="s">
        <v>3052</v>
      </c>
      <c r="E3480" t="s">
        <v>3053</v>
      </c>
      <c r="F3480" t="s">
        <v>487</v>
      </c>
      <c r="G3480" t="s">
        <v>488</v>
      </c>
      <c r="H3480" t="s">
        <v>5371</v>
      </c>
      <c r="I3480">
        <v>43</v>
      </c>
      <c r="J3480">
        <v>0</v>
      </c>
      <c r="K3480">
        <v>0</v>
      </c>
      <c r="L3480">
        <v>43</v>
      </c>
      <c r="M3480">
        <v>0</v>
      </c>
      <c r="N3480">
        <v>0</v>
      </c>
      <c r="O3480">
        <v>0</v>
      </c>
    </row>
    <row r="3481" spans="1:15" x14ac:dyDescent="0.25">
      <c r="A3481" t="s">
        <v>1155</v>
      </c>
      <c r="B3481" t="s">
        <v>2912</v>
      </c>
      <c r="C3481" t="s">
        <v>927</v>
      </c>
      <c r="D3481" t="s">
        <v>3052</v>
      </c>
      <c r="E3481" t="s">
        <v>3053</v>
      </c>
      <c r="F3481" t="s">
        <v>487</v>
      </c>
      <c r="G3481" t="s">
        <v>488</v>
      </c>
      <c r="H3481" t="s">
        <v>5372</v>
      </c>
      <c r="I3481">
        <v>1</v>
      </c>
      <c r="J3481">
        <v>0</v>
      </c>
      <c r="K3481">
        <v>0</v>
      </c>
      <c r="L3481">
        <v>0</v>
      </c>
      <c r="M3481">
        <v>0</v>
      </c>
      <c r="N3481">
        <v>0</v>
      </c>
      <c r="O3481">
        <v>1</v>
      </c>
    </row>
    <row r="3482" spans="1:15" x14ac:dyDescent="0.25">
      <c r="A3482" t="s">
        <v>11663</v>
      </c>
      <c r="B3482" t="s">
        <v>11768</v>
      </c>
      <c r="C3482" t="s">
        <v>927</v>
      </c>
      <c r="D3482" t="s">
        <v>3052</v>
      </c>
      <c r="E3482" t="s">
        <v>3053</v>
      </c>
      <c r="F3482" t="s">
        <v>487</v>
      </c>
      <c r="G3482" t="s">
        <v>488</v>
      </c>
      <c r="H3482" t="s">
        <v>12056</v>
      </c>
      <c r="I3482">
        <v>1934</v>
      </c>
      <c r="J3482">
        <v>1050</v>
      </c>
      <c r="K3482">
        <v>0</v>
      </c>
      <c r="L3482">
        <v>0</v>
      </c>
      <c r="M3482">
        <v>402</v>
      </c>
      <c r="N3482">
        <v>1</v>
      </c>
      <c r="O3482">
        <v>482</v>
      </c>
    </row>
    <row r="3483" spans="1:15" x14ac:dyDescent="0.25">
      <c r="A3483" t="s">
        <v>1160</v>
      </c>
      <c r="B3483" t="s">
        <v>2863</v>
      </c>
      <c r="C3483" t="s">
        <v>923</v>
      </c>
      <c r="D3483" t="s">
        <v>3063</v>
      </c>
      <c r="E3483" t="s">
        <v>3053</v>
      </c>
      <c r="F3483" t="s">
        <v>487</v>
      </c>
      <c r="G3483" t="s">
        <v>488</v>
      </c>
      <c r="H3483" t="s">
        <v>5373</v>
      </c>
      <c r="I3483">
        <v>13</v>
      </c>
      <c r="J3483">
        <v>13</v>
      </c>
      <c r="K3483">
        <v>0</v>
      </c>
      <c r="L3483">
        <v>0</v>
      </c>
      <c r="M3483">
        <v>0</v>
      </c>
      <c r="N3483">
        <v>0</v>
      </c>
      <c r="O3483">
        <v>0</v>
      </c>
    </row>
    <row r="3484" spans="1:15" x14ac:dyDescent="0.25">
      <c r="A3484" t="s">
        <v>1362</v>
      </c>
      <c r="B3484" t="s">
        <v>2298</v>
      </c>
      <c r="C3484" t="s">
        <v>923</v>
      </c>
      <c r="D3484" t="s">
        <v>3063</v>
      </c>
      <c r="E3484" t="s">
        <v>3053</v>
      </c>
      <c r="F3484" t="s">
        <v>487</v>
      </c>
      <c r="G3484" t="s">
        <v>488</v>
      </c>
      <c r="H3484" t="s">
        <v>5374</v>
      </c>
      <c r="I3484">
        <v>172</v>
      </c>
      <c r="J3484">
        <v>0</v>
      </c>
      <c r="K3484">
        <v>0</v>
      </c>
      <c r="L3484">
        <v>0</v>
      </c>
      <c r="M3484">
        <v>172</v>
      </c>
      <c r="N3484">
        <v>48</v>
      </c>
      <c r="O3484">
        <v>0</v>
      </c>
    </row>
    <row r="3485" spans="1:15" x14ac:dyDescent="0.25">
      <c r="A3485" t="s">
        <v>1072</v>
      </c>
      <c r="B3485" t="s">
        <v>2907</v>
      </c>
      <c r="C3485" t="s">
        <v>927</v>
      </c>
      <c r="D3485" t="s">
        <v>3052</v>
      </c>
      <c r="E3485" t="s">
        <v>3053</v>
      </c>
      <c r="F3485" t="s">
        <v>487</v>
      </c>
      <c r="G3485" t="s">
        <v>488</v>
      </c>
      <c r="H3485" t="s">
        <v>5375</v>
      </c>
      <c r="I3485">
        <v>162</v>
      </c>
      <c r="J3485">
        <v>86</v>
      </c>
      <c r="K3485">
        <v>0</v>
      </c>
      <c r="L3485">
        <v>0</v>
      </c>
      <c r="M3485">
        <v>48</v>
      </c>
      <c r="N3485">
        <v>0</v>
      </c>
      <c r="O3485">
        <v>28</v>
      </c>
    </row>
    <row r="3486" spans="1:15" x14ac:dyDescent="0.25">
      <c r="A3486" t="s">
        <v>14389</v>
      </c>
      <c r="B3486" t="s">
        <v>14472</v>
      </c>
      <c r="C3486" t="s">
        <v>923</v>
      </c>
      <c r="D3486" t="s">
        <v>3063</v>
      </c>
      <c r="E3486" t="s">
        <v>3053</v>
      </c>
      <c r="F3486" t="s">
        <v>487</v>
      </c>
      <c r="G3486" t="s">
        <v>488</v>
      </c>
      <c r="H3486" t="s">
        <v>14759</v>
      </c>
      <c r="I3486">
        <v>166</v>
      </c>
      <c r="J3486">
        <v>0</v>
      </c>
      <c r="K3486">
        <v>0</v>
      </c>
      <c r="L3486">
        <v>166</v>
      </c>
      <c r="M3486">
        <v>0</v>
      </c>
      <c r="N3486">
        <v>0</v>
      </c>
      <c r="O3486">
        <v>0</v>
      </c>
    </row>
    <row r="3487" spans="1:15" x14ac:dyDescent="0.25">
      <c r="A3487" t="s">
        <v>1080</v>
      </c>
      <c r="B3487" t="s">
        <v>2030</v>
      </c>
      <c r="C3487" t="s">
        <v>923</v>
      </c>
      <c r="D3487" t="s">
        <v>3063</v>
      </c>
      <c r="E3487" t="s">
        <v>3053</v>
      </c>
      <c r="F3487" t="s">
        <v>487</v>
      </c>
      <c r="G3487" t="s">
        <v>488</v>
      </c>
      <c r="H3487" t="s">
        <v>5376</v>
      </c>
      <c r="I3487">
        <v>8</v>
      </c>
      <c r="J3487">
        <v>0</v>
      </c>
      <c r="K3487">
        <v>0</v>
      </c>
      <c r="L3487">
        <v>8</v>
      </c>
      <c r="M3487">
        <v>0</v>
      </c>
      <c r="N3487">
        <v>0</v>
      </c>
      <c r="O3487">
        <v>0</v>
      </c>
    </row>
    <row r="3488" spans="1:15" x14ac:dyDescent="0.25">
      <c r="A3488" t="s">
        <v>1399</v>
      </c>
      <c r="B3488" t="s">
        <v>2903</v>
      </c>
      <c r="C3488" t="s">
        <v>923</v>
      </c>
      <c r="D3488" t="s">
        <v>3063</v>
      </c>
      <c r="E3488" t="s">
        <v>3053</v>
      </c>
      <c r="F3488" t="s">
        <v>487</v>
      </c>
      <c r="G3488" t="s">
        <v>488</v>
      </c>
      <c r="H3488" t="s">
        <v>12057</v>
      </c>
      <c r="I3488">
        <v>84</v>
      </c>
      <c r="J3488">
        <v>64</v>
      </c>
      <c r="K3488">
        <v>0</v>
      </c>
      <c r="L3488">
        <v>20</v>
      </c>
      <c r="M3488">
        <v>0</v>
      </c>
      <c r="N3488">
        <v>0</v>
      </c>
      <c r="O3488">
        <v>0</v>
      </c>
    </row>
    <row r="3489" spans="1:15" x14ac:dyDescent="0.25">
      <c r="A3489" t="s">
        <v>1196</v>
      </c>
      <c r="B3489" t="s">
        <v>3004</v>
      </c>
      <c r="C3489" t="s">
        <v>927</v>
      </c>
      <c r="D3489" t="s">
        <v>3052</v>
      </c>
      <c r="E3489" t="s">
        <v>3053</v>
      </c>
      <c r="F3489" t="s">
        <v>489</v>
      </c>
      <c r="G3489" t="s">
        <v>490</v>
      </c>
      <c r="H3489" t="s">
        <v>5377</v>
      </c>
      <c r="I3489">
        <v>140</v>
      </c>
      <c r="J3489">
        <v>79</v>
      </c>
      <c r="K3489">
        <v>0</v>
      </c>
      <c r="L3489">
        <v>13</v>
      </c>
      <c r="M3489">
        <v>0</v>
      </c>
      <c r="N3489">
        <v>0</v>
      </c>
      <c r="O3489">
        <v>48</v>
      </c>
    </row>
    <row r="3490" spans="1:15" x14ac:dyDescent="0.25">
      <c r="A3490" t="s">
        <v>1566</v>
      </c>
      <c r="B3490" t="s">
        <v>2600</v>
      </c>
      <c r="C3490" t="s">
        <v>923</v>
      </c>
      <c r="D3490" t="s">
        <v>3063</v>
      </c>
      <c r="E3490" t="s">
        <v>3053</v>
      </c>
      <c r="F3490" t="s">
        <v>489</v>
      </c>
      <c r="G3490" t="s">
        <v>490</v>
      </c>
      <c r="H3490" t="s">
        <v>5378</v>
      </c>
      <c r="I3490">
        <v>10</v>
      </c>
      <c r="J3490">
        <v>0</v>
      </c>
      <c r="K3490">
        <v>0</v>
      </c>
      <c r="L3490">
        <v>0</v>
      </c>
      <c r="M3490">
        <v>10</v>
      </c>
      <c r="N3490">
        <v>0</v>
      </c>
      <c r="O3490">
        <v>0</v>
      </c>
    </row>
    <row r="3491" spans="1:15" x14ac:dyDescent="0.25">
      <c r="A3491" t="s">
        <v>10568</v>
      </c>
      <c r="B3491" t="s">
        <v>10567</v>
      </c>
      <c r="C3491" t="s">
        <v>927</v>
      </c>
      <c r="D3491" t="s">
        <v>3052</v>
      </c>
      <c r="E3491" t="s">
        <v>3053</v>
      </c>
      <c r="F3491" t="s">
        <v>489</v>
      </c>
      <c r="G3491" t="s">
        <v>490</v>
      </c>
      <c r="H3491" t="s">
        <v>11053</v>
      </c>
      <c r="I3491">
        <v>158</v>
      </c>
      <c r="J3491">
        <v>111</v>
      </c>
      <c r="K3491">
        <v>0</v>
      </c>
      <c r="L3491">
        <v>0</v>
      </c>
      <c r="M3491">
        <v>0</v>
      </c>
      <c r="N3491">
        <v>0</v>
      </c>
      <c r="O3491">
        <v>47</v>
      </c>
    </row>
    <row r="3492" spans="1:15" x14ac:dyDescent="0.25">
      <c r="A3492" t="s">
        <v>926</v>
      </c>
      <c r="B3492" t="s">
        <v>2923</v>
      </c>
      <c r="C3492" t="s">
        <v>927</v>
      </c>
      <c r="D3492" t="s">
        <v>3052</v>
      </c>
      <c r="E3492" t="s">
        <v>3053</v>
      </c>
      <c r="F3492" t="s">
        <v>489</v>
      </c>
      <c r="G3492" t="s">
        <v>490</v>
      </c>
      <c r="H3492" t="s">
        <v>5379</v>
      </c>
      <c r="I3492">
        <v>10</v>
      </c>
      <c r="J3492">
        <v>0</v>
      </c>
      <c r="K3492">
        <v>0</v>
      </c>
      <c r="L3492">
        <v>7</v>
      </c>
      <c r="M3492">
        <v>0</v>
      </c>
      <c r="N3492">
        <v>0</v>
      </c>
      <c r="O3492">
        <v>3</v>
      </c>
    </row>
    <row r="3493" spans="1:15" x14ac:dyDescent="0.25">
      <c r="A3493" t="s">
        <v>1576</v>
      </c>
      <c r="B3493" t="s">
        <v>2444</v>
      </c>
      <c r="C3493" t="s">
        <v>923</v>
      </c>
      <c r="D3493" t="s">
        <v>3063</v>
      </c>
      <c r="E3493" t="s">
        <v>3053</v>
      </c>
      <c r="F3493" t="s">
        <v>489</v>
      </c>
      <c r="G3493" t="s">
        <v>490</v>
      </c>
      <c r="H3493" t="s">
        <v>5380</v>
      </c>
      <c r="I3493">
        <v>45</v>
      </c>
      <c r="J3493">
        <v>45</v>
      </c>
      <c r="K3493">
        <v>0</v>
      </c>
      <c r="L3493">
        <v>0</v>
      </c>
      <c r="M3493">
        <v>0</v>
      </c>
      <c r="N3493">
        <v>0</v>
      </c>
      <c r="O3493">
        <v>0</v>
      </c>
    </row>
    <row r="3494" spans="1:15" x14ac:dyDescent="0.25">
      <c r="A3494" t="s">
        <v>933</v>
      </c>
      <c r="B3494" t="s">
        <v>2106</v>
      </c>
      <c r="C3494" t="s">
        <v>927</v>
      </c>
      <c r="D3494" t="s">
        <v>3052</v>
      </c>
      <c r="E3494" t="s">
        <v>3053</v>
      </c>
      <c r="F3494" t="s">
        <v>489</v>
      </c>
      <c r="G3494" t="s">
        <v>490</v>
      </c>
      <c r="H3494" t="s">
        <v>5381</v>
      </c>
      <c r="I3494">
        <v>351</v>
      </c>
      <c r="J3494">
        <v>254</v>
      </c>
      <c r="K3494">
        <v>0</v>
      </c>
      <c r="L3494">
        <v>0</v>
      </c>
      <c r="M3494">
        <v>42</v>
      </c>
      <c r="N3494">
        <v>0</v>
      </c>
      <c r="O3494">
        <v>55</v>
      </c>
    </row>
    <row r="3495" spans="1:15" x14ac:dyDescent="0.25">
      <c r="A3495" t="s">
        <v>998</v>
      </c>
      <c r="B3495" t="s">
        <v>2820</v>
      </c>
      <c r="C3495" t="s">
        <v>927</v>
      </c>
      <c r="D3495" t="s">
        <v>3052</v>
      </c>
      <c r="E3495" t="s">
        <v>3053</v>
      </c>
      <c r="F3495" t="s">
        <v>489</v>
      </c>
      <c r="G3495" t="s">
        <v>490</v>
      </c>
      <c r="H3495" t="s">
        <v>5382</v>
      </c>
      <c r="I3495">
        <v>40</v>
      </c>
      <c r="J3495">
        <v>27</v>
      </c>
      <c r="K3495">
        <v>0</v>
      </c>
      <c r="L3495">
        <v>0</v>
      </c>
      <c r="M3495">
        <v>0</v>
      </c>
      <c r="N3495">
        <v>0</v>
      </c>
      <c r="O3495">
        <v>13</v>
      </c>
    </row>
    <row r="3496" spans="1:15" x14ac:dyDescent="0.25">
      <c r="A3496" t="s">
        <v>1610</v>
      </c>
      <c r="B3496" t="s">
        <v>2736</v>
      </c>
      <c r="C3496" t="s">
        <v>923</v>
      </c>
      <c r="D3496" t="s">
        <v>3063</v>
      </c>
      <c r="E3496" t="s">
        <v>3053</v>
      </c>
      <c r="F3496" t="s">
        <v>489</v>
      </c>
      <c r="G3496" t="s">
        <v>490</v>
      </c>
      <c r="H3496" t="s">
        <v>5383</v>
      </c>
      <c r="I3496">
        <v>18</v>
      </c>
      <c r="J3496">
        <v>18</v>
      </c>
      <c r="K3496">
        <v>0</v>
      </c>
      <c r="L3496">
        <v>0</v>
      </c>
      <c r="M3496">
        <v>0</v>
      </c>
      <c r="N3496">
        <v>0</v>
      </c>
      <c r="O3496">
        <v>0</v>
      </c>
    </row>
    <row r="3497" spans="1:15" x14ac:dyDescent="0.25">
      <c r="A3497" t="s">
        <v>1612</v>
      </c>
      <c r="B3497" t="s">
        <v>2942</v>
      </c>
      <c r="C3497" t="s">
        <v>923</v>
      </c>
      <c r="D3497" t="s">
        <v>3063</v>
      </c>
      <c r="E3497" t="s">
        <v>3053</v>
      </c>
      <c r="F3497" t="s">
        <v>489</v>
      </c>
      <c r="G3497" t="s">
        <v>490</v>
      </c>
      <c r="H3497" t="s">
        <v>5384</v>
      </c>
      <c r="I3497">
        <v>87</v>
      </c>
      <c r="J3497">
        <v>0</v>
      </c>
      <c r="K3497">
        <v>0</v>
      </c>
      <c r="L3497">
        <v>0</v>
      </c>
      <c r="M3497">
        <v>87</v>
      </c>
      <c r="N3497">
        <v>0</v>
      </c>
      <c r="O3497">
        <v>0</v>
      </c>
    </row>
    <row r="3498" spans="1:15" x14ac:dyDescent="0.25">
      <c r="A3498" t="s">
        <v>11704</v>
      </c>
      <c r="B3498" t="s">
        <v>2770</v>
      </c>
      <c r="C3498" t="s">
        <v>923</v>
      </c>
      <c r="D3498" t="s">
        <v>3063</v>
      </c>
      <c r="E3498" t="s">
        <v>3053</v>
      </c>
      <c r="F3498" t="s">
        <v>489</v>
      </c>
      <c r="G3498" t="s">
        <v>490</v>
      </c>
      <c r="H3498" t="s">
        <v>12058</v>
      </c>
      <c r="I3498">
        <v>30</v>
      </c>
      <c r="J3498">
        <v>0</v>
      </c>
      <c r="K3498">
        <v>0</v>
      </c>
      <c r="L3498">
        <v>0</v>
      </c>
      <c r="M3498">
        <v>30</v>
      </c>
      <c r="N3498">
        <v>0</v>
      </c>
      <c r="O3498">
        <v>0</v>
      </c>
    </row>
    <row r="3499" spans="1:15" x14ac:dyDescent="0.25">
      <c r="A3499" t="s">
        <v>938</v>
      </c>
      <c r="B3499" t="s">
        <v>2791</v>
      </c>
      <c r="C3499" t="s">
        <v>927</v>
      </c>
      <c r="D3499" t="s">
        <v>3052</v>
      </c>
      <c r="E3499" t="s">
        <v>3053</v>
      </c>
      <c r="F3499" t="s">
        <v>489</v>
      </c>
      <c r="G3499" t="s">
        <v>490</v>
      </c>
      <c r="H3499" t="s">
        <v>5385</v>
      </c>
      <c r="I3499">
        <v>393</v>
      </c>
      <c r="J3499">
        <v>297</v>
      </c>
      <c r="K3499">
        <v>0</v>
      </c>
      <c r="L3499">
        <v>36</v>
      </c>
      <c r="M3499">
        <v>0</v>
      </c>
      <c r="N3499">
        <v>0</v>
      </c>
      <c r="O3499">
        <v>60</v>
      </c>
    </row>
    <row r="3500" spans="1:15" x14ac:dyDescent="0.25">
      <c r="A3500" t="s">
        <v>1025</v>
      </c>
      <c r="B3500" t="s">
        <v>2893</v>
      </c>
      <c r="C3500" t="s">
        <v>927</v>
      </c>
      <c r="D3500" t="s">
        <v>3052</v>
      </c>
      <c r="E3500" t="s">
        <v>3053</v>
      </c>
      <c r="F3500" t="s">
        <v>489</v>
      </c>
      <c r="G3500" t="s">
        <v>490</v>
      </c>
      <c r="H3500" t="s">
        <v>5386</v>
      </c>
      <c r="I3500">
        <v>4</v>
      </c>
      <c r="J3500">
        <v>0</v>
      </c>
      <c r="K3500">
        <v>0</v>
      </c>
      <c r="L3500">
        <v>0</v>
      </c>
      <c r="M3500">
        <v>0</v>
      </c>
      <c r="N3500">
        <v>0</v>
      </c>
      <c r="O3500">
        <v>4</v>
      </c>
    </row>
    <row r="3501" spans="1:15" x14ac:dyDescent="0.25">
      <c r="A3501" t="s">
        <v>943</v>
      </c>
      <c r="B3501" t="s">
        <v>2694</v>
      </c>
      <c r="C3501" t="s">
        <v>927</v>
      </c>
      <c r="D3501" t="s">
        <v>3052</v>
      </c>
      <c r="E3501" t="s">
        <v>3053</v>
      </c>
      <c r="F3501" t="s">
        <v>489</v>
      </c>
      <c r="G3501" t="s">
        <v>490</v>
      </c>
      <c r="H3501" t="s">
        <v>5387</v>
      </c>
      <c r="I3501">
        <v>425</v>
      </c>
      <c r="J3501">
        <v>340</v>
      </c>
      <c r="K3501">
        <v>0</v>
      </c>
      <c r="L3501">
        <v>0</v>
      </c>
      <c r="M3501">
        <v>0</v>
      </c>
      <c r="N3501">
        <v>1</v>
      </c>
      <c r="O3501">
        <v>85</v>
      </c>
    </row>
    <row r="3502" spans="1:15" x14ac:dyDescent="0.25">
      <c r="A3502" t="s">
        <v>1300</v>
      </c>
      <c r="B3502" t="s">
        <v>2644</v>
      </c>
      <c r="C3502" t="s">
        <v>927</v>
      </c>
      <c r="D3502" t="s">
        <v>3052</v>
      </c>
      <c r="E3502" t="s">
        <v>3053</v>
      </c>
      <c r="F3502" t="s">
        <v>489</v>
      </c>
      <c r="G3502" t="s">
        <v>490</v>
      </c>
      <c r="H3502" t="s">
        <v>5388</v>
      </c>
      <c r="I3502">
        <v>157</v>
      </c>
      <c r="J3502">
        <v>125</v>
      </c>
      <c r="K3502">
        <v>0</v>
      </c>
      <c r="L3502">
        <v>0</v>
      </c>
      <c r="M3502">
        <v>0</v>
      </c>
      <c r="N3502">
        <v>2</v>
      </c>
      <c r="O3502">
        <v>32</v>
      </c>
    </row>
    <row r="3503" spans="1:15" x14ac:dyDescent="0.25">
      <c r="A3503" t="s">
        <v>1136</v>
      </c>
      <c r="B3503" t="s">
        <v>1942</v>
      </c>
      <c r="C3503" t="s">
        <v>923</v>
      </c>
      <c r="D3503" t="s">
        <v>3063</v>
      </c>
      <c r="E3503" t="s">
        <v>3053</v>
      </c>
      <c r="F3503" t="s">
        <v>489</v>
      </c>
      <c r="G3503" t="s">
        <v>490</v>
      </c>
      <c r="H3503" t="s">
        <v>11054</v>
      </c>
      <c r="I3503">
        <v>2</v>
      </c>
      <c r="J3503">
        <v>2</v>
      </c>
      <c r="K3503">
        <v>0</v>
      </c>
      <c r="L3503">
        <v>0</v>
      </c>
      <c r="M3503">
        <v>0</v>
      </c>
      <c r="N3503">
        <v>0</v>
      </c>
      <c r="O3503">
        <v>0</v>
      </c>
    </row>
    <row r="3504" spans="1:15" x14ac:dyDescent="0.25">
      <c r="A3504" t="s">
        <v>1043</v>
      </c>
      <c r="B3504" t="s">
        <v>2090</v>
      </c>
      <c r="C3504" t="s">
        <v>927</v>
      </c>
      <c r="D3504" t="s">
        <v>3052</v>
      </c>
      <c r="E3504" t="s">
        <v>3053</v>
      </c>
      <c r="F3504" t="s">
        <v>489</v>
      </c>
      <c r="G3504" t="s">
        <v>490</v>
      </c>
      <c r="H3504" t="s">
        <v>5389</v>
      </c>
      <c r="I3504">
        <v>151</v>
      </c>
      <c r="J3504">
        <v>102</v>
      </c>
      <c r="K3504">
        <v>0</v>
      </c>
      <c r="L3504">
        <v>0</v>
      </c>
      <c r="M3504">
        <v>0</v>
      </c>
      <c r="N3504">
        <v>0</v>
      </c>
      <c r="O3504">
        <v>49</v>
      </c>
    </row>
    <row r="3505" spans="1:15" x14ac:dyDescent="0.25">
      <c r="A3505" t="s">
        <v>1048</v>
      </c>
      <c r="B3505" t="s">
        <v>2989</v>
      </c>
      <c r="C3505" t="s">
        <v>927</v>
      </c>
      <c r="D3505" t="s">
        <v>3052</v>
      </c>
      <c r="E3505" t="s">
        <v>3053</v>
      </c>
      <c r="F3505" t="s">
        <v>489</v>
      </c>
      <c r="G3505" t="s">
        <v>490</v>
      </c>
      <c r="H3505" t="s">
        <v>5390</v>
      </c>
      <c r="I3505">
        <v>4</v>
      </c>
      <c r="J3505">
        <v>0</v>
      </c>
      <c r="K3505">
        <v>0</v>
      </c>
      <c r="L3505">
        <v>4</v>
      </c>
      <c r="M3505">
        <v>0</v>
      </c>
      <c r="N3505">
        <v>0</v>
      </c>
      <c r="O3505">
        <v>0</v>
      </c>
    </row>
    <row r="3506" spans="1:15" x14ac:dyDescent="0.25">
      <c r="A3506" t="s">
        <v>9788</v>
      </c>
      <c r="B3506" t="s">
        <v>9871</v>
      </c>
      <c r="C3506" t="s">
        <v>927</v>
      </c>
      <c r="D3506" t="s">
        <v>3052</v>
      </c>
      <c r="E3506" t="s">
        <v>3053</v>
      </c>
      <c r="F3506" t="s">
        <v>489</v>
      </c>
      <c r="G3506" t="s">
        <v>490</v>
      </c>
      <c r="H3506" t="s">
        <v>14760</v>
      </c>
      <c r="I3506">
        <v>13</v>
      </c>
      <c r="J3506">
        <v>13</v>
      </c>
      <c r="K3506">
        <v>0</v>
      </c>
      <c r="L3506">
        <v>0</v>
      </c>
      <c r="M3506">
        <v>0</v>
      </c>
      <c r="N3506">
        <v>0</v>
      </c>
      <c r="O3506">
        <v>0</v>
      </c>
    </row>
    <row r="3507" spans="1:15" x14ac:dyDescent="0.25">
      <c r="A3507" t="s">
        <v>1056</v>
      </c>
      <c r="B3507" t="s">
        <v>2966</v>
      </c>
      <c r="C3507" t="s">
        <v>927</v>
      </c>
      <c r="D3507" t="s">
        <v>3052</v>
      </c>
      <c r="E3507" t="s">
        <v>3053</v>
      </c>
      <c r="F3507" t="s">
        <v>489</v>
      </c>
      <c r="G3507" t="s">
        <v>490</v>
      </c>
      <c r="H3507" t="s">
        <v>5391</v>
      </c>
      <c r="I3507">
        <v>25</v>
      </c>
      <c r="J3507">
        <v>0</v>
      </c>
      <c r="K3507">
        <v>0</v>
      </c>
      <c r="L3507">
        <v>25</v>
      </c>
      <c r="M3507">
        <v>0</v>
      </c>
      <c r="N3507">
        <v>0</v>
      </c>
      <c r="O3507">
        <v>0</v>
      </c>
    </row>
    <row r="3508" spans="1:15" x14ac:dyDescent="0.25">
      <c r="A3508" t="s">
        <v>1155</v>
      </c>
      <c r="B3508" t="s">
        <v>2912</v>
      </c>
      <c r="C3508" t="s">
        <v>927</v>
      </c>
      <c r="D3508" t="s">
        <v>3052</v>
      </c>
      <c r="E3508" t="s">
        <v>3053</v>
      </c>
      <c r="F3508" t="s">
        <v>489</v>
      </c>
      <c r="G3508" t="s">
        <v>490</v>
      </c>
      <c r="H3508" t="s">
        <v>5392</v>
      </c>
      <c r="I3508">
        <v>1</v>
      </c>
      <c r="J3508">
        <v>0</v>
      </c>
      <c r="K3508">
        <v>0</v>
      </c>
      <c r="L3508">
        <v>0</v>
      </c>
      <c r="M3508">
        <v>0</v>
      </c>
      <c r="N3508">
        <v>0</v>
      </c>
      <c r="O3508">
        <v>1</v>
      </c>
    </row>
    <row r="3509" spans="1:15" x14ac:dyDescent="0.25">
      <c r="A3509" t="s">
        <v>11663</v>
      </c>
      <c r="B3509" t="s">
        <v>11768</v>
      </c>
      <c r="C3509" t="s">
        <v>927</v>
      </c>
      <c r="D3509" t="s">
        <v>3052</v>
      </c>
      <c r="E3509" t="s">
        <v>3053</v>
      </c>
      <c r="F3509" t="s">
        <v>489</v>
      </c>
      <c r="G3509" t="s">
        <v>490</v>
      </c>
      <c r="H3509" t="s">
        <v>12059</v>
      </c>
      <c r="I3509">
        <v>132</v>
      </c>
      <c r="J3509">
        <v>120</v>
      </c>
      <c r="K3509">
        <v>0</v>
      </c>
      <c r="L3509">
        <v>0</v>
      </c>
      <c r="M3509">
        <v>0</v>
      </c>
      <c r="N3509">
        <v>0</v>
      </c>
      <c r="O3509">
        <v>12</v>
      </c>
    </row>
    <row r="3510" spans="1:15" x14ac:dyDescent="0.25">
      <c r="A3510" t="s">
        <v>960</v>
      </c>
      <c r="B3510" t="s">
        <v>2080</v>
      </c>
      <c r="C3510" t="s">
        <v>927</v>
      </c>
      <c r="D3510" t="s">
        <v>3052</v>
      </c>
      <c r="E3510" t="s">
        <v>3053</v>
      </c>
      <c r="F3510" t="s">
        <v>489</v>
      </c>
      <c r="G3510" t="s">
        <v>490</v>
      </c>
      <c r="H3510" t="s">
        <v>5393</v>
      </c>
      <c r="I3510">
        <v>126</v>
      </c>
      <c r="J3510">
        <v>60</v>
      </c>
      <c r="K3510">
        <v>0</v>
      </c>
      <c r="L3510">
        <v>0</v>
      </c>
      <c r="M3510">
        <v>0</v>
      </c>
      <c r="N3510">
        <v>0</v>
      </c>
      <c r="O3510">
        <v>66</v>
      </c>
    </row>
    <row r="3511" spans="1:15" x14ac:dyDescent="0.25">
      <c r="A3511" t="s">
        <v>14374</v>
      </c>
      <c r="B3511" t="s">
        <v>1943</v>
      </c>
      <c r="C3511" t="s">
        <v>927</v>
      </c>
      <c r="D3511" t="s">
        <v>3052</v>
      </c>
      <c r="E3511" t="s">
        <v>3053</v>
      </c>
      <c r="F3511" t="s">
        <v>489</v>
      </c>
      <c r="G3511" t="s">
        <v>490</v>
      </c>
      <c r="H3511" t="s">
        <v>14761</v>
      </c>
      <c r="I3511">
        <v>5</v>
      </c>
      <c r="J3511">
        <v>0</v>
      </c>
      <c r="K3511">
        <v>0</v>
      </c>
      <c r="L3511">
        <v>0</v>
      </c>
      <c r="M3511">
        <v>0</v>
      </c>
      <c r="N3511">
        <v>0</v>
      </c>
      <c r="O3511">
        <v>5</v>
      </c>
    </row>
    <row r="3512" spans="1:15" x14ac:dyDescent="0.25">
      <c r="A3512" t="s">
        <v>1062</v>
      </c>
      <c r="B3512" t="s">
        <v>1993</v>
      </c>
      <c r="C3512" t="s">
        <v>927</v>
      </c>
      <c r="D3512" t="s">
        <v>3052</v>
      </c>
      <c r="E3512" t="s">
        <v>3053</v>
      </c>
      <c r="F3512" t="s">
        <v>489</v>
      </c>
      <c r="G3512" t="s">
        <v>490</v>
      </c>
      <c r="H3512" t="s">
        <v>14762</v>
      </c>
      <c r="I3512">
        <v>15</v>
      </c>
      <c r="J3512">
        <v>15</v>
      </c>
      <c r="K3512">
        <v>0</v>
      </c>
      <c r="L3512">
        <v>0</v>
      </c>
      <c r="M3512">
        <v>0</v>
      </c>
      <c r="N3512">
        <v>1</v>
      </c>
      <c r="O3512">
        <v>0</v>
      </c>
    </row>
    <row r="3513" spans="1:15" x14ac:dyDescent="0.25">
      <c r="A3513" t="s">
        <v>962</v>
      </c>
      <c r="B3513" t="s">
        <v>2752</v>
      </c>
      <c r="C3513" t="s">
        <v>927</v>
      </c>
      <c r="D3513" t="s">
        <v>3052</v>
      </c>
      <c r="E3513" t="s">
        <v>3053</v>
      </c>
      <c r="F3513" t="s">
        <v>489</v>
      </c>
      <c r="G3513" t="s">
        <v>490</v>
      </c>
      <c r="H3513" t="s">
        <v>5394</v>
      </c>
      <c r="I3513">
        <v>44</v>
      </c>
      <c r="J3513">
        <v>21</v>
      </c>
      <c r="K3513">
        <v>0</v>
      </c>
      <c r="L3513">
        <v>0</v>
      </c>
      <c r="M3513">
        <v>0</v>
      </c>
      <c r="N3513">
        <v>0</v>
      </c>
      <c r="O3513">
        <v>23</v>
      </c>
    </row>
    <row r="3514" spans="1:15" x14ac:dyDescent="0.25">
      <c r="A3514" t="s">
        <v>1673</v>
      </c>
      <c r="B3514" t="s">
        <v>2591</v>
      </c>
      <c r="C3514" t="s">
        <v>923</v>
      </c>
      <c r="D3514" t="s">
        <v>3063</v>
      </c>
      <c r="E3514" t="s">
        <v>3053</v>
      </c>
      <c r="F3514" t="s">
        <v>489</v>
      </c>
      <c r="G3514" t="s">
        <v>490</v>
      </c>
      <c r="H3514" t="s">
        <v>5395</v>
      </c>
      <c r="I3514">
        <v>9</v>
      </c>
      <c r="J3514">
        <v>0</v>
      </c>
      <c r="K3514">
        <v>0</v>
      </c>
      <c r="L3514">
        <v>0</v>
      </c>
      <c r="M3514">
        <v>9</v>
      </c>
      <c r="N3514">
        <v>0</v>
      </c>
      <c r="O3514">
        <v>0</v>
      </c>
    </row>
    <row r="3515" spans="1:15" x14ac:dyDescent="0.25">
      <c r="A3515" t="s">
        <v>10760</v>
      </c>
      <c r="B3515" t="s">
        <v>10759</v>
      </c>
      <c r="C3515" t="s">
        <v>923</v>
      </c>
      <c r="D3515" t="s">
        <v>3063</v>
      </c>
      <c r="E3515" t="s">
        <v>3053</v>
      </c>
      <c r="F3515" t="s">
        <v>489</v>
      </c>
      <c r="G3515" t="s">
        <v>490</v>
      </c>
      <c r="H3515" t="s">
        <v>11055</v>
      </c>
      <c r="I3515">
        <v>14</v>
      </c>
      <c r="J3515">
        <v>0</v>
      </c>
      <c r="K3515">
        <v>0</v>
      </c>
      <c r="L3515">
        <v>0</v>
      </c>
      <c r="M3515">
        <v>14</v>
      </c>
      <c r="N3515">
        <v>0</v>
      </c>
      <c r="O3515">
        <v>0</v>
      </c>
    </row>
    <row r="3516" spans="1:15" x14ac:dyDescent="0.25">
      <c r="A3516" t="s">
        <v>1072</v>
      </c>
      <c r="B3516" t="s">
        <v>2907</v>
      </c>
      <c r="C3516" t="s">
        <v>927</v>
      </c>
      <c r="D3516" t="s">
        <v>3052</v>
      </c>
      <c r="E3516" t="s">
        <v>3053</v>
      </c>
      <c r="F3516" t="s">
        <v>489</v>
      </c>
      <c r="G3516" t="s">
        <v>490</v>
      </c>
      <c r="H3516" t="s">
        <v>5396</v>
      </c>
      <c r="I3516">
        <v>70</v>
      </c>
      <c r="J3516">
        <v>0</v>
      </c>
      <c r="K3516">
        <v>0</v>
      </c>
      <c r="L3516">
        <v>70</v>
      </c>
      <c r="M3516">
        <v>0</v>
      </c>
      <c r="N3516">
        <v>0</v>
      </c>
      <c r="O3516">
        <v>0</v>
      </c>
    </row>
    <row r="3517" spans="1:15" x14ac:dyDescent="0.25">
      <c r="A3517" t="s">
        <v>966</v>
      </c>
      <c r="B3517" t="s">
        <v>2684</v>
      </c>
      <c r="C3517" t="s">
        <v>927</v>
      </c>
      <c r="D3517" t="s">
        <v>3052</v>
      </c>
      <c r="E3517" t="s">
        <v>3053</v>
      </c>
      <c r="F3517" t="s">
        <v>489</v>
      </c>
      <c r="G3517" t="s">
        <v>490</v>
      </c>
      <c r="H3517" t="s">
        <v>5397</v>
      </c>
      <c r="I3517">
        <v>3</v>
      </c>
      <c r="J3517">
        <v>0</v>
      </c>
      <c r="K3517">
        <v>0</v>
      </c>
      <c r="L3517">
        <v>0</v>
      </c>
      <c r="M3517">
        <v>0</v>
      </c>
      <c r="N3517">
        <v>0</v>
      </c>
      <c r="O3517">
        <v>3</v>
      </c>
    </row>
    <row r="3518" spans="1:15" x14ac:dyDescent="0.25">
      <c r="A3518" t="s">
        <v>1684</v>
      </c>
      <c r="B3518" t="s">
        <v>2845</v>
      </c>
      <c r="C3518" t="s">
        <v>927</v>
      </c>
      <c r="D3518" t="s">
        <v>3052</v>
      </c>
      <c r="E3518" t="s">
        <v>3053</v>
      </c>
      <c r="F3518" t="s">
        <v>489</v>
      </c>
      <c r="G3518" t="s">
        <v>490</v>
      </c>
      <c r="H3518" t="s">
        <v>14763</v>
      </c>
      <c r="I3518">
        <v>39</v>
      </c>
      <c r="J3518">
        <v>29</v>
      </c>
      <c r="K3518">
        <v>0</v>
      </c>
      <c r="L3518">
        <v>0</v>
      </c>
      <c r="M3518">
        <v>0</v>
      </c>
      <c r="N3518">
        <v>0</v>
      </c>
      <c r="O3518">
        <v>10</v>
      </c>
    </row>
    <row r="3519" spans="1:15" x14ac:dyDescent="0.25">
      <c r="A3519" t="s">
        <v>1374</v>
      </c>
      <c r="B3519" t="s">
        <v>2580</v>
      </c>
      <c r="C3519" t="s">
        <v>923</v>
      </c>
      <c r="D3519" t="s">
        <v>3063</v>
      </c>
      <c r="E3519" t="s">
        <v>3053</v>
      </c>
      <c r="F3519" t="s">
        <v>489</v>
      </c>
      <c r="G3519" t="s">
        <v>490</v>
      </c>
      <c r="H3519" t="s">
        <v>5398</v>
      </c>
      <c r="I3519">
        <v>74</v>
      </c>
      <c r="J3519">
        <v>0</v>
      </c>
      <c r="K3519">
        <v>0</v>
      </c>
      <c r="L3519">
        <v>74</v>
      </c>
      <c r="M3519">
        <v>0</v>
      </c>
      <c r="N3519">
        <v>0</v>
      </c>
      <c r="O3519">
        <v>0</v>
      </c>
    </row>
    <row r="3520" spans="1:15" x14ac:dyDescent="0.25">
      <c r="A3520" t="s">
        <v>968</v>
      </c>
      <c r="B3520" t="s">
        <v>2091</v>
      </c>
      <c r="C3520" t="s">
        <v>927</v>
      </c>
      <c r="D3520" t="s">
        <v>3052</v>
      </c>
      <c r="E3520" t="s">
        <v>3053</v>
      </c>
      <c r="F3520" t="s">
        <v>489</v>
      </c>
      <c r="G3520" t="s">
        <v>490</v>
      </c>
      <c r="H3520" t="s">
        <v>5399</v>
      </c>
      <c r="I3520">
        <v>596</v>
      </c>
      <c r="J3520">
        <v>452</v>
      </c>
      <c r="K3520">
        <v>0</v>
      </c>
      <c r="L3520">
        <v>0</v>
      </c>
      <c r="M3520">
        <v>0</v>
      </c>
      <c r="N3520">
        <v>0</v>
      </c>
      <c r="O3520">
        <v>144</v>
      </c>
    </row>
    <row r="3521" spans="1:15" x14ac:dyDescent="0.25">
      <c r="A3521" t="s">
        <v>1080</v>
      </c>
      <c r="B3521" t="s">
        <v>2030</v>
      </c>
      <c r="C3521" t="s">
        <v>923</v>
      </c>
      <c r="D3521" t="s">
        <v>3063</v>
      </c>
      <c r="E3521" t="s">
        <v>3053</v>
      </c>
      <c r="F3521" t="s">
        <v>489</v>
      </c>
      <c r="G3521" t="s">
        <v>490</v>
      </c>
      <c r="H3521" t="s">
        <v>5400</v>
      </c>
      <c r="I3521">
        <v>4</v>
      </c>
      <c r="J3521">
        <v>0</v>
      </c>
      <c r="K3521">
        <v>0</v>
      </c>
      <c r="L3521">
        <v>4</v>
      </c>
      <c r="M3521">
        <v>0</v>
      </c>
      <c r="N3521">
        <v>0</v>
      </c>
      <c r="O3521">
        <v>0</v>
      </c>
    </row>
    <row r="3522" spans="1:15" x14ac:dyDescent="0.25">
      <c r="A3522" t="s">
        <v>14377</v>
      </c>
      <c r="B3522" t="s">
        <v>14444</v>
      </c>
      <c r="C3522" t="s">
        <v>923</v>
      </c>
      <c r="D3522" t="s">
        <v>3063</v>
      </c>
      <c r="E3522" t="s">
        <v>3053</v>
      </c>
      <c r="F3522" t="s">
        <v>489</v>
      </c>
      <c r="G3522" t="s">
        <v>490</v>
      </c>
      <c r="H3522" t="s">
        <v>14764</v>
      </c>
      <c r="I3522">
        <v>5</v>
      </c>
      <c r="J3522">
        <v>0</v>
      </c>
      <c r="K3522">
        <v>0</v>
      </c>
      <c r="L3522">
        <v>5</v>
      </c>
      <c r="M3522">
        <v>0</v>
      </c>
      <c r="N3522">
        <v>0</v>
      </c>
      <c r="O3522">
        <v>0</v>
      </c>
    </row>
    <row r="3523" spans="1:15" x14ac:dyDescent="0.25">
      <c r="A3523" t="s">
        <v>1699</v>
      </c>
      <c r="B3523" t="s">
        <v>1949</v>
      </c>
      <c r="C3523" t="s">
        <v>923</v>
      </c>
      <c r="D3523" t="s">
        <v>3063</v>
      </c>
      <c r="E3523" t="s">
        <v>3053</v>
      </c>
      <c r="F3523" t="s">
        <v>489</v>
      </c>
      <c r="G3523" t="s">
        <v>490</v>
      </c>
      <c r="H3523" t="s">
        <v>5401</v>
      </c>
      <c r="I3523">
        <v>33</v>
      </c>
      <c r="J3523">
        <v>0</v>
      </c>
      <c r="K3523">
        <v>0</v>
      </c>
      <c r="L3523">
        <v>33</v>
      </c>
      <c r="M3523">
        <v>0</v>
      </c>
      <c r="N3523">
        <v>0</v>
      </c>
      <c r="O3523">
        <v>0</v>
      </c>
    </row>
    <row r="3524" spans="1:15" x14ac:dyDescent="0.25">
      <c r="A3524" t="s">
        <v>1195</v>
      </c>
      <c r="B3524" t="s">
        <v>2924</v>
      </c>
      <c r="C3524" t="s">
        <v>927</v>
      </c>
      <c r="D3524" t="s">
        <v>3052</v>
      </c>
      <c r="E3524" t="s">
        <v>3053</v>
      </c>
      <c r="F3524" t="s">
        <v>491</v>
      </c>
      <c r="G3524" t="s">
        <v>492</v>
      </c>
      <c r="H3524" t="s">
        <v>5402</v>
      </c>
      <c r="I3524">
        <v>143</v>
      </c>
      <c r="J3524">
        <v>83</v>
      </c>
      <c r="K3524">
        <v>0</v>
      </c>
      <c r="L3524">
        <v>0</v>
      </c>
      <c r="M3524">
        <v>0</v>
      </c>
      <c r="N3524">
        <v>0</v>
      </c>
      <c r="O3524">
        <v>60</v>
      </c>
    </row>
    <row r="3525" spans="1:15" x14ac:dyDescent="0.25">
      <c r="A3525" t="s">
        <v>1199</v>
      </c>
      <c r="B3525" t="s">
        <v>3038</v>
      </c>
      <c r="C3525" t="s">
        <v>923</v>
      </c>
      <c r="D3525" t="s">
        <v>3063</v>
      </c>
      <c r="E3525" t="s">
        <v>3053</v>
      </c>
      <c r="F3525" t="s">
        <v>491</v>
      </c>
      <c r="G3525" t="s">
        <v>492</v>
      </c>
      <c r="H3525" t="s">
        <v>5403</v>
      </c>
      <c r="I3525">
        <v>13</v>
      </c>
      <c r="J3525">
        <v>13</v>
      </c>
      <c r="K3525">
        <v>0</v>
      </c>
      <c r="L3525">
        <v>0</v>
      </c>
      <c r="M3525">
        <v>0</v>
      </c>
      <c r="N3525">
        <v>0</v>
      </c>
      <c r="O3525">
        <v>0</v>
      </c>
    </row>
    <row r="3526" spans="1:15" x14ac:dyDescent="0.25">
      <c r="A3526" t="s">
        <v>926</v>
      </c>
      <c r="B3526" t="s">
        <v>2923</v>
      </c>
      <c r="C3526" t="s">
        <v>927</v>
      </c>
      <c r="D3526" t="s">
        <v>3052</v>
      </c>
      <c r="E3526" t="s">
        <v>3053</v>
      </c>
      <c r="F3526" t="s">
        <v>491</v>
      </c>
      <c r="G3526" t="s">
        <v>492</v>
      </c>
      <c r="H3526" t="s">
        <v>5404</v>
      </c>
      <c r="I3526">
        <v>17</v>
      </c>
      <c r="J3526">
        <v>0</v>
      </c>
      <c r="K3526">
        <v>0</v>
      </c>
      <c r="L3526">
        <v>17</v>
      </c>
      <c r="M3526">
        <v>0</v>
      </c>
      <c r="N3526">
        <v>0</v>
      </c>
      <c r="O3526">
        <v>0</v>
      </c>
    </row>
    <row r="3527" spans="1:15" x14ac:dyDescent="0.25">
      <c r="A3527" t="s">
        <v>1201</v>
      </c>
      <c r="B3527" t="s">
        <v>2972</v>
      </c>
      <c r="C3527" t="s">
        <v>923</v>
      </c>
      <c r="D3527" t="s">
        <v>3063</v>
      </c>
      <c r="E3527" t="s">
        <v>3053</v>
      </c>
      <c r="F3527" t="s">
        <v>491</v>
      </c>
      <c r="G3527" t="s">
        <v>492</v>
      </c>
      <c r="H3527" t="s">
        <v>5405</v>
      </c>
      <c r="I3527">
        <v>521</v>
      </c>
      <c r="J3527">
        <v>444</v>
      </c>
      <c r="K3527">
        <v>2</v>
      </c>
      <c r="L3527">
        <v>34</v>
      </c>
      <c r="M3527">
        <v>41</v>
      </c>
      <c r="N3527">
        <v>1</v>
      </c>
      <c r="O3527">
        <v>0</v>
      </c>
    </row>
    <row r="3528" spans="1:15" x14ac:dyDescent="0.25">
      <c r="A3528" t="s">
        <v>929</v>
      </c>
      <c r="B3528" t="s">
        <v>2999</v>
      </c>
      <c r="C3528" t="s">
        <v>927</v>
      </c>
      <c r="D3528" t="s">
        <v>3052</v>
      </c>
      <c r="E3528" t="s">
        <v>3053</v>
      </c>
      <c r="F3528" t="s">
        <v>491</v>
      </c>
      <c r="G3528" t="s">
        <v>492</v>
      </c>
      <c r="H3528" t="s">
        <v>5406</v>
      </c>
      <c r="I3528">
        <v>864</v>
      </c>
      <c r="J3528">
        <v>3</v>
      </c>
      <c r="K3528">
        <v>0</v>
      </c>
      <c r="L3528">
        <v>0</v>
      </c>
      <c r="M3528">
        <v>849</v>
      </c>
      <c r="N3528">
        <v>0</v>
      </c>
      <c r="O3528">
        <v>12</v>
      </c>
    </row>
    <row r="3529" spans="1:15" x14ac:dyDescent="0.25">
      <c r="A3529" t="s">
        <v>9802</v>
      </c>
      <c r="B3529" t="s">
        <v>2899</v>
      </c>
      <c r="C3529" t="s">
        <v>923</v>
      </c>
      <c r="D3529" t="s">
        <v>3063</v>
      </c>
      <c r="E3529" t="s">
        <v>3053</v>
      </c>
      <c r="F3529" t="s">
        <v>491</v>
      </c>
      <c r="G3529" t="s">
        <v>492</v>
      </c>
      <c r="H3529" t="s">
        <v>9913</v>
      </c>
      <c r="I3529">
        <v>101</v>
      </c>
      <c r="J3529">
        <v>101</v>
      </c>
      <c r="K3529">
        <v>0</v>
      </c>
      <c r="L3529">
        <v>0</v>
      </c>
      <c r="M3529">
        <v>0</v>
      </c>
      <c r="N3529">
        <v>0</v>
      </c>
      <c r="O3529">
        <v>0</v>
      </c>
    </row>
    <row r="3530" spans="1:15" x14ac:dyDescent="0.25">
      <c r="A3530" t="s">
        <v>1218</v>
      </c>
      <c r="B3530" t="s">
        <v>2565</v>
      </c>
      <c r="C3530" t="s">
        <v>927</v>
      </c>
      <c r="D3530" t="s">
        <v>3052</v>
      </c>
      <c r="E3530" t="s">
        <v>3053</v>
      </c>
      <c r="F3530" t="s">
        <v>491</v>
      </c>
      <c r="G3530" t="s">
        <v>492</v>
      </c>
      <c r="H3530" t="s">
        <v>5407</v>
      </c>
      <c r="I3530">
        <v>63</v>
      </c>
      <c r="J3530">
        <v>63</v>
      </c>
      <c r="K3530">
        <v>0</v>
      </c>
      <c r="L3530">
        <v>0</v>
      </c>
      <c r="M3530">
        <v>0</v>
      </c>
      <c r="N3530">
        <v>0</v>
      </c>
      <c r="O3530">
        <v>0</v>
      </c>
    </row>
    <row r="3531" spans="1:15" x14ac:dyDescent="0.25">
      <c r="A3531" t="s">
        <v>1219</v>
      </c>
      <c r="B3531" t="s">
        <v>2569</v>
      </c>
      <c r="C3531" t="s">
        <v>923</v>
      </c>
      <c r="D3531" t="s">
        <v>3063</v>
      </c>
      <c r="E3531" t="s">
        <v>3053</v>
      </c>
      <c r="F3531" t="s">
        <v>491</v>
      </c>
      <c r="G3531" t="s">
        <v>492</v>
      </c>
      <c r="H3531" t="s">
        <v>5408</v>
      </c>
      <c r="I3531">
        <v>6</v>
      </c>
      <c r="J3531">
        <v>6</v>
      </c>
      <c r="K3531">
        <v>0</v>
      </c>
      <c r="L3531">
        <v>0</v>
      </c>
      <c r="M3531">
        <v>0</v>
      </c>
      <c r="N3531">
        <v>0</v>
      </c>
      <c r="O3531">
        <v>0</v>
      </c>
    </row>
    <row r="3532" spans="1:15" x14ac:dyDescent="0.25">
      <c r="A3532" t="s">
        <v>933</v>
      </c>
      <c r="B3532" t="s">
        <v>2106</v>
      </c>
      <c r="C3532" t="s">
        <v>927</v>
      </c>
      <c r="D3532" t="s">
        <v>3052</v>
      </c>
      <c r="E3532" t="s">
        <v>3053</v>
      </c>
      <c r="F3532" t="s">
        <v>491</v>
      </c>
      <c r="G3532" t="s">
        <v>492</v>
      </c>
      <c r="H3532" t="s">
        <v>5409</v>
      </c>
      <c r="I3532">
        <v>1616</v>
      </c>
      <c r="J3532">
        <v>1262</v>
      </c>
      <c r="K3532">
        <v>60</v>
      </c>
      <c r="L3532">
        <v>45</v>
      </c>
      <c r="M3532">
        <v>139</v>
      </c>
      <c r="N3532">
        <v>21</v>
      </c>
      <c r="O3532">
        <v>110</v>
      </c>
    </row>
    <row r="3533" spans="1:15" x14ac:dyDescent="0.25">
      <c r="A3533" t="s">
        <v>1225</v>
      </c>
      <c r="B3533" t="s">
        <v>2415</v>
      </c>
      <c r="C3533" t="s">
        <v>923</v>
      </c>
      <c r="D3533" t="s">
        <v>3063</v>
      </c>
      <c r="E3533" t="s">
        <v>3053</v>
      </c>
      <c r="F3533" t="s">
        <v>491</v>
      </c>
      <c r="G3533" t="s">
        <v>492</v>
      </c>
      <c r="H3533" t="s">
        <v>5410</v>
      </c>
      <c r="I3533">
        <v>24</v>
      </c>
      <c r="J3533">
        <v>24</v>
      </c>
      <c r="K3533">
        <v>0</v>
      </c>
      <c r="L3533">
        <v>0</v>
      </c>
      <c r="M3533">
        <v>0</v>
      </c>
      <c r="N3533">
        <v>0</v>
      </c>
      <c r="O3533">
        <v>0</v>
      </c>
    </row>
    <row r="3534" spans="1:15" x14ac:dyDescent="0.25">
      <c r="A3534" t="s">
        <v>1227</v>
      </c>
      <c r="B3534" t="s">
        <v>2023</v>
      </c>
      <c r="C3534" t="s">
        <v>923</v>
      </c>
      <c r="D3534" t="s">
        <v>3063</v>
      </c>
      <c r="E3534" t="s">
        <v>3053</v>
      </c>
      <c r="F3534" t="s">
        <v>491</v>
      </c>
      <c r="G3534" t="s">
        <v>492</v>
      </c>
      <c r="H3534" t="s">
        <v>14765</v>
      </c>
      <c r="I3534">
        <v>1</v>
      </c>
      <c r="J3534">
        <v>1</v>
      </c>
      <c r="K3534">
        <v>0</v>
      </c>
      <c r="L3534">
        <v>0</v>
      </c>
      <c r="M3534">
        <v>0</v>
      </c>
      <c r="N3534">
        <v>0</v>
      </c>
      <c r="O3534">
        <v>0</v>
      </c>
    </row>
    <row r="3535" spans="1:15" x14ac:dyDescent="0.25">
      <c r="A3535" t="s">
        <v>9804</v>
      </c>
      <c r="B3535" t="s">
        <v>2043</v>
      </c>
      <c r="C3535" t="s">
        <v>923</v>
      </c>
      <c r="D3535" t="s">
        <v>3063</v>
      </c>
      <c r="E3535" t="s">
        <v>3053</v>
      </c>
      <c r="F3535" t="s">
        <v>491</v>
      </c>
      <c r="G3535" t="s">
        <v>492</v>
      </c>
      <c r="H3535" t="s">
        <v>14766</v>
      </c>
      <c r="I3535">
        <v>3</v>
      </c>
      <c r="J3535">
        <v>3</v>
      </c>
      <c r="K3535">
        <v>0</v>
      </c>
      <c r="L3535">
        <v>0</v>
      </c>
      <c r="M3535">
        <v>0</v>
      </c>
      <c r="N3535">
        <v>0</v>
      </c>
      <c r="O3535">
        <v>0</v>
      </c>
    </row>
    <row r="3536" spans="1:15" x14ac:dyDescent="0.25">
      <c r="A3536" t="s">
        <v>14383</v>
      </c>
      <c r="B3536" t="s">
        <v>2065</v>
      </c>
      <c r="C3536" t="s">
        <v>923</v>
      </c>
      <c r="D3536" t="s">
        <v>3063</v>
      </c>
      <c r="E3536" t="s">
        <v>3053</v>
      </c>
      <c r="F3536" t="s">
        <v>491</v>
      </c>
      <c r="G3536" t="s">
        <v>492</v>
      </c>
      <c r="H3536" t="s">
        <v>14767</v>
      </c>
      <c r="I3536">
        <v>34</v>
      </c>
      <c r="J3536">
        <v>34</v>
      </c>
      <c r="K3536">
        <v>0</v>
      </c>
      <c r="L3536">
        <v>0</v>
      </c>
      <c r="M3536">
        <v>0</v>
      </c>
      <c r="N3536">
        <v>0</v>
      </c>
      <c r="O3536">
        <v>0</v>
      </c>
    </row>
    <row r="3537" spans="1:15" x14ac:dyDescent="0.25">
      <c r="A3537" t="s">
        <v>1242</v>
      </c>
      <c r="B3537" t="s">
        <v>2411</v>
      </c>
      <c r="C3537" t="s">
        <v>923</v>
      </c>
      <c r="D3537" t="s">
        <v>3063</v>
      </c>
      <c r="E3537" t="s">
        <v>3053</v>
      </c>
      <c r="F3537" t="s">
        <v>491</v>
      </c>
      <c r="G3537" t="s">
        <v>492</v>
      </c>
      <c r="H3537" t="s">
        <v>5411</v>
      </c>
      <c r="I3537">
        <v>62</v>
      </c>
      <c r="J3537">
        <v>62</v>
      </c>
      <c r="K3537">
        <v>0</v>
      </c>
      <c r="L3537">
        <v>0</v>
      </c>
      <c r="M3537">
        <v>0</v>
      </c>
      <c r="N3537">
        <v>0</v>
      </c>
      <c r="O3537">
        <v>0</v>
      </c>
    </row>
    <row r="3538" spans="1:15" x14ac:dyDescent="0.25">
      <c r="A3538" t="s">
        <v>1115</v>
      </c>
      <c r="B3538" t="s">
        <v>2677</v>
      </c>
      <c r="C3538" t="s">
        <v>927</v>
      </c>
      <c r="D3538" t="s">
        <v>3052</v>
      </c>
      <c r="E3538" t="s">
        <v>3053</v>
      </c>
      <c r="F3538" t="s">
        <v>491</v>
      </c>
      <c r="G3538" t="s">
        <v>492</v>
      </c>
      <c r="H3538" t="s">
        <v>5412</v>
      </c>
      <c r="I3538">
        <v>65</v>
      </c>
      <c r="J3538">
        <v>41</v>
      </c>
      <c r="K3538">
        <v>0</v>
      </c>
      <c r="L3538">
        <v>15</v>
      </c>
      <c r="M3538">
        <v>0</v>
      </c>
      <c r="N3538">
        <v>12</v>
      </c>
      <c r="O3538">
        <v>9</v>
      </c>
    </row>
    <row r="3539" spans="1:15" x14ac:dyDescent="0.25">
      <c r="A3539" t="s">
        <v>1008</v>
      </c>
      <c r="B3539" t="s">
        <v>2928</v>
      </c>
      <c r="C3539" t="s">
        <v>927</v>
      </c>
      <c r="D3539" t="s">
        <v>3052</v>
      </c>
      <c r="E3539" t="s">
        <v>3053</v>
      </c>
      <c r="F3539" t="s">
        <v>491</v>
      </c>
      <c r="G3539" t="s">
        <v>492</v>
      </c>
      <c r="H3539" t="s">
        <v>5413</v>
      </c>
      <c r="I3539">
        <v>93</v>
      </c>
      <c r="J3539">
        <v>63</v>
      </c>
      <c r="K3539">
        <v>0</v>
      </c>
      <c r="L3539">
        <v>19</v>
      </c>
      <c r="M3539">
        <v>11</v>
      </c>
      <c r="N3539">
        <v>2</v>
      </c>
      <c r="O3539">
        <v>0</v>
      </c>
    </row>
    <row r="3540" spans="1:15" x14ac:dyDescent="0.25">
      <c r="A3540" t="s">
        <v>1255</v>
      </c>
      <c r="B3540" t="s">
        <v>2394</v>
      </c>
      <c r="C3540" t="s">
        <v>923</v>
      </c>
      <c r="D3540" t="s">
        <v>3063</v>
      </c>
      <c r="E3540" t="s">
        <v>3053</v>
      </c>
      <c r="F3540" t="s">
        <v>491</v>
      </c>
      <c r="G3540" t="s">
        <v>492</v>
      </c>
      <c r="H3540" t="s">
        <v>5414</v>
      </c>
      <c r="I3540">
        <v>86</v>
      </c>
      <c r="J3540">
        <v>86</v>
      </c>
      <c r="K3540">
        <v>0</v>
      </c>
      <c r="L3540">
        <v>0</v>
      </c>
      <c r="M3540">
        <v>0</v>
      </c>
      <c r="N3540">
        <v>0</v>
      </c>
      <c r="O3540">
        <v>0</v>
      </c>
    </row>
    <row r="3541" spans="1:15" x14ac:dyDescent="0.25">
      <c r="A3541" t="s">
        <v>1256</v>
      </c>
      <c r="B3541" t="s">
        <v>1981</v>
      </c>
      <c r="C3541" t="s">
        <v>923</v>
      </c>
      <c r="D3541" t="s">
        <v>3063</v>
      </c>
      <c r="E3541" t="s">
        <v>3053</v>
      </c>
      <c r="F3541" t="s">
        <v>491</v>
      </c>
      <c r="G3541" t="s">
        <v>492</v>
      </c>
      <c r="H3541" t="s">
        <v>5415</v>
      </c>
      <c r="I3541">
        <v>46</v>
      </c>
      <c r="J3541">
        <v>0</v>
      </c>
      <c r="K3541">
        <v>0</v>
      </c>
      <c r="L3541">
        <v>0</v>
      </c>
      <c r="M3541">
        <v>46</v>
      </c>
      <c r="N3541">
        <v>0</v>
      </c>
      <c r="O3541">
        <v>0</v>
      </c>
    </row>
    <row r="3542" spans="1:15" x14ac:dyDescent="0.25">
      <c r="A3542" t="s">
        <v>1274</v>
      </c>
      <c r="B3542" t="s">
        <v>2159</v>
      </c>
      <c r="C3542" t="s">
        <v>923</v>
      </c>
      <c r="D3542" t="s">
        <v>3063</v>
      </c>
      <c r="E3542" t="s">
        <v>3053</v>
      </c>
      <c r="F3542" t="s">
        <v>491</v>
      </c>
      <c r="G3542" t="s">
        <v>492</v>
      </c>
      <c r="H3542" t="s">
        <v>12060</v>
      </c>
      <c r="I3542">
        <v>7</v>
      </c>
      <c r="J3542">
        <v>0</v>
      </c>
      <c r="K3542">
        <v>0</v>
      </c>
      <c r="L3542">
        <v>0</v>
      </c>
      <c r="M3542">
        <v>7</v>
      </c>
      <c r="N3542">
        <v>0</v>
      </c>
      <c r="O3542">
        <v>0</v>
      </c>
    </row>
    <row r="3543" spans="1:15" x14ac:dyDescent="0.25">
      <c r="A3543" t="s">
        <v>1276</v>
      </c>
      <c r="B3543" t="s">
        <v>2537</v>
      </c>
      <c r="C3543" t="s">
        <v>923</v>
      </c>
      <c r="D3543" t="s">
        <v>3063</v>
      </c>
      <c r="E3543" t="s">
        <v>3053</v>
      </c>
      <c r="F3543" t="s">
        <v>491</v>
      </c>
      <c r="G3543" t="s">
        <v>492</v>
      </c>
      <c r="H3543" t="s">
        <v>5416</v>
      </c>
      <c r="I3543">
        <v>74</v>
      </c>
      <c r="J3543">
        <v>4</v>
      </c>
      <c r="K3543">
        <v>70</v>
      </c>
      <c r="L3543">
        <v>0</v>
      </c>
      <c r="M3543">
        <v>0</v>
      </c>
      <c r="N3543">
        <v>0</v>
      </c>
      <c r="O3543">
        <v>0</v>
      </c>
    </row>
    <row r="3544" spans="1:15" x14ac:dyDescent="0.25">
      <c r="A3544" t="s">
        <v>1278</v>
      </c>
      <c r="B3544" t="s">
        <v>2674</v>
      </c>
      <c r="C3544" t="s">
        <v>927</v>
      </c>
      <c r="D3544" t="s">
        <v>3052</v>
      </c>
      <c r="E3544" t="s">
        <v>3053</v>
      </c>
      <c r="F3544" t="s">
        <v>491</v>
      </c>
      <c r="G3544" t="s">
        <v>492</v>
      </c>
      <c r="H3544" t="s">
        <v>5417</v>
      </c>
      <c r="I3544">
        <v>823</v>
      </c>
      <c r="J3544">
        <v>604</v>
      </c>
      <c r="K3544">
        <v>30</v>
      </c>
      <c r="L3544">
        <v>11</v>
      </c>
      <c r="M3544">
        <v>30</v>
      </c>
      <c r="N3544">
        <v>0</v>
      </c>
      <c r="O3544">
        <v>148</v>
      </c>
    </row>
    <row r="3545" spans="1:15" x14ac:dyDescent="0.25">
      <c r="A3545" t="s">
        <v>1282</v>
      </c>
      <c r="B3545" t="s">
        <v>2028</v>
      </c>
      <c r="C3545" t="s">
        <v>923</v>
      </c>
      <c r="D3545" t="s">
        <v>3063</v>
      </c>
      <c r="E3545" t="s">
        <v>3053</v>
      </c>
      <c r="F3545" t="s">
        <v>491</v>
      </c>
      <c r="G3545" t="s">
        <v>492</v>
      </c>
      <c r="H3545" t="s">
        <v>5418</v>
      </c>
      <c r="I3545">
        <v>4</v>
      </c>
      <c r="J3545">
        <v>4</v>
      </c>
      <c r="K3545">
        <v>0</v>
      </c>
      <c r="L3545">
        <v>0</v>
      </c>
      <c r="M3545">
        <v>0</v>
      </c>
      <c r="N3545">
        <v>0</v>
      </c>
      <c r="O3545">
        <v>0</v>
      </c>
    </row>
    <row r="3546" spans="1:15" x14ac:dyDescent="0.25">
      <c r="A3546" t="s">
        <v>1127</v>
      </c>
      <c r="B3546" t="s">
        <v>3034</v>
      </c>
      <c r="C3546" t="s">
        <v>927</v>
      </c>
      <c r="D3546" t="s">
        <v>3052</v>
      </c>
      <c r="E3546" t="s">
        <v>3053</v>
      </c>
      <c r="F3546" t="s">
        <v>491</v>
      </c>
      <c r="G3546" t="s">
        <v>492</v>
      </c>
      <c r="H3546" t="s">
        <v>5419</v>
      </c>
      <c r="I3546">
        <v>95</v>
      </c>
      <c r="J3546">
        <v>95</v>
      </c>
      <c r="K3546">
        <v>0</v>
      </c>
      <c r="L3546">
        <v>0</v>
      </c>
      <c r="M3546">
        <v>0</v>
      </c>
      <c r="N3546">
        <v>0</v>
      </c>
      <c r="O3546">
        <v>0</v>
      </c>
    </row>
    <row r="3547" spans="1:15" x14ac:dyDescent="0.25">
      <c r="A3547" t="s">
        <v>1025</v>
      </c>
      <c r="B3547" t="s">
        <v>2893</v>
      </c>
      <c r="C3547" t="s">
        <v>927</v>
      </c>
      <c r="D3547" t="s">
        <v>3052</v>
      </c>
      <c r="E3547" t="s">
        <v>3053</v>
      </c>
      <c r="F3547" t="s">
        <v>491</v>
      </c>
      <c r="G3547" t="s">
        <v>492</v>
      </c>
      <c r="H3547" t="s">
        <v>5420</v>
      </c>
      <c r="I3547">
        <v>1515</v>
      </c>
      <c r="J3547">
        <v>1300</v>
      </c>
      <c r="K3547">
        <v>0</v>
      </c>
      <c r="L3547">
        <v>26</v>
      </c>
      <c r="M3547">
        <v>0</v>
      </c>
      <c r="N3547">
        <v>21</v>
      </c>
      <c r="O3547">
        <v>189</v>
      </c>
    </row>
    <row r="3548" spans="1:15" x14ac:dyDescent="0.25">
      <c r="A3548" t="s">
        <v>943</v>
      </c>
      <c r="B3548" t="s">
        <v>2694</v>
      </c>
      <c r="C3548" t="s">
        <v>927</v>
      </c>
      <c r="D3548" t="s">
        <v>3052</v>
      </c>
      <c r="E3548" t="s">
        <v>3053</v>
      </c>
      <c r="F3548" t="s">
        <v>491</v>
      </c>
      <c r="G3548" t="s">
        <v>492</v>
      </c>
      <c r="H3548" t="s">
        <v>5421</v>
      </c>
      <c r="I3548">
        <v>652</v>
      </c>
      <c r="J3548">
        <v>468</v>
      </c>
      <c r="K3548">
        <v>0</v>
      </c>
      <c r="L3548">
        <v>0</v>
      </c>
      <c r="M3548">
        <v>0</v>
      </c>
      <c r="N3548">
        <v>6</v>
      </c>
      <c r="O3548">
        <v>184</v>
      </c>
    </row>
    <row r="3549" spans="1:15" x14ac:dyDescent="0.25">
      <c r="A3549" t="s">
        <v>1033</v>
      </c>
      <c r="B3549" t="s">
        <v>2039</v>
      </c>
      <c r="C3549" t="s">
        <v>923</v>
      </c>
      <c r="D3549" t="s">
        <v>3063</v>
      </c>
      <c r="E3549" t="s">
        <v>3053</v>
      </c>
      <c r="F3549" t="s">
        <v>491</v>
      </c>
      <c r="G3549" t="s">
        <v>492</v>
      </c>
      <c r="H3549" t="s">
        <v>5422</v>
      </c>
      <c r="I3549">
        <v>23</v>
      </c>
      <c r="J3549">
        <v>0</v>
      </c>
      <c r="K3549">
        <v>0</v>
      </c>
      <c r="L3549">
        <v>23</v>
      </c>
      <c r="M3549">
        <v>0</v>
      </c>
      <c r="N3549">
        <v>0</v>
      </c>
      <c r="O3549">
        <v>0</v>
      </c>
    </row>
    <row r="3550" spans="1:15" x14ac:dyDescent="0.25">
      <c r="A3550" t="s">
        <v>1131</v>
      </c>
      <c r="B3550" t="s">
        <v>2637</v>
      </c>
      <c r="C3550" t="s">
        <v>927</v>
      </c>
      <c r="D3550" t="s">
        <v>3052</v>
      </c>
      <c r="E3550" t="s">
        <v>3053</v>
      </c>
      <c r="F3550" t="s">
        <v>491</v>
      </c>
      <c r="G3550" t="s">
        <v>492</v>
      </c>
      <c r="H3550" t="s">
        <v>5423</v>
      </c>
      <c r="I3550">
        <v>1941</v>
      </c>
      <c r="J3550">
        <v>1487</v>
      </c>
      <c r="K3550">
        <v>0</v>
      </c>
      <c r="L3550">
        <v>220</v>
      </c>
      <c r="M3550">
        <v>158</v>
      </c>
      <c r="N3550">
        <v>1</v>
      </c>
      <c r="O3550">
        <v>76</v>
      </c>
    </row>
    <row r="3551" spans="1:15" x14ac:dyDescent="0.25">
      <c r="A3551" t="s">
        <v>1307</v>
      </c>
      <c r="B3551" t="s">
        <v>2982</v>
      </c>
      <c r="C3551" t="s">
        <v>927</v>
      </c>
      <c r="D3551" t="s">
        <v>3052</v>
      </c>
      <c r="E3551" t="s">
        <v>3053</v>
      </c>
      <c r="F3551" t="s">
        <v>491</v>
      </c>
      <c r="G3551" t="s">
        <v>492</v>
      </c>
      <c r="H3551" t="s">
        <v>5424</v>
      </c>
      <c r="I3551">
        <v>523</v>
      </c>
      <c r="J3551">
        <v>502</v>
      </c>
      <c r="K3551">
        <v>0</v>
      </c>
      <c r="L3551">
        <v>0</v>
      </c>
      <c r="M3551">
        <v>0</v>
      </c>
      <c r="N3551">
        <v>0</v>
      </c>
      <c r="O3551">
        <v>21</v>
      </c>
    </row>
    <row r="3552" spans="1:15" x14ac:dyDescent="0.25">
      <c r="A3552" t="s">
        <v>1134</v>
      </c>
      <c r="B3552" t="s">
        <v>2118</v>
      </c>
      <c r="C3552" t="s">
        <v>927</v>
      </c>
      <c r="D3552" t="s">
        <v>3052</v>
      </c>
      <c r="E3552" t="s">
        <v>3053</v>
      </c>
      <c r="F3552" t="s">
        <v>491</v>
      </c>
      <c r="G3552" t="s">
        <v>492</v>
      </c>
      <c r="H3552" t="s">
        <v>5425</v>
      </c>
      <c r="I3552">
        <v>1059</v>
      </c>
      <c r="J3552">
        <v>876</v>
      </c>
      <c r="K3552">
        <v>0</v>
      </c>
      <c r="L3552">
        <v>1</v>
      </c>
      <c r="M3552">
        <v>0</v>
      </c>
      <c r="N3552">
        <v>0</v>
      </c>
      <c r="O3552">
        <v>182</v>
      </c>
    </row>
    <row r="3553" spans="1:15" x14ac:dyDescent="0.25">
      <c r="A3553" t="s">
        <v>949</v>
      </c>
      <c r="B3553" t="s">
        <v>3035</v>
      </c>
      <c r="C3553" t="s">
        <v>927</v>
      </c>
      <c r="D3553" t="s">
        <v>3052</v>
      </c>
      <c r="E3553" t="s">
        <v>3053</v>
      </c>
      <c r="F3553" t="s">
        <v>491</v>
      </c>
      <c r="G3553" t="s">
        <v>492</v>
      </c>
      <c r="H3553" t="s">
        <v>5426</v>
      </c>
      <c r="I3553">
        <v>222</v>
      </c>
      <c r="J3553">
        <v>0</v>
      </c>
      <c r="K3553">
        <v>0</v>
      </c>
      <c r="L3553">
        <v>0</v>
      </c>
      <c r="M3553">
        <v>0</v>
      </c>
      <c r="N3553">
        <v>0</v>
      </c>
      <c r="O3553">
        <v>222</v>
      </c>
    </row>
    <row r="3554" spans="1:15" x14ac:dyDescent="0.25">
      <c r="A3554" t="s">
        <v>1135</v>
      </c>
      <c r="B3554" t="s">
        <v>1996</v>
      </c>
      <c r="C3554" t="s">
        <v>923</v>
      </c>
      <c r="D3554" t="s">
        <v>3063</v>
      </c>
      <c r="E3554" t="s">
        <v>3053</v>
      </c>
      <c r="F3554" t="s">
        <v>491</v>
      </c>
      <c r="G3554" t="s">
        <v>492</v>
      </c>
      <c r="H3554" t="s">
        <v>11056</v>
      </c>
      <c r="I3554">
        <v>33</v>
      </c>
      <c r="J3554">
        <v>33</v>
      </c>
      <c r="K3554">
        <v>0</v>
      </c>
      <c r="L3554">
        <v>0</v>
      </c>
      <c r="M3554">
        <v>0</v>
      </c>
      <c r="N3554">
        <v>0</v>
      </c>
      <c r="O3554">
        <v>0</v>
      </c>
    </row>
    <row r="3555" spans="1:15" x14ac:dyDescent="0.25">
      <c r="A3555" t="s">
        <v>1140</v>
      </c>
      <c r="B3555" t="s">
        <v>2697</v>
      </c>
      <c r="C3555" t="s">
        <v>927</v>
      </c>
      <c r="D3555" t="s">
        <v>3052</v>
      </c>
      <c r="E3555" t="s">
        <v>3053</v>
      </c>
      <c r="F3555" t="s">
        <v>491</v>
      </c>
      <c r="G3555" t="s">
        <v>492</v>
      </c>
      <c r="H3555" t="s">
        <v>5427</v>
      </c>
      <c r="I3555">
        <v>13</v>
      </c>
      <c r="J3555">
        <v>0</v>
      </c>
      <c r="K3555">
        <v>0</v>
      </c>
      <c r="L3555">
        <v>0</v>
      </c>
      <c r="M3555">
        <v>0</v>
      </c>
      <c r="N3555">
        <v>0</v>
      </c>
      <c r="O3555">
        <v>13</v>
      </c>
    </row>
    <row r="3556" spans="1:15" x14ac:dyDescent="0.25">
      <c r="A3556" t="s">
        <v>9807</v>
      </c>
      <c r="B3556" t="s">
        <v>9867</v>
      </c>
      <c r="C3556" t="s">
        <v>923</v>
      </c>
      <c r="D3556" t="s">
        <v>3063</v>
      </c>
      <c r="E3556" t="s">
        <v>3053</v>
      </c>
      <c r="F3556" t="s">
        <v>491</v>
      </c>
      <c r="G3556" t="s">
        <v>492</v>
      </c>
      <c r="H3556" t="s">
        <v>10292</v>
      </c>
      <c r="I3556">
        <v>1</v>
      </c>
      <c r="J3556">
        <v>1</v>
      </c>
      <c r="K3556">
        <v>0</v>
      </c>
      <c r="L3556">
        <v>0</v>
      </c>
      <c r="M3556">
        <v>0</v>
      </c>
      <c r="N3556">
        <v>0</v>
      </c>
      <c r="O3556">
        <v>0</v>
      </c>
    </row>
    <row r="3557" spans="1:15" x14ac:dyDescent="0.25">
      <c r="A3557" t="s">
        <v>1142</v>
      </c>
      <c r="B3557" t="s">
        <v>3003</v>
      </c>
      <c r="C3557" t="s">
        <v>927</v>
      </c>
      <c r="D3557" t="s">
        <v>3052</v>
      </c>
      <c r="E3557" t="s">
        <v>3053</v>
      </c>
      <c r="F3557" t="s">
        <v>491</v>
      </c>
      <c r="G3557" t="s">
        <v>492</v>
      </c>
      <c r="H3557" t="s">
        <v>5428</v>
      </c>
      <c r="I3557">
        <v>9</v>
      </c>
      <c r="J3557">
        <v>0</v>
      </c>
      <c r="K3557">
        <v>0</v>
      </c>
      <c r="L3557">
        <v>0</v>
      </c>
      <c r="M3557">
        <v>0</v>
      </c>
      <c r="N3557">
        <v>0</v>
      </c>
      <c r="O3557">
        <v>9</v>
      </c>
    </row>
    <row r="3558" spans="1:15" x14ac:dyDescent="0.25">
      <c r="A3558" t="s">
        <v>1043</v>
      </c>
      <c r="B3558" t="s">
        <v>2090</v>
      </c>
      <c r="C3558" t="s">
        <v>927</v>
      </c>
      <c r="D3558" t="s">
        <v>3052</v>
      </c>
      <c r="E3558" t="s">
        <v>3053</v>
      </c>
      <c r="F3558" t="s">
        <v>491</v>
      </c>
      <c r="G3558" t="s">
        <v>492</v>
      </c>
      <c r="H3558" t="s">
        <v>10297</v>
      </c>
      <c r="I3558">
        <v>14</v>
      </c>
      <c r="J3558">
        <v>0</v>
      </c>
      <c r="K3558">
        <v>0</v>
      </c>
      <c r="L3558">
        <v>0</v>
      </c>
      <c r="M3558">
        <v>0</v>
      </c>
      <c r="N3558">
        <v>0</v>
      </c>
      <c r="O3558">
        <v>14</v>
      </c>
    </row>
    <row r="3559" spans="1:15" x14ac:dyDescent="0.25">
      <c r="A3559" t="s">
        <v>1146</v>
      </c>
      <c r="B3559" t="s">
        <v>2117</v>
      </c>
      <c r="C3559" t="s">
        <v>927</v>
      </c>
      <c r="D3559" t="s">
        <v>3052</v>
      </c>
      <c r="E3559" t="s">
        <v>3053</v>
      </c>
      <c r="F3559" t="s">
        <v>491</v>
      </c>
      <c r="G3559" t="s">
        <v>492</v>
      </c>
      <c r="H3559" t="s">
        <v>5429</v>
      </c>
      <c r="I3559">
        <v>5629</v>
      </c>
      <c r="J3559">
        <v>4345</v>
      </c>
      <c r="K3559">
        <v>87</v>
      </c>
      <c r="L3559">
        <v>536</v>
      </c>
      <c r="M3559">
        <v>173</v>
      </c>
      <c r="N3559">
        <v>1</v>
      </c>
      <c r="O3559">
        <v>488</v>
      </c>
    </row>
    <row r="3560" spans="1:15" x14ac:dyDescent="0.25">
      <c r="A3560" t="s">
        <v>1320</v>
      </c>
      <c r="B3560" t="s">
        <v>2937</v>
      </c>
      <c r="C3560" t="s">
        <v>923</v>
      </c>
      <c r="D3560" t="s">
        <v>3063</v>
      </c>
      <c r="E3560" t="s">
        <v>3053</v>
      </c>
      <c r="F3560" t="s">
        <v>491</v>
      </c>
      <c r="G3560" t="s">
        <v>492</v>
      </c>
      <c r="H3560" t="s">
        <v>5430</v>
      </c>
      <c r="I3560">
        <v>133</v>
      </c>
      <c r="J3560">
        <v>33</v>
      </c>
      <c r="K3560">
        <v>14</v>
      </c>
      <c r="L3560">
        <v>80</v>
      </c>
      <c r="M3560">
        <v>6</v>
      </c>
      <c r="N3560">
        <v>0</v>
      </c>
      <c r="O3560">
        <v>0</v>
      </c>
    </row>
    <row r="3561" spans="1:15" x14ac:dyDescent="0.25">
      <c r="A3561" t="s">
        <v>1322</v>
      </c>
      <c r="B3561" t="s">
        <v>2466</v>
      </c>
      <c r="C3561" t="s">
        <v>923</v>
      </c>
      <c r="D3561" t="s">
        <v>3063</v>
      </c>
      <c r="E3561" t="s">
        <v>3053</v>
      </c>
      <c r="F3561" t="s">
        <v>491</v>
      </c>
      <c r="G3561" t="s">
        <v>492</v>
      </c>
      <c r="H3561" t="s">
        <v>5431</v>
      </c>
      <c r="I3561">
        <v>45</v>
      </c>
      <c r="J3561">
        <v>3</v>
      </c>
      <c r="K3561">
        <v>42</v>
      </c>
      <c r="L3561">
        <v>0</v>
      </c>
      <c r="M3561">
        <v>0</v>
      </c>
      <c r="N3561">
        <v>0</v>
      </c>
      <c r="O3561">
        <v>0</v>
      </c>
    </row>
    <row r="3562" spans="1:15" x14ac:dyDescent="0.25">
      <c r="A3562" t="s">
        <v>951</v>
      </c>
      <c r="B3562" t="s">
        <v>2680</v>
      </c>
      <c r="C3562" t="s">
        <v>927</v>
      </c>
      <c r="D3562" t="s">
        <v>3052</v>
      </c>
      <c r="E3562" t="s">
        <v>3053</v>
      </c>
      <c r="F3562" t="s">
        <v>491</v>
      </c>
      <c r="G3562" t="s">
        <v>492</v>
      </c>
      <c r="H3562" t="s">
        <v>5432</v>
      </c>
      <c r="I3562">
        <v>30</v>
      </c>
      <c r="J3562">
        <v>18</v>
      </c>
      <c r="K3562">
        <v>0</v>
      </c>
      <c r="L3562">
        <v>0</v>
      </c>
      <c r="M3562">
        <v>0</v>
      </c>
      <c r="N3562">
        <v>0</v>
      </c>
      <c r="O3562">
        <v>12</v>
      </c>
    </row>
    <row r="3563" spans="1:15" x14ac:dyDescent="0.25">
      <c r="A3563" t="s">
        <v>1048</v>
      </c>
      <c r="B3563" t="s">
        <v>2989</v>
      </c>
      <c r="C3563" t="s">
        <v>927</v>
      </c>
      <c r="D3563" t="s">
        <v>3052</v>
      </c>
      <c r="E3563" t="s">
        <v>3053</v>
      </c>
      <c r="F3563" t="s">
        <v>491</v>
      </c>
      <c r="G3563" t="s">
        <v>492</v>
      </c>
      <c r="H3563" t="s">
        <v>5433</v>
      </c>
      <c r="I3563">
        <v>437</v>
      </c>
      <c r="J3563">
        <v>432</v>
      </c>
      <c r="K3563">
        <v>0</v>
      </c>
      <c r="L3563">
        <v>5</v>
      </c>
      <c r="M3563">
        <v>0</v>
      </c>
      <c r="N3563">
        <v>0</v>
      </c>
      <c r="O3563">
        <v>0</v>
      </c>
    </row>
    <row r="3564" spans="1:15" x14ac:dyDescent="0.25">
      <c r="A3564" t="s">
        <v>1325</v>
      </c>
      <c r="B3564" t="s">
        <v>2832</v>
      </c>
      <c r="C3564" t="s">
        <v>927</v>
      </c>
      <c r="D3564" t="s">
        <v>3052</v>
      </c>
      <c r="E3564" t="s">
        <v>3053</v>
      </c>
      <c r="F3564" t="s">
        <v>491</v>
      </c>
      <c r="G3564" t="s">
        <v>492</v>
      </c>
      <c r="H3564" t="s">
        <v>11057</v>
      </c>
      <c r="I3564">
        <v>10</v>
      </c>
      <c r="J3564">
        <v>6</v>
      </c>
      <c r="K3564">
        <v>0</v>
      </c>
      <c r="L3564">
        <v>0</v>
      </c>
      <c r="M3564">
        <v>0</v>
      </c>
      <c r="N3564">
        <v>0</v>
      </c>
      <c r="O3564">
        <v>4</v>
      </c>
    </row>
    <row r="3565" spans="1:15" x14ac:dyDescent="0.25">
      <c r="A3565" t="s">
        <v>1327</v>
      </c>
      <c r="B3565" t="s">
        <v>2686</v>
      </c>
      <c r="C3565" t="s">
        <v>923</v>
      </c>
      <c r="D3565" t="s">
        <v>3063</v>
      </c>
      <c r="E3565" t="s">
        <v>3053</v>
      </c>
      <c r="F3565" t="s">
        <v>491</v>
      </c>
      <c r="G3565" t="s">
        <v>492</v>
      </c>
      <c r="H3565" t="s">
        <v>5434</v>
      </c>
      <c r="I3565">
        <v>15</v>
      </c>
      <c r="J3565">
        <v>0</v>
      </c>
      <c r="K3565">
        <v>0</v>
      </c>
      <c r="L3565">
        <v>15</v>
      </c>
      <c r="M3565">
        <v>0</v>
      </c>
      <c r="N3565">
        <v>0</v>
      </c>
      <c r="O3565">
        <v>0</v>
      </c>
    </row>
    <row r="3566" spans="1:15" x14ac:dyDescent="0.25">
      <c r="A3566" t="s">
        <v>1328</v>
      </c>
      <c r="B3566" t="s">
        <v>2360</v>
      </c>
      <c r="C3566" t="s">
        <v>923</v>
      </c>
      <c r="D3566" t="s">
        <v>3063</v>
      </c>
      <c r="E3566" t="s">
        <v>3053</v>
      </c>
      <c r="F3566" t="s">
        <v>491</v>
      </c>
      <c r="G3566" t="s">
        <v>492</v>
      </c>
      <c r="H3566" t="s">
        <v>5435</v>
      </c>
      <c r="I3566">
        <v>57</v>
      </c>
      <c r="J3566">
        <v>57</v>
      </c>
      <c r="K3566">
        <v>0</v>
      </c>
      <c r="L3566">
        <v>0</v>
      </c>
      <c r="M3566">
        <v>0</v>
      </c>
      <c r="N3566">
        <v>0</v>
      </c>
      <c r="O3566">
        <v>0</v>
      </c>
    </row>
    <row r="3567" spans="1:15" x14ac:dyDescent="0.25">
      <c r="A3567" t="s">
        <v>1057</v>
      </c>
      <c r="B3567" t="s">
        <v>1972</v>
      </c>
      <c r="C3567" t="s">
        <v>927</v>
      </c>
      <c r="D3567" t="s">
        <v>3052</v>
      </c>
      <c r="E3567" t="s">
        <v>3053</v>
      </c>
      <c r="F3567" t="s">
        <v>491</v>
      </c>
      <c r="G3567" t="s">
        <v>492</v>
      </c>
      <c r="H3567" t="s">
        <v>5436</v>
      </c>
      <c r="I3567">
        <v>18</v>
      </c>
      <c r="J3567">
        <v>12</v>
      </c>
      <c r="K3567">
        <v>0</v>
      </c>
      <c r="L3567">
        <v>0</v>
      </c>
      <c r="M3567">
        <v>0</v>
      </c>
      <c r="N3567">
        <v>0</v>
      </c>
      <c r="O3567">
        <v>6</v>
      </c>
    </row>
    <row r="3568" spans="1:15" x14ac:dyDescent="0.25">
      <c r="A3568" t="s">
        <v>955</v>
      </c>
      <c r="B3568" t="s">
        <v>2660</v>
      </c>
      <c r="C3568" t="s">
        <v>927</v>
      </c>
      <c r="D3568" t="s">
        <v>3052</v>
      </c>
      <c r="E3568" t="s">
        <v>3053</v>
      </c>
      <c r="F3568" t="s">
        <v>491</v>
      </c>
      <c r="G3568" t="s">
        <v>492</v>
      </c>
      <c r="H3568" t="s">
        <v>5437</v>
      </c>
      <c r="I3568">
        <v>2839</v>
      </c>
      <c r="J3568">
        <v>2619</v>
      </c>
      <c r="K3568">
        <v>5</v>
      </c>
      <c r="L3568">
        <v>93</v>
      </c>
      <c r="M3568">
        <v>67</v>
      </c>
      <c r="N3568">
        <v>4</v>
      </c>
      <c r="O3568">
        <v>55</v>
      </c>
    </row>
    <row r="3569" spans="1:15" x14ac:dyDescent="0.25">
      <c r="A3569" t="s">
        <v>1338</v>
      </c>
      <c r="B3569" t="s">
        <v>2984</v>
      </c>
      <c r="C3569" t="s">
        <v>923</v>
      </c>
      <c r="D3569" t="s">
        <v>3063</v>
      </c>
      <c r="E3569" t="s">
        <v>3053</v>
      </c>
      <c r="F3569" t="s">
        <v>491</v>
      </c>
      <c r="G3569" t="s">
        <v>492</v>
      </c>
      <c r="H3569" t="s">
        <v>5438</v>
      </c>
      <c r="I3569">
        <v>269</v>
      </c>
      <c r="J3569">
        <v>255</v>
      </c>
      <c r="K3569">
        <v>0</v>
      </c>
      <c r="L3569">
        <v>14</v>
      </c>
      <c r="M3569">
        <v>0</v>
      </c>
      <c r="N3569">
        <v>0</v>
      </c>
      <c r="O3569">
        <v>0</v>
      </c>
    </row>
    <row r="3570" spans="1:15" x14ac:dyDescent="0.25">
      <c r="A3570" t="s">
        <v>1341</v>
      </c>
      <c r="B3570" t="s">
        <v>2954</v>
      </c>
      <c r="C3570" t="s">
        <v>923</v>
      </c>
      <c r="D3570" t="s">
        <v>3063</v>
      </c>
      <c r="E3570" t="s">
        <v>3053</v>
      </c>
      <c r="F3570" t="s">
        <v>491</v>
      </c>
      <c r="G3570" t="s">
        <v>492</v>
      </c>
      <c r="H3570" t="s">
        <v>5439</v>
      </c>
      <c r="I3570">
        <v>10</v>
      </c>
      <c r="J3570">
        <v>10</v>
      </c>
      <c r="K3570">
        <v>0</v>
      </c>
      <c r="L3570">
        <v>0</v>
      </c>
      <c r="M3570">
        <v>0</v>
      </c>
      <c r="N3570">
        <v>0</v>
      </c>
      <c r="O3570">
        <v>0</v>
      </c>
    </row>
    <row r="3571" spans="1:15" x14ac:dyDescent="0.25">
      <c r="A3571" t="s">
        <v>11663</v>
      </c>
      <c r="B3571" t="s">
        <v>11768</v>
      </c>
      <c r="C3571" t="s">
        <v>927</v>
      </c>
      <c r="D3571" t="s">
        <v>3052</v>
      </c>
      <c r="E3571" t="s">
        <v>3053</v>
      </c>
      <c r="F3571" t="s">
        <v>491</v>
      </c>
      <c r="G3571" t="s">
        <v>492</v>
      </c>
      <c r="H3571" t="s">
        <v>12061</v>
      </c>
      <c r="I3571">
        <v>2264</v>
      </c>
      <c r="J3571">
        <v>1777</v>
      </c>
      <c r="K3571">
        <v>0</v>
      </c>
      <c r="L3571">
        <v>0</v>
      </c>
      <c r="M3571">
        <v>115</v>
      </c>
      <c r="N3571">
        <v>18</v>
      </c>
      <c r="O3571">
        <v>372</v>
      </c>
    </row>
    <row r="3572" spans="1:15" x14ac:dyDescent="0.25">
      <c r="A3572" t="s">
        <v>14380</v>
      </c>
      <c r="B3572" t="s">
        <v>2074</v>
      </c>
      <c r="C3572" t="s">
        <v>927</v>
      </c>
      <c r="D3572" t="s">
        <v>3052</v>
      </c>
      <c r="E3572" t="s">
        <v>3053</v>
      </c>
      <c r="F3572" t="s">
        <v>491</v>
      </c>
      <c r="G3572" t="s">
        <v>492</v>
      </c>
      <c r="H3572" t="s">
        <v>14768</v>
      </c>
      <c r="I3572">
        <v>653</v>
      </c>
      <c r="J3572">
        <v>333</v>
      </c>
      <c r="K3572">
        <v>306</v>
      </c>
      <c r="L3572">
        <v>0</v>
      </c>
      <c r="M3572">
        <v>0</v>
      </c>
      <c r="N3572">
        <v>5</v>
      </c>
      <c r="O3572">
        <v>14</v>
      </c>
    </row>
    <row r="3573" spans="1:15" x14ac:dyDescent="0.25">
      <c r="A3573" t="s">
        <v>1158</v>
      </c>
      <c r="B3573" t="s">
        <v>2922</v>
      </c>
      <c r="C3573" t="s">
        <v>927</v>
      </c>
      <c r="D3573" t="s">
        <v>3052</v>
      </c>
      <c r="E3573" t="s">
        <v>3053</v>
      </c>
      <c r="F3573" t="s">
        <v>491</v>
      </c>
      <c r="G3573" t="s">
        <v>492</v>
      </c>
      <c r="H3573" t="s">
        <v>5440</v>
      </c>
      <c r="I3573">
        <v>157</v>
      </c>
      <c r="J3573">
        <v>0</v>
      </c>
      <c r="K3573">
        <v>0</v>
      </c>
      <c r="L3573">
        <v>157</v>
      </c>
      <c r="M3573">
        <v>0</v>
      </c>
      <c r="N3573">
        <v>0</v>
      </c>
      <c r="O3573">
        <v>0</v>
      </c>
    </row>
    <row r="3574" spans="1:15" x14ac:dyDescent="0.25">
      <c r="A3574" t="s">
        <v>1352</v>
      </c>
      <c r="B3574" t="s">
        <v>2085</v>
      </c>
      <c r="C3574" t="s">
        <v>923</v>
      </c>
      <c r="D3574" t="s">
        <v>3063</v>
      </c>
      <c r="E3574" t="s">
        <v>3053</v>
      </c>
      <c r="F3574" t="s">
        <v>491</v>
      </c>
      <c r="G3574" t="s">
        <v>492</v>
      </c>
      <c r="H3574" t="s">
        <v>12062</v>
      </c>
      <c r="I3574">
        <v>2</v>
      </c>
      <c r="J3574">
        <v>2</v>
      </c>
      <c r="K3574">
        <v>0</v>
      </c>
      <c r="L3574">
        <v>0</v>
      </c>
      <c r="M3574">
        <v>0</v>
      </c>
      <c r="N3574">
        <v>0</v>
      </c>
      <c r="O3574">
        <v>0</v>
      </c>
    </row>
    <row r="3575" spans="1:15" x14ac:dyDescent="0.25">
      <c r="A3575" t="s">
        <v>1160</v>
      </c>
      <c r="B3575" t="s">
        <v>2863</v>
      </c>
      <c r="C3575" t="s">
        <v>923</v>
      </c>
      <c r="D3575" t="s">
        <v>3063</v>
      </c>
      <c r="E3575" t="s">
        <v>3053</v>
      </c>
      <c r="F3575" t="s">
        <v>491</v>
      </c>
      <c r="G3575" t="s">
        <v>492</v>
      </c>
      <c r="H3575" t="s">
        <v>5441</v>
      </c>
      <c r="I3575">
        <v>19</v>
      </c>
      <c r="J3575">
        <v>19</v>
      </c>
      <c r="K3575">
        <v>0</v>
      </c>
      <c r="L3575">
        <v>0</v>
      </c>
      <c r="M3575">
        <v>0</v>
      </c>
      <c r="N3575">
        <v>0</v>
      </c>
      <c r="O3575">
        <v>0</v>
      </c>
    </row>
    <row r="3576" spans="1:15" x14ac:dyDescent="0.25">
      <c r="A3576" t="s">
        <v>1069</v>
      </c>
      <c r="B3576" t="s">
        <v>2001</v>
      </c>
      <c r="C3576" t="s">
        <v>927</v>
      </c>
      <c r="D3576" t="s">
        <v>3052</v>
      </c>
      <c r="E3576" t="s">
        <v>3053</v>
      </c>
      <c r="F3576" t="s">
        <v>491</v>
      </c>
      <c r="G3576" t="s">
        <v>492</v>
      </c>
      <c r="H3576" t="s">
        <v>5442</v>
      </c>
      <c r="I3576">
        <v>1433</v>
      </c>
      <c r="J3576">
        <v>1377</v>
      </c>
      <c r="K3576">
        <v>0</v>
      </c>
      <c r="L3576">
        <v>0</v>
      </c>
      <c r="M3576">
        <v>53</v>
      </c>
      <c r="N3576">
        <v>0</v>
      </c>
      <c r="O3576">
        <v>3</v>
      </c>
    </row>
    <row r="3577" spans="1:15" x14ac:dyDescent="0.25">
      <c r="A3577" t="s">
        <v>1174</v>
      </c>
      <c r="B3577" t="s">
        <v>2663</v>
      </c>
      <c r="C3577" t="s">
        <v>927</v>
      </c>
      <c r="D3577" t="s">
        <v>3052</v>
      </c>
      <c r="E3577" t="s">
        <v>3053</v>
      </c>
      <c r="F3577" t="s">
        <v>491</v>
      </c>
      <c r="G3577" t="s">
        <v>492</v>
      </c>
      <c r="H3577" t="s">
        <v>5443</v>
      </c>
      <c r="I3577">
        <v>1017</v>
      </c>
      <c r="J3577">
        <v>897</v>
      </c>
      <c r="K3577">
        <v>0</v>
      </c>
      <c r="L3577">
        <v>0</v>
      </c>
      <c r="M3577">
        <v>106</v>
      </c>
      <c r="N3577">
        <v>84</v>
      </c>
      <c r="O3577">
        <v>14</v>
      </c>
    </row>
    <row r="3578" spans="1:15" x14ac:dyDescent="0.25">
      <c r="A3578" t="s">
        <v>1072</v>
      </c>
      <c r="B3578" t="s">
        <v>2907</v>
      </c>
      <c r="C3578" t="s">
        <v>927</v>
      </c>
      <c r="D3578" t="s">
        <v>3052</v>
      </c>
      <c r="E3578" t="s">
        <v>3053</v>
      </c>
      <c r="F3578" t="s">
        <v>491</v>
      </c>
      <c r="G3578" t="s">
        <v>492</v>
      </c>
      <c r="H3578" t="s">
        <v>14769</v>
      </c>
      <c r="I3578">
        <v>552</v>
      </c>
      <c r="J3578">
        <v>265</v>
      </c>
      <c r="K3578">
        <v>0</v>
      </c>
      <c r="L3578">
        <v>100</v>
      </c>
      <c r="M3578">
        <v>0</v>
      </c>
      <c r="N3578">
        <v>0</v>
      </c>
      <c r="O3578">
        <v>187</v>
      </c>
    </row>
    <row r="3579" spans="1:15" x14ac:dyDescent="0.25">
      <c r="A3579" t="s">
        <v>1369</v>
      </c>
      <c r="B3579" t="s">
        <v>10767</v>
      </c>
      <c r="C3579" t="s">
        <v>923</v>
      </c>
      <c r="D3579" t="s">
        <v>3063</v>
      </c>
      <c r="E3579" t="s">
        <v>3053</v>
      </c>
      <c r="F3579" t="s">
        <v>491</v>
      </c>
      <c r="G3579" t="s">
        <v>492</v>
      </c>
      <c r="H3579" t="s">
        <v>5444</v>
      </c>
      <c r="I3579">
        <v>9</v>
      </c>
      <c r="J3579">
        <v>9</v>
      </c>
      <c r="K3579">
        <v>0</v>
      </c>
      <c r="L3579">
        <v>0</v>
      </c>
      <c r="M3579">
        <v>0</v>
      </c>
      <c r="N3579">
        <v>0</v>
      </c>
      <c r="O3579">
        <v>0</v>
      </c>
    </row>
    <row r="3580" spans="1:15" x14ac:dyDescent="0.25">
      <c r="A3580" t="s">
        <v>9886</v>
      </c>
      <c r="B3580" t="s">
        <v>2623</v>
      </c>
      <c r="C3580" t="s">
        <v>923</v>
      </c>
      <c r="D3580" t="s">
        <v>3063</v>
      </c>
      <c r="E3580" t="s">
        <v>3053</v>
      </c>
      <c r="F3580" t="s">
        <v>491</v>
      </c>
      <c r="G3580" t="s">
        <v>492</v>
      </c>
      <c r="H3580" t="s">
        <v>10516</v>
      </c>
      <c r="I3580">
        <v>87</v>
      </c>
      <c r="J3580">
        <v>0</v>
      </c>
      <c r="K3580">
        <v>0</v>
      </c>
      <c r="L3580">
        <v>87</v>
      </c>
      <c r="M3580">
        <v>0</v>
      </c>
      <c r="N3580">
        <v>0</v>
      </c>
      <c r="O3580">
        <v>0</v>
      </c>
    </row>
    <row r="3581" spans="1:15" x14ac:dyDescent="0.25">
      <c r="A3581" t="s">
        <v>929</v>
      </c>
      <c r="B3581" t="s">
        <v>2999</v>
      </c>
      <c r="C3581" t="s">
        <v>927</v>
      </c>
      <c r="D3581" t="s">
        <v>3052</v>
      </c>
      <c r="E3581" t="s">
        <v>3053</v>
      </c>
      <c r="F3581" t="s">
        <v>493</v>
      </c>
      <c r="G3581" t="s">
        <v>494</v>
      </c>
      <c r="H3581" t="s">
        <v>5445</v>
      </c>
      <c r="I3581">
        <v>149</v>
      </c>
      <c r="J3581">
        <v>0</v>
      </c>
      <c r="K3581">
        <v>0</v>
      </c>
      <c r="L3581">
        <v>0</v>
      </c>
      <c r="M3581">
        <v>149</v>
      </c>
      <c r="N3581">
        <v>0</v>
      </c>
      <c r="O3581">
        <v>0</v>
      </c>
    </row>
    <row r="3582" spans="1:15" x14ac:dyDescent="0.25">
      <c r="A3582" t="s">
        <v>1095</v>
      </c>
      <c r="B3582" t="s">
        <v>1946</v>
      </c>
      <c r="C3582" t="s">
        <v>923</v>
      </c>
      <c r="D3582" t="s">
        <v>3063</v>
      </c>
      <c r="E3582" t="s">
        <v>3053</v>
      </c>
      <c r="F3582" t="s">
        <v>493</v>
      </c>
      <c r="G3582" t="s">
        <v>494</v>
      </c>
      <c r="H3582" t="s">
        <v>5446</v>
      </c>
      <c r="I3582">
        <v>66</v>
      </c>
      <c r="J3582">
        <v>0</v>
      </c>
      <c r="K3582">
        <v>0</v>
      </c>
      <c r="L3582">
        <v>66</v>
      </c>
      <c r="M3582">
        <v>0</v>
      </c>
      <c r="N3582">
        <v>0</v>
      </c>
      <c r="O3582">
        <v>0</v>
      </c>
    </row>
    <row r="3583" spans="1:15" x14ac:dyDescent="0.25">
      <c r="A3583" t="s">
        <v>985</v>
      </c>
      <c r="B3583" t="s">
        <v>1964</v>
      </c>
      <c r="C3583" t="s">
        <v>923</v>
      </c>
      <c r="D3583" t="s">
        <v>3063</v>
      </c>
      <c r="E3583" t="s">
        <v>3053</v>
      </c>
      <c r="F3583" t="s">
        <v>493</v>
      </c>
      <c r="G3583" t="s">
        <v>494</v>
      </c>
      <c r="H3583" t="s">
        <v>5447</v>
      </c>
      <c r="I3583">
        <v>1</v>
      </c>
      <c r="J3583">
        <v>0</v>
      </c>
      <c r="K3583">
        <v>0</v>
      </c>
      <c r="L3583">
        <v>1</v>
      </c>
      <c r="M3583">
        <v>0</v>
      </c>
      <c r="N3583">
        <v>0</v>
      </c>
      <c r="O3583">
        <v>0</v>
      </c>
    </row>
    <row r="3584" spans="1:15" x14ac:dyDescent="0.25">
      <c r="A3584" t="s">
        <v>933</v>
      </c>
      <c r="B3584" t="s">
        <v>2106</v>
      </c>
      <c r="C3584" t="s">
        <v>927</v>
      </c>
      <c r="D3584" t="s">
        <v>3052</v>
      </c>
      <c r="E3584" t="s">
        <v>3053</v>
      </c>
      <c r="F3584" t="s">
        <v>493</v>
      </c>
      <c r="G3584" t="s">
        <v>494</v>
      </c>
      <c r="H3584" t="s">
        <v>5448</v>
      </c>
      <c r="I3584">
        <v>453</v>
      </c>
      <c r="J3584">
        <v>435</v>
      </c>
      <c r="K3584">
        <v>0</v>
      </c>
      <c r="L3584">
        <v>1</v>
      </c>
      <c r="M3584">
        <v>17</v>
      </c>
      <c r="N3584">
        <v>0</v>
      </c>
      <c r="O3584">
        <v>0</v>
      </c>
    </row>
    <row r="3585" spans="1:15" x14ac:dyDescent="0.25">
      <c r="A3585" t="s">
        <v>991</v>
      </c>
      <c r="B3585" t="s">
        <v>1976</v>
      </c>
      <c r="C3585" t="s">
        <v>923</v>
      </c>
      <c r="D3585" t="s">
        <v>3063</v>
      </c>
      <c r="E3585" t="s">
        <v>3053</v>
      </c>
      <c r="F3585" t="s">
        <v>493</v>
      </c>
      <c r="G3585" t="s">
        <v>494</v>
      </c>
      <c r="H3585" t="s">
        <v>5449</v>
      </c>
      <c r="I3585">
        <v>6</v>
      </c>
      <c r="J3585">
        <v>0</v>
      </c>
      <c r="K3585">
        <v>0</v>
      </c>
      <c r="L3585">
        <v>6</v>
      </c>
      <c r="M3585">
        <v>0</v>
      </c>
      <c r="N3585">
        <v>0</v>
      </c>
      <c r="O3585">
        <v>0</v>
      </c>
    </row>
    <row r="3586" spans="1:15" x14ac:dyDescent="0.25">
      <c r="A3586" t="s">
        <v>10638</v>
      </c>
      <c r="B3586" t="s">
        <v>2057</v>
      </c>
      <c r="C3586" t="s">
        <v>927</v>
      </c>
      <c r="D3586" t="s">
        <v>3052</v>
      </c>
      <c r="E3586" t="s">
        <v>3053</v>
      </c>
      <c r="F3586" t="s">
        <v>493</v>
      </c>
      <c r="G3586" t="s">
        <v>494</v>
      </c>
      <c r="H3586" t="s">
        <v>11058</v>
      </c>
      <c r="I3586">
        <v>12</v>
      </c>
      <c r="J3586">
        <v>0</v>
      </c>
      <c r="K3586">
        <v>0</v>
      </c>
      <c r="L3586">
        <v>12</v>
      </c>
      <c r="M3586">
        <v>0</v>
      </c>
      <c r="N3586">
        <v>0</v>
      </c>
      <c r="O3586">
        <v>0</v>
      </c>
    </row>
    <row r="3587" spans="1:15" x14ac:dyDescent="0.25">
      <c r="A3587" t="s">
        <v>1487</v>
      </c>
      <c r="B3587" t="s">
        <v>2876</v>
      </c>
      <c r="C3587" t="s">
        <v>927</v>
      </c>
      <c r="D3587" t="s">
        <v>3052</v>
      </c>
      <c r="E3587" t="s">
        <v>3053</v>
      </c>
      <c r="F3587" t="s">
        <v>493</v>
      </c>
      <c r="G3587" t="s">
        <v>494</v>
      </c>
      <c r="H3587" t="s">
        <v>5450</v>
      </c>
      <c r="I3587">
        <v>7159</v>
      </c>
      <c r="J3587">
        <v>6754</v>
      </c>
      <c r="K3587">
        <v>0</v>
      </c>
      <c r="L3587">
        <v>262</v>
      </c>
      <c r="M3587">
        <v>0</v>
      </c>
      <c r="N3587">
        <v>22</v>
      </c>
      <c r="O3587">
        <v>143</v>
      </c>
    </row>
    <row r="3588" spans="1:15" x14ac:dyDescent="0.25">
      <c r="A3588" t="s">
        <v>937</v>
      </c>
      <c r="B3588" t="s">
        <v>1962</v>
      </c>
      <c r="C3588" t="s">
        <v>927</v>
      </c>
      <c r="D3588" t="s">
        <v>3052</v>
      </c>
      <c r="E3588" t="s">
        <v>3053</v>
      </c>
      <c r="F3588" t="s">
        <v>493</v>
      </c>
      <c r="G3588" t="s">
        <v>494</v>
      </c>
      <c r="H3588" t="s">
        <v>5451</v>
      </c>
      <c r="I3588">
        <v>3</v>
      </c>
      <c r="J3588">
        <v>0</v>
      </c>
      <c r="K3588">
        <v>0</v>
      </c>
      <c r="L3588">
        <v>0</v>
      </c>
      <c r="M3588">
        <v>0</v>
      </c>
      <c r="N3588">
        <v>0</v>
      </c>
      <c r="O3588">
        <v>3</v>
      </c>
    </row>
    <row r="3589" spans="1:15" x14ac:dyDescent="0.25">
      <c r="A3589" t="s">
        <v>940</v>
      </c>
      <c r="B3589" t="s">
        <v>2647</v>
      </c>
      <c r="C3589" t="s">
        <v>927</v>
      </c>
      <c r="D3589" t="s">
        <v>3052</v>
      </c>
      <c r="E3589" t="s">
        <v>3053</v>
      </c>
      <c r="F3589" t="s">
        <v>493</v>
      </c>
      <c r="G3589" t="s">
        <v>494</v>
      </c>
      <c r="H3589" t="s">
        <v>5452</v>
      </c>
      <c r="I3589">
        <v>64</v>
      </c>
      <c r="J3589">
        <v>0</v>
      </c>
      <c r="K3589">
        <v>0</v>
      </c>
      <c r="L3589">
        <v>0</v>
      </c>
      <c r="M3589">
        <v>64</v>
      </c>
      <c r="N3589">
        <v>0</v>
      </c>
      <c r="O3589">
        <v>0</v>
      </c>
    </row>
    <row r="3590" spans="1:15" x14ac:dyDescent="0.25">
      <c r="A3590" t="s">
        <v>1013</v>
      </c>
      <c r="B3590" t="s">
        <v>1959</v>
      </c>
      <c r="C3590" t="s">
        <v>927</v>
      </c>
      <c r="D3590" t="s">
        <v>3052</v>
      </c>
      <c r="E3590" t="s">
        <v>3053</v>
      </c>
      <c r="F3590" t="s">
        <v>493</v>
      </c>
      <c r="G3590" t="s">
        <v>494</v>
      </c>
      <c r="H3590" t="s">
        <v>5453</v>
      </c>
      <c r="I3590">
        <v>8</v>
      </c>
      <c r="J3590">
        <v>0</v>
      </c>
      <c r="K3590">
        <v>0</v>
      </c>
      <c r="L3590">
        <v>8</v>
      </c>
      <c r="M3590">
        <v>0</v>
      </c>
      <c r="N3590">
        <v>0</v>
      </c>
      <c r="O3590">
        <v>0</v>
      </c>
    </row>
    <row r="3591" spans="1:15" x14ac:dyDescent="0.25">
      <c r="A3591" t="s">
        <v>1508</v>
      </c>
      <c r="B3591" t="s">
        <v>3024</v>
      </c>
      <c r="C3591" t="s">
        <v>927</v>
      </c>
      <c r="D3591" t="s">
        <v>3052</v>
      </c>
      <c r="E3591" t="s">
        <v>3053</v>
      </c>
      <c r="F3591" t="s">
        <v>493</v>
      </c>
      <c r="G3591" t="s">
        <v>494</v>
      </c>
      <c r="H3591" t="s">
        <v>5454</v>
      </c>
      <c r="I3591">
        <v>6</v>
      </c>
      <c r="J3591">
        <v>0</v>
      </c>
      <c r="K3591">
        <v>0</v>
      </c>
      <c r="L3591">
        <v>0</v>
      </c>
      <c r="M3591">
        <v>0</v>
      </c>
      <c r="N3591">
        <v>0</v>
      </c>
      <c r="O3591">
        <v>6</v>
      </c>
    </row>
    <row r="3592" spans="1:15" x14ac:dyDescent="0.25">
      <c r="A3592" t="s">
        <v>1025</v>
      </c>
      <c r="B3592" t="s">
        <v>2893</v>
      </c>
      <c r="C3592" t="s">
        <v>927</v>
      </c>
      <c r="D3592" t="s">
        <v>3052</v>
      </c>
      <c r="E3592" t="s">
        <v>3053</v>
      </c>
      <c r="F3592" t="s">
        <v>493</v>
      </c>
      <c r="G3592" t="s">
        <v>494</v>
      </c>
      <c r="H3592" t="s">
        <v>12063</v>
      </c>
      <c r="I3592">
        <v>17</v>
      </c>
      <c r="J3592">
        <v>0</v>
      </c>
      <c r="K3592">
        <v>0</v>
      </c>
      <c r="L3592">
        <v>0</v>
      </c>
      <c r="M3592">
        <v>0</v>
      </c>
      <c r="N3592">
        <v>0</v>
      </c>
      <c r="O3592">
        <v>17</v>
      </c>
    </row>
    <row r="3593" spans="1:15" x14ac:dyDescent="0.25">
      <c r="A3593" t="s">
        <v>1512</v>
      </c>
      <c r="B3593" t="s">
        <v>2869</v>
      </c>
      <c r="C3593" t="s">
        <v>927</v>
      </c>
      <c r="D3593" t="s">
        <v>3052</v>
      </c>
      <c r="E3593" t="s">
        <v>3053</v>
      </c>
      <c r="F3593" t="s">
        <v>493</v>
      </c>
      <c r="G3593" t="s">
        <v>494</v>
      </c>
      <c r="H3593" t="s">
        <v>12064</v>
      </c>
      <c r="I3593">
        <v>71</v>
      </c>
      <c r="J3593">
        <v>55</v>
      </c>
      <c r="K3593">
        <v>0</v>
      </c>
      <c r="L3593">
        <v>0</v>
      </c>
      <c r="M3593">
        <v>0</v>
      </c>
      <c r="N3593">
        <v>0</v>
      </c>
      <c r="O3593">
        <v>16</v>
      </c>
    </row>
    <row r="3594" spans="1:15" x14ac:dyDescent="0.25">
      <c r="A3594" t="s">
        <v>1521</v>
      </c>
      <c r="B3594" t="s">
        <v>2920</v>
      </c>
      <c r="C3594" t="s">
        <v>927</v>
      </c>
      <c r="D3594" t="s">
        <v>3052</v>
      </c>
      <c r="E3594" t="s">
        <v>3053</v>
      </c>
      <c r="F3594" t="s">
        <v>493</v>
      </c>
      <c r="G3594" t="s">
        <v>494</v>
      </c>
      <c r="H3594" t="s">
        <v>5455</v>
      </c>
      <c r="I3594">
        <v>2473</v>
      </c>
      <c r="J3594">
        <v>2285</v>
      </c>
      <c r="K3594">
        <v>0</v>
      </c>
      <c r="L3594">
        <v>66</v>
      </c>
      <c r="M3594">
        <v>0</v>
      </c>
      <c r="N3594">
        <v>1</v>
      </c>
      <c r="O3594">
        <v>122</v>
      </c>
    </row>
    <row r="3595" spans="1:15" x14ac:dyDescent="0.25">
      <c r="A3595" t="s">
        <v>951</v>
      </c>
      <c r="B3595" t="s">
        <v>2680</v>
      </c>
      <c r="C3595" t="s">
        <v>927</v>
      </c>
      <c r="D3595" t="s">
        <v>3052</v>
      </c>
      <c r="E3595" t="s">
        <v>3053</v>
      </c>
      <c r="F3595" t="s">
        <v>493</v>
      </c>
      <c r="G3595" t="s">
        <v>494</v>
      </c>
      <c r="H3595" t="s">
        <v>5456</v>
      </c>
      <c r="I3595">
        <v>74</v>
      </c>
      <c r="J3595">
        <v>70</v>
      </c>
      <c r="K3595">
        <v>0</v>
      </c>
      <c r="L3595">
        <v>0</v>
      </c>
      <c r="M3595">
        <v>0</v>
      </c>
      <c r="N3595">
        <v>0</v>
      </c>
      <c r="O3595">
        <v>4</v>
      </c>
    </row>
    <row r="3596" spans="1:15" x14ac:dyDescent="0.25">
      <c r="A3596" t="s">
        <v>1525</v>
      </c>
      <c r="B3596" t="s">
        <v>2908</v>
      </c>
      <c r="C3596" t="s">
        <v>927</v>
      </c>
      <c r="D3596" t="s">
        <v>3052</v>
      </c>
      <c r="E3596" t="s">
        <v>3053</v>
      </c>
      <c r="F3596" t="s">
        <v>493</v>
      </c>
      <c r="G3596" t="s">
        <v>494</v>
      </c>
      <c r="H3596" t="s">
        <v>5457</v>
      </c>
      <c r="I3596">
        <v>807</v>
      </c>
      <c r="J3596">
        <v>746</v>
      </c>
      <c r="K3596">
        <v>0</v>
      </c>
      <c r="L3596">
        <v>22</v>
      </c>
      <c r="M3596">
        <v>0</v>
      </c>
      <c r="N3596">
        <v>0</v>
      </c>
      <c r="O3596">
        <v>39</v>
      </c>
    </row>
    <row r="3597" spans="1:15" x14ac:dyDescent="0.25">
      <c r="A3597" t="s">
        <v>1051</v>
      </c>
      <c r="B3597" t="s">
        <v>2995</v>
      </c>
      <c r="C3597" t="s">
        <v>927</v>
      </c>
      <c r="D3597" t="s">
        <v>3052</v>
      </c>
      <c r="E3597" t="s">
        <v>3053</v>
      </c>
      <c r="F3597" t="s">
        <v>493</v>
      </c>
      <c r="G3597" t="s">
        <v>494</v>
      </c>
      <c r="H3597" t="s">
        <v>5458</v>
      </c>
      <c r="I3597">
        <v>15</v>
      </c>
      <c r="J3597">
        <v>0</v>
      </c>
      <c r="K3597">
        <v>0</v>
      </c>
      <c r="L3597">
        <v>15</v>
      </c>
      <c r="M3597">
        <v>0</v>
      </c>
      <c r="N3597">
        <v>0</v>
      </c>
      <c r="O3597">
        <v>0</v>
      </c>
    </row>
    <row r="3598" spans="1:15" x14ac:dyDescent="0.25">
      <c r="A3598" t="s">
        <v>953</v>
      </c>
      <c r="B3598" t="s">
        <v>2014</v>
      </c>
      <c r="C3598" t="s">
        <v>927</v>
      </c>
      <c r="D3598" t="s">
        <v>3052</v>
      </c>
      <c r="E3598" t="s">
        <v>3053</v>
      </c>
      <c r="F3598" t="s">
        <v>493</v>
      </c>
      <c r="G3598" t="s">
        <v>494</v>
      </c>
      <c r="H3598" t="s">
        <v>5459</v>
      </c>
      <c r="I3598">
        <v>14</v>
      </c>
      <c r="J3598">
        <v>0</v>
      </c>
      <c r="K3598">
        <v>0</v>
      </c>
      <c r="L3598">
        <v>14</v>
      </c>
      <c r="M3598">
        <v>0</v>
      </c>
      <c r="N3598">
        <v>0</v>
      </c>
      <c r="O3598">
        <v>0</v>
      </c>
    </row>
    <row r="3599" spans="1:15" x14ac:dyDescent="0.25">
      <c r="A3599" t="s">
        <v>955</v>
      </c>
      <c r="B3599" t="s">
        <v>2660</v>
      </c>
      <c r="C3599" t="s">
        <v>927</v>
      </c>
      <c r="D3599" t="s">
        <v>3052</v>
      </c>
      <c r="E3599" t="s">
        <v>3053</v>
      </c>
      <c r="F3599" t="s">
        <v>493</v>
      </c>
      <c r="G3599" t="s">
        <v>494</v>
      </c>
      <c r="H3599" t="s">
        <v>5460</v>
      </c>
      <c r="I3599">
        <v>15</v>
      </c>
      <c r="J3599">
        <v>0</v>
      </c>
      <c r="K3599">
        <v>0</v>
      </c>
      <c r="L3599">
        <v>15</v>
      </c>
      <c r="M3599">
        <v>0</v>
      </c>
      <c r="N3599">
        <v>0</v>
      </c>
      <c r="O3599">
        <v>0</v>
      </c>
    </row>
    <row r="3600" spans="1:15" x14ac:dyDescent="0.25">
      <c r="A3600" t="s">
        <v>1072</v>
      </c>
      <c r="B3600" t="s">
        <v>2907</v>
      </c>
      <c r="C3600" t="s">
        <v>927</v>
      </c>
      <c r="D3600" t="s">
        <v>3052</v>
      </c>
      <c r="E3600" t="s">
        <v>3053</v>
      </c>
      <c r="F3600" t="s">
        <v>493</v>
      </c>
      <c r="G3600" t="s">
        <v>494</v>
      </c>
      <c r="H3600" t="s">
        <v>5461</v>
      </c>
      <c r="I3600">
        <v>2692</v>
      </c>
      <c r="J3600">
        <v>2399</v>
      </c>
      <c r="K3600">
        <v>0</v>
      </c>
      <c r="L3600">
        <v>14</v>
      </c>
      <c r="M3600">
        <v>245</v>
      </c>
      <c r="N3600">
        <v>0</v>
      </c>
      <c r="O3600">
        <v>34</v>
      </c>
    </row>
    <row r="3601" spans="1:15" x14ac:dyDescent="0.25">
      <c r="A3601" t="s">
        <v>1553</v>
      </c>
      <c r="B3601" t="s">
        <v>2132</v>
      </c>
      <c r="C3601" t="s">
        <v>927</v>
      </c>
      <c r="D3601" t="s">
        <v>3052</v>
      </c>
      <c r="E3601" t="s">
        <v>3053</v>
      </c>
      <c r="F3601" t="s">
        <v>493</v>
      </c>
      <c r="G3601" t="s">
        <v>494</v>
      </c>
      <c r="H3601" t="s">
        <v>12065</v>
      </c>
      <c r="I3601">
        <v>54</v>
      </c>
      <c r="J3601">
        <v>9</v>
      </c>
      <c r="K3601">
        <v>0</v>
      </c>
      <c r="L3601">
        <v>0</v>
      </c>
      <c r="M3601">
        <v>0</v>
      </c>
      <c r="N3601">
        <v>0</v>
      </c>
      <c r="O3601">
        <v>45</v>
      </c>
    </row>
    <row r="3602" spans="1:15" x14ac:dyDescent="0.25">
      <c r="A3602" t="s">
        <v>1083</v>
      </c>
      <c r="B3602" t="s">
        <v>2757</v>
      </c>
      <c r="C3602" t="s">
        <v>927</v>
      </c>
      <c r="D3602" t="s">
        <v>3052</v>
      </c>
      <c r="E3602" t="s">
        <v>3053</v>
      </c>
      <c r="F3602" t="s">
        <v>493</v>
      </c>
      <c r="G3602" t="s">
        <v>494</v>
      </c>
      <c r="H3602" t="s">
        <v>5462</v>
      </c>
      <c r="I3602">
        <v>749</v>
      </c>
      <c r="J3602">
        <v>665</v>
      </c>
      <c r="K3602">
        <v>0</v>
      </c>
      <c r="L3602">
        <v>0</v>
      </c>
      <c r="M3602">
        <v>28</v>
      </c>
      <c r="N3602">
        <v>0</v>
      </c>
      <c r="O3602">
        <v>56</v>
      </c>
    </row>
    <row r="3603" spans="1:15" x14ac:dyDescent="0.25">
      <c r="A3603" t="s">
        <v>1195</v>
      </c>
      <c r="B3603" t="s">
        <v>2924</v>
      </c>
      <c r="C3603" t="s">
        <v>927</v>
      </c>
      <c r="D3603" t="s">
        <v>3052</v>
      </c>
      <c r="E3603" t="s">
        <v>3053</v>
      </c>
      <c r="F3603" t="s">
        <v>495</v>
      </c>
      <c r="G3603" t="s">
        <v>496</v>
      </c>
      <c r="H3603" t="s">
        <v>5463</v>
      </c>
      <c r="I3603">
        <v>513</v>
      </c>
      <c r="J3603">
        <v>350</v>
      </c>
      <c r="K3603">
        <v>0</v>
      </c>
      <c r="L3603">
        <v>86</v>
      </c>
      <c r="M3603">
        <v>0</v>
      </c>
      <c r="N3603">
        <v>0</v>
      </c>
      <c r="O3603">
        <v>77</v>
      </c>
    </row>
    <row r="3604" spans="1:15" x14ac:dyDescent="0.25">
      <c r="A3604" t="s">
        <v>1197</v>
      </c>
      <c r="B3604" t="s">
        <v>2559</v>
      </c>
      <c r="C3604" t="s">
        <v>923</v>
      </c>
      <c r="D3604" t="s">
        <v>3063</v>
      </c>
      <c r="E3604" t="s">
        <v>3053</v>
      </c>
      <c r="F3604" t="s">
        <v>495</v>
      </c>
      <c r="G3604" t="s">
        <v>496</v>
      </c>
      <c r="H3604" t="s">
        <v>14770</v>
      </c>
      <c r="I3604">
        <v>8</v>
      </c>
      <c r="J3604">
        <v>0</v>
      </c>
      <c r="K3604">
        <v>0</v>
      </c>
      <c r="L3604">
        <v>8</v>
      </c>
      <c r="M3604">
        <v>0</v>
      </c>
      <c r="N3604">
        <v>0</v>
      </c>
      <c r="O3604">
        <v>0</v>
      </c>
    </row>
    <row r="3605" spans="1:15" x14ac:dyDescent="0.25">
      <c r="A3605" t="s">
        <v>1202</v>
      </c>
      <c r="B3605" t="s">
        <v>2191</v>
      </c>
      <c r="C3605" t="s">
        <v>923</v>
      </c>
      <c r="D3605" t="s">
        <v>3063</v>
      </c>
      <c r="E3605" t="s">
        <v>3053</v>
      </c>
      <c r="F3605" t="s">
        <v>495</v>
      </c>
      <c r="G3605" t="s">
        <v>496</v>
      </c>
      <c r="H3605" t="s">
        <v>9895</v>
      </c>
      <c r="I3605">
        <v>12</v>
      </c>
      <c r="J3605">
        <v>0</v>
      </c>
      <c r="K3605">
        <v>0</v>
      </c>
      <c r="L3605">
        <v>0</v>
      </c>
      <c r="M3605">
        <v>12</v>
      </c>
      <c r="N3605">
        <v>0</v>
      </c>
      <c r="O3605">
        <v>0</v>
      </c>
    </row>
    <row r="3606" spans="1:15" x14ac:dyDescent="0.25">
      <c r="A3606" t="s">
        <v>929</v>
      </c>
      <c r="B3606" t="s">
        <v>2999</v>
      </c>
      <c r="C3606" t="s">
        <v>927</v>
      </c>
      <c r="D3606" t="s">
        <v>3052</v>
      </c>
      <c r="E3606" t="s">
        <v>3053</v>
      </c>
      <c r="F3606" t="s">
        <v>495</v>
      </c>
      <c r="G3606" t="s">
        <v>496</v>
      </c>
      <c r="H3606" t="s">
        <v>5464</v>
      </c>
      <c r="I3606">
        <v>50</v>
      </c>
      <c r="J3606">
        <v>0</v>
      </c>
      <c r="K3606">
        <v>0</v>
      </c>
      <c r="L3606">
        <v>0</v>
      </c>
      <c r="M3606">
        <v>50</v>
      </c>
      <c r="N3606">
        <v>0</v>
      </c>
      <c r="O3606">
        <v>0</v>
      </c>
    </row>
    <row r="3607" spans="1:15" x14ac:dyDescent="0.25">
      <c r="A3607" t="s">
        <v>1087</v>
      </c>
      <c r="B3607" t="s">
        <v>2979</v>
      </c>
      <c r="C3607" t="s">
        <v>923</v>
      </c>
      <c r="D3607" t="s">
        <v>3063</v>
      </c>
      <c r="E3607" t="s">
        <v>3053</v>
      </c>
      <c r="F3607" t="s">
        <v>495</v>
      </c>
      <c r="G3607" t="s">
        <v>496</v>
      </c>
      <c r="H3607" t="s">
        <v>5465</v>
      </c>
      <c r="I3607">
        <v>63</v>
      </c>
      <c r="J3607">
        <v>63</v>
      </c>
      <c r="K3607">
        <v>0</v>
      </c>
      <c r="L3607">
        <v>0</v>
      </c>
      <c r="M3607">
        <v>0</v>
      </c>
      <c r="N3607">
        <v>2</v>
      </c>
      <c r="O3607">
        <v>0</v>
      </c>
    </row>
    <row r="3608" spans="1:15" x14ac:dyDescent="0.25">
      <c r="A3608" t="s">
        <v>1218</v>
      </c>
      <c r="B3608" t="s">
        <v>2565</v>
      </c>
      <c r="C3608" t="s">
        <v>927</v>
      </c>
      <c r="D3608" t="s">
        <v>3052</v>
      </c>
      <c r="E3608" t="s">
        <v>3053</v>
      </c>
      <c r="F3608" t="s">
        <v>495</v>
      </c>
      <c r="G3608" t="s">
        <v>496</v>
      </c>
      <c r="H3608" t="s">
        <v>5466</v>
      </c>
      <c r="I3608">
        <v>14</v>
      </c>
      <c r="J3608">
        <v>14</v>
      </c>
      <c r="K3608">
        <v>0</v>
      </c>
      <c r="L3608">
        <v>0</v>
      </c>
      <c r="M3608">
        <v>0</v>
      </c>
      <c r="N3608">
        <v>0</v>
      </c>
      <c r="O3608">
        <v>0</v>
      </c>
    </row>
    <row r="3609" spans="1:15" x14ac:dyDescent="0.25">
      <c r="A3609" t="s">
        <v>1219</v>
      </c>
      <c r="B3609" t="s">
        <v>2569</v>
      </c>
      <c r="C3609" t="s">
        <v>923</v>
      </c>
      <c r="D3609" t="s">
        <v>3063</v>
      </c>
      <c r="E3609" t="s">
        <v>3053</v>
      </c>
      <c r="F3609" t="s">
        <v>495</v>
      </c>
      <c r="G3609" t="s">
        <v>496</v>
      </c>
      <c r="H3609" t="s">
        <v>5467</v>
      </c>
      <c r="I3609">
        <v>14</v>
      </c>
      <c r="J3609">
        <v>0</v>
      </c>
      <c r="K3609">
        <v>0</v>
      </c>
      <c r="L3609">
        <v>14</v>
      </c>
      <c r="M3609">
        <v>0</v>
      </c>
      <c r="N3609">
        <v>0</v>
      </c>
      <c r="O3609">
        <v>0</v>
      </c>
    </row>
    <row r="3610" spans="1:15" x14ac:dyDescent="0.25">
      <c r="A3610" t="s">
        <v>933</v>
      </c>
      <c r="B3610" t="s">
        <v>2106</v>
      </c>
      <c r="C3610" t="s">
        <v>927</v>
      </c>
      <c r="D3610" t="s">
        <v>3052</v>
      </c>
      <c r="E3610" t="s">
        <v>3053</v>
      </c>
      <c r="F3610" t="s">
        <v>495</v>
      </c>
      <c r="G3610" t="s">
        <v>496</v>
      </c>
      <c r="H3610" t="s">
        <v>5468</v>
      </c>
      <c r="I3610">
        <v>349</v>
      </c>
      <c r="J3610">
        <v>237</v>
      </c>
      <c r="K3610">
        <v>0</v>
      </c>
      <c r="L3610">
        <v>0</v>
      </c>
      <c r="M3610">
        <v>0</v>
      </c>
      <c r="N3610">
        <v>1</v>
      </c>
      <c r="O3610">
        <v>112</v>
      </c>
    </row>
    <row r="3611" spans="1:15" x14ac:dyDescent="0.25">
      <c r="A3611" t="s">
        <v>1104</v>
      </c>
      <c r="B3611" t="s">
        <v>2483</v>
      </c>
      <c r="C3611" t="s">
        <v>923</v>
      </c>
      <c r="D3611" t="s">
        <v>3063</v>
      </c>
      <c r="E3611" t="s">
        <v>3053</v>
      </c>
      <c r="F3611" t="s">
        <v>495</v>
      </c>
      <c r="G3611" t="s">
        <v>496</v>
      </c>
      <c r="H3611" t="s">
        <v>5469</v>
      </c>
      <c r="I3611">
        <v>18</v>
      </c>
      <c r="J3611">
        <v>18</v>
      </c>
      <c r="K3611">
        <v>0</v>
      </c>
      <c r="L3611">
        <v>0</v>
      </c>
      <c r="M3611">
        <v>0</v>
      </c>
      <c r="N3611">
        <v>0</v>
      </c>
      <c r="O3611">
        <v>0</v>
      </c>
    </row>
    <row r="3612" spans="1:15" x14ac:dyDescent="0.25">
      <c r="A3612" t="s">
        <v>1236</v>
      </c>
      <c r="B3612" t="s">
        <v>2983</v>
      </c>
      <c r="C3612" t="s">
        <v>923</v>
      </c>
      <c r="D3612" t="s">
        <v>3063</v>
      </c>
      <c r="E3612" t="s">
        <v>3053</v>
      </c>
      <c r="F3612" t="s">
        <v>495</v>
      </c>
      <c r="G3612" t="s">
        <v>496</v>
      </c>
      <c r="H3612" t="s">
        <v>5470</v>
      </c>
      <c r="I3612">
        <v>25</v>
      </c>
      <c r="J3612">
        <v>0</v>
      </c>
      <c r="K3612">
        <v>25</v>
      </c>
      <c r="L3612">
        <v>0</v>
      </c>
      <c r="M3612">
        <v>0</v>
      </c>
      <c r="N3612">
        <v>0</v>
      </c>
      <c r="O3612">
        <v>0</v>
      </c>
    </row>
    <row r="3613" spans="1:15" x14ac:dyDescent="0.25">
      <c r="A3613" t="s">
        <v>10638</v>
      </c>
      <c r="B3613" t="s">
        <v>2057</v>
      </c>
      <c r="C3613" t="s">
        <v>927</v>
      </c>
      <c r="D3613" t="s">
        <v>3052</v>
      </c>
      <c r="E3613" t="s">
        <v>3053</v>
      </c>
      <c r="F3613" t="s">
        <v>495</v>
      </c>
      <c r="G3613" t="s">
        <v>496</v>
      </c>
      <c r="H3613" t="s">
        <v>11059</v>
      </c>
      <c r="I3613">
        <v>1</v>
      </c>
      <c r="J3613">
        <v>0</v>
      </c>
      <c r="K3613">
        <v>0</v>
      </c>
      <c r="L3613">
        <v>1</v>
      </c>
      <c r="M3613">
        <v>0</v>
      </c>
      <c r="N3613">
        <v>0</v>
      </c>
      <c r="O3613">
        <v>0</v>
      </c>
    </row>
    <row r="3614" spans="1:15" x14ac:dyDescent="0.25">
      <c r="A3614" t="s">
        <v>1008</v>
      </c>
      <c r="B3614" t="s">
        <v>2928</v>
      </c>
      <c r="C3614" t="s">
        <v>927</v>
      </c>
      <c r="D3614" t="s">
        <v>3052</v>
      </c>
      <c r="E3614" t="s">
        <v>3053</v>
      </c>
      <c r="F3614" t="s">
        <v>495</v>
      </c>
      <c r="G3614" t="s">
        <v>496</v>
      </c>
      <c r="H3614" t="s">
        <v>5471</v>
      </c>
      <c r="I3614">
        <v>58</v>
      </c>
      <c r="J3614">
        <v>50</v>
      </c>
      <c r="K3614">
        <v>0</v>
      </c>
      <c r="L3614">
        <v>0</v>
      </c>
      <c r="M3614">
        <v>8</v>
      </c>
      <c r="N3614">
        <v>0</v>
      </c>
      <c r="O3614">
        <v>0</v>
      </c>
    </row>
    <row r="3615" spans="1:15" x14ac:dyDescent="0.25">
      <c r="A3615" t="s">
        <v>1257</v>
      </c>
      <c r="B3615" t="s">
        <v>2207</v>
      </c>
      <c r="C3615" t="s">
        <v>923</v>
      </c>
      <c r="D3615" t="s">
        <v>3063</v>
      </c>
      <c r="E3615" t="s">
        <v>3053</v>
      </c>
      <c r="F3615" t="s">
        <v>495</v>
      </c>
      <c r="G3615" t="s">
        <v>496</v>
      </c>
      <c r="H3615" t="s">
        <v>5472</v>
      </c>
      <c r="I3615">
        <v>92</v>
      </c>
      <c r="J3615">
        <v>0</v>
      </c>
      <c r="K3615">
        <v>0</v>
      </c>
      <c r="L3615">
        <v>0</v>
      </c>
      <c r="M3615">
        <v>92</v>
      </c>
      <c r="N3615">
        <v>0</v>
      </c>
      <c r="O3615">
        <v>0</v>
      </c>
    </row>
    <row r="3616" spans="1:15" x14ac:dyDescent="0.25">
      <c r="A3616" t="s">
        <v>1259</v>
      </c>
      <c r="B3616" t="s">
        <v>2350</v>
      </c>
      <c r="C3616" t="s">
        <v>923</v>
      </c>
      <c r="D3616" t="s">
        <v>3063</v>
      </c>
      <c r="E3616" t="s">
        <v>3053</v>
      </c>
      <c r="F3616" t="s">
        <v>495</v>
      </c>
      <c r="G3616" t="s">
        <v>496</v>
      </c>
      <c r="H3616" t="s">
        <v>5473</v>
      </c>
      <c r="I3616">
        <v>20</v>
      </c>
      <c r="J3616">
        <v>0</v>
      </c>
      <c r="K3616">
        <v>0</v>
      </c>
      <c r="L3616">
        <v>0</v>
      </c>
      <c r="M3616">
        <v>20</v>
      </c>
      <c r="N3616">
        <v>0</v>
      </c>
      <c r="O3616">
        <v>0</v>
      </c>
    </row>
    <row r="3617" spans="1:15" x14ac:dyDescent="0.25">
      <c r="A3617" t="s">
        <v>938</v>
      </c>
      <c r="B3617" t="s">
        <v>2791</v>
      </c>
      <c r="C3617" t="s">
        <v>927</v>
      </c>
      <c r="D3617" t="s">
        <v>3052</v>
      </c>
      <c r="E3617" t="s">
        <v>3053</v>
      </c>
      <c r="F3617" t="s">
        <v>495</v>
      </c>
      <c r="G3617" t="s">
        <v>496</v>
      </c>
      <c r="H3617" t="s">
        <v>5474</v>
      </c>
      <c r="I3617">
        <v>13</v>
      </c>
      <c r="J3617">
        <v>0</v>
      </c>
      <c r="K3617">
        <v>0</v>
      </c>
      <c r="L3617">
        <v>13</v>
      </c>
      <c r="M3617">
        <v>0</v>
      </c>
      <c r="N3617">
        <v>0</v>
      </c>
      <c r="O3617">
        <v>0</v>
      </c>
    </row>
    <row r="3618" spans="1:15" x14ac:dyDescent="0.25">
      <c r="A3618" t="s">
        <v>940</v>
      </c>
      <c r="B3618" t="s">
        <v>2647</v>
      </c>
      <c r="C3618" t="s">
        <v>927</v>
      </c>
      <c r="D3618" t="s">
        <v>3052</v>
      </c>
      <c r="E3618" t="s">
        <v>3053</v>
      </c>
      <c r="F3618" t="s">
        <v>495</v>
      </c>
      <c r="G3618" t="s">
        <v>496</v>
      </c>
      <c r="H3618" t="s">
        <v>12066</v>
      </c>
      <c r="I3618">
        <v>96</v>
      </c>
      <c r="J3618">
        <v>0</v>
      </c>
      <c r="K3618">
        <v>0</v>
      </c>
      <c r="L3618">
        <v>0</v>
      </c>
      <c r="M3618">
        <v>81</v>
      </c>
      <c r="N3618">
        <v>0</v>
      </c>
      <c r="O3618">
        <v>15</v>
      </c>
    </row>
    <row r="3619" spans="1:15" x14ac:dyDescent="0.25">
      <c r="A3619" t="s">
        <v>1124</v>
      </c>
      <c r="B3619" t="s">
        <v>2981</v>
      </c>
      <c r="C3619" t="s">
        <v>923</v>
      </c>
      <c r="D3619" t="s">
        <v>3063</v>
      </c>
      <c r="E3619" t="s">
        <v>3053</v>
      </c>
      <c r="F3619" t="s">
        <v>495</v>
      </c>
      <c r="G3619" t="s">
        <v>496</v>
      </c>
      <c r="H3619" t="s">
        <v>5475</v>
      </c>
      <c r="I3619">
        <v>44</v>
      </c>
      <c r="J3619">
        <v>44</v>
      </c>
      <c r="K3619">
        <v>0</v>
      </c>
      <c r="L3619">
        <v>0</v>
      </c>
      <c r="M3619">
        <v>0</v>
      </c>
      <c r="N3619">
        <v>0</v>
      </c>
      <c r="O3619">
        <v>0</v>
      </c>
    </row>
    <row r="3620" spans="1:15" x14ac:dyDescent="0.25">
      <c r="A3620" t="s">
        <v>10667</v>
      </c>
      <c r="B3620" t="s">
        <v>10666</v>
      </c>
      <c r="C3620" t="s">
        <v>927</v>
      </c>
      <c r="D3620" t="s">
        <v>3052</v>
      </c>
      <c r="E3620" t="s">
        <v>3053</v>
      </c>
      <c r="F3620" t="s">
        <v>495</v>
      </c>
      <c r="G3620" t="s">
        <v>496</v>
      </c>
      <c r="H3620" t="s">
        <v>14771</v>
      </c>
      <c r="I3620">
        <v>87</v>
      </c>
      <c r="J3620">
        <v>87</v>
      </c>
      <c r="K3620">
        <v>0</v>
      </c>
      <c r="L3620">
        <v>0</v>
      </c>
      <c r="M3620">
        <v>0</v>
      </c>
      <c r="N3620">
        <v>0</v>
      </c>
      <c r="O3620">
        <v>0</v>
      </c>
    </row>
    <row r="3621" spans="1:15" x14ac:dyDescent="0.25">
      <c r="A3621" t="s">
        <v>1126</v>
      </c>
      <c r="B3621" t="s">
        <v>2130</v>
      </c>
      <c r="C3621" t="s">
        <v>927</v>
      </c>
      <c r="D3621" t="s">
        <v>3052</v>
      </c>
      <c r="E3621" t="s">
        <v>3053</v>
      </c>
      <c r="F3621" t="s">
        <v>495</v>
      </c>
      <c r="G3621" t="s">
        <v>496</v>
      </c>
      <c r="H3621" t="s">
        <v>12067</v>
      </c>
      <c r="I3621">
        <v>87</v>
      </c>
      <c r="J3621">
        <v>0</v>
      </c>
      <c r="K3621">
        <v>0</v>
      </c>
      <c r="L3621">
        <v>0</v>
      </c>
      <c r="M3621">
        <v>0</v>
      </c>
      <c r="N3621">
        <v>0</v>
      </c>
      <c r="O3621">
        <v>87</v>
      </c>
    </row>
    <row r="3622" spans="1:15" x14ac:dyDescent="0.25">
      <c r="A3622" t="s">
        <v>1025</v>
      </c>
      <c r="B3622" t="s">
        <v>2893</v>
      </c>
      <c r="C3622" t="s">
        <v>927</v>
      </c>
      <c r="D3622" t="s">
        <v>3052</v>
      </c>
      <c r="E3622" t="s">
        <v>3053</v>
      </c>
      <c r="F3622" t="s">
        <v>495</v>
      </c>
      <c r="G3622" t="s">
        <v>496</v>
      </c>
      <c r="H3622" t="s">
        <v>5476</v>
      </c>
      <c r="I3622">
        <v>560</v>
      </c>
      <c r="J3622">
        <v>464</v>
      </c>
      <c r="K3622">
        <v>0</v>
      </c>
      <c r="L3622">
        <v>31</v>
      </c>
      <c r="M3622">
        <v>0</v>
      </c>
      <c r="N3622">
        <v>28</v>
      </c>
      <c r="O3622">
        <v>65</v>
      </c>
    </row>
    <row r="3623" spans="1:15" x14ac:dyDescent="0.25">
      <c r="A3623" t="s">
        <v>1293</v>
      </c>
      <c r="B3623" t="s">
        <v>2910</v>
      </c>
      <c r="C3623" t="s">
        <v>927</v>
      </c>
      <c r="D3623" t="s">
        <v>3052</v>
      </c>
      <c r="E3623" t="s">
        <v>3053</v>
      </c>
      <c r="F3623" t="s">
        <v>495</v>
      </c>
      <c r="G3623" t="s">
        <v>496</v>
      </c>
      <c r="H3623" t="s">
        <v>5477</v>
      </c>
      <c r="I3623">
        <v>31</v>
      </c>
      <c r="J3623">
        <v>0</v>
      </c>
      <c r="K3623">
        <v>0</v>
      </c>
      <c r="L3623">
        <v>31</v>
      </c>
      <c r="M3623">
        <v>0</v>
      </c>
      <c r="N3623">
        <v>0</v>
      </c>
      <c r="O3623">
        <v>0</v>
      </c>
    </row>
    <row r="3624" spans="1:15" x14ac:dyDescent="0.25">
      <c r="A3624" t="s">
        <v>943</v>
      </c>
      <c r="B3624" t="s">
        <v>2694</v>
      </c>
      <c r="C3624" t="s">
        <v>927</v>
      </c>
      <c r="D3624" t="s">
        <v>3052</v>
      </c>
      <c r="E3624" t="s">
        <v>3053</v>
      </c>
      <c r="F3624" t="s">
        <v>495</v>
      </c>
      <c r="G3624" t="s">
        <v>496</v>
      </c>
      <c r="H3624" t="s">
        <v>5478</v>
      </c>
      <c r="I3624">
        <v>81</v>
      </c>
      <c r="J3624">
        <v>7</v>
      </c>
      <c r="K3624">
        <v>7</v>
      </c>
      <c r="L3624">
        <v>67</v>
      </c>
      <c r="M3624">
        <v>0</v>
      </c>
      <c r="N3624">
        <v>0</v>
      </c>
      <c r="O3624">
        <v>0</v>
      </c>
    </row>
    <row r="3625" spans="1:15" x14ac:dyDescent="0.25">
      <c r="A3625" t="s">
        <v>1134</v>
      </c>
      <c r="B3625" t="s">
        <v>2118</v>
      </c>
      <c r="C3625" t="s">
        <v>927</v>
      </c>
      <c r="D3625" t="s">
        <v>3052</v>
      </c>
      <c r="E3625" t="s">
        <v>3053</v>
      </c>
      <c r="F3625" t="s">
        <v>495</v>
      </c>
      <c r="G3625" t="s">
        <v>496</v>
      </c>
      <c r="H3625" t="s">
        <v>5479</v>
      </c>
      <c r="I3625">
        <v>4864</v>
      </c>
      <c r="J3625">
        <v>4167</v>
      </c>
      <c r="K3625">
        <v>0</v>
      </c>
      <c r="L3625">
        <v>447</v>
      </c>
      <c r="M3625">
        <v>140</v>
      </c>
      <c r="N3625">
        <v>29</v>
      </c>
      <c r="O3625">
        <v>110</v>
      </c>
    </row>
    <row r="3626" spans="1:15" x14ac:dyDescent="0.25">
      <c r="A3626" t="s">
        <v>949</v>
      </c>
      <c r="B3626" t="s">
        <v>3035</v>
      </c>
      <c r="C3626" t="s">
        <v>927</v>
      </c>
      <c r="D3626" t="s">
        <v>3052</v>
      </c>
      <c r="E3626" t="s">
        <v>3053</v>
      </c>
      <c r="F3626" t="s">
        <v>495</v>
      </c>
      <c r="G3626" t="s">
        <v>496</v>
      </c>
      <c r="H3626" t="s">
        <v>5480</v>
      </c>
      <c r="I3626">
        <v>249</v>
      </c>
      <c r="J3626">
        <v>0</v>
      </c>
      <c r="K3626">
        <v>0</v>
      </c>
      <c r="L3626">
        <v>0</v>
      </c>
      <c r="M3626">
        <v>0</v>
      </c>
      <c r="N3626">
        <v>0</v>
      </c>
      <c r="O3626">
        <v>249</v>
      </c>
    </row>
    <row r="3627" spans="1:15" x14ac:dyDescent="0.25">
      <c r="A3627" t="s">
        <v>1309</v>
      </c>
      <c r="B3627" t="s">
        <v>2690</v>
      </c>
      <c r="C3627" t="s">
        <v>927</v>
      </c>
      <c r="D3627" t="s">
        <v>3052</v>
      </c>
      <c r="E3627" t="s">
        <v>3053</v>
      </c>
      <c r="F3627" t="s">
        <v>495</v>
      </c>
      <c r="G3627" t="s">
        <v>496</v>
      </c>
      <c r="H3627" t="s">
        <v>5481</v>
      </c>
      <c r="I3627">
        <v>531</v>
      </c>
      <c r="J3627">
        <v>463</v>
      </c>
      <c r="K3627">
        <v>33</v>
      </c>
      <c r="L3627">
        <v>0</v>
      </c>
      <c r="M3627">
        <v>0</v>
      </c>
      <c r="N3627">
        <v>35</v>
      </c>
      <c r="O3627">
        <v>35</v>
      </c>
    </row>
    <row r="3628" spans="1:15" x14ac:dyDescent="0.25">
      <c r="A3628" t="s">
        <v>1043</v>
      </c>
      <c r="B3628" t="s">
        <v>2090</v>
      </c>
      <c r="C3628" t="s">
        <v>927</v>
      </c>
      <c r="D3628" t="s">
        <v>3052</v>
      </c>
      <c r="E3628" t="s">
        <v>3053</v>
      </c>
      <c r="F3628" t="s">
        <v>495</v>
      </c>
      <c r="G3628" t="s">
        <v>496</v>
      </c>
      <c r="H3628" t="s">
        <v>5482</v>
      </c>
      <c r="I3628">
        <v>46</v>
      </c>
      <c r="J3628">
        <v>46</v>
      </c>
      <c r="K3628">
        <v>0</v>
      </c>
      <c r="L3628">
        <v>0</v>
      </c>
      <c r="M3628">
        <v>0</v>
      </c>
      <c r="N3628">
        <v>0</v>
      </c>
      <c r="O3628">
        <v>0</v>
      </c>
    </row>
    <row r="3629" spans="1:15" x14ac:dyDescent="0.25">
      <c r="A3629" t="s">
        <v>1146</v>
      </c>
      <c r="B3629" t="s">
        <v>2117</v>
      </c>
      <c r="C3629" t="s">
        <v>927</v>
      </c>
      <c r="D3629" t="s">
        <v>3052</v>
      </c>
      <c r="E3629" t="s">
        <v>3053</v>
      </c>
      <c r="F3629" t="s">
        <v>495</v>
      </c>
      <c r="G3629" t="s">
        <v>496</v>
      </c>
      <c r="H3629" t="s">
        <v>5483</v>
      </c>
      <c r="I3629">
        <v>2320</v>
      </c>
      <c r="J3629">
        <v>2122</v>
      </c>
      <c r="K3629">
        <v>0</v>
      </c>
      <c r="L3629">
        <v>46</v>
      </c>
      <c r="M3629">
        <v>0</v>
      </c>
      <c r="N3629">
        <v>0</v>
      </c>
      <c r="O3629">
        <v>152</v>
      </c>
    </row>
    <row r="3630" spans="1:15" x14ac:dyDescent="0.25">
      <c r="A3630" t="s">
        <v>951</v>
      </c>
      <c r="B3630" t="s">
        <v>2680</v>
      </c>
      <c r="C3630" t="s">
        <v>927</v>
      </c>
      <c r="D3630" t="s">
        <v>3052</v>
      </c>
      <c r="E3630" t="s">
        <v>3053</v>
      </c>
      <c r="F3630" t="s">
        <v>495</v>
      </c>
      <c r="G3630" t="s">
        <v>496</v>
      </c>
      <c r="H3630" t="s">
        <v>5484</v>
      </c>
      <c r="I3630">
        <v>42</v>
      </c>
      <c r="J3630">
        <v>42</v>
      </c>
      <c r="K3630">
        <v>0</v>
      </c>
      <c r="L3630">
        <v>0</v>
      </c>
      <c r="M3630">
        <v>0</v>
      </c>
      <c r="N3630">
        <v>0</v>
      </c>
      <c r="O3630">
        <v>0</v>
      </c>
    </row>
    <row r="3631" spans="1:15" x14ac:dyDescent="0.25">
      <c r="A3631" t="s">
        <v>1056</v>
      </c>
      <c r="B3631" t="s">
        <v>2966</v>
      </c>
      <c r="C3631" t="s">
        <v>927</v>
      </c>
      <c r="D3631" t="s">
        <v>3052</v>
      </c>
      <c r="E3631" t="s">
        <v>3053</v>
      </c>
      <c r="F3631" t="s">
        <v>495</v>
      </c>
      <c r="G3631" t="s">
        <v>496</v>
      </c>
      <c r="H3631" t="s">
        <v>5485</v>
      </c>
      <c r="I3631">
        <v>24</v>
      </c>
      <c r="J3631">
        <v>0</v>
      </c>
      <c r="K3631">
        <v>0</v>
      </c>
      <c r="L3631">
        <v>24</v>
      </c>
      <c r="M3631">
        <v>0</v>
      </c>
      <c r="N3631">
        <v>0</v>
      </c>
      <c r="O3631">
        <v>0</v>
      </c>
    </row>
    <row r="3632" spans="1:15" x14ac:dyDescent="0.25">
      <c r="A3632" t="s">
        <v>1155</v>
      </c>
      <c r="B3632" t="s">
        <v>2912</v>
      </c>
      <c r="C3632" t="s">
        <v>927</v>
      </c>
      <c r="D3632" t="s">
        <v>3052</v>
      </c>
      <c r="E3632" t="s">
        <v>3053</v>
      </c>
      <c r="F3632" t="s">
        <v>495</v>
      </c>
      <c r="G3632" t="s">
        <v>496</v>
      </c>
      <c r="H3632" t="s">
        <v>5486</v>
      </c>
      <c r="I3632">
        <v>2494</v>
      </c>
      <c r="J3632">
        <v>2212</v>
      </c>
      <c r="K3632">
        <v>0</v>
      </c>
      <c r="L3632">
        <v>80</v>
      </c>
      <c r="M3632">
        <v>73</v>
      </c>
      <c r="N3632">
        <v>36</v>
      </c>
      <c r="O3632">
        <v>129</v>
      </c>
    </row>
    <row r="3633" spans="1:15" x14ac:dyDescent="0.25">
      <c r="A3633" t="s">
        <v>11663</v>
      </c>
      <c r="B3633" t="s">
        <v>11768</v>
      </c>
      <c r="C3633" t="s">
        <v>927</v>
      </c>
      <c r="D3633" t="s">
        <v>3052</v>
      </c>
      <c r="E3633" t="s">
        <v>3053</v>
      </c>
      <c r="F3633" t="s">
        <v>495</v>
      </c>
      <c r="G3633" t="s">
        <v>496</v>
      </c>
      <c r="H3633" t="s">
        <v>12068</v>
      </c>
      <c r="I3633">
        <v>888</v>
      </c>
      <c r="J3633">
        <v>775</v>
      </c>
      <c r="K3633">
        <v>0</v>
      </c>
      <c r="L3633">
        <v>0</v>
      </c>
      <c r="M3633">
        <v>81</v>
      </c>
      <c r="N3633">
        <v>3</v>
      </c>
      <c r="O3633">
        <v>32</v>
      </c>
    </row>
    <row r="3634" spans="1:15" x14ac:dyDescent="0.25">
      <c r="A3634" t="s">
        <v>14380</v>
      </c>
      <c r="B3634" t="s">
        <v>2074</v>
      </c>
      <c r="C3634" t="s">
        <v>927</v>
      </c>
      <c r="D3634" t="s">
        <v>3052</v>
      </c>
      <c r="E3634" t="s">
        <v>3053</v>
      </c>
      <c r="F3634" t="s">
        <v>495</v>
      </c>
      <c r="G3634" t="s">
        <v>496</v>
      </c>
      <c r="H3634" t="s">
        <v>14772</v>
      </c>
      <c r="I3634">
        <v>143</v>
      </c>
      <c r="J3634">
        <v>118</v>
      </c>
      <c r="K3634">
        <v>0</v>
      </c>
      <c r="L3634">
        <v>0</v>
      </c>
      <c r="M3634">
        <v>0</v>
      </c>
      <c r="N3634">
        <v>0</v>
      </c>
      <c r="O3634">
        <v>25</v>
      </c>
    </row>
    <row r="3635" spans="1:15" x14ac:dyDescent="0.25">
      <c r="A3635" t="s">
        <v>10731</v>
      </c>
      <c r="B3635" t="s">
        <v>10730</v>
      </c>
      <c r="C3635" t="s">
        <v>923</v>
      </c>
      <c r="D3635" t="s">
        <v>3063</v>
      </c>
      <c r="E3635" t="s">
        <v>3053</v>
      </c>
      <c r="F3635" t="s">
        <v>495</v>
      </c>
      <c r="G3635" t="s">
        <v>496</v>
      </c>
      <c r="H3635" t="s">
        <v>14773</v>
      </c>
      <c r="I3635">
        <v>21</v>
      </c>
      <c r="J3635">
        <v>21</v>
      </c>
      <c r="K3635">
        <v>0</v>
      </c>
      <c r="L3635">
        <v>0</v>
      </c>
      <c r="M3635">
        <v>0</v>
      </c>
      <c r="N3635">
        <v>1</v>
      </c>
      <c r="O3635">
        <v>0</v>
      </c>
    </row>
    <row r="3636" spans="1:15" x14ac:dyDescent="0.25">
      <c r="A3636" t="s">
        <v>1158</v>
      </c>
      <c r="B3636" t="s">
        <v>2922</v>
      </c>
      <c r="C3636" t="s">
        <v>927</v>
      </c>
      <c r="D3636" t="s">
        <v>3052</v>
      </c>
      <c r="E3636" t="s">
        <v>3053</v>
      </c>
      <c r="F3636" t="s">
        <v>495</v>
      </c>
      <c r="G3636" t="s">
        <v>496</v>
      </c>
      <c r="H3636" t="s">
        <v>5487</v>
      </c>
      <c r="I3636">
        <v>52</v>
      </c>
      <c r="J3636">
        <v>20</v>
      </c>
      <c r="K3636">
        <v>32</v>
      </c>
      <c r="L3636">
        <v>0</v>
      </c>
      <c r="M3636">
        <v>0</v>
      </c>
      <c r="N3636">
        <v>0</v>
      </c>
      <c r="O3636">
        <v>0</v>
      </c>
    </row>
    <row r="3637" spans="1:15" x14ac:dyDescent="0.25">
      <c r="A3637" t="s">
        <v>1354</v>
      </c>
      <c r="B3637" t="s">
        <v>2676</v>
      </c>
      <c r="C3637" t="s">
        <v>927</v>
      </c>
      <c r="D3637" t="s">
        <v>3052</v>
      </c>
      <c r="E3637" t="s">
        <v>3053</v>
      </c>
      <c r="F3637" t="s">
        <v>495</v>
      </c>
      <c r="G3637" t="s">
        <v>496</v>
      </c>
      <c r="H3637" t="s">
        <v>5488</v>
      </c>
      <c r="I3637">
        <v>295</v>
      </c>
      <c r="J3637">
        <v>295</v>
      </c>
      <c r="K3637">
        <v>0</v>
      </c>
      <c r="L3637">
        <v>0</v>
      </c>
      <c r="M3637">
        <v>0</v>
      </c>
      <c r="N3637">
        <v>0</v>
      </c>
      <c r="O3637">
        <v>0</v>
      </c>
    </row>
    <row r="3638" spans="1:15" x14ac:dyDescent="0.25">
      <c r="A3638" t="s">
        <v>9812</v>
      </c>
      <c r="B3638" t="s">
        <v>2575</v>
      </c>
      <c r="C3638" t="s">
        <v>923</v>
      </c>
      <c r="D3638" t="s">
        <v>3063</v>
      </c>
      <c r="E3638" t="s">
        <v>3053</v>
      </c>
      <c r="F3638" t="s">
        <v>495</v>
      </c>
      <c r="G3638" t="s">
        <v>496</v>
      </c>
      <c r="H3638" t="s">
        <v>10469</v>
      </c>
      <c r="I3638">
        <v>8</v>
      </c>
      <c r="J3638">
        <v>0</v>
      </c>
      <c r="K3638">
        <v>0</v>
      </c>
      <c r="L3638">
        <v>0</v>
      </c>
      <c r="M3638">
        <v>8</v>
      </c>
      <c r="N3638">
        <v>0</v>
      </c>
      <c r="O3638">
        <v>0</v>
      </c>
    </row>
    <row r="3639" spans="1:15" x14ac:dyDescent="0.25">
      <c r="A3639" t="s">
        <v>1069</v>
      </c>
      <c r="B3639" t="s">
        <v>2001</v>
      </c>
      <c r="C3639" t="s">
        <v>927</v>
      </c>
      <c r="D3639" t="s">
        <v>3052</v>
      </c>
      <c r="E3639" t="s">
        <v>3053</v>
      </c>
      <c r="F3639" t="s">
        <v>495</v>
      </c>
      <c r="G3639" t="s">
        <v>496</v>
      </c>
      <c r="H3639" t="s">
        <v>5489</v>
      </c>
      <c r="I3639">
        <v>296</v>
      </c>
      <c r="J3639">
        <v>296</v>
      </c>
      <c r="K3639">
        <v>0</v>
      </c>
      <c r="L3639">
        <v>0</v>
      </c>
      <c r="M3639">
        <v>0</v>
      </c>
      <c r="N3639">
        <v>0</v>
      </c>
      <c r="O3639">
        <v>0</v>
      </c>
    </row>
    <row r="3640" spans="1:15" x14ac:dyDescent="0.25">
      <c r="A3640" t="s">
        <v>9813</v>
      </c>
      <c r="B3640" t="s">
        <v>9878</v>
      </c>
      <c r="C3640" t="s">
        <v>923</v>
      </c>
      <c r="D3640" t="s">
        <v>3063</v>
      </c>
      <c r="E3640" t="s">
        <v>3053</v>
      </c>
      <c r="F3640" t="s">
        <v>495</v>
      </c>
      <c r="G3640" t="s">
        <v>496</v>
      </c>
      <c r="H3640" t="s">
        <v>10486</v>
      </c>
      <c r="I3640">
        <v>40</v>
      </c>
      <c r="J3640">
        <v>40</v>
      </c>
      <c r="K3640">
        <v>0</v>
      </c>
      <c r="L3640">
        <v>0</v>
      </c>
      <c r="M3640">
        <v>0</v>
      </c>
      <c r="N3640">
        <v>0</v>
      </c>
      <c r="O3640">
        <v>0</v>
      </c>
    </row>
    <row r="3641" spans="1:15" x14ac:dyDescent="0.25">
      <c r="A3641" t="s">
        <v>1072</v>
      </c>
      <c r="B3641" t="s">
        <v>2907</v>
      </c>
      <c r="C3641" t="s">
        <v>927</v>
      </c>
      <c r="D3641" t="s">
        <v>3052</v>
      </c>
      <c r="E3641" t="s">
        <v>3053</v>
      </c>
      <c r="F3641" t="s">
        <v>495</v>
      </c>
      <c r="G3641" t="s">
        <v>496</v>
      </c>
      <c r="H3641" t="s">
        <v>14774</v>
      </c>
      <c r="I3641">
        <v>21</v>
      </c>
      <c r="J3641">
        <v>0</v>
      </c>
      <c r="K3641">
        <v>0</v>
      </c>
      <c r="L3641">
        <v>3</v>
      </c>
      <c r="M3641">
        <v>0</v>
      </c>
      <c r="N3641">
        <v>0</v>
      </c>
      <c r="O3641">
        <v>18</v>
      </c>
    </row>
    <row r="3642" spans="1:15" x14ac:dyDescent="0.25">
      <c r="A3642" t="s">
        <v>10765</v>
      </c>
      <c r="B3642" t="s">
        <v>2281</v>
      </c>
      <c r="C3642" t="s">
        <v>923</v>
      </c>
      <c r="D3642" t="s">
        <v>3063</v>
      </c>
      <c r="E3642" t="s">
        <v>3053</v>
      </c>
      <c r="F3642" t="s">
        <v>495</v>
      </c>
      <c r="G3642" t="s">
        <v>496</v>
      </c>
      <c r="H3642" t="s">
        <v>11060</v>
      </c>
      <c r="I3642">
        <v>217</v>
      </c>
      <c r="J3642">
        <v>4</v>
      </c>
      <c r="K3642">
        <v>0</v>
      </c>
      <c r="L3642">
        <v>213</v>
      </c>
      <c r="M3642">
        <v>0</v>
      </c>
      <c r="N3642">
        <v>25</v>
      </c>
      <c r="O3642">
        <v>0</v>
      </c>
    </row>
    <row r="3643" spans="1:15" x14ac:dyDescent="0.25">
      <c r="A3643" t="s">
        <v>1390</v>
      </c>
      <c r="B3643" t="s">
        <v>2978</v>
      </c>
      <c r="C3643" t="s">
        <v>923</v>
      </c>
      <c r="D3643" t="s">
        <v>3063</v>
      </c>
      <c r="E3643" t="s">
        <v>3053</v>
      </c>
      <c r="F3643" t="s">
        <v>495</v>
      </c>
      <c r="G3643" t="s">
        <v>496</v>
      </c>
      <c r="H3643" t="s">
        <v>5490</v>
      </c>
      <c r="I3643">
        <v>72</v>
      </c>
      <c r="J3643">
        <v>72</v>
      </c>
      <c r="K3643">
        <v>0</v>
      </c>
      <c r="L3643">
        <v>0</v>
      </c>
      <c r="M3643">
        <v>0</v>
      </c>
      <c r="N3643">
        <v>0</v>
      </c>
      <c r="O3643">
        <v>0</v>
      </c>
    </row>
    <row r="3644" spans="1:15" x14ac:dyDescent="0.25">
      <c r="A3644" t="s">
        <v>1396</v>
      </c>
      <c r="B3644" t="s">
        <v>2750</v>
      </c>
      <c r="C3644" t="s">
        <v>923</v>
      </c>
      <c r="D3644" t="s">
        <v>3063</v>
      </c>
      <c r="E3644" t="s">
        <v>3053</v>
      </c>
      <c r="F3644" t="s">
        <v>495</v>
      </c>
      <c r="G3644" t="s">
        <v>496</v>
      </c>
      <c r="H3644" t="s">
        <v>5491</v>
      </c>
      <c r="I3644">
        <v>151</v>
      </c>
      <c r="J3644">
        <v>151</v>
      </c>
      <c r="K3644">
        <v>0</v>
      </c>
      <c r="L3644">
        <v>0</v>
      </c>
      <c r="M3644">
        <v>0</v>
      </c>
      <c r="N3644">
        <v>0</v>
      </c>
      <c r="O3644">
        <v>0</v>
      </c>
    </row>
    <row r="3645" spans="1:15" x14ac:dyDescent="0.25">
      <c r="A3645" t="s">
        <v>1398</v>
      </c>
      <c r="B3645" t="s">
        <v>2998</v>
      </c>
      <c r="C3645" t="s">
        <v>927</v>
      </c>
      <c r="D3645" t="s">
        <v>3052</v>
      </c>
      <c r="E3645" t="s">
        <v>3053</v>
      </c>
      <c r="F3645" t="s">
        <v>495</v>
      </c>
      <c r="G3645" t="s">
        <v>496</v>
      </c>
      <c r="H3645" t="s">
        <v>5492</v>
      </c>
      <c r="I3645">
        <v>27</v>
      </c>
      <c r="J3645">
        <v>0</v>
      </c>
      <c r="K3645">
        <v>0</v>
      </c>
      <c r="L3645">
        <v>27</v>
      </c>
      <c r="M3645">
        <v>0</v>
      </c>
      <c r="N3645">
        <v>0</v>
      </c>
      <c r="O3645">
        <v>0</v>
      </c>
    </row>
    <row r="3646" spans="1:15" x14ac:dyDescent="0.25">
      <c r="A3646" t="s">
        <v>926</v>
      </c>
      <c r="B3646" t="s">
        <v>2923</v>
      </c>
      <c r="C3646" t="s">
        <v>927</v>
      </c>
      <c r="D3646" t="s">
        <v>3052</v>
      </c>
      <c r="E3646" t="s">
        <v>3053</v>
      </c>
      <c r="F3646" t="s">
        <v>497</v>
      </c>
      <c r="G3646" t="s">
        <v>498</v>
      </c>
      <c r="H3646" t="s">
        <v>5493</v>
      </c>
      <c r="I3646">
        <v>19</v>
      </c>
      <c r="J3646">
        <v>0</v>
      </c>
      <c r="K3646">
        <v>0</v>
      </c>
      <c r="L3646">
        <v>19</v>
      </c>
      <c r="M3646">
        <v>0</v>
      </c>
      <c r="N3646">
        <v>0</v>
      </c>
      <c r="O3646">
        <v>0</v>
      </c>
    </row>
    <row r="3647" spans="1:15" x14ac:dyDescent="0.25">
      <c r="A3647" t="s">
        <v>996</v>
      </c>
      <c r="B3647" t="s">
        <v>1952</v>
      </c>
      <c r="C3647" t="s">
        <v>923</v>
      </c>
      <c r="D3647" t="s">
        <v>3063</v>
      </c>
      <c r="E3647" t="s">
        <v>3053</v>
      </c>
      <c r="F3647" t="s">
        <v>497</v>
      </c>
      <c r="G3647" t="s">
        <v>498</v>
      </c>
      <c r="H3647" t="s">
        <v>5495</v>
      </c>
      <c r="I3647">
        <v>7</v>
      </c>
      <c r="J3647">
        <v>0</v>
      </c>
      <c r="K3647">
        <v>0</v>
      </c>
      <c r="L3647">
        <v>7</v>
      </c>
      <c r="M3647">
        <v>0</v>
      </c>
      <c r="N3647">
        <v>0</v>
      </c>
      <c r="O3647">
        <v>0</v>
      </c>
    </row>
    <row r="3648" spans="1:15" x14ac:dyDescent="0.25">
      <c r="A3648" t="s">
        <v>997</v>
      </c>
      <c r="B3648" t="s">
        <v>2033</v>
      </c>
      <c r="C3648" t="s">
        <v>927</v>
      </c>
      <c r="D3648" t="s">
        <v>3052</v>
      </c>
      <c r="E3648" t="s">
        <v>3053</v>
      </c>
      <c r="F3648" t="s">
        <v>497</v>
      </c>
      <c r="G3648" t="s">
        <v>498</v>
      </c>
      <c r="H3648" t="s">
        <v>5496</v>
      </c>
      <c r="I3648">
        <v>756</v>
      </c>
      <c r="J3648">
        <v>426</v>
      </c>
      <c r="K3648">
        <v>0</v>
      </c>
      <c r="L3648">
        <v>34</v>
      </c>
      <c r="M3648">
        <v>43</v>
      </c>
      <c r="N3648">
        <v>3</v>
      </c>
      <c r="O3648">
        <v>253</v>
      </c>
    </row>
    <row r="3649" spans="1:15" x14ac:dyDescent="0.25">
      <c r="A3649" t="s">
        <v>1001</v>
      </c>
      <c r="B3649" t="s">
        <v>3007</v>
      </c>
      <c r="C3649" t="s">
        <v>927</v>
      </c>
      <c r="D3649" t="s">
        <v>3052</v>
      </c>
      <c r="E3649" t="s">
        <v>3053</v>
      </c>
      <c r="F3649" t="s">
        <v>497</v>
      </c>
      <c r="G3649" t="s">
        <v>498</v>
      </c>
      <c r="H3649" t="s">
        <v>5497</v>
      </c>
      <c r="I3649">
        <v>5</v>
      </c>
      <c r="J3649">
        <v>0</v>
      </c>
      <c r="K3649">
        <v>0</v>
      </c>
      <c r="L3649">
        <v>5</v>
      </c>
      <c r="M3649">
        <v>0</v>
      </c>
      <c r="N3649">
        <v>0</v>
      </c>
      <c r="O3649">
        <v>0</v>
      </c>
    </row>
    <row r="3650" spans="1:15" x14ac:dyDescent="0.25">
      <c r="A3650" t="s">
        <v>1004</v>
      </c>
      <c r="B3650" t="s">
        <v>2887</v>
      </c>
      <c r="C3650" t="s">
        <v>927</v>
      </c>
      <c r="D3650" t="s">
        <v>3052</v>
      </c>
      <c r="E3650" t="s">
        <v>3053</v>
      </c>
      <c r="F3650" t="s">
        <v>497</v>
      </c>
      <c r="G3650" t="s">
        <v>498</v>
      </c>
      <c r="H3650" t="s">
        <v>14775</v>
      </c>
      <c r="I3650">
        <v>15</v>
      </c>
      <c r="J3650">
        <v>6</v>
      </c>
      <c r="K3650">
        <v>0</v>
      </c>
      <c r="L3650">
        <v>0</v>
      </c>
      <c r="M3650">
        <v>0</v>
      </c>
      <c r="N3650">
        <v>0</v>
      </c>
      <c r="O3650">
        <v>9</v>
      </c>
    </row>
    <row r="3651" spans="1:15" x14ac:dyDescent="0.25">
      <c r="A3651" t="s">
        <v>10638</v>
      </c>
      <c r="B3651" t="s">
        <v>2057</v>
      </c>
      <c r="C3651" t="s">
        <v>927</v>
      </c>
      <c r="D3651" t="s">
        <v>3052</v>
      </c>
      <c r="E3651" t="s">
        <v>3053</v>
      </c>
      <c r="F3651" t="s">
        <v>497</v>
      </c>
      <c r="G3651" t="s">
        <v>498</v>
      </c>
      <c r="H3651" t="s">
        <v>11061</v>
      </c>
      <c r="I3651">
        <v>3</v>
      </c>
      <c r="J3651">
        <v>0</v>
      </c>
      <c r="K3651">
        <v>0</v>
      </c>
      <c r="L3651">
        <v>3</v>
      </c>
      <c r="M3651">
        <v>0</v>
      </c>
      <c r="N3651">
        <v>0</v>
      </c>
      <c r="O3651">
        <v>0</v>
      </c>
    </row>
    <row r="3652" spans="1:15" x14ac:dyDescent="0.25">
      <c r="A3652" t="s">
        <v>937</v>
      </c>
      <c r="B3652" t="s">
        <v>1962</v>
      </c>
      <c r="C3652" t="s">
        <v>927</v>
      </c>
      <c r="D3652" t="s">
        <v>3052</v>
      </c>
      <c r="E3652" t="s">
        <v>3053</v>
      </c>
      <c r="F3652" t="s">
        <v>497</v>
      </c>
      <c r="G3652" t="s">
        <v>498</v>
      </c>
      <c r="H3652" t="s">
        <v>5498</v>
      </c>
      <c r="I3652">
        <v>21</v>
      </c>
      <c r="J3652">
        <v>0</v>
      </c>
      <c r="K3652">
        <v>0</v>
      </c>
      <c r="L3652">
        <v>0</v>
      </c>
      <c r="M3652">
        <v>0</v>
      </c>
      <c r="N3652">
        <v>0</v>
      </c>
      <c r="O3652">
        <v>21</v>
      </c>
    </row>
    <row r="3653" spans="1:15" x14ac:dyDescent="0.25">
      <c r="A3653" t="s">
        <v>942</v>
      </c>
      <c r="B3653" t="s">
        <v>2113</v>
      </c>
      <c r="C3653" t="s">
        <v>927</v>
      </c>
      <c r="D3653" t="s">
        <v>3052</v>
      </c>
      <c r="E3653" t="s">
        <v>3053</v>
      </c>
      <c r="F3653" t="s">
        <v>497</v>
      </c>
      <c r="G3653" t="s">
        <v>498</v>
      </c>
      <c r="H3653" t="s">
        <v>5499</v>
      </c>
      <c r="I3653">
        <v>1</v>
      </c>
      <c r="J3653">
        <v>0</v>
      </c>
      <c r="K3653">
        <v>0</v>
      </c>
      <c r="L3653">
        <v>0</v>
      </c>
      <c r="M3653">
        <v>0</v>
      </c>
      <c r="N3653">
        <v>0</v>
      </c>
      <c r="O3653">
        <v>1</v>
      </c>
    </row>
    <row r="3654" spans="1:15" x14ac:dyDescent="0.25">
      <c r="A3654" t="s">
        <v>1026</v>
      </c>
      <c r="B3654" t="s">
        <v>2848</v>
      </c>
      <c r="C3654" t="s">
        <v>927</v>
      </c>
      <c r="D3654" t="s">
        <v>3052</v>
      </c>
      <c r="E3654" t="s">
        <v>3053</v>
      </c>
      <c r="F3654" t="s">
        <v>497</v>
      </c>
      <c r="G3654" t="s">
        <v>498</v>
      </c>
      <c r="H3654" t="s">
        <v>5500</v>
      </c>
      <c r="I3654">
        <v>294</v>
      </c>
      <c r="J3654">
        <v>166</v>
      </c>
      <c r="K3654">
        <v>0</v>
      </c>
      <c r="L3654">
        <v>0</v>
      </c>
      <c r="M3654">
        <v>0</v>
      </c>
      <c r="N3654">
        <v>0</v>
      </c>
      <c r="O3654">
        <v>128</v>
      </c>
    </row>
    <row r="3655" spans="1:15" x14ac:dyDescent="0.25">
      <c r="A3655" t="s">
        <v>1030</v>
      </c>
      <c r="B3655" t="s">
        <v>2880</v>
      </c>
      <c r="C3655" t="s">
        <v>927</v>
      </c>
      <c r="D3655" t="s">
        <v>3052</v>
      </c>
      <c r="E3655" t="s">
        <v>3053</v>
      </c>
      <c r="F3655" t="s">
        <v>497</v>
      </c>
      <c r="G3655" t="s">
        <v>498</v>
      </c>
      <c r="H3655" t="s">
        <v>5501</v>
      </c>
      <c r="I3655">
        <v>279</v>
      </c>
      <c r="J3655">
        <v>184</v>
      </c>
      <c r="K3655">
        <v>0</v>
      </c>
      <c r="L3655">
        <v>0</v>
      </c>
      <c r="M3655">
        <v>0</v>
      </c>
      <c r="N3655">
        <v>0</v>
      </c>
      <c r="O3655">
        <v>95</v>
      </c>
    </row>
    <row r="3656" spans="1:15" x14ac:dyDescent="0.25">
      <c r="A3656" t="s">
        <v>1038</v>
      </c>
      <c r="B3656" t="s">
        <v>2068</v>
      </c>
      <c r="C3656" t="s">
        <v>927</v>
      </c>
      <c r="D3656" t="s">
        <v>3052</v>
      </c>
      <c r="E3656" t="s">
        <v>3053</v>
      </c>
      <c r="F3656" t="s">
        <v>497</v>
      </c>
      <c r="G3656" t="s">
        <v>498</v>
      </c>
      <c r="H3656" t="s">
        <v>5502</v>
      </c>
      <c r="I3656">
        <v>91</v>
      </c>
      <c r="J3656">
        <v>38</v>
      </c>
      <c r="K3656">
        <v>0</v>
      </c>
      <c r="L3656">
        <v>20</v>
      </c>
      <c r="M3656">
        <v>0</v>
      </c>
      <c r="N3656">
        <v>0</v>
      </c>
      <c r="O3656">
        <v>33</v>
      </c>
    </row>
    <row r="3657" spans="1:15" x14ac:dyDescent="0.25">
      <c r="A3657" t="s">
        <v>9787</v>
      </c>
      <c r="B3657" t="s">
        <v>2822</v>
      </c>
      <c r="C3657" t="s">
        <v>927</v>
      </c>
      <c r="D3657" t="s">
        <v>3052</v>
      </c>
      <c r="E3657" t="s">
        <v>3053</v>
      </c>
      <c r="F3657" t="s">
        <v>497</v>
      </c>
      <c r="G3657" t="s">
        <v>498</v>
      </c>
      <c r="H3657" t="s">
        <v>10256</v>
      </c>
      <c r="I3657">
        <v>21</v>
      </c>
      <c r="J3657">
        <v>21</v>
      </c>
      <c r="K3657">
        <v>0</v>
      </c>
      <c r="L3657">
        <v>0</v>
      </c>
      <c r="M3657">
        <v>0</v>
      </c>
      <c r="N3657">
        <v>0</v>
      </c>
      <c r="O3657">
        <v>0</v>
      </c>
    </row>
    <row r="3658" spans="1:15" x14ac:dyDescent="0.25">
      <c r="A3658" t="s">
        <v>1043</v>
      </c>
      <c r="B3658" t="s">
        <v>2090</v>
      </c>
      <c r="C3658" t="s">
        <v>927</v>
      </c>
      <c r="D3658" t="s">
        <v>3052</v>
      </c>
      <c r="E3658" t="s">
        <v>3053</v>
      </c>
      <c r="F3658" t="s">
        <v>497</v>
      </c>
      <c r="G3658" t="s">
        <v>498</v>
      </c>
      <c r="H3658" t="s">
        <v>5503</v>
      </c>
      <c r="I3658">
        <v>196</v>
      </c>
      <c r="J3658">
        <v>145</v>
      </c>
      <c r="K3658">
        <v>0</v>
      </c>
      <c r="L3658">
        <v>0</v>
      </c>
      <c r="M3658">
        <v>0</v>
      </c>
      <c r="N3658">
        <v>0</v>
      </c>
      <c r="O3658">
        <v>51</v>
      </c>
    </row>
    <row r="3659" spans="1:15" x14ac:dyDescent="0.25">
      <c r="A3659" t="s">
        <v>1048</v>
      </c>
      <c r="B3659" t="s">
        <v>2989</v>
      </c>
      <c r="C3659" t="s">
        <v>927</v>
      </c>
      <c r="D3659" t="s">
        <v>3052</v>
      </c>
      <c r="E3659" t="s">
        <v>3053</v>
      </c>
      <c r="F3659" t="s">
        <v>497</v>
      </c>
      <c r="G3659" t="s">
        <v>498</v>
      </c>
      <c r="H3659" t="s">
        <v>12069</v>
      </c>
      <c r="I3659">
        <v>47</v>
      </c>
      <c r="J3659">
        <v>45</v>
      </c>
      <c r="K3659">
        <v>0</v>
      </c>
      <c r="L3659">
        <v>0</v>
      </c>
      <c r="M3659">
        <v>0</v>
      </c>
      <c r="N3659">
        <v>0</v>
      </c>
      <c r="O3659">
        <v>2</v>
      </c>
    </row>
    <row r="3660" spans="1:15" x14ac:dyDescent="0.25">
      <c r="A3660" t="s">
        <v>1049</v>
      </c>
      <c r="B3660" t="s">
        <v>2138</v>
      </c>
      <c r="C3660" t="s">
        <v>927</v>
      </c>
      <c r="D3660" t="s">
        <v>3052</v>
      </c>
      <c r="E3660" t="s">
        <v>3053</v>
      </c>
      <c r="F3660" t="s">
        <v>497</v>
      </c>
      <c r="G3660" t="s">
        <v>498</v>
      </c>
      <c r="H3660" t="s">
        <v>5504</v>
      </c>
      <c r="I3660">
        <v>2658</v>
      </c>
      <c r="J3660">
        <v>2174</v>
      </c>
      <c r="K3660">
        <v>0</v>
      </c>
      <c r="L3660">
        <v>12</v>
      </c>
      <c r="M3660">
        <v>231</v>
      </c>
      <c r="N3660">
        <v>0</v>
      </c>
      <c r="O3660">
        <v>241</v>
      </c>
    </row>
    <row r="3661" spans="1:15" x14ac:dyDescent="0.25">
      <c r="A3661" t="s">
        <v>11720</v>
      </c>
      <c r="B3661" t="s">
        <v>10718</v>
      </c>
      <c r="C3661" t="s">
        <v>927</v>
      </c>
      <c r="D3661" t="s">
        <v>3052</v>
      </c>
      <c r="E3661" t="s">
        <v>3053</v>
      </c>
      <c r="F3661" t="s">
        <v>497</v>
      </c>
      <c r="G3661" t="s">
        <v>498</v>
      </c>
      <c r="H3661" t="s">
        <v>14776</v>
      </c>
      <c r="I3661">
        <v>66</v>
      </c>
      <c r="J3661">
        <v>32</v>
      </c>
      <c r="K3661">
        <v>0</v>
      </c>
      <c r="L3661">
        <v>0</v>
      </c>
      <c r="M3661">
        <v>0</v>
      </c>
      <c r="N3661">
        <v>0</v>
      </c>
      <c r="O3661">
        <v>34</v>
      </c>
    </row>
    <row r="3662" spans="1:15" x14ac:dyDescent="0.25">
      <c r="A3662" t="s">
        <v>9788</v>
      </c>
      <c r="B3662" t="s">
        <v>9871</v>
      </c>
      <c r="C3662" t="s">
        <v>927</v>
      </c>
      <c r="D3662" t="s">
        <v>3052</v>
      </c>
      <c r="E3662" t="s">
        <v>3053</v>
      </c>
      <c r="F3662" t="s">
        <v>497</v>
      </c>
      <c r="G3662" t="s">
        <v>498</v>
      </c>
      <c r="H3662" t="s">
        <v>10353</v>
      </c>
      <c r="I3662">
        <v>120</v>
      </c>
      <c r="J3662">
        <v>120</v>
      </c>
      <c r="K3662">
        <v>0</v>
      </c>
      <c r="L3662">
        <v>0</v>
      </c>
      <c r="M3662">
        <v>0</v>
      </c>
      <c r="N3662">
        <v>0</v>
      </c>
      <c r="O3662">
        <v>0</v>
      </c>
    </row>
    <row r="3663" spans="1:15" x14ac:dyDescent="0.25">
      <c r="A3663" t="s">
        <v>14374</v>
      </c>
      <c r="B3663" t="s">
        <v>1943</v>
      </c>
      <c r="C3663" t="s">
        <v>927</v>
      </c>
      <c r="D3663" t="s">
        <v>3052</v>
      </c>
      <c r="E3663" t="s">
        <v>3053</v>
      </c>
      <c r="F3663" t="s">
        <v>497</v>
      </c>
      <c r="G3663" t="s">
        <v>498</v>
      </c>
      <c r="H3663" t="s">
        <v>14777</v>
      </c>
      <c r="I3663">
        <v>83</v>
      </c>
      <c r="J3663">
        <v>0</v>
      </c>
      <c r="K3663">
        <v>0</v>
      </c>
      <c r="L3663">
        <v>0</v>
      </c>
      <c r="M3663">
        <v>0</v>
      </c>
      <c r="N3663">
        <v>0</v>
      </c>
      <c r="O3663">
        <v>83</v>
      </c>
    </row>
    <row r="3664" spans="1:15" x14ac:dyDescent="0.25">
      <c r="A3664" t="s">
        <v>962</v>
      </c>
      <c r="B3664" t="s">
        <v>2752</v>
      </c>
      <c r="C3664" t="s">
        <v>927</v>
      </c>
      <c r="D3664" t="s">
        <v>3052</v>
      </c>
      <c r="E3664" t="s">
        <v>3053</v>
      </c>
      <c r="F3664" t="s">
        <v>497</v>
      </c>
      <c r="G3664" t="s">
        <v>498</v>
      </c>
      <c r="H3664" t="s">
        <v>10441</v>
      </c>
      <c r="I3664">
        <v>118</v>
      </c>
      <c r="J3664">
        <v>70</v>
      </c>
      <c r="K3664">
        <v>0</v>
      </c>
      <c r="L3664">
        <v>0</v>
      </c>
      <c r="M3664">
        <v>0</v>
      </c>
      <c r="N3664">
        <v>0</v>
      </c>
      <c r="O3664">
        <v>48</v>
      </c>
    </row>
    <row r="3665" spans="1:15" x14ac:dyDescent="0.25">
      <c r="A3665" t="s">
        <v>1069</v>
      </c>
      <c r="B3665" t="s">
        <v>2001</v>
      </c>
      <c r="C3665" t="s">
        <v>927</v>
      </c>
      <c r="D3665" t="s">
        <v>3052</v>
      </c>
      <c r="E3665" t="s">
        <v>3053</v>
      </c>
      <c r="F3665" t="s">
        <v>497</v>
      </c>
      <c r="G3665" t="s">
        <v>498</v>
      </c>
      <c r="H3665" t="s">
        <v>5505</v>
      </c>
      <c r="I3665">
        <v>5</v>
      </c>
      <c r="J3665">
        <v>0</v>
      </c>
      <c r="K3665">
        <v>0</v>
      </c>
      <c r="L3665">
        <v>0</v>
      </c>
      <c r="M3665">
        <v>0</v>
      </c>
      <c r="N3665">
        <v>0</v>
      </c>
      <c r="O3665">
        <v>5</v>
      </c>
    </row>
    <row r="3666" spans="1:15" x14ac:dyDescent="0.25">
      <c r="A3666" t="s">
        <v>1072</v>
      </c>
      <c r="B3666" t="s">
        <v>2907</v>
      </c>
      <c r="C3666" t="s">
        <v>927</v>
      </c>
      <c r="D3666" t="s">
        <v>3052</v>
      </c>
      <c r="E3666" t="s">
        <v>3053</v>
      </c>
      <c r="F3666" t="s">
        <v>497</v>
      </c>
      <c r="G3666" t="s">
        <v>498</v>
      </c>
      <c r="H3666" t="s">
        <v>5506</v>
      </c>
      <c r="I3666">
        <v>130</v>
      </c>
      <c r="J3666">
        <v>78</v>
      </c>
      <c r="K3666">
        <v>0</v>
      </c>
      <c r="L3666">
        <v>0</v>
      </c>
      <c r="M3666">
        <v>10</v>
      </c>
      <c r="N3666">
        <v>0</v>
      </c>
      <c r="O3666">
        <v>42</v>
      </c>
    </row>
    <row r="3667" spans="1:15" x14ac:dyDescent="0.25">
      <c r="A3667" t="s">
        <v>1078</v>
      </c>
      <c r="B3667" t="s">
        <v>1950</v>
      </c>
      <c r="C3667" t="s">
        <v>923</v>
      </c>
      <c r="D3667" t="s">
        <v>3063</v>
      </c>
      <c r="E3667" t="s">
        <v>3053</v>
      </c>
      <c r="F3667" t="s">
        <v>497</v>
      </c>
      <c r="G3667" t="s">
        <v>498</v>
      </c>
      <c r="H3667" t="s">
        <v>5507</v>
      </c>
      <c r="I3667">
        <v>8</v>
      </c>
      <c r="J3667">
        <v>0</v>
      </c>
      <c r="K3667">
        <v>0</v>
      </c>
      <c r="L3667">
        <v>8</v>
      </c>
      <c r="M3667">
        <v>0</v>
      </c>
      <c r="N3667">
        <v>0</v>
      </c>
      <c r="O3667">
        <v>0</v>
      </c>
    </row>
    <row r="3668" spans="1:15" x14ac:dyDescent="0.25">
      <c r="A3668" t="s">
        <v>981</v>
      </c>
      <c r="B3668" t="s">
        <v>2985</v>
      </c>
      <c r="C3668" t="s">
        <v>927</v>
      </c>
      <c r="D3668" t="s">
        <v>3052</v>
      </c>
      <c r="E3668" t="s">
        <v>3053</v>
      </c>
      <c r="F3668" t="s">
        <v>497</v>
      </c>
      <c r="G3668" t="s">
        <v>498</v>
      </c>
      <c r="H3668" t="s">
        <v>5494</v>
      </c>
      <c r="I3668">
        <v>1</v>
      </c>
      <c r="J3668">
        <v>0</v>
      </c>
      <c r="K3668">
        <v>0</v>
      </c>
      <c r="L3668">
        <v>0</v>
      </c>
      <c r="M3668">
        <v>0</v>
      </c>
      <c r="N3668">
        <v>0</v>
      </c>
      <c r="O3668">
        <v>1</v>
      </c>
    </row>
    <row r="3669" spans="1:15" x14ac:dyDescent="0.25">
      <c r="A3669" t="s">
        <v>1201</v>
      </c>
      <c r="B3669" t="s">
        <v>2972</v>
      </c>
      <c r="C3669" t="s">
        <v>923</v>
      </c>
      <c r="D3669" t="s">
        <v>3063</v>
      </c>
      <c r="E3669" t="s">
        <v>3053</v>
      </c>
      <c r="F3669" t="s">
        <v>499</v>
      </c>
      <c r="G3669" t="s">
        <v>500</v>
      </c>
      <c r="H3669" t="s">
        <v>5508</v>
      </c>
      <c r="I3669">
        <v>21</v>
      </c>
      <c r="J3669">
        <v>21</v>
      </c>
      <c r="K3669">
        <v>0</v>
      </c>
      <c r="L3669">
        <v>0</v>
      </c>
      <c r="M3669">
        <v>0</v>
      </c>
      <c r="N3669">
        <v>0</v>
      </c>
      <c r="O3669">
        <v>0</v>
      </c>
    </row>
    <row r="3670" spans="1:15" x14ac:dyDescent="0.25">
      <c r="A3670" t="s">
        <v>929</v>
      </c>
      <c r="B3670" t="s">
        <v>2999</v>
      </c>
      <c r="C3670" t="s">
        <v>927</v>
      </c>
      <c r="D3670" t="s">
        <v>3052</v>
      </c>
      <c r="E3670" t="s">
        <v>3053</v>
      </c>
      <c r="F3670" t="s">
        <v>499</v>
      </c>
      <c r="G3670" t="s">
        <v>500</v>
      </c>
      <c r="H3670" t="s">
        <v>5509</v>
      </c>
      <c r="I3670">
        <v>105</v>
      </c>
      <c r="J3670">
        <v>8</v>
      </c>
      <c r="K3670">
        <v>0</v>
      </c>
      <c r="L3670">
        <v>0</v>
      </c>
      <c r="M3670">
        <v>84</v>
      </c>
      <c r="N3670">
        <v>0</v>
      </c>
      <c r="O3670">
        <v>13</v>
      </c>
    </row>
    <row r="3671" spans="1:15" x14ac:dyDescent="0.25">
      <c r="A3671" t="s">
        <v>1087</v>
      </c>
      <c r="B3671" t="s">
        <v>2979</v>
      </c>
      <c r="C3671" t="s">
        <v>923</v>
      </c>
      <c r="D3671" t="s">
        <v>3063</v>
      </c>
      <c r="E3671" t="s">
        <v>3053</v>
      </c>
      <c r="F3671" t="s">
        <v>499</v>
      </c>
      <c r="G3671" t="s">
        <v>500</v>
      </c>
      <c r="H3671" t="s">
        <v>5510</v>
      </c>
      <c r="I3671">
        <v>92</v>
      </c>
      <c r="J3671">
        <v>92</v>
      </c>
      <c r="K3671">
        <v>0</v>
      </c>
      <c r="L3671">
        <v>0</v>
      </c>
      <c r="M3671">
        <v>0</v>
      </c>
      <c r="N3671">
        <v>16</v>
      </c>
      <c r="O3671">
        <v>0</v>
      </c>
    </row>
    <row r="3672" spans="1:15" x14ac:dyDescent="0.25">
      <c r="A3672" t="s">
        <v>1218</v>
      </c>
      <c r="B3672" t="s">
        <v>2565</v>
      </c>
      <c r="C3672" t="s">
        <v>927</v>
      </c>
      <c r="D3672" t="s">
        <v>3052</v>
      </c>
      <c r="E3672" t="s">
        <v>3053</v>
      </c>
      <c r="F3672" t="s">
        <v>499</v>
      </c>
      <c r="G3672" t="s">
        <v>500</v>
      </c>
      <c r="H3672" t="s">
        <v>5511</v>
      </c>
      <c r="I3672">
        <v>50</v>
      </c>
      <c r="J3672">
        <v>45</v>
      </c>
      <c r="K3672">
        <v>0</v>
      </c>
      <c r="L3672">
        <v>0</v>
      </c>
      <c r="M3672">
        <v>5</v>
      </c>
      <c r="N3672">
        <v>0</v>
      </c>
      <c r="O3672">
        <v>0</v>
      </c>
    </row>
    <row r="3673" spans="1:15" x14ac:dyDescent="0.25">
      <c r="A3673" t="s">
        <v>1224</v>
      </c>
      <c r="B3673" t="s">
        <v>2932</v>
      </c>
      <c r="C3673" t="s">
        <v>927</v>
      </c>
      <c r="D3673" t="s">
        <v>3052</v>
      </c>
      <c r="E3673" t="s">
        <v>3053</v>
      </c>
      <c r="F3673" t="s">
        <v>499</v>
      </c>
      <c r="G3673" t="s">
        <v>500</v>
      </c>
      <c r="H3673" t="s">
        <v>5512</v>
      </c>
      <c r="I3673">
        <v>142</v>
      </c>
      <c r="J3673">
        <v>98</v>
      </c>
      <c r="K3673">
        <v>0</v>
      </c>
      <c r="L3673">
        <v>5</v>
      </c>
      <c r="M3673">
        <v>39</v>
      </c>
      <c r="N3673">
        <v>0</v>
      </c>
      <c r="O3673">
        <v>0</v>
      </c>
    </row>
    <row r="3674" spans="1:15" x14ac:dyDescent="0.25">
      <c r="A3674" t="s">
        <v>933</v>
      </c>
      <c r="B3674" t="s">
        <v>2106</v>
      </c>
      <c r="C3674" t="s">
        <v>927</v>
      </c>
      <c r="D3674" t="s">
        <v>3052</v>
      </c>
      <c r="E3674" t="s">
        <v>3053</v>
      </c>
      <c r="F3674" t="s">
        <v>499</v>
      </c>
      <c r="G3674" t="s">
        <v>500</v>
      </c>
      <c r="H3674" t="s">
        <v>5513</v>
      </c>
      <c r="I3674">
        <v>1718</v>
      </c>
      <c r="J3674">
        <v>1421</v>
      </c>
      <c r="K3674">
        <v>36</v>
      </c>
      <c r="L3674">
        <v>45</v>
      </c>
      <c r="M3674">
        <v>47</v>
      </c>
      <c r="N3674">
        <v>36</v>
      </c>
      <c r="O3674">
        <v>169</v>
      </c>
    </row>
    <row r="3675" spans="1:15" x14ac:dyDescent="0.25">
      <c r="A3675" t="s">
        <v>1104</v>
      </c>
      <c r="B3675" t="s">
        <v>2483</v>
      </c>
      <c r="C3675" t="s">
        <v>923</v>
      </c>
      <c r="D3675" t="s">
        <v>3063</v>
      </c>
      <c r="E3675" t="s">
        <v>3053</v>
      </c>
      <c r="F3675" t="s">
        <v>499</v>
      </c>
      <c r="G3675" t="s">
        <v>500</v>
      </c>
      <c r="H3675" t="s">
        <v>5514</v>
      </c>
      <c r="I3675">
        <v>9</v>
      </c>
      <c r="J3675">
        <v>9</v>
      </c>
      <c r="K3675">
        <v>0</v>
      </c>
      <c r="L3675">
        <v>0</v>
      </c>
      <c r="M3675">
        <v>0</v>
      </c>
      <c r="N3675">
        <v>0</v>
      </c>
      <c r="O3675">
        <v>0</v>
      </c>
    </row>
    <row r="3676" spans="1:15" x14ac:dyDescent="0.25">
      <c r="A3676" t="s">
        <v>1227</v>
      </c>
      <c r="B3676" t="s">
        <v>2023</v>
      </c>
      <c r="C3676" t="s">
        <v>923</v>
      </c>
      <c r="D3676" t="s">
        <v>3063</v>
      </c>
      <c r="E3676" t="s">
        <v>3053</v>
      </c>
      <c r="F3676" t="s">
        <v>499</v>
      </c>
      <c r="G3676" t="s">
        <v>500</v>
      </c>
      <c r="H3676" t="s">
        <v>14778</v>
      </c>
      <c r="I3676">
        <v>1</v>
      </c>
      <c r="J3676">
        <v>0</v>
      </c>
      <c r="K3676">
        <v>1</v>
      </c>
      <c r="L3676">
        <v>0</v>
      </c>
      <c r="M3676">
        <v>0</v>
      </c>
      <c r="N3676">
        <v>0</v>
      </c>
      <c r="O3676">
        <v>0</v>
      </c>
    </row>
    <row r="3677" spans="1:15" x14ac:dyDescent="0.25">
      <c r="A3677" t="s">
        <v>1413</v>
      </c>
      <c r="B3677" t="s">
        <v>2048</v>
      </c>
      <c r="C3677" t="s">
        <v>923</v>
      </c>
      <c r="D3677" t="s">
        <v>3063</v>
      </c>
      <c r="E3677" t="s">
        <v>3053</v>
      </c>
      <c r="F3677" t="s">
        <v>499</v>
      </c>
      <c r="G3677" t="s">
        <v>500</v>
      </c>
      <c r="H3677" t="s">
        <v>14779</v>
      </c>
      <c r="I3677">
        <v>21</v>
      </c>
      <c r="J3677">
        <v>0</v>
      </c>
      <c r="K3677">
        <v>0</v>
      </c>
      <c r="L3677">
        <v>21</v>
      </c>
      <c r="M3677">
        <v>0</v>
      </c>
      <c r="N3677">
        <v>21</v>
      </c>
      <c r="O3677">
        <v>0</v>
      </c>
    </row>
    <row r="3678" spans="1:15" x14ac:dyDescent="0.25">
      <c r="A3678" t="s">
        <v>9804</v>
      </c>
      <c r="B3678" t="s">
        <v>2043</v>
      </c>
      <c r="C3678" t="s">
        <v>923</v>
      </c>
      <c r="D3678" t="s">
        <v>3063</v>
      </c>
      <c r="E3678" t="s">
        <v>3053</v>
      </c>
      <c r="F3678" t="s">
        <v>499</v>
      </c>
      <c r="G3678" t="s">
        <v>500</v>
      </c>
      <c r="H3678" t="s">
        <v>10050</v>
      </c>
      <c r="I3678">
        <v>6</v>
      </c>
      <c r="J3678">
        <v>6</v>
      </c>
      <c r="K3678">
        <v>0</v>
      </c>
      <c r="L3678">
        <v>0</v>
      </c>
      <c r="M3678">
        <v>0</v>
      </c>
      <c r="N3678">
        <v>0</v>
      </c>
      <c r="O3678">
        <v>0</v>
      </c>
    </row>
    <row r="3679" spans="1:15" x14ac:dyDescent="0.25">
      <c r="A3679" t="s">
        <v>10638</v>
      </c>
      <c r="B3679" t="s">
        <v>2057</v>
      </c>
      <c r="C3679" t="s">
        <v>927</v>
      </c>
      <c r="D3679" t="s">
        <v>3052</v>
      </c>
      <c r="E3679" t="s">
        <v>3053</v>
      </c>
      <c r="F3679" t="s">
        <v>499</v>
      </c>
      <c r="G3679" t="s">
        <v>500</v>
      </c>
      <c r="H3679" t="s">
        <v>11062</v>
      </c>
      <c r="I3679">
        <v>14</v>
      </c>
      <c r="J3679">
        <v>0</v>
      </c>
      <c r="K3679">
        <v>0</v>
      </c>
      <c r="L3679">
        <v>14</v>
      </c>
      <c r="M3679">
        <v>0</v>
      </c>
      <c r="N3679">
        <v>0</v>
      </c>
      <c r="O3679">
        <v>0</v>
      </c>
    </row>
    <row r="3680" spans="1:15" x14ac:dyDescent="0.25">
      <c r="A3680" t="s">
        <v>1250</v>
      </c>
      <c r="B3680" t="s">
        <v>2012</v>
      </c>
      <c r="C3680" t="s">
        <v>923</v>
      </c>
      <c r="D3680" t="s">
        <v>3063</v>
      </c>
      <c r="E3680" t="s">
        <v>3053</v>
      </c>
      <c r="F3680" t="s">
        <v>499</v>
      </c>
      <c r="G3680" t="s">
        <v>500</v>
      </c>
      <c r="H3680" t="s">
        <v>11063</v>
      </c>
      <c r="I3680">
        <v>59</v>
      </c>
      <c r="J3680">
        <v>59</v>
      </c>
      <c r="K3680">
        <v>0</v>
      </c>
      <c r="L3680">
        <v>0</v>
      </c>
      <c r="M3680">
        <v>0</v>
      </c>
      <c r="N3680">
        <v>0</v>
      </c>
      <c r="O3680">
        <v>0</v>
      </c>
    </row>
    <row r="3681" spans="1:15" x14ac:dyDescent="0.25">
      <c r="A3681" t="s">
        <v>1008</v>
      </c>
      <c r="B3681" t="s">
        <v>2928</v>
      </c>
      <c r="C3681" t="s">
        <v>927</v>
      </c>
      <c r="D3681" t="s">
        <v>3052</v>
      </c>
      <c r="E3681" t="s">
        <v>3053</v>
      </c>
      <c r="F3681" t="s">
        <v>499</v>
      </c>
      <c r="G3681" t="s">
        <v>500</v>
      </c>
      <c r="H3681" t="s">
        <v>5515</v>
      </c>
      <c r="I3681">
        <v>75</v>
      </c>
      <c r="J3681">
        <v>75</v>
      </c>
      <c r="K3681">
        <v>0</v>
      </c>
      <c r="L3681">
        <v>0</v>
      </c>
      <c r="M3681">
        <v>0</v>
      </c>
      <c r="N3681">
        <v>2</v>
      </c>
      <c r="O3681">
        <v>0</v>
      </c>
    </row>
    <row r="3682" spans="1:15" x14ac:dyDescent="0.25">
      <c r="A3682" t="s">
        <v>1267</v>
      </c>
      <c r="B3682" t="s">
        <v>2947</v>
      </c>
      <c r="C3682" t="s">
        <v>923</v>
      </c>
      <c r="D3682" t="s">
        <v>3063</v>
      </c>
      <c r="E3682" t="s">
        <v>3053</v>
      </c>
      <c r="F3682" t="s">
        <v>499</v>
      </c>
      <c r="G3682" t="s">
        <v>500</v>
      </c>
      <c r="H3682" t="s">
        <v>5516</v>
      </c>
      <c r="I3682">
        <v>65</v>
      </c>
      <c r="J3682">
        <v>0</v>
      </c>
      <c r="K3682">
        <v>0</v>
      </c>
      <c r="L3682">
        <v>0</v>
      </c>
      <c r="M3682">
        <v>65</v>
      </c>
      <c r="N3682">
        <v>0</v>
      </c>
      <c r="O3682">
        <v>0</v>
      </c>
    </row>
    <row r="3683" spans="1:15" x14ac:dyDescent="0.25">
      <c r="A3683" t="s">
        <v>938</v>
      </c>
      <c r="B3683" t="s">
        <v>2791</v>
      </c>
      <c r="C3683" t="s">
        <v>927</v>
      </c>
      <c r="D3683" t="s">
        <v>3052</v>
      </c>
      <c r="E3683" t="s">
        <v>3053</v>
      </c>
      <c r="F3683" t="s">
        <v>499</v>
      </c>
      <c r="G3683" t="s">
        <v>500</v>
      </c>
      <c r="H3683" t="s">
        <v>5517</v>
      </c>
      <c r="I3683">
        <v>23</v>
      </c>
      <c r="J3683">
        <v>19</v>
      </c>
      <c r="K3683">
        <v>0</v>
      </c>
      <c r="L3683">
        <v>0</v>
      </c>
      <c r="M3683">
        <v>0</v>
      </c>
      <c r="N3683">
        <v>0</v>
      </c>
      <c r="O3683">
        <v>4</v>
      </c>
    </row>
    <row r="3684" spans="1:15" x14ac:dyDescent="0.25">
      <c r="A3684" t="s">
        <v>1272</v>
      </c>
      <c r="B3684" t="s">
        <v>2692</v>
      </c>
      <c r="C3684" t="s">
        <v>923</v>
      </c>
      <c r="D3684" t="s">
        <v>3063</v>
      </c>
      <c r="E3684" t="s">
        <v>3053</v>
      </c>
      <c r="F3684" t="s">
        <v>499</v>
      </c>
      <c r="G3684" t="s">
        <v>500</v>
      </c>
      <c r="H3684" t="s">
        <v>5518</v>
      </c>
      <c r="I3684">
        <v>390</v>
      </c>
      <c r="J3684">
        <v>222</v>
      </c>
      <c r="K3684">
        <v>0</v>
      </c>
      <c r="L3684">
        <v>168</v>
      </c>
      <c r="M3684">
        <v>0</v>
      </c>
      <c r="N3684">
        <v>0</v>
      </c>
      <c r="O3684">
        <v>0</v>
      </c>
    </row>
    <row r="3685" spans="1:15" x14ac:dyDescent="0.25">
      <c r="A3685" t="s">
        <v>1274</v>
      </c>
      <c r="B3685" t="s">
        <v>2159</v>
      </c>
      <c r="C3685" t="s">
        <v>923</v>
      </c>
      <c r="D3685" t="s">
        <v>3063</v>
      </c>
      <c r="E3685" t="s">
        <v>3053</v>
      </c>
      <c r="F3685" t="s">
        <v>499</v>
      </c>
      <c r="G3685" t="s">
        <v>500</v>
      </c>
      <c r="H3685" t="s">
        <v>12070</v>
      </c>
      <c r="I3685">
        <v>4</v>
      </c>
      <c r="J3685">
        <v>0</v>
      </c>
      <c r="K3685">
        <v>0</v>
      </c>
      <c r="L3685">
        <v>0</v>
      </c>
      <c r="M3685">
        <v>4</v>
      </c>
      <c r="N3685">
        <v>0</v>
      </c>
      <c r="O3685">
        <v>0</v>
      </c>
    </row>
    <row r="3686" spans="1:15" x14ac:dyDescent="0.25">
      <c r="A3686" t="s">
        <v>1124</v>
      </c>
      <c r="B3686" t="s">
        <v>2981</v>
      </c>
      <c r="C3686" t="s">
        <v>923</v>
      </c>
      <c r="D3686" t="s">
        <v>3063</v>
      </c>
      <c r="E3686" t="s">
        <v>3053</v>
      </c>
      <c r="F3686" t="s">
        <v>499</v>
      </c>
      <c r="G3686" t="s">
        <v>500</v>
      </c>
      <c r="H3686" t="s">
        <v>5519</v>
      </c>
      <c r="I3686">
        <v>49</v>
      </c>
      <c r="J3686">
        <v>49</v>
      </c>
      <c r="K3686">
        <v>0</v>
      </c>
      <c r="L3686">
        <v>0</v>
      </c>
      <c r="M3686">
        <v>0</v>
      </c>
      <c r="N3686">
        <v>0</v>
      </c>
      <c r="O3686">
        <v>0</v>
      </c>
    </row>
    <row r="3687" spans="1:15" x14ac:dyDescent="0.25">
      <c r="A3687" t="s">
        <v>1278</v>
      </c>
      <c r="B3687" t="s">
        <v>2674</v>
      </c>
      <c r="C3687" t="s">
        <v>927</v>
      </c>
      <c r="D3687" t="s">
        <v>3052</v>
      </c>
      <c r="E3687" t="s">
        <v>3053</v>
      </c>
      <c r="F3687" t="s">
        <v>499</v>
      </c>
      <c r="G3687" t="s">
        <v>500</v>
      </c>
      <c r="H3687" t="s">
        <v>5520</v>
      </c>
      <c r="I3687">
        <v>42</v>
      </c>
      <c r="J3687">
        <v>42</v>
      </c>
      <c r="K3687">
        <v>0</v>
      </c>
      <c r="L3687">
        <v>0</v>
      </c>
      <c r="M3687">
        <v>0</v>
      </c>
      <c r="N3687">
        <v>0</v>
      </c>
      <c r="O3687">
        <v>0</v>
      </c>
    </row>
    <row r="3688" spans="1:15" x14ac:dyDescent="0.25">
      <c r="A3688" t="s">
        <v>1125</v>
      </c>
      <c r="B3688" t="s">
        <v>2938</v>
      </c>
      <c r="C3688" t="s">
        <v>923</v>
      </c>
      <c r="D3688" t="s">
        <v>3063</v>
      </c>
      <c r="E3688" t="s">
        <v>3053</v>
      </c>
      <c r="F3688" t="s">
        <v>499</v>
      </c>
      <c r="G3688" t="s">
        <v>500</v>
      </c>
      <c r="H3688" t="s">
        <v>10132</v>
      </c>
      <c r="I3688">
        <v>1</v>
      </c>
      <c r="J3688">
        <v>1</v>
      </c>
      <c r="K3688">
        <v>0</v>
      </c>
      <c r="L3688">
        <v>0</v>
      </c>
      <c r="M3688">
        <v>0</v>
      </c>
      <c r="N3688">
        <v>0</v>
      </c>
      <c r="O3688">
        <v>0</v>
      </c>
    </row>
    <row r="3689" spans="1:15" x14ac:dyDescent="0.25">
      <c r="A3689" t="s">
        <v>1286</v>
      </c>
      <c r="B3689" t="s">
        <v>2355</v>
      </c>
      <c r="C3689" t="s">
        <v>923</v>
      </c>
      <c r="D3689" t="s">
        <v>3063</v>
      </c>
      <c r="E3689" t="s">
        <v>3053</v>
      </c>
      <c r="F3689" t="s">
        <v>499</v>
      </c>
      <c r="G3689" t="s">
        <v>500</v>
      </c>
      <c r="H3689" t="s">
        <v>5521</v>
      </c>
      <c r="I3689">
        <v>158</v>
      </c>
      <c r="J3689">
        <v>158</v>
      </c>
      <c r="K3689">
        <v>0</v>
      </c>
      <c r="L3689">
        <v>0</v>
      </c>
      <c r="M3689">
        <v>0</v>
      </c>
      <c r="N3689">
        <v>0</v>
      </c>
      <c r="O3689">
        <v>0</v>
      </c>
    </row>
    <row r="3690" spans="1:15" x14ac:dyDescent="0.25">
      <c r="A3690" t="s">
        <v>1127</v>
      </c>
      <c r="B3690" t="s">
        <v>3034</v>
      </c>
      <c r="C3690" t="s">
        <v>927</v>
      </c>
      <c r="D3690" t="s">
        <v>3052</v>
      </c>
      <c r="E3690" t="s">
        <v>3053</v>
      </c>
      <c r="F3690" t="s">
        <v>499</v>
      </c>
      <c r="G3690" t="s">
        <v>500</v>
      </c>
      <c r="H3690" t="s">
        <v>5522</v>
      </c>
      <c r="I3690">
        <v>10</v>
      </c>
      <c r="J3690">
        <v>10</v>
      </c>
      <c r="K3690">
        <v>0</v>
      </c>
      <c r="L3690">
        <v>0</v>
      </c>
      <c r="M3690">
        <v>0</v>
      </c>
      <c r="N3690">
        <v>0</v>
      </c>
      <c r="O3690">
        <v>0</v>
      </c>
    </row>
    <row r="3691" spans="1:15" x14ac:dyDescent="0.25">
      <c r="A3691" t="s">
        <v>1025</v>
      </c>
      <c r="B3691" t="s">
        <v>2893</v>
      </c>
      <c r="C3691" t="s">
        <v>927</v>
      </c>
      <c r="D3691" t="s">
        <v>3052</v>
      </c>
      <c r="E3691" t="s">
        <v>3053</v>
      </c>
      <c r="F3691" t="s">
        <v>499</v>
      </c>
      <c r="G3691" t="s">
        <v>500</v>
      </c>
      <c r="H3691" t="s">
        <v>5523</v>
      </c>
      <c r="I3691">
        <v>2759</v>
      </c>
      <c r="J3691">
        <v>2110</v>
      </c>
      <c r="K3691">
        <v>0</v>
      </c>
      <c r="L3691">
        <v>100</v>
      </c>
      <c r="M3691">
        <v>107</v>
      </c>
      <c r="N3691">
        <v>179</v>
      </c>
      <c r="O3691">
        <v>442</v>
      </c>
    </row>
    <row r="3692" spans="1:15" x14ac:dyDescent="0.25">
      <c r="A3692" t="s">
        <v>1296</v>
      </c>
      <c r="B3692" t="s">
        <v>2965</v>
      </c>
      <c r="C3692" t="s">
        <v>923</v>
      </c>
      <c r="D3692" t="s">
        <v>3063</v>
      </c>
      <c r="E3692" t="s">
        <v>3053</v>
      </c>
      <c r="F3692" t="s">
        <v>499</v>
      </c>
      <c r="G3692" t="s">
        <v>500</v>
      </c>
      <c r="H3692" t="s">
        <v>5524</v>
      </c>
      <c r="I3692">
        <v>31</v>
      </c>
      <c r="J3692">
        <v>0</v>
      </c>
      <c r="K3692">
        <v>0</v>
      </c>
      <c r="L3692">
        <v>0</v>
      </c>
      <c r="M3692">
        <v>31</v>
      </c>
      <c r="N3692">
        <v>0</v>
      </c>
      <c r="O3692">
        <v>0</v>
      </c>
    </row>
    <row r="3693" spans="1:15" x14ac:dyDescent="0.25">
      <c r="A3693" t="s">
        <v>943</v>
      </c>
      <c r="B3693" t="s">
        <v>2694</v>
      </c>
      <c r="C3693" t="s">
        <v>927</v>
      </c>
      <c r="D3693" t="s">
        <v>3052</v>
      </c>
      <c r="E3693" t="s">
        <v>3053</v>
      </c>
      <c r="F3693" t="s">
        <v>499</v>
      </c>
      <c r="G3693" t="s">
        <v>500</v>
      </c>
      <c r="H3693" t="s">
        <v>5525</v>
      </c>
      <c r="I3693">
        <v>2024</v>
      </c>
      <c r="J3693">
        <v>1559</v>
      </c>
      <c r="K3693">
        <v>0</v>
      </c>
      <c r="L3693">
        <v>93</v>
      </c>
      <c r="M3693">
        <v>92</v>
      </c>
      <c r="N3693">
        <v>0</v>
      </c>
      <c r="O3693">
        <v>280</v>
      </c>
    </row>
    <row r="3694" spans="1:15" x14ac:dyDescent="0.25">
      <c r="A3694" t="s">
        <v>945</v>
      </c>
      <c r="B3694" t="s">
        <v>2668</v>
      </c>
      <c r="C3694" t="s">
        <v>927</v>
      </c>
      <c r="D3694" t="s">
        <v>3052</v>
      </c>
      <c r="E3694" t="s">
        <v>3053</v>
      </c>
      <c r="F3694" t="s">
        <v>499</v>
      </c>
      <c r="G3694" t="s">
        <v>500</v>
      </c>
      <c r="H3694" t="s">
        <v>5526</v>
      </c>
      <c r="I3694">
        <v>2</v>
      </c>
      <c r="J3694">
        <v>1</v>
      </c>
      <c r="K3694">
        <v>0</v>
      </c>
      <c r="L3694">
        <v>0</v>
      </c>
      <c r="M3694">
        <v>0</v>
      </c>
      <c r="N3694">
        <v>0</v>
      </c>
      <c r="O3694">
        <v>1</v>
      </c>
    </row>
    <row r="3695" spans="1:15" x14ac:dyDescent="0.25">
      <c r="A3695" t="s">
        <v>1303</v>
      </c>
      <c r="B3695" t="s">
        <v>2381</v>
      </c>
      <c r="C3695" t="s">
        <v>923</v>
      </c>
      <c r="D3695" t="s">
        <v>3063</v>
      </c>
      <c r="E3695" t="s">
        <v>3053</v>
      </c>
      <c r="F3695" t="s">
        <v>499</v>
      </c>
      <c r="G3695" t="s">
        <v>500</v>
      </c>
      <c r="H3695" t="s">
        <v>5527</v>
      </c>
      <c r="I3695">
        <v>33</v>
      </c>
      <c r="J3695">
        <v>33</v>
      </c>
      <c r="K3695">
        <v>0</v>
      </c>
      <c r="L3695">
        <v>0</v>
      </c>
      <c r="M3695">
        <v>0</v>
      </c>
      <c r="N3695">
        <v>0</v>
      </c>
      <c r="O3695">
        <v>0</v>
      </c>
    </row>
    <row r="3696" spans="1:15" x14ac:dyDescent="0.25">
      <c r="A3696" t="s">
        <v>1131</v>
      </c>
      <c r="B3696" t="s">
        <v>2637</v>
      </c>
      <c r="C3696" t="s">
        <v>927</v>
      </c>
      <c r="D3696" t="s">
        <v>3052</v>
      </c>
      <c r="E3696" t="s">
        <v>3053</v>
      </c>
      <c r="F3696" t="s">
        <v>499</v>
      </c>
      <c r="G3696" t="s">
        <v>500</v>
      </c>
      <c r="H3696" t="s">
        <v>5528</v>
      </c>
      <c r="I3696">
        <v>1142</v>
      </c>
      <c r="J3696">
        <v>803</v>
      </c>
      <c r="K3696">
        <v>0</v>
      </c>
      <c r="L3696">
        <v>0</v>
      </c>
      <c r="M3696">
        <v>0</v>
      </c>
      <c r="N3696">
        <v>0</v>
      </c>
      <c r="O3696">
        <v>339</v>
      </c>
    </row>
    <row r="3697" spans="1:15" x14ac:dyDescent="0.25">
      <c r="A3697" t="s">
        <v>1134</v>
      </c>
      <c r="B3697" t="s">
        <v>2118</v>
      </c>
      <c r="C3697" t="s">
        <v>927</v>
      </c>
      <c r="D3697" t="s">
        <v>3052</v>
      </c>
      <c r="E3697" t="s">
        <v>3053</v>
      </c>
      <c r="F3697" t="s">
        <v>499</v>
      </c>
      <c r="G3697" t="s">
        <v>500</v>
      </c>
      <c r="H3697" t="s">
        <v>5529</v>
      </c>
      <c r="I3697">
        <v>705</v>
      </c>
      <c r="J3697">
        <v>534</v>
      </c>
      <c r="K3697">
        <v>0</v>
      </c>
      <c r="L3697">
        <v>22</v>
      </c>
      <c r="M3697">
        <v>23</v>
      </c>
      <c r="N3697">
        <v>0</v>
      </c>
      <c r="O3697">
        <v>126</v>
      </c>
    </row>
    <row r="3698" spans="1:15" x14ac:dyDescent="0.25">
      <c r="A3698" t="s">
        <v>949</v>
      </c>
      <c r="B3698" t="s">
        <v>3035</v>
      </c>
      <c r="C3698" t="s">
        <v>927</v>
      </c>
      <c r="D3698" t="s">
        <v>3052</v>
      </c>
      <c r="E3698" t="s">
        <v>3053</v>
      </c>
      <c r="F3698" t="s">
        <v>499</v>
      </c>
      <c r="G3698" t="s">
        <v>500</v>
      </c>
      <c r="H3698" t="s">
        <v>5530</v>
      </c>
      <c r="I3698">
        <v>81</v>
      </c>
      <c r="J3698">
        <v>0</v>
      </c>
      <c r="K3698">
        <v>0</v>
      </c>
      <c r="L3698">
        <v>0</v>
      </c>
      <c r="M3698">
        <v>0</v>
      </c>
      <c r="N3698">
        <v>0</v>
      </c>
      <c r="O3698">
        <v>81</v>
      </c>
    </row>
    <row r="3699" spans="1:15" x14ac:dyDescent="0.25">
      <c r="A3699" t="s">
        <v>1140</v>
      </c>
      <c r="B3699" t="s">
        <v>2697</v>
      </c>
      <c r="C3699" t="s">
        <v>927</v>
      </c>
      <c r="D3699" t="s">
        <v>3052</v>
      </c>
      <c r="E3699" t="s">
        <v>3053</v>
      </c>
      <c r="F3699" t="s">
        <v>499</v>
      </c>
      <c r="G3699" t="s">
        <v>500</v>
      </c>
      <c r="H3699" t="s">
        <v>5531</v>
      </c>
      <c r="I3699">
        <v>44</v>
      </c>
      <c r="J3699">
        <v>19</v>
      </c>
      <c r="K3699">
        <v>0</v>
      </c>
      <c r="L3699">
        <v>0</v>
      </c>
      <c r="M3699">
        <v>0</v>
      </c>
      <c r="N3699">
        <v>0</v>
      </c>
      <c r="O3699">
        <v>25</v>
      </c>
    </row>
    <row r="3700" spans="1:15" x14ac:dyDescent="0.25">
      <c r="A3700" t="s">
        <v>1043</v>
      </c>
      <c r="B3700" t="s">
        <v>2090</v>
      </c>
      <c r="C3700" t="s">
        <v>927</v>
      </c>
      <c r="D3700" t="s">
        <v>3052</v>
      </c>
      <c r="E3700" t="s">
        <v>3053</v>
      </c>
      <c r="F3700" t="s">
        <v>499</v>
      </c>
      <c r="G3700" t="s">
        <v>500</v>
      </c>
      <c r="H3700" t="s">
        <v>5532</v>
      </c>
      <c r="I3700">
        <v>264</v>
      </c>
      <c r="J3700">
        <v>213</v>
      </c>
      <c r="K3700">
        <v>0</v>
      </c>
      <c r="L3700">
        <v>8</v>
      </c>
      <c r="M3700">
        <v>35</v>
      </c>
      <c r="N3700">
        <v>0</v>
      </c>
      <c r="O3700">
        <v>8</v>
      </c>
    </row>
    <row r="3701" spans="1:15" x14ac:dyDescent="0.25">
      <c r="A3701" t="s">
        <v>1044</v>
      </c>
      <c r="B3701" t="s">
        <v>2000</v>
      </c>
      <c r="C3701" t="s">
        <v>923</v>
      </c>
      <c r="D3701" t="s">
        <v>3063</v>
      </c>
      <c r="E3701" t="s">
        <v>3053</v>
      </c>
      <c r="F3701" t="s">
        <v>499</v>
      </c>
      <c r="G3701" t="s">
        <v>500</v>
      </c>
      <c r="H3701" t="s">
        <v>5533</v>
      </c>
      <c r="I3701">
        <v>23</v>
      </c>
      <c r="J3701">
        <v>0</v>
      </c>
      <c r="K3701">
        <v>0</v>
      </c>
      <c r="L3701">
        <v>23</v>
      </c>
      <c r="M3701">
        <v>0</v>
      </c>
      <c r="N3701">
        <v>0</v>
      </c>
      <c r="O3701">
        <v>0</v>
      </c>
    </row>
    <row r="3702" spans="1:15" x14ac:dyDescent="0.25">
      <c r="A3702" t="s">
        <v>1146</v>
      </c>
      <c r="B3702" t="s">
        <v>2117</v>
      </c>
      <c r="C3702" t="s">
        <v>927</v>
      </c>
      <c r="D3702" t="s">
        <v>3052</v>
      </c>
      <c r="E3702" t="s">
        <v>3053</v>
      </c>
      <c r="F3702" t="s">
        <v>499</v>
      </c>
      <c r="G3702" t="s">
        <v>500</v>
      </c>
      <c r="H3702" t="s">
        <v>5534</v>
      </c>
      <c r="I3702">
        <v>1209</v>
      </c>
      <c r="J3702">
        <v>991</v>
      </c>
      <c r="K3702">
        <v>0</v>
      </c>
      <c r="L3702">
        <v>46</v>
      </c>
      <c r="M3702">
        <v>0</v>
      </c>
      <c r="N3702">
        <v>3</v>
      </c>
      <c r="O3702">
        <v>172</v>
      </c>
    </row>
    <row r="3703" spans="1:15" x14ac:dyDescent="0.25">
      <c r="A3703" t="s">
        <v>951</v>
      </c>
      <c r="B3703" t="s">
        <v>2680</v>
      </c>
      <c r="C3703" t="s">
        <v>927</v>
      </c>
      <c r="D3703" t="s">
        <v>3052</v>
      </c>
      <c r="E3703" t="s">
        <v>3053</v>
      </c>
      <c r="F3703" t="s">
        <v>499</v>
      </c>
      <c r="G3703" t="s">
        <v>500</v>
      </c>
      <c r="H3703" t="s">
        <v>5535</v>
      </c>
      <c r="I3703">
        <v>4</v>
      </c>
      <c r="J3703">
        <v>4</v>
      </c>
      <c r="K3703">
        <v>0</v>
      </c>
      <c r="L3703">
        <v>0</v>
      </c>
      <c r="M3703">
        <v>0</v>
      </c>
      <c r="N3703">
        <v>0</v>
      </c>
      <c r="O3703">
        <v>0</v>
      </c>
    </row>
    <row r="3704" spans="1:15" x14ac:dyDescent="0.25">
      <c r="A3704" t="s">
        <v>1048</v>
      </c>
      <c r="B3704" t="s">
        <v>2989</v>
      </c>
      <c r="C3704" t="s">
        <v>927</v>
      </c>
      <c r="D3704" t="s">
        <v>3052</v>
      </c>
      <c r="E3704" t="s">
        <v>3053</v>
      </c>
      <c r="F3704" t="s">
        <v>499</v>
      </c>
      <c r="G3704" t="s">
        <v>500</v>
      </c>
      <c r="H3704" t="s">
        <v>5536</v>
      </c>
      <c r="I3704">
        <v>106</v>
      </c>
      <c r="J3704">
        <v>106</v>
      </c>
      <c r="K3704">
        <v>0</v>
      </c>
      <c r="L3704">
        <v>0</v>
      </c>
      <c r="M3704">
        <v>0</v>
      </c>
      <c r="N3704">
        <v>0</v>
      </c>
      <c r="O3704">
        <v>0</v>
      </c>
    </row>
    <row r="3705" spans="1:15" x14ac:dyDescent="0.25">
      <c r="A3705" t="s">
        <v>1328</v>
      </c>
      <c r="B3705" t="s">
        <v>2360</v>
      </c>
      <c r="C3705" t="s">
        <v>923</v>
      </c>
      <c r="D3705" t="s">
        <v>3063</v>
      </c>
      <c r="E3705" t="s">
        <v>3053</v>
      </c>
      <c r="F3705" t="s">
        <v>499</v>
      </c>
      <c r="G3705" t="s">
        <v>500</v>
      </c>
      <c r="H3705" t="s">
        <v>5537</v>
      </c>
      <c r="I3705">
        <v>1</v>
      </c>
      <c r="J3705">
        <v>1</v>
      </c>
      <c r="K3705">
        <v>0</v>
      </c>
      <c r="L3705">
        <v>0</v>
      </c>
      <c r="M3705">
        <v>0</v>
      </c>
      <c r="N3705">
        <v>0</v>
      </c>
      <c r="O3705">
        <v>0</v>
      </c>
    </row>
    <row r="3706" spans="1:15" x14ac:dyDescent="0.25">
      <c r="A3706" t="s">
        <v>953</v>
      </c>
      <c r="B3706" t="s">
        <v>2014</v>
      </c>
      <c r="C3706" t="s">
        <v>927</v>
      </c>
      <c r="D3706" t="s">
        <v>3052</v>
      </c>
      <c r="E3706" t="s">
        <v>3053</v>
      </c>
      <c r="F3706" t="s">
        <v>499</v>
      </c>
      <c r="G3706" t="s">
        <v>500</v>
      </c>
      <c r="H3706" t="s">
        <v>5538</v>
      </c>
      <c r="I3706">
        <v>14</v>
      </c>
      <c r="J3706">
        <v>0</v>
      </c>
      <c r="K3706">
        <v>0</v>
      </c>
      <c r="L3706">
        <v>14</v>
      </c>
      <c r="M3706">
        <v>0</v>
      </c>
      <c r="N3706">
        <v>0</v>
      </c>
      <c r="O3706">
        <v>0</v>
      </c>
    </row>
    <row r="3707" spans="1:15" x14ac:dyDescent="0.25">
      <c r="A3707" t="s">
        <v>11720</v>
      </c>
      <c r="B3707" t="s">
        <v>10718</v>
      </c>
      <c r="C3707" t="s">
        <v>927</v>
      </c>
      <c r="D3707" t="s">
        <v>3052</v>
      </c>
      <c r="E3707" t="s">
        <v>3053</v>
      </c>
      <c r="F3707" t="s">
        <v>499</v>
      </c>
      <c r="G3707" t="s">
        <v>500</v>
      </c>
      <c r="H3707" t="s">
        <v>14780</v>
      </c>
      <c r="I3707">
        <v>108</v>
      </c>
      <c r="J3707">
        <v>0</v>
      </c>
      <c r="K3707">
        <v>0</v>
      </c>
      <c r="L3707">
        <v>0</v>
      </c>
      <c r="M3707">
        <v>0</v>
      </c>
      <c r="N3707">
        <v>0</v>
      </c>
      <c r="O3707">
        <v>108</v>
      </c>
    </row>
    <row r="3708" spans="1:15" x14ac:dyDescent="0.25">
      <c r="A3708" t="s">
        <v>1057</v>
      </c>
      <c r="B3708" t="s">
        <v>1972</v>
      </c>
      <c r="C3708" t="s">
        <v>927</v>
      </c>
      <c r="D3708" t="s">
        <v>3052</v>
      </c>
      <c r="E3708" t="s">
        <v>3053</v>
      </c>
      <c r="F3708" t="s">
        <v>499</v>
      </c>
      <c r="G3708" t="s">
        <v>500</v>
      </c>
      <c r="H3708" t="s">
        <v>5539</v>
      </c>
      <c r="I3708">
        <v>293</v>
      </c>
      <c r="J3708">
        <v>170</v>
      </c>
      <c r="K3708">
        <v>0</v>
      </c>
      <c r="L3708">
        <v>0</v>
      </c>
      <c r="M3708">
        <v>0</v>
      </c>
      <c r="N3708">
        <v>0</v>
      </c>
      <c r="O3708">
        <v>123</v>
      </c>
    </row>
    <row r="3709" spans="1:15" x14ac:dyDescent="0.25">
      <c r="A3709" t="s">
        <v>955</v>
      </c>
      <c r="B3709" t="s">
        <v>2660</v>
      </c>
      <c r="C3709" t="s">
        <v>927</v>
      </c>
      <c r="D3709" t="s">
        <v>3052</v>
      </c>
      <c r="E3709" t="s">
        <v>3053</v>
      </c>
      <c r="F3709" t="s">
        <v>499</v>
      </c>
      <c r="G3709" t="s">
        <v>500</v>
      </c>
      <c r="H3709" t="s">
        <v>5540</v>
      </c>
      <c r="I3709">
        <v>855</v>
      </c>
      <c r="J3709">
        <v>723</v>
      </c>
      <c r="K3709">
        <v>0</v>
      </c>
      <c r="L3709">
        <v>68</v>
      </c>
      <c r="M3709">
        <v>64</v>
      </c>
      <c r="N3709">
        <v>2</v>
      </c>
      <c r="O3709">
        <v>0</v>
      </c>
    </row>
    <row r="3710" spans="1:15" x14ac:dyDescent="0.25">
      <c r="A3710" t="s">
        <v>1338</v>
      </c>
      <c r="B3710" t="s">
        <v>2984</v>
      </c>
      <c r="C3710" t="s">
        <v>923</v>
      </c>
      <c r="D3710" t="s">
        <v>3063</v>
      </c>
      <c r="E3710" t="s">
        <v>3053</v>
      </c>
      <c r="F3710" t="s">
        <v>499</v>
      </c>
      <c r="G3710" t="s">
        <v>500</v>
      </c>
      <c r="H3710" t="s">
        <v>5541</v>
      </c>
      <c r="I3710">
        <v>148</v>
      </c>
      <c r="J3710">
        <v>148</v>
      </c>
      <c r="K3710">
        <v>0</v>
      </c>
      <c r="L3710">
        <v>0</v>
      </c>
      <c r="M3710">
        <v>0</v>
      </c>
      <c r="N3710">
        <v>0</v>
      </c>
      <c r="O3710">
        <v>0</v>
      </c>
    </row>
    <row r="3711" spans="1:15" x14ac:dyDescent="0.25">
      <c r="A3711" t="s">
        <v>11663</v>
      </c>
      <c r="B3711" t="s">
        <v>11768</v>
      </c>
      <c r="C3711" t="s">
        <v>927</v>
      </c>
      <c r="D3711" t="s">
        <v>3052</v>
      </c>
      <c r="E3711" t="s">
        <v>3053</v>
      </c>
      <c r="F3711" t="s">
        <v>499</v>
      </c>
      <c r="G3711" t="s">
        <v>500</v>
      </c>
      <c r="H3711" t="s">
        <v>12071</v>
      </c>
      <c r="I3711">
        <v>175</v>
      </c>
      <c r="J3711">
        <v>55</v>
      </c>
      <c r="K3711">
        <v>0</v>
      </c>
      <c r="L3711">
        <v>0</v>
      </c>
      <c r="M3711">
        <v>76</v>
      </c>
      <c r="N3711">
        <v>0</v>
      </c>
      <c r="O3711">
        <v>44</v>
      </c>
    </row>
    <row r="3712" spans="1:15" x14ac:dyDescent="0.25">
      <c r="A3712" t="s">
        <v>14380</v>
      </c>
      <c r="B3712" t="s">
        <v>2074</v>
      </c>
      <c r="C3712" t="s">
        <v>927</v>
      </c>
      <c r="D3712" t="s">
        <v>3052</v>
      </c>
      <c r="E3712" t="s">
        <v>3053</v>
      </c>
      <c r="F3712" t="s">
        <v>499</v>
      </c>
      <c r="G3712" t="s">
        <v>500</v>
      </c>
      <c r="H3712" t="s">
        <v>14781</v>
      </c>
      <c r="I3712">
        <v>224</v>
      </c>
      <c r="J3712">
        <v>155</v>
      </c>
      <c r="K3712">
        <v>0</v>
      </c>
      <c r="L3712">
        <v>0</v>
      </c>
      <c r="M3712">
        <v>63</v>
      </c>
      <c r="N3712">
        <v>14</v>
      </c>
      <c r="O3712">
        <v>6</v>
      </c>
    </row>
    <row r="3713" spans="1:15" x14ac:dyDescent="0.25">
      <c r="A3713" t="s">
        <v>1158</v>
      </c>
      <c r="B3713" t="s">
        <v>2922</v>
      </c>
      <c r="C3713" t="s">
        <v>927</v>
      </c>
      <c r="D3713" t="s">
        <v>3052</v>
      </c>
      <c r="E3713" t="s">
        <v>3053</v>
      </c>
      <c r="F3713" t="s">
        <v>499</v>
      </c>
      <c r="G3713" t="s">
        <v>500</v>
      </c>
      <c r="H3713" t="s">
        <v>5542</v>
      </c>
      <c r="I3713">
        <v>60</v>
      </c>
      <c r="J3713">
        <v>0</v>
      </c>
      <c r="K3713">
        <v>17</v>
      </c>
      <c r="L3713">
        <v>43</v>
      </c>
      <c r="M3713">
        <v>0</v>
      </c>
      <c r="N3713">
        <v>0</v>
      </c>
      <c r="O3713">
        <v>0</v>
      </c>
    </row>
    <row r="3714" spans="1:15" x14ac:dyDescent="0.25">
      <c r="A3714" t="s">
        <v>1348</v>
      </c>
      <c r="B3714" t="s">
        <v>2373</v>
      </c>
      <c r="C3714" t="s">
        <v>923</v>
      </c>
      <c r="D3714" t="s">
        <v>3063</v>
      </c>
      <c r="E3714" t="s">
        <v>3053</v>
      </c>
      <c r="F3714" t="s">
        <v>499</v>
      </c>
      <c r="G3714" t="s">
        <v>500</v>
      </c>
      <c r="H3714" t="s">
        <v>5543</v>
      </c>
      <c r="I3714">
        <v>62</v>
      </c>
      <c r="J3714">
        <v>62</v>
      </c>
      <c r="K3714">
        <v>0</v>
      </c>
      <c r="L3714">
        <v>0</v>
      </c>
      <c r="M3714">
        <v>0</v>
      </c>
      <c r="N3714">
        <v>8</v>
      </c>
      <c r="O3714">
        <v>0</v>
      </c>
    </row>
    <row r="3715" spans="1:15" x14ac:dyDescent="0.25">
      <c r="A3715" t="s">
        <v>1352</v>
      </c>
      <c r="B3715" t="s">
        <v>2085</v>
      </c>
      <c r="C3715" t="s">
        <v>923</v>
      </c>
      <c r="D3715" t="s">
        <v>3063</v>
      </c>
      <c r="E3715" t="s">
        <v>3053</v>
      </c>
      <c r="F3715" t="s">
        <v>499</v>
      </c>
      <c r="G3715" t="s">
        <v>500</v>
      </c>
      <c r="H3715" t="s">
        <v>11064</v>
      </c>
      <c r="I3715">
        <v>8</v>
      </c>
      <c r="J3715">
        <v>8</v>
      </c>
      <c r="K3715">
        <v>0</v>
      </c>
      <c r="L3715">
        <v>0</v>
      </c>
      <c r="M3715">
        <v>0</v>
      </c>
      <c r="N3715">
        <v>0</v>
      </c>
      <c r="O3715">
        <v>0</v>
      </c>
    </row>
    <row r="3716" spans="1:15" x14ac:dyDescent="0.25">
      <c r="A3716" t="s">
        <v>1160</v>
      </c>
      <c r="B3716" t="s">
        <v>2863</v>
      </c>
      <c r="C3716" t="s">
        <v>923</v>
      </c>
      <c r="D3716" t="s">
        <v>3063</v>
      </c>
      <c r="E3716" t="s">
        <v>3053</v>
      </c>
      <c r="F3716" t="s">
        <v>499</v>
      </c>
      <c r="G3716" t="s">
        <v>500</v>
      </c>
      <c r="H3716" t="s">
        <v>5544</v>
      </c>
      <c r="I3716">
        <v>18</v>
      </c>
      <c r="J3716">
        <v>18</v>
      </c>
      <c r="K3716">
        <v>0</v>
      </c>
      <c r="L3716">
        <v>0</v>
      </c>
      <c r="M3716">
        <v>0</v>
      </c>
      <c r="N3716">
        <v>0</v>
      </c>
      <c r="O3716">
        <v>0</v>
      </c>
    </row>
    <row r="3717" spans="1:15" x14ac:dyDescent="0.25">
      <c r="A3717" t="s">
        <v>1353</v>
      </c>
      <c r="B3717" t="s">
        <v>2927</v>
      </c>
      <c r="C3717" t="s">
        <v>923</v>
      </c>
      <c r="D3717" t="s">
        <v>3063</v>
      </c>
      <c r="E3717" t="s">
        <v>3053</v>
      </c>
      <c r="F3717" t="s">
        <v>499</v>
      </c>
      <c r="G3717" t="s">
        <v>500</v>
      </c>
      <c r="H3717" t="s">
        <v>5545</v>
      </c>
      <c r="I3717">
        <v>112</v>
      </c>
      <c r="J3717">
        <v>97</v>
      </c>
      <c r="K3717">
        <v>15</v>
      </c>
      <c r="L3717">
        <v>0</v>
      </c>
      <c r="M3717">
        <v>0</v>
      </c>
      <c r="N3717">
        <v>0</v>
      </c>
      <c r="O3717">
        <v>0</v>
      </c>
    </row>
    <row r="3718" spans="1:15" x14ac:dyDescent="0.25">
      <c r="A3718" t="s">
        <v>1066</v>
      </c>
      <c r="B3718" t="s">
        <v>2557</v>
      </c>
      <c r="C3718" t="s">
        <v>927</v>
      </c>
      <c r="D3718" t="s">
        <v>3052</v>
      </c>
      <c r="E3718" t="s">
        <v>3053</v>
      </c>
      <c r="F3718" t="s">
        <v>499</v>
      </c>
      <c r="G3718" t="s">
        <v>500</v>
      </c>
      <c r="H3718" t="s">
        <v>5546</v>
      </c>
      <c r="I3718">
        <v>13</v>
      </c>
      <c r="J3718">
        <v>0</v>
      </c>
      <c r="K3718">
        <v>0</v>
      </c>
      <c r="L3718">
        <v>0</v>
      </c>
      <c r="M3718">
        <v>13</v>
      </c>
      <c r="N3718">
        <v>0</v>
      </c>
      <c r="O3718">
        <v>0</v>
      </c>
    </row>
    <row r="3719" spans="1:15" x14ac:dyDescent="0.25">
      <c r="A3719" t="s">
        <v>1174</v>
      </c>
      <c r="B3719" t="s">
        <v>2663</v>
      </c>
      <c r="C3719" t="s">
        <v>927</v>
      </c>
      <c r="D3719" t="s">
        <v>3052</v>
      </c>
      <c r="E3719" t="s">
        <v>3053</v>
      </c>
      <c r="F3719" t="s">
        <v>499</v>
      </c>
      <c r="G3719" t="s">
        <v>500</v>
      </c>
      <c r="H3719" t="s">
        <v>5547</v>
      </c>
      <c r="I3719">
        <v>5</v>
      </c>
      <c r="J3719">
        <v>5</v>
      </c>
      <c r="K3719">
        <v>0</v>
      </c>
      <c r="L3719">
        <v>0</v>
      </c>
      <c r="M3719">
        <v>0</v>
      </c>
      <c r="N3719">
        <v>0</v>
      </c>
      <c r="O3719">
        <v>0</v>
      </c>
    </row>
    <row r="3720" spans="1:15" x14ac:dyDescent="0.25">
      <c r="A3720" t="s">
        <v>1072</v>
      </c>
      <c r="B3720" t="s">
        <v>2907</v>
      </c>
      <c r="C3720" t="s">
        <v>927</v>
      </c>
      <c r="D3720" t="s">
        <v>3052</v>
      </c>
      <c r="E3720" t="s">
        <v>3053</v>
      </c>
      <c r="F3720" t="s">
        <v>499</v>
      </c>
      <c r="G3720" t="s">
        <v>500</v>
      </c>
      <c r="H3720" t="s">
        <v>5548</v>
      </c>
      <c r="I3720">
        <v>256</v>
      </c>
      <c r="J3720">
        <v>93</v>
      </c>
      <c r="K3720">
        <v>0</v>
      </c>
      <c r="L3720">
        <v>1</v>
      </c>
      <c r="M3720">
        <v>142</v>
      </c>
      <c r="N3720">
        <v>0</v>
      </c>
      <c r="O3720">
        <v>20</v>
      </c>
    </row>
    <row r="3721" spans="1:15" x14ac:dyDescent="0.25">
      <c r="A3721" t="s">
        <v>1395</v>
      </c>
      <c r="B3721" t="s">
        <v>2288</v>
      </c>
      <c r="C3721" t="s">
        <v>923</v>
      </c>
      <c r="D3721" t="s">
        <v>3063</v>
      </c>
      <c r="E3721" t="s">
        <v>3053</v>
      </c>
      <c r="F3721" t="s">
        <v>499</v>
      </c>
      <c r="G3721" t="s">
        <v>500</v>
      </c>
      <c r="H3721" t="s">
        <v>5549</v>
      </c>
      <c r="I3721">
        <v>6</v>
      </c>
      <c r="J3721">
        <v>0</v>
      </c>
      <c r="K3721">
        <v>0</v>
      </c>
      <c r="L3721">
        <v>0</v>
      </c>
      <c r="M3721">
        <v>6</v>
      </c>
      <c r="N3721">
        <v>0</v>
      </c>
      <c r="O3721">
        <v>0</v>
      </c>
    </row>
    <row r="3722" spans="1:15" x14ac:dyDescent="0.25">
      <c r="A3722" t="s">
        <v>1397</v>
      </c>
      <c r="B3722" t="s">
        <v>2460</v>
      </c>
      <c r="C3722" t="s">
        <v>923</v>
      </c>
      <c r="D3722" t="s">
        <v>3063</v>
      </c>
      <c r="E3722" t="s">
        <v>3053</v>
      </c>
      <c r="F3722" t="s">
        <v>499</v>
      </c>
      <c r="G3722" t="s">
        <v>500</v>
      </c>
      <c r="H3722" t="s">
        <v>5550</v>
      </c>
      <c r="I3722">
        <v>4</v>
      </c>
      <c r="J3722">
        <v>2</v>
      </c>
      <c r="K3722">
        <v>2</v>
      </c>
      <c r="L3722">
        <v>0</v>
      </c>
      <c r="M3722">
        <v>0</v>
      </c>
      <c r="N3722">
        <v>0</v>
      </c>
      <c r="O3722">
        <v>0</v>
      </c>
    </row>
    <row r="3723" spans="1:15" x14ac:dyDescent="0.25">
      <c r="A3723" t="s">
        <v>9886</v>
      </c>
      <c r="B3723" t="s">
        <v>2623</v>
      </c>
      <c r="C3723" t="s">
        <v>923</v>
      </c>
      <c r="D3723" t="s">
        <v>3063</v>
      </c>
      <c r="E3723" t="s">
        <v>3053</v>
      </c>
      <c r="F3723" t="s">
        <v>499</v>
      </c>
      <c r="G3723" t="s">
        <v>500</v>
      </c>
      <c r="H3723" t="s">
        <v>10517</v>
      </c>
      <c r="I3723">
        <v>163</v>
      </c>
      <c r="J3723">
        <v>0</v>
      </c>
      <c r="K3723">
        <v>8</v>
      </c>
      <c r="L3723">
        <v>155</v>
      </c>
      <c r="M3723">
        <v>0</v>
      </c>
      <c r="N3723">
        <v>0</v>
      </c>
      <c r="O3723">
        <v>0</v>
      </c>
    </row>
    <row r="3724" spans="1:15" x14ac:dyDescent="0.25">
      <c r="A3724" t="s">
        <v>929</v>
      </c>
      <c r="B3724" t="s">
        <v>2999</v>
      </c>
      <c r="C3724" t="s">
        <v>927</v>
      </c>
      <c r="D3724" t="s">
        <v>3052</v>
      </c>
      <c r="E3724" t="s">
        <v>3053</v>
      </c>
      <c r="F3724" t="s">
        <v>501</v>
      </c>
      <c r="G3724" t="s">
        <v>502</v>
      </c>
      <c r="H3724" t="s">
        <v>5551</v>
      </c>
      <c r="I3724">
        <v>75</v>
      </c>
      <c r="J3724">
        <v>0</v>
      </c>
      <c r="K3724">
        <v>0</v>
      </c>
      <c r="L3724">
        <v>0</v>
      </c>
      <c r="M3724">
        <v>75</v>
      </c>
      <c r="N3724">
        <v>0</v>
      </c>
      <c r="O3724">
        <v>0</v>
      </c>
    </row>
    <row r="3725" spans="1:15" x14ac:dyDescent="0.25">
      <c r="A3725" t="s">
        <v>1090</v>
      </c>
      <c r="B3725" t="s">
        <v>2875</v>
      </c>
      <c r="C3725" t="s">
        <v>927</v>
      </c>
      <c r="D3725" t="s">
        <v>3052</v>
      </c>
      <c r="E3725" t="s">
        <v>3053</v>
      </c>
      <c r="F3725" t="s">
        <v>501</v>
      </c>
      <c r="G3725" t="s">
        <v>502</v>
      </c>
      <c r="H3725" t="s">
        <v>5552</v>
      </c>
      <c r="I3725">
        <v>2</v>
      </c>
      <c r="J3725">
        <v>0</v>
      </c>
      <c r="K3725">
        <v>0</v>
      </c>
      <c r="L3725">
        <v>0</v>
      </c>
      <c r="M3725">
        <v>0</v>
      </c>
      <c r="N3725">
        <v>0</v>
      </c>
      <c r="O3725">
        <v>2</v>
      </c>
    </row>
    <row r="3726" spans="1:15" x14ac:dyDescent="0.25">
      <c r="A3726" t="s">
        <v>1100</v>
      </c>
      <c r="B3726" t="s">
        <v>2855</v>
      </c>
      <c r="C3726" t="s">
        <v>927</v>
      </c>
      <c r="D3726" t="s">
        <v>3052</v>
      </c>
      <c r="E3726" t="s">
        <v>3053</v>
      </c>
      <c r="F3726" t="s">
        <v>501</v>
      </c>
      <c r="G3726" t="s">
        <v>502</v>
      </c>
      <c r="H3726" t="s">
        <v>5553</v>
      </c>
      <c r="I3726">
        <v>33</v>
      </c>
      <c r="J3726">
        <v>17</v>
      </c>
      <c r="K3726">
        <v>0</v>
      </c>
      <c r="L3726">
        <v>0</v>
      </c>
      <c r="M3726">
        <v>0</v>
      </c>
      <c r="N3726">
        <v>0</v>
      </c>
      <c r="O3726">
        <v>16</v>
      </c>
    </row>
    <row r="3727" spans="1:15" x14ac:dyDescent="0.25">
      <c r="A3727" t="s">
        <v>933</v>
      </c>
      <c r="B3727" t="s">
        <v>2106</v>
      </c>
      <c r="C3727" t="s">
        <v>927</v>
      </c>
      <c r="D3727" t="s">
        <v>3052</v>
      </c>
      <c r="E3727" t="s">
        <v>3053</v>
      </c>
      <c r="F3727" t="s">
        <v>501</v>
      </c>
      <c r="G3727" t="s">
        <v>502</v>
      </c>
      <c r="H3727" t="s">
        <v>5554</v>
      </c>
      <c r="I3727">
        <v>437</v>
      </c>
      <c r="J3727">
        <v>195</v>
      </c>
      <c r="K3727">
        <v>236</v>
      </c>
      <c r="L3727">
        <v>0</v>
      </c>
      <c r="M3727">
        <v>0</v>
      </c>
      <c r="N3727">
        <v>0</v>
      </c>
      <c r="O3727">
        <v>6</v>
      </c>
    </row>
    <row r="3728" spans="1:15" x14ac:dyDescent="0.25">
      <c r="A3728" t="s">
        <v>1111</v>
      </c>
      <c r="B3728" t="s">
        <v>2795</v>
      </c>
      <c r="C3728" t="s">
        <v>927</v>
      </c>
      <c r="D3728" t="s">
        <v>3052</v>
      </c>
      <c r="E3728" t="s">
        <v>3053</v>
      </c>
      <c r="F3728" t="s">
        <v>501</v>
      </c>
      <c r="G3728" t="s">
        <v>502</v>
      </c>
      <c r="H3728" t="s">
        <v>5555</v>
      </c>
      <c r="I3728">
        <v>3</v>
      </c>
      <c r="J3728">
        <v>0</v>
      </c>
      <c r="K3728">
        <v>0</v>
      </c>
      <c r="L3728">
        <v>3</v>
      </c>
      <c r="M3728">
        <v>0</v>
      </c>
      <c r="N3728">
        <v>0</v>
      </c>
      <c r="O3728">
        <v>0</v>
      </c>
    </row>
    <row r="3729" spans="1:15" x14ac:dyDescent="0.25">
      <c r="A3729" t="s">
        <v>10638</v>
      </c>
      <c r="B3729" t="s">
        <v>2057</v>
      </c>
      <c r="C3729" t="s">
        <v>927</v>
      </c>
      <c r="D3729" t="s">
        <v>3052</v>
      </c>
      <c r="E3729" t="s">
        <v>3053</v>
      </c>
      <c r="F3729" t="s">
        <v>501</v>
      </c>
      <c r="G3729" t="s">
        <v>502</v>
      </c>
      <c r="H3729" t="s">
        <v>12072</v>
      </c>
      <c r="I3729">
        <v>8</v>
      </c>
      <c r="J3729">
        <v>0</v>
      </c>
      <c r="K3729">
        <v>0</v>
      </c>
      <c r="L3729">
        <v>8</v>
      </c>
      <c r="M3729">
        <v>0</v>
      </c>
      <c r="N3729">
        <v>0</v>
      </c>
      <c r="O3729">
        <v>0</v>
      </c>
    </row>
    <row r="3730" spans="1:15" x14ac:dyDescent="0.25">
      <c r="A3730" t="s">
        <v>1118</v>
      </c>
      <c r="B3730" t="s">
        <v>2149</v>
      </c>
      <c r="C3730" t="s">
        <v>923</v>
      </c>
      <c r="D3730" t="s">
        <v>3063</v>
      </c>
      <c r="E3730" t="s">
        <v>3053</v>
      </c>
      <c r="F3730" t="s">
        <v>501</v>
      </c>
      <c r="G3730" t="s">
        <v>502</v>
      </c>
      <c r="H3730" t="s">
        <v>5556</v>
      </c>
      <c r="I3730">
        <v>14</v>
      </c>
      <c r="J3730">
        <v>0</v>
      </c>
      <c r="K3730">
        <v>0</v>
      </c>
      <c r="L3730">
        <v>0</v>
      </c>
      <c r="M3730">
        <v>14</v>
      </c>
      <c r="N3730">
        <v>0</v>
      </c>
      <c r="O3730">
        <v>0</v>
      </c>
    </row>
    <row r="3731" spans="1:15" x14ac:dyDescent="0.25">
      <c r="A3731" t="s">
        <v>937</v>
      </c>
      <c r="B3731" t="s">
        <v>1962</v>
      </c>
      <c r="C3731" t="s">
        <v>927</v>
      </c>
      <c r="D3731" t="s">
        <v>3052</v>
      </c>
      <c r="E3731" t="s">
        <v>3053</v>
      </c>
      <c r="F3731" t="s">
        <v>501</v>
      </c>
      <c r="G3731" t="s">
        <v>502</v>
      </c>
      <c r="H3731" t="s">
        <v>10095</v>
      </c>
      <c r="I3731">
        <v>25</v>
      </c>
      <c r="J3731">
        <v>0</v>
      </c>
      <c r="K3731">
        <v>0</v>
      </c>
      <c r="L3731">
        <v>0</v>
      </c>
      <c r="M3731">
        <v>0</v>
      </c>
      <c r="N3731">
        <v>0</v>
      </c>
      <c r="O3731">
        <v>25</v>
      </c>
    </row>
    <row r="3732" spans="1:15" x14ac:dyDescent="0.25">
      <c r="A3732" t="s">
        <v>938</v>
      </c>
      <c r="B3732" t="s">
        <v>2791</v>
      </c>
      <c r="C3732" t="s">
        <v>927</v>
      </c>
      <c r="D3732" t="s">
        <v>3052</v>
      </c>
      <c r="E3732" t="s">
        <v>3053</v>
      </c>
      <c r="F3732" t="s">
        <v>501</v>
      </c>
      <c r="G3732" t="s">
        <v>502</v>
      </c>
      <c r="H3732" t="s">
        <v>5557</v>
      </c>
      <c r="I3732">
        <v>668</v>
      </c>
      <c r="J3732">
        <v>556</v>
      </c>
      <c r="K3732">
        <v>0</v>
      </c>
      <c r="L3732">
        <v>0</v>
      </c>
      <c r="M3732">
        <v>68</v>
      </c>
      <c r="N3732">
        <v>3</v>
      </c>
      <c r="O3732">
        <v>44</v>
      </c>
    </row>
    <row r="3733" spans="1:15" x14ac:dyDescent="0.25">
      <c r="A3733" t="s">
        <v>10667</v>
      </c>
      <c r="B3733" t="s">
        <v>10666</v>
      </c>
      <c r="C3733" t="s">
        <v>927</v>
      </c>
      <c r="D3733" t="s">
        <v>3052</v>
      </c>
      <c r="E3733" t="s">
        <v>3053</v>
      </c>
      <c r="F3733" t="s">
        <v>501</v>
      </c>
      <c r="G3733" t="s">
        <v>502</v>
      </c>
      <c r="H3733" t="s">
        <v>11065</v>
      </c>
      <c r="I3733">
        <v>38</v>
      </c>
      <c r="J3733">
        <v>38</v>
      </c>
      <c r="K3733">
        <v>0</v>
      </c>
      <c r="L3733">
        <v>0</v>
      </c>
      <c r="M3733">
        <v>0</v>
      </c>
      <c r="N3733">
        <v>0</v>
      </c>
      <c r="O3733">
        <v>0</v>
      </c>
    </row>
    <row r="3734" spans="1:15" x14ac:dyDescent="0.25">
      <c r="A3734" t="s">
        <v>1126</v>
      </c>
      <c r="B3734" t="s">
        <v>2130</v>
      </c>
      <c r="C3734" t="s">
        <v>927</v>
      </c>
      <c r="D3734" t="s">
        <v>3052</v>
      </c>
      <c r="E3734" t="s">
        <v>3053</v>
      </c>
      <c r="F3734" t="s">
        <v>501</v>
      </c>
      <c r="G3734" t="s">
        <v>502</v>
      </c>
      <c r="H3734" t="s">
        <v>10163</v>
      </c>
      <c r="I3734">
        <v>31</v>
      </c>
      <c r="J3734">
        <v>0</v>
      </c>
      <c r="K3734">
        <v>0</v>
      </c>
      <c r="L3734">
        <v>0</v>
      </c>
      <c r="M3734">
        <v>0</v>
      </c>
      <c r="N3734">
        <v>0</v>
      </c>
      <c r="O3734">
        <v>31</v>
      </c>
    </row>
    <row r="3735" spans="1:15" x14ac:dyDescent="0.25">
      <c r="A3735" t="s">
        <v>1025</v>
      </c>
      <c r="B3735" t="s">
        <v>2893</v>
      </c>
      <c r="C3735" t="s">
        <v>927</v>
      </c>
      <c r="D3735" t="s">
        <v>3052</v>
      </c>
      <c r="E3735" t="s">
        <v>3053</v>
      </c>
      <c r="F3735" t="s">
        <v>501</v>
      </c>
      <c r="G3735" t="s">
        <v>502</v>
      </c>
      <c r="H3735" t="s">
        <v>5558</v>
      </c>
      <c r="I3735">
        <v>197</v>
      </c>
      <c r="J3735">
        <v>180</v>
      </c>
      <c r="K3735">
        <v>0</v>
      </c>
      <c r="L3735">
        <v>0</v>
      </c>
      <c r="M3735">
        <v>0</v>
      </c>
      <c r="N3735">
        <v>2</v>
      </c>
      <c r="O3735">
        <v>17</v>
      </c>
    </row>
    <row r="3736" spans="1:15" x14ac:dyDescent="0.25">
      <c r="A3736" t="s">
        <v>943</v>
      </c>
      <c r="B3736" t="s">
        <v>2694</v>
      </c>
      <c r="C3736" t="s">
        <v>927</v>
      </c>
      <c r="D3736" t="s">
        <v>3052</v>
      </c>
      <c r="E3736" t="s">
        <v>3053</v>
      </c>
      <c r="F3736" t="s">
        <v>501</v>
      </c>
      <c r="G3736" t="s">
        <v>502</v>
      </c>
      <c r="H3736" t="s">
        <v>5559</v>
      </c>
      <c r="I3736">
        <v>9</v>
      </c>
      <c r="J3736">
        <v>0</v>
      </c>
      <c r="K3736">
        <v>0</v>
      </c>
      <c r="L3736">
        <v>8</v>
      </c>
      <c r="M3736">
        <v>0</v>
      </c>
      <c r="N3736">
        <v>0</v>
      </c>
      <c r="O3736">
        <v>1</v>
      </c>
    </row>
    <row r="3737" spans="1:15" x14ac:dyDescent="0.25">
      <c r="A3737" t="s">
        <v>945</v>
      </c>
      <c r="B3737" t="s">
        <v>2668</v>
      </c>
      <c r="C3737" t="s">
        <v>927</v>
      </c>
      <c r="D3737" t="s">
        <v>3052</v>
      </c>
      <c r="E3737" t="s">
        <v>3053</v>
      </c>
      <c r="F3737" t="s">
        <v>501</v>
      </c>
      <c r="G3737" t="s">
        <v>502</v>
      </c>
      <c r="H3737" t="s">
        <v>5560</v>
      </c>
      <c r="I3737">
        <v>487</v>
      </c>
      <c r="J3737">
        <v>245</v>
      </c>
      <c r="K3737">
        <v>0</v>
      </c>
      <c r="L3737">
        <v>3</v>
      </c>
      <c r="M3737">
        <v>24</v>
      </c>
      <c r="N3737">
        <v>0</v>
      </c>
      <c r="O3737">
        <v>215</v>
      </c>
    </row>
    <row r="3738" spans="1:15" x14ac:dyDescent="0.25">
      <c r="A3738" t="s">
        <v>1130</v>
      </c>
      <c r="B3738" t="s">
        <v>2821</v>
      </c>
      <c r="C3738" t="s">
        <v>923</v>
      </c>
      <c r="D3738" t="s">
        <v>3063</v>
      </c>
      <c r="E3738" t="s">
        <v>3053</v>
      </c>
      <c r="F3738" t="s">
        <v>501</v>
      </c>
      <c r="G3738" t="s">
        <v>502</v>
      </c>
      <c r="H3738" t="s">
        <v>5561</v>
      </c>
      <c r="I3738">
        <v>3</v>
      </c>
      <c r="J3738">
        <v>3</v>
      </c>
      <c r="K3738">
        <v>0</v>
      </c>
      <c r="L3738">
        <v>0</v>
      </c>
      <c r="M3738">
        <v>0</v>
      </c>
      <c r="N3738">
        <v>0</v>
      </c>
      <c r="O3738">
        <v>0</v>
      </c>
    </row>
    <row r="3739" spans="1:15" x14ac:dyDescent="0.25">
      <c r="A3739" t="s">
        <v>1033</v>
      </c>
      <c r="B3739" t="s">
        <v>2039</v>
      </c>
      <c r="C3739" t="s">
        <v>923</v>
      </c>
      <c r="D3739" t="s">
        <v>3063</v>
      </c>
      <c r="E3739" t="s">
        <v>3053</v>
      </c>
      <c r="F3739" t="s">
        <v>501</v>
      </c>
      <c r="G3739" t="s">
        <v>502</v>
      </c>
      <c r="H3739" t="s">
        <v>5562</v>
      </c>
      <c r="I3739">
        <v>3</v>
      </c>
      <c r="J3739">
        <v>0</v>
      </c>
      <c r="K3739">
        <v>0</v>
      </c>
      <c r="L3739">
        <v>3</v>
      </c>
      <c r="M3739">
        <v>0</v>
      </c>
      <c r="N3739">
        <v>0</v>
      </c>
      <c r="O3739">
        <v>0</v>
      </c>
    </row>
    <row r="3740" spans="1:15" x14ac:dyDescent="0.25">
      <c r="A3740" t="s">
        <v>1134</v>
      </c>
      <c r="B3740" t="s">
        <v>2118</v>
      </c>
      <c r="C3740" t="s">
        <v>927</v>
      </c>
      <c r="D3740" t="s">
        <v>3052</v>
      </c>
      <c r="E3740" t="s">
        <v>3053</v>
      </c>
      <c r="F3740" t="s">
        <v>501</v>
      </c>
      <c r="G3740" t="s">
        <v>502</v>
      </c>
      <c r="H3740" t="s">
        <v>5563</v>
      </c>
      <c r="I3740">
        <v>230</v>
      </c>
      <c r="J3740">
        <v>138</v>
      </c>
      <c r="K3740">
        <v>0</v>
      </c>
      <c r="L3740">
        <v>25</v>
      </c>
      <c r="M3740">
        <v>66</v>
      </c>
      <c r="N3740">
        <v>1</v>
      </c>
      <c r="O3740">
        <v>1</v>
      </c>
    </row>
    <row r="3741" spans="1:15" x14ac:dyDescent="0.25">
      <c r="A3741" t="s">
        <v>1041</v>
      </c>
      <c r="B3741" t="s">
        <v>2826</v>
      </c>
      <c r="C3741" t="s">
        <v>927</v>
      </c>
      <c r="D3741" t="s">
        <v>3052</v>
      </c>
      <c r="E3741" t="s">
        <v>3053</v>
      </c>
      <c r="F3741" t="s">
        <v>501</v>
      </c>
      <c r="G3741" t="s">
        <v>502</v>
      </c>
      <c r="H3741" t="s">
        <v>11066</v>
      </c>
      <c r="I3741">
        <v>10</v>
      </c>
      <c r="J3741">
        <v>0</v>
      </c>
      <c r="K3741">
        <v>0</v>
      </c>
      <c r="L3741">
        <v>0</v>
      </c>
      <c r="M3741">
        <v>0</v>
      </c>
      <c r="N3741">
        <v>0</v>
      </c>
      <c r="O3741">
        <v>10</v>
      </c>
    </row>
    <row r="3742" spans="1:15" x14ac:dyDescent="0.25">
      <c r="A3742" t="s">
        <v>1146</v>
      </c>
      <c r="B3742" t="s">
        <v>2117</v>
      </c>
      <c r="C3742" t="s">
        <v>927</v>
      </c>
      <c r="D3742" t="s">
        <v>3052</v>
      </c>
      <c r="E3742" t="s">
        <v>3053</v>
      </c>
      <c r="F3742" t="s">
        <v>501</v>
      </c>
      <c r="G3742" t="s">
        <v>502</v>
      </c>
      <c r="H3742" t="s">
        <v>11067</v>
      </c>
      <c r="I3742">
        <v>24</v>
      </c>
      <c r="J3742">
        <v>0</v>
      </c>
      <c r="K3742">
        <v>0</v>
      </c>
      <c r="L3742">
        <v>24</v>
      </c>
      <c r="M3742">
        <v>0</v>
      </c>
      <c r="N3742">
        <v>0</v>
      </c>
      <c r="O3742">
        <v>0</v>
      </c>
    </row>
    <row r="3743" spans="1:15" x14ac:dyDescent="0.25">
      <c r="A3743" t="s">
        <v>1048</v>
      </c>
      <c r="B3743" t="s">
        <v>2989</v>
      </c>
      <c r="C3743" t="s">
        <v>927</v>
      </c>
      <c r="D3743" t="s">
        <v>3052</v>
      </c>
      <c r="E3743" t="s">
        <v>3053</v>
      </c>
      <c r="F3743" t="s">
        <v>501</v>
      </c>
      <c r="G3743" t="s">
        <v>502</v>
      </c>
      <c r="H3743" t="s">
        <v>12073</v>
      </c>
      <c r="I3743">
        <v>47</v>
      </c>
      <c r="J3743">
        <v>40</v>
      </c>
      <c r="K3743">
        <v>0</v>
      </c>
      <c r="L3743">
        <v>0</v>
      </c>
      <c r="M3743">
        <v>0</v>
      </c>
      <c r="N3743">
        <v>0</v>
      </c>
      <c r="O3743">
        <v>7</v>
      </c>
    </row>
    <row r="3744" spans="1:15" x14ac:dyDescent="0.25">
      <c r="A3744" t="s">
        <v>11720</v>
      </c>
      <c r="B3744" t="s">
        <v>10718</v>
      </c>
      <c r="C3744" t="s">
        <v>927</v>
      </c>
      <c r="D3744" t="s">
        <v>3052</v>
      </c>
      <c r="E3744" t="s">
        <v>3053</v>
      </c>
      <c r="F3744" t="s">
        <v>501</v>
      </c>
      <c r="G3744" t="s">
        <v>502</v>
      </c>
      <c r="H3744" t="s">
        <v>14782</v>
      </c>
      <c r="I3744">
        <v>133</v>
      </c>
      <c r="J3744">
        <v>29</v>
      </c>
      <c r="K3744">
        <v>0</v>
      </c>
      <c r="L3744">
        <v>0</v>
      </c>
      <c r="M3744">
        <v>0</v>
      </c>
      <c r="N3744">
        <v>0</v>
      </c>
      <c r="O3744">
        <v>104</v>
      </c>
    </row>
    <row r="3745" spans="1:15" x14ac:dyDescent="0.25">
      <c r="A3745" t="s">
        <v>9788</v>
      </c>
      <c r="B3745" t="s">
        <v>9871</v>
      </c>
      <c r="C3745" t="s">
        <v>927</v>
      </c>
      <c r="D3745" t="s">
        <v>3052</v>
      </c>
      <c r="E3745" t="s">
        <v>3053</v>
      </c>
      <c r="F3745" t="s">
        <v>501</v>
      </c>
      <c r="G3745" t="s">
        <v>502</v>
      </c>
      <c r="H3745" t="s">
        <v>10354</v>
      </c>
      <c r="I3745">
        <v>202</v>
      </c>
      <c r="J3745">
        <v>202</v>
      </c>
      <c r="K3745">
        <v>0</v>
      </c>
      <c r="L3745">
        <v>0</v>
      </c>
      <c r="M3745">
        <v>0</v>
      </c>
      <c r="N3745">
        <v>0</v>
      </c>
      <c r="O3745">
        <v>0</v>
      </c>
    </row>
    <row r="3746" spans="1:15" x14ac:dyDescent="0.25">
      <c r="A3746" t="s">
        <v>955</v>
      </c>
      <c r="B3746" t="s">
        <v>2660</v>
      </c>
      <c r="C3746" t="s">
        <v>927</v>
      </c>
      <c r="D3746" t="s">
        <v>3052</v>
      </c>
      <c r="E3746" t="s">
        <v>3053</v>
      </c>
      <c r="F3746" t="s">
        <v>501</v>
      </c>
      <c r="G3746" t="s">
        <v>502</v>
      </c>
      <c r="H3746" t="s">
        <v>5564</v>
      </c>
      <c r="I3746">
        <v>17</v>
      </c>
      <c r="J3746">
        <v>2</v>
      </c>
      <c r="K3746">
        <v>0</v>
      </c>
      <c r="L3746">
        <v>15</v>
      </c>
      <c r="M3746">
        <v>0</v>
      </c>
      <c r="N3746">
        <v>0</v>
      </c>
      <c r="O3746">
        <v>0</v>
      </c>
    </row>
    <row r="3747" spans="1:15" x14ac:dyDescent="0.25">
      <c r="A3747" t="s">
        <v>14374</v>
      </c>
      <c r="B3747" t="s">
        <v>1943</v>
      </c>
      <c r="C3747" t="s">
        <v>927</v>
      </c>
      <c r="D3747" t="s">
        <v>3052</v>
      </c>
      <c r="E3747" t="s">
        <v>3053</v>
      </c>
      <c r="F3747" t="s">
        <v>501</v>
      </c>
      <c r="G3747" t="s">
        <v>502</v>
      </c>
      <c r="H3747" t="s">
        <v>14783</v>
      </c>
      <c r="I3747">
        <v>161</v>
      </c>
      <c r="J3747">
        <v>0</v>
      </c>
      <c r="K3747">
        <v>0</v>
      </c>
      <c r="L3747">
        <v>0</v>
      </c>
      <c r="M3747">
        <v>0</v>
      </c>
      <c r="N3747">
        <v>0</v>
      </c>
      <c r="O3747">
        <v>161</v>
      </c>
    </row>
    <row r="3748" spans="1:15" x14ac:dyDescent="0.25">
      <c r="A3748" t="s">
        <v>1159</v>
      </c>
      <c r="B3748" t="s">
        <v>2829</v>
      </c>
      <c r="C3748" t="s">
        <v>927</v>
      </c>
      <c r="D3748" t="s">
        <v>3052</v>
      </c>
      <c r="E3748" t="s">
        <v>3053</v>
      </c>
      <c r="F3748" t="s">
        <v>501</v>
      </c>
      <c r="G3748" t="s">
        <v>502</v>
      </c>
      <c r="H3748" t="s">
        <v>5565</v>
      </c>
      <c r="I3748">
        <v>92</v>
      </c>
      <c r="J3748">
        <v>76</v>
      </c>
      <c r="K3748">
        <v>0</v>
      </c>
      <c r="L3748">
        <v>16</v>
      </c>
      <c r="M3748">
        <v>0</v>
      </c>
      <c r="N3748">
        <v>2</v>
      </c>
      <c r="O3748">
        <v>0</v>
      </c>
    </row>
    <row r="3749" spans="1:15" x14ac:dyDescent="0.25">
      <c r="A3749" t="s">
        <v>1072</v>
      </c>
      <c r="B3749" t="s">
        <v>2907</v>
      </c>
      <c r="C3749" t="s">
        <v>927</v>
      </c>
      <c r="D3749" t="s">
        <v>3052</v>
      </c>
      <c r="E3749" t="s">
        <v>3053</v>
      </c>
      <c r="F3749" t="s">
        <v>501</v>
      </c>
      <c r="G3749" t="s">
        <v>502</v>
      </c>
      <c r="H3749" t="s">
        <v>5566</v>
      </c>
      <c r="I3749">
        <v>15</v>
      </c>
      <c r="J3749">
        <v>0</v>
      </c>
      <c r="K3749">
        <v>0</v>
      </c>
      <c r="L3749">
        <v>0</v>
      </c>
      <c r="M3749">
        <v>14</v>
      </c>
      <c r="N3749">
        <v>0</v>
      </c>
      <c r="O3749">
        <v>1</v>
      </c>
    </row>
    <row r="3750" spans="1:15" x14ac:dyDescent="0.25">
      <c r="A3750" t="s">
        <v>1195</v>
      </c>
      <c r="B3750" t="s">
        <v>2924</v>
      </c>
      <c r="C3750" t="s">
        <v>927</v>
      </c>
      <c r="D3750" t="s">
        <v>3052</v>
      </c>
      <c r="E3750" t="s">
        <v>3053</v>
      </c>
      <c r="F3750" t="s">
        <v>503</v>
      </c>
      <c r="G3750" t="s">
        <v>504</v>
      </c>
      <c r="H3750" t="s">
        <v>5567</v>
      </c>
      <c r="I3750">
        <v>810</v>
      </c>
      <c r="J3750">
        <v>635</v>
      </c>
      <c r="K3750">
        <v>0</v>
      </c>
      <c r="L3750">
        <v>20</v>
      </c>
      <c r="M3750">
        <v>0</v>
      </c>
      <c r="N3750">
        <v>1</v>
      </c>
      <c r="O3750">
        <v>155</v>
      </c>
    </row>
    <row r="3751" spans="1:15" x14ac:dyDescent="0.25">
      <c r="A3751" t="s">
        <v>929</v>
      </c>
      <c r="B3751" t="s">
        <v>2999</v>
      </c>
      <c r="C3751" t="s">
        <v>927</v>
      </c>
      <c r="D3751" t="s">
        <v>3052</v>
      </c>
      <c r="E3751" t="s">
        <v>3053</v>
      </c>
      <c r="F3751" t="s">
        <v>503</v>
      </c>
      <c r="G3751" t="s">
        <v>504</v>
      </c>
      <c r="H3751" t="s">
        <v>5568</v>
      </c>
      <c r="I3751">
        <v>185</v>
      </c>
      <c r="J3751">
        <v>0</v>
      </c>
      <c r="K3751">
        <v>0</v>
      </c>
      <c r="L3751">
        <v>0</v>
      </c>
      <c r="M3751">
        <v>127</v>
      </c>
      <c r="N3751">
        <v>0</v>
      </c>
      <c r="O3751">
        <v>58</v>
      </c>
    </row>
    <row r="3752" spans="1:15" x14ac:dyDescent="0.25">
      <c r="A3752" t="s">
        <v>9790</v>
      </c>
      <c r="B3752" t="s">
        <v>1977</v>
      </c>
      <c r="C3752" t="s">
        <v>923</v>
      </c>
      <c r="D3752" t="s">
        <v>3063</v>
      </c>
      <c r="E3752" t="s">
        <v>3053</v>
      </c>
      <c r="F3752" t="s">
        <v>503</v>
      </c>
      <c r="G3752" t="s">
        <v>504</v>
      </c>
      <c r="H3752" t="s">
        <v>12074</v>
      </c>
      <c r="I3752">
        <v>10</v>
      </c>
      <c r="J3752">
        <v>0</v>
      </c>
      <c r="K3752">
        <v>0</v>
      </c>
      <c r="L3752">
        <v>10</v>
      </c>
      <c r="M3752">
        <v>0</v>
      </c>
      <c r="N3752">
        <v>0</v>
      </c>
      <c r="O3752">
        <v>0</v>
      </c>
    </row>
    <row r="3753" spans="1:15" x14ac:dyDescent="0.25">
      <c r="A3753" t="s">
        <v>9784</v>
      </c>
      <c r="B3753" t="s">
        <v>1994</v>
      </c>
      <c r="C3753" t="s">
        <v>927</v>
      </c>
      <c r="D3753" t="s">
        <v>3052</v>
      </c>
      <c r="E3753" t="s">
        <v>3053</v>
      </c>
      <c r="F3753" t="s">
        <v>503</v>
      </c>
      <c r="G3753" t="s">
        <v>504</v>
      </c>
      <c r="H3753" t="s">
        <v>9948</v>
      </c>
      <c r="I3753">
        <v>11</v>
      </c>
      <c r="J3753">
        <v>0</v>
      </c>
      <c r="K3753">
        <v>0</v>
      </c>
      <c r="L3753">
        <v>11</v>
      </c>
      <c r="M3753">
        <v>0</v>
      </c>
      <c r="N3753">
        <v>11</v>
      </c>
      <c r="O3753">
        <v>0</v>
      </c>
    </row>
    <row r="3754" spans="1:15" x14ac:dyDescent="0.25">
      <c r="A3754" t="s">
        <v>989</v>
      </c>
      <c r="B3754" t="s">
        <v>2016</v>
      </c>
      <c r="C3754" t="s">
        <v>923</v>
      </c>
      <c r="D3754" t="s">
        <v>3063</v>
      </c>
      <c r="E3754" t="s">
        <v>3053</v>
      </c>
      <c r="F3754" t="s">
        <v>503</v>
      </c>
      <c r="G3754" t="s">
        <v>504</v>
      </c>
      <c r="H3754" t="s">
        <v>5569</v>
      </c>
      <c r="I3754">
        <v>35</v>
      </c>
      <c r="J3754">
        <v>0</v>
      </c>
      <c r="K3754">
        <v>0</v>
      </c>
      <c r="L3754">
        <v>35</v>
      </c>
      <c r="M3754">
        <v>0</v>
      </c>
      <c r="N3754">
        <v>0</v>
      </c>
      <c r="O3754">
        <v>0</v>
      </c>
    </row>
    <row r="3755" spans="1:15" x14ac:dyDescent="0.25">
      <c r="A3755" t="s">
        <v>933</v>
      </c>
      <c r="B3755" t="s">
        <v>2106</v>
      </c>
      <c r="C3755" t="s">
        <v>927</v>
      </c>
      <c r="D3755" t="s">
        <v>3052</v>
      </c>
      <c r="E3755" t="s">
        <v>3053</v>
      </c>
      <c r="F3755" t="s">
        <v>503</v>
      </c>
      <c r="G3755" t="s">
        <v>504</v>
      </c>
      <c r="H3755" t="s">
        <v>5570</v>
      </c>
      <c r="I3755">
        <v>16</v>
      </c>
      <c r="J3755">
        <v>15</v>
      </c>
      <c r="K3755">
        <v>0</v>
      </c>
      <c r="L3755">
        <v>0</v>
      </c>
      <c r="M3755">
        <v>0</v>
      </c>
      <c r="N3755">
        <v>0</v>
      </c>
      <c r="O3755">
        <v>1</v>
      </c>
    </row>
    <row r="3756" spans="1:15" x14ac:dyDescent="0.25">
      <c r="A3756" t="s">
        <v>1227</v>
      </c>
      <c r="B3756" t="s">
        <v>2023</v>
      </c>
      <c r="C3756" t="s">
        <v>923</v>
      </c>
      <c r="D3756" t="s">
        <v>3063</v>
      </c>
      <c r="E3756" t="s">
        <v>3053</v>
      </c>
      <c r="F3756" t="s">
        <v>503</v>
      </c>
      <c r="G3756" t="s">
        <v>504</v>
      </c>
      <c r="H3756" t="s">
        <v>12075</v>
      </c>
      <c r="I3756">
        <v>7</v>
      </c>
      <c r="J3756">
        <v>5</v>
      </c>
      <c r="K3756">
        <v>2</v>
      </c>
      <c r="L3756">
        <v>0</v>
      </c>
      <c r="M3756">
        <v>0</v>
      </c>
      <c r="N3756">
        <v>0</v>
      </c>
      <c r="O3756">
        <v>0</v>
      </c>
    </row>
    <row r="3757" spans="1:15" x14ac:dyDescent="0.25">
      <c r="A3757" t="s">
        <v>11676</v>
      </c>
      <c r="B3757" t="s">
        <v>2705</v>
      </c>
      <c r="C3757" t="s">
        <v>923</v>
      </c>
      <c r="D3757" t="s">
        <v>3063</v>
      </c>
      <c r="E3757" t="s">
        <v>3053</v>
      </c>
      <c r="F3757" t="s">
        <v>503</v>
      </c>
      <c r="G3757" t="s">
        <v>504</v>
      </c>
      <c r="H3757" t="s">
        <v>12076</v>
      </c>
      <c r="I3757">
        <v>328</v>
      </c>
      <c r="J3757">
        <v>34</v>
      </c>
      <c r="K3757">
        <v>0</v>
      </c>
      <c r="L3757">
        <v>7</v>
      </c>
      <c r="M3757">
        <v>287</v>
      </c>
      <c r="N3757">
        <v>11</v>
      </c>
      <c r="O3757">
        <v>0</v>
      </c>
    </row>
    <row r="3758" spans="1:15" x14ac:dyDescent="0.25">
      <c r="A3758" t="s">
        <v>937</v>
      </c>
      <c r="B3758" t="s">
        <v>1962</v>
      </c>
      <c r="C3758" t="s">
        <v>927</v>
      </c>
      <c r="D3758" t="s">
        <v>3052</v>
      </c>
      <c r="E3758" t="s">
        <v>3053</v>
      </c>
      <c r="F3758" t="s">
        <v>503</v>
      </c>
      <c r="G3758" t="s">
        <v>504</v>
      </c>
      <c r="H3758" t="s">
        <v>5571</v>
      </c>
      <c r="I3758">
        <v>12</v>
      </c>
      <c r="J3758">
        <v>0</v>
      </c>
      <c r="K3758">
        <v>0</v>
      </c>
      <c r="L3758">
        <v>0</v>
      </c>
      <c r="M3758">
        <v>0</v>
      </c>
      <c r="N3758">
        <v>0</v>
      </c>
      <c r="O3758">
        <v>12</v>
      </c>
    </row>
    <row r="3759" spans="1:15" x14ac:dyDescent="0.25">
      <c r="A3759" t="s">
        <v>938</v>
      </c>
      <c r="B3759" t="s">
        <v>2791</v>
      </c>
      <c r="C3759" t="s">
        <v>927</v>
      </c>
      <c r="D3759" t="s">
        <v>3052</v>
      </c>
      <c r="E3759" t="s">
        <v>3053</v>
      </c>
      <c r="F3759" t="s">
        <v>503</v>
      </c>
      <c r="G3759" t="s">
        <v>504</v>
      </c>
      <c r="H3759" t="s">
        <v>5572</v>
      </c>
      <c r="I3759">
        <v>840</v>
      </c>
      <c r="J3759">
        <v>781</v>
      </c>
      <c r="K3759">
        <v>0</v>
      </c>
      <c r="L3759">
        <v>0</v>
      </c>
      <c r="M3759">
        <v>31</v>
      </c>
      <c r="N3759">
        <v>0</v>
      </c>
      <c r="O3759">
        <v>28</v>
      </c>
    </row>
    <row r="3760" spans="1:15" x14ac:dyDescent="0.25">
      <c r="A3760" t="s">
        <v>1012</v>
      </c>
      <c r="B3760" t="s">
        <v>2911</v>
      </c>
      <c r="C3760" t="s">
        <v>927</v>
      </c>
      <c r="D3760" t="s">
        <v>3052</v>
      </c>
      <c r="E3760" t="s">
        <v>3053</v>
      </c>
      <c r="F3760" t="s">
        <v>503</v>
      </c>
      <c r="G3760" t="s">
        <v>504</v>
      </c>
      <c r="H3760" t="s">
        <v>5573</v>
      </c>
      <c r="I3760">
        <v>289</v>
      </c>
      <c r="J3760">
        <v>217</v>
      </c>
      <c r="K3760">
        <v>0</v>
      </c>
      <c r="L3760">
        <v>0</v>
      </c>
      <c r="M3760">
        <v>0</v>
      </c>
      <c r="N3760">
        <v>2</v>
      </c>
      <c r="O3760">
        <v>72</v>
      </c>
    </row>
    <row r="3761" spans="1:15" x14ac:dyDescent="0.25">
      <c r="A3761" t="s">
        <v>1124</v>
      </c>
      <c r="B3761" t="s">
        <v>2981</v>
      </c>
      <c r="C3761" t="s">
        <v>923</v>
      </c>
      <c r="D3761" t="s">
        <v>3063</v>
      </c>
      <c r="E3761" t="s">
        <v>3053</v>
      </c>
      <c r="F3761" t="s">
        <v>503</v>
      </c>
      <c r="G3761" t="s">
        <v>504</v>
      </c>
      <c r="H3761" t="s">
        <v>5574</v>
      </c>
      <c r="I3761">
        <v>5</v>
      </c>
      <c r="J3761">
        <v>5</v>
      </c>
      <c r="K3761">
        <v>0</v>
      </c>
      <c r="L3761">
        <v>0</v>
      </c>
      <c r="M3761">
        <v>0</v>
      </c>
      <c r="N3761">
        <v>0</v>
      </c>
      <c r="O3761">
        <v>0</v>
      </c>
    </row>
    <row r="3762" spans="1:15" x14ac:dyDescent="0.25">
      <c r="A3762" t="s">
        <v>1125</v>
      </c>
      <c r="B3762" t="s">
        <v>2938</v>
      </c>
      <c r="C3762" t="s">
        <v>923</v>
      </c>
      <c r="D3762" t="s">
        <v>3063</v>
      </c>
      <c r="E3762" t="s">
        <v>3053</v>
      </c>
      <c r="F3762" t="s">
        <v>503</v>
      </c>
      <c r="G3762" t="s">
        <v>504</v>
      </c>
      <c r="H3762" t="s">
        <v>5575</v>
      </c>
      <c r="I3762">
        <v>34</v>
      </c>
      <c r="J3762">
        <v>0</v>
      </c>
      <c r="K3762">
        <v>0</v>
      </c>
      <c r="L3762">
        <v>0</v>
      </c>
      <c r="M3762">
        <v>34</v>
      </c>
      <c r="N3762">
        <v>0</v>
      </c>
      <c r="O3762">
        <v>0</v>
      </c>
    </row>
    <row r="3763" spans="1:15" x14ac:dyDescent="0.25">
      <c r="A3763" t="s">
        <v>14386</v>
      </c>
      <c r="B3763" t="s">
        <v>2975</v>
      </c>
      <c r="C3763" t="s">
        <v>927</v>
      </c>
      <c r="D3763" t="s">
        <v>3052</v>
      </c>
      <c r="E3763" t="s">
        <v>3053</v>
      </c>
      <c r="F3763" t="s">
        <v>503</v>
      </c>
      <c r="G3763" t="s">
        <v>504</v>
      </c>
      <c r="H3763" t="s">
        <v>14784</v>
      </c>
      <c r="I3763">
        <v>169</v>
      </c>
      <c r="J3763">
        <v>160</v>
      </c>
      <c r="K3763">
        <v>0</v>
      </c>
      <c r="L3763">
        <v>0</v>
      </c>
      <c r="M3763">
        <v>0</v>
      </c>
      <c r="N3763">
        <v>0</v>
      </c>
      <c r="O3763">
        <v>9</v>
      </c>
    </row>
    <row r="3764" spans="1:15" x14ac:dyDescent="0.25">
      <c r="A3764" t="s">
        <v>1025</v>
      </c>
      <c r="B3764" t="s">
        <v>2893</v>
      </c>
      <c r="C3764" t="s">
        <v>927</v>
      </c>
      <c r="D3764" t="s">
        <v>3052</v>
      </c>
      <c r="E3764" t="s">
        <v>3053</v>
      </c>
      <c r="F3764" t="s">
        <v>503</v>
      </c>
      <c r="G3764" t="s">
        <v>504</v>
      </c>
      <c r="H3764" t="s">
        <v>5576</v>
      </c>
      <c r="I3764">
        <v>4</v>
      </c>
      <c r="J3764">
        <v>2</v>
      </c>
      <c r="K3764">
        <v>0</v>
      </c>
      <c r="L3764">
        <v>0</v>
      </c>
      <c r="M3764">
        <v>0</v>
      </c>
      <c r="N3764">
        <v>0</v>
      </c>
      <c r="O3764">
        <v>2</v>
      </c>
    </row>
    <row r="3765" spans="1:15" x14ac:dyDescent="0.25">
      <c r="A3765" t="s">
        <v>10681</v>
      </c>
      <c r="B3765" t="s">
        <v>10680</v>
      </c>
      <c r="C3765" t="s">
        <v>927</v>
      </c>
      <c r="D3765" t="s">
        <v>3052</v>
      </c>
      <c r="E3765" t="s">
        <v>3053</v>
      </c>
      <c r="F3765" t="s">
        <v>503</v>
      </c>
      <c r="G3765" t="s">
        <v>504</v>
      </c>
      <c r="H3765" t="s">
        <v>14785</v>
      </c>
      <c r="I3765">
        <v>88</v>
      </c>
      <c r="J3765">
        <v>0</v>
      </c>
      <c r="K3765">
        <v>0</v>
      </c>
      <c r="L3765">
        <v>0</v>
      </c>
      <c r="M3765">
        <v>0</v>
      </c>
      <c r="N3765">
        <v>0</v>
      </c>
      <c r="O3765">
        <v>88</v>
      </c>
    </row>
    <row r="3766" spans="1:15" x14ac:dyDescent="0.25">
      <c r="A3766" t="s">
        <v>943</v>
      </c>
      <c r="B3766" t="s">
        <v>2694</v>
      </c>
      <c r="C3766" t="s">
        <v>927</v>
      </c>
      <c r="D3766" t="s">
        <v>3052</v>
      </c>
      <c r="E3766" t="s">
        <v>3053</v>
      </c>
      <c r="F3766" t="s">
        <v>503</v>
      </c>
      <c r="G3766" t="s">
        <v>504</v>
      </c>
      <c r="H3766" t="s">
        <v>5577</v>
      </c>
      <c r="I3766">
        <v>660</v>
      </c>
      <c r="J3766">
        <v>486</v>
      </c>
      <c r="K3766">
        <v>0</v>
      </c>
      <c r="L3766">
        <v>38</v>
      </c>
      <c r="M3766">
        <v>0</v>
      </c>
      <c r="N3766">
        <v>0</v>
      </c>
      <c r="O3766">
        <v>136</v>
      </c>
    </row>
    <row r="3767" spans="1:15" x14ac:dyDescent="0.25">
      <c r="A3767" t="s">
        <v>945</v>
      </c>
      <c r="B3767" t="s">
        <v>2668</v>
      </c>
      <c r="C3767" t="s">
        <v>927</v>
      </c>
      <c r="D3767" t="s">
        <v>3052</v>
      </c>
      <c r="E3767" t="s">
        <v>3053</v>
      </c>
      <c r="F3767" t="s">
        <v>503</v>
      </c>
      <c r="G3767" t="s">
        <v>504</v>
      </c>
      <c r="H3767" t="s">
        <v>5578</v>
      </c>
      <c r="I3767">
        <v>1</v>
      </c>
      <c r="J3767">
        <v>0</v>
      </c>
      <c r="K3767">
        <v>0</v>
      </c>
      <c r="L3767">
        <v>0</v>
      </c>
      <c r="M3767">
        <v>0</v>
      </c>
      <c r="N3767">
        <v>0</v>
      </c>
      <c r="O3767">
        <v>1</v>
      </c>
    </row>
    <row r="3768" spans="1:15" x14ac:dyDescent="0.25">
      <c r="A3768" t="s">
        <v>1134</v>
      </c>
      <c r="B3768" t="s">
        <v>2118</v>
      </c>
      <c r="C3768" t="s">
        <v>927</v>
      </c>
      <c r="D3768" t="s">
        <v>3052</v>
      </c>
      <c r="E3768" t="s">
        <v>3053</v>
      </c>
      <c r="F3768" t="s">
        <v>503</v>
      </c>
      <c r="G3768" t="s">
        <v>504</v>
      </c>
      <c r="H3768" t="s">
        <v>5579</v>
      </c>
      <c r="I3768">
        <v>629</v>
      </c>
      <c r="J3768">
        <v>435</v>
      </c>
      <c r="K3768">
        <v>0</v>
      </c>
      <c r="L3768">
        <v>53</v>
      </c>
      <c r="M3768">
        <v>55</v>
      </c>
      <c r="N3768">
        <v>5</v>
      </c>
      <c r="O3768">
        <v>86</v>
      </c>
    </row>
    <row r="3769" spans="1:15" x14ac:dyDescent="0.25">
      <c r="A3769" t="s">
        <v>949</v>
      </c>
      <c r="B3769" t="s">
        <v>3035</v>
      </c>
      <c r="C3769" t="s">
        <v>927</v>
      </c>
      <c r="D3769" t="s">
        <v>3052</v>
      </c>
      <c r="E3769" t="s">
        <v>3053</v>
      </c>
      <c r="F3769" t="s">
        <v>503</v>
      </c>
      <c r="G3769" t="s">
        <v>504</v>
      </c>
      <c r="H3769" t="s">
        <v>5580</v>
      </c>
      <c r="I3769">
        <v>59</v>
      </c>
      <c r="J3769">
        <v>0</v>
      </c>
      <c r="K3769">
        <v>0</v>
      </c>
      <c r="L3769">
        <v>0</v>
      </c>
      <c r="M3769">
        <v>0</v>
      </c>
      <c r="N3769">
        <v>0</v>
      </c>
      <c r="O3769">
        <v>59</v>
      </c>
    </row>
    <row r="3770" spans="1:15" x14ac:dyDescent="0.25">
      <c r="A3770" t="s">
        <v>1309</v>
      </c>
      <c r="B3770" t="s">
        <v>2690</v>
      </c>
      <c r="C3770" t="s">
        <v>927</v>
      </c>
      <c r="D3770" t="s">
        <v>3052</v>
      </c>
      <c r="E3770" t="s">
        <v>3053</v>
      </c>
      <c r="F3770" t="s">
        <v>503</v>
      </c>
      <c r="G3770" t="s">
        <v>504</v>
      </c>
      <c r="H3770" t="s">
        <v>5581</v>
      </c>
      <c r="I3770">
        <v>48</v>
      </c>
      <c r="J3770">
        <v>0</v>
      </c>
      <c r="K3770">
        <v>0</v>
      </c>
      <c r="L3770">
        <v>0</v>
      </c>
      <c r="M3770">
        <v>0</v>
      </c>
      <c r="N3770">
        <v>0</v>
      </c>
      <c r="O3770">
        <v>48</v>
      </c>
    </row>
    <row r="3771" spans="1:15" x14ac:dyDescent="0.25">
      <c r="A3771" t="s">
        <v>1140</v>
      </c>
      <c r="B3771" t="s">
        <v>2697</v>
      </c>
      <c r="C3771" t="s">
        <v>927</v>
      </c>
      <c r="D3771" t="s">
        <v>3052</v>
      </c>
      <c r="E3771" t="s">
        <v>3053</v>
      </c>
      <c r="F3771" t="s">
        <v>503</v>
      </c>
      <c r="G3771" t="s">
        <v>504</v>
      </c>
      <c r="H3771" t="s">
        <v>5582</v>
      </c>
      <c r="I3771">
        <v>407</v>
      </c>
      <c r="J3771">
        <v>213</v>
      </c>
      <c r="K3771">
        <v>0</v>
      </c>
      <c r="L3771">
        <v>0</v>
      </c>
      <c r="M3771">
        <v>0</v>
      </c>
      <c r="N3771">
        <v>4</v>
      </c>
      <c r="O3771">
        <v>194</v>
      </c>
    </row>
    <row r="3772" spans="1:15" x14ac:dyDescent="0.25">
      <c r="A3772" t="s">
        <v>1142</v>
      </c>
      <c r="B3772" t="s">
        <v>3003</v>
      </c>
      <c r="C3772" t="s">
        <v>927</v>
      </c>
      <c r="D3772" t="s">
        <v>3052</v>
      </c>
      <c r="E3772" t="s">
        <v>3053</v>
      </c>
      <c r="F3772" t="s">
        <v>503</v>
      </c>
      <c r="G3772" t="s">
        <v>504</v>
      </c>
      <c r="H3772" t="s">
        <v>5583</v>
      </c>
      <c r="I3772">
        <v>151</v>
      </c>
      <c r="J3772">
        <v>145</v>
      </c>
      <c r="K3772">
        <v>0</v>
      </c>
      <c r="L3772">
        <v>0</v>
      </c>
      <c r="M3772">
        <v>0</v>
      </c>
      <c r="N3772">
        <v>0</v>
      </c>
      <c r="O3772">
        <v>6</v>
      </c>
    </row>
    <row r="3773" spans="1:15" x14ac:dyDescent="0.25">
      <c r="A3773" t="s">
        <v>1043</v>
      </c>
      <c r="B3773" t="s">
        <v>2090</v>
      </c>
      <c r="C3773" t="s">
        <v>927</v>
      </c>
      <c r="D3773" t="s">
        <v>3052</v>
      </c>
      <c r="E3773" t="s">
        <v>3053</v>
      </c>
      <c r="F3773" t="s">
        <v>503</v>
      </c>
      <c r="G3773" t="s">
        <v>504</v>
      </c>
      <c r="H3773" t="s">
        <v>5584</v>
      </c>
      <c r="I3773">
        <v>78</v>
      </c>
      <c r="J3773">
        <v>40</v>
      </c>
      <c r="K3773">
        <v>0</v>
      </c>
      <c r="L3773">
        <v>0</v>
      </c>
      <c r="M3773">
        <v>30</v>
      </c>
      <c r="N3773">
        <v>0</v>
      </c>
      <c r="O3773">
        <v>8</v>
      </c>
    </row>
    <row r="3774" spans="1:15" x14ac:dyDescent="0.25">
      <c r="A3774" t="s">
        <v>1146</v>
      </c>
      <c r="B3774" t="s">
        <v>2117</v>
      </c>
      <c r="C3774" t="s">
        <v>927</v>
      </c>
      <c r="D3774" t="s">
        <v>3052</v>
      </c>
      <c r="E3774" t="s">
        <v>3053</v>
      </c>
      <c r="F3774" t="s">
        <v>503</v>
      </c>
      <c r="G3774" t="s">
        <v>504</v>
      </c>
      <c r="H3774" t="s">
        <v>5585</v>
      </c>
      <c r="I3774">
        <v>154</v>
      </c>
      <c r="J3774">
        <v>102</v>
      </c>
      <c r="K3774">
        <v>0</v>
      </c>
      <c r="L3774">
        <v>0</v>
      </c>
      <c r="M3774">
        <v>0</v>
      </c>
      <c r="N3774">
        <v>3</v>
      </c>
      <c r="O3774">
        <v>52</v>
      </c>
    </row>
    <row r="3775" spans="1:15" x14ac:dyDescent="0.25">
      <c r="A3775" t="s">
        <v>1324</v>
      </c>
      <c r="B3775" t="s">
        <v>2747</v>
      </c>
      <c r="C3775" t="s">
        <v>923</v>
      </c>
      <c r="D3775" t="s">
        <v>3063</v>
      </c>
      <c r="E3775" t="s">
        <v>3053</v>
      </c>
      <c r="F3775" t="s">
        <v>503</v>
      </c>
      <c r="G3775" t="s">
        <v>504</v>
      </c>
      <c r="H3775" t="s">
        <v>5586</v>
      </c>
      <c r="I3775">
        <v>30</v>
      </c>
      <c r="J3775">
        <v>0</v>
      </c>
      <c r="K3775">
        <v>0</v>
      </c>
      <c r="L3775">
        <v>0</v>
      </c>
      <c r="M3775">
        <v>30</v>
      </c>
      <c r="N3775">
        <v>0</v>
      </c>
      <c r="O3775">
        <v>0</v>
      </c>
    </row>
    <row r="3776" spans="1:15" x14ac:dyDescent="0.25">
      <c r="A3776" t="s">
        <v>9788</v>
      </c>
      <c r="B3776" t="s">
        <v>9871</v>
      </c>
      <c r="C3776" t="s">
        <v>927</v>
      </c>
      <c r="D3776" t="s">
        <v>3052</v>
      </c>
      <c r="E3776" t="s">
        <v>3053</v>
      </c>
      <c r="F3776" t="s">
        <v>503</v>
      </c>
      <c r="G3776" t="s">
        <v>504</v>
      </c>
      <c r="H3776" t="s">
        <v>11068</v>
      </c>
      <c r="I3776">
        <v>33</v>
      </c>
      <c r="J3776">
        <v>33</v>
      </c>
      <c r="K3776">
        <v>0</v>
      </c>
      <c r="L3776">
        <v>0</v>
      </c>
      <c r="M3776">
        <v>0</v>
      </c>
      <c r="N3776">
        <v>0</v>
      </c>
      <c r="O3776">
        <v>0</v>
      </c>
    </row>
    <row r="3777" spans="1:15" x14ac:dyDescent="0.25">
      <c r="A3777" t="s">
        <v>1056</v>
      </c>
      <c r="B3777" t="s">
        <v>2966</v>
      </c>
      <c r="C3777" t="s">
        <v>927</v>
      </c>
      <c r="D3777" t="s">
        <v>3052</v>
      </c>
      <c r="E3777" t="s">
        <v>3053</v>
      </c>
      <c r="F3777" t="s">
        <v>503</v>
      </c>
      <c r="G3777" t="s">
        <v>504</v>
      </c>
      <c r="H3777" t="s">
        <v>5587</v>
      </c>
      <c r="I3777">
        <v>2</v>
      </c>
      <c r="J3777">
        <v>2</v>
      </c>
      <c r="K3777">
        <v>0</v>
      </c>
      <c r="L3777">
        <v>0</v>
      </c>
      <c r="M3777">
        <v>0</v>
      </c>
      <c r="N3777">
        <v>0</v>
      </c>
      <c r="O3777">
        <v>0</v>
      </c>
    </row>
    <row r="3778" spans="1:15" x14ac:dyDescent="0.25">
      <c r="A3778" t="s">
        <v>955</v>
      </c>
      <c r="B3778" t="s">
        <v>2660</v>
      </c>
      <c r="C3778" t="s">
        <v>927</v>
      </c>
      <c r="D3778" t="s">
        <v>3052</v>
      </c>
      <c r="E3778" t="s">
        <v>3053</v>
      </c>
      <c r="F3778" t="s">
        <v>503</v>
      </c>
      <c r="G3778" t="s">
        <v>504</v>
      </c>
      <c r="H3778" t="s">
        <v>5588</v>
      </c>
      <c r="I3778">
        <v>31</v>
      </c>
      <c r="J3778">
        <v>0</v>
      </c>
      <c r="K3778">
        <v>0</v>
      </c>
      <c r="L3778">
        <v>0</v>
      </c>
      <c r="M3778">
        <v>31</v>
      </c>
      <c r="N3778">
        <v>0</v>
      </c>
      <c r="O3778">
        <v>0</v>
      </c>
    </row>
    <row r="3779" spans="1:15" x14ac:dyDescent="0.25">
      <c r="A3779" t="s">
        <v>1155</v>
      </c>
      <c r="B3779" t="s">
        <v>2912</v>
      </c>
      <c r="C3779" t="s">
        <v>927</v>
      </c>
      <c r="D3779" t="s">
        <v>3052</v>
      </c>
      <c r="E3779" t="s">
        <v>3053</v>
      </c>
      <c r="F3779" t="s">
        <v>503</v>
      </c>
      <c r="G3779" t="s">
        <v>504</v>
      </c>
      <c r="H3779" t="s">
        <v>5589</v>
      </c>
      <c r="I3779">
        <v>7</v>
      </c>
      <c r="J3779">
        <v>5</v>
      </c>
      <c r="K3779">
        <v>0</v>
      </c>
      <c r="L3779">
        <v>0</v>
      </c>
      <c r="M3779">
        <v>0</v>
      </c>
      <c r="N3779">
        <v>0</v>
      </c>
      <c r="O3779">
        <v>2</v>
      </c>
    </row>
    <row r="3780" spans="1:15" x14ac:dyDescent="0.25">
      <c r="A3780" t="s">
        <v>11663</v>
      </c>
      <c r="B3780" t="s">
        <v>11768</v>
      </c>
      <c r="C3780" t="s">
        <v>927</v>
      </c>
      <c r="D3780" t="s">
        <v>3052</v>
      </c>
      <c r="E3780" t="s">
        <v>3053</v>
      </c>
      <c r="F3780" t="s">
        <v>503</v>
      </c>
      <c r="G3780" t="s">
        <v>504</v>
      </c>
      <c r="H3780" t="s">
        <v>12077</v>
      </c>
      <c r="I3780">
        <v>4</v>
      </c>
      <c r="J3780">
        <v>2</v>
      </c>
      <c r="K3780">
        <v>0</v>
      </c>
      <c r="L3780">
        <v>0</v>
      </c>
      <c r="M3780">
        <v>0</v>
      </c>
      <c r="N3780">
        <v>0</v>
      </c>
      <c r="O3780">
        <v>2</v>
      </c>
    </row>
    <row r="3781" spans="1:15" x14ac:dyDescent="0.25">
      <c r="A3781" t="s">
        <v>14380</v>
      </c>
      <c r="B3781" t="s">
        <v>2074</v>
      </c>
      <c r="C3781" t="s">
        <v>927</v>
      </c>
      <c r="D3781" t="s">
        <v>3052</v>
      </c>
      <c r="E3781" t="s">
        <v>3053</v>
      </c>
      <c r="F3781" t="s">
        <v>503</v>
      </c>
      <c r="G3781" t="s">
        <v>504</v>
      </c>
      <c r="H3781" t="s">
        <v>14786</v>
      </c>
      <c r="I3781">
        <v>480</v>
      </c>
      <c r="J3781">
        <v>387</v>
      </c>
      <c r="K3781">
        <v>6</v>
      </c>
      <c r="L3781">
        <v>13</v>
      </c>
      <c r="M3781">
        <v>45</v>
      </c>
      <c r="N3781">
        <v>13</v>
      </c>
      <c r="O3781">
        <v>29</v>
      </c>
    </row>
    <row r="3782" spans="1:15" x14ac:dyDescent="0.25">
      <c r="A3782" t="s">
        <v>14374</v>
      </c>
      <c r="B3782" t="s">
        <v>1943</v>
      </c>
      <c r="C3782" t="s">
        <v>927</v>
      </c>
      <c r="D3782" t="s">
        <v>3052</v>
      </c>
      <c r="E3782" t="s">
        <v>3053</v>
      </c>
      <c r="F3782" t="s">
        <v>503</v>
      </c>
      <c r="G3782" t="s">
        <v>504</v>
      </c>
      <c r="H3782" t="s">
        <v>14787</v>
      </c>
      <c r="I3782">
        <v>19</v>
      </c>
      <c r="J3782">
        <v>0</v>
      </c>
      <c r="K3782">
        <v>0</v>
      </c>
      <c r="L3782">
        <v>0</v>
      </c>
      <c r="M3782">
        <v>0</v>
      </c>
      <c r="N3782">
        <v>0</v>
      </c>
      <c r="O3782">
        <v>19</v>
      </c>
    </row>
    <row r="3783" spans="1:15" x14ac:dyDescent="0.25">
      <c r="A3783" t="s">
        <v>1160</v>
      </c>
      <c r="B3783" t="s">
        <v>2863</v>
      </c>
      <c r="C3783" t="s">
        <v>923</v>
      </c>
      <c r="D3783" t="s">
        <v>3063</v>
      </c>
      <c r="E3783" t="s">
        <v>3053</v>
      </c>
      <c r="F3783" t="s">
        <v>503</v>
      </c>
      <c r="G3783" t="s">
        <v>504</v>
      </c>
      <c r="H3783" t="s">
        <v>14788</v>
      </c>
      <c r="I3783">
        <v>11</v>
      </c>
      <c r="J3783">
        <v>11</v>
      </c>
      <c r="K3783">
        <v>0</v>
      </c>
      <c r="L3783">
        <v>0</v>
      </c>
      <c r="M3783">
        <v>0</v>
      </c>
      <c r="N3783">
        <v>0</v>
      </c>
      <c r="O3783">
        <v>0</v>
      </c>
    </row>
    <row r="3784" spans="1:15" x14ac:dyDescent="0.25">
      <c r="A3784" t="s">
        <v>1069</v>
      </c>
      <c r="B3784" t="s">
        <v>2001</v>
      </c>
      <c r="C3784" t="s">
        <v>927</v>
      </c>
      <c r="D3784" t="s">
        <v>3052</v>
      </c>
      <c r="E3784" t="s">
        <v>3053</v>
      </c>
      <c r="F3784" t="s">
        <v>503</v>
      </c>
      <c r="G3784" t="s">
        <v>504</v>
      </c>
      <c r="H3784" t="s">
        <v>5590</v>
      </c>
      <c r="I3784">
        <v>35</v>
      </c>
      <c r="J3784">
        <v>35</v>
      </c>
      <c r="K3784">
        <v>0</v>
      </c>
      <c r="L3784">
        <v>0</v>
      </c>
      <c r="M3784">
        <v>0</v>
      </c>
      <c r="N3784">
        <v>0</v>
      </c>
      <c r="O3784">
        <v>0</v>
      </c>
    </row>
    <row r="3785" spans="1:15" x14ac:dyDescent="0.25">
      <c r="A3785" t="s">
        <v>1072</v>
      </c>
      <c r="B3785" t="s">
        <v>2907</v>
      </c>
      <c r="C3785" t="s">
        <v>927</v>
      </c>
      <c r="D3785" t="s">
        <v>3052</v>
      </c>
      <c r="E3785" t="s">
        <v>3053</v>
      </c>
      <c r="F3785" t="s">
        <v>503</v>
      </c>
      <c r="G3785" t="s">
        <v>504</v>
      </c>
      <c r="H3785" t="s">
        <v>14789</v>
      </c>
      <c r="I3785">
        <v>18</v>
      </c>
      <c r="J3785">
        <v>4</v>
      </c>
      <c r="K3785">
        <v>0</v>
      </c>
      <c r="L3785">
        <v>0</v>
      </c>
      <c r="M3785">
        <v>0</v>
      </c>
      <c r="N3785">
        <v>0</v>
      </c>
      <c r="O3785">
        <v>14</v>
      </c>
    </row>
    <row r="3786" spans="1:15" x14ac:dyDescent="0.25">
      <c r="A3786" t="s">
        <v>14377</v>
      </c>
      <c r="B3786" t="s">
        <v>14444</v>
      </c>
      <c r="C3786" t="s">
        <v>923</v>
      </c>
      <c r="D3786" t="s">
        <v>3063</v>
      </c>
      <c r="E3786" t="s">
        <v>3053</v>
      </c>
      <c r="F3786" t="s">
        <v>503</v>
      </c>
      <c r="G3786" t="s">
        <v>504</v>
      </c>
      <c r="H3786" t="s">
        <v>14790</v>
      </c>
      <c r="I3786">
        <v>2</v>
      </c>
      <c r="J3786">
        <v>2</v>
      </c>
      <c r="K3786">
        <v>0</v>
      </c>
      <c r="L3786">
        <v>0</v>
      </c>
      <c r="M3786">
        <v>0</v>
      </c>
      <c r="N3786">
        <v>0</v>
      </c>
      <c r="O3786">
        <v>0</v>
      </c>
    </row>
    <row r="3787" spans="1:15" x14ac:dyDescent="0.25">
      <c r="A3787" t="s">
        <v>1396</v>
      </c>
      <c r="B3787" t="s">
        <v>2750</v>
      </c>
      <c r="C3787" t="s">
        <v>923</v>
      </c>
      <c r="D3787" t="s">
        <v>3063</v>
      </c>
      <c r="E3787" t="s">
        <v>3053</v>
      </c>
      <c r="F3787" t="s">
        <v>503</v>
      </c>
      <c r="G3787" t="s">
        <v>504</v>
      </c>
      <c r="H3787" t="s">
        <v>5591</v>
      </c>
      <c r="I3787">
        <v>20</v>
      </c>
      <c r="J3787">
        <v>20</v>
      </c>
      <c r="K3787">
        <v>0</v>
      </c>
      <c r="L3787">
        <v>0</v>
      </c>
      <c r="M3787">
        <v>0</v>
      </c>
      <c r="N3787">
        <v>0</v>
      </c>
      <c r="O3787">
        <v>0</v>
      </c>
    </row>
    <row r="3788" spans="1:15" x14ac:dyDescent="0.25">
      <c r="A3788" t="s">
        <v>1398</v>
      </c>
      <c r="B3788" t="s">
        <v>2998</v>
      </c>
      <c r="C3788" t="s">
        <v>927</v>
      </c>
      <c r="D3788" t="s">
        <v>3052</v>
      </c>
      <c r="E3788" t="s">
        <v>3053</v>
      </c>
      <c r="F3788" t="s">
        <v>503</v>
      </c>
      <c r="G3788" t="s">
        <v>504</v>
      </c>
      <c r="H3788" t="s">
        <v>14791</v>
      </c>
      <c r="I3788">
        <v>42</v>
      </c>
      <c r="J3788">
        <v>0</v>
      </c>
      <c r="K3788">
        <v>0</v>
      </c>
      <c r="L3788">
        <v>42</v>
      </c>
      <c r="M3788">
        <v>0</v>
      </c>
      <c r="N3788">
        <v>0</v>
      </c>
      <c r="O3788">
        <v>0</v>
      </c>
    </row>
    <row r="3789" spans="1:15" x14ac:dyDescent="0.25">
      <c r="A3789" t="s">
        <v>1195</v>
      </c>
      <c r="B3789" t="s">
        <v>2924</v>
      </c>
      <c r="C3789" t="s">
        <v>927</v>
      </c>
      <c r="D3789" t="s">
        <v>3052</v>
      </c>
      <c r="E3789" t="s">
        <v>3053</v>
      </c>
      <c r="F3789" t="s">
        <v>505</v>
      </c>
      <c r="G3789" t="s">
        <v>506</v>
      </c>
      <c r="H3789" t="s">
        <v>5592</v>
      </c>
      <c r="I3789">
        <v>1</v>
      </c>
      <c r="J3789">
        <v>1</v>
      </c>
      <c r="K3789">
        <v>0</v>
      </c>
      <c r="L3789">
        <v>0</v>
      </c>
      <c r="M3789">
        <v>0</v>
      </c>
      <c r="N3789">
        <v>0</v>
      </c>
      <c r="O3789">
        <v>0</v>
      </c>
    </row>
    <row r="3790" spans="1:15" x14ac:dyDescent="0.25">
      <c r="A3790" t="s">
        <v>10568</v>
      </c>
      <c r="B3790" t="s">
        <v>10567</v>
      </c>
      <c r="C3790" t="s">
        <v>927</v>
      </c>
      <c r="D3790" t="s">
        <v>3052</v>
      </c>
      <c r="E3790" t="s">
        <v>3053</v>
      </c>
      <c r="F3790" t="s">
        <v>505</v>
      </c>
      <c r="G3790" t="s">
        <v>506</v>
      </c>
      <c r="H3790" t="s">
        <v>11069</v>
      </c>
      <c r="I3790">
        <v>168</v>
      </c>
      <c r="J3790">
        <v>99</v>
      </c>
      <c r="K3790">
        <v>0</v>
      </c>
      <c r="L3790">
        <v>0</v>
      </c>
      <c r="M3790">
        <v>0</v>
      </c>
      <c r="N3790">
        <v>0</v>
      </c>
      <c r="O3790">
        <v>69</v>
      </c>
    </row>
    <row r="3791" spans="1:15" x14ac:dyDescent="0.25">
      <c r="A3791" t="s">
        <v>971</v>
      </c>
      <c r="B3791" t="s">
        <v>2956</v>
      </c>
      <c r="C3791" t="s">
        <v>927</v>
      </c>
      <c r="D3791" t="s">
        <v>3052</v>
      </c>
      <c r="E3791" t="s">
        <v>3053</v>
      </c>
      <c r="F3791" t="s">
        <v>505</v>
      </c>
      <c r="G3791" t="s">
        <v>506</v>
      </c>
      <c r="H3791" t="s">
        <v>5593</v>
      </c>
      <c r="I3791">
        <v>5</v>
      </c>
      <c r="J3791">
        <v>5</v>
      </c>
      <c r="K3791">
        <v>0</v>
      </c>
      <c r="L3791">
        <v>0</v>
      </c>
      <c r="M3791">
        <v>0</v>
      </c>
      <c r="N3791">
        <v>0</v>
      </c>
      <c r="O3791">
        <v>0</v>
      </c>
    </row>
    <row r="3792" spans="1:15" x14ac:dyDescent="0.25">
      <c r="A3792" t="s">
        <v>926</v>
      </c>
      <c r="B3792" t="s">
        <v>2923</v>
      </c>
      <c r="C3792" t="s">
        <v>927</v>
      </c>
      <c r="D3792" t="s">
        <v>3052</v>
      </c>
      <c r="E3792" t="s">
        <v>3053</v>
      </c>
      <c r="F3792" t="s">
        <v>505</v>
      </c>
      <c r="G3792" t="s">
        <v>506</v>
      </c>
      <c r="H3792" t="s">
        <v>5594</v>
      </c>
      <c r="I3792">
        <v>3</v>
      </c>
      <c r="J3792">
        <v>0</v>
      </c>
      <c r="K3792">
        <v>0</v>
      </c>
      <c r="L3792">
        <v>0</v>
      </c>
      <c r="M3792">
        <v>0</v>
      </c>
      <c r="N3792">
        <v>0</v>
      </c>
      <c r="O3792">
        <v>3</v>
      </c>
    </row>
    <row r="3793" spans="1:15" x14ac:dyDescent="0.25">
      <c r="A3793" t="s">
        <v>929</v>
      </c>
      <c r="B3793" t="s">
        <v>2999</v>
      </c>
      <c r="C3793" t="s">
        <v>927</v>
      </c>
      <c r="D3793" t="s">
        <v>3052</v>
      </c>
      <c r="E3793" t="s">
        <v>3053</v>
      </c>
      <c r="F3793" t="s">
        <v>505</v>
      </c>
      <c r="G3793" t="s">
        <v>506</v>
      </c>
      <c r="H3793" t="s">
        <v>5595</v>
      </c>
      <c r="I3793">
        <v>156</v>
      </c>
      <c r="J3793">
        <v>0</v>
      </c>
      <c r="K3793">
        <v>0</v>
      </c>
      <c r="L3793">
        <v>0</v>
      </c>
      <c r="M3793">
        <v>109</v>
      </c>
      <c r="N3793">
        <v>0</v>
      </c>
      <c r="O3793">
        <v>47</v>
      </c>
    </row>
    <row r="3794" spans="1:15" x14ac:dyDescent="0.25">
      <c r="A3794" t="s">
        <v>931</v>
      </c>
      <c r="B3794" t="s">
        <v>1978</v>
      </c>
      <c r="C3794" t="s">
        <v>927</v>
      </c>
      <c r="D3794" t="s">
        <v>3052</v>
      </c>
      <c r="E3794" t="s">
        <v>3053</v>
      </c>
      <c r="F3794" t="s">
        <v>505</v>
      </c>
      <c r="G3794" t="s">
        <v>506</v>
      </c>
      <c r="H3794" t="s">
        <v>5596</v>
      </c>
      <c r="I3794">
        <v>30</v>
      </c>
      <c r="J3794">
        <v>23</v>
      </c>
      <c r="K3794">
        <v>0</v>
      </c>
      <c r="L3794">
        <v>0</v>
      </c>
      <c r="M3794">
        <v>0</v>
      </c>
      <c r="N3794">
        <v>0</v>
      </c>
      <c r="O3794">
        <v>7</v>
      </c>
    </row>
    <row r="3795" spans="1:15" x14ac:dyDescent="0.25">
      <c r="A3795" t="s">
        <v>9790</v>
      </c>
      <c r="B3795" t="s">
        <v>1977</v>
      </c>
      <c r="C3795" t="s">
        <v>923</v>
      </c>
      <c r="D3795" t="s">
        <v>3063</v>
      </c>
      <c r="E3795" t="s">
        <v>3053</v>
      </c>
      <c r="F3795" t="s">
        <v>505</v>
      </c>
      <c r="G3795" t="s">
        <v>506</v>
      </c>
      <c r="H3795" t="s">
        <v>12078</v>
      </c>
      <c r="I3795">
        <v>6</v>
      </c>
      <c r="J3795">
        <v>0</v>
      </c>
      <c r="K3795">
        <v>0</v>
      </c>
      <c r="L3795">
        <v>6</v>
      </c>
      <c r="M3795">
        <v>0</v>
      </c>
      <c r="N3795">
        <v>0</v>
      </c>
      <c r="O3795">
        <v>0</v>
      </c>
    </row>
    <row r="3796" spans="1:15" x14ac:dyDescent="0.25">
      <c r="A3796" t="s">
        <v>933</v>
      </c>
      <c r="B3796" t="s">
        <v>2106</v>
      </c>
      <c r="C3796" t="s">
        <v>927</v>
      </c>
      <c r="D3796" t="s">
        <v>3052</v>
      </c>
      <c r="E3796" t="s">
        <v>3053</v>
      </c>
      <c r="F3796" t="s">
        <v>505</v>
      </c>
      <c r="G3796" t="s">
        <v>506</v>
      </c>
      <c r="H3796" t="s">
        <v>5597</v>
      </c>
      <c r="I3796">
        <v>51</v>
      </c>
      <c r="J3796">
        <v>29</v>
      </c>
      <c r="K3796">
        <v>0</v>
      </c>
      <c r="L3796">
        <v>0</v>
      </c>
      <c r="M3796">
        <v>0</v>
      </c>
      <c r="N3796">
        <v>0</v>
      </c>
      <c r="O3796">
        <v>22</v>
      </c>
    </row>
    <row r="3797" spans="1:15" x14ac:dyDescent="0.25">
      <c r="A3797" t="s">
        <v>998</v>
      </c>
      <c r="B3797" t="s">
        <v>2820</v>
      </c>
      <c r="C3797" t="s">
        <v>927</v>
      </c>
      <c r="D3797" t="s">
        <v>3052</v>
      </c>
      <c r="E3797" t="s">
        <v>3053</v>
      </c>
      <c r="F3797" t="s">
        <v>505</v>
      </c>
      <c r="G3797" t="s">
        <v>506</v>
      </c>
      <c r="H3797" t="s">
        <v>5598</v>
      </c>
      <c r="I3797">
        <v>23</v>
      </c>
      <c r="J3797">
        <v>13</v>
      </c>
      <c r="K3797">
        <v>0</v>
      </c>
      <c r="L3797">
        <v>0</v>
      </c>
      <c r="M3797">
        <v>0</v>
      </c>
      <c r="N3797">
        <v>0</v>
      </c>
      <c r="O3797">
        <v>10</v>
      </c>
    </row>
    <row r="3798" spans="1:15" x14ac:dyDescent="0.25">
      <c r="A3798" t="s">
        <v>1010</v>
      </c>
      <c r="B3798" t="s">
        <v>2639</v>
      </c>
      <c r="C3798" t="s">
        <v>927</v>
      </c>
      <c r="D3798" t="s">
        <v>3052</v>
      </c>
      <c r="E3798" t="s">
        <v>3053</v>
      </c>
      <c r="F3798" t="s">
        <v>505</v>
      </c>
      <c r="G3798" t="s">
        <v>506</v>
      </c>
      <c r="H3798" t="s">
        <v>14792</v>
      </c>
      <c r="I3798">
        <v>12</v>
      </c>
      <c r="J3798">
        <v>9</v>
      </c>
      <c r="K3798">
        <v>0</v>
      </c>
      <c r="L3798">
        <v>0</v>
      </c>
      <c r="M3798">
        <v>0</v>
      </c>
      <c r="N3798">
        <v>0</v>
      </c>
      <c r="O3798">
        <v>3</v>
      </c>
    </row>
    <row r="3799" spans="1:15" x14ac:dyDescent="0.25">
      <c r="A3799" t="s">
        <v>937</v>
      </c>
      <c r="B3799" t="s">
        <v>1962</v>
      </c>
      <c r="C3799" t="s">
        <v>927</v>
      </c>
      <c r="D3799" t="s">
        <v>3052</v>
      </c>
      <c r="E3799" t="s">
        <v>3053</v>
      </c>
      <c r="F3799" t="s">
        <v>505</v>
      </c>
      <c r="G3799" t="s">
        <v>506</v>
      </c>
      <c r="H3799" t="s">
        <v>5599</v>
      </c>
      <c r="I3799">
        <v>4</v>
      </c>
      <c r="J3799">
        <v>0</v>
      </c>
      <c r="K3799">
        <v>0</v>
      </c>
      <c r="L3799">
        <v>0</v>
      </c>
      <c r="M3799">
        <v>0</v>
      </c>
      <c r="N3799">
        <v>0</v>
      </c>
      <c r="O3799">
        <v>4</v>
      </c>
    </row>
    <row r="3800" spans="1:15" x14ac:dyDescent="0.25">
      <c r="A3800" t="s">
        <v>938</v>
      </c>
      <c r="B3800" t="s">
        <v>2791</v>
      </c>
      <c r="C3800" t="s">
        <v>927</v>
      </c>
      <c r="D3800" t="s">
        <v>3052</v>
      </c>
      <c r="E3800" t="s">
        <v>3053</v>
      </c>
      <c r="F3800" t="s">
        <v>505</v>
      </c>
      <c r="G3800" t="s">
        <v>506</v>
      </c>
      <c r="H3800" t="s">
        <v>5600</v>
      </c>
      <c r="I3800">
        <v>66</v>
      </c>
      <c r="J3800">
        <v>37</v>
      </c>
      <c r="K3800">
        <v>0</v>
      </c>
      <c r="L3800">
        <v>5</v>
      </c>
      <c r="M3800">
        <v>0</v>
      </c>
      <c r="N3800">
        <v>0</v>
      </c>
      <c r="O3800">
        <v>24</v>
      </c>
    </row>
    <row r="3801" spans="1:15" x14ac:dyDescent="0.25">
      <c r="A3801" t="s">
        <v>11755</v>
      </c>
      <c r="B3801" t="s">
        <v>11754</v>
      </c>
      <c r="C3801" t="s">
        <v>923</v>
      </c>
      <c r="D3801" t="s">
        <v>3063</v>
      </c>
      <c r="E3801" t="s">
        <v>3053</v>
      </c>
      <c r="F3801" t="s">
        <v>505</v>
      </c>
      <c r="G3801" t="s">
        <v>506</v>
      </c>
      <c r="H3801" t="s">
        <v>14793</v>
      </c>
      <c r="I3801">
        <v>5</v>
      </c>
      <c r="J3801">
        <v>0</v>
      </c>
      <c r="K3801">
        <v>0</v>
      </c>
      <c r="L3801">
        <v>5</v>
      </c>
      <c r="M3801">
        <v>0</v>
      </c>
      <c r="N3801">
        <v>0</v>
      </c>
      <c r="O3801">
        <v>0</v>
      </c>
    </row>
    <row r="3802" spans="1:15" x14ac:dyDescent="0.25">
      <c r="A3802" t="s">
        <v>1025</v>
      </c>
      <c r="B3802" t="s">
        <v>2893</v>
      </c>
      <c r="C3802" t="s">
        <v>927</v>
      </c>
      <c r="D3802" t="s">
        <v>3052</v>
      </c>
      <c r="E3802" t="s">
        <v>3053</v>
      </c>
      <c r="F3802" t="s">
        <v>505</v>
      </c>
      <c r="G3802" t="s">
        <v>506</v>
      </c>
      <c r="H3802" t="s">
        <v>5601</v>
      </c>
      <c r="I3802">
        <v>5</v>
      </c>
      <c r="J3802">
        <v>0</v>
      </c>
      <c r="K3802">
        <v>0</v>
      </c>
      <c r="L3802">
        <v>5</v>
      </c>
      <c r="M3802">
        <v>0</v>
      </c>
      <c r="N3802">
        <v>0</v>
      </c>
      <c r="O3802">
        <v>0</v>
      </c>
    </row>
    <row r="3803" spans="1:15" x14ac:dyDescent="0.25">
      <c r="A3803" t="s">
        <v>943</v>
      </c>
      <c r="B3803" t="s">
        <v>2694</v>
      </c>
      <c r="C3803" t="s">
        <v>927</v>
      </c>
      <c r="D3803" t="s">
        <v>3052</v>
      </c>
      <c r="E3803" t="s">
        <v>3053</v>
      </c>
      <c r="F3803" t="s">
        <v>505</v>
      </c>
      <c r="G3803" t="s">
        <v>506</v>
      </c>
      <c r="H3803" t="s">
        <v>5602</v>
      </c>
      <c r="I3803">
        <v>465</v>
      </c>
      <c r="J3803">
        <v>265</v>
      </c>
      <c r="K3803">
        <v>0</v>
      </c>
      <c r="L3803">
        <v>0</v>
      </c>
      <c r="M3803">
        <v>0</v>
      </c>
      <c r="N3803">
        <v>0</v>
      </c>
      <c r="O3803">
        <v>200</v>
      </c>
    </row>
    <row r="3804" spans="1:15" x14ac:dyDescent="0.25">
      <c r="A3804" t="s">
        <v>945</v>
      </c>
      <c r="B3804" t="s">
        <v>2668</v>
      </c>
      <c r="C3804" t="s">
        <v>927</v>
      </c>
      <c r="D3804" t="s">
        <v>3052</v>
      </c>
      <c r="E3804" t="s">
        <v>3053</v>
      </c>
      <c r="F3804" t="s">
        <v>505</v>
      </c>
      <c r="G3804" t="s">
        <v>506</v>
      </c>
      <c r="H3804" t="s">
        <v>5603</v>
      </c>
      <c r="I3804">
        <v>3</v>
      </c>
      <c r="J3804">
        <v>0</v>
      </c>
      <c r="K3804">
        <v>0</v>
      </c>
      <c r="L3804">
        <v>0</v>
      </c>
      <c r="M3804">
        <v>0</v>
      </c>
      <c r="N3804">
        <v>0</v>
      </c>
      <c r="O3804">
        <v>3</v>
      </c>
    </row>
    <row r="3805" spans="1:15" x14ac:dyDescent="0.25">
      <c r="A3805" t="s">
        <v>1146</v>
      </c>
      <c r="B3805" t="s">
        <v>2117</v>
      </c>
      <c r="C3805" t="s">
        <v>927</v>
      </c>
      <c r="D3805" t="s">
        <v>3052</v>
      </c>
      <c r="E3805" t="s">
        <v>3053</v>
      </c>
      <c r="F3805" t="s">
        <v>505</v>
      </c>
      <c r="G3805" t="s">
        <v>506</v>
      </c>
      <c r="H3805" t="s">
        <v>14794</v>
      </c>
      <c r="I3805">
        <v>2</v>
      </c>
      <c r="J3805">
        <v>0</v>
      </c>
      <c r="K3805">
        <v>0</v>
      </c>
      <c r="L3805">
        <v>0</v>
      </c>
      <c r="M3805">
        <v>0</v>
      </c>
      <c r="N3805">
        <v>0</v>
      </c>
      <c r="O3805">
        <v>2</v>
      </c>
    </row>
    <row r="3806" spans="1:15" x14ac:dyDescent="0.25">
      <c r="A3806" t="s">
        <v>1658</v>
      </c>
      <c r="B3806" t="s">
        <v>2892</v>
      </c>
      <c r="C3806" t="s">
        <v>927</v>
      </c>
      <c r="D3806" t="s">
        <v>3052</v>
      </c>
      <c r="E3806" t="s">
        <v>3053</v>
      </c>
      <c r="F3806" t="s">
        <v>505</v>
      </c>
      <c r="G3806" t="s">
        <v>506</v>
      </c>
      <c r="H3806" t="s">
        <v>5604</v>
      </c>
      <c r="I3806">
        <v>428</v>
      </c>
      <c r="J3806">
        <v>278</v>
      </c>
      <c r="K3806">
        <v>0</v>
      </c>
      <c r="L3806">
        <v>0</v>
      </c>
      <c r="M3806">
        <v>0</v>
      </c>
      <c r="N3806">
        <v>0</v>
      </c>
      <c r="O3806">
        <v>150</v>
      </c>
    </row>
    <row r="3807" spans="1:15" x14ac:dyDescent="0.25">
      <c r="A3807" t="s">
        <v>11663</v>
      </c>
      <c r="B3807" t="s">
        <v>11768</v>
      </c>
      <c r="C3807" t="s">
        <v>927</v>
      </c>
      <c r="D3807" t="s">
        <v>3052</v>
      </c>
      <c r="E3807" t="s">
        <v>3053</v>
      </c>
      <c r="F3807" t="s">
        <v>505</v>
      </c>
      <c r="G3807" t="s">
        <v>506</v>
      </c>
      <c r="H3807" t="s">
        <v>12079</v>
      </c>
      <c r="I3807">
        <v>2</v>
      </c>
      <c r="J3807">
        <v>0</v>
      </c>
      <c r="K3807">
        <v>0</v>
      </c>
      <c r="L3807">
        <v>0</v>
      </c>
      <c r="M3807">
        <v>0</v>
      </c>
      <c r="N3807">
        <v>0</v>
      </c>
      <c r="O3807">
        <v>2</v>
      </c>
    </row>
    <row r="3808" spans="1:15" x14ac:dyDescent="0.25">
      <c r="A3808" t="s">
        <v>960</v>
      </c>
      <c r="B3808" t="s">
        <v>2080</v>
      </c>
      <c r="C3808" t="s">
        <v>927</v>
      </c>
      <c r="D3808" t="s">
        <v>3052</v>
      </c>
      <c r="E3808" t="s">
        <v>3053</v>
      </c>
      <c r="F3808" t="s">
        <v>505</v>
      </c>
      <c r="G3808" t="s">
        <v>506</v>
      </c>
      <c r="H3808" t="s">
        <v>5605</v>
      </c>
      <c r="I3808">
        <v>440</v>
      </c>
      <c r="J3808">
        <v>293</v>
      </c>
      <c r="K3808">
        <v>0</v>
      </c>
      <c r="L3808">
        <v>11</v>
      </c>
      <c r="M3808">
        <v>0</v>
      </c>
      <c r="N3808">
        <v>0</v>
      </c>
      <c r="O3808">
        <v>136</v>
      </c>
    </row>
    <row r="3809" spans="1:15" x14ac:dyDescent="0.25">
      <c r="A3809" t="s">
        <v>962</v>
      </c>
      <c r="B3809" t="s">
        <v>2752</v>
      </c>
      <c r="C3809" t="s">
        <v>927</v>
      </c>
      <c r="D3809" t="s">
        <v>3052</v>
      </c>
      <c r="E3809" t="s">
        <v>3053</v>
      </c>
      <c r="F3809" t="s">
        <v>505</v>
      </c>
      <c r="G3809" t="s">
        <v>506</v>
      </c>
      <c r="H3809" t="s">
        <v>12080</v>
      </c>
      <c r="I3809">
        <v>1</v>
      </c>
      <c r="J3809">
        <v>0</v>
      </c>
      <c r="K3809">
        <v>0</v>
      </c>
      <c r="L3809">
        <v>0</v>
      </c>
      <c r="M3809">
        <v>0</v>
      </c>
      <c r="N3809">
        <v>0</v>
      </c>
      <c r="O3809">
        <v>1</v>
      </c>
    </row>
    <row r="3810" spans="1:15" x14ac:dyDescent="0.25">
      <c r="A3810" t="s">
        <v>964</v>
      </c>
      <c r="B3810" t="s">
        <v>1969</v>
      </c>
      <c r="C3810" t="s">
        <v>927</v>
      </c>
      <c r="D3810" t="s">
        <v>3052</v>
      </c>
      <c r="E3810" t="s">
        <v>3053</v>
      </c>
      <c r="F3810" t="s">
        <v>505</v>
      </c>
      <c r="G3810" t="s">
        <v>506</v>
      </c>
      <c r="H3810" t="s">
        <v>5606</v>
      </c>
      <c r="I3810">
        <v>58</v>
      </c>
      <c r="J3810">
        <v>25</v>
      </c>
      <c r="K3810">
        <v>0</v>
      </c>
      <c r="L3810">
        <v>0</v>
      </c>
      <c r="M3810">
        <v>0</v>
      </c>
      <c r="N3810">
        <v>0</v>
      </c>
      <c r="O3810">
        <v>33</v>
      </c>
    </row>
    <row r="3811" spans="1:15" x14ac:dyDescent="0.25">
      <c r="A3811" t="s">
        <v>966</v>
      </c>
      <c r="B3811" t="s">
        <v>2684</v>
      </c>
      <c r="C3811" t="s">
        <v>927</v>
      </c>
      <c r="D3811" t="s">
        <v>3052</v>
      </c>
      <c r="E3811" t="s">
        <v>3053</v>
      </c>
      <c r="F3811" t="s">
        <v>505</v>
      </c>
      <c r="G3811" t="s">
        <v>506</v>
      </c>
      <c r="H3811" t="s">
        <v>5607</v>
      </c>
      <c r="I3811">
        <v>13</v>
      </c>
      <c r="J3811">
        <v>13</v>
      </c>
      <c r="K3811">
        <v>0</v>
      </c>
      <c r="L3811">
        <v>0</v>
      </c>
      <c r="M3811">
        <v>0</v>
      </c>
      <c r="N3811">
        <v>0</v>
      </c>
      <c r="O3811">
        <v>0</v>
      </c>
    </row>
    <row r="3812" spans="1:15" x14ac:dyDescent="0.25">
      <c r="A3812" t="s">
        <v>968</v>
      </c>
      <c r="B3812" t="s">
        <v>2091</v>
      </c>
      <c r="C3812" t="s">
        <v>927</v>
      </c>
      <c r="D3812" t="s">
        <v>3052</v>
      </c>
      <c r="E3812" t="s">
        <v>3053</v>
      </c>
      <c r="F3812" t="s">
        <v>505</v>
      </c>
      <c r="G3812" t="s">
        <v>506</v>
      </c>
      <c r="H3812" t="s">
        <v>5608</v>
      </c>
      <c r="I3812">
        <v>2689</v>
      </c>
      <c r="J3812">
        <v>2302</v>
      </c>
      <c r="K3812">
        <v>0</v>
      </c>
      <c r="L3812">
        <v>24</v>
      </c>
      <c r="M3812">
        <v>190</v>
      </c>
      <c r="N3812">
        <v>0</v>
      </c>
      <c r="O3812">
        <v>173</v>
      </c>
    </row>
    <row r="3813" spans="1:15" x14ac:dyDescent="0.25">
      <c r="A3813" t="s">
        <v>971</v>
      </c>
      <c r="B3813" t="s">
        <v>2956</v>
      </c>
      <c r="C3813" t="s">
        <v>927</v>
      </c>
      <c r="D3813" t="s">
        <v>3052</v>
      </c>
      <c r="E3813" t="s">
        <v>3053</v>
      </c>
      <c r="F3813" t="s">
        <v>507</v>
      </c>
      <c r="G3813" t="s">
        <v>508</v>
      </c>
      <c r="H3813" t="s">
        <v>5609</v>
      </c>
      <c r="I3813">
        <v>101</v>
      </c>
      <c r="J3813">
        <v>98</v>
      </c>
      <c r="K3813">
        <v>0</v>
      </c>
      <c r="L3813">
        <v>0</v>
      </c>
      <c r="M3813">
        <v>0</v>
      </c>
      <c r="N3813">
        <v>0</v>
      </c>
      <c r="O3813">
        <v>3</v>
      </c>
    </row>
    <row r="3814" spans="1:15" x14ac:dyDescent="0.25">
      <c r="A3814" t="s">
        <v>929</v>
      </c>
      <c r="B3814" t="s">
        <v>2999</v>
      </c>
      <c r="C3814" t="s">
        <v>927</v>
      </c>
      <c r="D3814" t="s">
        <v>3052</v>
      </c>
      <c r="E3814" t="s">
        <v>3053</v>
      </c>
      <c r="F3814" t="s">
        <v>507</v>
      </c>
      <c r="G3814" t="s">
        <v>508</v>
      </c>
      <c r="H3814" t="s">
        <v>5610</v>
      </c>
      <c r="I3814">
        <v>339</v>
      </c>
      <c r="J3814">
        <v>0</v>
      </c>
      <c r="K3814">
        <v>0</v>
      </c>
      <c r="L3814">
        <v>0</v>
      </c>
      <c r="M3814">
        <v>311</v>
      </c>
      <c r="N3814">
        <v>0</v>
      </c>
      <c r="O3814">
        <v>28</v>
      </c>
    </row>
    <row r="3815" spans="1:15" x14ac:dyDescent="0.25">
      <c r="A3815" t="s">
        <v>1406</v>
      </c>
      <c r="B3815" t="s">
        <v>2134</v>
      </c>
      <c r="C3815" t="s">
        <v>927</v>
      </c>
      <c r="D3815" t="s">
        <v>3052</v>
      </c>
      <c r="E3815" t="s">
        <v>3053</v>
      </c>
      <c r="F3815" t="s">
        <v>507</v>
      </c>
      <c r="G3815" t="s">
        <v>508</v>
      </c>
      <c r="H3815" t="s">
        <v>12081</v>
      </c>
      <c r="I3815">
        <v>31</v>
      </c>
      <c r="J3815">
        <v>31</v>
      </c>
      <c r="K3815">
        <v>0</v>
      </c>
      <c r="L3815">
        <v>0</v>
      </c>
      <c r="M3815">
        <v>0</v>
      </c>
      <c r="N3815">
        <v>0</v>
      </c>
      <c r="O3815">
        <v>0</v>
      </c>
    </row>
    <row r="3816" spans="1:15" x14ac:dyDescent="0.25">
      <c r="A3816" t="s">
        <v>1407</v>
      </c>
      <c r="B3816" t="s">
        <v>2109</v>
      </c>
      <c r="C3816" t="s">
        <v>927</v>
      </c>
      <c r="D3816" t="s">
        <v>3052</v>
      </c>
      <c r="E3816" t="s">
        <v>3053</v>
      </c>
      <c r="F3816" t="s">
        <v>507</v>
      </c>
      <c r="G3816" t="s">
        <v>508</v>
      </c>
      <c r="H3816" t="s">
        <v>5611</v>
      </c>
      <c r="I3816">
        <v>365</v>
      </c>
      <c r="J3816">
        <v>288</v>
      </c>
      <c r="K3816">
        <v>0</v>
      </c>
      <c r="L3816">
        <v>33</v>
      </c>
      <c r="M3816">
        <v>40</v>
      </c>
      <c r="N3816">
        <v>0</v>
      </c>
      <c r="O3816">
        <v>4</v>
      </c>
    </row>
    <row r="3817" spans="1:15" x14ac:dyDescent="0.25">
      <c r="A3817" t="s">
        <v>9784</v>
      </c>
      <c r="B3817" t="s">
        <v>1994</v>
      </c>
      <c r="C3817" t="s">
        <v>927</v>
      </c>
      <c r="D3817" t="s">
        <v>3052</v>
      </c>
      <c r="E3817" t="s">
        <v>3053</v>
      </c>
      <c r="F3817" t="s">
        <v>507</v>
      </c>
      <c r="G3817" t="s">
        <v>508</v>
      </c>
      <c r="H3817" t="s">
        <v>9949</v>
      </c>
      <c r="I3817">
        <v>6</v>
      </c>
      <c r="J3817">
        <v>0</v>
      </c>
      <c r="K3817">
        <v>0</v>
      </c>
      <c r="L3817">
        <v>6</v>
      </c>
      <c r="M3817">
        <v>0</v>
      </c>
      <c r="N3817">
        <v>0</v>
      </c>
      <c r="O3817">
        <v>0</v>
      </c>
    </row>
    <row r="3818" spans="1:15" x14ac:dyDescent="0.25">
      <c r="A3818" t="s">
        <v>985</v>
      </c>
      <c r="B3818" t="s">
        <v>1964</v>
      </c>
      <c r="C3818" t="s">
        <v>923</v>
      </c>
      <c r="D3818" t="s">
        <v>3063</v>
      </c>
      <c r="E3818" t="s">
        <v>3053</v>
      </c>
      <c r="F3818" t="s">
        <v>507</v>
      </c>
      <c r="G3818" t="s">
        <v>508</v>
      </c>
      <c r="H3818" t="s">
        <v>14795</v>
      </c>
      <c r="I3818">
        <v>25</v>
      </c>
      <c r="J3818">
        <v>0</v>
      </c>
      <c r="K3818">
        <v>0</v>
      </c>
      <c r="L3818">
        <v>25</v>
      </c>
      <c r="M3818">
        <v>0</v>
      </c>
      <c r="N3818">
        <v>0</v>
      </c>
      <c r="O3818">
        <v>0</v>
      </c>
    </row>
    <row r="3819" spans="1:15" x14ac:dyDescent="0.25">
      <c r="A3819" t="s">
        <v>996</v>
      </c>
      <c r="B3819" t="s">
        <v>1952</v>
      </c>
      <c r="C3819" t="s">
        <v>923</v>
      </c>
      <c r="D3819" t="s">
        <v>3063</v>
      </c>
      <c r="E3819" t="s">
        <v>3053</v>
      </c>
      <c r="F3819" t="s">
        <v>507</v>
      </c>
      <c r="G3819" t="s">
        <v>508</v>
      </c>
      <c r="H3819" t="s">
        <v>5612</v>
      </c>
      <c r="I3819">
        <v>8</v>
      </c>
      <c r="J3819">
        <v>0</v>
      </c>
      <c r="K3819">
        <v>0</v>
      </c>
      <c r="L3819">
        <v>8</v>
      </c>
      <c r="M3819">
        <v>0</v>
      </c>
      <c r="N3819">
        <v>0</v>
      </c>
      <c r="O3819">
        <v>0</v>
      </c>
    </row>
    <row r="3820" spans="1:15" x14ac:dyDescent="0.25">
      <c r="A3820" t="s">
        <v>937</v>
      </c>
      <c r="B3820" t="s">
        <v>1962</v>
      </c>
      <c r="C3820" t="s">
        <v>927</v>
      </c>
      <c r="D3820" t="s">
        <v>3052</v>
      </c>
      <c r="E3820" t="s">
        <v>3053</v>
      </c>
      <c r="F3820" t="s">
        <v>507</v>
      </c>
      <c r="G3820" t="s">
        <v>508</v>
      </c>
      <c r="H3820" t="s">
        <v>5613</v>
      </c>
      <c r="I3820">
        <v>23</v>
      </c>
      <c r="J3820">
        <v>0</v>
      </c>
      <c r="K3820">
        <v>0</v>
      </c>
      <c r="L3820">
        <v>0</v>
      </c>
      <c r="M3820">
        <v>0</v>
      </c>
      <c r="N3820">
        <v>0</v>
      </c>
      <c r="O3820">
        <v>23</v>
      </c>
    </row>
    <row r="3821" spans="1:15" x14ac:dyDescent="0.25">
      <c r="A3821" t="s">
        <v>938</v>
      </c>
      <c r="B3821" t="s">
        <v>2791</v>
      </c>
      <c r="C3821" t="s">
        <v>927</v>
      </c>
      <c r="D3821" t="s">
        <v>3052</v>
      </c>
      <c r="E3821" t="s">
        <v>3053</v>
      </c>
      <c r="F3821" t="s">
        <v>507</v>
      </c>
      <c r="G3821" t="s">
        <v>508</v>
      </c>
      <c r="H3821" t="s">
        <v>5614</v>
      </c>
      <c r="I3821">
        <v>960</v>
      </c>
      <c r="J3821">
        <v>849</v>
      </c>
      <c r="K3821">
        <v>0</v>
      </c>
      <c r="L3821">
        <v>97</v>
      </c>
      <c r="M3821">
        <v>0</v>
      </c>
      <c r="N3821">
        <v>0</v>
      </c>
      <c r="O3821">
        <v>14</v>
      </c>
    </row>
    <row r="3822" spans="1:15" x14ac:dyDescent="0.25">
      <c r="A3822" t="s">
        <v>940</v>
      </c>
      <c r="B3822" t="s">
        <v>2647</v>
      </c>
      <c r="C3822" t="s">
        <v>927</v>
      </c>
      <c r="D3822" t="s">
        <v>3052</v>
      </c>
      <c r="E3822" t="s">
        <v>3053</v>
      </c>
      <c r="F3822" t="s">
        <v>507</v>
      </c>
      <c r="G3822" t="s">
        <v>508</v>
      </c>
      <c r="H3822" t="s">
        <v>5615</v>
      </c>
      <c r="I3822">
        <v>44</v>
      </c>
      <c r="J3822">
        <v>0</v>
      </c>
      <c r="K3822">
        <v>0</v>
      </c>
      <c r="L3822">
        <v>0</v>
      </c>
      <c r="M3822">
        <v>44</v>
      </c>
      <c r="N3822">
        <v>0</v>
      </c>
      <c r="O3822">
        <v>0</v>
      </c>
    </row>
    <row r="3823" spans="1:15" x14ac:dyDescent="0.25">
      <c r="A3823" t="s">
        <v>1426</v>
      </c>
      <c r="B3823" t="s">
        <v>2137</v>
      </c>
      <c r="C3823" t="s">
        <v>927</v>
      </c>
      <c r="D3823" t="s">
        <v>3052</v>
      </c>
      <c r="E3823" t="s">
        <v>3053</v>
      </c>
      <c r="F3823" t="s">
        <v>507</v>
      </c>
      <c r="G3823" t="s">
        <v>508</v>
      </c>
      <c r="H3823" t="s">
        <v>5616</v>
      </c>
      <c r="I3823">
        <v>205</v>
      </c>
      <c r="J3823">
        <v>0</v>
      </c>
      <c r="K3823">
        <v>0</v>
      </c>
      <c r="L3823">
        <v>0</v>
      </c>
      <c r="M3823">
        <v>155</v>
      </c>
      <c r="N3823">
        <v>0</v>
      </c>
      <c r="O3823">
        <v>50</v>
      </c>
    </row>
    <row r="3824" spans="1:15" x14ac:dyDescent="0.25">
      <c r="A3824" t="s">
        <v>1427</v>
      </c>
      <c r="B3824" t="s">
        <v>2087</v>
      </c>
      <c r="C3824" t="s">
        <v>927</v>
      </c>
      <c r="D3824" t="s">
        <v>3052</v>
      </c>
      <c r="E3824" t="s">
        <v>3053</v>
      </c>
      <c r="F3824" t="s">
        <v>507</v>
      </c>
      <c r="G3824" t="s">
        <v>508</v>
      </c>
      <c r="H3824" t="s">
        <v>5617</v>
      </c>
      <c r="I3824">
        <v>425</v>
      </c>
      <c r="J3824">
        <v>376</v>
      </c>
      <c r="K3824">
        <v>0</v>
      </c>
      <c r="L3824">
        <v>0</v>
      </c>
      <c r="M3824">
        <v>48</v>
      </c>
      <c r="N3824">
        <v>0</v>
      </c>
      <c r="O3824">
        <v>1</v>
      </c>
    </row>
    <row r="3825" spans="1:15" x14ac:dyDescent="0.25">
      <c r="A3825" t="s">
        <v>1430</v>
      </c>
      <c r="B3825" t="s">
        <v>2901</v>
      </c>
      <c r="C3825" t="s">
        <v>927</v>
      </c>
      <c r="D3825" t="s">
        <v>3052</v>
      </c>
      <c r="E3825" t="s">
        <v>3053</v>
      </c>
      <c r="F3825" t="s">
        <v>507</v>
      </c>
      <c r="G3825" t="s">
        <v>508</v>
      </c>
      <c r="H3825" t="s">
        <v>14796</v>
      </c>
      <c r="I3825">
        <v>66</v>
      </c>
      <c r="J3825">
        <v>66</v>
      </c>
      <c r="K3825">
        <v>0</v>
      </c>
      <c r="L3825">
        <v>0</v>
      </c>
      <c r="M3825">
        <v>0</v>
      </c>
      <c r="N3825">
        <v>0</v>
      </c>
      <c r="O3825">
        <v>0</v>
      </c>
    </row>
    <row r="3826" spans="1:15" x14ac:dyDescent="0.25">
      <c r="A3826" t="s">
        <v>1033</v>
      </c>
      <c r="B3826" t="s">
        <v>2039</v>
      </c>
      <c r="C3826" t="s">
        <v>923</v>
      </c>
      <c r="D3826" t="s">
        <v>3063</v>
      </c>
      <c r="E3826" t="s">
        <v>3053</v>
      </c>
      <c r="F3826" t="s">
        <v>507</v>
      </c>
      <c r="G3826" t="s">
        <v>508</v>
      </c>
      <c r="H3826" t="s">
        <v>5618</v>
      </c>
      <c r="I3826">
        <v>3</v>
      </c>
      <c r="J3826">
        <v>0</v>
      </c>
      <c r="K3826">
        <v>0</v>
      </c>
      <c r="L3826">
        <v>3</v>
      </c>
      <c r="M3826">
        <v>0</v>
      </c>
      <c r="N3826">
        <v>0</v>
      </c>
      <c r="O3826">
        <v>0</v>
      </c>
    </row>
    <row r="3827" spans="1:15" x14ac:dyDescent="0.25">
      <c r="A3827" t="s">
        <v>1433</v>
      </c>
      <c r="B3827" t="s">
        <v>2914</v>
      </c>
      <c r="C3827" t="s">
        <v>927</v>
      </c>
      <c r="D3827" t="s">
        <v>3052</v>
      </c>
      <c r="E3827" t="s">
        <v>3053</v>
      </c>
      <c r="F3827" t="s">
        <v>507</v>
      </c>
      <c r="G3827" t="s">
        <v>508</v>
      </c>
      <c r="H3827" t="s">
        <v>5619</v>
      </c>
      <c r="I3827">
        <v>329</v>
      </c>
      <c r="J3827">
        <v>308</v>
      </c>
      <c r="K3827">
        <v>0</v>
      </c>
      <c r="L3827">
        <v>21</v>
      </c>
      <c r="M3827">
        <v>0</v>
      </c>
      <c r="N3827">
        <v>1</v>
      </c>
      <c r="O3827">
        <v>0</v>
      </c>
    </row>
    <row r="3828" spans="1:15" x14ac:dyDescent="0.25">
      <c r="A3828" t="s">
        <v>1436</v>
      </c>
      <c r="B3828" t="s">
        <v>2209</v>
      </c>
      <c r="C3828" t="s">
        <v>927</v>
      </c>
      <c r="D3828" t="s">
        <v>3052</v>
      </c>
      <c r="E3828" t="s">
        <v>3053</v>
      </c>
      <c r="F3828" t="s">
        <v>507</v>
      </c>
      <c r="G3828" t="s">
        <v>508</v>
      </c>
      <c r="H3828" t="s">
        <v>5620</v>
      </c>
      <c r="I3828">
        <v>25</v>
      </c>
      <c r="J3828">
        <v>12</v>
      </c>
      <c r="K3828">
        <v>0</v>
      </c>
      <c r="L3828">
        <v>0</v>
      </c>
      <c r="M3828">
        <v>13</v>
      </c>
      <c r="N3828">
        <v>3</v>
      </c>
      <c r="O3828">
        <v>0</v>
      </c>
    </row>
    <row r="3829" spans="1:15" x14ac:dyDescent="0.25">
      <c r="A3829" t="s">
        <v>1057</v>
      </c>
      <c r="B3829" t="s">
        <v>1972</v>
      </c>
      <c r="C3829" t="s">
        <v>927</v>
      </c>
      <c r="D3829" t="s">
        <v>3052</v>
      </c>
      <c r="E3829" t="s">
        <v>3053</v>
      </c>
      <c r="F3829" t="s">
        <v>507</v>
      </c>
      <c r="G3829" t="s">
        <v>508</v>
      </c>
      <c r="H3829" t="s">
        <v>10400</v>
      </c>
      <c r="I3829">
        <v>10</v>
      </c>
      <c r="J3829">
        <v>0</v>
      </c>
      <c r="K3829">
        <v>0</v>
      </c>
      <c r="L3829">
        <v>10</v>
      </c>
      <c r="M3829">
        <v>0</v>
      </c>
      <c r="N3829">
        <v>0</v>
      </c>
      <c r="O3829">
        <v>0</v>
      </c>
    </row>
    <row r="3830" spans="1:15" x14ac:dyDescent="0.25">
      <c r="A3830" t="s">
        <v>955</v>
      </c>
      <c r="B3830" t="s">
        <v>2660</v>
      </c>
      <c r="C3830" t="s">
        <v>927</v>
      </c>
      <c r="D3830" t="s">
        <v>3052</v>
      </c>
      <c r="E3830" t="s">
        <v>3053</v>
      </c>
      <c r="F3830" t="s">
        <v>507</v>
      </c>
      <c r="G3830" t="s">
        <v>508</v>
      </c>
      <c r="H3830" t="s">
        <v>5621</v>
      </c>
      <c r="I3830">
        <v>20</v>
      </c>
      <c r="J3830">
        <v>0</v>
      </c>
      <c r="K3830">
        <v>0</v>
      </c>
      <c r="L3830">
        <v>20</v>
      </c>
      <c r="M3830">
        <v>0</v>
      </c>
      <c r="N3830">
        <v>0</v>
      </c>
      <c r="O3830">
        <v>0</v>
      </c>
    </row>
    <row r="3831" spans="1:15" x14ac:dyDescent="0.25">
      <c r="A3831" t="s">
        <v>9817</v>
      </c>
      <c r="B3831" t="s">
        <v>2184</v>
      </c>
      <c r="C3831" t="s">
        <v>923</v>
      </c>
      <c r="D3831" t="s">
        <v>3063</v>
      </c>
      <c r="E3831" t="s">
        <v>3053</v>
      </c>
      <c r="F3831" t="s">
        <v>507</v>
      </c>
      <c r="G3831" t="s">
        <v>508</v>
      </c>
      <c r="H3831" t="s">
        <v>10480</v>
      </c>
      <c r="I3831">
        <v>24</v>
      </c>
      <c r="J3831">
        <v>24</v>
      </c>
      <c r="K3831">
        <v>0</v>
      </c>
      <c r="L3831">
        <v>0</v>
      </c>
      <c r="M3831">
        <v>0</v>
      </c>
      <c r="N3831">
        <v>0</v>
      </c>
      <c r="O3831">
        <v>0</v>
      </c>
    </row>
    <row r="3832" spans="1:15" x14ac:dyDescent="0.25">
      <c r="A3832" t="s">
        <v>1180</v>
      </c>
      <c r="B3832" t="s">
        <v>2896</v>
      </c>
      <c r="C3832" t="s">
        <v>927</v>
      </c>
      <c r="D3832" t="s">
        <v>3052</v>
      </c>
      <c r="E3832" t="s">
        <v>3053</v>
      </c>
      <c r="F3832" t="s">
        <v>507</v>
      </c>
      <c r="G3832" t="s">
        <v>508</v>
      </c>
      <c r="H3832" t="s">
        <v>5622</v>
      </c>
      <c r="I3832">
        <v>7316</v>
      </c>
      <c r="J3832">
        <v>5827</v>
      </c>
      <c r="K3832">
        <v>0</v>
      </c>
      <c r="L3832">
        <v>42</v>
      </c>
      <c r="M3832">
        <v>1267</v>
      </c>
      <c r="N3832">
        <v>11</v>
      </c>
      <c r="O3832">
        <v>180</v>
      </c>
    </row>
    <row r="3833" spans="1:15" x14ac:dyDescent="0.25">
      <c r="A3833" t="s">
        <v>10776</v>
      </c>
      <c r="B3833" t="s">
        <v>10775</v>
      </c>
      <c r="C3833" t="s">
        <v>923</v>
      </c>
      <c r="D3833" t="s">
        <v>3063</v>
      </c>
      <c r="E3833" t="s">
        <v>3053</v>
      </c>
      <c r="F3833" t="s">
        <v>507</v>
      </c>
      <c r="G3833" t="s">
        <v>508</v>
      </c>
      <c r="H3833" t="s">
        <v>11070</v>
      </c>
      <c r="I3833">
        <v>26</v>
      </c>
      <c r="J3833">
        <v>0</v>
      </c>
      <c r="K3833">
        <v>0</v>
      </c>
      <c r="L3833">
        <v>0</v>
      </c>
      <c r="M3833">
        <v>26</v>
      </c>
      <c r="N3833">
        <v>0</v>
      </c>
      <c r="O3833">
        <v>0</v>
      </c>
    </row>
    <row r="3834" spans="1:15" x14ac:dyDescent="0.25">
      <c r="A3834" t="s">
        <v>924</v>
      </c>
      <c r="B3834" t="s">
        <v>2963</v>
      </c>
      <c r="C3834" t="s">
        <v>923</v>
      </c>
      <c r="D3834" t="s">
        <v>3063</v>
      </c>
      <c r="E3834" t="s">
        <v>3053</v>
      </c>
      <c r="F3834" t="s">
        <v>509</v>
      </c>
      <c r="G3834" t="s">
        <v>510</v>
      </c>
      <c r="H3834" t="s">
        <v>5623</v>
      </c>
      <c r="I3834">
        <v>36</v>
      </c>
      <c r="J3834">
        <v>0</v>
      </c>
      <c r="K3834">
        <v>0</v>
      </c>
      <c r="L3834">
        <v>36</v>
      </c>
      <c r="M3834">
        <v>0</v>
      </c>
      <c r="N3834">
        <v>0</v>
      </c>
      <c r="O3834">
        <v>0</v>
      </c>
    </row>
    <row r="3835" spans="1:15" x14ac:dyDescent="0.25">
      <c r="A3835" t="s">
        <v>929</v>
      </c>
      <c r="B3835" t="s">
        <v>2999</v>
      </c>
      <c r="C3835" t="s">
        <v>927</v>
      </c>
      <c r="D3835" t="s">
        <v>3052</v>
      </c>
      <c r="E3835" t="s">
        <v>3053</v>
      </c>
      <c r="F3835" t="s">
        <v>509</v>
      </c>
      <c r="G3835" t="s">
        <v>510</v>
      </c>
      <c r="H3835" t="s">
        <v>5624</v>
      </c>
      <c r="I3835">
        <v>54</v>
      </c>
      <c r="J3835">
        <v>0</v>
      </c>
      <c r="K3835">
        <v>0</v>
      </c>
      <c r="L3835">
        <v>0</v>
      </c>
      <c r="M3835">
        <v>54</v>
      </c>
      <c r="N3835">
        <v>0</v>
      </c>
      <c r="O3835">
        <v>0</v>
      </c>
    </row>
    <row r="3836" spans="1:15" x14ac:dyDescent="0.25">
      <c r="A3836" t="s">
        <v>10520</v>
      </c>
      <c r="B3836" t="s">
        <v>2567</v>
      </c>
      <c r="C3836" t="s">
        <v>923</v>
      </c>
      <c r="D3836" t="s">
        <v>3063</v>
      </c>
      <c r="E3836" t="s">
        <v>3053</v>
      </c>
      <c r="F3836" t="s">
        <v>509</v>
      </c>
      <c r="G3836" t="s">
        <v>510</v>
      </c>
      <c r="H3836" t="s">
        <v>11071</v>
      </c>
      <c r="I3836">
        <v>102</v>
      </c>
      <c r="J3836">
        <v>69</v>
      </c>
      <c r="K3836">
        <v>0</v>
      </c>
      <c r="L3836">
        <v>33</v>
      </c>
      <c r="M3836">
        <v>0</v>
      </c>
      <c r="N3836">
        <v>0</v>
      </c>
      <c r="O3836">
        <v>0</v>
      </c>
    </row>
    <row r="3837" spans="1:15" x14ac:dyDescent="0.25">
      <c r="A3837" t="s">
        <v>10638</v>
      </c>
      <c r="B3837" t="s">
        <v>2057</v>
      </c>
      <c r="C3837" t="s">
        <v>927</v>
      </c>
      <c r="D3837" t="s">
        <v>3052</v>
      </c>
      <c r="E3837" t="s">
        <v>3053</v>
      </c>
      <c r="F3837" t="s">
        <v>509</v>
      </c>
      <c r="G3837" t="s">
        <v>510</v>
      </c>
      <c r="H3837" t="s">
        <v>11072</v>
      </c>
      <c r="I3837">
        <v>6</v>
      </c>
      <c r="J3837">
        <v>0</v>
      </c>
      <c r="K3837">
        <v>0</v>
      </c>
      <c r="L3837">
        <v>6</v>
      </c>
      <c r="M3837">
        <v>0</v>
      </c>
      <c r="N3837">
        <v>0</v>
      </c>
      <c r="O3837">
        <v>0</v>
      </c>
    </row>
    <row r="3838" spans="1:15" x14ac:dyDescent="0.25">
      <c r="A3838" t="s">
        <v>938</v>
      </c>
      <c r="B3838" t="s">
        <v>2791</v>
      </c>
      <c r="C3838" t="s">
        <v>927</v>
      </c>
      <c r="D3838" t="s">
        <v>3052</v>
      </c>
      <c r="E3838" t="s">
        <v>3053</v>
      </c>
      <c r="F3838" t="s">
        <v>509</v>
      </c>
      <c r="G3838" t="s">
        <v>510</v>
      </c>
      <c r="H3838" t="s">
        <v>5625</v>
      </c>
      <c r="I3838">
        <v>52</v>
      </c>
      <c r="J3838">
        <v>52</v>
      </c>
      <c r="K3838">
        <v>0</v>
      </c>
      <c r="L3838">
        <v>0</v>
      </c>
      <c r="M3838">
        <v>0</v>
      </c>
      <c r="N3838">
        <v>1</v>
      </c>
      <c r="O3838">
        <v>0</v>
      </c>
    </row>
    <row r="3839" spans="1:15" x14ac:dyDescent="0.25">
      <c r="A3839" t="s">
        <v>940</v>
      </c>
      <c r="B3839" t="s">
        <v>2647</v>
      </c>
      <c r="C3839" t="s">
        <v>927</v>
      </c>
      <c r="D3839" t="s">
        <v>3052</v>
      </c>
      <c r="E3839" t="s">
        <v>3053</v>
      </c>
      <c r="F3839" t="s">
        <v>509</v>
      </c>
      <c r="G3839" t="s">
        <v>510</v>
      </c>
      <c r="H3839" t="s">
        <v>5626</v>
      </c>
      <c r="I3839">
        <v>28</v>
      </c>
      <c r="J3839">
        <v>0</v>
      </c>
      <c r="K3839">
        <v>0</v>
      </c>
      <c r="L3839">
        <v>0</v>
      </c>
      <c r="M3839">
        <v>28</v>
      </c>
      <c r="N3839">
        <v>0</v>
      </c>
      <c r="O3839">
        <v>0</v>
      </c>
    </row>
    <row r="3840" spans="1:15" x14ac:dyDescent="0.25">
      <c r="A3840" t="s">
        <v>1126</v>
      </c>
      <c r="B3840" t="s">
        <v>2130</v>
      </c>
      <c r="C3840" t="s">
        <v>927</v>
      </c>
      <c r="D3840" t="s">
        <v>3052</v>
      </c>
      <c r="E3840" t="s">
        <v>3053</v>
      </c>
      <c r="F3840" t="s">
        <v>509</v>
      </c>
      <c r="G3840" t="s">
        <v>510</v>
      </c>
      <c r="H3840" t="s">
        <v>14797</v>
      </c>
      <c r="I3840">
        <v>4</v>
      </c>
      <c r="J3840">
        <v>0</v>
      </c>
      <c r="K3840">
        <v>0</v>
      </c>
      <c r="L3840">
        <v>0</v>
      </c>
      <c r="M3840">
        <v>0</v>
      </c>
      <c r="N3840">
        <v>0</v>
      </c>
      <c r="O3840">
        <v>4</v>
      </c>
    </row>
    <row r="3841" spans="1:15" x14ac:dyDescent="0.25">
      <c r="A3841" t="s">
        <v>1127</v>
      </c>
      <c r="B3841" t="s">
        <v>3034</v>
      </c>
      <c r="C3841" t="s">
        <v>927</v>
      </c>
      <c r="D3841" t="s">
        <v>3052</v>
      </c>
      <c r="E3841" t="s">
        <v>3053</v>
      </c>
      <c r="F3841" t="s">
        <v>509</v>
      </c>
      <c r="G3841" t="s">
        <v>510</v>
      </c>
      <c r="H3841" t="s">
        <v>5627</v>
      </c>
      <c r="I3841">
        <v>5</v>
      </c>
      <c r="J3841">
        <v>5</v>
      </c>
      <c r="K3841">
        <v>0</v>
      </c>
      <c r="L3841">
        <v>0</v>
      </c>
      <c r="M3841">
        <v>0</v>
      </c>
      <c r="N3841">
        <v>0</v>
      </c>
      <c r="O3841">
        <v>0</v>
      </c>
    </row>
    <row r="3842" spans="1:15" x14ac:dyDescent="0.25">
      <c r="A3842" t="s">
        <v>1025</v>
      </c>
      <c r="B3842" t="s">
        <v>2893</v>
      </c>
      <c r="C3842" t="s">
        <v>927</v>
      </c>
      <c r="D3842" t="s">
        <v>3052</v>
      </c>
      <c r="E3842" t="s">
        <v>3053</v>
      </c>
      <c r="F3842" t="s">
        <v>509</v>
      </c>
      <c r="G3842" t="s">
        <v>510</v>
      </c>
      <c r="H3842" t="s">
        <v>10185</v>
      </c>
      <c r="I3842">
        <v>3</v>
      </c>
      <c r="J3842">
        <v>0</v>
      </c>
      <c r="K3842">
        <v>0</v>
      </c>
      <c r="L3842">
        <v>0</v>
      </c>
      <c r="M3842">
        <v>0</v>
      </c>
      <c r="N3842">
        <v>0</v>
      </c>
      <c r="O3842">
        <v>3</v>
      </c>
    </row>
    <row r="3843" spans="1:15" x14ac:dyDescent="0.25">
      <c r="A3843" t="s">
        <v>1041</v>
      </c>
      <c r="B3843" t="s">
        <v>2826</v>
      </c>
      <c r="C3843" t="s">
        <v>927</v>
      </c>
      <c r="D3843" t="s">
        <v>3052</v>
      </c>
      <c r="E3843" t="s">
        <v>3053</v>
      </c>
      <c r="F3843" t="s">
        <v>509</v>
      </c>
      <c r="G3843" t="s">
        <v>510</v>
      </c>
      <c r="H3843" t="s">
        <v>5628</v>
      </c>
      <c r="I3843">
        <v>163</v>
      </c>
      <c r="J3843">
        <v>0</v>
      </c>
      <c r="K3843">
        <v>0</v>
      </c>
      <c r="L3843">
        <v>0</v>
      </c>
      <c r="M3843">
        <v>0</v>
      </c>
      <c r="N3843">
        <v>0</v>
      </c>
      <c r="O3843">
        <v>163</v>
      </c>
    </row>
    <row r="3844" spans="1:15" x14ac:dyDescent="0.25">
      <c r="A3844" t="s">
        <v>9787</v>
      </c>
      <c r="B3844" t="s">
        <v>2822</v>
      </c>
      <c r="C3844" t="s">
        <v>927</v>
      </c>
      <c r="D3844" t="s">
        <v>3052</v>
      </c>
      <c r="E3844" t="s">
        <v>3053</v>
      </c>
      <c r="F3844" t="s">
        <v>509</v>
      </c>
      <c r="G3844" t="s">
        <v>510</v>
      </c>
      <c r="H3844" t="s">
        <v>10257</v>
      </c>
      <c r="I3844">
        <v>1338</v>
      </c>
      <c r="J3844">
        <v>1119</v>
      </c>
      <c r="K3844">
        <v>0</v>
      </c>
      <c r="L3844">
        <v>30</v>
      </c>
      <c r="M3844">
        <v>189</v>
      </c>
      <c r="N3844">
        <v>11</v>
      </c>
      <c r="O3844">
        <v>0</v>
      </c>
    </row>
    <row r="3845" spans="1:15" x14ac:dyDescent="0.25">
      <c r="A3845" t="s">
        <v>951</v>
      </c>
      <c r="B3845" t="s">
        <v>2680</v>
      </c>
      <c r="C3845" t="s">
        <v>927</v>
      </c>
      <c r="D3845" t="s">
        <v>3052</v>
      </c>
      <c r="E3845" t="s">
        <v>3053</v>
      </c>
      <c r="F3845" t="s">
        <v>509</v>
      </c>
      <c r="G3845" t="s">
        <v>510</v>
      </c>
      <c r="H3845" t="s">
        <v>5629</v>
      </c>
      <c r="I3845">
        <v>86</v>
      </c>
      <c r="J3845">
        <v>85</v>
      </c>
      <c r="K3845">
        <v>0</v>
      </c>
      <c r="L3845">
        <v>0</v>
      </c>
      <c r="M3845">
        <v>0</v>
      </c>
      <c r="N3845">
        <v>2</v>
      </c>
      <c r="O3845">
        <v>1</v>
      </c>
    </row>
    <row r="3846" spans="1:15" x14ac:dyDescent="0.25">
      <c r="A3846" t="s">
        <v>1330</v>
      </c>
      <c r="B3846" t="s">
        <v>2776</v>
      </c>
      <c r="C3846" t="s">
        <v>923</v>
      </c>
      <c r="D3846" t="s">
        <v>3063</v>
      </c>
      <c r="E3846" t="s">
        <v>3053</v>
      </c>
      <c r="F3846" t="s">
        <v>509</v>
      </c>
      <c r="G3846" t="s">
        <v>510</v>
      </c>
      <c r="H3846" t="s">
        <v>5630</v>
      </c>
      <c r="I3846">
        <v>12</v>
      </c>
      <c r="J3846">
        <v>0</v>
      </c>
      <c r="K3846">
        <v>0</v>
      </c>
      <c r="L3846">
        <v>0</v>
      </c>
      <c r="M3846">
        <v>12</v>
      </c>
      <c r="N3846">
        <v>0</v>
      </c>
      <c r="O3846">
        <v>0</v>
      </c>
    </row>
    <row r="3847" spans="1:15" x14ac:dyDescent="0.25">
      <c r="A3847" t="s">
        <v>1056</v>
      </c>
      <c r="B3847" t="s">
        <v>2966</v>
      </c>
      <c r="C3847" t="s">
        <v>927</v>
      </c>
      <c r="D3847" t="s">
        <v>3052</v>
      </c>
      <c r="E3847" t="s">
        <v>3053</v>
      </c>
      <c r="F3847" t="s">
        <v>509</v>
      </c>
      <c r="G3847" t="s">
        <v>510</v>
      </c>
      <c r="H3847" t="s">
        <v>5631</v>
      </c>
      <c r="I3847">
        <v>11</v>
      </c>
      <c r="J3847">
        <v>0</v>
      </c>
      <c r="K3847">
        <v>0</v>
      </c>
      <c r="L3847">
        <v>11</v>
      </c>
      <c r="M3847">
        <v>0</v>
      </c>
      <c r="N3847">
        <v>0</v>
      </c>
      <c r="O3847">
        <v>0</v>
      </c>
    </row>
    <row r="3848" spans="1:15" x14ac:dyDescent="0.25">
      <c r="A3848" t="s">
        <v>955</v>
      </c>
      <c r="B3848" t="s">
        <v>2660</v>
      </c>
      <c r="C3848" t="s">
        <v>927</v>
      </c>
      <c r="D3848" t="s">
        <v>3052</v>
      </c>
      <c r="E3848" t="s">
        <v>3053</v>
      </c>
      <c r="F3848" t="s">
        <v>509</v>
      </c>
      <c r="G3848" t="s">
        <v>510</v>
      </c>
      <c r="H3848" t="s">
        <v>5632</v>
      </c>
      <c r="I3848">
        <v>80</v>
      </c>
      <c r="J3848">
        <v>0</v>
      </c>
      <c r="K3848">
        <v>0</v>
      </c>
      <c r="L3848">
        <v>43</v>
      </c>
      <c r="M3848">
        <v>0</v>
      </c>
      <c r="N3848">
        <v>0</v>
      </c>
      <c r="O3848">
        <v>37</v>
      </c>
    </row>
    <row r="3849" spans="1:15" x14ac:dyDescent="0.25">
      <c r="A3849" t="s">
        <v>1661</v>
      </c>
      <c r="B3849" t="s">
        <v>2764</v>
      </c>
      <c r="C3849" t="s">
        <v>923</v>
      </c>
      <c r="D3849" t="s">
        <v>3063</v>
      </c>
      <c r="E3849" t="s">
        <v>3053</v>
      </c>
      <c r="F3849" t="s">
        <v>509</v>
      </c>
      <c r="G3849" t="s">
        <v>510</v>
      </c>
      <c r="H3849" t="s">
        <v>5633</v>
      </c>
      <c r="I3849">
        <v>6</v>
      </c>
      <c r="J3849">
        <v>0</v>
      </c>
      <c r="K3849">
        <v>0</v>
      </c>
      <c r="L3849">
        <v>6</v>
      </c>
      <c r="M3849">
        <v>0</v>
      </c>
      <c r="N3849">
        <v>0</v>
      </c>
      <c r="O3849">
        <v>0</v>
      </c>
    </row>
    <row r="3850" spans="1:15" x14ac:dyDescent="0.25">
      <c r="A3850" t="s">
        <v>11663</v>
      </c>
      <c r="B3850" t="s">
        <v>11768</v>
      </c>
      <c r="C3850" t="s">
        <v>927</v>
      </c>
      <c r="D3850" t="s">
        <v>3052</v>
      </c>
      <c r="E3850" t="s">
        <v>3053</v>
      </c>
      <c r="F3850" t="s">
        <v>509</v>
      </c>
      <c r="G3850" t="s">
        <v>510</v>
      </c>
      <c r="H3850" t="s">
        <v>12082</v>
      </c>
      <c r="I3850">
        <v>4249</v>
      </c>
      <c r="J3850">
        <v>3755</v>
      </c>
      <c r="K3850">
        <v>0</v>
      </c>
      <c r="L3850">
        <v>0</v>
      </c>
      <c r="M3850">
        <v>470</v>
      </c>
      <c r="N3850">
        <v>15</v>
      </c>
      <c r="O3850">
        <v>24</v>
      </c>
    </row>
    <row r="3851" spans="1:15" x14ac:dyDescent="0.25">
      <c r="A3851" t="s">
        <v>962</v>
      </c>
      <c r="B3851" t="s">
        <v>2752</v>
      </c>
      <c r="C3851" t="s">
        <v>927</v>
      </c>
      <c r="D3851" t="s">
        <v>3052</v>
      </c>
      <c r="E3851" t="s">
        <v>3053</v>
      </c>
      <c r="F3851" t="s">
        <v>509</v>
      </c>
      <c r="G3851" t="s">
        <v>510</v>
      </c>
      <c r="H3851" t="s">
        <v>5634</v>
      </c>
      <c r="I3851">
        <v>52</v>
      </c>
      <c r="J3851">
        <v>52</v>
      </c>
      <c r="K3851">
        <v>0</v>
      </c>
      <c r="L3851">
        <v>0</v>
      </c>
      <c r="M3851">
        <v>0</v>
      </c>
      <c r="N3851">
        <v>0</v>
      </c>
      <c r="O3851">
        <v>0</v>
      </c>
    </row>
    <row r="3852" spans="1:15" x14ac:dyDescent="0.25">
      <c r="A3852" t="s">
        <v>1699</v>
      </c>
      <c r="B3852" t="s">
        <v>1949</v>
      </c>
      <c r="C3852" t="s">
        <v>923</v>
      </c>
      <c r="D3852" t="s">
        <v>3063</v>
      </c>
      <c r="E3852" t="s">
        <v>3053</v>
      </c>
      <c r="F3852" t="s">
        <v>509</v>
      </c>
      <c r="G3852" t="s">
        <v>510</v>
      </c>
      <c r="H3852" t="s">
        <v>5635</v>
      </c>
      <c r="I3852">
        <v>47</v>
      </c>
      <c r="J3852">
        <v>0</v>
      </c>
      <c r="K3852">
        <v>0</v>
      </c>
      <c r="L3852">
        <v>47</v>
      </c>
      <c r="M3852">
        <v>0</v>
      </c>
      <c r="N3852">
        <v>0</v>
      </c>
      <c r="O3852">
        <v>0</v>
      </c>
    </row>
    <row r="3853" spans="1:15" x14ac:dyDescent="0.25">
      <c r="A3853" t="s">
        <v>924</v>
      </c>
      <c r="B3853" t="s">
        <v>2963</v>
      </c>
      <c r="C3853" t="s">
        <v>923</v>
      </c>
      <c r="D3853" t="s">
        <v>3063</v>
      </c>
      <c r="E3853" t="s">
        <v>3053</v>
      </c>
      <c r="F3853" t="s">
        <v>511</v>
      </c>
      <c r="G3853" t="s">
        <v>512</v>
      </c>
      <c r="H3853" t="s">
        <v>5636</v>
      </c>
      <c r="I3853">
        <v>17</v>
      </c>
      <c r="J3853">
        <v>0</v>
      </c>
      <c r="K3853">
        <v>0</v>
      </c>
      <c r="L3853">
        <v>17</v>
      </c>
      <c r="M3853">
        <v>0</v>
      </c>
      <c r="N3853">
        <v>0</v>
      </c>
      <c r="O3853">
        <v>0</v>
      </c>
    </row>
    <row r="3854" spans="1:15" x14ac:dyDescent="0.25">
      <c r="A3854" t="s">
        <v>10568</v>
      </c>
      <c r="B3854" t="s">
        <v>10567</v>
      </c>
      <c r="C3854" t="s">
        <v>927</v>
      </c>
      <c r="D3854" t="s">
        <v>3052</v>
      </c>
      <c r="E3854" t="s">
        <v>3053</v>
      </c>
      <c r="F3854" t="s">
        <v>511</v>
      </c>
      <c r="G3854" t="s">
        <v>512</v>
      </c>
      <c r="H3854" t="s">
        <v>11073</v>
      </c>
      <c r="I3854">
        <v>121</v>
      </c>
      <c r="J3854">
        <v>111</v>
      </c>
      <c r="K3854">
        <v>0</v>
      </c>
      <c r="L3854">
        <v>0</v>
      </c>
      <c r="M3854">
        <v>0</v>
      </c>
      <c r="N3854">
        <v>0</v>
      </c>
      <c r="O3854">
        <v>10</v>
      </c>
    </row>
    <row r="3855" spans="1:15" x14ac:dyDescent="0.25">
      <c r="A3855" t="s">
        <v>926</v>
      </c>
      <c r="B3855" t="s">
        <v>2923</v>
      </c>
      <c r="C3855" t="s">
        <v>927</v>
      </c>
      <c r="D3855" t="s">
        <v>3052</v>
      </c>
      <c r="E3855" t="s">
        <v>3053</v>
      </c>
      <c r="F3855" t="s">
        <v>511</v>
      </c>
      <c r="G3855" t="s">
        <v>512</v>
      </c>
      <c r="H3855" t="s">
        <v>5637</v>
      </c>
      <c r="I3855">
        <v>19</v>
      </c>
      <c r="J3855">
        <v>0</v>
      </c>
      <c r="K3855">
        <v>0</v>
      </c>
      <c r="L3855">
        <v>12</v>
      </c>
      <c r="M3855">
        <v>0</v>
      </c>
      <c r="N3855">
        <v>0</v>
      </c>
      <c r="O3855">
        <v>7</v>
      </c>
    </row>
    <row r="3856" spans="1:15" x14ac:dyDescent="0.25">
      <c r="A3856" t="s">
        <v>1568</v>
      </c>
      <c r="B3856" t="s">
        <v>2704</v>
      </c>
      <c r="C3856" t="s">
        <v>923</v>
      </c>
      <c r="D3856" t="s">
        <v>3063</v>
      </c>
      <c r="E3856" t="s">
        <v>3053</v>
      </c>
      <c r="F3856" t="s">
        <v>511</v>
      </c>
      <c r="G3856" t="s">
        <v>512</v>
      </c>
      <c r="H3856" t="s">
        <v>5638</v>
      </c>
      <c r="I3856">
        <v>25</v>
      </c>
      <c r="J3856">
        <v>0</v>
      </c>
      <c r="K3856">
        <v>0</v>
      </c>
      <c r="L3856">
        <v>0</v>
      </c>
      <c r="M3856">
        <v>25</v>
      </c>
      <c r="N3856">
        <v>0</v>
      </c>
      <c r="O3856">
        <v>0</v>
      </c>
    </row>
    <row r="3857" spans="1:15" x14ac:dyDescent="0.25">
      <c r="A3857" t="s">
        <v>931</v>
      </c>
      <c r="B3857" t="s">
        <v>1978</v>
      </c>
      <c r="C3857" t="s">
        <v>927</v>
      </c>
      <c r="D3857" t="s">
        <v>3052</v>
      </c>
      <c r="E3857" t="s">
        <v>3053</v>
      </c>
      <c r="F3857" t="s">
        <v>511</v>
      </c>
      <c r="G3857" t="s">
        <v>512</v>
      </c>
      <c r="H3857" t="s">
        <v>5639</v>
      </c>
      <c r="I3857">
        <v>139</v>
      </c>
      <c r="J3857">
        <v>86</v>
      </c>
      <c r="K3857">
        <v>0</v>
      </c>
      <c r="L3857">
        <v>0</v>
      </c>
      <c r="M3857">
        <v>0</v>
      </c>
      <c r="N3857">
        <v>0</v>
      </c>
      <c r="O3857">
        <v>53</v>
      </c>
    </row>
    <row r="3858" spans="1:15" x14ac:dyDescent="0.25">
      <c r="A3858" t="s">
        <v>1416</v>
      </c>
      <c r="B3858" t="s">
        <v>2029</v>
      </c>
      <c r="C3858" t="s">
        <v>923</v>
      </c>
      <c r="D3858" t="s">
        <v>3063</v>
      </c>
      <c r="E3858" t="s">
        <v>3053</v>
      </c>
      <c r="F3858" t="s">
        <v>511</v>
      </c>
      <c r="G3858" t="s">
        <v>512</v>
      </c>
      <c r="H3858" t="s">
        <v>12083</v>
      </c>
      <c r="I3858">
        <v>17</v>
      </c>
      <c r="J3858">
        <v>0</v>
      </c>
      <c r="K3858">
        <v>0</v>
      </c>
      <c r="L3858">
        <v>17</v>
      </c>
      <c r="M3858">
        <v>0</v>
      </c>
      <c r="N3858">
        <v>0</v>
      </c>
      <c r="O3858">
        <v>0</v>
      </c>
    </row>
    <row r="3859" spans="1:15" x14ac:dyDescent="0.25">
      <c r="A3859" t="s">
        <v>10638</v>
      </c>
      <c r="B3859" t="s">
        <v>2057</v>
      </c>
      <c r="C3859" t="s">
        <v>927</v>
      </c>
      <c r="D3859" t="s">
        <v>3052</v>
      </c>
      <c r="E3859" t="s">
        <v>3053</v>
      </c>
      <c r="F3859" t="s">
        <v>511</v>
      </c>
      <c r="G3859" t="s">
        <v>512</v>
      </c>
      <c r="H3859" t="s">
        <v>11074</v>
      </c>
      <c r="I3859">
        <v>13</v>
      </c>
      <c r="J3859">
        <v>0</v>
      </c>
      <c r="K3859">
        <v>0</v>
      </c>
      <c r="L3859">
        <v>13</v>
      </c>
      <c r="M3859">
        <v>0</v>
      </c>
      <c r="N3859">
        <v>0</v>
      </c>
      <c r="O3859">
        <v>0</v>
      </c>
    </row>
    <row r="3860" spans="1:15" x14ac:dyDescent="0.25">
      <c r="A3860" t="s">
        <v>1250</v>
      </c>
      <c r="B3860" t="s">
        <v>2012</v>
      </c>
      <c r="C3860" t="s">
        <v>923</v>
      </c>
      <c r="D3860" t="s">
        <v>3063</v>
      </c>
      <c r="E3860" t="s">
        <v>3053</v>
      </c>
      <c r="F3860" t="s">
        <v>511</v>
      </c>
      <c r="G3860" t="s">
        <v>512</v>
      </c>
      <c r="H3860" t="s">
        <v>5640</v>
      </c>
      <c r="I3860">
        <v>47</v>
      </c>
      <c r="J3860">
        <v>47</v>
      </c>
      <c r="K3860">
        <v>0</v>
      </c>
      <c r="L3860">
        <v>0</v>
      </c>
      <c r="M3860">
        <v>0</v>
      </c>
      <c r="N3860">
        <v>0</v>
      </c>
      <c r="O3860">
        <v>0</v>
      </c>
    </row>
    <row r="3861" spans="1:15" x14ac:dyDescent="0.25">
      <c r="A3861" t="s">
        <v>1615</v>
      </c>
      <c r="B3861" t="s">
        <v>2986</v>
      </c>
      <c r="C3861" t="s">
        <v>923</v>
      </c>
      <c r="D3861" t="s">
        <v>3063</v>
      </c>
      <c r="E3861" t="s">
        <v>3053</v>
      </c>
      <c r="F3861" t="s">
        <v>511</v>
      </c>
      <c r="G3861" t="s">
        <v>512</v>
      </c>
      <c r="H3861" t="s">
        <v>5641</v>
      </c>
      <c r="I3861">
        <v>97</v>
      </c>
      <c r="J3861">
        <v>0</v>
      </c>
      <c r="K3861">
        <v>0</v>
      </c>
      <c r="L3861">
        <v>97</v>
      </c>
      <c r="M3861">
        <v>0</v>
      </c>
      <c r="N3861">
        <v>0</v>
      </c>
      <c r="O3861">
        <v>0</v>
      </c>
    </row>
    <row r="3862" spans="1:15" x14ac:dyDescent="0.25">
      <c r="A3862" t="s">
        <v>937</v>
      </c>
      <c r="B3862" t="s">
        <v>1962</v>
      </c>
      <c r="C3862" t="s">
        <v>927</v>
      </c>
      <c r="D3862" t="s">
        <v>3052</v>
      </c>
      <c r="E3862" t="s">
        <v>3053</v>
      </c>
      <c r="F3862" t="s">
        <v>511</v>
      </c>
      <c r="G3862" t="s">
        <v>512</v>
      </c>
      <c r="H3862" t="s">
        <v>5642</v>
      </c>
      <c r="I3862">
        <v>42</v>
      </c>
      <c r="J3862">
        <v>0</v>
      </c>
      <c r="K3862">
        <v>0</v>
      </c>
      <c r="L3862">
        <v>0</v>
      </c>
      <c r="M3862">
        <v>0</v>
      </c>
      <c r="N3862">
        <v>0</v>
      </c>
      <c r="O3862">
        <v>42</v>
      </c>
    </row>
    <row r="3863" spans="1:15" x14ac:dyDescent="0.25">
      <c r="A3863" t="s">
        <v>938</v>
      </c>
      <c r="B3863" t="s">
        <v>2791</v>
      </c>
      <c r="C3863" t="s">
        <v>927</v>
      </c>
      <c r="D3863" t="s">
        <v>3052</v>
      </c>
      <c r="E3863" t="s">
        <v>3053</v>
      </c>
      <c r="F3863" t="s">
        <v>511</v>
      </c>
      <c r="G3863" t="s">
        <v>512</v>
      </c>
      <c r="H3863" t="s">
        <v>5643</v>
      </c>
      <c r="I3863">
        <v>71</v>
      </c>
      <c r="J3863">
        <v>47</v>
      </c>
      <c r="K3863">
        <v>0</v>
      </c>
      <c r="L3863">
        <v>0</v>
      </c>
      <c r="M3863">
        <v>0</v>
      </c>
      <c r="N3863">
        <v>0</v>
      </c>
      <c r="O3863">
        <v>24</v>
      </c>
    </row>
    <row r="3864" spans="1:15" x14ac:dyDescent="0.25">
      <c r="A3864" t="s">
        <v>940</v>
      </c>
      <c r="B3864" t="s">
        <v>2647</v>
      </c>
      <c r="C3864" t="s">
        <v>927</v>
      </c>
      <c r="D3864" t="s">
        <v>3052</v>
      </c>
      <c r="E3864" t="s">
        <v>3053</v>
      </c>
      <c r="F3864" t="s">
        <v>511</v>
      </c>
      <c r="G3864" t="s">
        <v>512</v>
      </c>
      <c r="H3864" t="s">
        <v>5644</v>
      </c>
      <c r="I3864">
        <v>37</v>
      </c>
      <c r="J3864">
        <v>0</v>
      </c>
      <c r="K3864">
        <v>0</v>
      </c>
      <c r="L3864">
        <v>0</v>
      </c>
      <c r="M3864">
        <v>37</v>
      </c>
      <c r="N3864">
        <v>0</v>
      </c>
      <c r="O3864">
        <v>0</v>
      </c>
    </row>
    <row r="3865" spans="1:15" x14ac:dyDescent="0.25">
      <c r="A3865" t="s">
        <v>1012</v>
      </c>
      <c r="B3865" t="s">
        <v>2911</v>
      </c>
      <c r="C3865" t="s">
        <v>927</v>
      </c>
      <c r="D3865" t="s">
        <v>3052</v>
      </c>
      <c r="E3865" t="s">
        <v>3053</v>
      </c>
      <c r="F3865" t="s">
        <v>511</v>
      </c>
      <c r="G3865" t="s">
        <v>512</v>
      </c>
      <c r="H3865" t="s">
        <v>5645</v>
      </c>
      <c r="I3865">
        <v>63</v>
      </c>
      <c r="J3865">
        <v>48</v>
      </c>
      <c r="K3865">
        <v>0</v>
      </c>
      <c r="L3865">
        <v>0</v>
      </c>
      <c r="M3865">
        <v>14</v>
      </c>
      <c r="N3865">
        <v>0</v>
      </c>
      <c r="O3865">
        <v>1</v>
      </c>
    </row>
    <row r="3866" spans="1:15" x14ac:dyDescent="0.25">
      <c r="A3866" t="s">
        <v>1013</v>
      </c>
      <c r="B3866" t="s">
        <v>1959</v>
      </c>
      <c r="C3866" t="s">
        <v>927</v>
      </c>
      <c r="D3866" t="s">
        <v>3052</v>
      </c>
      <c r="E3866" t="s">
        <v>3053</v>
      </c>
      <c r="F3866" t="s">
        <v>511</v>
      </c>
      <c r="G3866" t="s">
        <v>512</v>
      </c>
      <c r="H3866" t="s">
        <v>5646</v>
      </c>
      <c r="I3866">
        <v>12</v>
      </c>
      <c r="J3866">
        <v>0</v>
      </c>
      <c r="K3866">
        <v>0</v>
      </c>
      <c r="L3866">
        <v>12</v>
      </c>
      <c r="M3866">
        <v>0</v>
      </c>
      <c r="N3866">
        <v>0</v>
      </c>
      <c r="O3866">
        <v>0</v>
      </c>
    </row>
    <row r="3867" spans="1:15" x14ac:dyDescent="0.25">
      <c r="A3867" t="s">
        <v>1025</v>
      </c>
      <c r="B3867" t="s">
        <v>2893</v>
      </c>
      <c r="C3867" t="s">
        <v>927</v>
      </c>
      <c r="D3867" t="s">
        <v>3052</v>
      </c>
      <c r="E3867" t="s">
        <v>3053</v>
      </c>
      <c r="F3867" t="s">
        <v>511</v>
      </c>
      <c r="G3867" t="s">
        <v>512</v>
      </c>
      <c r="H3867" t="s">
        <v>14798</v>
      </c>
      <c r="I3867">
        <v>1</v>
      </c>
      <c r="J3867">
        <v>0</v>
      </c>
      <c r="K3867">
        <v>0</v>
      </c>
      <c r="L3867">
        <v>0</v>
      </c>
      <c r="M3867">
        <v>0</v>
      </c>
      <c r="N3867">
        <v>0</v>
      </c>
      <c r="O3867">
        <v>1</v>
      </c>
    </row>
    <row r="3868" spans="1:15" x14ac:dyDescent="0.25">
      <c r="A3868" t="s">
        <v>945</v>
      </c>
      <c r="B3868" t="s">
        <v>2668</v>
      </c>
      <c r="C3868" t="s">
        <v>927</v>
      </c>
      <c r="D3868" t="s">
        <v>3052</v>
      </c>
      <c r="E3868" t="s">
        <v>3053</v>
      </c>
      <c r="F3868" t="s">
        <v>511</v>
      </c>
      <c r="G3868" t="s">
        <v>512</v>
      </c>
      <c r="H3868" t="s">
        <v>5647</v>
      </c>
      <c r="I3868">
        <v>1</v>
      </c>
      <c r="J3868">
        <v>0</v>
      </c>
      <c r="K3868">
        <v>0</v>
      </c>
      <c r="L3868">
        <v>0</v>
      </c>
      <c r="M3868">
        <v>0</v>
      </c>
      <c r="N3868">
        <v>0</v>
      </c>
      <c r="O3868">
        <v>1</v>
      </c>
    </row>
    <row r="3869" spans="1:15" x14ac:dyDescent="0.25">
      <c r="A3869" t="s">
        <v>9828</v>
      </c>
      <c r="B3869" t="s">
        <v>2659</v>
      </c>
      <c r="C3869" t="s">
        <v>923</v>
      </c>
      <c r="D3869" t="s">
        <v>3063</v>
      </c>
      <c r="E3869" t="s">
        <v>3053</v>
      </c>
      <c r="F3869" t="s">
        <v>511</v>
      </c>
      <c r="G3869" t="s">
        <v>512</v>
      </c>
      <c r="H3869" t="s">
        <v>10305</v>
      </c>
      <c r="I3869">
        <v>4</v>
      </c>
      <c r="J3869">
        <v>4</v>
      </c>
      <c r="K3869">
        <v>0</v>
      </c>
      <c r="L3869">
        <v>0</v>
      </c>
      <c r="M3869">
        <v>0</v>
      </c>
      <c r="N3869">
        <v>0</v>
      </c>
      <c r="O3869">
        <v>0</v>
      </c>
    </row>
    <row r="3870" spans="1:15" x14ac:dyDescent="0.25">
      <c r="A3870" t="s">
        <v>951</v>
      </c>
      <c r="B3870" t="s">
        <v>2680</v>
      </c>
      <c r="C3870" t="s">
        <v>927</v>
      </c>
      <c r="D3870" t="s">
        <v>3052</v>
      </c>
      <c r="E3870" t="s">
        <v>3053</v>
      </c>
      <c r="F3870" t="s">
        <v>511</v>
      </c>
      <c r="G3870" t="s">
        <v>512</v>
      </c>
      <c r="H3870" t="s">
        <v>5648</v>
      </c>
      <c r="I3870">
        <v>45</v>
      </c>
      <c r="J3870">
        <v>45</v>
      </c>
      <c r="K3870">
        <v>0</v>
      </c>
      <c r="L3870">
        <v>0</v>
      </c>
      <c r="M3870">
        <v>0</v>
      </c>
      <c r="N3870">
        <v>0</v>
      </c>
      <c r="O3870">
        <v>0</v>
      </c>
    </row>
    <row r="3871" spans="1:15" x14ac:dyDescent="0.25">
      <c r="A3871" t="s">
        <v>1051</v>
      </c>
      <c r="B3871" t="s">
        <v>2995</v>
      </c>
      <c r="C3871" t="s">
        <v>927</v>
      </c>
      <c r="D3871" t="s">
        <v>3052</v>
      </c>
      <c r="E3871" t="s">
        <v>3053</v>
      </c>
      <c r="F3871" t="s">
        <v>511</v>
      </c>
      <c r="G3871" t="s">
        <v>512</v>
      </c>
      <c r="H3871" t="s">
        <v>5649</v>
      </c>
      <c r="I3871">
        <v>4</v>
      </c>
      <c r="J3871">
        <v>0</v>
      </c>
      <c r="K3871">
        <v>0</v>
      </c>
      <c r="L3871">
        <v>4</v>
      </c>
      <c r="M3871">
        <v>0</v>
      </c>
      <c r="N3871">
        <v>0</v>
      </c>
      <c r="O3871">
        <v>0</v>
      </c>
    </row>
    <row r="3872" spans="1:15" x14ac:dyDescent="0.25">
      <c r="A3872" t="s">
        <v>953</v>
      </c>
      <c r="B3872" t="s">
        <v>2014</v>
      </c>
      <c r="C3872" t="s">
        <v>927</v>
      </c>
      <c r="D3872" t="s">
        <v>3052</v>
      </c>
      <c r="E3872" t="s">
        <v>3053</v>
      </c>
      <c r="F3872" t="s">
        <v>511</v>
      </c>
      <c r="G3872" t="s">
        <v>512</v>
      </c>
      <c r="H3872" t="s">
        <v>5650</v>
      </c>
      <c r="I3872">
        <v>2</v>
      </c>
      <c r="J3872">
        <v>0</v>
      </c>
      <c r="K3872">
        <v>0</v>
      </c>
      <c r="L3872">
        <v>2</v>
      </c>
      <c r="M3872">
        <v>0</v>
      </c>
      <c r="N3872">
        <v>0</v>
      </c>
      <c r="O3872">
        <v>0</v>
      </c>
    </row>
    <row r="3873" spans="1:15" x14ac:dyDescent="0.25">
      <c r="A3873" t="s">
        <v>11720</v>
      </c>
      <c r="B3873" t="s">
        <v>10718</v>
      </c>
      <c r="C3873" t="s">
        <v>927</v>
      </c>
      <c r="D3873" t="s">
        <v>3052</v>
      </c>
      <c r="E3873" t="s">
        <v>3053</v>
      </c>
      <c r="F3873" t="s">
        <v>511</v>
      </c>
      <c r="G3873" t="s">
        <v>512</v>
      </c>
      <c r="H3873" t="s">
        <v>14799</v>
      </c>
      <c r="I3873">
        <v>7</v>
      </c>
      <c r="J3873">
        <v>0</v>
      </c>
      <c r="K3873">
        <v>0</v>
      </c>
      <c r="L3873">
        <v>0</v>
      </c>
      <c r="M3873">
        <v>0</v>
      </c>
      <c r="N3873">
        <v>0</v>
      </c>
      <c r="O3873">
        <v>7</v>
      </c>
    </row>
    <row r="3874" spans="1:15" x14ac:dyDescent="0.25">
      <c r="A3874" t="s">
        <v>9788</v>
      </c>
      <c r="B3874" t="s">
        <v>9871</v>
      </c>
      <c r="C3874" t="s">
        <v>927</v>
      </c>
      <c r="D3874" t="s">
        <v>3052</v>
      </c>
      <c r="E3874" t="s">
        <v>3053</v>
      </c>
      <c r="F3874" t="s">
        <v>511</v>
      </c>
      <c r="G3874" t="s">
        <v>512</v>
      </c>
      <c r="H3874" t="s">
        <v>11075</v>
      </c>
      <c r="I3874">
        <v>22</v>
      </c>
      <c r="J3874">
        <v>22</v>
      </c>
      <c r="K3874">
        <v>0</v>
      </c>
      <c r="L3874">
        <v>0</v>
      </c>
      <c r="M3874">
        <v>0</v>
      </c>
      <c r="N3874">
        <v>0</v>
      </c>
      <c r="O3874">
        <v>0</v>
      </c>
    </row>
    <row r="3875" spans="1:15" x14ac:dyDescent="0.25">
      <c r="A3875" t="s">
        <v>955</v>
      </c>
      <c r="B3875" t="s">
        <v>2660</v>
      </c>
      <c r="C3875" t="s">
        <v>927</v>
      </c>
      <c r="D3875" t="s">
        <v>3052</v>
      </c>
      <c r="E3875" t="s">
        <v>3053</v>
      </c>
      <c r="F3875" t="s">
        <v>511</v>
      </c>
      <c r="G3875" t="s">
        <v>512</v>
      </c>
      <c r="H3875" t="s">
        <v>5651</v>
      </c>
      <c r="I3875">
        <v>16</v>
      </c>
      <c r="J3875">
        <v>0</v>
      </c>
      <c r="K3875">
        <v>0</v>
      </c>
      <c r="L3875">
        <v>16</v>
      </c>
      <c r="M3875">
        <v>0</v>
      </c>
      <c r="N3875">
        <v>0</v>
      </c>
      <c r="O3875">
        <v>0</v>
      </c>
    </row>
    <row r="3876" spans="1:15" x14ac:dyDescent="0.25">
      <c r="A3876" t="s">
        <v>1654</v>
      </c>
      <c r="B3876" t="s">
        <v>2850</v>
      </c>
      <c r="C3876" t="s">
        <v>927</v>
      </c>
      <c r="D3876" t="s">
        <v>3052</v>
      </c>
      <c r="E3876" t="s">
        <v>3053</v>
      </c>
      <c r="F3876" t="s">
        <v>511</v>
      </c>
      <c r="G3876" t="s">
        <v>512</v>
      </c>
      <c r="H3876" t="s">
        <v>5652</v>
      </c>
      <c r="I3876">
        <v>24</v>
      </c>
      <c r="J3876">
        <v>0</v>
      </c>
      <c r="K3876">
        <v>0</v>
      </c>
      <c r="L3876">
        <v>4</v>
      </c>
      <c r="M3876">
        <v>20</v>
      </c>
      <c r="N3876">
        <v>0</v>
      </c>
      <c r="O3876">
        <v>0</v>
      </c>
    </row>
    <row r="3877" spans="1:15" x14ac:dyDescent="0.25">
      <c r="A3877" t="s">
        <v>11663</v>
      </c>
      <c r="B3877" t="s">
        <v>11768</v>
      </c>
      <c r="C3877" t="s">
        <v>927</v>
      </c>
      <c r="D3877" t="s">
        <v>3052</v>
      </c>
      <c r="E3877" t="s">
        <v>3053</v>
      </c>
      <c r="F3877" t="s">
        <v>511</v>
      </c>
      <c r="G3877" t="s">
        <v>512</v>
      </c>
      <c r="H3877" t="s">
        <v>12084</v>
      </c>
      <c r="I3877">
        <v>177</v>
      </c>
      <c r="J3877">
        <v>126</v>
      </c>
      <c r="K3877">
        <v>0</v>
      </c>
      <c r="L3877">
        <v>0</v>
      </c>
      <c r="M3877">
        <v>50</v>
      </c>
      <c r="N3877">
        <v>0</v>
      </c>
      <c r="O3877">
        <v>1</v>
      </c>
    </row>
    <row r="3878" spans="1:15" x14ac:dyDescent="0.25">
      <c r="A3878" t="s">
        <v>14374</v>
      </c>
      <c r="B3878" t="s">
        <v>1943</v>
      </c>
      <c r="C3878" t="s">
        <v>927</v>
      </c>
      <c r="D3878" t="s">
        <v>3052</v>
      </c>
      <c r="E3878" t="s">
        <v>3053</v>
      </c>
      <c r="F3878" t="s">
        <v>511</v>
      </c>
      <c r="G3878" t="s">
        <v>512</v>
      </c>
      <c r="H3878" t="s">
        <v>14800</v>
      </c>
      <c r="I3878">
        <v>14</v>
      </c>
      <c r="J3878">
        <v>0</v>
      </c>
      <c r="K3878">
        <v>0</v>
      </c>
      <c r="L3878">
        <v>0</v>
      </c>
      <c r="M3878">
        <v>0</v>
      </c>
      <c r="N3878">
        <v>0</v>
      </c>
      <c r="O3878">
        <v>14</v>
      </c>
    </row>
    <row r="3879" spans="1:15" x14ac:dyDescent="0.25">
      <c r="A3879" t="s">
        <v>962</v>
      </c>
      <c r="B3879" t="s">
        <v>2752</v>
      </c>
      <c r="C3879" t="s">
        <v>927</v>
      </c>
      <c r="D3879" t="s">
        <v>3052</v>
      </c>
      <c r="E3879" t="s">
        <v>3053</v>
      </c>
      <c r="F3879" t="s">
        <v>511</v>
      </c>
      <c r="G3879" t="s">
        <v>512</v>
      </c>
      <c r="H3879" t="s">
        <v>5653</v>
      </c>
      <c r="I3879">
        <v>45</v>
      </c>
      <c r="J3879">
        <v>45</v>
      </c>
      <c r="K3879">
        <v>0</v>
      </c>
      <c r="L3879">
        <v>0</v>
      </c>
      <c r="M3879">
        <v>0</v>
      </c>
      <c r="N3879">
        <v>0</v>
      </c>
      <c r="O3879">
        <v>0</v>
      </c>
    </row>
    <row r="3880" spans="1:15" x14ac:dyDescent="0.25">
      <c r="A3880" t="s">
        <v>964</v>
      </c>
      <c r="B3880" t="s">
        <v>1969</v>
      </c>
      <c r="C3880" t="s">
        <v>927</v>
      </c>
      <c r="D3880" t="s">
        <v>3052</v>
      </c>
      <c r="E3880" t="s">
        <v>3053</v>
      </c>
      <c r="F3880" t="s">
        <v>511</v>
      </c>
      <c r="G3880" t="s">
        <v>512</v>
      </c>
      <c r="H3880" t="s">
        <v>5654</v>
      </c>
      <c r="I3880">
        <v>62</v>
      </c>
      <c r="J3880">
        <v>39</v>
      </c>
      <c r="K3880">
        <v>0</v>
      </c>
      <c r="L3880">
        <v>0</v>
      </c>
      <c r="M3880">
        <v>0</v>
      </c>
      <c r="N3880">
        <v>0</v>
      </c>
      <c r="O3880">
        <v>23</v>
      </c>
    </row>
    <row r="3881" spans="1:15" x14ac:dyDescent="0.25">
      <c r="A3881" t="s">
        <v>1066</v>
      </c>
      <c r="B3881" t="s">
        <v>2557</v>
      </c>
      <c r="C3881" t="s">
        <v>927</v>
      </c>
      <c r="D3881" t="s">
        <v>3052</v>
      </c>
      <c r="E3881" t="s">
        <v>3053</v>
      </c>
      <c r="F3881" t="s">
        <v>511</v>
      </c>
      <c r="G3881" t="s">
        <v>512</v>
      </c>
      <c r="H3881" t="s">
        <v>5655</v>
      </c>
      <c r="I3881">
        <v>7</v>
      </c>
      <c r="J3881">
        <v>0</v>
      </c>
      <c r="K3881">
        <v>0</v>
      </c>
      <c r="L3881">
        <v>0</v>
      </c>
      <c r="M3881">
        <v>7</v>
      </c>
      <c r="N3881">
        <v>0</v>
      </c>
      <c r="O3881">
        <v>0</v>
      </c>
    </row>
    <row r="3882" spans="1:15" x14ac:dyDescent="0.25">
      <c r="A3882" t="s">
        <v>1069</v>
      </c>
      <c r="B3882" t="s">
        <v>2001</v>
      </c>
      <c r="C3882" t="s">
        <v>927</v>
      </c>
      <c r="D3882" t="s">
        <v>3052</v>
      </c>
      <c r="E3882" t="s">
        <v>3053</v>
      </c>
      <c r="F3882" t="s">
        <v>511</v>
      </c>
      <c r="G3882" t="s">
        <v>512</v>
      </c>
      <c r="H3882" t="s">
        <v>5656</v>
      </c>
      <c r="I3882">
        <v>3770</v>
      </c>
      <c r="J3882">
        <v>2812</v>
      </c>
      <c r="K3882">
        <v>0</v>
      </c>
      <c r="L3882">
        <v>6</v>
      </c>
      <c r="M3882">
        <v>876</v>
      </c>
      <c r="N3882">
        <v>0</v>
      </c>
      <c r="O3882">
        <v>76</v>
      </c>
    </row>
    <row r="3883" spans="1:15" x14ac:dyDescent="0.25">
      <c r="A3883" t="s">
        <v>966</v>
      </c>
      <c r="B3883" t="s">
        <v>2684</v>
      </c>
      <c r="C3883" t="s">
        <v>927</v>
      </c>
      <c r="D3883" t="s">
        <v>3052</v>
      </c>
      <c r="E3883" t="s">
        <v>3053</v>
      </c>
      <c r="F3883" t="s">
        <v>511</v>
      </c>
      <c r="G3883" t="s">
        <v>512</v>
      </c>
      <c r="H3883" t="s">
        <v>5657</v>
      </c>
      <c r="I3883">
        <v>130</v>
      </c>
      <c r="J3883">
        <v>91</v>
      </c>
      <c r="K3883">
        <v>0</v>
      </c>
      <c r="L3883">
        <v>0</v>
      </c>
      <c r="M3883">
        <v>0</v>
      </c>
      <c r="N3883">
        <v>0</v>
      </c>
      <c r="O3883">
        <v>39</v>
      </c>
    </row>
    <row r="3884" spans="1:15" x14ac:dyDescent="0.25">
      <c r="A3884" t="s">
        <v>1686</v>
      </c>
      <c r="B3884" t="s">
        <v>2988</v>
      </c>
      <c r="C3884" t="s">
        <v>923</v>
      </c>
      <c r="D3884" t="s">
        <v>3063</v>
      </c>
      <c r="E3884" t="s">
        <v>3053</v>
      </c>
      <c r="F3884" t="s">
        <v>511</v>
      </c>
      <c r="G3884" t="s">
        <v>512</v>
      </c>
      <c r="H3884" t="s">
        <v>5658</v>
      </c>
      <c r="I3884">
        <v>38</v>
      </c>
      <c r="J3884">
        <v>0</v>
      </c>
      <c r="K3884">
        <v>0</v>
      </c>
      <c r="L3884">
        <v>38</v>
      </c>
      <c r="M3884">
        <v>0</v>
      </c>
      <c r="N3884">
        <v>0</v>
      </c>
      <c r="O3884">
        <v>0</v>
      </c>
    </row>
    <row r="3885" spans="1:15" x14ac:dyDescent="0.25">
      <c r="A3885" t="s">
        <v>968</v>
      </c>
      <c r="B3885" t="s">
        <v>2091</v>
      </c>
      <c r="C3885" t="s">
        <v>927</v>
      </c>
      <c r="D3885" t="s">
        <v>3052</v>
      </c>
      <c r="E3885" t="s">
        <v>3053</v>
      </c>
      <c r="F3885" t="s">
        <v>511</v>
      </c>
      <c r="G3885" t="s">
        <v>512</v>
      </c>
      <c r="H3885" t="s">
        <v>5659</v>
      </c>
      <c r="I3885">
        <v>1332</v>
      </c>
      <c r="J3885">
        <v>1077</v>
      </c>
      <c r="K3885">
        <v>0</v>
      </c>
      <c r="L3885">
        <v>16</v>
      </c>
      <c r="M3885">
        <v>0</v>
      </c>
      <c r="N3885">
        <v>0</v>
      </c>
      <c r="O3885">
        <v>239</v>
      </c>
    </row>
    <row r="3886" spans="1:15" x14ac:dyDescent="0.25">
      <c r="A3886" t="s">
        <v>1080</v>
      </c>
      <c r="B3886" t="s">
        <v>2030</v>
      </c>
      <c r="C3886" t="s">
        <v>923</v>
      </c>
      <c r="D3886" t="s">
        <v>3063</v>
      </c>
      <c r="E3886" t="s">
        <v>3053</v>
      </c>
      <c r="F3886" t="s">
        <v>511</v>
      </c>
      <c r="G3886" t="s">
        <v>512</v>
      </c>
      <c r="H3886" t="s">
        <v>14801</v>
      </c>
      <c r="I3886">
        <v>2</v>
      </c>
      <c r="J3886">
        <v>0</v>
      </c>
      <c r="K3886">
        <v>0</v>
      </c>
      <c r="L3886">
        <v>2</v>
      </c>
      <c r="M3886">
        <v>0</v>
      </c>
      <c r="N3886">
        <v>0</v>
      </c>
      <c r="O3886">
        <v>0</v>
      </c>
    </row>
    <row r="3887" spans="1:15" x14ac:dyDescent="0.25">
      <c r="A3887" t="s">
        <v>1195</v>
      </c>
      <c r="B3887" t="s">
        <v>2924</v>
      </c>
      <c r="C3887" t="s">
        <v>927</v>
      </c>
      <c r="D3887" t="s">
        <v>3052</v>
      </c>
      <c r="E3887" t="s">
        <v>3053</v>
      </c>
      <c r="F3887" t="s">
        <v>513</v>
      </c>
      <c r="G3887" t="s">
        <v>514</v>
      </c>
      <c r="H3887" t="s">
        <v>5660</v>
      </c>
      <c r="I3887">
        <v>42</v>
      </c>
      <c r="J3887">
        <v>14</v>
      </c>
      <c r="K3887">
        <v>0</v>
      </c>
      <c r="L3887">
        <v>0</v>
      </c>
      <c r="M3887">
        <v>0</v>
      </c>
      <c r="N3887">
        <v>0</v>
      </c>
      <c r="O3887">
        <v>28</v>
      </c>
    </row>
    <row r="3888" spans="1:15" x14ac:dyDescent="0.25">
      <c r="A3888" t="s">
        <v>929</v>
      </c>
      <c r="B3888" t="s">
        <v>2999</v>
      </c>
      <c r="C3888" t="s">
        <v>927</v>
      </c>
      <c r="D3888" t="s">
        <v>3052</v>
      </c>
      <c r="E3888" t="s">
        <v>3053</v>
      </c>
      <c r="F3888" t="s">
        <v>513</v>
      </c>
      <c r="G3888" t="s">
        <v>514</v>
      </c>
      <c r="H3888" t="s">
        <v>5661</v>
      </c>
      <c r="I3888">
        <v>207</v>
      </c>
      <c r="J3888">
        <v>0</v>
      </c>
      <c r="K3888">
        <v>0</v>
      </c>
      <c r="L3888">
        <v>0</v>
      </c>
      <c r="M3888">
        <v>207</v>
      </c>
      <c r="N3888">
        <v>0</v>
      </c>
      <c r="O3888">
        <v>0</v>
      </c>
    </row>
    <row r="3889" spans="1:15" x14ac:dyDescent="0.25">
      <c r="A3889" t="s">
        <v>9784</v>
      </c>
      <c r="B3889" t="s">
        <v>1994</v>
      </c>
      <c r="C3889" t="s">
        <v>927</v>
      </c>
      <c r="D3889" t="s">
        <v>3052</v>
      </c>
      <c r="E3889" t="s">
        <v>3053</v>
      </c>
      <c r="F3889" t="s">
        <v>513</v>
      </c>
      <c r="G3889" t="s">
        <v>514</v>
      </c>
      <c r="H3889" t="s">
        <v>9950</v>
      </c>
      <c r="I3889">
        <v>4</v>
      </c>
      <c r="J3889">
        <v>0</v>
      </c>
      <c r="K3889">
        <v>0</v>
      </c>
      <c r="L3889">
        <v>4</v>
      </c>
      <c r="M3889">
        <v>0</v>
      </c>
      <c r="N3889">
        <v>0</v>
      </c>
      <c r="O3889">
        <v>0</v>
      </c>
    </row>
    <row r="3890" spans="1:15" x14ac:dyDescent="0.25">
      <c r="A3890" t="s">
        <v>1098</v>
      </c>
      <c r="B3890" t="s">
        <v>2730</v>
      </c>
      <c r="C3890" t="s">
        <v>923</v>
      </c>
      <c r="D3890" t="s">
        <v>3063</v>
      </c>
      <c r="E3890" t="s">
        <v>3053</v>
      </c>
      <c r="F3890" t="s">
        <v>513</v>
      </c>
      <c r="G3890" t="s">
        <v>514</v>
      </c>
      <c r="H3890" t="s">
        <v>5662</v>
      </c>
      <c r="I3890">
        <v>29</v>
      </c>
      <c r="J3890">
        <v>29</v>
      </c>
      <c r="K3890">
        <v>0</v>
      </c>
      <c r="L3890">
        <v>0</v>
      </c>
      <c r="M3890">
        <v>0</v>
      </c>
      <c r="N3890">
        <v>0</v>
      </c>
      <c r="O3890">
        <v>0</v>
      </c>
    </row>
    <row r="3891" spans="1:15" x14ac:dyDescent="0.25">
      <c r="A3891" t="s">
        <v>1219</v>
      </c>
      <c r="B3891" t="s">
        <v>2569</v>
      </c>
      <c r="C3891" t="s">
        <v>923</v>
      </c>
      <c r="D3891" t="s">
        <v>3063</v>
      </c>
      <c r="E3891" t="s">
        <v>3053</v>
      </c>
      <c r="F3891" t="s">
        <v>513</v>
      </c>
      <c r="G3891" t="s">
        <v>514</v>
      </c>
      <c r="H3891" t="s">
        <v>5663</v>
      </c>
      <c r="I3891">
        <v>12</v>
      </c>
      <c r="J3891">
        <v>0</v>
      </c>
      <c r="K3891">
        <v>0</v>
      </c>
      <c r="L3891">
        <v>12</v>
      </c>
      <c r="M3891">
        <v>0</v>
      </c>
      <c r="N3891">
        <v>0</v>
      </c>
      <c r="O3891">
        <v>0</v>
      </c>
    </row>
    <row r="3892" spans="1:15" x14ac:dyDescent="0.25">
      <c r="A3892" t="s">
        <v>933</v>
      </c>
      <c r="B3892" t="s">
        <v>2106</v>
      </c>
      <c r="C3892" t="s">
        <v>927</v>
      </c>
      <c r="D3892" t="s">
        <v>3052</v>
      </c>
      <c r="E3892" t="s">
        <v>3053</v>
      </c>
      <c r="F3892" t="s">
        <v>513</v>
      </c>
      <c r="G3892" t="s">
        <v>514</v>
      </c>
      <c r="H3892" t="s">
        <v>5664</v>
      </c>
      <c r="I3892">
        <v>638</v>
      </c>
      <c r="J3892">
        <v>496</v>
      </c>
      <c r="K3892">
        <v>0</v>
      </c>
      <c r="L3892">
        <v>14</v>
      </c>
      <c r="M3892">
        <v>0</v>
      </c>
      <c r="N3892">
        <v>4</v>
      </c>
      <c r="O3892">
        <v>128</v>
      </c>
    </row>
    <row r="3893" spans="1:15" x14ac:dyDescent="0.25">
      <c r="A3893" t="s">
        <v>1227</v>
      </c>
      <c r="B3893" t="s">
        <v>2023</v>
      </c>
      <c r="C3893" t="s">
        <v>923</v>
      </c>
      <c r="D3893" t="s">
        <v>3063</v>
      </c>
      <c r="E3893" t="s">
        <v>3053</v>
      </c>
      <c r="F3893" t="s">
        <v>513</v>
      </c>
      <c r="G3893" t="s">
        <v>514</v>
      </c>
      <c r="H3893" t="s">
        <v>10039</v>
      </c>
      <c r="I3893">
        <v>34</v>
      </c>
      <c r="J3893">
        <v>34</v>
      </c>
      <c r="K3893">
        <v>0</v>
      </c>
      <c r="L3893">
        <v>0</v>
      </c>
      <c r="M3893">
        <v>0</v>
      </c>
      <c r="N3893">
        <v>0</v>
      </c>
      <c r="O3893">
        <v>0</v>
      </c>
    </row>
    <row r="3894" spans="1:15" x14ac:dyDescent="0.25">
      <c r="A3894" t="s">
        <v>1111</v>
      </c>
      <c r="B3894" t="s">
        <v>2795</v>
      </c>
      <c r="C3894" t="s">
        <v>927</v>
      </c>
      <c r="D3894" t="s">
        <v>3052</v>
      </c>
      <c r="E3894" t="s">
        <v>3053</v>
      </c>
      <c r="F3894" t="s">
        <v>513</v>
      </c>
      <c r="G3894" t="s">
        <v>514</v>
      </c>
      <c r="H3894" t="s">
        <v>5665</v>
      </c>
      <c r="I3894">
        <v>585</v>
      </c>
      <c r="J3894">
        <v>430</v>
      </c>
      <c r="K3894">
        <v>0</v>
      </c>
      <c r="L3894">
        <v>8</v>
      </c>
      <c r="M3894">
        <v>0</v>
      </c>
      <c r="N3894">
        <v>0</v>
      </c>
      <c r="O3894">
        <v>147</v>
      </c>
    </row>
    <row r="3895" spans="1:15" x14ac:dyDescent="0.25">
      <c r="A3895" t="s">
        <v>1115</v>
      </c>
      <c r="B3895" t="s">
        <v>2677</v>
      </c>
      <c r="C3895" t="s">
        <v>927</v>
      </c>
      <c r="D3895" t="s">
        <v>3052</v>
      </c>
      <c r="E3895" t="s">
        <v>3053</v>
      </c>
      <c r="F3895" t="s">
        <v>513</v>
      </c>
      <c r="G3895" t="s">
        <v>514</v>
      </c>
      <c r="H3895" t="s">
        <v>14802</v>
      </c>
      <c r="I3895">
        <v>1</v>
      </c>
      <c r="J3895">
        <v>0</v>
      </c>
      <c r="K3895">
        <v>0</v>
      </c>
      <c r="L3895">
        <v>0</v>
      </c>
      <c r="M3895">
        <v>0</v>
      </c>
      <c r="N3895">
        <v>0</v>
      </c>
      <c r="O3895">
        <v>1</v>
      </c>
    </row>
    <row r="3896" spans="1:15" x14ac:dyDescent="0.25">
      <c r="A3896" t="s">
        <v>10638</v>
      </c>
      <c r="B3896" t="s">
        <v>2057</v>
      </c>
      <c r="C3896" t="s">
        <v>927</v>
      </c>
      <c r="D3896" t="s">
        <v>3052</v>
      </c>
      <c r="E3896" t="s">
        <v>3053</v>
      </c>
      <c r="F3896" t="s">
        <v>513</v>
      </c>
      <c r="G3896" t="s">
        <v>514</v>
      </c>
      <c r="H3896" t="s">
        <v>11076</v>
      </c>
      <c r="I3896">
        <v>1</v>
      </c>
      <c r="J3896">
        <v>0</v>
      </c>
      <c r="K3896">
        <v>0</v>
      </c>
      <c r="L3896">
        <v>1</v>
      </c>
      <c r="M3896">
        <v>0</v>
      </c>
      <c r="N3896">
        <v>0</v>
      </c>
      <c r="O3896">
        <v>0</v>
      </c>
    </row>
    <row r="3897" spans="1:15" x14ac:dyDescent="0.25">
      <c r="A3897" t="s">
        <v>1008</v>
      </c>
      <c r="B3897" t="s">
        <v>2928</v>
      </c>
      <c r="C3897" t="s">
        <v>927</v>
      </c>
      <c r="D3897" t="s">
        <v>3052</v>
      </c>
      <c r="E3897" t="s">
        <v>3053</v>
      </c>
      <c r="F3897" t="s">
        <v>513</v>
      </c>
      <c r="G3897" t="s">
        <v>514</v>
      </c>
      <c r="H3897" t="s">
        <v>5666</v>
      </c>
      <c r="I3897">
        <v>2</v>
      </c>
      <c r="J3897">
        <v>1</v>
      </c>
      <c r="K3897">
        <v>0</v>
      </c>
      <c r="L3897">
        <v>1</v>
      </c>
      <c r="M3897">
        <v>0</v>
      </c>
      <c r="N3897">
        <v>0</v>
      </c>
      <c r="O3897">
        <v>0</v>
      </c>
    </row>
    <row r="3898" spans="1:15" x14ac:dyDescent="0.25">
      <c r="A3898" t="s">
        <v>1010</v>
      </c>
      <c r="B3898" t="s">
        <v>2639</v>
      </c>
      <c r="C3898" t="s">
        <v>927</v>
      </c>
      <c r="D3898" t="s">
        <v>3052</v>
      </c>
      <c r="E3898" t="s">
        <v>3053</v>
      </c>
      <c r="F3898" t="s">
        <v>513</v>
      </c>
      <c r="G3898" t="s">
        <v>514</v>
      </c>
      <c r="H3898" t="s">
        <v>5667</v>
      </c>
      <c r="I3898">
        <v>119</v>
      </c>
      <c r="J3898">
        <v>119</v>
      </c>
      <c r="K3898">
        <v>0</v>
      </c>
      <c r="L3898">
        <v>0</v>
      </c>
      <c r="M3898">
        <v>0</v>
      </c>
      <c r="N3898">
        <v>3</v>
      </c>
      <c r="O3898">
        <v>0</v>
      </c>
    </row>
    <row r="3899" spans="1:15" x14ac:dyDescent="0.25">
      <c r="A3899" t="s">
        <v>938</v>
      </c>
      <c r="B3899" t="s">
        <v>2791</v>
      </c>
      <c r="C3899" t="s">
        <v>927</v>
      </c>
      <c r="D3899" t="s">
        <v>3052</v>
      </c>
      <c r="E3899" t="s">
        <v>3053</v>
      </c>
      <c r="F3899" t="s">
        <v>513</v>
      </c>
      <c r="G3899" t="s">
        <v>514</v>
      </c>
      <c r="H3899" t="s">
        <v>5668</v>
      </c>
      <c r="I3899">
        <v>44</v>
      </c>
      <c r="J3899">
        <v>22</v>
      </c>
      <c r="K3899">
        <v>0</v>
      </c>
      <c r="L3899">
        <v>0</v>
      </c>
      <c r="M3899">
        <v>0</v>
      </c>
      <c r="N3899">
        <v>0</v>
      </c>
      <c r="O3899">
        <v>22</v>
      </c>
    </row>
    <row r="3900" spans="1:15" x14ac:dyDescent="0.25">
      <c r="A3900" t="s">
        <v>940</v>
      </c>
      <c r="B3900" t="s">
        <v>2647</v>
      </c>
      <c r="C3900" t="s">
        <v>927</v>
      </c>
      <c r="D3900" t="s">
        <v>3052</v>
      </c>
      <c r="E3900" t="s">
        <v>3053</v>
      </c>
      <c r="F3900" t="s">
        <v>513</v>
      </c>
      <c r="G3900" t="s">
        <v>514</v>
      </c>
      <c r="H3900" t="s">
        <v>5669</v>
      </c>
      <c r="I3900">
        <v>113</v>
      </c>
      <c r="J3900">
        <v>0</v>
      </c>
      <c r="K3900">
        <v>0</v>
      </c>
      <c r="L3900">
        <v>8</v>
      </c>
      <c r="M3900">
        <v>100</v>
      </c>
      <c r="N3900">
        <v>0</v>
      </c>
      <c r="O3900">
        <v>5</v>
      </c>
    </row>
    <row r="3901" spans="1:15" x14ac:dyDescent="0.25">
      <c r="A3901" t="s">
        <v>1127</v>
      </c>
      <c r="B3901" t="s">
        <v>3034</v>
      </c>
      <c r="C3901" t="s">
        <v>927</v>
      </c>
      <c r="D3901" t="s">
        <v>3052</v>
      </c>
      <c r="E3901" t="s">
        <v>3053</v>
      </c>
      <c r="F3901" t="s">
        <v>513</v>
      </c>
      <c r="G3901" t="s">
        <v>514</v>
      </c>
      <c r="H3901" t="s">
        <v>5670</v>
      </c>
      <c r="I3901">
        <v>113</v>
      </c>
      <c r="J3901">
        <v>113</v>
      </c>
      <c r="K3901">
        <v>0</v>
      </c>
      <c r="L3901">
        <v>0</v>
      </c>
      <c r="M3901">
        <v>0</v>
      </c>
      <c r="N3901">
        <v>0</v>
      </c>
      <c r="O3901">
        <v>0</v>
      </c>
    </row>
    <row r="3902" spans="1:15" x14ac:dyDescent="0.25">
      <c r="A3902" t="s">
        <v>1025</v>
      </c>
      <c r="B3902" t="s">
        <v>2893</v>
      </c>
      <c r="C3902" t="s">
        <v>927</v>
      </c>
      <c r="D3902" t="s">
        <v>3052</v>
      </c>
      <c r="E3902" t="s">
        <v>3053</v>
      </c>
      <c r="F3902" t="s">
        <v>513</v>
      </c>
      <c r="G3902" t="s">
        <v>514</v>
      </c>
      <c r="H3902" t="s">
        <v>5671</v>
      </c>
      <c r="I3902">
        <v>1893</v>
      </c>
      <c r="J3902">
        <v>1167</v>
      </c>
      <c r="K3902">
        <v>0</v>
      </c>
      <c r="L3902">
        <v>49</v>
      </c>
      <c r="M3902">
        <v>177</v>
      </c>
      <c r="N3902">
        <v>8</v>
      </c>
      <c r="O3902">
        <v>500</v>
      </c>
    </row>
    <row r="3903" spans="1:15" x14ac:dyDescent="0.25">
      <c r="A3903" t="s">
        <v>1293</v>
      </c>
      <c r="B3903" t="s">
        <v>2910</v>
      </c>
      <c r="C3903" t="s">
        <v>927</v>
      </c>
      <c r="D3903" t="s">
        <v>3052</v>
      </c>
      <c r="E3903" t="s">
        <v>3053</v>
      </c>
      <c r="F3903" t="s">
        <v>513</v>
      </c>
      <c r="G3903" t="s">
        <v>514</v>
      </c>
      <c r="H3903" t="s">
        <v>5672</v>
      </c>
      <c r="I3903">
        <v>15</v>
      </c>
      <c r="J3903">
        <v>0</v>
      </c>
      <c r="K3903">
        <v>0</v>
      </c>
      <c r="L3903">
        <v>15</v>
      </c>
      <c r="M3903">
        <v>0</v>
      </c>
      <c r="N3903">
        <v>0</v>
      </c>
      <c r="O3903">
        <v>0</v>
      </c>
    </row>
    <row r="3904" spans="1:15" x14ac:dyDescent="0.25">
      <c r="A3904" t="s">
        <v>943</v>
      </c>
      <c r="B3904" t="s">
        <v>2694</v>
      </c>
      <c r="C3904" t="s">
        <v>927</v>
      </c>
      <c r="D3904" t="s">
        <v>3052</v>
      </c>
      <c r="E3904" t="s">
        <v>3053</v>
      </c>
      <c r="F3904" t="s">
        <v>513</v>
      </c>
      <c r="G3904" t="s">
        <v>514</v>
      </c>
      <c r="H3904" t="s">
        <v>5673</v>
      </c>
      <c r="I3904">
        <v>20</v>
      </c>
      <c r="J3904">
        <v>16</v>
      </c>
      <c r="K3904">
        <v>0</v>
      </c>
      <c r="L3904">
        <v>0</v>
      </c>
      <c r="M3904">
        <v>0</v>
      </c>
      <c r="N3904">
        <v>0</v>
      </c>
      <c r="O3904">
        <v>4</v>
      </c>
    </row>
    <row r="3905" spans="1:15" x14ac:dyDescent="0.25">
      <c r="A3905" t="s">
        <v>945</v>
      </c>
      <c r="B3905" t="s">
        <v>2668</v>
      </c>
      <c r="C3905" t="s">
        <v>927</v>
      </c>
      <c r="D3905" t="s">
        <v>3052</v>
      </c>
      <c r="E3905" t="s">
        <v>3053</v>
      </c>
      <c r="F3905" t="s">
        <v>513</v>
      </c>
      <c r="G3905" t="s">
        <v>514</v>
      </c>
      <c r="H3905" t="s">
        <v>5674</v>
      </c>
      <c r="I3905">
        <v>2</v>
      </c>
      <c r="J3905">
        <v>0</v>
      </c>
      <c r="K3905">
        <v>0</v>
      </c>
      <c r="L3905">
        <v>0</v>
      </c>
      <c r="M3905">
        <v>0</v>
      </c>
      <c r="N3905">
        <v>0</v>
      </c>
      <c r="O3905">
        <v>2</v>
      </c>
    </row>
    <row r="3906" spans="1:15" x14ac:dyDescent="0.25">
      <c r="A3906" t="s">
        <v>1131</v>
      </c>
      <c r="B3906" t="s">
        <v>2637</v>
      </c>
      <c r="C3906" t="s">
        <v>927</v>
      </c>
      <c r="D3906" t="s">
        <v>3052</v>
      </c>
      <c r="E3906" t="s">
        <v>3053</v>
      </c>
      <c r="F3906" t="s">
        <v>513</v>
      </c>
      <c r="G3906" t="s">
        <v>514</v>
      </c>
      <c r="H3906" t="s">
        <v>5675</v>
      </c>
      <c r="I3906">
        <v>2</v>
      </c>
      <c r="J3906">
        <v>0</v>
      </c>
      <c r="K3906">
        <v>0</v>
      </c>
      <c r="L3906">
        <v>0</v>
      </c>
      <c r="M3906">
        <v>0</v>
      </c>
      <c r="N3906">
        <v>0</v>
      </c>
      <c r="O3906">
        <v>2</v>
      </c>
    </row>
    <row r="3907" spans="1:15" x14ac:dyDescent="0.25">
      <c r="A3907" t="s">
        <v>1134</v>
      </c>
      <c r="B3907" t="s">
        <v>2118</v>
      </c>
      <c r="C3907" t="s">
        <v>927</v>
      </c>
      <c r="D3907" t="s">
        <v>3052</v>
      </c>
      <c r="E3907" t="s">
        <v>3053</v>
      </c>
      <c r="F3907" t="s">
        <v>513</v>
      </c>
      <c r="G3907" t="s">
        <v>514</v>
      </c>
      <c r="H3907" t="s">
        <v>5676</v>
      </c>
      <c r="I3907">
        <v>354</v>
      </c>
      <c r="J3907">
        <v>348</v>
      </c>
      <c r="K3907">
        <v>0</v>
      </c>
      <c r="L3907">
        <v>0</v>
      </c>
      <c r="M3907">
        <v>0</v>
      </c>
      <c r="N3907">
        <v>1</v>
      </c>
      <c r="O3907">
        <v>6</v>
      </c>
    </row>
    <row r="3908" spans="1:15" x14ac:dyDescent="0.25">
      <c r="A3908" t="s">
        <v>949</v>
      </c>
      <c r="B3908" t="s">
        <v>3035</v>
      </c>
      <c r="C3908" t="s">
        <v>927</v>
      </c>
      <c r="D3908" t="s">
        <v>3052</v>
      </c>
      <c r="E3908" t="s">
        <v>3053</v>
      </c>
      <c r="F3908" t="s">
        <v>513</v>
      </c>
      <c r="G3908" t="s">
        <v>514</v>
      </c>
      <c r="H3908" t="s">
        <v>5677</v>
      </c>
      <c r="I3908">
        <v>28</v>
      </c>
      <c r="J3908">
        <v>0</v>
      </c>
      <c r="K3908">
        <v>0</v>
      </c>
      <c r="L3908">
        <v>0</v>
      </c>
      <c r="M3908">
        <v>0</v>
      </c>
      <c r="N3908">
        <v>0</v>
      </c>
      <c r="O3908">
        <v>28</v>
      </c>
    </row>
    <row r="3909" spans="1:15" x14ac:dyDescent="0.25">
      <c r="A3909" t="s">
        <v>1041</v>
      </c>
      <c r="B3909" t="s">
        <v>2826</v>
      </c>
      <c r="C3909" t="s">
        <v>927</v>
      </c>
      <c r="D3909" t="s">
        <v>3052</v>
      </c>
      <c r="E3909" t="s">
        <v>3053</v>
      </c>
      <c r="F3909" t="s">
        <v>513</v>
      </c>
      <c r="G3909" t="s">
        <v>514</v>
      </c>
      <c r="H3909" t="s">
        <v>5678</v>
      </c>
      <c r="I3909">
        <v>42</v>
      </c>
      <c r="J3909">
        <v>0</v>
      </c>
      <c r="K3909">
        <v>0</v>
      </c>
      <c r="L3909">
        <v>0</v>
      </c>
      <c r="M3909">
        <v>0</v>
      </c>
      <c r="N3909">
        <v>0</v>
      </c>
      <c r="O3909">
        <v>42</v>
      </c>
    </row>
    <row r="3910" spans="1:15" x14ac:dyDescent="0.25">
      <c r="A3910" t="s">
        <v>1146</v>
      </c>
      <c r="B3910" t="s">
        <v>2117</v>
      </c>
      <c r="C3910" t="s">
        <v>927</v>
      </c>
      <c r="D3910" t="s">
        <v>3052</v>
      </c>
      <c r="E3910" t="s">
        <v>3053</v>
      </c>
      <c r="F3910" t="s">
        <v>513</v>
      </c>
      <c r="G3910" t="s">
        <v>514</v>
      </c>
      <c r="H3910" t="s">
        <v>5679</v>
      </c>
      <c r="I3910">
        <v>160</v>
      </c>
      <c r="J3910">
        <v>141</v>
      </c>
      <c r="K3910">
        <v>0</v>
      </c>
      <c r="L3910">
        <v>0</v>
      </c>
      <c r="M3910">
        <v>0</v>
      </c>
      <c r="N3910">
        <v>0</v>
      </c>
      <c r="O3910">
        <v>19</v>
      </c>
    </row>
    <row r="3911" spans="1:15" x14ac:dyDescent="0.25">
      <c r="A3911" t="s">
        <v>1155</v>
      </c>
      <c r="B3911" t="s">
        <v>2912</v>
      </c>
      <c r="C3911" t="s">
        <v>927</v>
      </c>
      <c r="D3911" t="s">
        <v>3052</v>
      </c>
      <c r="E3911" t="s">
        <v>3053</v>
      </c>
      <c r="F3911" t="s">
        <v>513</v>
      </c>
      <c r="G3911" t="s">
        <v>514</v>
      </c>
      <c r="H3911" t="s">
        <v>5680</v>
      </c>
      <c r="I3911">
        <v>1</v>
      </c>
      <c r="J3911">
        <v>0</v>
      </c>
      <c r="K3911">
        <v>0</v>
      </c>
      <c r="L3911">
        <v>0</v>
      </c>
      <c r="M3911">
        <v>0</v>
      </c>
      <c r="N3911">
        <v>0</v>
      </c>
      <c r="O3911">
        <v>1</v>
      </c>
    </row>
    <row r="3912" spans="1:15" x14ac:dyDescent="0.25">
      <c r="A3912" t="s">
        <v>11663</v>
      </c>
      <c r="B3912" t="s">
        <v>11768</v>
      </c>
      <c r="C3912" t="s">
        <v>927</v>
      </c>
      <c r="D3912" t="s">
        <v>3052</v>
      </c>
      <c r="E3912" t="s">
        <v>3053</v>
      </c>
      <c r="F3912" t="s">
        <v>513</v>
      </c>
      <c r="G3912" t="s">
        <v>514</v>
      </c>
      <c r="H3912" t="s">
        <v>12085</v>
      </c>
      <c r="I3912">
        <v>10</v>
      </c>
      <c r="J3912">
        <v>0</v>
      </c>
      <c r="K3912">
        <v>0</v>
      </c>
      <c r="L3912">
        <v>0</v>
      </c>
      <c r="M3912">
        <v>0</v>
      </c>
      <c r="N3912">
        <v>0</v>
      </c>
      <c r="O3912">
        <v>10</v>
      </c>
    </row>
    <row r="3913" spans="1:15" x14ac:dyDescent="0.25">
      <c r="A3913" t="s">
        <v>1159</v>
      </c>
      <c r="B3913" t="s">
        <v>2829</v>
      </c>
      <c r="C3913" t="s">
        <v>927</v>
      </c>
      <c r="D3913" t="s">
        <v>3052</v>
      </c>
      <c r="E3913" t="s">
        <v>3053</v>
      </c>
      <c r="F3913" t="s">
        <v>513</v>
      </c>
      <c r="G3913" t="s">
        <v>514</v>
      </c>
      <c r="H3913" t="s">
        <v>5681</v>
      </c>
      <c r="I3913">
        <v>881</v>
      </c>
      <c r="J3913">
        <v>523</v>
      </c>
      <c r="K3913">
        <v>290</v>
      </c>
      <c r="L3913">
        <v>19</v>
      </c>
      <c r="M3913">
        <v>0</v>
      </c>
      <c r="N3913">
        <v>2</v>
      </c>
      <c r="O3913">
        <v>49</v>
      </c>
    </row>
    <row r="3914" spans="1:15" x14ac:dyDescent="0.25">
      <c r="A3914" t="s">
        <v>1069</v>
      </c>
      <c r="B3914" t="s">
        <v>2001</v>
      </c>
      <c r="C3914" t="s">
        <v>927</v>
      </c>
      <c r="D3914" t="s">
        <v>3052</v>
      </c>
      <c r="E3914" t="s">
        <v>3053</v>
      </c>
      <c r="F3914" t="s">
        <v>513</v>
      </c>
      <c r="G3914" t="s">
        <v>514</v>
      </c>
      <c r="H3914" t="s">
        <v>5682</v>
      </c>
      <c r="I3914">
        <v>400</v>
      </c>
      <c r="J3914">
        <v>400</v>
      </c>
      <c r="K3914">
        <v>0</v>
      </c>
      <c r="L3914">
        <v>0</v>
      </c>
      <c r="M3914">
        <v>0</v>
      </c>
      <c r="N3914">
        <v>0</v>
      </c>
      <c r="O3914">
        <v>0</v>
      </c>
    </row>
    <row r="3915" spans="1:15" x14ac:dyDescent="0.25">
      <c r="A3915" t="s">
        <v>1072</v>
      </c>
      <c r="B3915" t="s">
        <v>2907</v>
      </c>
      <c r="C3915" t="s">
        <v>927</v>
      </c>
      <c r="D3915" t="s">
        <v>3052</v>
      </c>
      <c r="E3915" t="s">
        <v>3053</v>
      </c>
      <c r="F3915" t="s">
        <v>513</v>
      </c>
      <c r="G3915" t="s">
        <v>514</v>
      </c>
      <c r="H3915" t="s">
        <v>5683</v>
      </c>
      <c r="I3915">
        <v>224</v>
      </c>
      <c r="J3915">
        <v>82</v>
      </c>
      <c r="K3915">
        <v>0</v>
      </c>
      <c r="L3915">
        <v>36</v>
      </c>
      <c r="M3915">
        <v>8</v>
      </c>
      <c r="N3915">
        <v>0</v>
      </c>
      <c r="O3915">
        <v>98</v>
      </c>
    </row>
    <row r="3916" spans="1:15" x14ac:dyDescent="0.25">
      <c r="A3916" t="s">
        <v>1078</v>
      </c>
      <c r="B3916" t="s">
        <v>1950</v>
      </c>
      <c r="C3916" t="s">
        <v>923</v>
      </c>
      <c r="D3916" t="s">
        <v>3063</v>
      </c>
      <c r="E3916" t="s">
        <v>3053</v>
      </c>
      <c r="F3916" t="s">
        <v>513</v>
      </c>
      <c r="G3916" t="s">
        <v>514</v>
      </c>
      <c r="H3916" t="s">
        <v>5684</v>
      </c>
      <c r="I3916">
        <v>17</v>
      </c>
      <c r="J3916">
        <v>0</v>
      </c>
      <c r="K3916">
        <v>0</v>
      </c>
      <c r="L3916">
        <v>17</v>
      </c>
      <c r="M3916">
        <v>0</v>
      </c>
      <c r="N3916">
        <v>0</v>
      </c>
      <c r="O3916">
        <v>0</v>
      </c>
    </row>
    <row r="3917" spans="1:15" x14ac:dyDescent="0.25">
      <c r="A3917" t="s">
        <v>1080</v>
      </c>
      <c r="B3917" t="s">
        <v>2030</v>
      </c>
      <c r="C3917" t="s">
        <v>923</v>
      </c>
      <c r="D3917" t="s">
        <v>3063</v>
      </c>
      <c r="E3917" t="s">
        <v>3053</v>
      </c>
      <c r="F3917" t="s">
        <v>513</v>
      </c>
      <c r="G3917" t="s">
        <v>514</v>
      </c>
      <c r="H3917" t="s">
        <v>5685</v>
      </c>
      <c r="I3917">
        <v>4</v>
      </c>
      <c r="J3917">
        <v>0</v>
      </c>
      <c r="K3917">
        <v>0</v>
      </c>
      <c r="L3917">
        <v>4</v>
      </c>
      <c r="M3917">
        <v>0</v>
      </c>
      <c r="N3917">
        <v>0</v>
      </c>
      <c r="O3917">
        <v>0</v>
      </c>
    </row>
    <row r="3918" spans="1:15" x14ac:dyDescent="0.25">
      <c r="A3918" t="s">
        <v>1399</v>
      </c>
      <c r="B3918" t="s">
        <v>2903</v>
      </c>
      <c r="C3918" t="s">
        <v>923</v>
      </c>
      <c r="D3918" t="s">
        <v>3063</v>
      </c>
      <c r="E3918" t="s">
        <v>3053</v>
      </c>
      <c r="F3918" t="s">
        <v>513</v>
      </c>
      <c r="G3918" t="s">
        <v>514</v>
      </c>
      <c r="H3918" t="s">
        <v>5686</v>
      </c>
      <c r="I3918">
        <v>18</v>
      </c>
      <c r="J3918">
        <v>18</v>
      </c>
      <c r="K3918">
        <v>0</v>
      </c>
      <c r="L3918">
        <v>0</v>
      </c>
      <c r="M3918">
        <v>0</v>
      </c>
      <c r="N3918">
        <v>0</v>
      </c>
      <c r="O3918">
        <v>0</v>
      </c>
    </row>
    <row r="3919" spans="1:15" x14ac:dyDescent="0.25">
      <c r="A3919" t="s">
        <v>926</v>
      </c>
      <c r="B3919" t="s">
        <v>2923</v>
      </c>
      <c r="C3919" t="s">
        <v>927</v>
      </c>
      <c r="D3919" t="s">
        <v>3052</v>
      </c>
      <c r="E3919" t="s">
        <v>3053</v>
      </c>
      <c r="F3919" t="s">
        <v>515</v>
      </c>
      <c r="G3919" t="s">
        <v>516</v>
      </c>
      <c r="H3919" t="s">
        <v>11590</v>
      </c>
      <c r="I3919">
        <v>45</v>
      </c>
      <c r="J3919">
        <v>0</v>
      </c>
      <c r="K3919">
        <v>0</v>
      </c>
      <c r="L3919">
        <v>15</v>
      </c>
      <c r="M3919">
        <v>0</v>
      </c>
      <c r="N3919">
        <v>0</v>
      </c>
      <c r="O3919">
        <v>30</v>
      </c>
    </row>
    <row r="3920" spans="1:15" x14ac:dyDescent="0.25">
      <c r="A3920" t="s">
        <v>929</v>
      </c>
      <c r="B3920" t="s">
        <v>2999</v>
      </c>
      <c r="C3920" t="s">
        <v>927</v>
      </c>
      <c r="D3920" t="s">
        <v>3052</v>
      </c>
      <c r="E3920" t="s">
        <v>3053</v>
      </c>
      <c r="F3920" t="s">
        <v>515</v>
      </c>
      <c r="G3920" t="s">
        <v>516</v>
      </c>
      <c r="H3920" t="s">
        <v>11591</v>
      </c>
      <c r="I3920">
        <v>121</v>
      </c>
      <c r="J3920">
        <v>0</v>
      </c>
      <c r="K3920">
        <v>0</v>
      </c>
      <c r="L3920">
        <v>0</v>
      </c>
      <c r="M3920">
        <v>121</v>
      </c>
      <c r="N3920">
        <v>1</v>
      </c>
      <c r="O3920">
        <v>0</v>
      </c>
    </row>
    <row r="3921" spans="1:15" x14ac:dyDescent="0.25">
      <c r="A3921" t="s">
        <v>9784</v>
      </c>
      <c r="B3921" t="s">
        <v>1994</v>
      </c>
      <c r="C3921" t="s">
        <v>927</v>
      </c>
      <c r="D3921" t="s">
        <v>3052</v>
      </c>
      <c r="E3921" t="s">
        <v>3053</v>
      </c>
      <c r="F3921" t="s">
        <v>515</v>
      </c>
      <c r="G3921" t="s">
        <v>516</v>
      </c>
      <c r="H3921" t="s">
        <v>11592</v>
      </c>
      <c r="I3921">
        <v>4</v>
      </c>
      <c r="J3921">
        <v>0</v>
      </c>
      <c r="K3921">
        <v>0</v>
      </c>
      <c r="L3921">
        <v>4</v>
      </c>
      <c r="M3921">
        <v>0</v>
      </c>
      <c r="N3921">
        <v>0</v>
      </c>
      <c r="O3921">
        <v>0</v>
      </c>
    </row>
    <row r="3922" spans="1:15" x14ac:dyDescent="0.25">
      <c r="A3922" t="s">
        <v>983</v>
      </c>
      <c r="B3922" t="s">
        <v>2069</v>
      </c>
      <c r="C3922" t="s">
        <v>927</v>
      </c>
      <c r="D3922" t="s">
        <v>3052</v>
      </c>
      <c r="E3922" t="s">
        <v>3053</v>
      </c>
      <c r="F3922" t="s">
        <v>515</v>
      </c>
      <c r="G3922" t="s">
        <v>516</v>
      </c>
      <c r="H3922" t="s">
        <v>11593</v>
      </c>
      <c r="I3922">
        <v>393</v>
      </c>
      <c r="J3922">
        <v>357</v>
      </c>
      <c r="K3922">
        <v>0</v>
      </c>
      <c r="L3922">
        <v>0</v>
      </c>
      <c r="M3922">
        <v>0</v>
      </c>
      <c r="N3922">
        <v>0</v>
      </c>
      <c r="O3922">
        <v>36</v>
      </c>
    </row>
    <row r="3923" spans="1:15" x14ac:dyDescent="0.25">
      <c r="A3923" t="s">
        <v>1715</v>
      </c>
      <c r="B3923" t="s">
        <v>2136</v>
      </c>
      <c r="C3923" t="s">
        <v>927</v>
      </c>
      <c r="D3923" t="s">
        <v>3052</v>
      </c>
      <c r="E3923" t="s">
        <v>3053</v>
      </c>
      <c r="F3923" t="s">
        <v>515</v>
      </c>
      <c r="G3923" t="s">
        <v>516</v>
      </c>
      <c r="H3923" t="s">
        <v>11594</v>
      </c>
      <c r="I3923">
        <v>1310</v>
      </c>
      <c r="J3923">
        <v>974</v>
      </c>
      <c r="K3923">
        <v>0</v>
      </c>
      <c r="L3923">
        <v>49</v>
      </c>
      <c r="M3923">
        <v>62</v>
      </c>
      <c r="N3923">
        <v>0</v>
      </c>
      <c r="O3923">
        <v>225</v>
      </c>
    </row>
    <row r="3924" spans="1:15" x14ac:dyDescent="0.25">
      <c r="A3924" t="s">
        <v>9841</v>
      </c>
      <c r="B3924" t="s">
        <v>3026</v>
      </c>
      <c r="C3924" t="s">
        <v>927</v>
      </c>
      <c r="D3924" t="s">
        <v>3052</v>
      </c>
      <c r="E3924" t="s">
        <v>3053</v>
      </c>
      <c r="F3924" t="s">
        <v>515</v>
      </c>
      <c r="G3924" t="s">
        <v>516</v>
      </c>
      <c r="H3924" t="s">
        <v>11595</v>
      </c>
      <c r="I3924">
        <v>5787</v>
      </c>
      <c r="J3924">
        <v>4673</v>
      </c>
      <c r="K3924">
        <v>0</v>
      </c>
      <c r="L3924">
        <v>61</v>
      </c>
      <c r="M3924">
        <v>903</v>
      </c>
      <c r="N3924">
        <v>52</v>
      </c>
      <c r="O3924">
        <v>150</v>
      </c>
    </row>
    <row r="3925" spans="1:15" x14ac:dyDescent="0.25">
      <c r="A3925" t="s">
        <v>935</v>
      </c>
      <c r="B3925" t="s">
        <v>1960</v>
      </c>
      <c r="C3925" t="s">
        <v>923</v>
      </c>
      <c r="D3925" t="s">
        <v>3063</v>
      </c>
      <c r="E3925" t="s">
        <v>3053</v>
      </c>
      <c r="F3925" t="s">
        <v>515</v>
      </c>
      <c r="G3925" t="s">
        <v>516</v>
      </c>
      <c r="H3925" t="s">
        <v>11596</v>
      </c>
      <c r="I3925">
        <v>3</v>
      </c>
      <c r="J3925">
        <v>0</v>
      </c>
      <c r="K3925">
        <v>0</v>
      </c>
      <c r="L3925">
        <v>3</v>
      </c>
      <c r="M3925">
        <v>0</v>
      </c>
      <c r="N3925">
        <v>0</v>
      </c>
      <c r="O3925">
        <v>0</v>
      </c>
    </row>
    <row r="3926" spans="1:15" x14ac:dyDescent="0.25">
      <c r="A3926" t="s">
        <v>11660</v>
      </c>
      <c r="B3926" t="s">
        <v>2041</v>
      </c>
      <c r="C3926" t="s">
        <v>923</v>
      </c>
      <c r="D3926" t="s">
        <v>3063</v>
      </c>
      <c r="E3926" t="s">
        <v>3053</v>
      </c>
      <c r="F3926" t="s">
        <v>515</v>
      </c>
      <c r="G3926" t="s">
        <v>516</v>
      </c>
      <c r="H3926" t="s">
        <v>12086</v>
      </c>
      <c r="I3926">
        <v>1</v>
      </c>
      <c r="J3926">
        <v>0</v>
      </c>
      <c r="K3926">
        <v>0</v>
      </c>
      <c r="L3926">
        <v>1</v>
      </c>
      <c r="M3926">
        <v>0</v>
      </c>
      <c r="N3926">
        <v>0</v>
      </c>
      <c r="O3926">
        <v>0</v>
      </c>
    </row>
    <row r="3927" spans="1:15" x14ac:dyDescent="0.25">
      <c r="A3927" t="s">
        <v>10638</v>
      </c>
      <c r="B3927" t="s">
        <v>2057</v>
      </c>
      <c r="C3927" t="s">
        <v>927</v>
      </c>
      <c r="D3927" t="s">
        <v>3052</v>
      </c>
      <c r="E3927" t="s">
        <v>3053</v>
      </c>
      <c r="F3927" t="s">
        <v>515</v>
      </c>
      <c r="G3927" t="s">
        <v>516</v>
      </c>
      <c r="H3927" t="s">
        <v>12087</v>
      </c>
      <c r="I3927">
        <v>9</v>
      </c>
      <c r="J3927">
        <v>0</v>
      </c>
      <c r="K3927">
        <v>0</v>
      </c>
      <c r="L3927">
        <v>9</v>
      </c>
      <c r="M3927">
        <v>0</v>
      </c>
      <c r="N3927">
        <v>0</v>
      </c>
      <c r="O3927">
        <v>0</v>
      </c>
    </row>
    <row r="3928" spans="1:15" x14ac:dyDescent="0.25">
      <c r="A3928" t="s">
        <v>10643</v>
      </c>
      <c r="B3928" t="s">
        <v>2987</v>
      </c>
      <c r="C3928" t="s">
        <v>927</v>
      </c>
      <c r="D3928" t="s">
        <v>3052</v>
      </c>
      <c r="E3928" t="s">
        <v>3053</v>
      </c>
      <c r="F3928" t="s">
        <v>515</v>
      </c>
      <c r="G3928" t="s">
        <v>516</v>
      </c>
      <c r="H3928" t="s">
        <v>11597</v>
      </c>
      <c r="I3928">
        <v>85</v>
      </c>
      <c r="J3928">
        <v>0</v>
      </c>
      <c r="K3928">
        <v>0</v>
      </c>
      <c r="L3928">
        <v>0</v>
      </c>
      <c r="M3928">
        <v>0</v>
      </c>
      <c r="N3928">
        <v>0</v>
      </c>
      <c r="O3928">
        <v>85</v>
      </c>
    </row>
    <row r="3929" spans="1:15" x14ac:dyDescent="0.25">
      <c r="A3929" t="s">
        <v>937</v>
      </c>
      <c r="B3929" t="s">
        <v>1962</v>
      </c>
      <c r="C3929" t="s">
        <v>927</v>
      </c>
      <c r="D3929" t="s">
        <v>3052</v>
      </c>
      <c r="E3929" t="s">
        <v>3053</v>
      </c>
      <c r="F3929" t="s">
        <v>515</v>
      </c>
      <c r="G3929" t="s">
        <v>516</v>
      </c>
      <c r="H3929" t="s">
        <v>11598</v>
      </c>
      <c r="I3929">
        <v>28</v>
      </c>
      <c r="J3929">
        <v>0</v>
      </c>
      <c r="K3929">
        <v>0</v>
      </c>
      <c r="L3929">
        <v>0</v>
      </c>
      <c r="M3929">
        <v>0</v>
      </c>
      <c r="N3929">
        <v>0</v>
      </c>
      <c r="O3929">
        <v>28</v>
      </c>
    </row>
    <row r="3930" spans="1:15" x14ac:dyDescent="0.25">
      <c r="A3930" t="s">
        <v>938</v>
      </c>
      <c r="B3930" t="s">
        <v>2791</v>
      </c>
      <c r="C3930" t="s">
        <v>927</v>
      </c>
      <c r="D3930" t="s">
        <v>3052</v>
      </c>
      <c r="E3930" t="s">
        <v>3053</v>
      </c>
      <c r="F3930" t="s">
        <v>515</v>
      </c>
      <c r="G3930" t="s">
        <v>516</v>
      </c>
      <c r="H3930" t="s">
        <v>11599</v>
      </c>
      <c r="I3930">
        <v>37</v>
      </c>
      <c r="J3930">
        <v>0</v>
      </c>
      <c r="K3930">
        <v>0</v>
      </c>
      <c r="L3930">
        <v>37</v>
      </c>
      <c r="M3930">
        <v>0</v>
      </c>
      <c r="N3930">
        <v>0</v>
      </c>
      <c r="O3930">
        <v>0</v>
      </c>
    </row>
    <row r="3931" spans="1:15" x14ac:dyDescent="0.25">
      <c r="A3931" t="s">
        <v>940</v>
      </c>
      <c r="B3931" t="s">
        <v>2647</v>
      </c>
      <c r="C3931" t="s">
        <v>927</v>
      </c>
      <c r="D3931" t="s">
        <v>3052</v>
      </c>
      <c r="E3931" t="s">
        <v>3053</v>
      </c>
      <c r="F3931" t="s">
        <v>515</v>
      </c>
      <c r="G3931" t="s">
        <v>516</v>
      </c>
      <c r="H3931" t="s">
        <v>11600</v>
      </c>
      <c r="I3931">
        <v>85</v>
      </c>
      <c r="J3931">
        <v>0</v>
      </c>
      <c r="K3931">
        <v>0</v>
      </c>
      <c r="L3931">
        <v>0</v>
      </c>
      <c r="M3931">
        <v>85</v>
      </c>
      <c r="N3931">
        <v>0</v>
      </c>
      <c r="O3931">
        <v>0</v>
      </c>
    </row>
    <row r="3932" spans="1:15" x14ac:dyDescent="0.25">
      <c r="A3932" t="s">
        <v>1013</v>
      </c>
      <c r="B3932" t="s">
        <v>1959</v>
      </c>
      <c r="C3932" t="s">
        <v>927</v>
      </c>
      <c r="D3932" t="s">
        <v>3052</v>
      </c>
      <c r="E3932" t="s">
        <v>3053</v>
      </c>
      <c r="F3932" t="s">
        <v>515</v>
      </c>
      <c r="G3932" t="s">
        <v>516</v>
      </c>
      <c r="H3932" t="s">
        <v>11601</v>
      </c>
      <c r="I3932">
        <v>16</v>
      </c>
      <c r="J3932">
        <v>0</v>
      </c>
      <c r="K3932">
        <v>0</v>
      </c>
      <c r="L3932">
        <v>16</v>
      </c>
      <c r="M3932">
        <v>0</v>
      </c>
      <c r="N3932">
        <v>0</v>
      </c>
      <c r="O3932">
        <v>0</v>
      </c>
    </row>
    <row r="3933" spans="1:15" x14ac:dyDescent="0.25">
      <c r="A3933" t="s">
        <v>10667</v>
      </c>
      <c r="B3933" t="s">
        <v>10666</v>
      </c>
      <c r="C3933" t="s">
        <v>927</v>
      </c>
      <c r="D3933" t="s">
        <v>3052</v>
      </c>
      <c r="E3933" t="s">
        <v>3053</v>
      </c>
      <c r="F3933" t="s">
        <v>515</v>
      </c>
      <c r="G3933" t="s">
        <v>516</v>
      </c>
      <c r="H3933" t="s">
        <v>11602</v>
      </c>
      <c r="I3933">
        <v>17</v>
      </c>
      <c r="J3933">
        <v>17</v>
      </c>
      <c r="K3933">
        <v>0</v>
      </c>
      <c r="L3933">
        <v>0</v>
      </c>
      <c r="M3933">
        <v>0</v>
      </c>
      <c r="N3933">
        <v>0</v>
      </c>
      <c r="O3933">
        <v>0</v>
      </c>
    </row>
    <row r="3934" spans="1:15" x14ac:dyDescent="0.25">
      <c r="A3934" t="s">
        <v>1126</v>
      </c>
      <c r="B3934" t="s">
        <v>2130</v>
      </c>
      <c r="C3934" t="s">
        <v>927</v>
      </c>
      <c r="D3934" t="s">
        <v>3052</v>
      </c>
      <c r="E3934" t="s">
        <v>3053</v>
      </c>
      <c r="F3934" t="s">
        <v>515</v>
      </c>
      <c r="G3934" t="s">
        <v>516</v>
      </c>
      <c r="H3934" t="s">
        <v>11603</v>
      </c>
      <c r="I3934">
        <v>62</v>
      </c>
      <c r="J3934">
        <v>15</v>
      </c>
      <c r="K3934">
        <v>0</v>
      </c>
      <c r="L3934">
        <v>0</v>
      </c>
      <c r="M3934">
        <v>0</v>
      </c>
      <c r="N3934">
        <v>0</v>
      </c>
      <c r="O3934">
        <v>47</v>
      </c>
    </row>
    <row r="3935" spans="1:15" x14ac:dyDescent="0.25">
      <c r="A3935" t="s">
        <v>1293</v>
      </c>
      <c r="B3935" t="s">
        <v>2910</v>
      </c>
      <c r="C3935" t="s">
        <v>927</v>
      </c>
      <c r="D3935" t="s">
        <v>3052</v>
      </c>
      <c r="E3935" t="s">
        <v>3053</v>
      </c>
      <c r="F3935" t="s">
        <v>515</v>
      </c>
      <c r="G3935" t="s">
        <v>516</v>
      </c>
      <c r="H3935" t="s">
        <v>14803</v>
      </c>
      <c r="I3935">
        <v>1</v>
      </c>
      <c r="J3935">
        <v>0</v>
      </c>
      <c r="K3935">
        <v>0</v>
      </c>
      <c r="L3935">
        <v>1</v>
      </c>
      <c r="M3935">
        <v>0</v>
      </c>
      <c r="N3935">
        <v>0</v>
      </c>
      <c r="O3935">
        <v>0</v>
      </c>
    </row>
    <row r="3936" spans="1:15" x14ac:dyDescent="0.25">
      <c r="A3936" t="s">
        <v>1030</v>
      </c>
      <c r="B3936" t="s">
        <v>2880</v>
      </c>
      <c r="C3936" t="s">
        <v>927</v>
      </c>
      <c r="D3936" t="s">
        <v>3052</v>
      </c>
      <c r="E3936" t="s">
        <v>3053</v>
      </c>
      <c r="F3936" t="s">
        <v>515</v>
      </c>
      <c r="G3936" t="s">
        <v>516</v>
      </c>
      <c r="H3936" t="s">
        <v>11604</v>
      </c>
      <c r="I3936">
        <v>27</v>
      </c>
      <c r="J3936">
        <v>0</v>
      </c>
      <c r="K3936">
        <v>0</v>
      </c>
      <c r="L3936">
        <v>25</v>
      </c>
      <c r="M3936">
        <v>2</v>
      </c>
      <c r="N3936">
        <v>0</v>
      </c>
      <c r="O3936">
        <v>0</v>
      </c>
    </row>
    <row r="3937" spans="1:15" x14ac:dyDescent="0.25">
      <c r="A3937" t="s">
        <v>1031</v>
      </c>
      <c r="B3937" t="s">
        <v>2779</v>
      </c>
      <c r="C3937" t="s">
        <v>927</v>
      </c>
      <c r="D3937" t="s">
        <v>3052</v>
      </c>
      <c r="E3937" t="s">
        <v>3053</v>
      </c>
      <c r="F3937" t="s">
        <v>515</v>
      </c>
      <c r="G3937" t="s">
        <v>516</v>
      </c>
      <c r="H3937" t="s">
        <v>11605</v>
      </c>
      <c r="I3937">
        <v>19</v>
      </c>
      <c r="J3937">
        <v>19</v>
      </c>
      <c r="K3937">
        <v>0</v>
      </c>
      <c r="L3937">
        <v>0</v>
      </c>
      <c r="M3937">
        <v>0</v>
      </c>
      <c r="N3937">
        <v>0</v>
      </c>
      <c r="O3937">
        <v>0</v>
      </c>
    </row>
    <row r="3938" spans="1:15" x14ac:dyDescent="0.25">
      <c r="A3938" t="s">
        <v>1049</v>
      </c>
      <c r="B3938" t="s">
        <v>2138</v>
      </c>
      <c r="C3938" t="s">
        <v>927</v>
      </c>
      <c r="D3938" t="s">
        <v>3052</v>
      </c>
      <c r="E3938" t="s">
        <v>3053</v>
      </c>
      <c r="F3938" t="s">
        <v>515</v>
      </c>
      <c r="G3938" t="s">
        <v>516</v>
      </c>
      <c r="H3938" t="s">
        <v>11606</v>
      </c>
      <c r="I3938">
        <v>2223</v>
      </c>
      <c r="J3938">
        <v>1542</v>
      </c>
      <c r="K3938">
        <v>0</v>
      </c>
      <c r="L3938">
        <v>121</v>
      </c>
      <c r="M3938">
        <v>164</v>
      </c>
      <c r="N3938">
        <v>0</v>
      </c>
      <c r="O3938">
        <v>396</v>
      </c>
    </row>
    <row r="3939" spans="1:15" x14ac:dyDescent="0.25">
      <c r="A3939" t="s">
        <v>1436</v>
      </c>
      <c r="B3939" t="s">
        <v>2209</v>
      </c>
      <c r="C3939" t="s">
        <v>927</v>
      </c>
      <c r="D3939" t="s">
        <v>3052</v>
      </c>
      <c r="E3939" t="s">
        <v>3053</v>
      </c>
      <c r="F3939" t="s">
        <v>515</v>
      </c>
      <c r="G3939" t="s">
        <v>516</v>
      </c>
      <c r="H3939" t="s">
        <v>11607</v>
      </c>
      <c r="I3939">
        <v>44</v>
      </c>
      <c r="J3939">
        <v>0</v>
      </c>
      <c r="K3939">
        <v>0</v>
      </c>
      <c r="L3939">
        <v>44</v>
      </c>
      <c r="M3939">
        <v>0</v>
      </c>
      <c r="N3939">
        <v>44</v>
      </c>
      <c r="O3939">
        <v>0</v>
      </c>
    </row>
    <row r="3940" spans="1:15" x14ac:dyDescent="0.25">
      <c r="A3940" t="s">
        <v>1758</v>
      </c>
      <c r="B3940" t="s">
        <v>2997</v>
      </c>
      <c r="C3940" t="s">
        <v>927</v>
      </c>
      <c r="D3940" t="s">
        <v>3052</v>
      </c>
      <c r="E3940" t="s">
        <v>3053</v>
      </c>
      <c r="F3940" t="s">
        <v>515</v>
      </c>
      <c r="G3940" t="s">
        <v>516</v>
      </c>
      <c r="H3940" t="s">
        <v>11608</v>
      </c>
      <c r="I3940">
        <v>10</v>
      </c>
      <c r="J3940">
        <v>3</v>
      </c>
      <c r="K3940">
        <v>0</v>
      </c>
      <c r="L3940">
        <v>7</v>
      </c>
      <c r="M3940">
        <v>0</v>
      </c>
      <c r="N3940">
        <v>0</v>
      </c>
      <c r="O3940">
        <v>0</v>
      </c>
    </row>
    <row r="3941" spans="1:15" x14ac:dyDescent="0.25">
      <c r="A3941" t="s">
        <v>1057</v>
      </c>
      <c r="B3941" t="s">
        <v>1972</v>
      </c>
      <c r="C3941" t="s">
        <v>927</v>
      </c>
      <c r="D3941" t="s">
        <v>3052</v>
      </c>
      <c r="E3941" t="s">
        <v>3053</v>
      </c>
      <c r="F3941" t="s">
        <v>515</v>
      </c>
      <c r="G3941" t="s">
        <v>516</v>
      </c>
      <c r="H3941" t="s">
        <v>11609</v>
      </c>
      <c r="I3941">
        <v>28</v>
      </c>
      <c r="J3941">
        <v>7</v>
      </c>
      <c r="K3941">
        <v>0</v>
      </c>
      <c r="L3941">
        <v>10</v>
      </c>
      <c r="M3941">
        <v>0</v>
      </c>
      <c r="N3941">
        <v>0</v>
      </c>
      <c r="O3941">
        <v>11</v>
      </c>
    </row>
    <row r="3942" spans="1:15" x14ac:dyDescent="0.25">
      <c r="A3942" t="s">
        <v>955</v>
      </c>
      <c r="B3942" t="s">
        <v>2660</v>
      </c>
      <c r="C3942" t="s">
        <v>927</v>
      </c>
      <c r="D3942" t="s">
        <v>3052</v>
      </c>
      <c r="E3942" t="s">
        <v>3053</v>
      </c>
      <c r="F3942" t="s">
        <v>515</v>
      </c>
      <c r="G3942" t="s">
        <v>516</v>
      </c>
      <c r="H3942" t="s">
        <v>11610</v>
      </c>
      <c r="I3942">
        <v>47</v>
      </c>
      <c r="J3942">
        <v>37</v>
      </c>
      <c r="K3942">
        <v>0</v>
      </c>
      <c r="L3942">
        <v>8</v>
      </c>
      <c r="M3942">
        <v>0</v>
      </c>
      <c r="N3942">
        <v>0</v>
      </c>
      <c r="O3942">
        <v>2</v>
      </c>
    </row>
    <row r="3943" spans="1:15" x14ac:dyDescent="0.25">
      <c r="A3943" t="s">
        <v>1843</v>
      </c>
      <c r="B3943" t="s">
        <v>2239</v>
      </c>
      <c r="C3943" t="s">
        <v>923</v>
      </c>
      <c r="D3943" t="s">
        <v>3063</v>
      </c>
      <c r="E3943" t="s">
        <v>3053</v>
      </c>
      <c r="F3943" t="s">
        <v>515</v>
      </c>
      <c r="G3943" t="s">
        <v>516</v>
      </c>
      <c r="H3943" t="s">
        <v>11611</v>
      </c>
      <c r="I3943">
        <v>23</v>
      </c>
      <c r="J3943">
        <v>0</v>
      </c>
      <c r="K3943">
        <v>0</v>
      </c>
      <c r="L3943">
        <v>0</v>
      </c>
      <c r="M3943">
        <v>23</v>
      </c>
      <c r="N3943">
        <v>0</v>
      </c>
      <c r="O3943">
        <v>0</v>
      </c>
    </row>
    <row r="3944" spans="1:15" x14ac:dyDescent="0.25">
      <c r="A3944" t="s">
        <v>962</v>
      </c>
      <c r="B3944" t="s">
        <v>2752</v>
      </c>
      <c r="C3944" t="s">
        <v>927</v>
      </c>
      <c r="D3944" t="s">
        <v>3052</v>
      </c>
      <c r="E3944" t="s">
        <v>3053</v>
      </c>
      <c r="F3944" t="s">
        <v>515</v>
      </c>
      <c r="G3944" t="s">
        <v>516</v>
      </c>
      <c r="H3944" t="s">
        <v>11612</v>
      </c>
      <c r="I3944">
        <v>2223</v>
      </c>
      <c r="J3944">
        <v>1871</v>
      </c>
      <c r="K3944">
        <v>0</v>
      </c>
      <c r="L3944">
        <v>50</v>
      </c>
      <c r="M3944">
        <v>173</v>
      </c>
      <c r="N3944">
        <v>3</v>
      </c>
      <c r="O3944">
        <v>129</v>
      </c>
    </row>
    <row r="3945" spans="1:15" x14ac:dyDescent="0.25">
      <c r="A3945" t="s">
        <v>1853</v>
      </c>
      <c r="B3945" t="s">
        <v>2590</v>
      </c>
      <c r="C3945" t="s">
        <v>923</v>
      </c>
      <c r="D3945" t="s">
        <v>3063</v>
      </c>
      <c r="E3945" t="s">
        <v>3053</v>
      </c>
      <c r="F3945" t="s">
        <v>515</v>
      </c>
      <c r="G3945" t="s">
        <v>516</v>
      </c>
      <c r="H3945" t="s">
        <v>14804</v>
      </c>
      <c r="I3945">
        <v>11</v>
      </c>
      <c r="J3945">
        <v>0</v>
      </c>
      <c r="K3945">
        <v>0</v>
      </c>
      <c r="L3945">
        <v>0</v>
      </c>
      <c r="M3945">
        <v>11</v>
      </c>
      <c r="N3945">
        <v>0</v>
      </c>
      <c r="O3945">
        <v>0</v>
      </c>
    </row>
    <row r="3946" spans="1:15" x14ac:dyDescent="0.25">
      <c r="A3946" t="s">
        <v>9843</v>
      </c>
      <c r="B3946" t="s">
        <v>9875</v>
      </c>
      <c r="C3946" t="s">
        <v>923</v>
      </c>
      <c r="D3946" t="s">
        <v>3063</v>
      </c>
      <c r="E3946" t="s">
        <v>3053</v>
      </c>
      <c r="F3946" t="s">
        <v>515</v>
      </c>
      <c r="G3946" t="s">
        <v>516</v>
      </c>
      <c r="H3946" t="s">
        <v>11613</v>
      </c>
      <c r="I3946">
        <v>8</v>
      </c>
      <c r="J3946">
        <v>8</v>
      </c>
      <c r="K3946">
        <v>0</v>
      </c>
      <c r="L3946">
        <v>0</v>
      </c>
      <c r="M3946">
        <v>0</v>
      </c>
      <c r="N3946">
        <v>0</v>
      </c>
      <c r="O3946">
        <v>0</v>
      </c>
    </row>
    <row r="3947" spans="1:15" x14ac:dyDescent="0.25">
      <c r="A3947" t="s">
        <v>1069</v>
      </c>
      <c r="B3947" t="s">
        <v>2001</v>
      </c>
      <c r="C3947" t="s">
        <v>927</v>
      </c>
      <c r="D3947" t="s">
        <v>3052</v>
      </c>
      <c r="E3947" t="s">
        <v>3053</v>
      </c>
      <c r="F3947" t="s">
        <v>515</v>
      </c>
      <c r="G3947" t="s">
        <v>516</v>
      </c>
      <c r="H3947" t="s">
        <v>11614</v>
      </c>
      <c r="I3947">
        <v>76</v>
      </c>
      <c r="J3947">
        <v>74</v>
      </c>
      <c r="K3947">
        <v>0</v>
      </c>
      <c r="L3947">
        <v>0</v>
      </c>
      <c r="M3947">
        <v>0</v>
      </c>
      <c r="N3947">
        <v>0</v>
      </c>
      <c r="O3947">
        <v>2</v>
      </c>
    </row>
    <row r="3948" spans="1:15" x14ac:dyDescent="0.25">
      <c r="A3948" t="s">
        <v>1861</v>
      </c>
      <c r="B3948" t="s">
        <v>3011</v>
      </c>
      <c r="C3948" t="s">
        <v>927</v>
      </c>
      <c r="D3948" t="s">
        <v>3052</v>
      </c>
      <c r="E3948" t="s">
        <v>3053</v>
      </c>
      <c r="F3948" t="s">
        <v>515</v>
      </c>
      <c r="G3948" t="s">
        <v>516</v>
      </c>
      <c r="H3948" t="s">
        <v>11615</v>
      </c>
      <c r="I3948">
        <v>33</v>
      </c>
      <c r="J3948">
        <v>24</v>
      </c>
      <c r="K3948">
        <v>0</v>
      </c>
      <c r="L3948">
        <v>0</v>
      </c>
      <c r="M3948">
        <v>0</v>
      </c>
      <c r="N3948">
        <v>0</v>
      </c>
      <c r="O3948">
        <v>9</v>
      </c>
    </row>
    <row r="3949" spans="1:15" x14ac:dyDescent="0.25">
      <c r="A3949" t="s">
        <v>1790</v>
      </c>
      <c r="B3949" t="s">
        <v>2865</v>
      </c>
      <c r="C3949" t="s">
        <v>927</v>
      </c>
      <c r="D3949" t="s">
        <v>3052</v>
      </c>
      <c r="E3949" t="s">
        <v>3053</v>
      </c>
      <c r="F3949" t="s">
        <v>515</v>
      </c>
      <c r="G3949" t="s">
        <v>516</v>
      </c>
      <c r="H3949" t="s">
        <v>11616</v>
      </c>
      <c r="I3949">
        <v>60</v>
      </c>
      <c r="J3949">
        <v>43</v>
      </c>
      <c r="K3949">
        <v>0</v>
      </c>
      <c r="L3949">
        <v>0</v>
      </c>
      <c r="M3949">
        <v>0</v>
      </c>
      <c r="N3949">
        <v>0</v>
      </c>
      <c r="O3949">
        <v>17</v>
      </c>
    </row>
    <row r="3950" spans="1:15" x14ac:dyDescent="0.25">
      <c r="A3950" t="s">
        <v>1795</v>
      </c>
      <c r="B3950" t="s">
        <v>2766</v>
      </c>
      <c r="C3950" t="s">
        <v>923</v>
      </c>
      <c r="D3950" t="s">
        <v>3063</v>
      </c>
      <c r="E3950" t="s">
        <v>3053</v>
      </c>
      <c r="F3950" t="s">
        <v>515</v>
      </c>
      <c r="G3950" t="s">
        <v>516</v>
      </c>
      <c r="H3950" t="s">
        <v>11617</v>
      </c>
      <c r="I3950">
        <v>31</v>
      </c>
      <c r="J3950">
        <v>31</v>
      </c>
      <c r="K3950">
        <v>0</v>
      </c>
      <c r="L3950">
        <v>0</v>
      </c>
      <c r="M3950">
        <v>0</v>
      </c>
      <c r="N3950">
        <v>4</v>
      </c>
      <c r="O3950">
        <v>0</v>
      </c>
    </row>
    <row r="3951" spans="1:15" x14ac:dyDescent="0.25">
      <c r="A3951" t="s">
        <v>1087</v>
      </c>
      <c r="B3951" t="s">
        <v>2979</v>
      </c>
      <c r="C3951" t="s">
        <v>923</v>
      </c>
      <c r="D3951" t="s">
        <v>3063</v>
      </c>
      <c r="E3951" t="s">
        <v>3053</v>
      </c>
      <c r="F3951" t="s">
        <v>517</v>
      </c>
      <c r="G3951" t="s">
        <v>518</v>
      </c>
      <c r="H3951" t="s">
        <v>5687</v>
      </c>
      <c r="I3951">
        <v>16</v>
      </c>
      <c r="J3951">
        <v>16</v>
      </c>
      <c r="K3951">
        <v>0</v>
      </c>
      <c r="L3951">
        <v>0</v>
      </c>
      <c r="M3951">
        <v>0</v>
      </c>
      <c r="N3951">
        <v>9</v>
      </c>
      <c r="O3951">
        <v>0</v>
      </c>
    </row>
    <row r="3952" spans="1:15" x14ac:dyDescent="0.25">
      <c r="A3952" t="s">
        <v>9790</v>
      </c>
      <c r="B3952" t="s">
        <v>1977</v>
      </c>
      <c r="C3952" t="s">
        <v>923</v>
      </c>
      <c r="D3952" t="s">
        <v>3063</v>
      </c>
      <c r="E3952" t="s">
        <v>3053</v>
      </c>
      <c r="F3952" t="s">
        <v>517</v>
      </c>
      <c r="G3952" t="s">
        <v>518</v>
      </c>
      <c r="H3952" t="s">
        <v>12088</v>
      </c>
      <c r="I3952">
        <v>17</v>
      </c>
      <c r="J3952">
        <v>0</v>
      </c>
      <c r="K3952">
        <v>0</v>
      </c>
      <c r="L3952">
        <v>17</v>
      </c>
      <c r="M3952">
        <v>0</v>
      </c>
      <c r="N3952">
        <v>0</v>
      </c>
      <c r="O3952">
        <v>0</v>
      </c>
    </row>
    <row r="3953" spans="1:15" x14ac:dyDescent="0.25">
      <c r="A3953" t="s">
        <v>1090</v>
      </c>
      <c r="B3953" t="s">
        <v>2875</v>
      </c>
      <c r="C3953" t="s">
        <v>927</v>
      </c>
      <c r="D3953" t="s">
        <v>3052</v>
      </c>
      <c r="E3953" t="s">
        <v>3053</v>
      </c>
      <c r="F3953" t="s">
        <v>517</v>
      </c>
      <c r="G3953" t="s">
        <v>518</v>
      </c>
      <c r="H3953" t="s">
        <v>5688</v>
      </c>
      <c r="I3953">
        <v>10</v>
      </c>
      <c r="J3953">
        <v>4</v>
      </c>
      <c r="K3953">
        <v>0</v>
      </c>
      <c r="L3953">
        <v>0</v>
      </c>
      <c r="M3953">
        <v>0</v>
      </c>
      <c r="N3953">
        <v>0</v>
      </c>
      <c r="O3953">
        <v>6</v>
      </c>
    </row>
    <row r="3954" spans="1:15" x14ac:dyDescent="0.25">
      <c r="A3954" t="s">
        <v>933</v>
      </c>
      <c r="B3954" t="s">
        <v>2106</v>
      </c>
      <c r="C3954" t="s">
        <v>927</v>
      </c>
      <c r="D3954" t="s">
        <v>3052</v>
      </c>
      <c r="E3954" t="s">
        <v>3053</v>
      </c>
      <c r="F3954" t="s">
        <v>517</v>
      </c>
      <c r="G3954" t="s">
        <v>518</v>
      </c>
      <c r="H3954" t="s">
        <v>5689</v>
      </c>
      <c r="I3954">
        <v>4564</v>
      </c>
      <c r="J3954">
        <v>3865</v>
      </c>
      <c r="K3954">
        <v>0</v>
      </c>
      <c r="L3954">
        <v>0</v>
      </c>
      <c r="M3954">
        <v>538</v>
      </c>
      <c r="N3954">
        <v>21</v>
      </c>
      <c r="O3954">
        <v>161</v>
      </c>
    </row>
    <row r="3955" spans="1:15" x14ac:dyDescent="0.25">
      <c r="A3955" t="s">
        <v>1416</v>
      </c>
      <c r="B3955" t="s">
        <v>2029</v>
      </c>
      <c r="C3955" t="s">
        <v>923</v>
      </c>
      <c r="D3955" t="s">
        <v>3063</v>
      </c>
      <c r="E3955" t="s">
        <v>3053</v>
      </c>
      <c r="F3955" t="s">
        <v>517</v>
      </c>
      <c r="G3955" t="s">
        <v>518</v>
      </c>
      <c r="H3955" t="s">
        <v>12089</v>
      </c>
      <c r="I3955">
        <v>10</v>
      </c>
      <c r="J3955">
        <v>0</v>
      </c>
      <c r="K3955">
        <v>0</v>
      </c>
      <c r="L3955">
        <v>10</v>
      </c>
      <c r="M3955">
        <v>0</v>
      </c>
      <c r="N3955">
        <v>0</v>
      </c>
      <c r="O3955">
        <v>0</v>
      </c>
    </row>
    <row r="3956" spans="1:15" x14ac:dyDescent="0.25">
      <c r="A3956" t="s">
        <v>1112</v>
      </c>
      <c r="B3956" t="s">
        <v>2143</v>
      </c>
      <c r="C3956" t="s">
        <v>927</v>
      </c>
      <c r="D3956" t="s">
        <v>3052</v>
      </c>
      <c r="E3956" t="s">
        <v>3053</v>
      </c>
      <c r="F3956" t="s">
        <v>517</v>
      </c>
      <c r="G3956" t="s">
        <v>518</v>
      </c>
      <c r="H3956" t="s">
        <v>5690</v>
      </c>
      <c r="I3956">
        <v>6</v>
      </c>
      <c r="J3956">
        <v>6</v>
      </c>
      <c r="K3956">
        <v>0</v>
      </c>
      <c r="L3956">
        <v>0</v>
      </c>
      <c r="M3956">
        <v>0</v>
      </c>
      <c r="N3956">
        <v>0</v>
      </c>
      <c r="O3956">
        <v>0</v>
      </c>
    </row>
    <row r="3957" spans="1:15" x14ac:dyDescent="0.25">
      <c r="A3957" t="s">
        <v>10638</v>
      </c>
      <c r="B3957" t="s">
        <v>2057</v>
      </c>
      <c r="C3957" t="s">
        <v>927</v>
      </c>
      <c r="D3957" t="s">
        <v>3052</v>
      </c>
      <c r="E3957" t="s">
        <v>3053</v>
      </c>
      <c r="F3957" t="s">
        <v>517</v>
      </c>
      <c r="G3957" t="s">
        <v>518</v>
      </c>
      <c r="H3957" t="s">
        <v>11077</v>
      </c>
      <c r="I3957">
        <v>1</v>
      </c>
      <c r="J3957">
        <v>0</v>
      </c>
      <c r="K3957">
        <v>0</v>
      </c>
      <c r="L3957">
        <v>1</v>
      </c>
      <c r="M3957">
        <v>0</v>
      </c>
      <c r="N3957">
        <v>0</v>
      </c>
      <c r="O3957">
        <v>0</v>
      </c>
    </row>
    <row r="3958" spans="1:15" x14ac:dyDescent="0.25">
      <c r="A3958" t="s">
        <v>1005</v>
      </c>
      <c r="B3958" t="s">
        <v>2128</v>
      </c>
      <c r="C3958" t="s">
        <v>927</v>
      </c>
      <c r="D3958" t="s">
        <v>3052</v>
      </c>
      <c r="E3958" t="s">
        <v>3053</v>
      </c>
      <c r="F3958" t="s">
        <v>517</v>
      </c>
      <c r="G3958" t="s">
        <v>518</v>
      </c>
      <c r="H3958" t="s">
        <v>5691</v>
      </c>
      <c r="I3958">
        <v>5</v>
      </c>
      <c r="J3958">
        <v>0</v>
      </c>
      <c r="K3958">
        <v>0</v>
      </c>
      <c r="L3958">
        <v>5</v>
      </c>
      <c r="M3958">
        <v>0</v>
      </c>
      <c r="N3958">
        <v>0</v>
      </c>
      <c r="O3958">
        <v>0</v>
      </c>
    </row>
    <row r="3959" spans="1:15" x14ac:dyDescent="0.25">
      <c r="A3959" t="s">
        <v>1008</v>
      </c>
      <c r="B3959" t="s">
        <v>2928</v>
      </c>
      <c r="C3959" t="s">
        <v>927</v>
      </c>
      <c r="D3959" t="s">
        <v>3052</v>
      </c>
      <c r="E3959" t="s">
        <v>3053</v>
      </c>
      <c r="F3959" t="s">
        <v>517</v>
      </c>
      <c r="G3959" t="s">
        <v>518</v>
      </c>
      <c r="H3959" t="s">
        <v>5692</v>
      </c>
      <c r="I3959">
        <v>3</v>
      </c>
      <c r="J3959">
        <v>2</v>
      </c>
      <c r="K3959">
        <v>0</v>
      </c>
      <c r="L3959">
        <v>0</v>
      </c>
      <c r="M3959">
        <v>0</v>
      </c>
      <c r="N3959">
        <v>0</v>
      </c>
      <c r="O3959">
        <v>1</v>
      </c>
    </row>
    <row r="3960" spans="1:15" x14ac:dyDescent="0.25">
      <c r="A3960" t="s">
        <v>1119</v>
      </c>
      <c r="B3960" t="s">
        <v>2777</v>
      </c>
      <c r="C3960" t="s">
        <v>927</v>
      </c>
      <c r="D3960" t="s">
        <v>3052</v>
      </c>
      <c r="E3960" t="s">
        <v>3053</v>
      </c>
      <c r="F3960" t="s">
        <v>517</v>
      </c>
      <c r="G3960" t="s">
        <v>518</v>
      </c>
      <c r="H3960" t="s">
        <v>5693</v>
      </c>
      <c r="I3960">
        <v>305</v>
      </c>
      <c r="J3960">
        <v>214</v>
      </c>
      <c r="K3960">
        <v>0</v>
      </c>
      <c r="L3960">
        <v>44</v>
      </c>
      <c r="M3960">
        <v>5</v>
      </c>
      <c r="N3960">
        <v>0</v>
      </c>
      <c r="O3960">
        <v>42</v>
      </c>
    </row>
    <row r="3961" spans="1:15" x14ac:dyDescent="0.25">
      <c r="A3961" t="s">
        <v>938</v>
      </c>
      <c r="B3961" t="s">
        <v>2791</v>
      </c>
      <c r="C3961" t="s">
        <v>927</v>
      </c>
      <c r="D3961" t="s">
        <v>3052</v>
      </c>
      <c r="E3961" t="s">
        <v>3053</v>
      </c>
      <c r="F3961" t="s">
        <v>517</v>
      </c>
      <c r="G3961" t="s">
        <v>518</v>
      </c>
      <c r="H3961" t="s">
        <v>5694</v>
      </c>
      <c r="I3961">
        <v>127</v>
      </c>
      <c r="J3961">
        <v>57</v>
      </c>
      <c r="K3961">
        <v>0</v>
      </c>
      <c r="L3961">
        <v>36</v>
      </c>
      <c r="M3961">
        <v>0</v>
      </c>
      <c r="N3961">
        <v>0</v>
      </c>
      <c r="O3961">
        <v>34</v>
      </c>
    </row>
    <row r="3962" spans="1:15" x14ac:dyDescent="0.25">
      <c r="A3962" t="s">
        <v>940</v>
      </c>
      <c r="B3962" t="s">
        <v>2647</v>
      </c>
      <c r="C3962" t="s">
        <v>927</v>
      </c>
      <c r="D3962" t="s">
        <v>3052</v>
      </c>
      <c r="E3962" t="s">
        <v>3053</v>
      </c>
      <c r="F3962" t="s">
        <v>517</v>
      </c>
      <c r="G3962" t="s">
        <v>518</v>
      </c>
      <c r="H3962" t="s">
        <v>5695</v>
      </c>
      <c r="I3962">
        <v>80</v>
      </c>
      <c r="J3962">
        <v>0</v>
      </c>
      <c r="K3962">
        <v>0</v>
      </c>
      <c r="L3962">
        <v>0</v>
      </c>
      <c r="M3962">
        <v>80</v>
      </c>
      <c r="N3962">
        <v>0</v>
      </c>
      <c r="O3962">
        <v>0</v>
      </c>
    </row>
    <row r="3963" spans="1:15" x14ac:dyDescent="0.25">
      <c r="A3963" t="s">
        <v>1124</v>
      </c>
      <c r="B3963" t="s">
        <v>2981</v>
      </c>
      <c r="C3963" t="s">
        <v>923</v>
      </c>
      <c r="D3963" t="s">
        <v>3063</v>
      </c>
      <c r="E3963" t="s">
        <v>3053</v>
      </c>
      <c r="F3963" t="s">
        <v>517</v>
      </c>
      <c r="G3963" t="s">
        <v>518</v>
      </c>
      <c r="H3963" t="s">
        <v>5696</v>
      </c>
      <c r="I3963">
        <v>3</v>
      </c>
      <c r="J3963">
        <v>3</v>
      </c>
      <c r="K3963">
        <v>0</v>
      </c>
      <c r="L3963">
        <v>0</v>
      </c>
      <c r="M3963">
        <v>0</v>
      </c>
      <c r="N3963">
        <v>0</v>
      </c>
      <c r="O3963">
        <v>0</v>
      </c>
    </row>
    <row r="3964" spans="1:15" x14ac:dyDescent="0.25">
      <c r="A3964" t="s">
        <v>1025</v>
      </c>
      <c r="B3964" t="s">
        <v>2893</v>
      </c>
      <c r="C3964" t="s">
        <v>927</v>
      </c>
      <c r="D3964" t="s">
        <v>3052</v>
      </c>
      <c r="E3964" t="s">
        <v>3053</v>
      </c>
      <c r="F3964" t="s">
        <v>517</v>
      </c>
      <c r="G3964" t="s">
        <v>518</v>
      </c>
      <c r="H3964" t="s">
        <v>5697</v>
      </c>
      <c r="I3964">
        <v>1</v>
      </c>
      <c r="J3964">
        <v>0</v>
      </c>
      <c r="K3964">
        <v>0</v>
      </c>
      <c r="L3964">
        <v>0</v>
      </c>
      <c r="M3964">
        <v>0</v>
      </c>
      <c r="N3964">
        <v>0</v>
      </c>
      <c r="O3964">
        <v>1</v>
      </c>
    </row>
    <row r="3965" spans="1:15" x14ac:dyDescent="0.25">
      <c r="A3965" t="s">
        <v>943</v>
      </c>
      <c r="B3965" t="s">
        <v>2694</v>
      </c>
      <c r="C3965" t="s">
        <v>927</v>
      </c>
      <c r="D3965" t="s">
        <v>3052</v>
      </c>
      <c r="E3965" t="s">
        <v>3053</v>
      </c>
      <c r="F3965" t="s">
        <v>517</v>
      </c>
      <c r="G3965" t="s">
        <v>518</v>
      </c>
      <c r="H3965" t="s">
        <v>5698</v>
      </c>
      <c r="I3965">
        <v>102</v>
      </c>
      <c r="J3965">
        <v>62</v>
      </c>
      <c r="K3965">
        <v>0</v>
      </c>
      <c r="L3965">
        <v>0</v>
      </c>
      <c r="M3965">
        <v>0</v>
      </c>
      <c r="N3965">
        <v>0</v>
      </c>
      <c r="O3965">
        <v>40</v>
      </c>
    </row>
    <row r="3966" spans="1:15" x14ac:dyDescent="0.25">
      <c r="A3966" t="s">
        <v>1134</v>
      </c>
      <c r="B3966" t="s">
        <v>2118</v>
      </c>
      <c r="C3966" t="s">
        <v>927</v>
      </c>
      <c r="D3966" t="s">
        <v>3052</v>
      </c>
      <c r="E3966" t="s">
        <v>3053</v>
      </c>
      <c r="F3966" t="s">
        <v>517</v>
      </c>
      <c r="G3966" t="s">
        <v>518</v>
      </c>
      <c r="H3966" t="s">
        <v>5699</v>
      </c>
      <c r="I3966">
        <v>287</v>
      </c>
      <c r="J3966">
        <v>217</v>
      </c>
      <c r="K3966">
        <v>0</v>
      </c>
      <c r="L3966">
        <v>1</v>
      </c>
      <c r="M3966">
        <v>0</v>
      </c>
      <c r="N3966">
        <v>0</v>
      </c>
      <c r="O3966">
        <v>69</v>
      </c>
    </row>
    <row r="3967" spans="1:15" x14ac:dyDescent="0.25">
      <c r="A3967" t="s">
        <v>949</v>
      </c>
      <c r="B3967" t="s">
        <v>3035</v>
      </c>
      <c r="C3967" t="s">
        <v>927</v>
      </c>
      <c r="D3967" t="s">
        <v>3052</v>
      </c>
      <c r="E3967" t="s">
        <v>3053</v>
      </c>
      <c r="F3967" t="s">
        <v>517</v>
      </c>
      <c r="G3967" t="s">
        <v>518</v>
      </c>
      <c r="H3967" t="s">
        <v>5700</v>
      </c>
      <c r="I3967">
        <v>4</v>
      </c>
      <c r="J3967">
        <v>0</v>
      </c>
      <c r="K3967">
        <v>0</v>
      </c>
      <c r="L3967">
        <v>0</v>
      </c>
      <c r="M3967">
        <v>0</v>
      </c>
      <c r="N3967">
        <v>0</v>
      </c>
      <c r="O3967">
        <v>4</v>
      </c>
    </row>
    <row r="3968" spans="1:15" x14ac:dyDescent="0.25">
      <c r="A3968" t="s">
        <v>1138</v>
      </c>
      <c r="B3968" t="s">
        <v>2635</v>
      </c>
      <c r="C3968" t="s">
        <v>923</v>
      </c>
      <c r="D3968" t="s">
        <v>3063</v>
      </c>
      <c r="E3968" t="s">
        <v>3053</v>
      </c>
      <c r="F3968" t="s">
        <v>517</v>
      </c>
      <c r="G3968" t="s">
        <v>518</v>
      </c>
      <c r="H3968" t="s">
        <v>11078</v>
      </c>
      <c r="I3968">
        <v>24</v>
      </c>
      <c r="J3968">
        <v>0</v>
      </c>
      <c r="K3968">
        <v>0</v>
      </c>
      <c r="L3968">
        <v>24</v>
      </c>
      <c r="M3968">
        <v>0</v>
      </c>
      <c r="N3968">
        <v>0</v>
      </c>
      <c r="O3968">
        <v>0</v>
      </c>
    </row>
    <row r="3969" spans="1:15" x14ac:dyDescent="0.25">
      <c r="A3969" t="s">
        <v>1140</v>
      </c>
      <c r="B3969" t="s">
        <v>2697</v>
      </c>
      <c r="C3969" t="s">
        <v>927</v>
      </c>
      <c r="D3969" t="s">
        <v>3052</v>
      </c>
      <c r="E3969" t="s">
        <v>3053</v>
      </c>
      <c r="F3969" t="s">
        <v>517</v>
      </c>
      <c r="G3969" t="s">
        <v>518</v>
      </c>
      <c r="H3969" t="s">
        <v>5701</v>
      </c>
      <c r="I3969">
        <v>47</v>
      </c>
      <c r="J3969">
        <v>38</v>
      </c>
      <c r="K3969">
        <v>0</v>
      </c>
      <c r="L3969">
        <v>0</v>
      </c>
      <c r="M3969">
        <v>0</v>
      </c>
      <c r="N3969">
        <v>4</v>
      </c>
      <c r="O3969">
        <v>9</v>
      </c>
    </row>
    <row r="3970" spans="1:15" x14ac:dyDescent="0.25">
      <c r="A3970" t="s">
        <v>1142</v>
      </c>
      <c r="B3970" t="s">
        <v>3003</v>
      </c>
      <c r="C3970" t="s">
        <v>927</v>
      </c>
      <c r="D3970" t="s">
        <v>3052</v>
      </c>
      <c r="E3970" t="s">
        <v>3053</v>
      </c>
      <c r="F3970" t="s">
        <v>517</v>
      </c>
      <c r="G3970" t="s">
        <v>518</v>
      </c>
      <c r="H3970" t="s">
        <v>5702</v>
      </c>
      <c r="I3970">
        <v>146</v>
      </c>
      <c r="J3970">
        <v>111</v>
      </c>
      <c r="K3970">
        <v>0</v>
      </c>
      <c r="L3970">
        <v>0</v>
      </c>
      <c r="M3970">
        <v>0</v>
      </c>
      <c r="N3970">
        <v>1</v>
      </c>
      <c r="O3970">
        <v>35</v>
      </c>
    </row>
    <row r="3971" spans="1:15" x14ac:dyDescent="0.25">
      <c r="A3971" t="s">
        <v>1146</v>
      </c>
      <c r="B3971" t="s">
        <v>2117</v>
      </c>
      <c r="C3971" t="s">
        <v>927</v>
      </c>
      <c r="D3971" t="s">
        <v>3052</v>
      </c>
      <c r="E3971" t="s">
        <v>3053</v>
      </c>
      <c r="F3971" t="s">
        <v>517</v>
      </c>
      <c r="G3971" t="s">
        <v>518</v>
      </c>
      <c r="H3971" t="s">
        <v>14805</v>
      </c>
      <c r="I3971">
        <v>1666</v>
      </c>
      <c r="J3971">
        <v>1469</v>
      </c>
      <c r="K3971">
        <v>0</v>
      </c>
      <c r="L3971">
        <v>7</v>
      </c>
      <c r="M3971">
        <v>143</v>
      </c>
      <c r="N3971">
        <v>11</v>
      </c>
      <c r="O3971">
        <v>47</v>
      </c>
    </row>
    <row r="3972" spans="1:15" x14ac:dyDescent="0.25">
      <c r="A3972" t="s">
        <v>1148</v>
      </c>
      <c r="B3972" t="s">
        <v>2767</v>
      </c>
      <c r="C3972" t="s">
        <v>923</v>
      </c>
      <c r="D3972" t="s">
        <v>3063</v>
      </c>
      <c r="E3972" t="s">
        <v>3053</v>
      </c>
      <c r="F3972" t="s">
        <v>517</v>
      </c>
      <c r="G3972" t="s">
        <v>518</v>
      </c>
      <c r="H3972" t="s">
        <v>5703</v>
      </c>
      <c r="I3972">
        <v>117</v>
      </c>
      <c r="J3972">
        <v>117</v>
      </c>
      <c r="K3972">
        <v>0</v>
      </c>
      <c r="L3972">
        <v>0</v>
      </c>
      <c r="M3972">
        <v>0</v>
      </c>
      <c r="N3972">
        <v>0</v>
      </c>
      <c r="O3972">
        <v>0</v>
      </c>
    </row>
    <row r="3973" spans="1:15" x14ac:dyDescent="0.25">
      <c r="A3973" t="s">
        <v>951</v>
      </c>
      <c r="B3973" t="s">
        <v>2680</v>
      </c>
      <c r="C3973" t="s">
        <v>927</v>
      </c>
      <c r="D3973" t="s">
        <v>3052</v>
      </c>
      <c r="E3973" t="s">
        <v>3053</v>
      </c>
      <c r="F3973" t="s">
        <v>517</v>
      </c>
      <c r="G3973" t="s">
        <v>518</v>
      </c>
      <c r="H3973" t="s">
        <v>5704</v>
      </c>
      <c r="I3973">
        <v>73</v>
      </c>
      <c r="J3973">
        <v>73</v>
      </c>
      <c r="K3973">
        <v>0</v>
      </c>
      <c r="L3973">
        <v>0</v>
      </c>
      <c r="M3973">
        <v>0</v>
      </c>
      <c r="N3973">
        <v>0</v>
      </c>
      <c r="O3973">
        <v>0</v>
      </c>
    </row>
    <row r="3974" spans="1:15" x14ac:dyDescent="0.25">
      <c r="A3974" t="s">
        <v>953</v>
      </c>
      <c r="B3974" t="s">
        <v>2014</v>
      </c>
      <c r="C3974" t="s">
        <v>927</v>
      </c>
      <c r="D3974" t="s">
        <v>3052</v>
      </c>
      <c r="E3974" t="s">
        <v>3053</v>
      </c>
      <c r="F3974" t="s">
        <v>517</v>
      </c>
      <c r="G3974" t="s">
        <v>518</v>
      </c>
      <c r="H3974" t="s">
        <v>5705</v>
      </c>
      <c r="I3974">
        <v>1</v>
      </c>
      <c r="J3974">
        <v>0</v>
      </c>
      <c r="K3974">
        <v>0</v>
      </c>
      <c r="L3974">
        <v>1</v>
      </c>
      <c r="M3974">
        <v>0</v>
      </c>
      <c r="N3974">
        <v>0</v>
      </c>
      <c r="O3974">
        <v>0</v>
      </c>
    </row>
    <row r="3975" spans="1:15" x14ac:dyDescent="0.25">
      <c r="A3975" t="s">
        <v>955</v>
      </c>
      <c r="B3975" t="s">
        <v>2660</v>
      </c>
      <c r="C3975" t="s">
        <v>927</v>
      </c>
      <c r="D3975" t="s">
        <v>3052</v>
      </c>
      <c r="E3975" t="s">
        <v>3053</v>
      </c>
      <c r="F3975" t="s">
        <v>517</v>
      </c>
      <c r="G3975" t="s">
        <v>518</v>
      </c>
      <c r="H3975" t="s">
        <v>5706</v>
      </c>
      <c r="I3975">
        <v>129</v>
      </c>
      <c r="J3975">
        <v>100</v>
      </c>
      <c r="K3975">
        <v>0</v>
      </c>
      <c r="L3975">
        <v>0</v>
      </c>
      <c r="M3975">
        <v>29</v>
      </c>
      <c r="N3975">
        <v>0</v>
      </c>
      <c r="O3975">
        <v>0</v>
      </c>
    </row>
    <row r="3976" spans="1:15" x14ac:dyDescent="0.25">
      <c r="A3976" t="s">
        <v>1153</v>
      </c>
      <c r="B3976" t="s">
        <v>2560</v>
      </c>
      <c r="C3976" t="s">
        <v>923</v>
      </c>
      <c r="D3976" t="s">
        <v>3063</v>
      </c>
      <c r="E3976" t="s">
        <v>3053</v>
      </c>
      <c r="F3976" t="s">
        <v>517</v>
      </c>
      <c r="G3976" t="s">
        <v>518</v>
      </c>
      <c r="H3976" t="s">
        <v>5707</v>
      </c>
      <c r="I3976">
        <v>30</v>
      </c>
      <c r="J3976">
        <v>0</v>
      </c>
      <c r="K3976">
        <v>0</v>
      </c>
      <c r="L3976">
        <v>30</v>
      </c>
      <c r="M3976">
        <v>0</v>
      </c>
      <c r="N3976">
        <v>0</v>
      </c>
      <c r="O3976">
        <v>0</v>
      </c>
    </row>
    <row r="3977" spans="1:15" x14ac:dyDescent="0.25">
      <c r="A3977" t="s">
        <v>1154</v>
      </c>
      <c r="B3977" t="s">
        <v>2861</v>
      </c>
      <c r="C3977" t="s">
        <v>927</v>
      </c>
      <c r="D3977" t="s">
        <v>3052</v>
      </c>
      <c r="E3977" t="s">
        <v>3053</v>
      </c>
      <c r="F3977" t="s">
        <v>517</v>
      </c>
      <c r="G3977" t="s">
        <v>518</v>
      </c>
      <c r="H3977" t="s">
        <v>10409</v>
      </c>
      <c r="I3977">
        <v>17</v>
      </c>
      <c r="J3977">
        <v>5</v>
      </c>
      <c r="K3977">
        <v>0</v>
      </c>
      <c r="L3977">
        <v>0</v>
      </c>
      <c r="M3977">
        <v>0</v>
      </c>
      <c r="N3977">
        <v>0</v>
      </c>
      <c r="O3977">
        <v>12</v>
      </c>
    </row>
    <row r="3978" spans="1:15" x14ac:dyDescent="0.25">
      <c r="A3978" t="s">
        <v>11663</v>
      </c>
      <c r="B3978" t="s">
        <v>11768</v>
      </c>
      <c r="C3978" t="s">
        <v>927</v>
      </c>
      <c r="D3978" t="s">
        <v>3052</v>
      </c>
      <c r="E3978" t="s">
        <v>3053</v>
      </c>
      <c r="F3978" t="s">
        <v>517</v>
      </c>
      <c r="G3978" t="s">
        <v>518</v>
      </c>
      <c r="H3978" t="s">
        <v>12090</v>
      </c>
      <c r="I3978">
        <v>1</v>
      </c>
      <c r="J3978">
        <v>0</v>
      </c>
      <c r="K3978">
        <v>0</v>
      </c>
      <c r="L3978">
        <v>0</v>
      </c>
      <c r="M3978">
        <v>0</v>
      </c>
      <c r="N3978">
        <v>0</v>
      </c>
      <c r="O3978">
        <v>1</v>
      </c>
    </row>
    <row r="3979" spans="1:15" x14ac:dyDescent="0.25">
      <c r="A3979" t="s">
        <v>14380</v>
      </c>
      <c r="B3979" t="s">
        <v>2074</v>
      </c>
      <c r="C3979" t="s">
        <v>927</v>
      </c>
      <c r="D3979" t="s">
        <v>3052</v>
      </c>
      <c r="E3979" t="s">
        <v>3053</v>
      </c>
      <c r="F3979" t="s">
        <v>517</v>
      </c>
      <c r="G3979" t="s">
        <v>518</v>
      </c>
      <c r="H3979" t="s">
        <v>14806</v>
      </c>
      <c r="I3979">
        <v>166</v>
      </c>
      <c r="J3979">
        <v>0</v>
      </c>
      <c r="K3979">
        <v>0</v>
      </c>
      <c r="L3979">
        <v>0</v>
      </c>
      <c r="M3979">
        <v>0</v>
      </c>
      <c r="N3979">
        <v>0</v>
      </c>
      <c r="O3979">
        <v>166</v>
      </c>
    </row>
    <row r="3980" spans="1:15" x14ac:dyDescent="0.25">
      <c r="A3980" t="s">
        <v>1160</v>
      </c>
      <c r="B3980" t="s">
        <v>2863</v>
      </c>
      <c r="C3980" t="s">
        <v>923</v>
      </c>
      <c r="D3980" t="s">
        <v>3063</v>
      </c>
      <c r="E3980" t="s">
        <v>3053</v>
      </c>
      <c r="F3980" t="s">
        <v>517</v>
      </c>
      <c r="G3980" t="s">
        <v>518</v>
      </c>
      <c r="H3980" t="s">
        <v>5708</v>
      </c>
      <c r="I3980">
        <v>36</v>
      </c>
      <c r="J3980">
        <v>36</v>
      </c>
      <c r="K3980">
        <v>0</v>
      </c>
      <c r="L3980">
        <v>0</v>
      </c>
      <c r="M3980">
        <v>0</v>
      </c>
      <c r="N3980">
        <v>0</v>
      </c>
      <c r="O3980">
        <v>0</v>
      </c>
    </row>
    <row r="3981" spans="1:15" x14ac:dyDescent="0.25">
      <c r="A3981" t="s">
        <v>1066</v>
      </c>
      <c r="B3981" t="s">
        <v>2557</v>
      </c>
      <c r="C3981" t="s">
        <v>927</v>
      </c>
      <c r="D3981" t="s">
        <v>3052</v>
      </c>
      <c r="E3981" t="s">
        <v>3053</v>
      </c>
      <c r="F3981" t="s">
        <v>517</v>
      </c>
      <c r="G3981" t="s">
        <v>518</v>
      </c>
      <c r="H3981" t="s">
        <v>5709</v>
      </c>
      <c r="I3981">
        <v>12</v>
      </c>
      <c r="J3981">
        <v>0</v>
      </c>
      <c r="K3981">
        <v>0</v>
      </c>
      <c r="L3981">
        <v>0</v>
      </c>
      <c r="M3981">
        <v>12</v>
      </c>
      <c r="N3981">
        <v>0</v>
      </c>
      <c r="O3981">
        <v>0</v>
      </c>
    </row>
    <row r="3982" spans="1:15" x14ac:dyDescent="0.25">
      <c r="A3982" t="s">
        <v>1069</v>
      </c>
      <c r="B3982" t="s">
        <v>2001</v>
      </c>
      <c r="C3982" t="s">
        <v>927</v>
      </c>
      <c r="D3982" t="s">
        <v>3052</v>
      </c>
      <c r="E3982" t="s">
        <v>3053</v>
      </c>
      <c r="F3982" t="s">
        <v>517</v>
      </c>
      <c r="G3982" t="s">
        <v>518</v>
      </c>
      <c r="H3982" t="s">
        <v>5710</v>
      </c>
      <c r="I3982">
        <v>2</v>
      </c>
      <c r="J3982">
        <v>1</v>
      </c>
      <c r="K3982">
        <v>0</v>
      </c>
      <c r="L3982">
        <v>1</v>
      </c>
      <c r="M3982">
        <v>0</v>
      </c>
      <c r="N3982">
        <v>0</v>
      </c>
      <c r="O3982">
        <v>0</v>
      </c>
    </row>
    <row r="3983" spans="1:15" x14ac:dyDescent="0.25">
      <c r="A3983" t="s">
        <v>1174</v>
      </c>
      <c r="B3983" t="s">
        <v>2663</v>
      </c>
      <c r="C3983" t="s">
        <v>927</v>
      </c>
      <c r="D3983" t="s">
        <v>3052</v>
      </c>
      <c r="E3983" t="s">
        <v>3053</v>
      </c>
      <c r="F3983" t="s">
        <v>517</v>
      </c>
      <c r="G3983" t="s">
        <v>518</v>
      </c>
      <c r="H3983" t="s">
        <v>5711</v>
      </c>
      <c r="I3983">
        <v>34</v>
      </c>
      <c r="J3983">
        <v>12</v>
      </c>
      <c r="K3983">
        <v>0</v>
      </c>
      <c r="L3983">
        <v>0</v>
      </c>
      <c r="M3983">
        <v>0</v>
      </c>
      <c r="N3983">
        <v>0</v>
      </c>
      <c r="O3983">
        <v>22</v>
      </c>
    </row>
    <row r="3984" spans="1:15" x14ac:dyDescent="0.25">
      <c r="A3984" t="s">
        <v>1181</v>
      </c>
      <c r="B3984" t="s">
        <v>2894</v>
      </c>
      <c r="C3984" t="s">
        <v>927</v>
      </c>
      <c r="D3984" t="s">
        <v>3052</v>
      </c>
      <c r="E3984" t="s">
        <v>3053</v>
      </c>
      <c r="F3984" t="s">
        <v>517</v>
      </c>
      <c r="G3984" t="s">
        <v>518</v>
      </c>
      <c r="H3984" t="s">
        <v>5712</v>
      </c>
      <c r="I3984">
        <v>20</v>
      </c>
      <c r="J3984">
        <v>20</v>
      </c>
      <c r="K3984">
        <v>0</v>
      </c>
      <c r="L3984">
        <v>0</v>
      </c>
      <c r="M3984">
        <v>0</v>
      </c>
      <c r="N3984">
        <v>0</v>
      </c>
      <c r="O3984">
        <v>0</v>
      </c>
    </row>
    <row r="3985" spans="1:15" x14ac:dyDescent="0.25">
      <c r="A3985" t="s">
        <v>1185</v>
      </c>
      <c r="B3985" t="s">
        <v>2886</v>
      </c>
      <c r="C3985" t="s">
        <v>927</v>
      </c>
      <c r="D3985" t="s">
        <v>3052</v>
      </c>
      <c r="E3985" t="s">
        <v>3053</v>
      </c>
      <c r="F3985" t="s">
        <v>517</v>
      </c>
      <c r="G3985" t="s">
        <v>518</v>
      </c>
      <c r="H3985" t="s">
        <v>5713</v>
      </c>
      <c r="I3985">
        <v>132</v>
      </c>
      <c r="J3985">
        <v>75</v>
      </c>
      <c r="K3985">
        <v>0</v>
      </c>
      <c r="L3985">
        <v>0</v>
      </c>
      <c r="M3985">
        <v>0</v>
      </c>
      <c r="N3985">
        <v>0</v>
      </c>
      <c r="O3985">
        <v>57</v>
      </c>
    </row>
    <row r="3986" spans="1:15" x14ac:dyDescent="0.25">
      <c r="A3986" t="s">
        <v>1016</v>
      </c>
      <c r="B3986" t="s">
        <v>2725</v>
      </c>
      <c r="C3986" t="s">
        <v>927</v>
      </c>
      <c r="D3986" t="s">
        <v>3052</v>
      </c>
      <c r="E3986" t="s">
        <v>3053</v>
      </c>
      <c r="F3986" t="s">
        <v>519</v>
      </c>
      <c r="G3986" t="s">
        <v>520</v>
      </c>
      <c r="H3986" t="s">
        <v>5721</v>
      </c>
      <c r="I3986">
        <v>225</v>
      </c>
      <c r="J3986">
        <v>129</v>
      </c>
      <c r="K3986">
        <v>0</v>
      </c>
      <c r="L3986">
        <v>0</v>
      </c>
      <c r="M3986">
        <v>83</v>
      </c>
      <c r="N3986">
        <v>0</v>
      </c>
      <c r="O3986">
        <v>13</v>
      </c>
    </row>
    <row r="3987" spans="1:15" x14ac:dyDescent="0.25">
      <c r="A3987" t="s">
        <v>974</v>
      </c>
      <c r="B3987" t="s">
        <v>2949</v>
      </c>
      <c r="C3987" t="s">
        <v>923</v>
      </c>
      <c r="D3987" t="s">
        <v>3063</v>
      </c>
      <c r="E3987" t="s">
        <v>3053</v>
      </c>
      <c r="F3987" t="s">
        <v>519</v>
      </c>
      <c r="G3987" t="s">
        <v>520</v>
      </c>
      <c r="H3987" t="s">
        <v>5714</v>
      </c>
      <c r="I3987">
        <v>20</v>
      </c>
      <c r="J3987">
        <v>0</v>
      </c>
      <c r="K3987">
        <v>0</v>
      </c>
      <c r="L3987">
        <v>20</v>
      </c>
      <c r="M3987">
        <v>0</v>
      </c>
      <c r="N3987">
        <v>0</v>
      </c>
      <c r="O3987">
        <v>0</v>
      </c>
    </row>
    <row r="3988" spans="1:15" x14ac:dyDescent="0.25">
      <c r="A3988" t="s">
        <v>929</v>
      </c>
      <c r="B3988" t="s">
        <v>2999</v>
      </c>
      <c r="C3988" t="s">
        <v>927</v>
      </c>
      <c r="D3988" t="s">
        <v>3052</v>
      </c>
      <c r="E3988" t="s">
        <v>3053</v>
      </c>
      <c r="F3988" t="s">
        <v>519</v>
      </c>
      <c r="G3988" t="s">
        <v>520</v>
      </c>
      <c r="H3988" t="s">
        <v>5715</v>
      </c>
      <c r="I3988">
        <v>63</v>
      </c>
      <c r="J3988">
        <v>0</v>
      </c>
      <c r="K3988">
        <v>0</v>
      </c>
      <c r="L3988">
        <v>0</v>
      </c>
      <c r="M3988">
        <v>63</v>
      </c>
      <c r="N3988">
        <v>0</v>
      </c>
      <c r="O3988">
        <v>0</v>
      </c>
    </row>
    <row r="3989" spans="1:15" x14ac:dyDescent="0.25">
      <c r="A3989" t="s">
        <v>1461</v>
      </c>
      <c r="B3989" t="s">
        <v>1927</v>
      </c>
      <c r="C3989" t="s">
        <v>927</v>
      </c>
      <c r="D3989" t="s">
        <v>3052</v>
      </c>
      <c r="E3989" t="s">
        <v>3053</v>
      </c>
      <c r="F3989" t="s">
        <v>519</v>
      </c>
      <c r="G3989" t="s">
        <v>520</v>
      </c>
      <c r="H3989" t="s">
        <v>14807</v>
      </c>
      <c r="I3989">
        <v>24</v>
      </c>
      <c r="J3989">
        <v>21</v>
      </c>
      <c r="K3989">
        <v>0</v>
      </c>
      <c r="L3989">
        <v>0</v>
      </c>
      <c r="M3989">
        <v>0</v>
      </c>
      <c r="N3989">
        <v>0</v>
      </c>
      <c r="O3989">
        <v>3</v>
      </c>
    </row>
    <row r="3990" spans="1:15" x14ac:dyDescent="0.25">
      <c r="A3990" t="s">
        <v>987</v>
      </c>
      <c r="B3990" t="s">
        <v>2881</v>
      </c>
      <c r="C3990" t="s">
        <v>927</v>
      </c>
      <c r="D3990" t="s">
        <v>3052</v>
      </c>
      <c r="E3990" t="s">
        <v>3053</v>
      </c>
      <c r="F3990" t="s">
        <v>519</v>
      </c>
      <c r="G3990" t="s">
        <v>520</v>
      </c>
      <c r="H3990" t="s">
        <v>5716</v>
      </c>
      <c r="I3990">
        <v>191</v>
      </c>
      <c r="J3990">
        <v>165</v>
      </c>
      <c r="K3990">
        <v>0</v>
      </c>
      <c r="L3990">
        <v>0</v>
      </c>
      <c r="M3990">
        <v>0</v>
      </c>
      <c r="N3990">
        <v>0</v>
      </c>
      <c r="O3990">
        <v>26</v>
      </c>
    </row>
    <row r="3991" spans="1:15" x14ac:dyDescent="0.25">
      <c r="A3991" t="s">
        <v>997</v>
      </c>
      <c r="B3991" t="s">
        <v>2033</v>
      </c>
      <c r="C3991" t="s">
        <v>927</v>
      </c>
      <c r="D3991" t="s">
        <v>3052</v>
      </c>
      <c r="E3991" t="s">
        <v>3053</v>
      </c>
      <c r="F3991" t="s">
        <v>519</v>
      </c>
      <c r="G3991" t="s">
        <v>520</v>
      </c>
      <c r="H3991" t="s">
        <v>5717</v>
      </c>
      <c r="I3991">
        <v>7</v>
      </c>
      <c r="J3991">
        <v>0</v>
      </c>
      <c r="K3991">
        <v>0</v>
      </c>
      <c r="L3991">
        <v>7</v>
      </c>
      <c r="M3991">
        <v>0</v>
      </c>
      <c r="N3991">
        <v>0</v>
      </c>
      <c r="O3991">
        <v>0</v>
      </c>
    </row>
    <row r="3992" spans="1:15" x14ac:dyDescent="0.25">
      <c r="A3992" t="s">
        <v>1001</v>
      </c>
      <c r="B3992" t="s">
        <v>3007</v>
      </c>
      <c r="C3992" t="s">
        <v>927</v>
      </c>
      <c r="D3992" t="s">
        <v>3052</v>
      </c>
      <c r="E3992" t="s">
        <v>3053</v>
      </c>
      <c r="F3992" t="s">
        <v>519</v>
      </c>
      <c r="G3992" t="s">
        <v>520</v>
      </c>
      <c r="H3992" t="s">
        <v>14808</v>
      </c>
      <c r="I3992">
        <v>4</v>
      </c>
      <c r="J3992">
        <v>0</v>
      </c>
      <c r="K3992">
        <v>0</v>
      </c>
      <c r="L3992">
        <v>4</v>
      </c>
      <c r="M3992">
        <v>0</v>
      </c>
      <c r="N3992">
        <v>0</v>
      </c>
      <c r="O3992">
        <v>0</v>
      </c>
    </row>
    <row r="3993" spans="1:15" x14ac:dyDescent="0.25">
      <c r="A3993" t="s">
        <v>10638</v>
      </c>
      <c r="B3993" t="s">
        <v>2057</v>
      </c>
      <c r="C3993" t="s">
        <v>927</v>
      </c>
      <c r="D3993" t="s">
        <v>3052</v>
      </c>
      <c r="E3993" t="s">
        <v>3053</v>
      </c>
      <c r="F3993" t="s">
        <v>519</v>
      </c>
      <c r="G3993" t="s">
        <v>520</v>
      </c>
      <c r="H3993" t="s">
        <v>14809</v>
      </c>
      <c r="I3993">
        <v>5</v>
      </c>
      <c r="J3993">
        <v>0</v>
      </c>
      <c r="K3993">
        <v>0</v>
      </c>
      <c r="L3993">
        <v>5</v>
      </c>
      <c r="M3993">
        <v>0</v>
      </c>
      <c r="N3993">
        <v>0</v>
      </c>
      <c r="O3993">
        <v>0</v>
      </c>
    </row>
    <row r="3994" spans="1:15" x14ac:dyDescent="0.25">
      <c r="A3994" t="s">
        <v>1006</v>
      </c>
      <c r="B3994" t="s">
        <v>2724</v>
      </c>
      <c r="C3994" t="s">
        <v>927</v>
      </c>
      <c r="D3994" t="s">
        <v>3052</v>
      </c>
      <c r="E3994" t="s">
        <v>3053</v>
      </c>
      <c r="F3994" t="s">
        <v>519</v>
      </c>
      <c r="G3994" t="s">
        <v>520</v>
      </c>
      <c r="H3994" t="s">
        <v>5718</v>
      </c>
      <c r="I3994">
        <v>336</v>
      </c>
      <c r="J3994">
        <v>246</v>
      </c>
      <c r="K3994">
        <v>0</v>
      </c>
      <c r="L3994">
        <v>1</v>
      </c>
      <c r="M3994">
        <v>22</v>
      </c>
      <c r="N3994">
        <v>4</v>
      </c>
      <c r="O3994">
        <v>67</v>
      </c>
    </row>
    <row r="3995" spans="1:15" x14ac:dyDescent="0.25">
      <c r="A3995" t="s">
        <v>937</v>
      </c>
      <c r="B3995" t="s">
        <v>1962</v>
      </c>
      <c r="C3995" t="s">
        <v>927</v>
      </c>
      <c r="D3995" t="s">
        <v>3052</v>
      </c>
      <c r="E3995" t="s">
        <v>3053</v>
      </c>
      <c r="F3995" t="s">
        <v>519</v>
      </c>
      <c r="G3995" t="s">
        <v>520</v>
      </c>
      <c r="H3995" t="s">
        <v>5719</v>
      </c>
      <c r="I3995">
        <v>19</v>
      </c>
      <c r="J3995">
        <v>0</v>
      </c>
      <c r="K3995">
        <v>0</v>
      </c>
      <c r="L3995">
        <v>0</v>
      </c>
      <c r="M3995">
        <v>0</v>
      </c>
      <c r="N3995">
        <v>0</v>
      </c>
      <c r="O3995">
        <v>19</v>
      </c>
    </row>
    <row r="3996" spans="1:15" x14ac:dyDescent="0.25">
      <c r="A3996" t="s">
        <v>1013</v>
      </c>
      <c r="B3996" t="s">
        <v>1959</v>
      </c>
      <c r="C3996" t="s">
        <v>927</v>
      </c>
      <c r="D3996" t="s">
        <v>3052</v>
      </c>
      <c r="E3996" t="s">
        <v>3053</v>
      </c>
      <c r="F3996" t="s">
        <v>519</v>
      </c>
      <c r="G3996" t="s">
        <v>520</v>
      </c>
      <c r="H3996" t="s">
        <v>5720</v>
      </c>
      <c r="I3996">
        <v>15</v>
      </c>
      <c r="J3996">
        <v>0</v>
      </c>
      <c r="K3996">
        <v>0</v>
      </c>
      <c r="L3996">
        <v>15</v>
      </c>
      <c r="M3996">
        <v>0</v>
      </c>
      <c r="N3996">
        <v>0</v>
      </c>
      <c r="O3996">
        <v>0</v>
      </c>
    </row>
    <row r="3997" spans="1:15" x14ac:dyDescent="0.25">
      <c r="A3997" t="s">
        <v>9820</v>
      </c>
      <c r="B3997" t="s">
        <v>3017</v>
      </c>
      <c r="C3997" t="s">
        <v>927</v>
      </c>
      <c r="D3997" t="s">
        <v>3052</v>
      </c>
      <c r="E3997" t="s">
        <v>3053</v>
      </c>
      <c r="F3997" t="s">
        <v>519</v>
      </c>
      <c r="G3997" t="s">
        <v>520</v>
      </c>
      <c r="H3997" t="s">
        <v>12091</v>
      </c>
      <c r="I3997">
        <v>26</v>
      </c>
      <c r="J3997">
        <v>23</v>
      </c>
      <c r="K3997">
        <v>0</v>
      </c>
      <c r="L3997">
        <v>0</v>
      </c>
      <c r="M3997">
        <v>0</v>
      </c>
      <c r="N3997">
        <v>0</v>
      </c>
      <c r="O3997">
        <v>3</v>
      </c>
    </row>
    <row r="3998" spans="1:15" x14ac:dyDescent="0.25">
      <c r="A3998" t="s">
        <v>1038</v>
      </c>
      <c r="B3998" t="s">
        <v>2068</v>
      </c>
      <c r="C3998" t="s">
        <v>927</v>
      </c>
      <c r="D3998" t="s">
        <v>3052</v>
      </c>
      <c r="E3998" t="s">
        <v>3053</v>
      </c>
      <c r="F3998" t="s">
        <v>519</v>
      </c>
      <c r="G3998" t="s">
        <v>520</v>
      </c>
      <c r="H3998" t="s">
        <v>5722</v>
      </c>
      <c r="I3998">
        <v>94</v>
      </c>
      <c r="J3998">
        <v>65</v>
      </c>
      <c r="K3998">
        <v>0</v>
      </c>
      <c r="L3998">
        <v>0</v>
      </c>
      <c r="M3998">
        <v>0</v>
      </c>
      <c r="N3998">
        <v>0</v>
      </c>
      <c r="O3998">
        <v>29</v>
      </c>
    </row>
    <row r="3999" spans="1:15" x14ac:dyDescent="0.25">
      <c r="A3999" t="s">
        <v>1521</v>
      </c>
      <c r="B3999" t="s">
        <v>2920</v>
      </c>
      <c r="C3999" t="s">
        <v>927</v>
      </c>
      <c r="D3999" t="s">
        <v>3052</v>
      </c>
      <c r="E3999" t="s">
        <v>3053</v>
      </c>
      <c r="F3999" t="s">
        <v>519</v>
      </c>
      <c r="G3999" t="s">
        <v>520</v>
      </c>
      <c r="H3999" t="s">
        <v>11079</v>
      </c>
      <c r="I3999">
        <v>4</v>
      </c>
      <c r="J3999">
        <v>0</v>
      </c>
      <c r="K3999">
        <v>0</v>
      </c>
      <c r="L3999">
        <v>4</v>
      </c>
      <c r="M3999">
        <v>0</v>
      </c>
      <c r="N3999">
        <v>0</v>
      </c>
      <c r="O3999">
        <v>0</v>
      </c>
    </row>
    <row r="4000" spans="1:15" x14ac:dyDescent="0.25">
      <c r="A4000" t="s">
        <v>1046</v>
      </c>
      <c r="B4000" t="s">
        <v>2027</v>
      </c>
      <c r="C4000" t="s">
        <v>923</v>
      </c>
      <c r="D4000" t="s">
        <v>3063</v>
      </c>
      <c r="E4000" t="s">
        <v>3053</v>
      </c>
      <c r="F4000" t="s">
        <v>519</v>
      </c>
      <c r="G4000" t="s">
        <v>520</v>
      </c>
      <c r="H4000" t="s">
        <v>5723</v>
      </c>
      <c r="I4000">
        <v>1</v>
      </c>
      <c r="J4000">
        <v>0</v>
      </c>
      <c r="K4000">
        <v>0</v>
      </c>
      <c r="L4000">
        <v>1</v>
      </c>
      <c r="M4000">
        <v>0</v>
      </c>
      <c r="N4000">
        <v>0</v>
      </c>
      <c r="O4000">
        <v>0</v>
      </c>
    </row>
    <row r="4001" spans="1:15" x14ac:dyDescent="0.25">
      <c r="A4001" t="s">
        <v>1047</v>
      </c>
      <c r="B4001" t="s">
        <v>2815</v>
      </c>
      <c r="C4001" t="s">
        <v>923</v>
      </c>
      <c r="D4001" t="s">
        <v>3063</v>
      </c>
      <c r="E4001" t="s">
        <v>3053</v>
      </c>
      <c r="F4001" t="s">
        <v>519</v>
      </c>
      <c r="G4001" t="s">
        <v>520</v>
      </c>
      <c r="H4001" t="s">
        <v>5724</v>
      </c>
      <c r="I4001">
        <v>20</v>
      </c>
      <c r="J4001">
        <v>20</v>
      </c>
      <c r="K4001">
        <v>0</v>
      </c>
      <c r="L4001">
        <v>0</v>
      </c>
      <c r="M4001">
        <v>0</v>
      </c>
      <c r="N4001">
        <v>1</v>
      </c>
      <c r="O4001">
        <v>0</v>
      </c>
    </row>
    <row r="4002" spans="1:15" x14ac:dyDescent="0.25">
      <c r="A4002" t="s">
        <v>1048</v>
      </c>
      <c r="B4002" t="s">
        <v>2989</v>
      </c>
      <c r="C4002" t="s">
        <v>927</v>
      </c>
      <c r="D4002" t="s">
        <v>3052</v>
      </c>
      <c r="E4002" t="s">
        <v>3053</v>
      </c>
      <c r="F4002" t="s">
        <v>519</v>
      </c>
      <c r="G4002" t="s">
        <v>520</v>
      </c>
      <c r="H4002" t="s">
        <v>12092</v>
      </c>
      <c r="I4002">
        <v>4</v>
      </c>
      <c r="J4002">
        <v>4</v>
      </c>
      <c r="K4002">
        <v>0</v>
      </c>
      <c r="L4002">
        <v>0</v>
      </c>
      <c r="M4002">
        <v>0</v>
      </c>
      <c r="N4002">
        <v>0</v>
      </c>
      <c r="O4002">
        <v>0</v>
      </c>
    </row>
    <row r="4003" spans="1:15" x14ac:dyDescent="0.25">
      <c r="A4003" t="s">
        <v>11720</v>
      </c>
      <c r="B4003" t="s">
        <v>10718</v>
      </c>
      <c r="C4003" t="s">
        <v>927</v>
      </c>
      <c r="D4003" t="s">
        <v>3052</v>
      </c>
      <c r="E4003" t="s">
        <v>3053</v>
      </c>
      <c r="F4003" t="s">
        <v>519</v>
      </c>
      <c r="G4003" t="s">
        <v>520</v>
      </c>
      <c r="H4003" t="s">
        <v>14810</v>
      </c>
      <c r="I4003">
        <v>45</v>
      </c>
      <c r="J4003">
        <v>13</v>
      </c>
      <c r="K4003">
        <v>0</v>
      </c>
      <c r="L4003">
        <v>0</v>
      </c>
      <c r="M4003">
        <v>0</v>
      </c>
      <c r="N4003">
        <v>0</v>
      </c>
      <c r="O4003">
        <v>32</v>
      </c>
    </row>
    <row r="4004" spans="1:15" x14ac:dyDescent="0.25">
      <c r="A4004" t="s">
        <v>9788</v>
      </c>
      <c r="B4004" t="s">
        <v>9871</v>
      </c>
      <c r="C4004" t="s">
        <v>927</v>
      </c>
      <c r="D4004" t="s">
        <v>3052</v>
      </c>
      <c r="E4004" t="s">
        <v>3053</v>
      </c>
      <c r="F4004" t="s">
        <v>519</v>
      </c>
      <c r="G4004" t="s">
        <v>520</v>
      </c>
      <c r="H4004" t="s">
        <v>10355</v>
      </c>
      <c r="I4004">
        <v>71</v>
      </c>
      <c r="J4004">
        <v>71</v>
      </c>
      <c r="K4004">
        <v>0</v>
      </c>
      <c r="L4004">
        <v>0</v>
      </c>
      <c r="M4004">
        <v>0</v>
      </c>
      <c r="N4004">
        <v>0</v>
      </c>
      <c r="O4004">
        <v>0</v>
      </c>
    </row>
    <row r="4005" spans="1:15" x14ac:dyDescent="0.25">
      <c r="A4005" t="s">
        <v>1060</v>
      </c>
      <c r="B4005" t="s">
        <v>2651</v>
      </c>
      <c r="C4005" t="s">
        <v>927</v>
      </c>
      <c r="D4005" t="s">
        <v>3052</v>
      </c>
      <c r="E4005" t="s">
        <v>3053</v>
      </c>
      <c r="F4005" t="s">
        <v>519</v>
      </c>
      <c r="G4005" t="s">
        <v>520</v>
      </c>
      <c r="H4005" t="s">
        <v>5725</v>
      </c>
      <c r="I4005">
        <v>34</v>
      </c>
      <c r="J4005">
        <v>0</v>
      </c>
      <c r="K4005">
        <v>0</v>
      </c>
      <c r="L4005">
        <v>0</v>
      </c>
      <c r="M4005">
        <v>34</v>
      </c>
      <c r="N4005">
        <v>0</v>
      </c>
      <c r="O4005">
        <v>0</v>
      </c>
    </row>
    <row r="4006" spans="1:15" x14ac:dyDescent="0.25">
      <c r="A4006" t="s">
        <v>14374</v>
      </c>
      <c r="B4006" t="s">
        <v>1943</v>
      </c>
      <c r="C4006" t="s">
        <v>927</v>
      </c>
      <c r="D4006" t="s">
        <v>3052</v>
      </c>
      <c r="E4006" t="s">
        <v>3053</v>
      </c>
      <c r="F4006" t="s">
        <v>519</v>
      </c>
      <c r="G4006" t="s">
        <v>520</v>
      </c>
      <c r="H4006" t="s">
        <v>14811</v>
      </c>
      <c r="I4006">
        <v>29</v>
      </c>
      <c r="J4006">
        <v>0</v>
      </c>
      <c r="K4006">
        <v>0</v>
      </c>
      <c r="L4006">
        <v>0</v>
      </c>
      <c r="M4006">
        <v>0</v>
      </c>
      <c r="N4006">
        <v>0</v>
      </c>
      <c r="O4006">
        <v>29</v>
      </c>
    </row>
    <row r="4007" spans="1:15" x14ac:dyDescent="0.25">
      <c r="A4007" t="s">
        <v>962</v>
      </c>
      <c r="B4007" t="s">
        <v>2752</v>
      </c>
      <c r="C4007" t="s">
        <v>927</v>
      </c>
      <c r="D4007" t="s">
        <v>3052</v>
      </c>
      <c r="E4007" t="s">
        <v>3053</v>
      </c>
      <c r="F4007" t="s">
        <v>519</v>
      </c>
      <c r="G4007" t="s">
        <v>520</v>
      </c>
      <c r="H4007" t="s">
        <v>5726</v>
      </c>
      <c r="I4007">
        <v>39</v>
      </c>
      <c r="J4007">
        <v>0</v>
      </c>
      <c r="K4007">
        <v>0</v>
      </c>
      <c r="L4007">
        <v>0</v>
      </c>
      <c r="M4007">
        <v>39</v>
      </c>
      <c r="N4007">
        <v>0</v>
      </c>
      <c r="O4007">
        <v>0</v>
      </c>
    </row>
    <row r="4008" spans="1:15" x14ac:dyDescent="0.25">
      <c r="A4008" t="s">
        <v>1069</v>
      </c>
      <c r="B4008" t="s">
        <v>2001</v>
      </c>
      <c r="C4008" t="s">
        <v>927</v>
      </c>
      <c r="D4008" t="s">
        <v>3052</v>
      </c>
      <c r="E4008" t="s">
        <v>3053</v>
      </c>
      <c r="F4008" t="s">
        <v>519</v>
      </c>
      <c r="G4008" t="s">
        <v>520</v>
      </c>
      <c r="H4008" t="s">
        <v>5727</v>
      </c>
      <c r="I4008">
        <v>393</v>
      </c>
      <c r="J4008">
        <v>259</v>
      </c>
      <c r="K4008">
        <v>1</v>
      </c>
      <c r="L4008">
        <v>15</v>
      </c>
      <c r="M4008">
        <v>77</v>
      </c>
      <c r="N4008">
        <v>0</v>
      </c>
      <c r="O4008">
        <v>41</v>
      </c>
    </row>
    <row r="4009" spans="1:15" x14ac:dyDescent="0.25">
      <c r="A4009" t="s">
        <v>1083</v>
      </c>
      <c r="B4009" t="s">
        <v>2757</v>
      </c>
      <c r="C4009" t="s">
        <v>927</v>
      </c>
      <c r="D4009" t="s">
        <v>3052</v>
      </c>
      <c r="E4009" t="s">
        <v>3053</v>
      </c>
      <c r="F4009" t="s">
        <v>519</v>
      </c>
      <c r="G4009" t="s">
        <v>520</v>
      </c>
      <c r="H4009" t="s">
        <v>5728</v>
      </c>
      <c r="I4009">
        <v>173</v>
      </c>
      <c r="J4009">
        <v>160</v>
      </c>
      <c r="K4009">
        <v>0</v>
      </c>
      <c r="L4009">
        <v>0</v>
      </c>
      <c r="M4009">
        <v>0</v>
      </c>
      <c r="N4009">
        <v>0</v>
      </c>
      <c r="O4009">
        <v>13</v>
      </c>
    </row>
    <row r="4010" spans="1:15" x14ac:dyDescent="0.25">
      <c r="A4010" t="s">
        <v>1195</v>
      </c>
      <c r="B4010" t="s">
        <v>2924</v>
      </c>
      <c r="C4010" t="s">
        <v>927</v>
      </c>
      <c r="D4010" t="s">
        <v>3052</v>
      </c>
      <c r="E4010" t="s">
        <v>3053</v>
      </c>
      <c r="F4010" t="s">
        <v>521</v>
      </c>
      <c r="G4010" t="s">
        <v>522</v>
      </c>
      <c r="H4010" t="s">
        <v>5729</v>
      </c>
      <c r="I4010">
        <v>927</v>
      </c>
      <c r="J4010">
        <v>669</v>
      </c>
      <c r="K4010">
        <v>0</v>
      </c>
      <c r="L4010">
        <v>23</v>
      </c>
      <c r="M4010">
        <v>153</v>
      </c>
      <c r="N4010">
        <v>2</v>
      </c>
      <c r="O4010">
        <v>82</v>
      </c>
    </row>
    <row r="4011" spans="1:15" x14ac:dyDescent="0.25">
      <c r="A4011" t="s">
        <v>1564</v>
      </c>
      <c r="B4011" t="s">
        <v>3039</v>
      </c>
      <c r="C4011" t="s">
        <v>927</v>
      </c>
      <c r="D4011" t="s">
        <v>3052</v>
      </c>
      <c r="E4011" t="s">
        <v>3053</v>
      </c>
      <c r="F4011" t="s">
        <v>521</v>
      </c>
      <c r="G4011" t="s">
        <v>522</v>
      </c>
      <c r="H4011" t="s">
        <v>12093</v>
      </c>
      <c r="I4011">
        <v>36</v>
      </c>
      <c r="J4011">
        <v>0</v>
      </c>
      <c r="K4011">
        <v>0</v>
      </c>
      <c r="L4011">
        <v>0</v>
      </c>
      <c r="M4011">
        <v>0</v>
      </c>
      <c r="N4011">
        <v>0</v>
      </c>
      <c r="O4011">
        <v>36</v>
      </c>
    </row>
    <row r="4012" spans="1:15" x14ac:dyDescent="0.25">
      <c r="A4012" t="s">
        <v>1196</v>
      </c>
      <c r="B4012" t="s">
        <v>3004</v>
      </c>
      <c r="C4012" t="s">
        <v>927</v>
      </c>
      <c r="D4012" t="s">
        <v>3052</v>
      </c>
      <c r="E4012" t="s">
        <v>3053</v>
      </c>
      <c r="F4012" t="s">
        <v>521</v>
      </c>
      <c r="G4012" t="s">
        <v>522</v>
      </c>
      <c r="H4012" t="s">
        <v>5730</v>
      </c>
      <c r="I4012">
        <v>612</v>
      </c>
      <c r="J4012">
        <v>564</v>
      </c>
      <c r="K4012">
        <v>0</v>
      </c>
      <c r="L4012">
        <v>0</v>
      </c>
      <c r="M4012">
        <v>0</v>
      </c>
      <c r="N4012">
        <v>0</v>
      </c>
      <c r="O4012">
        <v>48</v>
      </c>
    </row>
    <row r="4013" spans="1:15" x14ac:dyDescent="0.25">
      <c r="A4013" t="s">
        <v>924</v>
      </c>
      <c r="B4013" t="s">
        <v>2963</v>
      </c>
      <c r="C4013" t="s">
        <v>923</v>
      </c>
      <c r="D4013" t="s">
        <v>3063</v>
      </c>
      <c r="E4013" t="s">
        <v>3053</v>
      </c>
      <c r="F4013" t="s">
        <v>521</v>
      </c>
      <c r="G4013" t="s">
        <v>522</v>
      </c>
      <c r="H4013" t="s">
        <v>5731</v>
      </c>
      <c r="I4013">
        <v>14</v>
      </c>
      <c r="J4013">
        <v>0</v>
      </c>
      <c r="K4013">
        <v>0</v>
      </c>
      <c r="L4013">
        <v>14</v>
      </c>
      <c r="M4013">
        <v>0</v>
      </c>
      <c r="N4013">
        <v>0</v>
      </c>
      <c r="O4013">
        <v>0</v>
      </c>
    </row>
    <row r="4014" spans="1:15" x14ac:dyDescent="0.25">
      <c r="A4014" t="s">
        <v>929</v>
      </c>
      <c r="B4014" t="s">
        <v>2999</v>
      </c>
      <c r="C4014" t="s">
        <v>927</v>
      </c>
      <c r="D4014" t="s">
        <v>3052</v>
      </c>
      <c r="E4014" t="s">
        <v>3053</v>
      </c>
      <c r="F4014" t="s">
        <v>521</v>
      </c>
      <c r="G4014" t="s">
        <v>522</v>
      </c>
      <c r="H4014" t="s">
        <v>5732</v>
      </c>
      <c r="I4014">
        <v>219</v>
      </c>
      <c r="J4014">
        <v>0</v>
      </c>
      <c r="K4014">
        <v>0</v>
      </c>
      <c r="L4014">
        <v>0</v>
      </c>
      <c r="M4014">
        <v>206</v>
      </c>
      <c r="N4014">
        <v>0</v>
      </c>
      <c r="O4014">
        <v>13</v>
      </c>
    </row>
    <row r="4015" spans="1:15" x14ac:dyDescent="0.25">
      <c r="A4015" t="s">
        <v>9790</v>
      </c>
      <c r="B4015" t="s">
        <v>1977</v>
      </c>
      <c r="C4015" t="s">
        <v>923</v>
      </c>
      <c r="D4015" t="s">
        <v>3063</v>
      </c>
      <c r="E4015" t="s">
        <v>3053</v>
      </c>
      <c r="F4015" t="s">
        <v>521</v>
      </c>
      <c r="G4015" t="s">
        <v>522</v>
      </c>
      <c r="H4015" t="s">
        <v>12094</v>
      </c>
      <c r="I4015">
        <v>5</v>
      </c>
      <c r="J4015">
        <v>0</v>
      </c>
      <c r="K4015">
        <v>0</v>
      </c>
      <c r="L4015">
        <v>5</v>
      </c>
      <c r="M4015">
        <v>0</v>
      </c>
      <c r="N4015">
        <v>0</v>
      </c>
      <c r="O4015">
        <v>0</v>
      </c>
    </row>
    <row r="4016" spans="1:15" x14ac:dyDescent="0.25">
      <c r="A4016" t="s">
        <v>9784</v>
      </c>
      <c r="B4016" t="s">
        <v>1994</v>
      </c>
      <c r="C4016" t="s">
        <v>927</v>
      </c>
      <c r="D4016" t="s">
        <v>3052</v>
      </c>
      <c r="E4016" t="s">
        <v>3053</v>
      </c>
      <c r="F4016" t="s">
        <v>521</v>
      </c>
      <c r="G4016" t="s">
        <v>522</v>
      </c>
      <c r="H4016" t="s">
        <v>9951</v>
      </c>
      <c r="I4016">
        <v>11</v>
      </c>
      <c r="J4016">
        <v>0</v>
      </c>
      <c r="K4016">
        <v>0</v>
      </c>
      <c r="L4016">
        <v>11</v>
      </c>
      <c r="M4016">
        <v>0</v>
      </c>
      <c r="N4016">
        <v>0</v>
      </c>
      <c r="O4016">
        <v>0</v>
      </c>
    </row>
    <row r="4017" spans="1:15" x14ac:dyDescent="0.25">
      <c r="A4017" t="s">
        <v>1218</v>
      </c>
      <c r="B4017" t="s">
        <v>2565</v>
      </c>
      <c r="C4017" t="s">
        <v>927</v>
      </c>
      <c r="D4017" t="s">
        <v>3052</v>
      </c>
      <c r="E4017" t="s">
        <v>3053</v>
      </c>
      <c r="F4017" t="s">
        <v>521</v>
      </c>
      <c r="G4017" t="s">
        <v>522</v>
      </c>
      <c r="H4017" t="s">
        <v>5733</v>
      </c>
      <c r="I4017">
        <v>81</v>
      </c>
      <c r="J4017">
        <v>5</v>
      </c>
      <c r="K4017">
        <v>0</v>
      </c>
      <c r="L4017">
        <v>45</v>
      </c>
      <c r="M4017">
        <v>31</v>
      </c>
      <c r="N4017">
        <v>0</v>
      </c>
      <c r="O4017">
        <v>0</v>
      </c>
    </row>
    <row r="4018" spans="1:15" x14ac:dyDescent="0.25">
      <c r="A4018" t="s">
        <v>1104</v>
      </c>
      <c r="B4018" t="s">
        <v>2483</v>
      </c>
      <c r="C4018" t="s">
        <v>923</v>
      </c>
      <c r="D4018" t="s">
        <v>3063</v>
      </c>
      <c r="E4018" t="s">
        <v>3053</v>
      </c>
      <c r="F4018" t="s">
        <v>521</v>
      </c>
      <c r="G4018" t="s">
        <v>522</v>
      </c>
      <c r="H4018" t="s">
        <v>5734</v>
      </c>
      <c r="I4018">
        <v>57</v>
      </c>
      <c r="J4018">
        <v>57</v>
      </c>
      <c r="K4018">
        <v>0</v>
      </c>
      <c r="L4018">
        <v>0</v>
      </c>
      <c r="M4018">
        <v>0</v>
      </c>
      <c r="N4018">
        <v>0</v>
      </c>
      <c r="O4018">
        <v>0</v>
      </c>
    </row>
    <row r="4019" spans="1:15" x14ac:dyDescent="0.25">
      <c r="A4019" t="s">
        <v>1227</v>
      </c>
      <c r="B4019" t="s">
        <v>2023</v>
      </c>
      <c r="C4019" t="s">
        <v>923</v>
      </c>
      <c r="D4019" t="s">
        <v>3063</v>
      </c>
      <c r="E4019" t="s">
        <v>3053</v>
      </c>
      <c r="F4019" t="s">
        <v>521</v>
      </c>
      <c r="G4019" t="s">
        <v>522</v>
      </c>
      <c r="H4019" t="s">
        <v>10040</v>
      </c>
      <c r="I4019">
        <v>20</v>
      </c>
      <c r="J4019">
        <v>16</v>
      </c>
      <c r="K4019">
        <v>4</v>
      </c>
      <c r="L4019">
        <v>0</v>
      </c>
      <c r="M4019">
        <v>0</v>
      </c>
      <c r="N4019">
        <v>0</v>
      </c>
      <c r="O4019">
        <v>0</v>
      </c>
    </row>
    <row r="4020" spans="1:15" x14ac:dyDescent="0.25">
      <c r="A4020" t="s">
        <v>1232</v>
      </c>
      <c r="B4020" t="s">
        <v>2506</v>
      </c>
      <c r="C4020" t="s">
        <v>923</v>
      </c>
      <c r="D4020" t="s">
        <v>3063</v>
      </c>
      <c r="E4020" t="s">
        <v>3053</v>
      </c>
      <c r="F4020" t="s">
        <v>521</v>
      </c>
      <c r="G4020" t="s">
        <v>522</v>
      </c>
      <c r="H4020" t="s">
        <v>5735</v>
      </c>
      <c r="I4020">
        <v>6</v>
      </c>
      <c r="J4020">
        <v>6</v>
      </c>
      <c r="K4020">
        <v>0</v>
      </c>
      <c r="L4020">
        <v>0</v>
      </c>
      <c r="M4020">
        <v>0</v>
      </c>
      <c r="N4020">
        <v>0</v>
      </c>
      <c r="O4020">
        <v>0</v>
      </c>
    </row>
    <row r="4021" spans="1:15" x14ac:dyDescent="0.25">
      <c r="A4021" t="s">
        <v>10638</v>
      </c>
      <c r="B4021" t="s">
        <v>2057</v>
      </c>
      <c r="C4021" t="s">
        <v>927</v>
      </c>
      <c r="D4021" t="s">
        <v>3052</v>
      </c>
      <c r="E4021" t="s">
        <v>3053</v>
      </c>
      <c r="F4021" t="s">
        <v>521</v>
      </c>
      <c r="G4021" t="s">
        <v>522</v>
      </c>
      <c r="H4021" t="s">
        <v>11080</v>
      </c>
      <c r="I4021">
        <v>1</v>
      </c>
      <c r="J4021">
        <v>0</v>
      </c>
      <c r="K4021">
        <v>0</v>
      </c>
      <c r="L4021">
        <v>1</v>
      </c>
      <c r="M4021">
        <v>0</v>
      </c>
      <c r="N4021">
        <v>0</v>
      </c>
      <c r="O4021">
        <v>0</v>
      </c>
    </row>
    <row r="4022" spans="1:15" x14ac:dyDescent="0.25">
      <c r="A4022" t="s">
        <v>11676</v>
      </c>
      <c r="B4022" t="s">
        <v>2705</v>
      </c>
      <c r="C4022" t="s">
        <v>923</v>
      </c>
      <c r="D4022" t="s">
        <v>3063</v>
      </c>
      <c r="E4022" t="s">
        <v>3053</v>
      </c>
      <c r="F4022" t="s">
        <v>521</v>
      </c>
      <c r="G4022" t="s">
        <v>522</v>
      </c>
      <c r="H4022" t="s">
        <v>12095</v>
      </c>
      <c r="I4022">
        <v>59</v>
      </c>
      <c r="J4022">
        <v>59</v>
      </c>
      <c r="K4022">
        <v>0</v>
      </c>
      <c r="L4022">
        <v>0</v>
      </c>
      <c r="M4022">
        <v>0</v>
      </c>
      <c r="N4022">
        <v>1</v>
      </c>
      <c r="O4022">
        <v>0</v>
      </c>
    </row>
    <row r="4023" spans="1:15" x14ac:dyDescent="0.25">
      <c r="A4023" t="s">
        <v>1008</v>
      </c>
      <c r="B4023" t="s">
        <v>2928</v>
      </c>
      <c r="C4023" t="s">
        <v>927</v>
      </c>
      <c r="D4023" t="s">
        <v>3052</v>
      </c>
      <c r="E4023" t="s">
        <v>3053</v>
      </c>
      <c r="F4023" t="s">
        <v>521</v>
      </c>
      <c r="G4023" t="s">
        <v>522</v>
      </c>
      <c r="H4023" t="s">
        <v>5736</v>
      </c>
      <c r="I4023">
        <v>56</v>
      </c>
      <c r="J4023">
        <v>16</v>
      </c>
      <c r="K4023">
        <v>0</v>
      </c>
      <c r="L4023">
        <v>27</v>
      </c>
      <c r="M4023">
        <v>13</v>
      </c>
      <c r="N4023">
        <v>0</v>
      </c>
      <c r="O4023">
        <v>0</v>
      </c>
    </row>
    <row r="4024" spans="1:15" x14ac:dyDescent="0.25">
      <c r="A4024" t="s">
        <v>1258</v>
      </c>
      <c r="B4024" t="s">
        <v>2349</v>
      </c>
      <c r="C4024" t="s">
        <v>923</v>
      </c>
      <c r="D4024" t="s">
        <v>3063</v>
      </c>
      <c r="E4024" t="s">
        <v>3053</v>
      </c>
      <c r="F4024" t="s">
        <v>521</v>
      </c>
      <c r="G4024" t="s">
        <v>522</v>
      </c>
      <c r="H4024" t="s">
        <v>5737</v>
      </c>
      <c r="I4024">
        <v>16</v>
      </c>
      <c r="J4024">
        <v>16</v>
      </c>
      <c r="K4024">
        <v>0</v>
      </c>
      <c r="L4024">
        <v>0</v>
      </c>
      <c r="M4024">
        <v>0</v>
      </c>
      <c r="N4024">
        <v>0</v>
      </c>
      <c r="O4024">
        <v>0</v>
      </c>
    </row>
    <row r="4025" spans="1:15" x14ac:dyDescent="0.25">
      <c r="A4025" t="s">
        <v>1010</v>
      </c>
      <c r="B4025" t="s">
        <v>2639</v>
      </c>
      <c r="C4025" t="s">
        <v>927</v>
      </c>
      <c r="D4025" t="s">
        <v>3052</v>
      </c>
      <c r="E4025" t="s">
        <v>3053</v>
      </c>
      <c r="F4025" t="s">
        <v>521</v>
      </c>
      <c r="G4025" t="s">
        <v>522</v>
      </c>
      <c r="H4025" t="s">
        <v>5738</v>
      </c>
      <c r="I4025">
        <v>4</v>
      </c>
      <c r="J4025">
        <v>3</v>
      </c>
      <c r="K4025">
        <v>0</v>
      </c>
      <c r="L4025">
        <v>0</v>
      </c>
      <c r="M4025">
        <v>0</v>
      </c>
      <c r="N4025">
        <v>0</v>
      </c>
      <c r="O4025">
        <v>1</v>
      </c>
    </row>
    <row r="4026" spans="1:15" x14ac:dyDescent="0.25">
      <c r="A4026" t="s">
        <v>938</v>
      </c>
      <c r="B4026" t="s">
        <v>2791</v>
      </c>
      <c r="C4026" t="s">
        <v>927</v>
      </c>
      <c r="D4026" t="s">
        <v>3052</v>
      </c>
      <c r="E4026" t="s">
        <v>3053</v>
      </c>
      <c r="F4026" t="s">
        <v>521</v>
      </c>
      <c r="G4026" t="s">
        <v>522</v>
      </c>
      <c r="H4026" t="s">
        <v>5739</v>
      </c>
      <c r="I4026">
        <v>408</v>
      </c>
      <c r="J4026">
        <v>248</v>
      </c>
      <c r="K4026">
        <v>0</v>
      </c>
      <c r="L4026">
        <v>90</v>
      </c>
      <c r="M4026">
        <v>0</v>
      </c>
      <c r="N4026">
        <v>1</v>
      </c>
      <c r="O4026">
        <v>70</v>
      </c>
    </row>
    <row r="4027" spans="1:15" x14ac:dyDescent="0.25">
      <c r="A4027" t="s">
        <v>1013</v>
      </c>
      <c r="B4027" t="s">
        <v>1959</v>
      </c>
      <c r="C4027" t="s">
        <v>927</v>
      </c>
      <c r="D4027" t="s">
        <v>3052</v>
      </c>
      <c r="E4027" t="s">
        <v>3053</v>
      </c>
      <c r="F4027" t="s">
        <v>521</v>
      </c>
      <c r="G4027" t="s">
        <v>522</v>
      </c>
      <c r="H4027" t="s">
        <v>5740</v>
      </c>
      <c r="I4027">
        <v>4</v>
      </c>
      <c r="J4027">
        <v>0</v>
      </c>
      <c r="K4027">
        <v>0</v>
      </c>
      <c r="L4027">
        <v>4</v>
      </c>
      <c r="M4027">
        <v>0</v>
      </c>
      <c r="N4027">
        <v>0</v>
      </c>
      <c r="O4027">
        <v>0</v>
      </c>
    </row>
    <row r="4028" spans="1:15" x14ac:dyDescent="0.25">
      <c r="A4028" t="s">
        <v>1124</v>
      </c>
      <c r="B4028" t="s">
        <v>2981</v>
      </c>
      <c r="C4028" t="s">
        <v>923</v>
      </c>
      <c r="D4028" t="s">
        <v>3063</v>
      </c>
      <c r="E4028" t="s">
        <v>3053</v>
      </c>
      <c r="F4028" t="s">
        <v>521</v>
      </c>
      <c r="G4028" t="s">
        <v>522</v>
      </c>
      <c r="H4028" t="s">
        <v>5741</v>
      </c>
      <c r="I4028">
        <v>1</v>
      </c>
      <c r="J4028">
        <v>1</v>
      </c>
      <c r="K4028">
        <v>0</v>
      </c>
      <c r="L4028">
        <v>0</v>
      </c>
      <c r="M4028">
        <v>0</v>
      </c>
      <c r="N4028">
        <v>0</v>
      </c>
      <c r="O4028">
        <v>0</v>
      </c>
    </row>
    <row r="4029" spans="1:15" x14ac:dyDescent="0.25">
      <c r="A4029" t="s">
        <v>14386</v>
      </c>
      <c r="B4029" t="s">
        <v>2975</v>
      </c>
      <c r="C4029" t="s">
        <v>927</v>
      </c>
      <c r="D4029" t="s">
        <v>3052</v>
      </c>
      <c r="E4029" t="s">
        <v>3053</v>
      </c>
      <c r="F4029" t="s">
        <v>521</v>
      </c>
      <c r="G4029" t="s">
        <v>522</v>
      </c>
      <c r="H4029" t="s">
        <v>14812</v>
      </c>
      <c r="I4029">
        <v>378</v>
      </c>
      <c r="J4029">
        <v>355</v>
      </c>
      <c r="K4029">
        <v>0</v>
      </c>
      <c r="L4029">
        <v>0</v>
      </c>
      <c r="M4029">
        <v>0</v>
      </c>
      <c r="N4029">
        <v>0</v>
      </c>
      <c r="O4029">
        <v>23</v>
      </c>
    </row>
    <row r="4030" spans="1:15" x14ac:dyDescent="0.25">
      <c r="A4030" t="s">
        <v>1025</v>
      </c>
      <c r="B4030" t="s">
        <v>2893</v>
      </c>
      <c r="C4030" t="s">
        <v>927</v>
      </c>
      <c r="D4030" t="s">
        <v>3052</v>
      </c>
      <c r="E4030" t="s">
        <v>3053</v>
      </c>
      <c r="F4030" t="s">
        <v>521</v>
      </c>
      <c r="G4030" t="s">
        <v>522</v>
      </c>
      <c r="H4030" t="s">
        <v>5742</v>
      </c>
      <c r="I4030">
        <v>407</v>
      </c>
      <c r="J4030">
        <v>245</v>
      </c>
      <c r="K4030">
        <v>0</v>
      </c>
      <c r="L4030">
        <v>0</v>
      </c>
      <c r="M4030">
        <v>0</v>
      </c>
      <c r="N4030">
        <v>0</v>
      </c>
      <c r="O4030">
        <v>162</v>
      </c>
    </row>
    <row r="4031" spans="1:15" x14ac:dyDescent="0.25">
      <c r="A4031" t="s">
        <v>1293</v>
      </c>
      <c r="B4031" t="s">
        <v>2910</v>
      </c>
      <c r="C4031" t="s">
        <v>927</v>
      </c>
      <c r="D4031" t="s">
        <v>3052</v>
      </c>
      <c r="E4031" t="s">
        <v>3053</v>
      </c>
      <c r="F4031" t="s">
        <v>521</v>
      </c>
      <c r="G4031" t="s">
        <v>522</v>
      </c>
      <c r="H4031" t="s">
        <v>5743</v>
      </c>
      <c r="I4031">
        <v>9</v>
      </c>
      <c r="J4031">
        <v>0</v>
      </c>
      <c r="K4031">
        <v>0</v>
      </c>
      <c r="L4031">
        <v>9</v>
      </c>
      <c r="M4031">
        <v>0</v>
      </c>
      <c r="N4031">
        <v>0</v>
      </c>
      <c r="O4031">
        <v>0</v>
      </c>
    </row>
    <row r="4032" spans="1:15" x14ac:dyDescent="0.25">
      <c r="A4032" t="s">
        <v>943</v>
      </c>
      <c r="B4032" t="s">
        <v>2694</v>
      </c>
      <c r="C4032" t="s">
        <v>927</v>
      </c>
      <c r="D4032" t="s">
        <v>3052</v>
      </c>
      <c r="E4032" t="s">
        <v>3053</v>
      </c>
      <c r="F4032" t="s">
        <v>521</v>
      </c>
      <c r="G4032" t="s">
        <v>522</v>
      </c>
      <c r="H4032" t="s">
        <v>5744</v>
      </c>
      <c r="I4032">
        <v>566</v>
      </c>
      <c r="J4032">
        <v>513</v>
      </c>
      <c r="K4032">
        <v>0</v>
      </c>
      <c r="L4032">
        <v>0</v>
      </c>
      <c r="M4032">
        <v>0</v>
      </c>
      <c r="N4032">
        <v>0</v>
      </c>
      <c r="O4032">
        <v>53</v>
      </c>
    </row>
    <row r="4033" spans="1:15" x14ac:dyDescent="0.25">
      <c r="A4033" t="s">
        <v>1134</v>
      </c>
      <c r="B4033" t="s">
        <v>2118</v>
      </c>
      <c r="C4033" t="s">
        <v>927</v>
      </c>
      <c r="D4033" t="s">
        <v>3052</v>
      </c>
      <c r="E4033" t="s">
        <v>3053</v>
      </c>
      <c r="F4033" t="s">
        <v>521</v>
      </c>
      <c r="G4033" t="s">
        <v>522</v>
      </c>
      <c r="H4033" t="s">
        <v>5745</v>
      </c>
      <c r="I4033">
        <v>689</v>
      </c>
      <c r="J4033">
        <v>631</v>
      </c>
      <c r="K4033">
        <v>0</v>
      </c>
      <c r="L4033">
        <v>29</v>
      </c>
      <c r="M4033">
        <v>0</v>
      </c>
      <c r="N4033">
        <v>5</v>
      </c>
      <c r="O4033">
        <v>29</v>
      </c>
    </row>
    <row r="4034" spans="1:15" x14ac:dyDescent="0.25">
      <c r="A4034" t="s">
        <v>949</v>
      </c>
      <c r="B4034" t="s">
        <v>3035</v>
      </c>
      <c r="C4034" t="s">
        <v>927</v>
      </c>
      <c r="D4034" t="s">
        <v>3052</v>
      </c>
      <c r="E4034" t="s">
        <v>3053</v>
      </c>
      <c r="F4034" t="s">
        <v>521</v>
      </c>
      <c r="G4034" t="s">
        <v>522</v>
      </c>
      <c r="H4034" t="s">
        <v>5746</v>
      </c>
      <c r="I4034">
        <v>139</v>
      </c>
      <c r="J4034">
        <v>0</v>
      </c>
      <c r="K4034">
        <v>0</v>
      </c>
      <c r="L4034">
        <v>0</v>
      </c>
      <c r="M4034">
        <v>0</v>
      </c>
      <c r="N4034">
        <v>0</v>
      </c>
      <c r="O4034">
        <v>139</v>
      </c>
    </row>
    <row r="4035" spans="1:15" x14ac:dyDescent="0.25">
      <c r="A4035" t="s">
        <v>1135</v>
      </c>
      <c r="B4035" t="s">
        <v>1996</v>
      </c>
      <c r="C4035" t="s">
        <v>923</v>
      </c>
      <c r="D4035" t="s">
        <v>3063</v>
      </c>
      <c r="E4035" t="s">
        <v>3053</v>
      </c>
      <c r="F4035" t="s">
        <v>521</v>
      </c>
      <c r="G4035" t="s">
        <v>522</v>
      </c>
      <c r="H4035" t="s">
        <v>11081</v>
      </c>
      <c r="I4035">
        <v>30</v>
      </c>
      <c r="J4035">
        <v>30</v>
      </c>
      <c r="K4035">
        <v>0</v>
      </c>
      <c r="L4035">
        <v>0</v>
      </c>
      <c r="M4035">
        <v>0</v>
      </c>
      <c r="N4035">
        <v>0</v>
      </c>
      <c r="O4035">
        <v>0</v>
      </c>
    </row>
    <row r="4036" spans="1:15" x14ac:dyDescent="0.25">
      <c r="A4036" t="s">
        <v>1042</v>
      </c>
      <c r="B4036" t="s">
        <v>2115</v>
      </c>
      <c r="C4036" t="s">
        <v>923</v>
      </c>
      <c r="D4036" t="s">
        <v>3063</v>
      </c>
      <c r="E4036" t="s">
        <v>3053</v>
      </c>
      <c r="F4036" t="s">
        <v>521</v>
      </c>
      <c r="G4036" t="s">
        <v>522</v>
      </c>
      <c r="H4036" t="s">
        <v>14813</v>
      </c>
      <c r="I4036">
        <v>6</v>
      </c>
      <c r="J4036">
        <v>0</v>
      </c>
      <c r="K4036">
        <v>0</v>
      </c>
      <c r="L4036">
        <v>6</v>
      </c>
      <c r="M4036">
        <v>0</v>
      </c>
      <c r="N4036">
        <v>0</v>
      </c>
      <c r="O4036">
        <v>0</v>
      </c>
    </row>
    <row r="4037" spans="1:15" x14ac:dyDescent="0.25">
      <c r="A4037" t="s">
        <v>1142</v>
      </c>
      <c r="B4037" t="s">
        <v>3003</v>
      </c>
      <c r="C4037" t="s">
        <v>927</v>
      </c>
      <c r="D4037" t="s">
        <v>3052</v>
      </c>
      <c r="E4037" t="s">
        <v>3053</v>
      </c>
      <c r="F4037" t="s">
        <v>521</v>
      </c>
      <c r="G4037" t="s">
        <v>522</v>
      </c>
      <c r="H4037" t="s">
        <v>5747</v>
      </c>
      <c r="I4037">
        <v>446</v>
      </c>
      <c r="J4037">
        <v>431</v>
      </c>
      <c r="K4037">
        <v>0</v>
      </c>
      <c r="L4037">
        <v>0</v>
      </c>
      <c r="M4037">
        <v>0</v>
      </c>
      <c r="N4037">
        <v>3</v>
      </c>
      <c r="O4037">
        <v>15</v>
      </c>
    </row>
    <row r="4038" spans="1:15" x14ac:dyDescent="0.25">
      <c r="A4038" t="s">
        <v>1043</v>
      </c>
      <c r="B4038" t="s">
        <v>2090</v>
      </c>
      <c r="C4038" t="s">
        <v>927</v>
      </c>
      <c r="D4038" t="s">
        <v>3052</v>
      </c>
      <c r="E4038" t="s">
        <v>3053</v>
      </c>
      <c r="F4038" t="s">
        <v>521</v>
      </c>
      <c r="G4038" t="s">
        <v>522</v>
      </c>
      <c r="H4038" t="s">
        <v>5748</v>
      </c>
      <c r="I4038">
        <v>39</v>
      </c>
      <c r="J4038">
        <v>37</v>
      </c>
      <c r="K4038">
        <v>0</v>
      </c>
      <c r="L4038">
        <v>0</v>
      </c>
      <c r="M4038">
        <v>0</v>
      </c>
      <c r="N4038">
        <v>0</v>
      </c>
      <c r="O4038">
        <v>2</v>
      </c>
    </row>
    <row r="4039" spans="1:15" x14ac:dyDescent="0.25">
      <c r="A4039" t="s">
        <v>1146</v>
      </c>
      <c r="B4039" t="s">
        <v>2117</v>
      </c>
      <c r="C4039" t="s">
        <v>927</v>
      </c>
      <c r="D4039" t="s">
        <v>3052</v>
      </c>
      <c r="E4039" t="s">
        <v>3053</v>
      </c>
      <c r="F4039" t="s">
        <v>521</v>
      </c>
      <c r="G4039" t="s">
        <v>522</v>
      </c>
      <c r="H4039" t="s">
        <v>5749</v>
      </c>
      <c r="I4039">
        <v>1905</v>
      </c>
      <c r="J4039">
        <v>1383</v>
      </c>
      <c r="K4039">
        <v>0</v>
      </c>
      <c r="L4039">
        <v>0</v>
      </c>
      <c r="M4039">
        <v>67</v>
      </c>
      <c r="N4039">
        <v>9</v>
      </c>
      <c r="O4039">
        <v>455</v>
      </c>
    </row>
    <row r="4040" spans="1:15" x14ac:dyDescent="0.25">
      <c r="A4040" t="s">
        <v>11681</v>
      </c>
      <c r="B4040" t="s">
        <v>10690</v>
      </c>
      <c r="C4040" t="s">
        <v>923</v>
      </c>
      <c r="D4040" t="s">
        <v>3063</v>
      </c>
      <c r="E4040" t="s">
        <v>3053</v>
      </c>
      <c r="F4040" t="s">
        <v>521</v>
      </c>
      <c r="G4040" t="s">
        <v>522</v>
      </c>
      <c r="H4040" t="s">
        <v>12096</v>
      </c>
      <c r="I4040">
        <v>36</v>
      </c>
      <c r="J4040">
        <v>36</v>
      </c>
      <c r="K4040">
        <v>0</v>
      </c>
      <c r="L4040">
        <v>0</v>
      </c>
      <c r="M4040">
        <v>0</v>
      </c>
      <c r="N4040">
        <v>0</v>
      </c>
      <c r="O4040">
        <v>0</v>
      </c>
    </row>
    <row r="4041" spans="1:15" x14ac:dyDescent="0.25">
      <c r="A4041" t="s">
        <v>951</v>
      </c>
      <c r="B4041" t="s">
        <v>2680</v>
      </c>
      <c r="C4041" t="s">
        <v>927</v>
      </c>
      <c r="D4041" t="s">
        <v>3052</v>
      </c>
      <c r="E4041" t="s">
        <v>3053</v>
      </c>
      <c r="F4041" t="s">
        <v>521</v>
      </c>
      <c r="G4041" t="s">
        <v>522</v>
      </c>
      <c r="H4041" t="s">
        <v>5750</v>
      </c>
      <c r="I4041">
        <v>129</v>
      </c>
      <c r="J4041">
        <v>123</v>
      </c>
      <c r="K4041">
        <v>0</v>
      </c>
      <c r="L4041">
        <v>0</v>
      </c>
      <c r="M4041">
        <v>0</v>
      </c>
      <c r="N4041">
        <v>0</v>
      </c>
      <c r="O4041">
        <v>6</v>
      </c>
    </row>
    <row r="4042" spans="1:15" x14ac:dyDescent="0.25">
      <c r="A4042" t="s">
        <v>1334</v>
      </c>
      <c r="B4042" t="s">
        <v>2849</v>
      </c>
      <c r="C4042" t="s">
        <v>927</v>
      </c>
      <c r="D4042" t="s">
        <v>3052</v>
      </c>
      <c r="E4042" t="s">
        <v>3053</v>
      </c>
      <c r="F4042" t="s">
        <v>521</v>
      </c>
      <c r="G4042" t="s">
        <v>522</v>
      </c>
      <c r="H4042" t="s">
        <v>5751</v>
      </c>
      <c r="I4042">
        <v>88</v>
      </c>
      <c r="J4042">
        <v>40</v>
      </c>
      <c r="K4042">
        <v>0</v>
      </c>
      <c r="L4042">
        <v>0</v>
      </c>
      <c r="M4042">
        <v>0</v>
      </c>
      <c r="N4042">
        <v>0</v>
      </c>
      <c r="O4042">
        <v>48</v>
      </c>
    </row>
    <row r="4043" spans="1:15" x14ac:dyDescent="0.25">
      <c r="A4043" t="s">
        <v>9788</v>
      </c>
      <c r="B4043" t="s">
        <v>9871</v>
      </c>
      <c r="C4043" t="s">
        <v>927</v>
      </c>
      <c r="D4043" t="s">
        <v>3052</v>
      </c>
      <c r="E4043" t="s">
        <v>3053</v>
      </c>
      <c r="F4043" t="s">
        <v>521</v>
      </c>
      <c r="G4043" t="s">
        <v>522</v>
      </c>
      <c r="H4043" t="s">
        <v>10356</v>
      </c>
      <c r="I4043">
        <v>20</v>
      </c>
      <c r="J4043">
        <v>20</v>
      </c>
      <c r="K4043">
        <v>0</v>
      </c>
      <c r="L4043">
        <v>0</v>
      </c>
      <c r="M4043">
        <v>0</v>
      </c>
      <c r="N4043">
        <v>0</v>
      </c>
      <c r="O4043">
        <v>0</v>
      </c>
    </row>
    <row r="4044" spans="1:15" x14ac:dyDescent="0.25">
      <c r="A4044" t="s">
        <v>955</v>
      </c>
      <c r="B4044" t="s">
        <v>2660</v>
      </c>
      <c r="C4044" t="s">
        <v>927</v>
      </c>
      <c r="D4044" t="s">
        <v>3052</v>
      </c>
      <c r="E4044" t="s">
        <v>3053</v>
      </c>
      <c r="F4044" t="s">
        <v>521</v>
      </c>
      <c r="G4044" t="s">
        <v>522</v>
      </c>
      <c r="H4044" t="s">
        <v>5752</v>
      </c>
      <c r="I4044">
        <v>115</v>
      </c>
      <c r="J4044">
        <v>91</v>
      </c>
      <c r="K4044">
        <v>0</v>
      </c>
      <c r="L4044">
        <v>19</v>
      </c>
      <c r="M4044">
        <v>0</v>
      </c>
      <c r="N4044">
        <v>0</v>
      </c>
      <c r="O4044">
        <v>5</v>
      </c>
    </row>
    <row r="4045" spans="1:15" x14ac:dyDescent="0.25">
      <c r="A4045" t="s">
        <v>1155</v>
      </c>
      <c r="B4045" t="s">
        <v>2912</v>
      </c>
      <c r="C4045" t="s">
        <v>927</v>
      </c>
      <c r="D4045" t="s">
        <v>3052</v>
      </c>
      <c r="E4045" t="s">
        <v>3053</v>
      </c>
      <c r="F4045" t="s">
        <v>521</v>
      </c>
      <c r="G4045" t="s">
        <v>522</v>
      </c>
      <c r="H4045" t="s">
        <v>5753</v>
      </c>
      <c r="I4045">
        <v>313</v>
      </c>
      <c r="J4045">
        <v>192</v>
      </c>
      <c r="K4045">
        <v>0</v>
      </c>
      <c r="L4045">
        <v>27</v>
      </c>
      <c r="M4045">
        <v>0</v>
      </c>
      <c r="N4045">
        <v>1</v>
      </c>
      <c r="O4045">
        <v>94</v>
      </c>
    </row>
    <row r="4046" spans="1:15" x14ac:dyDescent="0.25">
      <c r="A4046" t="s">
        <v>11663</v>
      </c>
      <c r="B4046" t="s">
        <v>11768</v>
      </c>
      <c r="C4046" t="s">
        <v>927</v>
      </c>
      <c r="D4046" t="s">
        <v>3052</v>
      </c>
      <c r="E4046" t="s">
        <v>3053</v>
      </c>
      <c r="F4046" t="s">
        <v>521</v>
      </c>
      <c r="G4046" t="s">
        <v>522</v>
      </c>
      <c r="H4046" t="s">
        <v>12097</v>
      </c>
      <c r="I4046">
        <v>13</v>
      </c>
      <c r="J4046">
        <v>13</v>
      </c>
      <c r="K4046">
        <v>0</v>
      </c>
      <c r="L4046">
        <v>0</v>
      </c>
      <c r="M4046">
        <v>0</v>
      </c>
      <c r="N4046">
        <v>0</v>
      </c>
      <c r="O4046">
        <v>0</v>
      </c>
    </row>
    <row r="4047" spans="1:15" x14ac:dyDescent="0.25">
      <c r="A4047" t="s">
        <v>14380</v>
      </c>
      <c r="B4047" t="s">
        <v>2074</v>
      </c>
      <c r="C4047" t="s">
        <v>927</v>
      </c>
      <c r="D4047" t="s">
        <v>3052</v>
      </c>
      <c r="E4047" t="s">
        <v>3053</v>
      </c>
      <c r="F4047" t="s">
        <v>521</v>
      </c>
      <c r="G4047" t="s">
        <v>522</v>
      </c>
      <c r="H4047" t="s">
        <v>14814</v>
      </c>
      <c r="I4047">
        <v>97</v>
      </c>
      <c r="J4047">
        <v>77</v>
      </c>
      <c r="K4047">
        <v>0</v>
      </c>
      <c r="L4047">
        <v>0</v>
      </c>
      <c r="M4047">
        <v>0</v>
      </c>
      <c r="N4047">
        <v>4</v>
      </c>
      <c r="O4047">
        <v>20</v>
      </c>
    </row>
    <row r="4048" spans="1:15" x14ac:dyDescent="0.25">
      <c r="A4048" t="s">
        <v>14374</v>
      </c>
      <c r="B4048" t="s">
        <v>1943</v>
      </c>
      <c r="C4048" t="s">
        <v>927</v>
      </c>
      <c r="D4048" t="s">
        <v>3052</v>
      </c>
      <c r="E4048" t="s">
        <v>3053</v>
      </c>
      <c r="F4048" t="s">
        <v>521</v>
      </c>
      <c r="G4048" t="s">
        <v>522</v>
      </c>
      <c r="H4048" t="s">
        <v>14815</v>
      </c>
      <c r="I4048">
        <v>42</v>
      </c>
      <c r="J4048">
        <v>0</v>
      </c>
      <c r="K4048">
        <v>0</v>
      </c>
      <c r="L4048">
        <v>0</v>
      </c>
      <c r="M4048">
        <v>0</v>
      </c>
      <c r="N4048">
        <v>0</v>
      </c>
      <c r="O4048">
        <v>42</v>
      </c>
    </row>
    <row r="4049" spans="1:15" x14ac:dyDescent="0.25">
      <c r="A4049" t="s">
        <v>1352</v>
      </c>
      <c r="B4049" t="s">
        <v>2085</v>
      </c>
      <c r="C4049" t="s">
        <v>923</v>
      </c>
      <c r="D4049" t="s">
        <v>3063</v>
      </c>
      <c r="E4049" t="s">
        <v>3053</v>
      </c>
      <c r="F4049" t="s">
        <v>521</v>
      </c>
      <c r="G4049" t="s">
        <v>522</v>
      </c>
      <c r="H4049" t="s">
        <v>11082</v>
      </c>
      <c r="I4049">
        <v>30</v>
      </c>
      <c r="J4049">
        <v>30</v>
      </c>
      <c r="K4049">
        <v>0</v>
      </c>
      <c r="L4049">
        <v>0</v>
      </c>
      <c r="M4049">
        <v>0</v>
      </c>
      <c r="N4049">
        <v>0</v>
      </c>
      <c r="O4049">
        <v>0</v>
      </c>
    </row>
    <row r="4050" spans="1:15" x14ac:dyDescent="0.25">
      <c r="A4050" t="s">
        <v>1359</v>
      </c>
      <c r="B4050" t="s">
        <v>2546</v>
      </c>
      <c r="C4050" t="s">
        <v>923</v>
      </c>
      <c r="D4050" t="s">
        <v>3063</v>
      </c>
      <c r="E4050" t="s">
        <v>3053</v>
      </c>
      <c r="F4050" t="s">
        <v>521</v>
      </c>
      <c r="G4050" t="s">
        <v>522</v>
      </c>
      <c r="H4050" t="s">
        <v>5754</v>
      </c>
      <c r="I4050">
        <v>30</v>
      </c>
      <c r="J4050">
        <v>0</v>
      </c>
      <c r="K4050">
        <v>0</v>
      </c>
      <c r="L4050">
        <v>0</v>
      </c>
      <c r="M4050">
        <v>30</v>
      </c>
      <c r="N4050">
        <v>0</v>
      </c>
      <c r="O4050">
        <v>0</v>
      </c>
    </row>
    <row r="4051" spans="1:15" x14ac:dyDescent="0.25">
      <c r="A4051" t="s">
        <v>1069</v>
      </c>
      <c r="B4051" t="s">
        <v>2001</v>
      </c>
      <c r="C4051" t="s">
        <v>927</v>
      </c>
      <c r="D4051" t="s">
        <v>3052</v>
      </c>
      <c r="E4051" t="s">
        <v>3053</v>
      </c>
      <c r="F4051" t="s">
        <v>521</v>
      </c>
      <c r="G4051" t="s">
        <v>522</v>
      </c>
      <c r="H4051" t="s">
        <v>5755</v>
      </c>
      <c r="I4051">
        <v>1177</v>
      </c>
      <c r="J4051">
        <v>935</v>
      </c>
      <c r="K4051">
        <v>0</v>
      </c>
      <c r="L4051">
        <v>58</v>
      </c>
      <c r="M4051">
        <v>93</v>
      </c>
      <c r="N4051">
        <v>0</v>
      </c>
      <c r="O4051">
        <v>91</v>
      </c>
    </row>
    <row r="4052" spans="1:15" x14ac:dyDescent="0.25">
      <c r="A4052" t="s">
        <v>1072</v>
      </c>
      <c r="B4052" t="s">
        <v>2907</v>
      </c>
      <c r="C4052" t="s">
        <v>927</v>
      </c>
      <c r="D4052" t="s">
        <v>3052</v>
      </c>
      <c r="E4052" t="s">
        <v>3053</v>
      </c>
      <c r="F4052" t="s">
        <v>521</v>
      </c>
      <c r="G4052" t="s">
        <v>522</v>
      </c>
      <c r="H4052" t="s">
        <v>5756</v>
      </c>
      <c r="I4052">
        <v>22</v>
      </c>
      <c r="J4052">
        <v>0</v>
      </c>
      <c r="K4052">
        <v>0</v>
      </c>
      <c r="L4052">
        <v>0</v>
      </c>
      <c r="M4052">
        <v>22</v>
      </c>
      <c r="N4052">
        <v>0</v>
      </c>
      <c r="O4052">
        <v>0</v>
      </c>
    </row>
    <row r="4053" spans="1:15" x14ac:dyDescent="0.25">
      <c r="A4053" t="s">
        <v>1390</v>
      </c>
      <c r="B4053" t="s">
        <v>2978</v>
      </c>
      <c r="C4053" t="s">
        <v>923</v>
      </c>
      <c r="D4053" t="s">
        <v>3063</v>
      </c>
      <c r="E4053" t="s">
        <v>3053</v>
      </c>
      <c r="F4053" t="s">
        <v>521</v>
      </c>
      <c r="G4053" t="s">
        <v>522</v>
      </c>
      <c r="H4053" t="s">
        <v>10512</v>
      </c>
      <c r="I4053">
        <v>1</v>
      </c>
      <c r="J4053">
        <v>1</v>
      </c>
      <c r="K4053">
        <v>0</v>
      </c>
      <c r="L4053">
        <v>0</v>
      </c>
      <c r="M4053">
        <v>0</v>
      </c>
      <c r="N4053">
        <v>0</v>
      </c>
      <c r="O4053">
        <v>0</v>
      </c>
    </row>
    <row r="4054" spans="1:15" x14ac:dyDescent="0.25">
      <c r="A4054" t="s">
        <v>1396</v>
      </c>
      <c r="B4054" t="s">
        <v>2750</v>
      </c>
      <c r="C4054" t="s">
        <v>923</v>
      </c>
      <c r="D4054" t="s">
        <v>3063</v>
      </c>
      <c r="E4054" t="s">
        <v>3053</v>
      </c>
      <c r="F4054" t="s">
        <v>521</v>
      </c>
      <c r="G4054" t="s">
        <v>522</v>
      </c>
      <c r="H4054" t="s">
        <v>5757</v>
      </c>
      <c r="I4054">
        <v>18</v>
      </c>
      <c r="J4054">
        <v>18</v>
      </c>
      <c r="K4054">
        <v>0</v>
      </c>
      <c r="L4054">
        <v>0</v>
      </c>
      <c r="M4054">
        <v>0</v>
      </c>
      <c r="N4054">
        <v>0</v>
      </c>
      <c r="O4054">
        <v>0</v>
      </c>
    </row>
    <row r="4055" spans="1:15" x14ac:dyDescent="0.25">
      <c r="A4055" t="s">
        <v>1398</v>
      </c>
      <c r="B4055" t="s">
        <v>2998</v>
      </c>
      <c r="C4055" t="s">
        <v>927</v>
      </c>
      <c r="D4055" t="s">
        <v>3052</v>
      </c>
      <c r="E4055" t="s">
        <v>3053</v>
      </c>
      <c r="F4055" t="s">
        <v>521</v>
      </c>
      <c r="G4055" t="s">
        <v>522</v>
      </c>
      <c r="H4055" t="s">
        <v>14816</v>
      </c>
      <c r="I4055">
        <v>129</v>
      </c>
      <c r="J4055">
        <v>0</v>
      </c>
      <c r="K4055">
        <v>0</v>
      </c>
      <c r="L4055">
        <v>129</v>
      </c>
      <c r="M4055">
        <v>0</v>
      </c>
      <c r="N4055">
        <v>0</v>
      </c>
      <c r="O4055">
        <v>0</v>
      </c>
    </row>
    <row r="4056" spans="1:15" x14ac:dyDescent="0.25">
      <c r="A4056" t="s">
        <v>974</v>
      </c>
      <c r="B4056" t="s">
        <v>2949</v>
      </c>
      <c r="C4056" t="s">
        <v>923</v>
      </c>
      <c r="D4056" t="s">
        <v>3063</v>
      </c>
      <c r="E4056" t="s">
        <v>3053</v>
      </c>
      <c r="F4056" t="s">
        <v>523</v>
      </c>
      <c r="G4056" t="s">
        <v>524</v>
      </c>
      <c r="H4056" t="s">
        <v>5758</v>
      </c>
      <c r="I4056">
        <v>1</v>
      </c>
      <c r="J4056">
        <v>0</v>
      </c>
      <c r="K4056">
        <v>1</v>
      </c>
      <c r="L4056">
        <v>0</v>
      </c>
      <c r="M4056">
        <v>0</v>
      </c>
      <c r="N4056">
        <v>0</v>
      </c>
      <c r="O4056">
        <v>0</v>
      </c>
    </row>
    <row r="4057" spans="1:15" x14ac:dyDescent="0.25">
      <c r="A4057" t="s">
        <v>926</v>
      </c>
      <c r="B4057" t="s">
        <v>2923</v>
      </c>
      <c r="C4057" t="s">
        <v>927</v>
      </c>
      <c r="D4057" t="s">
        <v>3052</v>
      </c>
      <c r="E4057" t="s">
        <v>3053</v>
      </c>
      <c r="F4057" t="s">
        <v>523</v>
      </c>
      <c r="G4057" t="s">
        <v>524</v>
      </c>
      <c r="H4057" t="s">
        <v>5759</v>
      </c>
      <c r="I4057">
        <v>16</v>
      </c>
      <c r="J4057">
        <v>0</v>
      </c>
      <c r="K4057">
        <v>0</v>
      </c>
      <c r="L4057">
        <v>11</v>
      </c>
      <c r="M4057">
        <v>0</v>
      </c>
      <c r="N4057">
        <v>0</v>
      </c>
      <c r="O4057">
        <v>5</v>
      </c>
    </row>
    <row r="4058" spans="1:15" x14ac:dyDescent="0.25">
      <c r="A4058" t="s">
        <v>929</v>
      </c>
      <c r="B4058" t="s">
        <v>2999</v>
      </c>
      <c r="C4058" t="s">
        <v>927</v>
      </c>
      <c r="D4058" t="s">
        <v>3052</v>
      </c>
      <c r="E4058" t="s">
        <v>3053</v>
      </c>
      <c r="F4058" t="s">
        <v>523</v>
      </c>
      <c r="G4058" t="s">
        <v>524</v>
      </c>
      <c r="H4058" t="s">
        <v>5760</v>
      </c>
      <c r="I4058">
        <v>108</v>
      </c>
      <c r="J4058">
        <v>0</v>
      </c>
      <c r="K4058">
        <v>0</v>
      </c>
      <c r="L4058">
        <v>0</v>
      </c>
      <c r="M4058">
        <v>74</v>
      </c>
      <c r="N4058">
        <v>0</v>
      </c>
      <c r="O4058">
        <v>34</v>
      </c>
    </row>
    <row r="4059" spans="1:15" x14ac:dyDescent="0.25">
      <c r="A4059" t="s">
        <v>9790</v>
      </c>
      <c r="B4059" t="s">
        <v>1977</v>
      </c>
      <c r="C4059" t="s">
        <v>923</v>
      </c>
      <c r="D4059" t="s">
        <v>3063</v>
      </c>
      <c r="E4059" t="s">
        <v>3053</v>
      </c>
      <c r="F4059" t="s">
        <v>523</v>
      </c>
      <c r="G4059" t="s">
        <v>524</v>
      </c>
      <c r="H4059" t="s">
        <v>12098</v>
      </c>
      <c r="I4059">
        <v>20</v>
      </c>
      <c r="J4059">
        <v>0</v>
      </c>
      <c r="K4059">
        <v>0</v>
      </c>
      <c r="L4059">
        <v>20</v>
      </c>
      <c r="M4059">
        <v>0</v>
      </c>
      <c r="N4059">
        <v>0</v>
      </c>
      <c r="O4059">
        <v>0</v>
      </c>
    </row>
    <row r="4060" spans="1:15" x14ac:dyDescent="0.25">
      <c r="A4060" t="s">
        <v>9784</v>
      </c>
      <c r="B4060" t="s">
        <v>1994</v>
      </c>
      <c r="C4060" t="s">
        <v>927</v>
      </c>
      <c r="D4060" t="s">
        <v>3052</v>
      </c>
      <c r="E4060" t="s">
        <v>3053</v>
      </c>
      <c r="F4060" t="s">
        <v>523</v>
      </c>
      <c r="G4060" t="s">
        <v>524</v>
      </c>
      <c r="H4060" t="s">
        <v>9952</v>
      </c>
      <c r="I4060">
        <v>4</v>
      </c>
      <c r="J4060">
        <v>0</v>
      </c>
      <c r="K4060">
        <v>0</v>
      </c>
      <c r="L4060">
        <v>4</v>
      </c>
      <c r="M4060">
        <v>0</v>
      </c>
      <c r="N4060">
        <v>0</v>
      </c>
      <c r="O4060">
        <v>0</v>
      </c>
    </row>
    <row r="4061" spans="1:15" x14ac:dyDescent="0.25">
      <c r="A4061" t="s">
        <v>997</v>
      </c>
      <c r="B4061" t="s">
        <v>2033</v>
      </c>
      <c r="C4061" t="s">
        <v>927</v>
      </c>
      <c r="D4061" t="s">
        <v>3052</v>
      </c>
      <c r="E4061" t="s">
        <v>3053</v>
      </c>
      <c r="F4061" t="s">
        <v>523</v>
      </c>
      <c r="G4061" t="s">
        <v>524</v>
      </c>
      <c r="H4061" t="s">
        <v>5761</v>
      </c>
      <c r="I4061">
        <v>273</v>
      </c>
      <c r="J4061">
        <v>195</v>
      </c>
      <c r="K4061">
        <v>0</v>
      </c>
      <c r="L4061">
        <v>0</v>
      </c>
      <c r="M4061">
        <v>0</v>
      </c>
      <c r="N4061">
        <v>0</v>
      </c>
      <c r="O4061">
        <v>78</v>
      </c>
    </row>
    <row r="4062" spans="1:15" x14ac:dyDescent="0.25">
      <c r="A4062" t="s">
        <v>1416</v>
      </c>
      <c r="B4062" t="s">
        <v>2029</v>
      </c>
      <c r="C4062" t="s">
        <v>923</v>
      </c>
      <c r="D4062" t="s">
        <v>3063</v>
      </c>
      <c r="E4062" t="s">
        <v>3053</v>
      </c>
      <c r="F4062" t="s">
        <v>523</v>
      </c>
      <c r="G4062" t="s">
        <v>524</v>
      </c>
      <c r="H4062" t="s">
        <v>12099</v>
      </c>
      <c r="I4062">
        <v>6</v>
      </c>
      <c r="J4062">
        <v>0</v>
      </c>
      <c r="K4062">
        <v>0</v>
      </c>
      <c r="L4062">
        <v>6</v>
      </c>
      <c r="M4062">
        <v>0</v>
      </c>
      <c r="N4062">
        <v>0</v>
      </c>
      <c r="O4062">
        <v>0</v>
      </c>
    </row>
    <row r="4063" spans="1:15" x14ac:dyDescent="0.25">
      <c r="A4063" t="s">
        <v>1003</v>
      </c>
      <c r="B4063" t="s">
        <v>2862</v>
      </c>
      <c r="C4063" t="s">
        <v>927</v>
      </c>
      <c r="D4063" t="s">
        <v>3052</v>
      </c>
      <c r="E4063" t="s">
        <v>3053</v>
      </c>
      <c r="F4063" t="s">
        <v>523</v>
      </c>
      <c r="G4063" t="s">
        <v>524</v>
      </c>
      <c r="H4063" t="s">
        <v>5762</v>
      </c>
      <c r="I4063">
        <v>18</v>
      </c>
      <c r="J4063">
        <v>3</v>
      </c>
      <c r="K4063">
        <v>0</v>
      </c>
      <c r="L4063">
        <v>0</v>
      </c>
      <c r="M4063">
        <v>0</v>
      </c>
      <c r="N4063">
        <v>0</v>
      </c>
      <c r="O4063">
        <v>15</v>
      </c>
    </row>
    <row r="4064" spans="1:15" x14ac:dyDescent="0.25">
      <c r="A4064" t="s">
        <v>1004</v>
      </c>
      <c r="B4064" t="s">
        <v>2887</v>
      </c>
      <c r="C4064" t="s">
        <v>927</v>
      </c>
      <c r="D4064" t="s">
        <v>3052</v>
      </c>
      <c r="E4064" t="s">
        <v>3053</v>
      </c>
      <c r="F4064" t="s">
        <v>523</v>
      </c>
      <c r="G4064" t="s">
        <v>524</v>
      </c>
      <c r="H4064" t="s">
        <v>12100</v>
      </c>
      <c r="I4064">
        <v>36</v>
      </c>
      <c r="J4064">
        <v>34</v>
      </c>
      <c r="K4064">
        <v>0</v>
      </c>
      <c r="L4064">
        <v>0</v>
      </c>
      <c r="M4064">
        <v>0</v>
      </c>
      <c r="N4064">
        <v>0</v>
      </c>
      <c r="O4064">
        <v>2</v>
      </c>
    </row>
    <row r="4065" spans="1:15" x14ac:dyDescent="0.25">
      <c r="A4065" t="s">
        <v>10638</v>
      </c>
      <c r="B4065" t="s">
        <v>2057</v>
      </c>
      <c r="C4065" t="s">
        <v>927</v>
      </c>
      <c r="D4065" t="s">
        <v>3052</v>
      </c>
      <c r="E4065" t="s">
        <v>3053</v>
      </c>
      <c r="F4065" t="s">
        <v>523</v>
      </c>
      <c r="G4065" t="s">
        <v>524</v>
      </c>
      <c r="H4065" t="s">
        <v>11083</v>
      </c>
      <c r="I4065">
        <v>4</v>
      </c>
      <c r="J4065">
        <v>0</v>
      </c>
      <c r="K4065">
        <v>0</v>
      </c>
      <c r="L4065">
        <v>4</v>
      </c>
      <c r="M4065">
        <v>0</v>
      </c>
      <c r="N4065">
        <v>0</v>
      </c>
      <c r="O4065">
        <v>0</v>
      </c>
    </row>
    <row r="4066" spans="1:15" x14ac:dyDescent="0.25">
      <c r="A4066" t="s">
        <v>1011</v>
      </c>
      <c r="B4066" t="s">
        <v>2020</v>
      </c>
      <c r="C4066" t="s">
        <v>927</v>
      </c>
      <c r="D4066" t="s">
        <v>3052</v>
      </c>
      <c r="E4066" t="s">
        <v>3053</v>
      </c>
      <c r="F4066" t="s">
        <v>523</v>
      </c>
      <c r="G4066" t="s">
        <v>524</v>
      </c>
      <c r="H4066" t="s">
        <v>5763</v>
      </c>
      <c r="I4066">
        <v>6</v>
      </c>
      <c r="J4066">
        <v>0</v>
      </c>
      <c r="K4066">
        <v>0</v>
      </c>
      <c r="L4066">
        <v>6</v>
      </c>
      <c r="M4066">
        <v>0</v>
      </c>
      <c r="N4066">
        <v>0</v>
      </c>
      <c r="O4066">
        <v>0</v>
      </c>
    </row>
    <row r="4067" spans="1:15" x14ac:dyDescent="0.25">
      <c r="A4067" t="s">
        <v>1013</v>
      </c>
      <c r="B4067" t="s">
        <v>1959</v>
      </c>
      <c r="C4067" t="s">
        <v>927</v>
      </c>
      <c r="D4067" t="s">
        <v>3052</v>
      </c>
      <c r="E4067" t="s">
        <v>3053</v>
      </c>
      <c r="F4067" t="s">
        <v>523</v>
      </c>
      <c r="G4067" t="s">
        <v>524</v>
      </c>
      <c r="H4067" t="s">
        <v>5764</v>
      </c>
      <c r="I4067">
        <v>44</v>
      </c>
      <c r="J4067">
        <v>0</v>
      </c>
      <c r="K4067">
        <v>0</v>
      </c>
      <c r="L4067">
        <v>44</v>
      </c>
      <c r="M4067">
        <v>0</v>
      </c>
      <c r="N4067">
        <v>0</v>
      </c>
      <c r="O4067">
        <v>0</v>
      </c>
    </row>
    <row r="4068" spans="1:15" x14ac:dyDescent="0.25">
      <c r="A4068" t="s">
        <v>1126</v>
      </c>
      <c r="B4068" t="s">
        <v>2130</v>
      </c>
      <c r="C4068" t="s">
        <v>927</v>
      </c>
      <c r="D4068" t="s">
        <v>3052</v>
      </c>
      <c r="E4068" t="s">
        <v>3053</v>
      </c>
      <c r="F4068" t="s">
        <v>523</v>
      </c>
      <c r="G4068" t="s">
        <v>524</v>
      </c>
      <c r="H4068" t="s">
        <v>14817</v>
      </c>
      <c r="I4068">
        <v>32</v>
      </c>
      <c r="J4068">
        <v>15</v>
      </c>
      <c r="K4068">
        <v>0</v>
      </c>
      <c r="L4068">
        <v>0</v>
      </c>
      <c r="M4068">
        <v>0</v>
      </c>
      <c r="N4068">
        <v>0</v>
      </c>
      <c r="O4068">
        <v>17</v>
      </c>
    </row>
    <row r="4069" spans="1:15" x14ac:dyDescent="0.25">
      <c r="A4069" t="s">
        <v>10681</v>
      </c>
      <c r="B4069" t="s">
        <v>10680</v>
      </c>
      <c r="C4069" t="s">
        <v>927</v>
      </c>
      <c r="D4069" t="s">
        <v>3052</v>
      </c>
      <c r="E4069" t="s">
        <v>3053</v>
      </c>
      <c r="F4069" t="s">
        <v>523</v>
      </c>
      <c r="G4069" t="s">
        <v>524</v>
      </c>
      <c r="H4069" t="s">
        <v>14818</v>
      </c>
      <c r="I4069">
        <v>9</v>
      </c>
      <c r="J4069">
        <v>0</v>
      </c>
      <c r="K4069">
        <v>0</v>
      </c>
      <c r="L4069">
        <v>0</v>
      </c>
      <c r="M4069">
        <v>0</v>
      </c>
      <c r="N4069">
        <v>0</v>
      </c>
      <c r="O4069">
        <v>9</v>
      </c>
    </row>
    <row r="4070" spans="1:15" x14ac:dyDescent="0.25">
      <c r="A4070" t="s">
        <v>1030</v>
      </c>
      <c r="B4070" t="s">
        <v>2880</v>
      </c>
      <c r="C4070" t="s">
        <v>927</v>
      </c>
      <c r="D4070" t="s">
        <v>3052</v>
      </c>
      <c r="E4070" t="s">
        <v>3053</v>
      </c>
      <c r="F4070" t="s">
        <v>523</v>
      </c>
      <c r="G4070" t="s">
        <v>524</v>
      </c>
      <c r="H4070" t="s">
        <v>5765</v>
      </c>
      <c r="I4070">
        <v>469</v>
      </c>
      <c r="J4070">
        <v>353</v>
      </c>
      <c r="K4070">
        <v>0</v>
      </c>
      <c r="L4070">
        <v>0</v>
      </c>
      <c r="M4070">
        <v>0</v>
      </c>
      <c r="N4070">
        <v>0</v>
      </c>
      <c r="O4070">
        <v>116</v>
      </c>
    </row>
    <row r="4071" spans="1:15" x14ac:dyDescent="0.25">
      <c r="A4071" t="s">
        <v>1032</v>
      </c>
      <c r="B4071" t="s">
        <v>2037</v>
      </c>
      <c r="C4071" t="s">
        <v>923</v>
      </c>
      <c r="D4071" t="s">
        <v>3063</v>
      </c>
      <c r="E4071" t="s">
        <v>3053</v>
      </c>
      <c r="F4071" t="s">
        <v>523</v>
      </c>
      <c r="G4071" t="s">
        <v>524</v>
      </c>
      <c r="H4071" t="s">
        <v>5766</v>
      </c>
      <c r="I4071">
        <v>12</v>
      </c>
      <c r="J4071">
        <v>0</v>
      </c>
      <c r="K4071">
        <v>0</v>
      </c>
      <c r="L4071">
        <v>12</v>
      </c>
      <c r="M4071">
        <v>0</v>
      </c>
      <c r="N4071">
        <v>0</v>
      </c>
      <c r="O4071">
        <v>0</v>
      </c>
    </row>
    <row r="4072" spans="1:15" x14ac:dyDescent="0.25">
      <c r="A4072" t="s">
        <v>1038</v>
      </c>
      <c r="B4072" t="s">
        <v>2068</v>
      </c>
      <c r="C4072" t="s">
        <v>927</v>
      </c>
      <c r="D4072" t="s">
        <v>3052</v>
      </c>
      <c r="E4072" t="s">
        <v>3053</v>
      </c>
      <c r="F4072" t="s">
        <v>523</v>
      </c>
      <c r="G4072" t="s">
        <v>524</v>
      </c>
      <c r="H4072" t="s">
        <v>5767</v>
      </c>
      <c r="I4072">
        <v>157</v>
      </c>
      <c r="J4072">
        <v>102</v>
      </c>
      <c r="K4072">
        <v>0</v>
      </c>
      <c r="L4072">
        <v>3</v>
      </c>
      <c r="M4072">
        <v>0</v>
      </c>
      <c r="N4072">
        <v>0</v>
      </c>
      <c r="O4072">
        <v>52</v>
      </c>
    </row>
    <row r="4073" spans="1:15" x14ac:dyDescent="0.25">
      <c r="A4073" t="s">
        <v>1041</v>
      </c>
      <c r="B4073" t="s">
        <v>2826</v>
      </c>
      <c r="C4073" t="s">
        <v>927</v>
      </c>
      <c r="D4073" t="s">
        <v>3052</v>
      </c>
      <c r="E4073" t="s">
        <v>3053</v>
      </c>
      <c r="F4073" t="s">
        <v>523</v>
      </c>
      <c r="G4073" t="s">
        <v>524</v>
      </c>
      <c r="H4073" t="s">
        <v>5768</v>
      </c>
      <c r="I4073">
        <v>43</v>
      </c>
      <c r="J4073">
        <v>3</v>
      </c>
      <c r="K4073">
        <v>0</v>
      </c>
      <c r="L4073">
        <v>0</v>
      </c>
      <c r="M4073">
        <v>0</v>
      </c>
      <c r="N4073">
        <v>0</v>
      </c>
      <c r="O4073">
        <v>40</v>
      </c>
    </row>
    <row r="4074" spans="1:15" x14ac:dyDescent="0.25">
      <c r="A4074" t="s">
        <v>9787</v>
      </c>
      <c r="B4074" t="s">
        <v>2822</v>
      </c>
      <c r="C4074" t="s">
        <v>927</v>
      </c>
      <c r="D4074" t="s">
        <v>3052</v>
      </c>
      <c r="E4074" t="s">
        <v>3053</v>
      </c>
      <c r="F4074" t="s">
        <v>523</v>
      </c>
      <c r="G4074" t="s">
        <v>524</v>
      </c>
      <c r="H4074" t="s">
        <v>10258</v>
      </c>
      <c r="I4074">
        <v>702</v>
      </c>
      <c r="J4074">
        <v>683</v>
      </c>
      <c r="K4074">
        <v>0</v>
      </c>
      <c r="L4074">
        <v>0</v>
      </c>
      <c r="M4074">
        <v>19</v>
      </c>
      <c r="N4074">
        <v>2</v>
      </c>
      <c r="O4074">
        <v>0</v>
      </c>
    </row>
    <row r="4075" spans="1:15" x14ac:dyDescent="0.25">
      <c r="A4075" t="s">
        <v>1043</v>
      </c>
      <c r="B4075" t="s">
        <v>2090</v>
      </c>
      <c r="C4075" t="s">
        <v>927</v>
      </c>
      <c r="D4075" t="s">
        <v>3052</v>
      </c>
      <c r="E4075" t="s">
        <v>3053</v>
      </c>
      <c r="F4075" t="s">
        <v>523</v>
      </c>
      <c r="G4075" t="s">
        <v>524</v>
      </c>
      <c r="H4075" t="s">
        <v>5769</v>
      </c>
      <c r="I4075">
        <v>109</v>
      </c>
      <c r="J4075">
        <v>70</v>
      </c>
      <c r="K4075">
        <v>0</v>
      </c>
      <c r="L4075">
        <v>12</v>
      </c>
      <c r="M4075">
        <v>25</v>
      </c>
      <c r="N4075">
        <v>0</v>
      </c>
      <c r="O4075">
        <v>2</v>
      </c>
    </row>
    <row r="4076" spans="1:15" x14ac:dyDescent="0.25">
      <c r="A4076" t="s">
        <v>1048</v>
      </c>
      <c r="B4076" t="s">
        <v>2989</v>
      </c>
      <c r="C4076" t="s">
        <v>927</v>
      </c>
      <c r="D4076" t="s">
        <v>3052</v>
      </c>
      <c r="E4076" t="s">
        <v>3053</v>
      </c>
      <c r="F4076" t="s">
        <v>523</v>
      </c>
      <c r="G4076" t="s">
        <v>524</v>
      </c>
      <c r="H4076" t="s">
        <v>12101</v>
      </c>
      <c r="I4076">
        <v>165</v>
      </c>
      <c r="J4076">
        <v>160</v>
      </c>
      <c r="K4076">
        <v>0</v>
      </c>
      <c r="L4076">
        <v>0</v>
      </c>
      <c r="M4076">
        <v>0</v>
      </c>
      <c r="N4076">
        <v>0</v>
      </c>
      <c r="O4076">
        <v>5</v>
      </c>
    </row>
    <row r="4077" spans="1:15" x14ac:dyDescent="0.25">
      <c r="A4077" t="s">
        <v>1049</v>
      </c>
      <c r="B4077" t="s">
        <v>2138</v>
      </c>
      <c r="C4077" t="s">
        <v>927</v>
      </c>
      <c r="D4077" t="s">
        <v>3052</v>
      </c>
      <c r="E4077" t="s">
        <v>3053</v>
      </c>
      <c r="F4077" t="s">
        <v>523</v>
      </c>
      <c r="G4077" t="s">
        <v>524</v>
      </c>
      <c r="H4077" t="s">
        <v>5770</v>
      </c>
      <c r="I4077">
        <v>473</v>
      </c>
      <c r="J4077">
        <v>320</v>
      </c>
      <c r="K4077">
        <v>0</v>
      </c>
      <c r="L4077">
        <v>0</v>
      </c>
      <c r="M4077">
        <v>0</v>
      </c>
      <c r="N4077">
        <v>0</v>
      </c>
      <c r="O4077">
        <v>153</v>
      </c>
    </row>
    <row r="4078" spans="1:15" x14ac:dyDescent="0.25">
      <c r="A4078" t="s">
        <v>1051</v>
      </c>
      <c r="B4078" t="s">
        <v>2995</v>
      </c>
      <c r="C4078" t="s">
        <v>927</v>
      </c>
      <c r="D4078" t="s">
        <v>3052</v>
      </c>
      <c r="E4078" t="s">
        <v>3053</v>
      </c>
      <c r="F4078" t="s">
        <v>523</v>
      </c>
      <c r="G4078" t="s">
        <v>524</v>
      </c>
      <c r="H4078" t="s">
        <v>5771</v>
      </c>
      <c r="I4078">
        <v>11</v>
      </c>
      <c r="J4078">
        <v>0</v>
      </c>
      <c r="K4078">
        <v>0</v>
      </c>
      <c r="L4078">
        <v>11</v>
      </c>
      <c r="M4078">
        <v>0</v>
      </c>
      <c r="N4078">
        <v>0</v>
      </c>
      <c r="O4078">
        <v>0</v>
      </c>
    </row>
    <row r="4079" spans="1:15" x14ac:dyDescent="0.25">
      <c r="A4079" t="s">
        <v>962</v>
      </c>
      <c r="B4079" t="s">
        <v>2752</v>
      </c>
      <c r="C4079" t="s">
        <v>927</v>
      </c>
      <c r="D4079" t="s">
        <v>3052</v>
      </c>
      <c r="E4079" t="s">
        <v>3053</v>
      </c>
      <c r="F4079" t="s">
        <v>523</v>
      </c>
      <c r="G4079" t="s">
        <v>524</v>
      </c>
      <c r="H4079" t="s">
        <v>5772</v>
      </c>
      <c r="I4079">
        <v>140</v>
      </c>
      <c r="J4079">
        <v>111</v>
      </c>
      <c r="K4079">
        <v>0</v>
      </c>
      <c r="L4079">
        <v>0</v>
      </c>
      <c r="M4079">
        <v>0</v>
      </c>
      <c r="N4079">
        <v>0</v>
      </c>
      <c r="O4079">
        <v>29</v>
      </c>
    </row>
    <row r="4080" spans="1:15" x14ac:dyDescent="0.25">
      <c r="A4080" t="s">
        <v>1072</v>
      </c>
      <c r="B4080" t="s">
        <v>2907</v>
      </c>
      <c r="C4080" t="s">
        <v>927</v>
      </c>
      <c r="D4080" t="s">
        <v>3052</v>
      </c>
      <c r="E4080" t="s">
        <v>3053</v>
      </c>
      <c r="F4080" t="s">
        <v>523</v>
      </c>
      <c r="G4080" t="s">
        <v>524</v>
      </c>
      <c r="H4080" t="s">
        <v>5773</v>
      </c>
      <c r="I4080">
        <v>243</v>
      </c>
      <c r="J4080">
        <v>154</v>
      </c>
      <c r="K4080">
        <v>0</v>
      </c>
      <c r="L4080">
        <v>26</v>
      </c>
      <c r="M4080">
        <v>30</v>
      </c>
      <c r="N4080">
        <v>0</v>
      </c>
      <c r="O4080">
        <v>33</v>
      </c>
    </row>
    <row r="4081" spans="1:15" x14ac:dyDescent="0.25">
      <c r="A4081" t="s">
        <v>1078</v>
      </c>
      <c r="B4081" t="s">
        <v>1950</v>
      </c>
      <c r="C4081" t="s">
        <v>923</v>
      </c>
      <c r="D4081" t="s">
        <v>3063</v>
      </c>
      <c r="E4081" t="s">
        <v>3053</v>
      </c>
      <c r="F4081" t="s">
        <v>523</v>
      </c>
      <c r="G4081" t="s">
        <v>524</v>
      </c>
      <c r="H4081" t="s">
        <v>5774</v>
      </c>
      <c r="I4081">
        <v>22</v>
      </c>
      <c r="J4081">
        <v>0</v>
      </c>
      <c r="K4081">
        <v>0</v>
      </c>
      <c r="L4081">
        <v>22</v>
      </c>
      <c r="M4081">
        <v>0</v>
      </c>
      <c r="N4081">
        <v>0</v>
      </c>
      <c r="O4081">
        <v>0</v>
      </c>
    </row>
    <row r="4082" spans="1:15" x14ac:dyDescent="0.25">
      <c r="A4082" t="s">
        <v>1079</v>
      </c>
      <c r="B4082" t="s">
        <v>2810</v>
      </c>
      <c r="C4082" t="s">
        <v>927</v>
      </c>
      <c r="D4082" t="s">
        <v>3052</v>
      </c>
      <c r="E4082" t="s">
        <v>3053</v>
      </c>
      <c r="F4082" t="s">
        <v>523</v>
      </c>
      <c r="G4082" t="s">
        <v>524</v>
      </c>
      <c r="H4082" t="s">
        <v>5775</v>
      </c>
      <c r="I4082">
        <v>76</v>
      </c>
      <c r="J4082">
        <v>52</v>
      </c>
      <c r="K4082">
        <v>0</v>
      </c>
      <c r="L4082">
        <v>0</v>
      </c>
      <c r="M4082">
        <v>0</v>
      </c>
      <c r="N4082">
        <v>0</v>
      </c>
      <c r="O4082">
        <v>24</v>
      </c>
    </row>
    <row r="4083" spans="1:15" x14ac:dyDescent="0.25">
      <c r="A4083" t="s">
        <v>1564</v>
      </c>
      <c r="B4083" t="s">
        <v>3039</v>
      </c>
      <c r="C4083" t="s">
        <v>927</v>
      </c>
      <c r="D4083" t="s">
        <v>3052</v>
      </c>
      <c r="E4083" t="s">
        <v>3053</v>
      </c>
      <c r="F4083" t="s">
        <v>525</v>
      </c>
      <c r="G4083" t="s">
        <v>526</v>
      </c>
      <c r="H4083" t="s">
        <v>12102</v>
      </c>
      <c r="I4083">
        <v>1</v>
      </c>
      <c r="J4083">
        <v>0</v>
      </c>
      <c r="K4083">
        <v>0</v>
      </c>
      <c r="L4083">
        <v>0</v>
      </c>
      <c r="M4083">
        <v>0</v>
      </c>
      <c r="N4083">
        <v>0</v>
      </c>
      <c r="O4083">
        <v>1</v>
      </c>
    </row>
    <row r="4084" spans="1:15" x14ac:dyDescent="0.25">
      <c r="A4084" t="s">
        <v>1196</v>
      </c>
      <c r="B4084" t="s">
        <v>3004</v>
      </c>
      <c r="C4084" t="s">
        <v>927</v>
      </c>
      <c r="D4084" t="s">
        <v>3052</v>
      </c>
      <c r="E4084" t="s">
        <v>3053</v>
      </c>
      <c r="F4084" t="s">
        <v>525</v>
      </c>
      <c r="G4084" t="s">
        <v>526</v>
      </c>
      <c r="H4084" t="s">
        <v>5776</v>
      </c>
      <c r="I4084">
        <v>107</v>
      </c>
      <c r="J4084">
        <v>65</v>
      </c>
      <c r="K4084">
        <v>0</v>
      </c>
      <c r="L4084">
        <v>0</v>
      </c>
      <c r="M4084">
        <v>0</v>
      </c>
      <c r="N4084">
        <v>0</v>
      </c>
      <c r="O4084">
        <v>42</v>
      </c>
    </row>
    <row r="4085" spans="1:15" x14ac:dyDescent="0.25">
      <c r="A4085" t="s">
        <v>929</v>
      </c>
      <c r="B4085" t="s">
        <v>2999</v>
      </c>
      <c r="C4085" t="s">
        <v>927</v>
      </c>
      <c r="D4085" t="s">
        <v>3052</v>
      </c>
      <c r="E4085" t="s">
        <v>3053</v>
      </c>
      <c r="F4085" t="s">
        <v>525</v>
      </c>
      <c r="G4085" t="s">
        <v>526</v>
      </c>
      <c r="H4085" t="s">
        <v>5777</v>
      </c>
      <c r="I4085">
        <v>71</v>
      </c>
      <c r="J4085">
        <v>0</v>
      </c>
      <c r="K4085">
        <v>0</v>
      </c>
      <c r="L4085">
        <v>0</v>
      </c>
      <c r="M4085">
        <v>71</v>
      </c>
      <c r="N4085">
        <v>0</v>
      </c>
      <c r="O4085">
        <v>0</v>
      </c>
    </row>
    <row r="4086" spans="1:15" x14ac:dyDescent="0.25">
      <c r="A4086" t="s">
        <v>931</v>
      </c>
      <c r="B4086" t="s">
        <v>1978</v>
      </c>
      <c r="C4086" t="s">
        <v>927</v>
      </c>
      <c r="D4086" t="s">
        <v>3052</v>
      </c>
      <c r="E4086" t="s">
        <v>3053</v>
      </c>
      <c r="F4086" t="s">
        <v>525</v>
      </c>
      <c r="G4086" t="s">
        <v>526</v>
      </c>
      <c r="H4086" t="s">
        <v>11084</v>
      </c>
      <c r="I4086">
        <v>33</v>
      </c>
      <c r="J4086">
        <v>17</v>
      </c>
      <c r="K4086">
        <v>0</v>
      </c>
      <c r="L4086">
        <v>0</v>
      </c>
      <c r="M4086">
        <v>0</v>
      </c>
      <c r="N4086">
        <v>0</v>
      </c>
      <c r="O4086">
        <v>16</v>
      </c>
    </row>
    <row r="4087" spans="1:15" x14ac:dyDescent="0.25">
      <c r="A4087" t="s">
        <v>933</v>
      </c>
      <c r="B4087" t="s">
        <v>2106</v>
      </c>
      <c r="C4087" t="s">
        <v>927</v>
      </c>
      <c r="D4087" t="s">
        <v>3052</v>
      </c>
      <c r="E4087" t="s">
        <v>3053</v>
      </c>
      <c r="F4087" t="s">
        <v>525</v>
      </c>
      <c r="G4087" t="s">
        <v>526</v>
      </c>
      <c r="H4087" t="s">
        <v>5778</v>
      </c>
      <c r="I4087">
        <v>438</v>
      </c>
      <c r="J4087">
        <v>290</v>
      </c>
      <c r="K4087">
        <v>0</v>
      </c>
      <c r="L4087">
        <v>0</v>
      </c>
      <c r="M4087">
        <v>0</v>
      </c>
      <c r="N4087">
        <v>0</v>
      </c>
      <c r="O4087">
        <v>148</v>
      </c>
    </row>
    <row r="4088" spans="1:15" x14ac:dyDescent="0.25">
      <c r="A4088" t="s">
        <v>998</v>
      </c>
      <c r="B4088" t="s">
        <v>2820</v>
      </c>
      <c r="C4088" t="s">
        <v>927</v>
      </c>
      <c r="D4088" t="s">
        <v>3052</v>
      </c>
      <c r="E4088" t="s">
        <v>3053</v>
      </c>
      <c r="F4088" t="s">
        <v>525</v>
      </c>
      <c r="G4088" t="s">
        <v>526</v>
      </c>
      <c r="H4088" t="s">
        <v>5779</v>
      </c>
      <c r="I4088">
        <v>13</v>
      </c>
      <c r="J4088">
        <v>11</v>
      </c>
      <c r="K4088">
        <v>0</v>
      </c>
      <c r="L4088">
        <v>0</v>
      </c>
      <c r="M4088">
        <v>0</v>
      </c>
      <c r="N4088">
        <v>0</v>
      </c>
      <c r="O4088">
        <v>2</v>
      </c>
    </row>
    <row r="4089" spans="1:15" x14ac:dyDescent="0.25">
      <c r="A4089" t="s">
        <v>1610</v>
      </c>
      <c r="B4089" t="s">
        <v>2736</v>
      </c>
      <c r="C4089" t="s">
        <v>923</v>
      </c>
      <c r="D4089" t="s">
        <v>3063</v>
      </c>
      <c r="E4089" t="s">
        <v>3053</v>
      </c>
      <c r="F4089" t="s">
        <v>525</v>
      </c>
      <c r="G4089" t="s">
        <v>526</v>
      </c>
      <c r="H4089" t="s">
        <v>5780</v>
      </c>
      <c r="I4089">
        <v>34</v>
      </c>
      <c r="J4089">
        <v>34</v>
      </c>
      <c r="K4089">
        <v>0</v>
      </c>
      <c r="L4089">
        <v>0</v>
      </c>
      <c r="M4089">
        <v>0</v>
      </c>
      <c r="N4089">
        <v>0</v>
      </c>
      <c r="O4089">
        <v>0</v>
      </c>
    </row>
    <row r="4090" spans="1:15" x14ac:dyDescent="0.25">
      <c r="A4090" t="s">
        <v>1010</v>
      </c>
      <c r="B4090" t="s">
        <v>2639</v>
      </c>
      <c r="C4090" t="s">
        <v>927</v>
      </c>
      <c r="D4090" t="s">
        <v>3052</v>
      </c>
      <c r="E4090" t="s">
        <v>3053</v>
      </c>
      <c r="F4090" t="s">
        <v>525</v>
      </c>
      <c r="G4090" t="s">
        <v>526</v>
      </c>
      <c r="H4090" t="s">
        <v>5781</v>
      </c>
      <c r="I4090">
        <v>10</v>
      </c>
      <c r="J4090">
        <v>6</v>
      </c>
      <c r="K4090">
        <v>0</v>
      </c>
      <c r="L4090">
        <v>0</v>
      </c>
      <c r="M4090">
        <v>0</v>
      </c>
      <c r="N4090">
        <v>0</v>
      </c>
      <c r="O4090">
        <v>4</v>
      </c>
    </row>
    <row r="4091" spans="1:15" x14ac:dyDescent="0.25">
      <c r="A4091" t="s">
        <v>937</v>
      </c>
      <c r="B4091" t="s">
        <v>1962</v>
      </c>
      <c r="C4091" t="s">
        <v>927</v>
      </c>
      <c r="D4091" t="s">
        <v>3052</v>
      </c>
      <c r="E4091" t="s">
        <v>3053</v>
      </c>
      <c r="F4091" t="s">
        <v>525</v>
      </c>
      <c r="G4091" t="s">
        <v>526</v>
      </c>
      <c r="H4091" t="s">
        <v>5782</v>
      </c>
      <c r="I4091">
        <v>8</v>
      </c>
      <c r="J4091">
        <v>0</v>
      </c>
      <c r="K4091">
        <v>0</v>
      </c>
      <c r="L4091">
        <v>0</v>
      </c>
      <c r="M4091">
        <v>0</v>
      </c>
      <c r="N4091">
        <v>0</v>
      </c>
      <c r="O4091">
        <v>8</v>
      </c>
    </row>
    <row r="4092" spans="1:15" x14ac:dyDescent="0.25">
      <c r="A4092" t="s">
        <v>938</v>
      </c>
      <c r="B4092" t="s">
        <v>2791</v>
      </c>
      <c r="C4092" t="s">
        <v>927</v>
      </c>
      <c r="D4092" t="s">
        <v>3052</v>
      </c>
      <c r="E4092" t="s">
        <v>3053</v>
      </c>
      <c r="F4092" t="s">
        <v>525</v>
      </c>
      <c r="G4092" t="s">
        <v>526</v>
      </c>
      <c r="H4092" t="s">
        <v>5783</v>
      </c>
      <c r="I4092">
        <v>3</v>
      </c>
      <c r="J4092">
        <v>0</v>
      </c>
      <c r="K4092">
        <v>0</v>
      </c>
      <c r="L4092">
        <v>0</v>
      </c>
      <c r="M4092">
        <v>0</v>
      </c>
      <c r="N4092">
        <v>0</v>
      </c>
      <c r="O4092">
        <v>3</v>
      </c>
    </row>
    <row r="4093" spans="1:15" x14ac:dyDescent="0.25">
      <c r="A4093" t="s">
        <v>940</v>
      </c>
      <c r="B4093" t="s">
        <v>2647</v>
      </c>
      <c r="C4093" t="s">
        <v>927</v>
      </c>
      <c r="D4093" t="s">
        <v>3052</v>
      </c>
      <c r="E4093" t="s">
        <v>3053</v>
      </c>
      <c r="F4093" t="s">
        <v>525</v>
      </c>
      <c r="G4093" t="s">
        <v>526</v>
      </c>
      <c r="H4093" t="s">
        <v>5784</v>
      </c>
      <c r="I4093">
        <v>61</v>
      </c>
      <c r="J4093">
        <v>0</v>
      </c>
      <c r="K4093">
        <v>0</v>
      </c>
      <c r="L4093">
        <v>0</v>
      </c>
      <c r="M4093">
        <v>61</v>
      </c>
      <c r="N4093">
        <v>0</v>
      </c>
      <c r="O4093">
        <v>0</v>
      </c>
    </row>
    <row r="4094" spans="1:15" x14ac:dyDescent="0.25">
      <c r="A4094" t="s">
        <v>1012</v>
      </c>
      <c r="B4094" t="s">
        <v>2911</v>
      </c>
      <c r="C4094" t="s">
        <v>927</v>
      </c>
      <c r="D4094" t="s">
        <v>3052</v>
      </c>
      <c r="E4094" t="s">
        <v>3053</v>
      </c>
      <c r="F4094" t="s">
        <v>525</v>
      </c>
      <c r="G4094" t="s">
        <v>526</v>
      </c>
      <c r="H4094" t="s">
        <v>5785</v>
      </c>
      <c r="I4094">
        <v>433</v>
      </c>
      <c r="J4094">
        <v>322</v>
      </c>
      <c r="K4094">
        <v>0</v>
      </c>
      <c r="L4094">
        <v>7</v>
      </c>
      <c r="M4094">
        <v>0</v>
      </c>
      <c r="N4094">
        <v>3</v>
      </c>
      <c r="O4094">
        <v>104</v>
      </c>
    </row>
    <row r="4095" spans="1:15" x14ac:dyDescent="0.25">
      <c r="A4095" t="s">
        <v>10667</v>
      </c>
      <c r="B4095" t="s">
        <v>10666</v>
      </c>
      <c r="C4095" t="s">
        <v>927</v>
      </c>
      <c r="D4095" t="s">
        <v>3052</v>
      </c>
      <c r="E4095" t="s">
        <v>3053</v>
      </c>
      <c r="F4095" t="s">
        <v>525</v>
      </c>
      <c r="G4095" t="s">
        <v>526</v>
      </c>
      <c r="H4095" t="s">
        <v>14819</v>
      </c>
      <c r="I4095">
        <v>10</v>
      </c>
      <c r="J4095">
        <v>10</v>
      </c>
      <c r="K4095">
        <v>0</v>
      </c>
      <c r="L4095">
        <v>0</v>
      </c>
      <c r="M4095">
        <v>0</v>
      </c>
      <c r="N4095">
        <v>0</v>
      </c>
      <c r="O4095">
        <v>0</v>
      </c>
    </row>
    <row r="4096" spans="1:15" x14ac:dyDescent="0.25">
      <c r="A4096" t="s">
        <v>1126</v>
      </c>
      <c r="B4096" t="s">
        <v>2130</v>
      </c>
      <c r="C4096" t="s">
        <v>927</v>
      </c>
      <c r="D4096" t="s">
        <v>3052</v>
      </c>
      <c r="E4096" t="s">
        <v>3053</v>
      </c>
      <c r="F4096" t="s">
        <v>525</v>
      </c>
      <c r="G4096" t="s">
        <v>526</v>
      </c>
      <c r="H4096" t="s">
        <v>11085</v>
      </c>
      <c r="I4096">
        <v>82</v>
      </c>
      <c r="J4096">
        <v>20</v>
      </c>
      <c r="K4096">
        <v>0</v>
      </c>
      <c r="L4096">
        <v>0</v>
      </c>
      <c r="M4096">
        <v>0</v>
      </c>
      <c r="N4096">
        <v>0</v>
      </c>
      <c r="O4096">
        <v>62</v>
      </c>
    </row>
    <row r="4097" spans="1:15" x14ac:dyDescent="0.25">
      <c r="A4097" t="s">
        <v>1025</v>
      </c>
      <c r="B4097" t="s">
        <v>2893</v>
      </c>
      <c r="C4097" t="s">
        <v>927</v>
      </c>
      <c r="D4097" t="s">
        <v>3052</v>
      </c>
      <c r="E4097" t="s">
        <v>3053</v>
      </c>
      <c r="F4097" t="s">
        <v>525</v>
      </c>
      <c r="G4097" t="s">
        <v>526</v>
      </c>
      <c r="H4097" t="s">
        <v>5786</v>
      </c>
      <c r="I4097">
        <v>4</v>
      </c>
      <c r="J4097">
        <v>0</v>
      </c>
      <c r="K4097">
        <v>0</v>
      </c>
      <c r="L4097">
        <v>0</v>
      </c>
      <c r="M4097">
        <v>0</v>
      </c>
      <c r="N4097">
        <v>0</v>
      </c>
      <c r="O4097">
        <v>4</v>
      </c>
    </row>
    <row r="4098" spans="1:15" x14ac:dyDescent="0.25">
      <c r="A4098" t="s">
        <v>943</v>
      </c>
      <c r="B4098" t="s">
        <v>2694</v>
      </c>
      <c r="C4098" t="s">
        <v>927</v>
      </c>
      <c r="D4098" t="s">
        <v>3052</v>
      </c>
      <c r="E4098" t="s">
        <v>3053</v>
      </c>
      <c r="F4098" t="s">
        <v>525</v>
      </c>
      <c r="G4098" t="s">
        <v>526</v>
      </c>
      <c r="H4098" t="s">
        <v>5787</v>
      </c>
      <c r="I4098">
        <v>1</v>
      </c>
      <c r="J4098">
        <v>0</v>
      </c>
      <c r="K4098">
        <v>0</v>
      </c>
      <c r="L4098">
        <v>0</v>
      </c>
      <c r="M4098">
        <v>0</v>
      </c>
      <c r="N4098">
        <v>0</v>
      </c>
      <c r="O4098">
        <v>1</v>
      </c>
    </row>
    <row r="4099" spans="1:15" x14ac:dyDescent="0.25">
      <c r="A4099" t="s">
        <v>945</v>
      </c>
      <c r="B4099" t="s">
        <v>2668</v>
      </c>
      <c r="C4099" t="s">
        <v>927</v>
      </c>
      <c r="D4099" t="s">
        <v>3052</v>
      </c>
      <c r="E4099" t="s">
        <v>3053</v>
      </c>
      <c r="F4099" t="s">
        <v>525</v>
      </c>
      <c r="G4099" t="s">
        <v>526</v>
      </c>
      <c r="H4099" t="s">
        <v>5788</v>
      </c>
      <c r="I4099">
        <v>462</v>
      </c>
      <c r="J4099">
        <v>212</v>
      </c>
      <c r="K4099">
        <v>0</v>
      </c>
      <c r="L4099">
        <v>0</v>
      </c>
      <c r="M4099">
        <v>32</v>
      </c>
      <c r="N4099">
        <v>0</v>
      </c>
      <c r="O4099">
        <v>218</v>
      </c>
    </row>
    <row r="4100" spans="1:15" x14ac:dyDescent="0.25">
      <c r="A4100" t="s">
        <v>1300</v>
      </c>
      <c r="B4100" t="s">
        <v>2644</v>
      </c>
      <c r="C4100" t="s">
        <v>927</v>
      </c>
      <c r="D4100" t="s">
        <v>3052</v>
      </c>
      <c r="E4100" t="s">
        <v>3053</v>
      </c>
      <c r="F4100" t="s">
        <v>525</v>
      </c>
      <c r="G4100" t="s">
        <v>526</v>
      </c>
      <c r="H4100" t="s">
        <v>5789</v>
      </c>
      <c r="I4100">
        <v>27</v>
      </c>
      <c r="J4100">
        <v>2</v>
      </c>
      <c r="K4100">
        <v>0</v>
      </c>
      <c r="L4100">
        <v>0</v>
      </c>
      <c r="M4100">
        <v>22</v>
      </c>
      <c r="N4100">
        <v>0</v>
      </c>
      <c r="O4100">
        <v>3</v>
      </c>
    </row>
    <row r="4101" spans="1:15" x14ac:dyDescent="0.25">
      <c r="A4101" t="s">
        <v>1041</v>
      </c>
      <c r="B4101" t="s">
        <v>2826</v>
      </c>
      <c r="C4101" t="s">
        <v>927</v>
      </c>
      <c r="D4101" t="s">
        <v>3052</v>
      </c>
      <c r="E4101" t="s">
        <v>3053</v>
      </c>
      <c r="F4101" t="s">
        <v>525</v>
      </c>
      <c r="G4101" t="s">
        <v>526</v>
      </c>
      <c r="H4101" t="s">
        <v>5790</v>
      </c>
      <c r="I4101">
        <v>96</v>
      </c>
      <c r="J4101">
        <v>0</v>
      </c>
      <c r="K4101">
        <v>0</v>
      </c>
      <c r="L4101">
        <v>0</v>
      </c>
      <c r="M4101">
        <v>0</v>
      </c>
      <c r="N4101">
        <v>0</v>
      </c>
      <c r="O4101">
        <v>96</v>
      </c>
    </row>
    <row r="4102" spans="1:15" x14ac:dyDescent="0.25">
      <c r="A4102" t="s">
        <v>9787</v>
      </c>
      <c r="B4102" t="s">
        <v>2822</v>
      </c>
      <c r="C4102" t="s">
        <v>927</v>
      </c>
      <c r="D4102" t="s">
        <v>3052</v>
      </c>
      <c r="E4102" t="s">
        <v>3053</v>
      </c>
      <c r="F4102" t="s">
        <v>525</v>
      </c>
      <c r="G4102" t="s">
        <v>526</v>
      </c>
      <c r="H4102" t="s">
        <v>10259</v>
      </c>
      <c r="I4102">
        <v>115</v>
      </c>
      <c r="J4102">
        <v>115</v>
      </c>
      <c r="K4102">
        <v>0</v>
      </c>
      <c r="L4102">
        <v>0</v>
      </c>
      <c r="M4102">
        <v>0</v>
      </c>
      <c r="N4102">
        <v>0</v>
      </c>
      <c r="O4102">
        <v>0</v>
      </c>
    </row>
    <row r="4103" spans="1:15" x14ac:dyDescent="0.25">
      <c r="A4103" t="s">
        <v>951</v>
      </c>
      <c r="B4103" t="s">
        <v>2680</v>
      </c>
      <c r="C4103" t="s">
        <v>927</v>
      </c>
      <c r="D4103" t="s">
        <v>3052</v>
      </c>
      <c r="E4103" t="s">
        <v>3053</v>
      </c>
      <c r="F4103" t="s">
        <v>525</v>
      </c>
      <c r="G4103" t="s">
        <v>526</v>
      </c>
      <c r="H4103" t="s">
        <v>5791</v>
      </c>
      <c r="I4103">
        <v>3</v>
      </c>
      <c r="J4103">
        <v>3</v>
      </c>
      <c r="K4103">
        <v>0</v>
      </c>
      <c r="L4103">
        <v>0</v>
      </c>
      <c r="M4103">
        <v>0</v>
      </c>
      <c r="N4103">
        <v>0</v>
      </c>
      <c r="O4103">
        <v>0</v>
      </c>
    </row>
    <row r="4104" spans="1:15" x14ac:dyDescent="0.25">
      <c r="A4104" t="s">
        <v>1331</v>
      </c>
      <c r="B4104" t="s">
        <v>2856</v>
      </c>
      <c r="C4104" t="s">
        <v>927</v>
      </c>
      <c r="D4104" t="s">
        <v>3052</v>
      </c>
      <c r="E4104" t="s">
        <v>3053</v>
      </c>
      <c r="F4104" t="s">
        <v>525</v>
      </c>
      <c r="G4104" t="s">
        <v>526</v>
      </c>
      <c r="H4104" t="s">
        <v>5792</v>
      </c>
      <c r="I4104">
        <v>159</v>
      </c>
      <c r="J4104">
        <v>73</v>
      </c>
      <c r="K4104">
        <v>0</v>
      </c>
      <c r="L4104">
        <v>0</v>
      </c>
      <c r="M4104">
        <v>0</v>
      </c>
      <c r="N4104">
        <v>0</v>
      </c>
      <c r="O4104">
        <v>86</v>
      </c>
    </row>
    <row r="4105" spans="1:15" x14ac:dyDescent="0.25">
      <c r="A4105" t="s">
        <v>1653</v>
      </c>
      <c r="B4105" t="s">
        <v>2741</v>
      </c>
      <c r="C4105" t="s">
        <v>923</v>
      </c>
      <c r="D4105" t="s">
        <v>3063</v>
      </c>
      <c r="E4105" t="s">
        <v>3053</v>
      </c>
      <c r="F4105" t="s">
        <v>525</v>
      </c>
      <c r="G4105" t="s">
        <v>526</v>
      </c>
      <c r="H4105" t="s">
        <v>5793</v>
      </c>
      <c r="I4105">
        <v>32</v>
      </c>
      <c r="J4105">
        <v>0</v>
      </c>
      <c r="K4105">
        <v>0</v>
      </c>
      <c r="L4105">
        <v>0</v>
      </c>
      <c r="M4105">
        <v>32</v>
      </c>
      <c r="N4105">
        <v>0</v>
      </c>
      <c r="O4105">
        <v>0</v>
      </c>
    </row>
    <row r="4106" spans="1:15" x14ac:dyDescent="0.25">
      <c r="A4106" t="s">
        <v>9788</v>
      </c>
      <c r="B4106" t="s">
        <v>9871</v>
      </c>
      <c r="C4106" t="s">
        <v>927</v>
      </c>
      <c r="D4106" t="s">
        <v>3052</v>
      </c>
      <c r="E4106" t="s">
        <v>3053</v>
      </c>
      <c r="F4106" t="s">
        <v>525</v>
      </c>
      <c r="G4106" t="s">
        <v>526</v>
      </c>
      <c r="H4106" t="s">
        <v>11086</v>
      </c>
      <c r="I4106">
        <v>12</v>
      </c>
      <c r="J4106">
        <v>12</v>
      </c>
      <c r="K4106">
        <v>0</v>
      </c>
      <c r="L4106">
        <v>0</v>
      </c>
      <c r="M4106">
        <v>0</v>
      </c>
      <c r="N4106">
        <v>0</v>
      </c>
      <c r="O4106">
        <v>0</v>
      </c>
    </row>
    <row r="4107" spans="1:15" x14ac:dyDescent="0.25">
      <c r="A4107" t="s">
        <v>955</v>
      </c>
      <c r="B4107" t="s">
        <v>2660</v>
      </c>
      <c r="C4107" t="s">
        <v>927</v>
      </c>
      <c r="D4107" t="s">
        <v>3052</v>
      </c>
      <c r="E4107" t="s">
        <v>3053</v>
      </c>
      <c r="F4107" t="s">
        <v>525</v>
      </c>
      <c r="G4107" t="s">
        <v>526</v>
      </c>
      <c r="H4107" t="s">
        <v>5794</v>
      </c>
      <c r="I4107">
        <v>75</v>
      </c>
      <c r="J4107">
        <v>67</v>
      </c>
      <c r="K4107">
        <v>0</v>
      </c>
      <c r="L4107">
        <v>0</v>
      </c>
      <c r="M4107">
        <v>4</v>
      </c>
      <c r="N4107">
        <v>0</v>
      </c>
      <c r="O4107">
        <v>4</v>
      </c>
    </row>
    <row r="4108" spans="1:15" x14ac:dyDescent="0.25">
      <c r="A4108" t="s">
        <v>1654</v>
      </c>
      <c r="B4108" t="s">
        <v>2850</v>
      </c>
      <c r="C4108" t="s">
        <v>927</v>
      </c>
      <c r="D4108" t="s">
        <v>3052</v>
      </c>
      <c r="E4108" t="s">
        <v>3053</v>
      </c>
      <c r="F4108" t="s">
        <v>525</v>
      </c>
      <c r="G4108" t="s">
        <v>526</v>
      </c>
      <c r="H4108" t="s">
        <v>5795</v>
      </c>
      <c r="I4108">
        <v>4788</v>
      </c>
      <c r="J4108">
        <v>3890</v>
      </c>
      <c r="K4108">
        <v>0</v>
      </c>
      <c r="L4108">
        <v>5</v>
      </c>
      <c r="M4108">
        <v>712</v>
      </c>
      <c r="N4108">
        <v>0</v>
      </c>
      <c r="O4108">
        <v>181</v>
      </c>
    </row>
    <row r="4109" spans="1:15" x14ac:dyDescent="0.25">
      <c r="A4109" t="s">
        <v>1661</v>
      </c>
      <c r="B4109" t="s">
        <v>2764</v>
      </c>
      <c r="C4109" t="s">
        <v>923</v>
      </c>
      <c r="D4109" t="s">
        <v>3063</v>
      </c>
      <c r="E4109" t="s">
        <v>3053</v>
      </c>
      <c r="F4109" t="s">
        <v>525</v>
      </c>
      <c r="G4109" t="s">
        <v>526</v>
      </c>
      <c r="H4109" t="s">
        <v>5796</v>
      </c>
      <c r="I4109">
        <v>33</v>
      </c>
      <c r="J4109">
        <v>0</v>
      </c>
      <c r="K4109">
        <v>0</v>
      </c>
      <c r="L4109">
        <v>33</v>
      </c>
      <c r="M4109">
        <v>0</v>
      </c>
      <c r="N4109">
        <v>0</v>
      </c>
      <c r="O4109">
        <v>0</v>
      </c>
    </row>
    <row r="4110" spans="1:15" x14ac:dyDescent="0.25">
      <c r="A4110" t="s">
        <v>11663</v>
      </c>
      <c r="B4110" t="s">
        <v>11768</v>
      </c>
      <c r="C4110" t="s">
        <v>927</v>
      </c>
      <c r="D4110" t="s">
        <v>3052</v>
      </c>
      <c r="E4110" t="s">
        <v>3053</v>
      </c>
      <c r="F4110" t="s">
        <v>525</v>
      </c>
      <c r="G4110" t="s">
        <v>526</v>
      </c>
      <c r="H4110" t="s">
        <v>12103</v>
      </c>
      <c r="I4110">
        <v>1180</v>
      </c>
      <c r="J4110">
        <v>916</v>
      </c>
      <c r="K4110">
        <v>0</v>
      </c>
      <c r="L4110">
        <v>0</v>
      </c>
      <c r="M4110">
        <v>105</v>
      </c>
      <c r="N4110">
        <v>5</v>
      </c>
      <c r="O4110">
        <v>159</v>
      </c>
    </row>
    <row r="4111" spans="1:15" x14ac:dyDescent="0.25">
      <c r="A4111" t="s">
        <v>14374</v>
      </c>
      <c r="B4111" t="s">
        <v>1943</v>
      </c>
      <c r="C4111" t="s">
        <v>927</v>
      </c>
      <c r="D4111" t="s">
        <v>3052</v>
      </c>
      <c r="E4111" t="s">
        <v>3053</v>
      </c>
      <c r="F4111" t="s">
        <v>525</v>
      </c>
      <c r="G4111" t="s">
        <v>526</v>
      </c>
      <c r="H4111" t="s">
        <v>14820</v>
      </c>
      <c r="I4111">
        <v>5</v>
      </c>
      <c r="J4111">
        <v>0</v>
      </c>
      <c r="K4111">
        <v>0</v>
      </c>
      <c r="L4111">
        <v>0</v>
      </c>
      <c r="M4111">
        <v>0</v>
      </c>
      <c r="N4111">
        <v>0</v>
      </c>
      <c r="O4111">
        <v>5</v>
      </c>
    </row>
    <row r="4112" spans="1:15" x14ac:dyDescent="0.25">
      <c r="A4112" t="s">
        <v>1062</v>
      </c>
      <c r="B4112" t="s">
        <v>1993</v>
      </c>
      <c r="C4112" t="s">
        <v>927</v>
      </c>
      <c r="D4112" t="s">
        <v>3052</v>
      </c>
      <c r="E4112" t="s">
        <v>3053</v>
      </c>
      <c r="F4112" t="s">
        <v>525</v>
      </c>
      <c r="G4112" t="s">
        <v>526</v>
      </c>
      <c r="H4112" t="s">
        <v>5797</v>
      </c>
      <c r="I4112">
        <v>3</v>
      </c>
      <c r="J4112">
        <v>0</v>
      </c>
      <c r="K4112">
        <v>0</v>
      </c>
      <c r="L4112">
        <v>0</v>
      </c>
      <c r="M4112">
        <v>0</v>
      </c>
      <c r="N4112">
        <v>0</v>
      </c>
      <c r="O4112">
        <v>3</v>
      </c>
    </row>
    <row r="4113" spans="1:15" x14ac:dyDescent="0.25">
      <c r="A4113" t="s">
        <v>962</v>
      </c>
      <c r="B4113" t="s">
        <v>2752</v>
      </c>
      <c r="C4113" t="s">
        <v>927</v>
      </c>
      <c r="D4113" t="s">
        <v>3052</v>
      </c>
      <c r="E4113" t="s">
        <v>3053</v>
      </c>
      <c r="F4113" t="s">
        <v>525</v>
      </c>
      <c r="G4113" t="s">
        <v>526</v>
      </c>
      <c r="H4113" t="s">
        <v>5798</v>
      </c>
      <c r="I4113">
        <v>118</v>
      </c>
      <c r="J4113">
        <v>112</v>
      </c>
      <c r="K4113">
        <v>0</v>
      </c>
      <c r="L4113">
        <v>0</v>
      </c>
      <c r="M4113">
        <v>0</v>
      </c>
      <c r="N4113">
        <v>0</v>
      </c>
      <c r="O4113">
        <v>6</v>
      </c>
    </row>
    <row r="4114" spans="1:15" x14ac:dyDescent="0.25">
      <c r="A4114" t="s">
        <v>1069</v>
      </c>
      <c r="B4114" t="s">
        <v>2001</v>
      </c>
      <c r="C4114" t="s">
        <v>927</v>
      </c>
      <c r="D4114" t="s">
        <v>3052</v>
      </c>
      <c r="E4114" t="s">
        <v>3053</v>
      </c>
      <c r="F4114" t="s">
        <v>525</v>
      </c>
      <c r="G4114" t="s">
        <v>526</v>
      </c>
      <c r="H4114" t="s">
        <v>5799</v>
      </c>
      <c r="I4114">
        <v>14</v>
      </c>
      <c r="J4114">
        <v>14</v>
      </c>
      <c r="K4114">
        <v>0</v>
      </c>
      <c r="L4114">
        <v>0</v>
      </c>
      <c r="M4114">
        <v>0</v>
      </c>
      <c r="N4114">
        <v>0</v>
      </c>
      <c r="O4114">
        <v>0</v>
      </c>
    </row>
    <row r="4115" spans="1:15" x14ac:dyDescent="0.25">
      <c r="A4115" t="s">
        <v>1071</v>
      </c>
      <c r="B4115" t="s">
        <v>2571</v>
      </c>
      <c r="C4115" t="s">
        <v>923</v>
      </c>
      <c r="D4115" t="s">
        <v>3063</v>
      </c>
      <c r="E4115" t="s">
        <v>3053</v>
      </c>
      <c r="F4115" t="s">
        <v>525</v>
      </c>
      <c r="G4115" t="s">
        <v>526</v>
      </c>
      <c r="H4115" t="s">
        <v>5800</v>
      </c>
      <c r="I4115">
        <v>8</v>
      </c>
      <c r="J4115">
        <v>0</v>
      </c>
      <c r="K4115">
        <v>0</v>
      </c>
      <c r="L4115">
        <v>8</v>
      </c>
      <c r="M4115">
        <v>0</v>
      </c>
      <c r="N4115">
        <v>0</v>
      </c>
      <c r="O4115">
        <v>0</v>
      </c>
    </row>
    <row r="4116" spans="1:15" x14ac:dyDescent="0.25">
      <c r="A4116" t="s">
        <v>968</v>
      </c>
      <c r="B4116" t="s">
        <v>2091</v>
      </c>
      <c r="C4116" t="s">
        <v>927</v>
      </c>
      <c r="D4116" t="s">
        <v>3052</v>
      </c>
      <c r="E4116" t="s">
        <v>3053</v>
      </c>
      <c r="F4116" t="s">
        <v>525</v>
      </c>
      <c r="G4116" t="s">
        <v>526</v>
      </c>
      <c r="H4116" t="s">
        <v>11087</v>
      </c>
      <c r="I4116">
        <v>53</v>
      </c>
      <c r="J4116">
        <v>35</v>
      </c>
      <c r="K4116">
        <v>0</v>
      </c>
      <c r="L4116">
        <v>0</v>
      </c>
      <c r="M4116">
        <v>0</v>
      </c>
      <c r="N4116">
        <v>0</v>
      </c>
      <c r="O4116">
        <v>18</v>
      </c>
    </row>
    <row r="4117" spans="1:15" x14ac:dyDescent="0.25">
      <c r="A4117" t="s">
        <v>1697</v>
      </c>
      <c r="B4117" t="s">
        <v>3009</v>
      </c>
      <c r="C4117" t="s">
        <v>927</v>
      </c>
      <c r="D4117" t="s">
        <v>3052</v>
      </c>
      <c r="E4117" t="s">
        <v>3053</v>
      </c>
      <c r="F4117" t="s">
        <v>525</v>
      </c>
      <c r="G4117" t="s">
        <v>526</v>
      </c>
      <c r="H4117" t="s">
        <v>14821</v>
      </c>
      <c r="I4117">
        <v>26</v>
      </c>
      <c r="J4117">
        <v>18</v>
      </c>
      <c r="K4117">
        <v>0</v>
      </c>
      <c r="L4117">
        <v>0</v>
      </c>
      <c r="M4117">
        <v>0</v>
      </c>
      <c r="N4117">
        <v>0</v>
      </c>
      <c r="O4117">
        <v>8</v>
      </c>
    </row>
    <row r="4118" spans="1:15" x14ac:dyDescent="0.25">
      <c r="A4118" t="s">
        <v>1699</v>
      </c>
      <c r="B4118" t="s">
        <v>1949</v>
      </c>
      <c r="C4118" t="s">
        <v>923</v>
      </c>
      <c r="D4118" t="s">
        <v>3063</v>
      </c>
      <c r="E4118" t="s">
        <v>3053</v>
      </c>
      <c r="F4118" t="s">
        <v>525</v>
      </c>
      <c r="G4118" t="s">
        <v>526</v>
      </c>
      <c r="H4118" t="s">
        <v>5801</v>
      </c>
      <c r="I4118">
        <v>50</v>
      </c>
      <c r="J4118">
        <v>0</v>
      </c>
      <c r="K4118">
        <v>0</v>
      </c>
      <c r="L4118">
        <v>50</v>
      </c>
      <c r="M4118">
        <v>0</v>
      </c>
      <c r="N4118">
        <v>0</v>
      </c>
      <c r="O4118">
        <v>0</v>
      </c>
    </row>
    <row r="4119" spans="1:15" x14ac:dyDescent="0.25">
      <c r="A4119" t="s">
        <v>1195</v>
      </c>
      <c r="B4119" t="s">
        <v>2924</v>
      </c>
      <c r="C4119" t="s">
        <v>927</v>
      </c>
      <c r="D4119" t="s">
        <v>3052</v>
      </c>
      <c r="E4119" t="s">
        <v>3053</v>
      </c>
      <c r="F4119" t="s">
        <v>527</v>
      </c>
      <c r="G4119" t="s">
        <v>528</v>
      </c>
      <c r="H4119" t="s">
        <v>5802</v>
      </c>
      <c r="I4119">
        <v>1215</v>
      </c>
      <c r="J4119">
        <v>863</v>
      </c>
      <c r="K4119">
        <v>0</v>
      </c>
      <c r="L4119">
        <v>0</v>
      </c>
      <c r="M4119">
        <v>0</v>
      </c>
      <c r="N4119">
        <v>0</v>
      </c>
      <c r="O4119">
        <v>352</v>
      </c>
    </row>
    <row r="4120" spans="1:15" x14ac:dyDescent="0.25">
      <c r="A4120" t="s">
        <v>1564</v>
      </c>
      <c r="B4120" t="s">
        <v>3039</v>
      </c>
      <c r="C4120" t="s">
        <v>927</v>
      </c>
      <c r="D4120" t="s">
        <v>3052</v>
      </c>
      <c r="E4120" t="s">
        <v>3053</v>
      </c>
      <c r="F4120" t="s">
        <v>527</v>
      </c>
      <c r="G4120" t="s">
        <v>528</v>
      </c>
      <c r="H4120" t="s">
        <v>12104</v>
      </c>
      <c r="I4120">
        <v>164</v>
      </c>
      <c r="J4120">
        <v>0</v>
      </c>
      <c r="K4120">
        <v>0</v>
      </c>
      <c r="L4120">
        <v>0</v>
      </c>
      <c r="M4120">
        <v>0</v>
      </c>
      <c r="N4120">
        <v>0</v>
      </c>
      <c r="O4120">
        <v>164</v>
      </c>
    </row>
    <row r="4121" spans="1:15" x14ac:dyDescent="0.25">
      <c r="A4121" t="s">
        <v>1196</v>
      </c>
      <c r="B4121" t="s">
        <v>3004</v>
      </c>
      <c r="C4121" t="s">
        <v>927</v>
      </c>
      <c r="D4121" t="s">
        <v>3052</v>
      </c>
      <c r="E4121" t="s">
        <v>3053</v>
      </c>
      <c r="F4121" t="s">
        <v>527</v>
      </c>
      <c r="G4121" t="s">
        <v>528</v>
      </c>
      <c r="H4121" t="s">
        <v>5803</v>
      </c>
      <c r="I4121">
        <v>887</v>
      </c>
      <c r="J4121">
        <v>695</v>
      </c>
      <c r="K4121">
        <v>0</v>
      </c>
      <c r="L4121">
        <v>0</v>
      </c>
      <c r="M4121">
        <v>0</v>
      </c>
      <c r="N4121">
        <v>0</v>
      </c>
      <c r="O4121">
        <v>192</v>
      </c>
    </row>
    <row r="4122" spans="1:15" x14ac:dyDescent="0.25">
      <c r="A4122" t="s">
        <v>1209</v>
      </c>
      <c r="B4122" t="s">
        <v>2513</v>
      </c>
      <c r="C4122" t="s">
        <v>923</v>
      </c>
      <c r="D4122" t="s">
        <v>3063</v>
      </c>
      <c r="E4122" t="s">
        <v>3053</v>
      </c>
      <c r="F4122" t="s">
        <v>527</v>
      </c>
      <c r="G4122" t="s">
        <v>528</v>
      </c>
      <c r="H4122" t="s">
        <v>5804</v>
      </c>
      <c r="I4122">
        <v>55</v>
      </c>
      <c r="J4122">
        <v>55</v>
      </c>
      <c r="K4122">
        <v>0</v>
      </c>
      <c r="L4122">
        <v>0</v>
      </c>
      <c r="M4122">
        <v>0</v>
      </c>
      <c r="N4122">
        <v>0</v>
      </c>
      <c r="O4122">
        <v>0</v>
      </c>
    </row>
    <row r="4123" spans="1:15" x14ac:dyDescent="0.25">
      <c r="A4123" t="s">
        <v>1212</v>
      </c>
      <c r="B4123" t="s">
        <v>2004</v>
      </c>
      <c r="C4123" t="s">
        <v>923</v>
      </c>
      <c r="D4123" t="s">
        <v>3063</v>
      </c>
      <c r="E4123" t="s">
        <v>3053</v>
      </c>
      <c r="F4123" t="s">
        <v>527</v>
      </c>
      <c r="G4123" t="s">
        <v>528</v>
      </c>
      <c r="H4123" t="s">
        <v>5805</v>
      </c>
      <c r="I4123">
        <v>30</v>
      </c>
      <c r="J4123">
        <v>0</v>
      </c>
      <c r="K4123">
        <v>23</v>
      </c>
      <c r="L4123">
        <v>7</v>
      </c>
      <c r="M4123">
        <v>0</v>
      </c>
      <c r="N4123">
        <v>0</v>
      </c>
      <c r="O4123">
        <v>0</v>
      </c>
    </row>
    <row r="4124" spans="1:15" x14ac:dyDescent="0.25">
      <c r="A4124" t="s">
        <v>1218</v>
      </c>
      <c r="B4124" t="s">
        <v>2565</v>
      </c>
      <c r="C4124" t="s">
        <v>927</v>
      </c>
      <c r="D4124" t="s">
        <v>3052</v>
      </c>
      <c r="E4124" t="s">
        <v>3053</v>
      </c>
      <c r="F4124" t="s">
        <v>527</v>
      </c>
      <c r="G4124" t="s">
        <v>528</v>
      </c>
      <c r="H4124" t="s">
        <v>5806</v>
      </c>
      <c r="I4124">
        <v>38</v>
      </c>
      <c r="J4124">
        <v>6</v>
      </c>
      <c r="K4124">
        <v>0</v>
      </c>
      <c r="L4124">
        <v>32</v>
      </c>
      <c r="M4124">
        <v>0</v>
      </c>
      <c r="N4124">
        <v>0</v>
      </c>
      <c r="O4124">
        <v>0</v>
      </c>
    </row>
    <row r="4125" spans="1:15" x14ac:dyDescent="0.25">
      <c r="A4125" t="s">
        <v>989</v>
      </c>
      <c r="B4125" t="s">
        <v>2016</v>
      </c>
      <c r="C4125" t="s">
        <v>923</v>
      </c>
      <c r="D4125" t="s">
        <v>3063</v>
      </c>
      <c r="E4125" t="s">
        <v>3053</v>
      </c>
      <c r="F4125" t="s">
        <v>527</v>
      </c>
      <c r="G4125" t="s">
        <v>528</v>
      </c>
      <c r="H4125" t="s">
        <v>5807</v>
      </c>
      <c r="I4125">
        <v>17</v>
      </c>
      <c r="J4125">
        <v>0</v>
      </c>
      <c r="K4125">
        <v>0</v>
      </c>
      <c r="L4125">
        <v>17</v>
      </c>
      <c r="M4125">
        <v>0</v>
      </c>
      <c r="N4125">
        <v>0</v>
      </c>
      <c r="O4125">
        <v>0</v>
      </c>
    </row>
    <row r="4126" spans="1:15" x14ac:dyDescent="0.25">
      <c r="A4126" t="s">
        <v>933</v>
      </c>
      <c r="B4126" t="s">
        <v>2106</v>
      </c>
      <c r="C4126" t="s">
        <v>927</v>
      </c>
      <c r="D4126" t="s">
        <v>3052</v>
      </c>
      <c r="E4126" t="s">
        <v>3053</v>
      </c>
      <c r="F4126" t="s">
        <v>527</v>
      </c>
      <c r="G4126" t="s">
        <v>528</v>
      </c>
      <c r="H4126" t="s">
        <v>5808</v>
      </c>
      <c r="I4126">
        <v>85</v>
      </c>
      <c r="J4126">
        <v>66</v>
      </c>
      <c r="K4126">
        <v>0</v>
      </c>
      <c r="L4126">
        <v>0</v>
      </c>
      <c r="M4126">
        <v>0</v>
      </c>
      <c r="N4126">
        <v>0</v>
      </c>
      <c r="O4126">
        <v>19</v>
      </c>
    </row>
    <row r="4127" spans="1:15" x14ac:dyDescent="0.25">
      <c r="A4127" t="s">
        <v>1104</v>
      </c>
      <c r="B4127" t="s">
        <v>2483</v>
      </c>
      <c r="C4127" t="s">
        <v>923</v>
      </c>
      <c r="D4127" t="s">
        <v>3063</v>
      </c>
      <c r="E4127" t="s">
        <v>3053</v>
      </c>
      <c r="F4127" t="s">
        <v>527</v>
      </c>
      <c r="G4127" t="s">
        <v>528</v>
      </c>
      <c r="H4127" t="s">
        <v>5809</v>
      </c>
      <c r="I4127">
        <v>106</v>
      </c>
      <c r="J4127">
        <v>106</v>
      </c>
      <c r="K4127">
        <v>0</v>
      </c>
      <c r="L4127">
        <v>0</v>
      </c>
      <c r="M4127">
        <v>0</v>
      </c>
      <c r="N4127">
        <v>0</v>
      </c>
      <c r="O4127">
        <v>0</v>
      </c>
    </row>
    <row r="4128" spans="1:15" x14ac:dyDescent="0.25">
      <c r="A4128" t="s">
        <v>1227</v>
      </c>
      <c r="B4128" t="s">
        <v>2023</v>
      </c>
      <c r="C4128" t="s">
        <v>923</v>
      </c>
      <c r="D4128" t="s">
        <v>3063</v>
      </c>
      <c r="E4128" t="s">
        <v>3053</v>
      </c>
      <c r="F4128" t="s">
        <v>527</v>
      </c>
      <c r="G4128" t="s">
        <v>528</v>
      </c>
      <c r="H4128" t="s">
        <v>10041</v>
      </c>
      <c r="I4128">
        <v>5</v>
      </c>
      <c r="J4128">
        <v>5</v>
      </c>
      <c r="K4128">
        <v>0</v>
      </c>
      <c r="L4128">
        <v>0</v>
      </c>
      <c r="M4128">
        <v>0</v>
      </c>
      <c r="N4128">
        <v>0</v>
      </c>
      <c r="O4128">
        <v>0</v>
      </c>
    </row>
    <row r="4129" spans="1:15" x14ac:dyDescent="0.25">
      <c r="A4129" t="s">
        <v>1228</v>
      </c>
      <c r="B4129" t="s">
        <v>2442</v>
      </c>
      <c r="C4129" t="s">
        <v>923</v>
      </c>
      <c r="D4129" t="s">
        <v>3063</v>
      </c>
      <c r="E4129" t="s">
        <v>3053</v>
      </c>
      <c r="F4129" t="s">
        <v>527</v>
      </c>
      <c r="G4129" t="s">
        <v>528</v>
      </c>
      <c r="H4129" t="s">
        <v>5810</v>
      </c>
      <c r="I4129">
        <v>23</v>
      </c>
      <c r="J4129">
        <v>23</v>
      </c>
      <c r="K4129">
        <v>0</v>
      </c>
      <c r="L4129">
        <v>0</v>
      </c>
      <c r="M4129">
        <v>0</v>
      </c>
      <c r="N4129">
        <v>0</v>
      </c>
      <c r="O4129">
        <v>0</v>
      </c>
    </row>
    <row r="4130" spans="1:15" x14ac:dyDescent="0.25">
      <c r="A4130" t="s">
        <v>1231</v>
      </c>
      <c r="B4130" t="s">
        <v>2773</v>
      </c>
      <c r="C4130" t="s">
        <v>923</v>
      </c>
      <c r="D4130" t="s">
        <v>3063</v>
      </c>
      <c r="E4130" t="s">
        <v>3053</v>
      </c>
      <c r="F4130" t="s">
        <v>527</v>
      </c>
      <c r="G4130" t="s">
        <v>528</v>
      </c>
      <c r="H4130" t="s">
        <v>5811</v>
      </c>
      <c r="I4130">
        <v>8</v>
      </c>
      <c r="J4130">
        <v>0</v>
      </c>
      <c r="K4130">
        <v>0</v>
      </c>
      <c r="L4130">
        <v>0</v>
      </c>
      <c r="M4130">
        <v>8</v>
      </c>
      <c r="N4130">
        <v>0</v>
      </c>
      <c r="O4130">
        <v>0</v>
      </c>
    </row>
    <row r="4131" spans="1:15" x14ac:dyDescent="0.25">
      <c r="A4131" t="s">
        <v>996</v>
      </c>
      <c r="B4131" t="s">
        <v>1952</v>
      </c>
      <c r="C4131" t="s">
        <v>923</v>
      </c>
      <c r="D4131" t="s">
        <v>3063</v>
      </c>
      <c r="E4131" t="s">
        <v>3053</v>
      </c>
      <c r="F4131" t="s">
        <v>527</v>
      </c>
      <c r="G4131" t="s">
        <v>528</v>
      </c>
      <c r="H4131" t="s">
        <v>5812</v>
      </c>
      <c r="I4131">
        <v>2</v>
      </c>
      <c r="J4131">
        <v>0</v>
      </c>
      <c r="K4131">
        <v>0</v>
      </c>
      <c r="L4131">
        <v>2</v>
      </c>
      <c r="M4131">
        <v>0</v>
      </c>
      <c r="N4131">
        <v>0</v>
      </c>
      <c r="O4131">
        <v>0</v>
      </c>
    </row>
    <row r="4132" spans="1:15" x14ac:dyDescent="0.25">
      <c r="A4132" t="s">
        <v>1253</v>
      </c>
      <c r="B4132" t="s">
        <v>2389</v>
      </c>
      <c r="C4132" t="s">
        <v>923</v>
      </c>
      <c r="D4132" t="s">
        <v>3063</v>
      </c>
      <c r="E4132" t="s">
        <v>3053</v>
      </c>
      <c r="F4132" t="s">
        <v>527</v>
      </c>
      <c r="G4132" t="s">
        <v>528</v>
      </c>
      <c r="H4132" t="s">
        <v>5813</v>
      </c>
      <c r="I4132">
        <v>75</v>
      </c>
      <c r="J4132">
        <v>75</v>
      </c>
      <c r="K4132">
        <v>0</v>
      </c>
      <c r="L4132">
        <v>0</v>
      </c>
      <c r="M4132">
        <v>0</v>
      </c>
      <c r="N4132">
        <v>0</v>
      </c>
      <c r="O4132">
        <v>0</v>
      </c>
    </row>
    <row r="4133" spans="1:15" x14ac:dyDescent="0.25">
      <c r="A4133" t="s">
        <v>11676</v>
      </c>
      <c r="B4133" t="s">
        <v>2705</v>
      </c>
      <c r="C4133" t="s">
        <v>923</v>
      </c>
      <c r="D4133" t="s">
        <v>3063</v>
      </c>
      <c r="E4133" t="s">
        <v>3053</v>
      </c>
      <c r="F4133" t="s">
        <v>527</v>
      </c>
      <c r="G4133" t="s">
        <v>528</v>
      </c>
      <c r="H4133" t="s">
        <v>12105</v>
      </c>
      <c r="I4133">
        <v>41</v>
      </c>
      <c r="J4133">
        <v>3</v>
      </c>
      <c r="K4133">
        <v>0</v>
      </c>
      <c r="L4133">
        <v>0</v>
      </c>
      <c r="M4133">
        <v>38</v>
      </c>
      <c r="N4133">
        <v>0</v>
      </c>
      <c r="O4133">
        <v>0</v>
      </c>
    </row>
    <row r="4134" spans="1:15" x14ac:dyDescent="0.25">
      <c r="A4134" t="s">
        <v>1008</v>
      </c>
      <c r="B4134" t="s">
        <v>2928</v>
      </c>
      <c r="C4134" t="s">
        <v>927</v>
      </c>
      <c r="D4134" t="s">
        <v>3052</v>
      </c>
      <c r="E4134" t="s">
        <v>3053</v>
      </c>
      <c r="F4134" t="s">
        <v>527</v>
      </c>
      <c r="G4134" t="s">
        <v>528</v>
      </c>
      <c r="H4134" t="s">
        <v>5814</v>
      </c>
      <c r="I4134">
        <v>22</v>
      </c>
      <c r="J4134">
        <v>22</v>
      </c>
      <c r="K4134">
        <v>0</v>
      </c>
      <c r="L4134">
        <v>0</v>
      </c>
      <c r="M4134">
        <v>0</v>
      </c>
      <c r="N4134">
        <v>0</v>
      </c>
      <c r="O4134">
        <v>0</v>
      </c>
    </row>
    <row r="4135" spans="1:15" x14ac:dyDescent="0.25">
      <c r="A4135" t="s">
        <v>937</v>
      </c>
      <c r="B4135" t="s">
        <v>1962</v>
      </c>
      <c r="C4135" t="s">
        <v>927</v>
      </c>
      <c r="D4135" t="s">
        <v>3052</v>
      </c>
      <c r="E4135" t="s">
        <v>3053</v>
      </c>
      <c r="F4135" t="s">
        <v>527</v>
      </c>
      <c r="G4135" t="s">
        <v>528</v>
      </c>
      <c r="H4135" t="s">
        <v>5815</v>
      </c>
      <c r="I4135">
        <v>6</v>
      </c>
      <c r="J4135">
        <v>0</v>
      </c>
      <c r="K4135">
        <v>0</v>
      </c>
      <c r="L4135">
        <v>0</v>
      </c>
      <c r="M4135">
        <v>0</v>
      </c>
      <c r="N4135">
        <v>0</v>
      </c>
      <c r="O4135">
        <v>6</v>
      </c>
    </row>
    <row r="4136" spans="1:15" x14ac:dyDescent="0.25">
      <c r="A4136" t="s">
        <v>938</v>
      </c>
      <c r="B4136" t="s">
        <v>2791</v>
      </c>
      <c r="C4136" t="s">
        <v>927</v>
      </c>
      <c r="D4136" t="s">
        <v>3052</v>
      </c>
      <c r="E4136" t="s">
        <v>3053</v>
      </c>
      <c r="F4136" t="s">
        <v>527</v>
      </c>
      <c r="G4136" t="s">
        <v>528</v>
      </c>
      <c r="H4136" t="s">
        <v>5816</v>
      </c>
      <c r="I4136">
        <v>81</v>
      </c>
      <c r="J4136">
        <v>55</v>
      </c>
      <c r="K4136">
        <v>0</v>
      </c>
      <c r="L4136">
        <v>26</v>
      </c>
      <c r="M4136">
        <v>0</v>
      </c>
      <c r="N4136">
        <v>0</v>
      </c>
      <c r="O4136">
        <v>0</v>
      </c>
    </row>
    <row r="4137" spans="1:15" x14ac:dyDescent="0.25">
      <c r="A4137" t="s">
        <v>940</v>
      </c>
      <c r="B4137" t="s">
        <v>2647</v>
      </c>
      <c r="C4137" t="s">
        <v>927</v>
      </c>
      <c r="D4137" t="s">
        <v>3052</v>
      </c>
      <c r="E4137" t="s">
        <v>3053</v>
      </c>
      <c r="F4137" t="s">
        <v>527</v>
      </c>
      <c r="G4137" t="s">
        <v>528</v>
      </c>
      <c r="H4137" t="s">
        <v>5817</v>
      </c>
      <c r="I4137">
        <v>43</v>
      </c>
      <c r="J4137">
        <v>0</v>
      </c>
      <c r="K4137">
        <v>0</v>
      </c>
      <c r="L4137">
        <v>1</v>
      </c>
      <c r="M4137">
        <v>38</v>
      </c>
      <c r="N4137">
        <v>0</v>
      </c>
      <c r="O4137">
        <v>4</v>
      </c>
    </row>
    <row r="4138" spans="1:15" x14ac:dyDescent="0.25">
      <c r="A4138" t="s">
        <v>1273</v>
      </c>
      <c r="B4138" t="s">
        <v>2709</v>
      </c>
      <c r="C4138" t="s">
        <v>923</v>
      </c>
      <c r="D4138" t="s">
        <v>3063</v>
      </c>
      <c r="E4138" t="s">
        <v>3053</v>
      </c>
      <c r="F4138" t="s">
        <v>527</v>
      </c>
      <c r="G4138" t="s">
        <v>528</v>
      </c>
      <c r="H4138" t="s">
        <v>5818</v>
      </c>
      <c r="I4138">
        <v>42</v>
      </c>
      <c r="J4138">
        <v>42</v>
      </c>
      <c r="K4138">
        <v>0</v>
      </c>
      <c r="L4138">
        <v>0</v>
      </c>
      <c r="M4138">
        <v>0</v>
      </c>
      <c r="N4138">
        <v>8</v>
      </c>
      <c r="O4138">
        <v>0</v>
      </c>
    </row>
    <row r="4139" spans="1:15" x14ac:dyDescent="0.25">
      <c r="A4139" t="s">
        <v>1274</v>
      </c>
      <c r="B4139" t="s">
        <v>2159</v>
      </c>
      <c r="C4139" t="s">
        <v>923</v>
      </c>
      <c r="D4139" t="s">
        <v>3063</v>
      </c>
      <c r="E4139" t="s">
        <v>3053</v>
      </c>
      <c r="F4139" t="s">
        <v>527</v>
      </c>
      <c r="G4139" t="s">
        <v>528</v>
      </c>
      <c r="H4139" t="s">
        <v>5819</v>
      </c>
      <c r="I4139">
        <v>2</v>
      </c>
      <c r="J4139">
        <v>2</v>
      </c>
      <c r="K4139">
        <v>0</v>
      </c>
      <c r="L4139">
        <v>0</v>
      </c>
      <c r="M4139">
        <v>0</v>
      </c>
      <c r="N4139">
        <v>0</v>
      </c>
      <c r="O4139">
        <v>0</v>
      </c>
    </row>
    <row r="4140" spans="1:15" x14ac:dyDescent="0.25">
      <c r="A4140" t="s">
        <v>1013</v>
      </c>
      <c r="B4140" t="s">
        <v>1959</v>
      </c>
      <c r="C4140" t="s">
        <v>927</v>
      </c>
      <c r="D4140" t="s">
        <v>3052</v>
      </c>
      <c r="E4140" t="s">
        <v>3053</v>
      </c>
      <c r="F4140" t="s">
        <v>527</v>
      </c>
      <c r="G4140" t="s">
        <v>528</v>
      </c>
      <c r="H4140" t="s">
        <v>5820</v>
      </c>
      <c r="I4140">
        <v>4</v>
      </c>
      <c r="J4140">
        <v>0</v>
      </c>
      <c r="K4140">
        <v>0</v>
      </c>
      <c r="L4140">
        <v>4</v>
      </c>
      <c r="M4140">
        <v>0</v>
      </c>
      <c r="N4140">
        <v>0</v>
      </c>
      <c r="O4140">
        <v>0</v>
      </c>
    </row>
    <row r="4141" spans="1:15" x14ac:dyDescent="0.25">
      <c r="A4141" t="s">
        <v>11677</v>
      </c>
      <c r="B4141" t="s">
        <v>1965</v>
      </c>
      <c r="C4141" t="s">
        <v>923</v>
      </c>
      <c r="D4141" t="s">
        <v>3063</v>
      </c>
      <c r="E4141" t="s">
        <v>3053</v>
      </c>
      <c r="F4141" t="s">
        <v>527</v>
      </c>
      <c r="G4141" t="s">
        <v>528</v>
      </c>
      <c r="H4141" t="s">
        <v>12106</v>
      </c>
      <c r="I4141">
        <v>111</v>
      </c>
      <c r="J4141">
        <v>99</v>
      </c>
      <c r="K4141">
        <v>0</v>
      </c>
      <c r="L4141">
        <v>12</v>
      </c>
      <c r="M4141">
        <v>0</v>
      </c>
      <c r="N4141">
        <v>0</v>
      </c>
      <c r="O4141">
        <v>0</v>
      </c>
    </row>
    <row r="4142" spans="1:15" x14ac:dyDescent="0.25">
      <c r="A4142" t="s">
        <v>14385</v>
      </c>
      <c r="B4142" t="s">
        <v>3027</v>
      </c>
      <c r="C4142" t="s">
        <v>923</v>
      </c>
      <c r="D4142" t="s">
        <v>3063</v>
      </c>
      <c r="E4142" t="s">
        <v>3053</v>
      </c>
      <c r="F4142" t="s">
        <v>527</v>
      </c>
      <c r="G4142" t="s">
        <v>528</v>
      </c>
      <c r="H4142" t="s">
        <v>14822</v>
      </c>
      <c r="I4142">
        <v>38</v>
      </c>
      <c r="J4142">
        <v>0</v>
      </c>
      <c r="K4142">
        <v>0</v>
      </c>
      <c r="L4142">
        <v>38</v>
      </c>
      <c r="M4142">
        <v>0</v>
      </c>
      <c r="N4142">
        <v>0</v>
      </c>
      <c r="O4142">
        <v>0</v>
      </c>
    </row>
    <row r="4143" spans="1:15" x14ac:dyDescent="0.25">
      <c r="A4143" t="s">
        <v>14386</v>
      </c>
      <c r="B4143" t="s">
        <v>2975</v>
      </c>
      <c r="C4143" t="s">
        <v>927</v>
      </c>
      <c r="D4143" t="s">
        <v>3052</v>
      </c>
      <c r="E4143" t="s">
        <v>3053</v>
      </c>
      <c r="F4143" t="s">
        <v>527</v>
      </c>
      <c r="G4143" t="s">
        <v>528</v>
      </c>
      <c r="H4143" t="s">
        <v>14823</v>
      </c>
      <c r="I4143">
        <v>187</v>
      </c>
      <c r="J4143">
        <v>181</v>
      </c>
      <c r="K4143">
        <v>0</v>
      </c>
      <c r="L4143">
        <v>0</v>
      </c>
      <c r="M4143">
        <v>0</v>
      </c>
      <c r="N4143">
        <v>0</v>
      </c>
      <c r="O4143">
        <v>6</v>
      </c>
    </row>
    <row r="4144" spans="1:15" x14ac:dyDescent="0.25">
      <c r="A4144" t="s">
        <v>10667</v>
      </c>
      <c r="B4144" t="s">
        <v>10666</v>
      </c>
      <c r="C4144" t="s">
        <v>927</v>
      </c>
      <c r="D4144" t="s">
        <v>3052</v>
      </c>
      <c r="E4144" t="s">
        <v>3053</v>
      </c>
      <c r="F4144" t="s">
        <v>527</v>
      </c>
      <c r="G4144" t="s">
        <v>528</v>
      </c>
      <c r="H4144" t="s">
        <v>12107</v>
      </c>
      <c r="I4144">
        <v>9</v>
      </c>
      <c r="J4144">
        <v>9</v>
      </c>
      <c r="K4144">
        <v>0</v>
      </c>
      <c r="L4144">
        <v>0</v>
      </c>
      <c r="M4144">
        <v>0</v>
      </c>
      <c r="N4144">
        <v>0</v>
      </c>
      <c r="O4144">
        <v>0</v>
      </c>
    </row>
    <row r="4145" spans="1:15" x14ac:dyDescent="0.25">
      <c r="A4145" t="s">
        <v>1126</v>
      </c>
      <c r="B4145" t="s">
        <v>2130</v>
      </c>
      <c r="C4145" t="s">
        <v>927</v>
      </c>
      <c r="D4145" t="s">
        <v>3052</v>
      </c>
      <c r="E4145" t="s">
        <v>3053</v>
      </c>
      <c r="F4145" t="s">
        <v>527</v>
      </c>
      <c r="G4145" t="s">
        <v>528</v>
      </c>
      <c r="H4145" t="s">
        <v>11088</v>
      </c>
      <c r="I4145">
        <v>67</v>
      </c>
      <c r="J4145">
        <v>0</v>
      </c>
      <c r="K4145">
        <v>0</v>
      </c>
      <c r="L4145">
        <v>0</v>
      </c>
      <c r="M4145">
        <v>0</v>
      </c>
      <c r="N4145">
        <v>0</v>
      </c>
      <c r="O4145">
        <v>67</v>
      </c>
    </row>
    <row r="4146" spans="1:15" x14ac:dyDescent="0.25">
      <c r="A4146" t="s">
        <v>1025</v>
      </c>
      <c r="B4146" t="s">
        <v>2893</v>
      </c>
      <c r="C4146" t="s">
        <v>927</v>
      </c>
      <c r="D4146" t="s">
        <v>3052</v>
      </c>
      <c r="E4146" t="s">
        <v>3053</v>
      </c>
      <c r="F4146" t="s">
        <v>527</v>
      </c>
      <c r="G4146" t="s">
        <v>528</v>
      </c>
      <c r="H4146" t="s">
        <v>5821</v>
      </c>
      <c r="I4146">
        <v>605</v>
      </c>
      <c r="J4146">
        <v>526</v>
      </c>
      <c r="K4146">
        <v>0</v>
      </c>
      <c r="L4146">
        <v>0</v>
      </c>
      <c r="M4146">
        <v>0</v>
      </c>
      <c r="N4146">
        <v>0</v>
      </c>
      <c r="O4146">
        <v>79</v>
      </c>
    </row>
    <row r="4147" spans="1:15" x14ac:dyDescent="0.25">
      <c r="A4147" t="s">
        <v>1026</v>
      </c>
      <c r="B4147" t="s">
        <v>2848</v>
      </c>
      <c r="C4147" t="s">
        <v>927</v>
      </c>
      <c r="D4147" t="s">
        <v>3052</v>
      </c>
      <c r="E4147" t="s">
        <v>3053</v>
      </c>
      <c r="F4147" t="s">
        <v>527</v>
      </c>
      <c r="G4147" t="s">
        <v>528</v>
      </c>
      <c r="H4147" t="s">
        <v>5822</v>
      </c>
      <c r="I4147">
        <v>1</v>
      </c>
      <c r="J4147">
        <v>0</v>
      </c>
      <c r="K4147">
        <v>0</v>
      </c>
      <c r="L4147">
        <v>0</v>
      </c>
      <c r="M4147">
        <v>0</v>
      </c>
      <c r="N4147">
        <v>0</v>
      </c>
      <c r="O4147">
        <v>1</v>
      </c>
    </row>
    <row r="4148" spans="1:15" x14ac:dyDescent="0.25">
      <c r="A4148" t="s">
        <v>1293</v>
      </c>
      <c r="B4148" t="s">
        <v>2910</v>
      </c>
      <c r="C4148" t="s">
        <v>927</v>
      </c>
      <c r="D4148" t="s">
        <v>3052</v>
      </c>
      <c r="E4148" t="s">
        <v>3053</v>
      </c>
      <c r="F4148" t="s">
        <v>527</v>
      </c>
      <c r="G4148" t="s">
        <v>528</v>
      </c>
      <c r="H4148" t="s">
        <v>12108</v>
      </c>
      <c r="I4148">
        <v>11</v>
      </c>
      <c r="J4148">
        <v>0</v>
      </c>
      <c r="K4148">
        <v>0</v>
      </c>
      <c r="L4148">
        <v>11</v>
      </c>
      <c r="M4148">
        <v>0</v>
      </c>
      <c r="N4148">
        <v>0</v>
      </c>
      <c r="O4148">
        <v>0</v>
      </c>
    </row>
    <row r="4149" spans="1:15" x14ac:dyDescent="0.25">
      <c r="A4149" t="s">
        <v>943</v>
      </c>
      <c r="B4149" t="s">
        <v>2694</v>
      </c>
      <c r="C4149" t="s">
        <v>927</v>
      </c>
      <c r="D4149" t="s">
        <v>3052</v>
      </c>
      <c r="E4149" t="s">
        <v>3053</v>
      </c>
      <c r="F4149" t="s">
        <v>527</v>
      </c>
      <c r="G4149" t="s">
        <v>528</v>
      </c>
      <c r="H4149" t="s">
        <v>5823</v>
      </c>
      <c r="I4149">
        <v>933</v>
      </c>
      <c r="J4149">
        <v>724</v>
      </c>
      <c r="K4149">
        <v>0</v>
      </c>
      <c r="L4149">
        <v>0</v>
      </c>
      <c r="M4149">
        <v>0</v>
      </c>
      <c r="N4149">
        <v>0</v>
      </c>
      <c r="O4149">
        <v>209</v>
      </c>
    </row>
    <row r="4150" spans="1:15" x14ac:dyDescent="0.25">
      <c r="A4150" t="s">
        <v>1134</v>
      </c>
      <c r="B4150" t="s">
        <v>2118</v>
      </c>
      <c r="C4150" t="s">
        <v>927</v>
      </c>
      <c r="D4150" t="s">
        <v>3052</v>
      </c>
      <c r="E4150" t="s">
        <v>3053</v>
      </c>
      <c r="F4150" t="s">
        <v>527</v>
      </c>
      <c r="G4150" t="s">
        <v>528</v>
      </c>
      <c r="H4150" t="s">
        <v>5824</v>
      </c>
      <c r="I4150">
        <v>1266</v>
      </c>
      <c r="J4150">
        <v>1127</v>
      </c>
      <c r="K4150">
        <v>0</v>
      </c>
      <c r="L4150">
        <v>63</v>
      </c>
      <c r="M4150">
        <v>0</v>
      </c>
      <c r="N4150">
        <v>12</v>
      </c>
      <c r="O4150">
        <v>76</v>
      </c>
    </row>
    <row r="4151" spans="1:15" x14ac:dyDescent="0.25">
      <c r="A4151" t="s">
        <v>949</v>
      </c>
      <c r="B4151" t="s">
        <v>3035</v>
      </c>
      <c r="C4151" t="s">
        <v>927</v>
      </c>
      <c r="D4151" t="s">
        <v>3052</v>
      </c>
      <c r="E4151" t="s">
        <v>3053</v>
      </c>
      <c r="F4151" t="s">
        <v>527</v>
      </c>
      <c r="G4151" t="s">
        <v>528</v>
      </c>
      <c r="H4151" t="s">
        <v>5825</v>
      </c>
      <c r="I4151">
        <v>487</v>
      </c>
      <c r="J4151">
        <v>21</v>
      </c>
      <c r="K4151">
        <v>0</v>
      </c>
      <c r="L4151">
        <v>0</v>
      </c>
      <c r="M4151">
        <v>0</v>
      </c>
      <c r="N4151">
        <v>0</v>
      </c>
      <c r="O4151">
        <v>466</v>
      </c>
    </row>
    <row r="4152" spans="1:15" x14ac:dyDescent="0.25">
      <c r="A4152" t="s">
        <v>1309</v>
      </c>
      <c r="B4152" t="s">
        <v>2690</v>
      </c>
      <c r="C4152" t="s">
        <v>927</v>
      </c>
      <c r="D4152" t="s">
        <v>3052</v>
      </c>
      <c r="E4152" t="s">
        <v>3053</v>
      </c>
      <c r="F4152" t="s">
        <v>527</v>
      </c>
      <c r="G4152" t="s">
        <v>528</v>
      </c>
      <c r="H4152" t="s">
        <v>5826</v>
      </c>
      <c r="I4152">
        <v>205</v>
      </c>
      <c r="J4152">
        <v>69</v>
      </c>
      <c r="K4152">
        <v>0</v>
      </c>
      <c r="L4152">
        <v>22</v>
      </c>
      <c r="M4152">
        <v>69</v>
      </c>
      <c r="N4152">
        <v>0</v>
      </c>
      <c r="O4152">
        <v>45</v>
      </c>
    </row>
    <row r="4153" spans="1:15" x14ac:dyDescent="0.25">
      <c r="A4153" t="s">
        <v>1311</v>
      </c>
      <c r="B4153" t="s">
        <v>2493</v>
      </c>
      <c r="C4153" t="s">
        <v>923</v>
      </c>
      <c r="D4153" t="s">
        <v>3063</v>
      </c>
      <c r="E4153" t="s">
        <v>3053</v>
      </c>
      <c r="F4153" t="s">
        <v>527</v>
      </c>
      <c r="G4153" t="s">
        <v>528</v>
      </c>
      <c r="H4153" t="s">
        <v>5827</v>
      </c>
      <c r="I4153">
        <v>20</v>
      </c>
      <c r="J4153">
        <v>20</v>
      </c>
      <c r="K4153">
        <v>0</v>
      </c>
      <c r="L4153">
        <v>0</v>
      </c>
      <c r="M4153">
        <v>0</v>
      </c>
      <c r="N4153">
        <v>0</v>
      </c>
      <c r="O4153">
        <v>0</v>
      </c>
    </row>
    <row r="4154" spans="1:15" x14ac:dyDescent="0.25">
      <c r="A4154" t="s">
        <v>1140</v>
      </c>
      <c r="B4154" t="s">
        <v>2697</v>
      </c>
      <c r="C4154" t="s">
        <v>927</v>
      </c>
      <c r="D4154" t="s">
        <v>3052</v>
      </c>
      <c r="E4154" t="s">
        <v>3053</v>
      </c>
      <c r="F4154" t="s">
        <v>527</v>
      </c>
      <c r="G4154" t="s">
        <v>528</v>
      </c>
      <c r="H4154" t="s">
        <v>5828</v>
      </c>
      <c r="I4154">
        <v>3</v>
      </c>
      <c r="J4154">
        <v>0</v>
      </c>
      <c r="K4154">
        <v>0</v>
      </c>
      <c r="L4154">
        <v>0</v>
      </c>
      <c r="M4154">
        <v>0</v>
      </c>
      <c r="N4154">
        <v>0</v>
      </c>
      <c r="O4154">
        <v>3</v>
      </c>
    </row>
    <row r="4155" spans="1:15" x14ac:dyDescent="0.25">
      <c r="A4155" t="s">
        <v>1043</v>
      </c>
      <c r="B4155" t="s">
        <v>2090</v>
      </c>
      <c r="C4155" t="s">
        <v>927</v>
      </c>
      <c r="D4155" t="s">
        <v>3052</v>
      </c>
      <c r="E4155" t="s">
        <v>3053</v>
      </c>
      <c r="F4155" t="s">
        <v>527</v>
      </c>
      <c r="G4155" t="s">
        <v>528</v>
      </c>
      <c r="H4155" t="s">
        <v>5829</v>
      </c>
      <c r="I4155">
        <v>311</v>
      </c>
      <c r="J4155">
        <v>271</v>
      </c>
      <c r="K4155">
        <v>0</v>
      </c>
      <c r="L4155">
        <v>0</v>
      </c>
      <c r="M4155">
        <v>11</v>
      </c>
      <c r="N4155">
        <v>0</v>
      </c>
      <c r="O4155">
        <v>29</v>
      </c>
    </row>
    <row r="4156" spans="1:15" x14ac:dyDescent="0.25">
      <c r="A4156" t="s">
        <v>1146</v>
      </c>
      <c r="B4156" t="s">
        <v>2117</v>
      </c>
      <c r="C4156" t="s">
        <v>927</v>
      </c>
      <c r="D4156" t="s">
        <v>3052</v>
      </c>
      <c r="E4156" t="s">
        <v>3053</v>
      </c>
      <c r="F4156" t="s">
        <v>527</v>
      </c>
      <c r="G4156" t="s">
        <v>528</v>
      </c>
      <c r="H4156" t="s">
        <v>14824</v>
      </c>
      <c r="I4156">
        <v>1042</v>
      </c>
      <c r="J4156">
        <v>809</v>
      </c>
      <c r="K4156">
        <v>0</v>
      </c>
      <c r="L4156">
        <v>0</v>
      </c>
      <c r="M4156">
        <v>40</v>
      </c>
      <c r="N4156">
        <v>7</v>
      </c>
      <c r="O4156">
        <v>193</v>
      </c>
    </row>
    <row r="4157" spans="1:15" x14ac:dyDescent="0.25">
      <c r="A4157" t="s">
        <v>951</v>
      </c>
      <c r="B4157" t="s">
        <v>2680</v>
      </c>
      <c r="C4157" t="s">
        <v>927</v>
      </c>
      <c r="D4157" t="s">
        <v>3052</v>
      </c>
      <c r="E4157" t="s">
        <v>3053</v>
      </c>
      <c r="F4157" t="s">
        <v>527</v>
      </c>
      <c r="G4157" t="s">
        <v>528</v>
      </c>
      <c r="H4157" t="s">
        <v>5830</v>
      </c>
      <c r="I4157">
        <v>964</v>
      </c>
      <c r="J4157">
        <v>891</v>
      </c>
      <c r="K4157">
        <v>0</v>
      </c>
      <c r="L4157">
        <v>0</v>
      </c>
      <c r="M4157">
        <v>0</v>
      </c>
      <c r="N4157">
        <v>0</v>
      </c>
      <c r="O4157">
        <v>73</v>
      </c>
    </row>
    <row r="4158" spans="1:15" x14ac:dyDescent="0.25">
      <c r="A4158" t="s">
        <v>1052</v>
      </c>
      <c r="B4158" t="s">
        <v>2002</v>
      </c>
      <c r="C4158" t="s">
        <v>923</v>
      </c>
      <c r="D4158" t="s">
        <v>3063</v>
      </c>
      <c r="E4158" t="s">
        <v>3053</v>
      </c>
      <c r="F4158" t="s">
        <v>527</v>
      </c>
      <c r="G4158" t="s">
        <v>528</v>
      </c>
      <c r="H4158" t="s">
        <v>5831</v>
      </c>
      <c r="I4158">
        <v>8</v>
      </c>
      <c r="J4158">
        <v>0</v>
      </c>
      <c r="K4158">
        <v>0</v>
      </c>
      <c r="L4158">
        <v>8</v>
      </c>
      <c r="M4158">
        <v>0</v>
      </c>
      <c r="N4158">
        <v>0</v>
      </c>
      <c r="O4158">
        <v>0</v>
      </c>
    </row>
    <row r="4159" spans="1:15" x14ac:dyDescent="0.25">
      <c r="A4159" t="s">
        <v>1334</v>
      </c>
      <c r="B4159" t="s">
        <v>2849</v>
      </c>
      <c r="C4159" t="s">
        <v>927</v>
      </c>
      <c r="D4159" t="s">
        <v>3052</v>
      </c>
      <c r="E4159" t="s">
        <v>3053</v>
      </c>
      <c r="F4159" t="s">
        <v>527</v>
      </c>
      <c r="G4159" t="s">
        <v>528</v>
      </c>
      <c r="H4159" t="s">
        <v>5832</v>
      </c>
      <c r="I4159">
        <v>622</v>
      </c>
      <c r="J4159">
        <v>543</v>
      </c>
      <c r="K4159">
        <v>0</v>
      </c>
      <c r="L4159">
        <v>0</v>
      </c>
      <c r="M4159">
        <v>0</v>
      </c>
      <c r="N4159">
        <v>0</v>
      </c>
      <c r="O4159">
        <v>79</v>
      </c>
    </row>
    <row r="4160" spans="1:15" x14ac:dyDescent="0.25">
      <c r="A4160" t="s">
        <v>9788</v>
      </c>
      <c r="B4160" t="s">
        <v>9871</v>
      </c>
      <c r="C4160" t="s">
        <v>927</v>
      </c>
      <c r="D4160" t="s">
        <v>3052</v>
      </c>
      <c r="E4160" t="s">
        <v>3053</v>
      </c>
      <c r="F4160" t="s">
        <v>527</v>
      </c>
      <c r="G4160" t="s">
        <v>528</v>
      </c>
      <c r="H4160" t="s">
        <v>10357</v>
      </c>
      <c r="I4160">
        <v>8</v>
      </c>
      <c r="J4160">
        <v>8</v>
      </c>
      <c r="K4160">
        <v>0</v>
      </c>
      <c r="L4160">
        <v>0</v>
      </c>
      <c r="M4160">
        <v>0</v>
      </c>
      <c r="N4160">
        <v>0</v>
      </c>
      <c r="O4160">
        <v>0</v>
      </c>
    </row>
    <row r="4161" spans="1:15" x14ac:dyDescent="0.25">
      <c r="A4161" t="s">
        <v>955</v>
      </c>
      <c r="B4161" t="s">
        <v>2660</v>
      </c>
      <c r="C4161" t="s">
        <v>927</v>
      </c>
      <c r="D4161" t="s">
        <v>3052</v>
      </c>
      <c r="E4161" t="s">
        <v>3053</v>
      </c>
      <c r="F4161" t="s">
        <v>527</v>
      </c>
      <c r="G4161" t="s">
        <v>528</v>
      </c>
      <c r="H4161" t="s">
        <v>5833</v>
      </c>
      <c r="I4161">
        <v>13</v>
      </c>
      <c r="J4161">
        <v>4</v>
      </c>
      <c r="K4161">
        <v>0</v>
      </c>
      <c r="L4161">
        <v>9</v>
      </c>
      <c r="M4161">
        <v>0</v>
      </c>
      <c r="N4161">
        <v>0</v>
      </c>
      <c r="O4161">
        <v>0</v>
      </c>
    </row>
    <row r="4162" spans="1:15" x14ac:dyDescent="0.25">
      <c r="A4162" t="s">
        <v>1155</v>
      </c>
      <c r="B4162" t="s">
        <v>2912</v>
      </c>
      <c r="C4162" t="s">
        <v>927</v>
      </c>
      <c r="D4162" t="s">
        <v>3052</v>
      </c>
      <c r="E4162" t="s">
        <v>3053</v>
      </c>
      <c r="F4162" t="s">
        <v>527</v>
      </c>
      <c r="G4162" t="s">
        <v>528</v>
      </c>
      <c r="H4162" t="s">
        <v>5834</v>
      </c>
      <c r="I4162">
        <v>685</v>
      </c>
      <c r="J4162">
        <v>543</v>
      </c>
      <c r="K4162">
        <v>0</v>
      </c>
      <c r="L4162">
        <v>0</v>
      </c>
      <c r="M4162">
        <v>0</v>
      </c>
      <c r="N4162">
        <v>11</v>
      </c>
      <c r="O4162">
        <v>142</v>
      </c>
    </row>
    <row r="4163" spans="1:15" x14ac:dyDescent="0.25">
      <c r="A4163" t="s">
        <v>11663</v>
      </c>
      <c r="B4163" t="s">
        <v>11768</v>
      </c>
      <c r="C4163" t="s">
        <v>927</v>
      </c>
      <c r="D4163" t="s">
        <v>3052</v>
      </c>
      <c r="E4163" t="s">
        <v>3053</v>
      </c>
      <c r="F4163" t="s">
        <v>527</v>
      </c>
      <c r="G4163" t="s">
        <v>528</v>
      </c>
      <c r="H4163" t="s">
        <v>12109</v>
      </c>
      <c r="I4163">
        <v>2</v>
      </c>
      <c r="J4163">
        <v>0</v>
      </c>
      <c r="K4163">
        <v>0</v>
      </c>
      <c r="L4163">
        <v>0</v>
      </c>
      <c r="M4163">
        <v>0</v>
      </c>
      <c r="N4163">
        <v>0</v>
      </c>
      <c r="O4163">
        <v>2</v>
      </c>
    </row>
    <row r="4164" spans="1:15" x14ac:dyDescent="0.25">
      <c r="A4164" t="s">
        <v>14380</v>
      </c>
      <c r="B4164" t="s">
        <v>2074</v>
      </c>
      <c r="C4164" t="s">
        <v>927</v>
      </c>
      <c r="D4164" t="s">
        <v>3052</v>
      </c>
      <c r="E4164" t="s">
        <v>3053</v>
      </c>
      <c r="F4164" t="s">
        <v>527</v>
      </c>
      <c r="G4164" t="s">
        <v>528</v>
      </c>
      <c r="H4164" t="s">
        <v>14825</v>
      </c>
      <c r="I4164">
        <v>319</v>
      </c>
      <c r="J4164">
        <v>262</v>
      </c>
      <c r="K4164">
        <v>0</v>
      </c>
      <c r="L4164">
        <v>0</v>
      </c>
      <c r="M4164">
        <v>0</v>
      </c>
      <c r="N4164">
        <v>1</v>
      </c>
      <c r="O4164">
        <v>57</v>
      </c>
    </row>
    <row r="4165" spans="1:15" x14ac:dyDescent="0.25">
      <c r="A4165" t="s">
        <v>14374</v>
      </c>
      <c r="B4165" t="s">
        <v>1943</v>
      </c>
      <c r="C4165" t="s">
        <v>927</v>
      </c>
      <c r="D4165" t="s">
        <v>3052</v>
      </c>
      <c r="E4165" t="s">
        <v>3053</v>
      </c>
      <c r="F4165" t="s">
        <v>527</v>
      </c>
      <c r="G4165" t="s">
        <v>528</v>
      </c>
      <c r="H4165" t="s">
        <v>14826</v>
      </c>
      <c r="I4165">
        <v>6</v>
      </c>
      <c r="J4165">
        <v>0</v>
      </c>
      <c r="K4165">
        <v>0</v>
      </c>
      <c r="L4165">
        <v>0</v>
      </c>
      <c r="M4165">
        <v>0</v>
      </c>
      <c r="N4165">
        <v>0</v>
      </c>
      <c r="O4165">
        <v>6</v>
      </c>
    </row>
    <row r="4166" spans="1:15" x14ac:dyDescent="0.25">
      <c r="A4166" t="s">
        <v>10731</v>
      </c>
      <c r="B4166" t="s">
        <v>10730</v>
      </c>
      <c r="C4166" t="s">
        <v>923</v>
      </c>
      <c r="D4166" t="s">
        <v>3063</v>
      </c>
      <c r="E4166" t="s">
        <v>3053</v>
      </c>
      <c r="F4166" t="s">
        <v>527</v>
      </c>
      <c r="G4166" t="s">
        <v>528</v>
      </c>
      <c r="H4166" t="s">
        <v>14827</v>
      </c>
      <c r="I4166">
        <v>72</v>
      </c>
      <c r="J4166">
        <v>72</v>
      </c>
      <c r="K4166">
        <v>0</v>
      </c>
      <c r="L4166">
        <v>0</v>
      </c>
      <c r="M4166">
        <v>0</v>
      </c>
      <c r="N4166">
        <v>0</v>
      </c>
      <c r="O4166">
        <v>0</v>
      </c>
    </row>
    <row r="4167" spans="1:15" x14ac:dyDescent="0.25">
      <c r="A4167" t="s">
        <v>1158</v>
      </c>
      <c r="B4167" t="s">
        <v>2922</v>
      </c>
      <c r="C4167" t="s">
        <v>927</v>
      </c>
      <c r="D4167" t="s">
        <v>3052</v>
      </c>
      <c r="E4167" t="s">
        <v>3053</v>
      </c>
      <c r="F4167" t="s">
        <v>527</v>
      </c>
      <c r="G4167" t="s">
        <v>528</v>
      </c>
      <c r="H4167" t="s">
        <v>5835</v>
      </c>
      <c r="I4167">
        <v>40</v>
      </c>
      <c r="J4167">
        <v>0</v>
      </c>
      <c r="K4167">
        <v>24</v>
      </c>
      <c r="L4167">
        <v>16</v>
      </c>
      <c r="M4167">
        <v>0</v>
      </c>
      <c r="N4167">
        <v>0</v>
      </c>
      <c r="O4167">
        <v>0</v>
      </c>
    </row>
    <row r="4168" spans="1:15" x14ac:dyDescent="0.25">
      <c r="A4168" t="s">
        <v>1352</v>
      </c>
      <c r="B4168" t="s">
        <v>2085</v>
      </c>
      <c r="C4168" t="s">
        <v>923</v>
      </c>
      <c r="D4168" t="s">
        <v>3063</v>
      </c>
      <c r="E4168" t="s">
        <v>3053</v>
      </c>
      <c r="F4168" t="s">
        <v>527</v>
      </c>
      <c r="G4168" t="s">
        <v>528</v>
      </c>
      <c r="H4168" t="s">
        <v>11089</v>
      </c>
      <c r="I4168">
        <v>3</v>
      </c>
      <c r="J4168">
        <v>3</v>
      </c>
      <c r="K4168">
        <v>0</v>
      </c>
      <c r="L4168">
        <v>0</v>
      </c>
      <c r="M4168">
        <v>0</v>
      </c>
      <c r="N4168">
        <v>0</v>
      </c>
      <c r="O4168">
        <v>0</v>
      </c>
    </row>
    <row r="4169" spans="1:15" x14ac:dyDescent="0.25">
      <c r="A4169" t="s">
        <v>1069</v>
      </c>
      <c r="B4169" t="s">
        <v>2001</v>
      </c>
      <c r="C4169" t="s">
        <v>927</v>
      </c>
      <c r="D4169" t="s">
        <v>3052</v>
      </c>
      <c r="E4169" t="s">
        <v>3053</v>
      </c>
      <c r="F4169" t="s">
        <v>527</v>
      </c>
      <c r="G4169" t="s">
        <v>528</v>
      </c>
      <c r="H4169" t="s">
        <v>10478</v>
      </c>
      <c r="I4169">
        <v>85</v>
      </c>
      <c r="J4169">
        <v>67</v>
      </c>
      <c r="K4169">
        <v>0</v>
      </c>
      <c r="L4169">
        <v>0</v>
      </c>
      <c r="M4169">
        <v>0</v>
      </c>
      <c r="N4169">
        <v>0</v>
      </c>
      <c r="O4169">
        <v>18</v>
      </c>
    </row>
    <row r="4170" spans="1:15" x14ac:dyDescent="0.25">
      <c r="A4170" t="s">
        <v>1072</v>
      </c>
      <c r="B4170" t="s">
        <v>2907</v>
      </c>
      <c r="C4170" t="s">
        <v>927</v>
      </c>
      <c r="D4170" t="s">
        <v>3052</v>
      </c>
      <c r="E4170" t="s">
        <v>3053</v>
      </c>
      <c r="F4170" t="s">
        <v>527</v>
      </c>
      <c r="G4170" t="s">
        <v>528</v>
      </c>
      <c r="H4170" t="s">
        <v>14828</v>
      </c>
      <c r="I4170">
        <v>39</v>
      </c>
      <c r="J4170">
        <v>32</v>
      </c>
      <c r="K4170">
        <v>0</v>
      </c>
      <c r="L4170">
        <v>0</v>
      </c>
      <c r="M4170">
        <v>0</v>
      </c>
      <c r="N4170">
        <v>0</v>
      </c>
      <c r="O4170">
        <v>7</v>
      </c>
    </row>
    <row r="4171" spans="1:15" x14ac:dyDescent="0.25">
      <c r="A4171" t="s">
        <v>10765</v>
      </c>
      <c r="B4171" t="s">
        <v>2281</v>
      </c>
      <c r="C4171" t="s">
        <v>923</v>
      </c>
      <c r="D4171" t="s">
        <v>3063</v>
      </c>
      <c r="E4171" t="s">
        <v>3053</v>
      </c>
      <c r="F4171" t="s">
        <v>527</v>
      </c>
      <c r="G4171" t="s">
        <v>528</v>
      </c>
      <c r="H4171" t="s">
        <v>11090</v>
      </c>
      <c r="I4171">
        <v>36</v>
      </c>
      <c r="J4171">
        <v>0</v>
      </c>
      <c r="K4171">
        <v>0</v>
      </c>
      <c r="L4171">
        <v>36</v>
      </c>
      <c r="M4171">
        <v>0</v>
      </c>
      <c r="N4171">
        <v>6</v>
      </c>
      <c r="O4171">
        <v>0</v>
      </c>
    </row>
    <row r="4172" spans="1:15" x14ac:dyDescent="0.25">
      <c r="A4172" t="s">
        <v>1367</v>
      </c>
      <c r="B4172" t="s">
        <v>2263</v>
      </c>
      <c r="C4172" t="s">
        <v>923</v>
      </c>
      <c r="D4172" t="s">
        <v>3063</v>
      </c>
      <c r="E4172" t="s">
        <v>3053</v>
      </c>
      <c r="F4172" t="s">
        <v>527</v>
      </c>
      <c r="G4172" t="s">
        <v>528</v>
      </c>
      <c r="H4172" t="s">
        <v>5836</v>
      </c>
      <c r="I4172">
        <v>38</v>
      </c>
      <c r="J4172">
        <v>0</v>
      </c>
      <c r="K4172">
        <v>0</v>
      </c>
      <c r="L4172">
        <v>0</v>
      </c>
      <c r="M4172">
        <v>38</v>
      </c>
      <c r="N4172">
        <v>0</v>
      </c>
      <c r="O4172">
        <v>0</v>
      </c>
    </row>
    <row r="4173" spans="1:15" x14ac:dyDescent="0.25">
      <c r="A4173" t="s">
        <v>14390</v>
      </c>
      <c r="B4173" t="s">
        <v>14829</v>
      </c>
      <c r="C4173" t="s">
        <v>923</v>
      </c>
      <c r="D4173" t="s">
        <v>3063</v>
      </c>
      <c r="E4173" t="s">
        <v>3053</v>
      </c>
      <c r="F4173" t="s">
        <v>527</v>
      </c>
      <c r="G4173" t="s">
        <v>528</v>
      </c>
      <c r="H4173" t="s">
        <v>14830</v>
      </c>
      <c r="I4173">
        <v>92</v>
      </c>
      <c r="J4173">
        <v>92</v>
      </c>
      <c r="K4173">
        <v>0</v>
      </c>
      <c r="L4173">
        <v>0</v>
      </c>
      <c r="M4173">
        <v>0</v>
      </c>
      <c r="N4173">
        <v>0</v>
      </c>
      <c r="O4173">
        <v>0</v>
      </c>
    </row>
    <row r="4174" spans="1:15" x14ac:dyDescent="0.25">
      <c r="A4174" t="s">
        <v>1384</v>
      </c>
      <c r="B4174" t="s">
        <v>2503</v>
      </c>
      <c r="C4174" t="s">
        <v>923</v>
      </c>
      <c r="D4174" t="s">
        <v>3063</v>
      </c>
      <c r="E4174" t="s">
        <v>3053</v>
      </c>
      <c r="F4174" t="s">
        <v>527</v>
      </c>
      <c r="G4174" t="s">
        <v>528</v>
      </c>
      <c r="H4174" t="s">
        <v>5837</v>
      </c>
      <c r="I4174">
        <v>24</v>
      </c>
      <c r="J4174">
        <v>24</v>
      </c>
      <c r="K4174">
        <v>0</v>
      </c>
      <c r="L4174">
        <v>0</v>
      </c>
      <c r="M4174">
        <v>0</v>
      </c>
      <c r="N4174">
        <v>0</v>
      </c>
      <c r="O4174">
        <v>0</v>
      </c>
    </row>
    <row r="4175" spans="1:15" x14ac:dyDescent="0.25">
      <c r="A4175" t="s">
        <v>1390</v>
      </c>
      <c r="B4175" t="s">
        <v>2978</v>
      </c>
      <c r="C4175" t="s">
        <v>923</v>
      </c>
      <c r="D4175" t="s">
        <v>3063</v>
      </c>
      <c r="E4175" t="s">
        <v>3053</v>
      </c>
      <c r="F4175" t="s">
        <v>527</v>
      </c>
      <c r="G4175" t="s">
        <v>528</v>
      </c>
      <c r="H4175" t="s">
        <v>5838</v>
      </c>
      <c r="I4175">
        <v>12</v>
      </c>
      <c r="J4175">
        <v>12</v>
      </c>
      <c r="K4175">
        <v>0</v>
      </c>
      <c r="L4175">
        <v>0</v>
      </c>
      <c r="M4175">
        <v>0</v>
      </c>
      <c r="N4175">
        <v>0</v>
      </c>
      <c r="O4175">
        <v>0</v>
      </c>
    </row>
    <row r="4176" spans="1:15" x14ac:dyDescent="0.25">
      <c r="A4176" t="s">
        <v>971</v>
      </c>
      <c r="B4176" t="s">
        <v>2956</v>
      </c>
      <c r="C4176" t="s">
        <v>927</v>
      </c>
      <c r="D4176" t="s">
        <v>3052</v>
      </c>
      <c r="E4176" t="s">
        <v>3053</v>
      </c>
      <c r="F4176" t="s">
        <v>529</v>
      </c>
      <c r="G4176" t="s">
        <v>530</v>
      </c>
      <c r="H4176" t="s">
        <v>5839</v>
      </c>
      <c r="I4176">
        <v>684</v>
      </c>
      <c r="J4176">
        <v>570</v>
      </c>
      <c r="K4176">
        <v>0</v>
      </c>
      <c r="L4176">
        <v>0</v>
      </c>
      <c r="M4176">
        <v>63</v>
      </c>
      <c r="N4176">
        <v>0</v>
      </c>
      <c r="O4176">
        <v>51</v>
      </c>
    </row>
    <row r="4177" spans="1:15" x14ac:dyDescent="0.25">
      <c r="A4177" t="s">
        <v>929</v>
      </c>
      <c r="B4177" t="s">
        <v>2999</v>
      </c>
      <c r="C4177" t="s">
        <v>927</v>
      </c>
      <c r="D4177" t="s">
        <v>3052</v>
      </c>
      <c r="E4177" t="s">
        <v>3053</v>
      </c>
      <c r="F4177" t="s">
        <v>529</v>
      </c>
      <c r="G4177" t="s">
        <v>530</v>
      </c>
      <c r="H4177" t="s">
        <v>5840</v>
      </c>
      <c r="I4177">
        <v>192</v>
      </c>
      <c r="J4177">
        <v>0</v>
      </c>
      <c r="K4177">
        <v>0</v>
      </c>
      <c r="L4177">
        <v>0</v>
      </c>
      <c r="M4177">
        <v>192</v>
      </c>
      <c r="N4177">
        <v>0</v>
      </c>
      <c r="O4177">
        <v>0</v>
      </c>
    </row>
    <row r="4178" spans="1:15" x14ac:dyDescent="0.25">
      <c r="A4178" t="s">
        <v>9784</v>
      </c>
      <c r="B4178" t="s">
        <v>1994</v>
      </c>
      <c r="C4178" t="s">
        <v>927</v>
      </c>
      <c r="D4178" t="s">
        <v>3052</v>
      </c>
      <c r="E4178" t="s">
        <v>3053</v>
      </c>
      <c r="F4178" t="s">
        <v>529</v>
      </c>
      <c r="G4178" t="s">
        <v>530</v>
      </c>
      <c r="H4178" t="s">
        <v>9953</v>
      </c>
      <c r="I4178">
        <v>4</v>
      </c>
      <c r="J4178">
        <v>0</v>
      </c>
      <c r="K4178">
        <v>0</v>
      </c>
      <c r="L4178">
        <v>4</v>
      </c>
      <c r="M4178">
        <v>0</v>
      </c>
      <c r="N4178">
        <v>0</v>
      </c>
      <c r="O4178">
        <v>0</v>
      </c>
    </row>
    <row r="4179" spans="1:15" x14ac:dyDescent="0.25">
      <c r="A4179" t="s">
        <v>933</v>
      </c>
      <c r="B4179" t="s">
        <v>2106</v>
      </c>
      <c r="C4179" t="s">
        <v>927</v>
      </c>
      <c r="D4179" t="s">
        <v>3052</v>
      </c>
      <c r="E4179" t="s">
        <v>3053</v>
      </c>
      <c r="F4179" t="s">
        <v>529</v>
      </c>
      <c r="G4179" t="s">
        <v>530</v>
      </c>
      <c r="H4179" t="s">
        <v>5842</v>
      </c>
      <c r="I4179">
        <v>126</v>
      </c>
      <c r="J4179">
        <v>109</v>
      </c>
      <c r="K4179">
        <v>0</v>
      </c>
      <c r="L4179">
        <v>0</v>
      </c>
      <c r="M4179">
        <v>0</v>
      </c>
      <c r="N4179">
        <v>0</v>
      </c>
      <c r="O4179">
        <v>17</v>
      </c>
    </row>
    <row r="4180" spans="1:15" x14ac:dyDescent="0.25">
      <c r="A4180" t="s">
        <v>992</v>
      </c>
      <c r="B4180" t="s">
        <v>3033</v>
      </c>
      <c r="C4180" t="s">
        <v>927</v>
      </c>
      <c r="D4180" t="s">
        <v>3052</v>
      </c>
      <c r="E4180" t="s">
        <v>3053</v>
      </c>
      <c r="F4180" t="s">
        <v>529</v>
      </c>
      <c r="G4180" t="s">
        <v>530</v>
      </c>
      <c r="H4180" t="s">
        <v>5843</v>
      </c>
      <c r="I4180">
        <v>663</v>
      </c>
      <c r="J4180">
        <v>448</v>
      </c>
      <c r="K4180">
        <v>0</v>
      </c>
      <c r="L4180">
        <v>0</v>
      </c>
      <c r="M4180">
        <v>0</v>
      </c>
      <c r="N4180">
        <v>0</v>
      </c>
      <c r="O4180">
        <v>215</v>
      </c>
    </row>
    <row r="4181" spans="1:15" x14ac:dyDescent="0.25">
      <c r="A4181" t="s">
        <v>996</v>
      </c>
      <c r="B4181" t="s">
        <v>1952</v>
      </c>
      <c r="C4181" t="s">
        <v>923</v>
      </c>
      <c r="D4181" t="s">
        <v>3063</v>
      </c>
      <c r="E4181" t="s">
        <v>3053</v>
      </c>
      <c r="F4181" t="s">
        <v>529</v>
      </c>
      <c r="G4181" t="s">
        <v>530</v>
      </c>
      <c r="H4181" t="s">
        <v>5844</v>
      </c>
      <c r="I4181">
        <v>5</v>
      </c>
      <c r="J4181">
        <v>0</v>
      </c>
      <c r="K4181">
        <v>0</v>
      </c>
      <c r="L4181">
        <v>5</v>
      </c>
      <c r="M4181">
        <v>0</v>
      </c>
      <c r="N4181">
        <v>0</v>
      </c>
      <c r="O4181">
        <v>0</v>
      </c>
    </row>
    <row r="4182" spans="1:15" x14ac:dyDescent="0.25">
      <c r="A4182" t="s">
        <v>935</v>
      </c>
      <c r="B4182" t="s">
        <v>1960</v>
      </c>
      <c r="C4182" t="s">
        <v>923</v>
      </c>
      <c r="D4182" t="s">
        <v>3063</v>
      </c>
      <c r="E4182" t="s">
        <v>3053</v>
      </c>
      <c r="F4182" t="s">
        <v>529</v>
      </c>
      <c r="G4182" t="s">
        <v>530</v>
      </c>
      <c r="H4182" t="s">
        <v>10062</v>
      </c>
      <c r="I4182">
        <v>3</v>
      </c>
      <c r="J4182">
        <v>0</v>
      </c>
      <c r="K4182">
        <v>0</v>
      </c>
      <c r="L4182">
        <v>3</v>
      </c>
      <c r="M4182">
        <v>0</v>
      </c>
      <c r="N4182">
        <v>0</v>
      </c>
      <c r="O4182">
        <v>0</v>
      </c>
    </row>
    <row r="4183" spans="1:15" x14ac:dyDescent="0.25">
      <c r="A4183" t="s">
        <v>10638</v>
      </c>
      <c r="B4183" t="s">
        <v>2057</v>
      </c>
      <c r="C4183" t="s">
        <v>927</v>
      </c>
      <c r="D4183" t="s">
        <v>3052</v>
      </c>
      <c r="E4183" t="s">
        <v>3053</v>
      </c>
      <c r="F4183" t="s">
        <v>529</v>
      </c>
      <c r="G4183" t="s">
        <v>530</v>
      </c>
      <c r="H4183" t="s">
        <v>11091</v>
      </c>
      <c r="I4183">
        <v>15</v>
      </c>
      <c r="J4183">
        <v>0</v>
      </c>
      <c r="K4183">
        <v>0</v>
      </c>
      <c r="L4183">
        <v>15</v>
      </c>
      <c r="M4183">
        <v>0</v>
      </c>
      <c r="N4183">
        <v>0</v>
      </c>
      <c r="O4183">
        <v>0</v>
      </c>
    </row>
    <row r="4184" spans="1:15" x14ac:dyDescent="0.25">
      <c r="A4184" t="s">
        <v>1010</v>
      </c>
      <c r="B4184" t="s">
        <v>2639</v>
      </c>
      <c r="C4184" t="s">
        <v>927</v>
      </c>
      <c r="D4184" t="s">
        <v>3052</v>
      </c>
      <c r="E4184" t="s">
        <v>3053</v>
      </c>
      <c r="F4184" t="s">
        <v>529</v>
      </c>
      <c r="G4184" t="s">
        <v>530</v>
      </c>
      <c r="H4184" t="s">
        <v>5845</v>
      </c>
      <c r="I4184">
        <v>57</v>
      </c>
      <c r="J4184">
        <v>46</v>
      </c>
      <c r="K4184">
        <v>0</v>
      </c>
      <c r="L4184">
        <v>0</v>
      </c>
      <c r="M4184">
        <v>0</v>
      </c>
      <c r="N4184">
        <v>0</v>
      </c>
      <c r="O4184">
        <v>11</v>
      </c>
    </row>
    <row r="4185" spans="1:15" x14ac:dyDescent="0.25">
      <c r="A4185" t="s">
        <v>937</v>
      </c>
      <c r="B4185" t="s">
        <v>1962</v>
      </c>
      <c r="C4185" t="s">
        <v>927</v>
      </c>
      <c r="D4185" t="s">
        <v>3052</v>
      </c>
      <c r="E4185" t="s">
        <v>3053</v>
      </c>
      <c r="F4185" t="s">
        <v>529</v>
      </c>
      <c r="G4185" t="s">
        <v>530</v>
      </c>
      <c r="H4185" t="s">
        <v>5846</v>
      </c>
      <c r="I4185">
        <v>93</v>
      </c>
      <c r="J4185">
        <v>0</v>
      </c>
      <c r="K4185">
        <v>0</v>
      </c>
      <c r="L4185">
        <v>0</v>
      </c>
      <c r="M4185">
        <v>0</v>
      </c>
      <c r="N4185">
        <v>0</v>
      </c>
      <c r="O4185">
        <v>93</v>
      </c>
    </row>
    <row r="4186" spans="1:15" x14ac:dyDescent="0.25">
      <c r="A4186" t="s">
        <v>938</v>
      </c>
      <c r="B4186" t="s">
        <v>2791</v>
      </c>
      <c r="C4186" t="s">
        <v>927</v>
      </c>
      <c r="D4186" t="s">
        <v>3052</v>
      </c>
      <c r="E4186" t="s">
        <v>3053</v>
      </c>
      <c r="F4186" t="s">
        <v>529</v>
      </c>
      <c r="G4186" t="s">
        <v>530</v>
      </c>
      <c r="H4186" t="s">
        <v>5847</v>
      </c>
      <c r="I4186">
        <v>18</v>
      </c>
      <c r="J4186">
        <v>0</v>
      </c>
      <c r="K4186">
        <v>0</v>
      </c>
      <c r="L4186">
        <v>18</v>
      </c>
      <c r="M4186">
        <v>0</v>
      </c>
      <c r="N4186">
        <v>0</v>
      </c>
      <c r="O4186">
        <v>0</v>
      </c>
    </row>
    <row r="4187" spans="1:15" x14ac:dyDescent="0.25">
      <c r="A4187" t="s">
        <v>940</v>
      </c>
      <c r="B4187" t="s">
        <v>2647</v>
      </c>
      <c r="C4187" t="s">
        <v>927</v>
      </c>
      <c r="D4187" t="s">
        <v>3052</v>
      </c>
      <c r="E4187" t="s">
        <v>3053</v>
      </c>
      <c r="F4187" t="s">
        <v>529</v>
      </c>
      <c r="G4187" t="s">
        <v>530</v>
      </c>
      <c r="H4187" t="s">
        <v>5848</v>
      </c>
      <c r="I4187">
        <v>107</v>
      </c>
      <c r="J4187">
        <v>1</v>
      </c>
      <c r="K4187">
        <v>0</v>
      </c>
      <c r="L4187">
        <v>0</v>
      </c>
      <c r="M4187">
        <v>106</v>
      </c>
      <c r="N4187">
        <v>0</v>
      </c>
      <c r="O4187">
        <v>0</v>
      </c>
    </row>
    <row r="4188" spans="1:15" x14ac:dyDescent="0.25">
      <c r="A4188" t="s">
        <v>1123</v>
      </c>
      <c r="B4188" t="s">
        <v>2691</v>
      </c>
      <c r="C4188" t="s">
        <v>927</v>
      </c>
      <c r="D4188" t="s">
        <v>3052</v>
      </c>
      <c r="E4188" t="s">
        <v>3053</v>
      </c>
      <c r="F4188" t="s">
        <v>529</v>
      </c>
      <c r="G4188" t="s">
        <v>530</v>
      </c>
      <c r="H4188" t="s">
        <v>5849</v>
      </c>
      <c r="I4188">
        <v>22</v>
      </c>
      <c r="J4188">
        <v>19</v>
      </c>
      <c r="K4188">
        <v>0</v>
      </c>
      <c r="L4188">
        <v>0</v>
      </c>
      <c r="M4188">
        <v>0</v>
      </c>
      <c r="N4188">
        <v>0</v>
      </c>
      <c r="O4188">
        <v>3</v>
      </c>
    </row>
    <row r="4189" spans="1:15" x14ac:dyDescent="0.25">
      <c r="A4189" t="s">
        <v>1012</v>
      </c>
      <c r="B4189" t="s">
        <v>2911</v>
      </c>
      <c r="C4189" t="s">
        <v>927</v>
      </c>
      <c r="D4189" t="s">
        <v>3052</v>
      </c>
      <c r="E4189" t="s">
        <v>3053</v>
      </c>
      <c r="F4189" t="s">
        <v>529</v>
      </c>
      <c r="G4189" t="s">
        <v>530</v>
      </c>
      <c r="H4189" t="s">
        <v>5850</v>
      </c>
      <c r="I4189">
        <v>156</v>
      </c>
      <c r="J4189">
        <v>116</v>
      </c>
      <c r="K4189">
        <v>0</v>
      </c>
      <c r="L4189">
        <v>0</v>
      </c>
      <c r="M4189">
        <v>40</v>
      </c>
      <c r="N4189">
        <v>2</v>
      </c>
      <c r="O4189">
        <v>0</v>
      </c>
    </row>
    <row r="4190" spans="1:15" x14ac:dyDescent="0.25">
      <c r="A4190" t="s">
        <v>1013</v>
      </c>
      <c r="B4190" t="s">
        <v>1959</v>
      </c>
      <c r="C4190" t="s">
        <v>927</v>
      </c>
      <c r="D4190" t="s">
        <v>3052</v>
      </c>
      <c r="E4190" t="s">
        <v>3053</v>
      </c>
      <c r="F4190" t="s">
        <v>529</v>
      </c>
      <c r="G4190" t="s">
        <v>530</v>
      </c>
      <c r="H4190" t="s">
        <v>11092</v>
      </c>
      <c r="I4190">
        <v>3</v>
      </c>
      <c r="J4190">
        <v>0</v>
      </c>
      <c r="K4190">
        <v>0</v>
      </c>
      <c r="L4190">
        <v>3</v>
      </c>
      <c r="M4190">
        <v>0</v>
      </c>
      <c r="N4190">
        <v>0</v>
      </c>
      <c r="O4190">
        <v>0</v>
      </c>
    </row>
    <row r="4191" spans="1:15" x14ac:dyDescent="0.25">
      <c r="A4191" t="s">
        <v>1025</v>
      </c>
      <c r="B4191" t="s">
        <v>2893</v>
      </c>
      <c r="C4191" t="s">
        <v>927</v>
      </c>
      <c r="D4191" t="s">
        <v>3052</v>
      </c>
      <c r="E4191" t="s">
        <v>3053</v>
      </c>
      <c r="F4191" t="s">
        <v>529</v>
      </c>
      <c r="G4191" t="s">
        <v>530</v>
      </c>
      <c r="H4191" t="s">
        <v>12110</v>
      </c>
      <c r="I4191">
        <v>41</v>
      </c>
      <c r="J4191">
        <v>12</v>
      </c>
      <c r="K4191">
        <v>0</v>
      </c>
      <c r="L4191">
        <v>0</v>
      </c>
      <c r="M4191">
        <v>0</v>
      </c>
      <c r="N4191">
        <v>0</v>
      </c>
      <c r="O4191">
        <v>29</v>
      </c>
    </row>
    <row r="4192" spans="1:15" x14ac:dyDescent="0.25">
      <c r="A4192" t="s">
        <v>1026</v>
      </c>
      <c r="B4192" t="s">
        <v>2848</v>
      </c>
      <c r="C4192" t="s">
        <v>927</v>
      </c>
      <c r="D4192" t="s">
        <v>3052</v>
      </c>
      <c r="E4192" t="s">
        <v>3053</v>
      </c>
      <c r="F4192" t="s">
        <v>529</v>
      </c>
      <c r="G4192" t="s">
        <v>530</v>
      </c>
      <c r="H4192" t="s">
        <v>5851</v>
      </c>
      <c r="I4192">
        <v>619</v>
      </c>
      <c r="J4192">
        <v>452</v>
      </c>
      <c r="K4192">
        <v>0</v>
      </c>
      <c r="L4192">
        <v>38</v>
      </c>
      <c r="M4192">
        <v>46</v>
      </c>
      <c r="N4192">
        <v>1</v>
      </c>
      <c r="O4192">
        <v>83</v>
      </c>
    </row>
    <row r="4193" spans="1:15" x14ac:dyDescent="0.25">
      <c r="A4193" t="s">
        <v>10681</v>
      </c>
      <c r="B4193" t="s">
        <v>10680</v>
      </c>
      <c r="C4193" t="s">
        <v>927</v>
      </c>
      <c r="D4193" t="s">
        <v>3052</v>
      </c>
      <c r="E4193" t="s">
        <v>3053</v>
      </c>
      <c r="F4193" t="s">
        <v>529</v>
      </c>
      <c r="G4193" t="s">
        <v>530</v>
      </c>
      <c r="H4193" t="s">
        <v>14831</v>
      </c>
      <c r="I4193">
        <v>18</v>
      </c>
      <c r="J4193">
        <v>0</v>
      </c>
      <c r="K4193">
        <v>0</v>
      </c>
      <c r="L4193">
        <v>0</v>
      </c>
      <c r="M4193">
        <v>0</v>
      </c>
      <c r="N4193">
        <v>0</v>
      </c>
      <c r="O4193">
        <v>18</v>
      </c>
    </row>
    <row r="4194" spans="1:15" x14ac:dyDescent="0.25">
      <c r="A4194" t="s">
        <v>943</v>
      </c>
      <c r="B4194" t="s">
        <v>2694</v>
      </c>
      <c r="C4194" t="s">
        <v>927</v>
      </c>
      <c r="D4194" t="s">
        <v>3052</v>
      </c>
      <c r="E4194" t="s">
        <v>3053</v>
      </c>
      <c r="F4194" t="s">
        <v>529</v>
      </c>
      <c r="G4194" t="s">
        <v>530</v>
      </c>
      <c r="H4194" t="s">
        <v>5852</v>
      </c>
      <c r="I4194">
        <v>398</v>
      </c>
      <c r="J4194">
        <v>313</v>
      </c>
      <c r="K4194">
        <v>0</v>
      </c>
      <c r="L4194">
        <v>29</v>
      </c>
      <c r="M4194">
        <v>0</v>
      </c>
      <c r="N4194">
        <v>0</v>
      </c>
      <c r="O4194">
        <v>56</v>
      </c>
    </row>
    <row r="4195" spans="1:15" x14ac:dyDescent="0.25">
      <c r="A4195" t="s">
        <v>1031</v>
      </c>
      <c r="B4195" t="s">
        <v>2779</v>
      </c>
      <c r="C4195" t="s">
        <v>927</v>
      </c>
      <c r="D4195" t="s">
        <v>3052</v>
      </c>
      <c r="E4195" t="s">
        <v>3053</v>
      </c>
      <c r="F4195" t="s">
        <v>529</v>
      </c>
      <c r="G4195" t="s">
        <v>530</v>
      </c>
      <c r="H4195" t="s">
        <v>5853</v>
      </c>
      <c r="I4195">
        <v>635</v>
      </c>
      <c r="J4195">
        <v>537</v>
      </c>
      <c r="K4195">
        <v>0</v>
      </c>
      <c r="L4195">
        <v>38</v>
      </c>
      <c r="M4195">
        <v>36</v>
      </c>
      <c r="N4195">
        <v>2</v>
      </c>
      <c r="O4195">
        <v>24</v>
      </c>
    </row>
    <row r="4196" spans="1:15" x14ac:dyDescent="0.25">
      <c r="A4196" t="s">
        <v>1041</v>
      </c>
      <c r="B4196" t="s">
        <v>2826</v>
      </c>
      <c r="C4196" t="s">
        <v>927</v>
      </c>
      <c r="D4196" t="s">
        <v>3052</v>
      </c>
      <c r="E4196" t="s">
        <v>3053</v>
      </c>
      <c r="F4196" t="s">
        <v>529</v>
      </c>
      <c r="G4196" t="s">
        <v>530</v>
      </c>
      <c r="H4196" t="s">
        <v>5854</v>
      </c>
      <c r="I4196">
        <v>7</v>
      </c>
      <c r="J4196">
        <v>0</v>
      </c>
      <c r="K4196">
        <v>0</v>
      </c>
      <c r="L4196">
        <v>0</v>
      </c>
      <c r="M4196">
        <v>0</v>
      </c>
      <c r="N4196">
        <v>0</v>
      </c>
      <c r="O4196">
        <v>7</v>
      </c>
    </row>
    <row r="4197" spans="1:15" x14ac:dyDescent="0.25">
      <c r="A4197" t="s">
        <v>9787</v>
      </c>
      <c r="B4197" t="s">
        <v>2822</v>
      </c>
      <c r="C4197" t="s">
        <v>927</v>
      </c>
      <c r="D4197" t="s">
        <v>3052</v>
      </c>
      <c r="E4197" t="s">
        <v>3053</v>
      </c>
      <c r="F4197" t="s">
        <v>529</v>
      </c>
      <c r="G4197" t="s">
        <v>530</v>
      </c>
      <c r="H4197" t="s">
        <v>14832</v>
      </c>
      <c r="I4197">
        <v>30</v>
      </c>
      <c r="J4197">
        <v>30</v>
      </c>
      <c r="K4197">
        <v>0</v>
      </c>
      <c r="L4197">
        <v>0</v>
      </c>
      <c r="M4197">
        <v>0</v>
      </c>
      <c r="N4197">
        <v>0</v>
      </c>
      <c r="O4197">
        <v>0</v>
      </c>
    </row>
    <row r="4198" spans="1:15" x14ac:dyDescent="0.25">
      <c r="A4198" t="s">
        <v>1146</v>
      </c>
      <c r="B4198" t="s">
        <v>2117</v>
      </c>
      <c r="C4198" t="s">
        <v>927</v>
      </c>
      <c r="D4198" t="s">
        <v>3052</v>
      </c>
      <c r="E4198" t="s">
        <v>3053</v>
      </c>
      <c r="F4198" t="s">
        <v>529</v>
      </c>
      <c r="G4198" t="s">
        <v>530</v>
      </c>
      <c r="H4198" t="s">
        <v>14833</v>
      </c>
      <c r="I4198">
        <v>49</v>
      </c>
      <c r="J4198">
        <v>49</v>
      </c>
      <c r="K4198">
        <v>0</v>
      </c>
      <c r="L4198">
        <v>0</v>
      </c>
      <c r="M4198">
        <v>0</v>
      </c>
      <c r="N4198">
        <v>0</v>
      </c>
      <c r="O4198">
        <v>0</v>
      </c>
    </row>
    <row r="4199" spans="1:15" x14ac:dyDescent="0.25">
      <c r="A4199" t="s">
        <v>951</v>
      </c>
      <c r="B4199" t="s">
        <v>2680</v>
      </c>
      <c r="C4199" t="s">
        <v>927</v>
      </c>
      <c r="D4199" t="s">
        <v>3052</v>
      </c>
      <c r="E4199" t="s">
        <v>3053</v>
      </c>
      <c r="F4199" t="s">
        <v>529</v>
      </c>
      <c r="G4199" t="s">
        <v>530</v>
      </c>
      <c r="H4199" t="s">
        <v>5855</v>
      </c>
      <c r="I4199">
        <v>49</v>
      </c>
      <c r="J4199">
        <v>38</v>
      </c>
      <c r="K4199">
        <v>0</v>
      </c>
      <c r="L4199">
        <v>0</v>
      </c>
      <c r="M4199">
        <v>0</v>
      </c>
      <c r="N4199">
        <v>0</v>
      </c>
      <c r="O4199">
        <v>11</v>
      </c>
    </row>
    <row r="4200" spans="1:15" x14ac:dyDescent="0.25">
      <c r="A4200" t="s">
        <v>1048</v>
      </c>
      <c r="B4200" t="s">
        <v>2989</v>
      </c>
      <c r="C4200" t="s">
        <v>927</v>
      </c>
      <c r="D4200" t="s">
        <v>3052</v>
      </c>
      <c r="E4200" t="s">
        <v>3053</v>
      </c>
      <c r="F4200" t="s">
        <v>529</v>
      </c>
      <c r="G4200" t="s">
        <v>530</v>
      </c>
      <c r="H4200" t="s">
        <v>5856</v>
      </c>
      <c r="I4200">
        <v>6153</v>
      </c>
      <c r="J4200">
        <v>5341</v>
      </c>
      <c r="K4200">
        <v>0</v>
      </c>
      <c r="L4200">
        <v>166</v>
      </c>
      <c r="M4200">
        <v>511</v>
      </c>
      <c r="N4200">
        <v>1</v>
      </c>
      <c r="O4200">
        <v>135</v>
      </c>
    </row>
    <row r="4201" spans="1:15" x14ac:dyDescent="0.25">
      <c r="A4201" t="s">
        <v>1049</v>
      </c>
      <c r="B4201" t="s">
        <v>2138</v>
      </c>
      <c r="C4201" t="s">
        <v>927</v>
      </c>
      <c r="D4201" t="s">
        <v>3052</v>
      </c>
      <c r="E4201" t="s">
        <v>3053</v>
      </c>
      <c r="F4201" t="s">
        <v>529</v>
      </c>
      <c r="G4201" t="s">
        <v>530</v>
      </c>
      <c r="H4201" t="s">
        <v>11093</v>
      </c>
      <c r="I4201">
        <v>41</v>
      </c>
      <c r="J4201">
        <v>23</v>
      </c>
      <c r="K4201">
        <v>0</v>
      </c>
      <c r="L4201">
        <v>0</v>
      </c>
      <c r="M4201">
        <v>0</v>
      </c>
      <c r="N4201">
        <v>0</v>
      </c>
      <c r="O4201">
        <v>18</v>
      </c>
    </row>
    <row r="4202" spans="1:15" x14ac:dyDescent="0.25">
      <c r="A4202" t="s">
        <v>1051</v>
      </c>
      <c r="B4202" t="s">
        <v>2995</v>
      </c>
      <c r="C4202" t="s">
        <v>927</v>
      </c>
      <c r="D4202" t="s">
        <v>3052</v>
      </c>
      <c r="E4202" t="s">
        <v>3053</v>
      </c>
      <c r="F4202" t="s">
        <v>529</v>
      </c>
      <c r="G4202" t="s">
        <v>530</v>
      </c>
      <c r="H4202" t="s">
        <v>5857</v>
      </c>
      <c r="I4202">
        <v>3</v>
      </c>
      <c r="J4202">
        <v>0</v>
      </c>
      <c r="K4202">
        <v>0</v>
      </c>
      <c r="L4202">
        <v>3</v>
      </c>
      <c r="M4202">
        <v>0</v>
      </c>
      <c r="N4202">
        <v>0</v>
      </c>
      <c r="O4202">
        <v>0</v>
      </c>
    </row>
    <row r="4203" spans="1:15" x14ac:dyDescent="0.25">
      <c r="A4203" t="s">
        <v>1149</v>
      </c>
      <c r="B4203" t="s">
        <v>2262</v>
      </c>
      <c r="C4203" t="s">
        <v>923</v>
      </c>
      <c r="D4203" t="s">
        <v>3063</v>
      </c>
      <c r="E4203" t="s">
        <v>3053</v>
      </c>
      <c r="F4203" t="s">
        <v>529</v>
      </c>
      <c r="G4203" t="s">
        <v>530</v>
      </c>
      <c r="H4203" t="s">
        <v>5858</v>
      </c>
      <c r="I4203">
        <v>44</v>
      </c>
      <c r="J4203">
        <v>0</v>
      </c>
      <c r="K4203">
        <v>0</v>
      </c>
      <c r="L4203">
        <v>0</v>
      </c>
      <c r="M4203">
        <v>44</v>
      </c>
      <c r="N4203">
        <v>0</v>
      </c>
      <c r="O4203">
        <v>0</v>
      </c>
    </row>
    <row r="4204" spans="1:15" x14ac:dyDescent="0.25">
      <c r="A4204" t="s">
        <v>953</v>
      </c>
      <c r="B4204" t="s">
        <v>2014</v>
      </c>
      <c r="C4204" t="s">
        <v>927</v>
      </c>
      <c r="D4204" t="s">
        <v>3052</v>
      </c>
      <c r="E4204" t="s">
        <v>3053</v>
      </c>
      <c r="F4204" t="s">
        <v>529</v>
      </c>
      <c r="G4204" t="s">
        <v>530</v>
      </c>
      <c r="H4204" t="s">
        <v>5859</v>
      </c>
      <c r="I4204">
        <v>31</v>
      </c>
      <c r="J4204">
        <v>0</v>
      </c>
      <c r="K4204">
        <v>0</v>
      </c>
      <c r="L4204">
        <v>31</v>
      </c>
      <c r="M4204">
        <v>0</v>
      </c>
      <c r="N4204">
        <v>0</v>
      </c>
      <c r="O4204">
        <v>0</v>
      </c>
    </row>
    <row r="4205" spans="1:15" x14ac:dyDescent="0.25">
      <c r="A4205" t="s">
        <v>11720</v>
      </c>
      <c r="B4205" t="s">
        <v>10718</v>
      </c>
      <c r="C4205" t="s">
        <v>927</v>
      </c>
      <c r="D4205" t="s">
        <v>3052</v>
      </c>
      <c r="E4205" t="s">
        <v>3053</v>
      </c>
      <c r="F4205" t="s">
        <v>529</v>
      </c>
      <c r="G4205" t="s">
        <v>530</v>
      </c>
      <c r="H4205" t="s">
        <v>14834</v>
      </c>
      <c r="I4205">
        <v>224</v>
      </c>
      <c r="J4205">
        <v>131</v>
      </c>
      <c r="K4205">
        <v>0</v>
      </c>
      <c r="L4205">
        <v>0</v>
      </c>
      <c r="M4205">
        <v>0</v>
      </c>
      <c r="N4205">
        <v>0</v>
      </c>
      <c r="O4205">
        <v>93</v>
      </c>
    </row>
    <row r="4206" spans="1:15" x14ac:dyDescent="0.25">
      <c r="A4206" t="s">
        <v>9788</v>
      </c>
      <c r="B4206" t="s">
        <v>9871</v>
      </c>
      <c r="C4206" t="s">
        <v>927</v>
      </c>
      <c r="D4206" t="s">
        <v>3052</v>
      </c>
      <c r="E4206" t="s">
        <v>3053</v>
      </c>
      <c r="F4206" t="s">
        <v>529</v>
      </c>
      <c r="G4206" t="s">
        <v>530</v>
      </c>
      <c r="H4206" t="s">
        <v>10358</v>
      </c>
      <c r="I4206">
        <v>228</v>
      </c>
      <c r="J4206">
        <v>228</v>
      </c>
      <c r="K4206">
        <v>0</v>
      </c>
      <c r="L4206">
        <v>0</v>
      </c>
      <c r="M4206">
        <v>0</v>
      </c>
      <c r="N4206">
        <v>0</v>
      </c>
      <c r="O4206">
        <v>0</v>
      </c>
    </row>
    <row r="4207" spans="1:15" x14ac:dyDescent="0.25">
      <c r="A4207" t="s">
        <v>1056</v>
      </c>
      <c r="B4207" t="s">
        <v>2966</v>
      </c>
      <c r="C4207" t="s">
        <v>927</v>
      </c>
      <c r="D4207" t="s">
        <v>3052</v>
      </c>
      <c r="E4207" t="s">
        <v>3053</v>
      </c>
      <c r="F4207" t="s">
        <v>529</v>
      </c>
      <c r="G4207" t="s">
        <v>530</v>
      </c>
      <c r="H4207" t="s">
        <v>5860</v>
      </c>
      <c r="I4207">
        <v>36</v>
      </c>
      <c r="J4207">
        <v>0</v>
      </c>
      <c r="K4207">
        <v>0</v>
      </c>
      <c r="L4207">
        <v>36</v>
      </c>
      <c r="M4207">
        <v>0</v>
      </c>
      <c r="N4207">
        <v>0</v>
      </c>
      <c r="O4207">
        <v>0</v>
      </c>
    </row>
    <row r="4208" spans="1:15" x14ac:dyDescent="0.25">
      <c r="A4208" t="s">
        <v>14374</v>
      </c>
      <c r="B4208" t="s">
        <v>1943</v>
      </c>
      <c r="C4208" t="s">
        <v>927</v>
      </c>
      <c r="D4208" t="s">
        <v>3052</v>
      </c>
      <c r="E4208" t="s">
        <v>3053</v>
      </c>
      <c r="F4208" t="s">
        <v>529</v>
      </c>
      <c r="G4208" t="s">
        <v>530</v>
      </c>
      <c r="H4208" t="s">
        <v>14835</v>
      </c>
      <c r="I4208">
        <v>60</v>
      </c>
      <c r="J4208">
        <v>0</v>
      </c>
      <c r="K4208">
        <v>0</v>
      </c>
      <c r="L4208">
        <v>0</v>
      </c>
      <c r="M4208">
        <v>0</v>
      </c>
      <c r="N4208">
        <v>0</v>
      </c>
      <c r="O4208">
        <v>60</v>
      </c>
    </row>
    <row r="4209" spans="1:15" x14ac:dyDescent="0.25">
      <c r="A4209" t="s">
        <v>962</v>
      </c>
      <c r="B4209" t="s">
        <v>2752</v>
      </c>
      <c r="C4209" t="s">
        <v>927</v>
      </c>
      <c r="D4209" t="s">
        <v>3052</v>
      </c>
      <c r="E4209" t="s">
        <v>3053</v>
      </c>
      <c r="F4209" t="s">
        <v>529</v>
      </c>
      <c r="G4209" t="s">
        <v>530</v>
      </c>
      <c r="H4209" t="s">
        <v>5861</v>
      </c>
      <c r="I4209">
        <v>182</v>
      </c>
      <c r="J4209">
        <v>111</v>
      </c>
      <c r="K4209">
        <v>0</v>
      </c>
      <c r="L4209">
        <v>14</v>
      </c>
      <c r="M4209">
        <v>0</v>
      </c>
      <c r="N4209">
        <v>0</v>
      </c>
      <c r="O4209">
        <v>57</v>
      </c>
    </row>
    <row r="4210" spans="1:15" x14ac:dyDescent="0.25">
      <c r="A4210" t="s">
        <v>1168</v>
      </c>
      <c r="B4210" t="s">
        <v>2712</v>
      </c>
      <c r="C4210" t="s">
        <v>927</v>
      </c>
      <c r="D4210" t="s">
        <v>3052</v>
      </c>
      <c r="E4210" t="s">
        <v>3053</v>
      </c>
      <c r="F4210" t="s">
        <v>529</v>
      </c>
      <c r="G4210" t="s">
        <v>530</v>
      </c>
      <c r="H4210" t="s">
        <v>5862</v>
      </c>
      <c r="I4210">
        <v>393</v>
      </c>
      <c r="J4210">
        <v>306</v>
      </c>
      <c r="K4210">
        <v>0</v>
      </c>
      <c r="L4210">
        <v>6</v>
      </c>
      <c r="M4210">
        <v>0</v>
      </c>
      <c r="N4210">
        <v>0</v>
      </c>
      <c r="O4210">
        <v>81</v>
      </c>
    </row>
    <row r="4211" spans="1:15" x14ac:dyDescent="0.25">
      <c r="A4211" t="s">
        <v>1069</v>
      </c>
      <c r="B4211" t="s">
        <v>2001</v>
      </c>
      <c r="C4211" t="s">
        <v>927</v>
      </c>
      <c r="D4211" t="s">
        <v>3052</v>
      </c>
      <c r="E4211" t="s">
        <v>3053</v>
      </c>
      <c r="F4211" t="s">
        <v>529</v>
      </c>
      <c r="G4211" t="s">
        <v>530</v>
      </c>
      <c r="H4211" t="s">
        <v>5863</v>
      </c>
      <c r="I4211">
        <v>89</v>
      </c>
      <c r="J4211">
        <v>67</v>
      </c>
      <c r="K4211">
        <v>0</v>
      </c>
      <c r="L4211">
        <v>0</v>
      </c>
      <c r="M4211">
        <v>0</v>
      </c>
      <c r="N4211">
        <v>0</v>
      </c>
      <c r="O4211">
        <v>22</v>
      </c>
    </row>
    <row r="4212" spans="1:15" x14ac:dyDescent="0.25">
      <c r="A4212" t="s">
        <v>1172</v>
      </c>
      <c r="B4212" t="s">
        <v>3023</v>
      </c>
      <c r="C4212" t="s">
        <v>927</v>
      </c>
      <c r="D4212" t="s">
        <v>3052</v>
      </c>
      <c r="E4212" t="s">
        <v>3053</v>
      </c>
      <c r="F4212" t="s">
        <v>529</v>
      </c>
      <c r="G4212" t="s">
        <v>530</v>
      </c>
      <c r="H4212" t="s">
        <v>5864</v>
      </c>
      <c r="I4212">
        <v>67</v>
      </c>
      <c r="J4212">
        <v>50</v>
      </c>
      <c r="K4212">
        <v>0</v>
      </c>
      <c r="L4212">
        <v>0</v>
      </c>
      <c r="M4212">
        <v>0</v>
      </c>
      <c r="N4212">
        <v>0</v>
      </c>
      <c r="O4212">
        <v>17</v>
      </c>
    </row>
    <row r="4213" spans="1:15" x14ac:dyDescent="0.25">
      <c r="A4213" t="s">
        <v>1176</v>
      </c>
      <c r="B4213" t="s">
        <v>2952</v>
      </c>
      <c r="C4213" t="s">
        <v>923</v>
      </c>
      <c r="D4213" t="s">
        <v>3063</v>
      </c>
      <c r="E4213" t="s">
        <v>3053</v>
      </c>
      <c r="F4213" t="s">
        <v>529</v>
      </c>
      <c r="G4213" t="s">
        <v>530</v>
      </c>
      <c r="H4213" t="s">
        <v>5865</v>
      </c>
      <c r="I4213">
        <v>34</v>
      </c>
      <c r="J4213">
        <v>0</v>
      </c>
      <c r="K4213">
        <v>0</v>
      </c>
      <c r="L4213">
        <v>34</v>
      </c>
      <c r="M4213">
        <v>0</v>
      </c>
      <c r="N4213">
        <v>0</v>
      </c>
      <c r="O4213">
        <v>0</v>
      </c>
    </row>
    <row r="4214" spans="1:15" x14ac:dyDescent="0.25">
      <c r="A4214" t="s">
        <v>981</v>
      </c>
      <c r="B4214" t="s">
        <v>2985</v>
      </c>
      <c r="C4214" t="s">
        <v>927</v>
      </c>
      <c r="D4214" t="s">
        <v>3052</v>
      </c>
      <c r="E4214" t="s">
        <v>3053</v>
      </c>
      <c r="F4214" t="s">
        <v>529</v>
      </c>
      <c r="G4214" t="s">
        <v>530</v>
      </c>
      <c r="H4214" t="s">
        <v>5841</v>
      </c>
      <c r="I4214">
        <v>923</v>
      </c>
      <c r="J4214">
        <v>629</v>
      </c>
      <c r="K4214">
        <v>0</v>
      </c>
      <c r="L4214">
        <v>13</v>
      </c>
      <c r="M4214">
        <v>0</v>
      </c>
      <c r="N4214">
        <v>0</v>
      </c>
      <c r="O4214">
        <v>281</v>
      </c>
    </row>
    <row r="4215" spans="1:15" x14ac:dyDescent="0.25">
      <c r="A4215" t="s">
        <v>971</v>
      </c>
      <c r="B4215" t="s">
        <v>2956</v>
      </c>
      <c r="C4215" t="s">
        <v>927</v>
      </c>
      <c r="D4215" t="s">
        <v>3052</v>
      </c>
      <c r="E4215" t="s">
        <v>3053</v>
      </c>
      <c r="F4215" t="s">
        <v>531</v>
      </c>
      <c r="G4215" t="s">
        <v>532</v>
      </c>
      <c r="H4215" t="s">
        <v>5866</v>
      </c>
      <c r="I4215">
        <v>474</v>
      </c>
      <c r="J4215">
        <v>312</v>
      </c>
      <c r="K4215">
        <v>0</v>
      </c>
      <c r="L4215">
        <v>0</v>
      </c>
      <c r="M4215">
        <v>160</v>
      </c>
      <c r="N4215">
        <v>0</v>
      </c>
      <c r="O4215">
        <v>2</v>
      </c>
    </row>
    <row r="4216" spans="1:15" x14ac:dyDescent="0.25">
      <c r="A4216" t="s">
        <v>929</v>
      </c>
      <c r="B4216" t="s">
        <v>2999</v>
      </c>
      <c r="C4216" t="s">
        <v>927</v>
      </c>
      <c r="D4216" t="s">
        <v>3052</v>
      </c>
      <c r="E4216" t="s">
        <v>3053</v>
      </c>
      <c r="F4216" t="s">
        <v>531</v>
      </c>
      <c r="G4216" t="s">
        <v>532</v>
      </c>
      <c r="H4216" t="s">
        <v>5867</v>
      </c>
      <c r="I4216">
        <v>149</v>
      </c>
      <c r="J4216">
        <v>0</v>
      </c>
      <c r="K4216">
        <v>0</v>
      </c>
      <c r="L4216">
        <v>0</v>
      </c>
      <c r="M4216">
        <v>149</v>
      </c>
      <c r="N4216">
        <v>0</v>
      </c>
      <c r="O4216">
        <v>0</v>
      </c>
    </row>
    <row r="4217" spans="1:15" x14ac:dyDescent="0.25">
      <c r="A4217" t="s">
        <v>9790</v>
      </c>
      <c r="B4217" t="s">
        <v>1977</v>
      </c>
      <c r="C4217" t="s">
        <v>923</v>
      </c>
      <c r="D4217" t="s">
        <v>3063</v>
      </c>
      <c r="E4217" t="s">
        <v>3053</v>
      </c>
      <c r="F4217" t="s">
        <v>531</v>
      </c>
      <c r="G4217" t="s">
        <v>532</v>
      </c>
      <c r="H4217" t="s">
        <v>9909</v>
      </c>
      <c r="I4217">
        <v>21</v>
      </c>
      <c r="J4217">
        <v>0</v>
      </c>
      <c r="K4217">
        <v>0</v>
      </c>
      <c r="L4217">
        <v>21</v>
      </c>
      <c r="M4217">
        <v>0</v>
      </c>
      <c r="N4217">
        <v>0</v>
      </c>
      <c r="O4217">
        <v>0</v>
      </c>
    </row>
    <row r="4218" spans="1:15" x14ac:dyDescent="0.25">
      <c r="A4218" t="s">
        <v>1463</v>
      </c>
      <c r="B4218" t="s">
        <v>2846</v>
      </c>
      <c r="C4218" t="s">
        <v>927</v>
      </c>
      <c r="D4218" t="s">
        <v>3052</v>
      </c>
      <c r="E4218" t="s">
        <v>3053</v>
      </c>
      <c r="F4218" t="s">
        <v>531</v>
      </c>
      <c r="G4218" t="s">
        <v>532</v>
      </c>
      <c r="H4218" t="s">
        <v>5868</v>
      </c>
      <c r="I4218">
        <v>14</v>
      </c>
      <c r="J4218">
        <v>0</v>
      </c>
      <c r="K4218">
        <v>0</v>
      </c>
      <c r="L4218">
        <v>14</v>
      </c>
      <c r="M4218">
        <v>0</v>
      </c>
      <c r="N4218">
        <v>0</v>
      </c>
      <c r="O4218">
        <v>0</v>
      </c>
    </row>
    <row r="4219" spans="1:15" x14ac:dyDescent="0.25">
      <c r="A4219" t="s">
        <v>985</v>
      </c>
      <c r="B4219" t="s">
        <v>1964</v>
      </c>
      <c r="C4219" t="s">
        <v>923</v>
      </c>
      <c r="D4219" t="s">
        <v>3063</v>
      </c>
      <c r="E4219" t="s">
        <v>3053</v>
      </c>
      <c r="F4219" t="s">
        <v>531</v>
      </c>
      <c r="G4219" t="s">
        <v>532</v>
      </c>
      <c r="H4219" t="s">
        <v>5869</v>
      </c>
      <c r="I4219">
        <v>2</v>
      </c>
      <c r="J4219">
        <v>0</v>
      </c>
      <c r="K4219">
        <v>0</v>
      </c>
      <c r="L4219">
        <v>2</v>
      </c>
      <c r="M4219">
        <v>0</v>
      </c>
      <c r="N4219">
        <v>0</v>
      </c>
      <c r="O4219">
        <v>0</v>
      </c>
    </row>
    <row r="4220" spans="1:15" x14ac:dyDescent="0.25">
      <c r="A4220" t="s">
        <v>991</v>
      </c>
      <c r="B4220" t="s">
        <v>1976</v>
      </c>
      <c r="C4220" t="s">
        <v>923</v>
      </c>
      <c r="D4220" t="s">
        <v>3063</v>
      </c>
      <c r="E4220" t="s">
        <v>3053</v>
      </c>
      <c r="F4220" t="s">
        <v>531</v>
      </c>
      <c r="G4220" t="s">
        <v>532</v>
      </c>
      <c r="H4220" t="s">
        <v>5870</v>
      </c>
      <c r="I4220">
        <v>25</v>
      </c>
      <c r="J4220">
        <v>0</v>
      </c>
      <c r="K4220">
        <v>0</v>
      </c>
      <c r="L4220">
        <v>25</v>
      </c>
      <c r="M4220">
        <v>0</v>
      </c>
      <c r="N4220">
        <v>0</v>
      </c>
      <c r="O4220">
        <v>0</v>
      </c>
    </row>
    <row r="4221" spans="1:15" x14ac:dyDescent="0.25">
      <c r="A4221" t="s">
        <v>935</v>
      </c>
      <c r="B4221" t="s">
        <v>1960</v>
      </c>
      <c r="C4221" t="s">
        <v>923</v>
      </c>
      <c r="D4221" t="s">
        <v>3063</v>
      </c>
      <c r="E4221" t="s">
        <v>3053</v>
      </c>
      <c r="F4221" t="s">
        <v>531</v>
      </c>
      <c r="G4221" t="s">
        <v>532</v>
      </c>
      <c r="H4221" t="s">
        <v>5871</v>
      </c>
      <c r="I4221">
        <v>10</v>
      </c>
      <c r="J4221">
        <v>0</v>
      </c>
      <c r="K4221">
        <v>0</v>
      </c>
      <c r="L4221">
        <v>10</v>
      </c>
      <c r="M4221">
        <v>0</v>
      </c>
      <c r="N4221">
        <v>0</v>
      </c>
      <c r="O4221">
        <v>0</v>
      </c>
    </row>
    <row r="4222" spans="1:15" x14ac:dyDescent="0.25">
      <c r="A4222" t="s">
        <v>11660</v>
      </c>
      <c r="B4222" t="s">
        <v>2041</v>
      </c>
      <c r="C4222" t="s">
        <v>923</v>
      </c>
      <c r="D4222" t="s">
        <v>3063</v>
      </c>
      <c r="E4222" t="s">
        <v>3053</v>
      </c>
      <c r="F4222" t="s">
        <v>531</v>
      </c>
      <c r="G4222" t="s">
        <v>532</v>
      </c>
      <c r="H4222" t="s">
        <v>12111</v>
      </c>
      <c r="I4222">
        <v>14</v>
      </c>
      <c r="J4222">
        <v>0</v>
      </c>
      <c r="K4222">
        <v>0</v>
      </c>
      <c r="L4222">
        <v>14</v>
      </c>
      <c r="M4222">
        <v>0</v>
      </c>
      <c r="N4222">
        <v>0</v>
      </c>
      <c r="O4222">
        <v>0</v>
      </c>
    </row>
    <row r="4223" spans="1:15" x14ac:dyDescent="0.25">
      <c r="A4223" t="s">
        <v>1416</v>
      </c>
      <c r="B4223" t="s">
        <v>2029</v>
      </c>
      <c r="C4223" t="s">
        <v>923</v>
      </c>
      <c r="D4223" t="s">
        <v>3063</v>
      </c>
      <c r="E4223" t="s">
        <v>3053</v>
      </c>
      <c r="F4223" t="s">
        <v>531</v>
      </c>
      <c r="G4223" t="s">
        <v>532</v>
      </c>
      <c r="H4223" t="s">
        <v>12112</v>
      </c>
      <c r="I4223">
        <v>26</v>
      </c>
      <c r="J4223">
        <v>0</v>
      </c>
      <c r="K4223">
        <v>0</v>
      </c>
      <c r="L4223">
        <v>26</v>
      </c>
      <c r="M4223">
        <v>0</v>
      </c>
      <c r="N4223">
        <v>0</v>
      </c>
      <c r="O4223">
        <v>0</v>
      </c>
    </row>
    <row r="4224" spans="1:15" x14ac:dyDescent="0.25">
      <c r="A4224" t="s">
        <v>1006</v>
      </c>
      <c r="B4224" t="s">
        <v>2724</v>
      </c>
      <c r="C4224" t="s">
        <v>927</v>
      </c>
      <c r="D4224" t="s">
        <v>3052</v>
      </c>
      <c r="E4224" t="s">
        <v>3053</v>
      </c>
      <c r="F4224" t="s">
        <v>531</v>
      </c>
      <c r="G4224" t="s">
        <v>532</v>
      </c>
      <c r="H4224" t="s">
        <v>5872</v>
      </c>
      <c r="I4224">
        <v>189</v>
      </c>
      <c r="J4224">
        <v>189</v>
      </c>
      <c r="K4224">
        <v>0</v>
      </c>
      <c r="L4224">
        <v>0</v>
      </c>
      <c r="M4224">
        <v>0</v>
      </c>
      <c r="N4224">
        <v>0</v>
      </c>
      <c r="O4224">
        <v>0</v>
      </c>
    </row>
    <row r="4225" spans="1:15" x14ac:dyDescent="0.25">
      <c r="A4225" t="s">
        <v>1009</v>
      </c>
      <c r="B4225" t="s">
        <v>1958</v>
      </c>
      <c r="C4225" t="s">
        <v>923</v>
      </c>
      <c r="D4225" t="s">
        <v>3063</v>
      </c>
      <c r="E4225" t="s">
        <v>3053</v>
      </c>
      <c r="F4225" t="s">
        <v>531</v>
      </c>
      <c r="G4225" t="s">
        <v>532</v>
      </c>
      <c r="H4225" t="s">
        <v>5873</v>
      </c>
      <c r="I4225">
        <v>13</v>
      </c>
      <c r="J4225">
        <v>0</v>
      </c>
      <c r="K4225">
        <v>0</v>
      </c>
      <c r="L4225">
        <v>13</v>
      </c>
      <c r="M4225">
        <v>0</v>
      </c>
      <c r="N4225">
        <v>0</v>
      </c>
      <c r="O4225">
        <v>0</v>
      </c>
    </row>
    <row r="4226" spans="1:15" x14ac:dyDescent="0.25">
      <c r="A4226" t="s">
        <v>937</v>
      </c>
      <c r="B4226" t="s">
        <v>1962</v>
      </c>
      <c r="C4226" t="s">
        <v>927</v>
      </c>
      <c r="D4226" t="s">
        <v>3052</v>
      </c>
      <c r="E4226" t="s">
        <v>3053</v>
      </c>
      <c r="F4226" t="s">
        <v>531</v>
      </c>
      <c r="G4226" t="s">
        <v>532</v>
      </c>
      <c r="H4226" t="s">
        <v>5874</v>
      </c>
      <c r="I4226">
        <v>38</v>
      </c>
      <c r="J4226">
        <v>0</v>
      </c>
      <c r="K4226">
        <v>0</v>
      </c>
      <c r="L4226">
        <v>0</v>
      </c>
      <c r="M4226">
        <v>0</v>
      </c>
      <c r="N4226">
        <v>0</v>
      </c>
      <c r="O4226">
        <v>38</v>
      </c>
    </row>
    <row r="4227" spans="1:15" x14ac:dyDescent="0.25">
      <c r="A4227" t="s">
        <v>1011</v>
      </c>
      <c r="B4227" t="s">
        <v>2020</v>
      </c>
      <c r="C4227" t="s">
        <v>927</v>
      </c>
      <c r="D4227" t="s">
        <v>3052</v>
      </c>
      <c r="E4227" t="s">
        <v>3053</v>
      </c>
      <c r="F4227" t="s">
        <v>531</v>
      </c>
      <c r="G4227" t="s">
        <v>532</v>
      </c>
      <c r="H4227" t="s">
        <v>5875</v>
      </c>
      <c r="I4227">
        <v>12</v>
      </c>
      <c r="J4227">
        <v>0</v>
      </c>
      <c r="K4227">
        <v>0</v>
      </c>
      <c r="L4227">
        <v>12</v>
      </c>
      <c r="M4227">
        <v>0</v>
      </c>
      <c r="N4227">
        <v>0</v>
      </c>
      <c r="O4227">
        <v>0</v>
      </c>
    </row>
    <row r="4228" spans="1:15" x14ac:dyDescent="0.25">
      <c r="A4228" t="s">
        <v>940</v>
      </c>
      <c r="B4228" t="s">
        <v>2647</v>
      </c>
      <c r="C4228" t="s">
        <v>927</v>
      </c>
      <c r="D4228" t="s">
        <v>3052</v>
      </c>
      <c r="E4228" t="s">
        <v>3053</v>
      </c>
      <c r="F4228" t="s">
        <v>531</v>
      </c>
      <c r="G4228" t="s">
        <v>532</v>
      </c>
      <c r="H4228" t="s">
        <v>5876</v>
      </c>
      <c r="I4228">
        <v>30</v>
      </c>
      <c r="J4228">
        <v>0</v>
      </c>
      <c r="K4228">
        <v>0</v>
      </c>
      <c r="L4228">
        <v>0</v>
      </c>
      <c r="M4228">
        <v>30</v>
      </c>
      <c r="N4228">
        <v>0</v>
      </c>
      <c r="O4228">
        <v>0</v>
      </c>
    </row>
    <row r="4229" spans="1:15" x14ac:dyDescent="0.25">
      <c r="A4229" t="s">
        <v>1013</v>
      </c>
      <c r="B4229" t="s">
        <v>1959</v>
      </c>
      <c r="C4229" t="s">
        <v>927</v>
      </c>
      <c r="D4229" t="s">
        <v>3052</v>
      </c>
      <c r="E4229" t="s">
        <v>3053</v>
      </c>
      <c r="F4229" t="s">
        <v>531</v>
      </c>
      <c r="G4229" t="s">
        <v>532</v>
      </c>
      <c r="H4229" t="s">
        <v>5877</v>
      </c>
      <c r="I4229">
        <v>12</v>
      </c>
      <c r="J4229">
        <v>0</v>
      </c>
      <c r="K4229">
        <v>0</v>
      </c>
      <c r="L4229">
        <v>12</v>
      </c>
      <c r="M4229">
        <v>0</v>
      </c>
      <c r="N4229">
        <v>0</v>
      </c>
      <c r="O4229">
        <v>0</v>
      </c>
    </row>
    <row r="4230" spans="1:15" x14ac:dyDescent="0.25">
      <c r="A4230" t="s">
        <v>1516</v>
      </c>
      <c r="B4230" t="s">
        <v>2098</v>
      </c>
      <c r="C4230" t="s">
        <v>927</v>
      </c>
      <c r="D4230" t="s">
        <v>3052</v>
      </c>
      <c r="E4230" t="s">
        <v>3053</v>
      </c>
      <c r="F4230" t="s">
        <v>531</v>
      </c>
      <c r="G4230" t="s">
        <v>532</v>
      </c>
      <c r="H4230" t="s">
        <v>5878</v>
      </c>
      <c r="I4230">
        <v>87</v>
      </c>
      <c r="J4230">
        <v>76</v>
      </c>
      <c r="K4230">
        <v>0</v>
      </c>
      <c r="L4230">
        <v>11</v>
      </c>
      <c r="M4230">
        <v>0</v>
      </c>
      <c r="N4230">
        <v>0</v>
      </c>
      <c r="O4230">
        <v>0</v>
      </c>
    </row>
    <row r="4231" spans="1:15" x14ac:dyDescent="0.25">
      <c r="A4231" t="s">
        <v>1302</v>
      </c>
      <c r="B4231" t="s">
        <v>1961</v>
      </c>
      <c r="C4231" t="s">
        <v>923</v>
      </c>
      <c r="D4231" t="s">
        <v>3063</v>
      </c>
      <c r="E4231" t="s">
        <v>3053</v>
      </c>
      <c r="F4231" t="s">
        <v>531</v>
      </c>
      <c r="G4231" t="s">
        <v>532</v>
      </c>
      <c r="H4231" t="s">
        <v>5879</v>
      </c>
      <c r="I4231">
        <v>5</v>
      </c>
      <c r="J4231">
        <v>0</v>
      </c>
      <c r="K4231">
        <v>0</v>
      </c>
      <c r="L4231">
        <v>5</v>
      </c>
      <c r="M4231">
        <v>0</v>
      </c>
      <c r="N4231">
        <v>0</v>
      </c>
      <c r="O4231">
        <v>0</v>
      </c>
    </row>
    <row r="4232" spans="1:15" x14ac:dyDescent="0.25">
      <c r="A4232" t="s">
        <v>1521</v>
      </c>
      <c r="B4232" t="s">
        <v>2920</v>
      </c>
      <c r="C4232" t="s">
        <v>927</v>
      </c>
      <c r="D4232" t="s">
        <v>3052</v>
      </c>
      <c r="E4232" t="s">
        <v>3053</v>
      </c>
      <c r="F4232" t="s">
        <v>531</v>
      </c>
      <c r="G4232" t="s">
        <v>532</v>
      </c>
      <c r="H4232" t="s">
        <v>5880</v>
      </c>
      <c r="I4232">
        <v>3265</v>
      </c>
      <c r="J4232">
        <v>2099</v>
      </c>
      <c r="K4232">
        <v>0</v>
      </c>
      <c r="L4232">
        <v>25</v>
      </c>
      <c r="M4232">
        <v>1128</v>
      </c>
      <c r="N4232">
        <v>0</v>
      </c>
      <c r="O4232">
        <v>13</v>
      </c>
    </row>
    <row r="4233" spans="1:15" x14ac:dyDescent="0.25">
      <c r="A4233" t="s">
        <v>1046</v>
      </c>
      <c r="B4233" t="s">
        <v>2027</v>
      </c>
      <c r="C4233" t="s">
        <v>923</v>
      </c>
      <c r="D4233" t="s">
        <v>3063</v>
      </c>
      <c r="E4233" t="s">
        <v>3053</v>
      </c>
      <c r="F4233" t="s">
        <v>531</v>
      </c>
      <c r="G4233" t="s">
        <v>532</v>
      </c>
      <c r="H4233" t="s">
        <v>5881</v>
      </c>
      <c r="I4233">
        <v>2</v>
      </c>
      <c r="J4233">
        <v>0</v>
      </c>
      <c r="K4233">
        <v>0</v>
      </c>
      <c r="L4233">
        <v>2</v>
      </c>
      <c r="M4233">
        <v>0</v>
      </c>
      <c r="N4233">
        <v>0</v>
      </c>
      <c r="O4233">
        <v>0</v>
      </c>
    </row>
    <row r="4234" spans="1:15" x14ac:dyDescent="0.25">
      <c r="A4234" t="s">
        <v>951</v>
      </c>
      <c r="B4234" t="s">
        <v>2680</v>
      </c>
      <c r="C4234" t="s">
        <v>927</v>
      </c>
      <c r="D4234" t="s">
        <v>3052</v>
      </c>
      <c r="E4234" t="s">
        <v>3053</v>
      </c>
      <c r="F4234" t="s">
        <v>531</v>
      </c>
      <c r="G4234" t="s">
        <v>532</v>
      </c>
      <c r="H4234" t="s">
        <v>5882</v>
      </c>
      <c r="I4234">
        <v>64</v>
      </c>
      <c r="J4234">
        <v>57</v>
      </c>
      <c r="K4234">
        <v>0</v>
      </c>
      <c r="L4234">
        <v>0</v>
      </c>
      <c r="M4234">
        <v>0</v>
      </c>
      <c r="N4234">
        <v>0</v>
      </c>
      <c r="O4234">
        <v>7</v>
      </c>
    </row>
    <row r="4235" spans="1:15" x14ac:dyDescent="0.25">
      <c r="A4235" t="s">
        <v>1048</v>
      </c>
      <c r="B4235" t="s">
        <v>2989</v>
      </c>
      <c r="C4235" t="s">
        <v>927</v>
      </c>
      <c r="D4235" t="s">
        <v>3052</v>
      </c>
      <c r="E4235" t="s">
        <v>3053</v>
      </c>
      <c r="F4235" t="s">
        <v>531</v>
      </c>
      <c r="G4235" t="s">
        <v>532</v>
      </c>
      <c r="H4235" t="s">
        <v>5883</v>
      </c>
      <c r="I4235">
        <v>40</v>
      </c>
      <c r="J4235">
        <v>0</v>
      </c>
      <c r="K4235">
        <v>0</v>
      </c>
      <c r="L4235">
        <v>40</v>
      </c>
      <c r="M4235">
        <v>0</v>
      </c>
      <c r="N4235">
        <v>0</v>
      </c>
      <c r="O4235">
        <v>0</v>
      </c>
    </row>
    <row r="4236" spans="1:15" x14ac:dyDescent="0.25">
      <c r="A4236" t="s">
        <v>1051</v>
      </c>
      <c r="B4236" t="s">
        <v>2995</v>
      </c>
      <c r="C4236" t="s">
        <v>927</v>
      </c>
      <c r="D4236" t="s">
        <v>3052</v>
      </c>
      <c r="E4236" t="s">
        <v>3053</v>
      </c>
      <c r="F4236" t="s">
        <v>531</v>
      </c>
      <c r="G4236" t="s">
        <v>532</v>
      </c>
      <c r="H4236" t="s">
        <v>5884</v>
      </c>
      <c r="I4236">
        <v>95</v>
      </c>
      <c r="J4236">
        <v>43</v>
      </c>
      <c r="K4236">
        <v>0</v>
      </c>
      <c r="L4236">
        <v>52</v>
      </c>
      <c r="M4236">
        <v>0</v>
      </c>
      <c r="N4236">
        <v>0</v>
      </c>
      <c r="O4236">
        <v>0</v>
      </c>
    </row>
    <row r="4237" spans="1:15" x14ac:dyDescent="0.25">
      <c r="A4237" t="s">
        <v>9788</v>
      </c>
      <c r="B4237" t="s">
        <v>9871</v>
      </c>
      <c r="C4237" t="s">
        <v>927</v>
      </c>
      <c r="D4237" t="s">
        <v>3052</v>
      </c>
      <c r="E4237" t="s">
        <v>3053</v>
      </c>
      <c r="F4237" t="s">
        <v>531</v>
      </c>
      <c r="G4237" t="s">
        <v>532</v>
      </c>
      <c r="H4237" t="s">
        <v>11094</v>
      </c>
      <c r="I4237">
        <v>8</v>
      </c>
      <c r="J4237">
        <v>8</v>
      </c>
      <c r="K4237">
        <v>0</v>
      </c>
      <c r="L4237">
        <v>0</v>
      </c>
      <c r="M4237">
        <v>0</v>
      </c>
      <c r="N4237">
        <v>0</v>
      </c>
      <c r="O4237">
        <v>0</v>
      </c>
    </row>
    <row r="4238" spans="1:15" x14ac:dyDescent="0.25">
      <c r="A4238" t="s">
        <v>1057</v>
      </c>
      <c r="B4238" t="s">
        <v>1972</v>
      </c>
      <c r="C4238" t="s">
        <v>927</v>
      </c>
      <c r="D4238" t="s">
        <v>3052</v>
      </c>
      <c r="E4238" t="s">
        <v>3053</v>
      </c>
      <c r="F4238" t="s">
        <v>531</v>
      </c>
      <c r="G4238" t="s">
        <v>532</v>
      </c>
      <c r="H4238" t="s">
        <v>14836</v>
      </c>
      <c r="I4238">
        <v>1</v>
      </c>
      <c r="J4238">
        <v>0</v>
      </c>
      <c r="K4238">
        <v>0</v>
      </c>
      <c r="L4238">
        <v>1</v>
      </c>
      <c r="M4238">
        <v>0</v>
      </c>
      <c r="N4238">
        <v>0</v>
      </c>
      <c r="O4238">
        <v>0</v>
      </c>
    </row>
    <row r="4239" spans="1:15" x14ac:dyDescent="0.25">
      <c r="A4239" t="s">
        <v>1075</v>
      </c>
      <c r="B4239" t="s">
        <v>2830</v>
      </c>
      <c r="C4239" t="s">
        <v>927</v>
      </c>
      <c r="D4239" t="s">
        <v>3052</v>
      </c>
      <c r="E4239" t="s">
        <v>3053</v>
      </c>
      <c r="F4239" t="s">
        <v>531</v>
      </c>
      <c r="G4239" t="s">
        <v>532</v>
      </c>
      <c r="H4239" t="s">
        <v>5885</v>
      </c>
      <c r="I4239">
        <v>23</v>
      </c>
      <c r="J4239">
        <v>23</v>
      </c>
      <c r="K4239">
        <v>0</v>
      </c>
      <c r="L4239">
        <v>0</v>
      </c>
      <c r="M4239">
        <v>0</v>
      </c>
      <c r="N4239">
        <v>0</v>
      </c>
      <c r="O4239">
        <v>0</v>
      </c>
    </row>
    <row r="4240" spans="1:15" x14ac:dyDescent="0.25">
      <c r="A4240" t="s">
        <v>1078</v>
      </c>
      <c r="B4240" t="s">
        <v>1950</v>
      </c>
      <c r="C4240" t="s">
        <v>923</v>
      </c>
      <c r="D4240" t="s">
        <v>3063</v>
      </c>
      <c r="E4240" t="s">
        <v>3053</v>
      </c>
      <c r="F4240" t="s">
        <v>531</v>
      </c>
      <c r="G4240" t="s">
        <v>532</v>
      </c>
      <c r="H4240" t="s">
        <v>5886</v>
      </c>
      <c r="I4240">
        <v>15</v>
      </c>
      <c r="J4240">
        <v>0</v>
      </c>
      <c r="K4240">
        <v>0</v>
      </c>
      <c r="L4240">
        <v>15</v>
      </c>
      <c r="M4240">
        <v>0</v>
      </c>
      <c r="N4240">
        <v>0</v>
      </c>
      <c r="O4240">
        <v>0</v>
      </c>
    </row>
    <row r="4241" spans="1:15" x14ac:dyDescent="0.25">
      <c r="A4241" t="s">
        <v>1083</v>
      </c>
      <c r="B4241" t="s">
        <v>2757</v>
      </c>
      <c r="C4241" t="s">
        <v>927</v>
      </c>
      <c r="D4241" t="s">
        <v>3052</v>
      </c>
      <c r="E4241" t="s">
        <v>3053</v>
      </c>
      <c r="F4241" t="s">
        <v>531</v>
      </c>
      <c r="G4241" t="s">
        <v>532</v>
      </c>
      <c r="H4241" t="s">
        <v>5887</v>
      </c>
      <c r="I4241">
        <v>498</v>
      </c>
      <c r="J4241">
        <v>356</v>
      </c>
      <c r="K4241">
        <v>0</v>
      </c>
      <c r="L4241">
        <v>26</v>
      </c>
      <c r="M4241">
        <v>79</v>
      </c>
      <c r="N4241">
        <v>0</v>
      </c>
      <c r="O4241">
        <v>37</v>
      </c>
    </row>
    <row r="4242" spans="1:15" x14ac:dyDescent="0.25">
      <c r="A4242" t="s">
        <v>929</v>
      </c>
      <c r="B4242" t="s">
        <v>2999</v>
      </c>
      <c r="C4242" t="s">
        <v>927</v>
      </c>
      <c r="D4242" t="s">
        <v>3052</v>
      </c>
      <c r="E4242" t="s">
        <v>3053</v>
      </c>
      <c r="F4242" t="s">
        <v>533</v>
      </c>
      <c r="G4242" t="s">
        <v>534</v>
      </c>
      <c r="H4242" t="s">
        <v>5888</v>
      </c>
      <c r="I4242">
        <v>218</v>
      </c>
      <c r="J4242">
        <v>0</v>
      </c>
      <c r="K4242">
        <v>0</v>
      </c>
      <c r="L4242">
        <v>0</v>
      </c>
      <c r="M4242">
        <v>218</v>
      </c>
      <c r="N4242">
        <v>0</v>
      </c>
      <c r="O4242">
        <v>0</v>
      </c>
    </row>
    <row r="4243" spans="1:15" x14ac:dyDescent="0.25">
      <c r="A4243" t="s">
        <v>1099</v>
      </c>
      <c r="B4243" t="s">
        <v>2641</v>
      </c>
      <c r="C4243" t="s">
        <v>927</v>
      </c>
      <c r="D4243" t="s">
        <v>3052</v>
      </c>
      <c r="E4243" t="s">
        <v>3053</v>
      </c>
      <c r="F4243" t="s">
        <v>533</v>
      </c>
      <c r="G4243" t="s">
        <v>534</v>
      </c>
      <c r="H4243" t="s">
        <v>5889</v>
      </c>
      <c r="I4243">
        <v>27</v>
      </c>
      <c r="J4243">
        <v>27</v>
      </c>
      <c r="K4243">
        <v>0</v>
      </c>
      <c r="L4243">
        <v>0</v>
      </c>
      <c r="M4243">
        <v>0</v>
      </c>
      <c r="N4243">
        <v>0</v>
      </c>
      <c r="O4243">
        <v>0</v>
      </c>
    </row>
    <row r="4244" spans="1:15" x14ac:dyDescent="0.25">
      <c r="A4244" t="s">
        <v>933</v>
      </c>
      <c r="B4244" t="s">
        <v>2106</v>
      </c>
      <c r="C4244" t="s">
        <v>927</v>
      </c>
      <c r="D4244" t="s">
        <v>3052</v>
      </c>
      <c r="E4244" t="s">
        <v>3053</v>
      </c>
      <c r="F4244" t="s">
        <v>533</v>
      </c>
      <c r="G4244" t="s">
        <v>534</v>
      </c>
      <c r="H4244" t="s">
        <v>5890</v>
      </c>
      <c r="I4244">
        <v>263</v>
      </c>
      <c r="J4244">
        <v>203</v>
      </c>
      <c r="K4244">
        <v>0</v>
      </c>
      <c r="L4244">
        <v>2</v>
      </c>
      <c r="M4244">
        <v>0</v>
      </c>
      <c r="N4244">
        <v>0</v>
      </c>
      <c r="O4244">
        <v>58</v>
      </c>
    </row>
    <row r="4245" spans="1:15" x14ac:dyDescent="0.25">
      <c r="A4245" t="s">
        <v>935</v>
      </c>
      <c r="B4245" t="s">
        <v>1960</v>
      </c>
      <c r="C4245" t="s">
        <v>923</v>
      </c>
      <c r="D4245" t="s">
        <v>3063</v>
      </c>
      <c r="E4245" t="s">
        <v>3053</v>
      </c>
      <c r="F4245" t="s">
        <v>533</v>
      </c>
      <c r="G4245" t="s">
        <v>534</v>
      </c>
      <c r="H4245" t="s">
        <v>5891</v>
      </c>
      <c r="I4245">
        <v>1</v>
      </c>
      <c r="J4245">
        <v>0</v>
      </c>
      <c r="K4245">
        <v>0</v>
      </c>
      <c r="L4245">
        <v>1</v>
      </c>
      <c r="M4245">
        <v>0</v>
      </c>
      <c r="N4245">
        <v>0</v>
      </c>
      <c r="O4245">
        <v>0</v>
      </c>
    </row>
    <row r="4246" spans="1:15" x14ac:dyDescent="0.25">
      <c r="A4246" t="s">
        <v>1416</v>
      </c>
      <c r="B4246" t="s">
        <v>2029</v>
      </c>
      <c r="C4246" t="s">
        <v>923</v>
      </c>
      <c r="D4246" t="s">
        <v>3063</v>
      </c>
      <c r="E4246" t="s">
        <v>3053</v>
      </c>
      <c r="F4246" t="s">
        <v>533</v>
      </c>
      <c r="G4246" t="s">
        <v>534</v>
      </c>
      <c r="H4246" t="s">
        <v>12113</v>
      </c>
      <c r="I4246">
        <v>4</v>
      </c>
      <c r="J4246">
        <v>0</v>
      </c>
      <c r="K4246">
        <v>0</v>
      </c>
      <c r="L4246">
        <v>4</v>
      </c>
      <c r="M4246">
        <v>0</v>
      </c>
      <c r="N4246">
        <v>0</v>
      </c>
      <c r="O4246">
        <v>0</v>
      </c>
    </row>
    <row r="4247" spans="1:15" x14ac:dyDescent="0.25">
      <c r="A4247" t="s">
        <v>1113</v>
      </c>
      <c r="B4247" t="s">
        <v>1953</v>
      </c>
      <c r="C4247" t="s">
        <v>927</v>
      </c>
      <c r="D4247" t="s">
        <v>3052</v>
      </c>
      <c r="E4247" t="s">
        <v>3053</v>
      </c>
      <c r="F4247" t="s">
        <v>533</v>
      </c>
      <c r="G4247" t="s">
        <v>534</v>
      </c>
      <c r="H4247" t="s">
        <v>5892</v>
      </c>
      <c r="I4247">
        <v>1723</v>
      </c>
      <c r="J4247">
        <v>1445</v>
      </c>
      <c r="K4247">
        <v>0</v>
      </c>
      <c r="L4247">
        <v>31</v>
      </c>
      <c r="M4247">
        <v>116</v>
      </c>
      <c r="N4247">
        <v>38</v>
      </c>
      <c r="O4247">
        <v>131</v>
      </c>
    </row>
    <row r="4248" spans="1:15" x14ac:dyDescent="0.25">
      <c r="A4248" t="s">
        <v>1008</v>
      </c>
      <c r="B4248" t="s">
        <v>2928</v>
      </c>
      <c r="C4248" t="s">
        <v>927</v>
      </c>
      <c r="D4248" t="s">
        <v>3052</v>
      </c>
      <c r="E4248" t="s">
        <v>3053</v>
      </c>
      <c r="F4248" t="s">
        <v>533</v>
      </c>
      <c r="G4248" t="s">
        <v>534</v>
      </c>
      <c r="H4248" t="s">
        <v>5893</v>
      </c>
      <c r="I4248">
        <v>33</v>
      </c>
      <c r="J4248">
        <v>26</v>
      </c>
      <c r="K4248">
        <v>0</v>
      </c>
      <c r="L4248">
        <v>0</v>
      </c>
      <c r="M4248">
        <v>7</v>
      </c>
      <c r="N4248">
        <v>1</v>
      </c>
      <c r="O4248">
        <v>0</v>
      </c>
    </row>
    <row r="4249" spans="1:15" x14ac:dyDescent="0.25">
      <c r="A4249" t="s">
        <v>937</v>
      </c>
      <c r="B4249" t="s">
        <v>1962</v>
      </c>
      <c r="C4249" t="s">
        <v>927</v>
      </c>
      <c r="D4249" t="s">
        <v>3052</v>
      </c>
      <c r="E4249" t="s">
        <v>3053</v>
      </c>
      <c r="F4249" t="s">
        <v>533</v>
      </c>
      <c r="G4249" t="s">
        <v>534</v>
      </c>
      <c r="H4249" t="s">
        <v>5894</v>
      </c>
      <c r="I4249">
        <v>14</v>
      </c>
      <c r="J4249">
        <v>0</v>
      </c>
      <c r="K4249">
        <v>0</v>
      </c>
      <c r="L4249">
        <v>0</v>
      </c>
      <c r="M4249">
        <v>0</v>
      </c>
      <c r="N4249">
        <v>0</v>
      </c>
      <c r="O4249">
        <v>14</v>
      </c>
    </row>
    <row r="4250" spans="1:15" x14ac:dyDescent="0.25">
      <c r="A4250" t="s">
        <v>938</v>
      </c>
      <c r="B4250" t="s">
        <v>2791</v>
      </c>
      <c r="C4250" t="s">
        <v>927</v>
      </c>
      <c r="D4250" t="s">
        <v>3052</v>
      </c>
      <c r="E4250" t="s">
        <v>3053</v>
      </c>
      <c r="F4250" t="s">
        <v>533</v>
      </c>
      <c r="G4250" t="s">
        <v>534</v>
      </c>
      <c r="H4250" t="s">
        <v>5895</v>
      </c>
      <c r="I4250">
        <v>19</v>
      </c>
      <c r="J4250">
        <v>0</v>
      </c>
      <c r="K4250">
        <v>0</v>
      </c>
      <c r="L4250">
        <v>19</v>
      </c>
      <c r="M4250">
        <v>0</v>
      </c>
      <c r="N4250">
        <v>0</v>
      </c>
      <c r="O4250">
        <v>0</v>
      </c>
    </row>
    <row r="4251" spans="1:15" x14ac:dyDescent="0.25">
      <c r="A4251" t="s">
        <v>940</v>
      </c>
      <c r="B4251" t="s">
        <v>2647</v>
      </c>
      <c r="C4251" t="s">
        <v>927</v>
      </c>
      <c r="D4251" t="s">
        <v>3052</v>
      </c>
      <c r="E4251" t="s">
        <v>3053</v>
      </c>
      <c r="F4251" t="s">
        <v>533</v>
      </c>
      <c r="G4251" t="s">
        <v>534</v>
      </c>
      <c r="H4251" t="s">
        <v>5896</v>
      </c>
      <c r="I4251">
        <v>30</v>
      </c>
      <c r="J4251">
        <v>0</v>
      </c>
      <c r="K4251">
        <v>0</v>
      </c>
      <c r="L4251">
        <v>0</v>
      </c>
      <c r="M4251">
        <v>30</v>
      </c>
      <c r="N4251">
        <v>0</v>
      </c>
      <c r="O4251">
        <v>0</v>
      </c>
    </row>
    <row r="4252" spans="1:15" x14ac:dyDescent="0.25">
      <c r="A4252" t="s">
        <v>1126</v>
      </c>
      <c r="B4252" t="s">
        <v>2130</v>
      </c>
      <c r="C4252" t="s">
        <v>927</v>
      </c>
      <c r="D4252" t="s">
        <v>3052</v>
      </c>
      <c r="E4252" t="s">
        <v>3053</v>
      </c>
      <c r="F4252" t="s">
        <v>533</v>
      </c>
      <c r="G4252" t="s">
        <v>534</v>
      </c>
      <c r="H4252" t="s">
        <v>14837</v>
      </c>
      <c r="I4252">
        <v>5</v>
      </c>
      <c r="J4252">
        <v>0</v>
      </c>
      <c r="K4252">
        <v>0</v>
      </c>
      <c r="L4252">
        <v>0</v>
      </c>
      <c r="M4252">
        <v>0</v>
      </c>
      <c r="N4252">
        <v>0</v>
      </c>
      <c r="O4252">
        <v>5</v>
      </c>
    </row>
    <row r="4253" spans="1:15" x14ac:dyDescent="0.25">
      <c r="A4253" t="s">
        <v>1134</v>
      </c>
      <c r="B4253" t="s">
        <v>2118</v>
      </c>
      <c r="C4253" t="s">
        <v>927</v>
      </c>
      <c r="D4253" t="s">
        <v>3052</v>
      </c>
      <c r="E4253" t="s">
        <v>3053</v>
      </c>
      <c r="F4253" t="s">
        <v>533</v>
      </c>
      <c r="G4253" t="s">
        <v>534</v>
      </c>
      <c r="H4253" t="s">
        <v>5897</v>
      </c>
      <c r="I4253">
        <v>258</v>
      </c>
      <c r="J4253">
        <v>160</v>
      </c>
      <c r="K4253">
        <v>0</v>
      </c>
      <c r="L4253">
        <v>45</v>
      </c>
      <c r="M4253">
        <v>0</v>
      </c>
      <c r="N4253">
        <v>0</v>
      </c>
      <c r="O4253">
        <v>53</v>
      </c>
    </row>
    <row r="4254" spans="1:15" x14ac:dyDescent="0.25">
      <c r="A4254" t="s">
        <v>1135</v>
      </c>
      <c r="B4254" t="s">
        <v>1996</v>
      </c>
      <c r="C4254" t="s">
        <v>923</v>
      </c>
      <c r="D4254" t="s">
        <v>3063</v>
      </c>
      <c r="E4254" t="s">
        <v>3053</v>
      </c>
      <c r="F4254" t="s">
        <v>533</v>
      </c>
      <c r="G4254" t="s">
        <v>534</v>
      </c>
      <c r="H4254" t="s">
        <v>5898</v>
      </c>
      <c r="I4254">
        <v>101</v>
      </c>
      <c r="J4254">
        <v>101</v>
      </c>
      <c r="K4254">
        <v>0</v>
      </c>
      <c r="L4254">
        <v>0</v>
      </c>
      <c r="M4254">
        <v>0</v>
      </c>
      <c r="N4254">
        <v>0</v>
      </c>
      <c r="O4254">
        <v>0</v>
      </c>
    </row>
    <row r="4255" spans="1:15" x14ac:dyDescent="0.25">
      <c r="A4255" t="s">
        <v>1041</v>
      </c>
      <c r="B4255" t="s">
        <v>2826</v>
      </c>
      <c r="C4255" t="s">
        <v>927</v>
      </c>
      <c r="D4255" t="s">
        <v>3052</v>
      </c>
      <c r="E4255" t="s">
        <v>3053</v>
      </c>
      <c r="F4255" t="s">
        <v>533</v>
      </c>
      <c r="G4255" t="s">
        <v>534</v>
      </c>
      <c r="H4255" t="s">
        <v>5899</v>
      </c>
      <c r="I4255">
        <v>15</v>
      </c>
      <c r="J4255">
        <v>0</v>
      </c>
      <c r="K4255">
        <v>0</v>
      </c>
      <c r="L4255">
        <v>0</v>
      </c>
      <c r="M4255">
        <v>0</v>
      </c>
      <c r="N4255">
        <v>0</v>
      </c>
      <c r="O4255">
        <v>15</v>
      </c>
    </row>
    <row r="4256" spans="1:15" x14ac:dyDescent="0.25">
      <c r="A4256" t="s">
        <v>9787</v>
      </c>
      <c r="B4256" t="s">
        <v>2822</v>
      </c>
      <c r="C4256" t="s">
        <v>927</v>
      </c>
      <c r="D4256" t="s">
        <v>3052</v>
      </c>
      <c r="E4256" t="s">
        <v>3053</v>
      </c>
      <c r="F4256" t="s">
        <v>533</v>
      </c>
      <c r="G4256" t="s">
        <v>534</v>
      </c>
      <c r="H4256" t="s">
        <v>10260</v>
      </c>
      <c r="I4256">
        <v>341</v>
      </c>
      <c r="J4256">
        <v>252</v>
      </c>
      <c r="K4256">
        <v>0</v>
      </c>
      <c r="L4256">
        <v>48</v>
      </c>
      <c r="M4256">
        <v>41</v>
      </c>
      <c r="N4256">
        <v>6</v>
      </c>
      <c r="O4256">
        <v>0</v>
      </c>
    </row>
    <row r="4257" spans="1:15" x14ac:dyDescent="0.25">
      <c r="A4257" t="s">
        <v>1141</v>
      </c>
      <c r="B4257" t="s">
        <v>2642</v>
      </c>
      <c r="C4257" t="s">
        <v>927</v>
      </c>
      <c r="D4257" t="s">
        <v>3052</v>
      </c>
      <c r="E4257" t="s">
        <v>3053</v>
      </c>
      <c r="F4257" t="s">
        <v>533</v>
      </c>
      <c r="G4257" t="s">
        <v>534</v>
      </c>
      <c r="H4257" t="s">
        <v>5900</v>
      </c>
      <c r="I4257">
        <v>871</v>
      </c>
      <c r="J4257">
        <v>681</v>
      </c>
      <c r="K4257">
        <v>0</v>
      </c>
      <c r="L4257">
        <v>93</v>
      </c>
      <c r="M4257">
        <v>90</v>
      </c>
      <c r="N4257">
        <v>0</v>
      </c>
      <c r="O4257">
        <v>7</v>
      </c>
    </row>
    <row r="4258" spans="1:15" x14ac:dyDescent="0.25">
      <c r="A4258" t="s">
        <v>1048</v>
      </c>
      <c r="B4258" t="s">
        <v>2989</v>
      </c>
      <c r="C4258" t="s">
        <v>927</v>
      </c>
      <c r="D4258" t="s">
        <v>3052</v>
      </c>
      <c r="E4258" t="s">
        <v>3053</v>
      </c>
      <c r="F4258" t="s">
        <v>533</v>
      </c>
      <c r="G4258" t="s">
        <v>534</v>
      </c>
      <c r="H4258" t="s">
        <v>5901</v>
      </c>
      <c r="I4258">
        <v>21</v>
      </c>
      <c r="J4258">
        <v>20</v>
      </c>
      <c r="K4258">
        <v>0</v>
      </c>
      <c r="L4258">
        <v>1</v>
      </c>
      <c r="M4258">
        <v>0</v>
      </c>
      <c r="N4258">
        <v>0</v>
      </c>
      <c r="O4258">
        <v>0</v>
      </c>
    </row>
    <row r="4259" spans="1:15" x14ac:dyDescent="0.25">
      <c r="A4259" t="s">
        <v>1051</v>
      </c>
      <c r="B4259" t="s">
        <v>2995</v>
      </c>
      <c r="C4259" t="s">
        <v>927</v>
      </c>
      <c r="D4259" t="s">
        <v>3052</v>
      </c>
      <c r="E4259" t="s">
        <v>3053</v>
      </c>
      <c r="F4259" t="s">
        <v>533</v>
      </c>
      <c r="G4259" t="s">
        <v>534</v>
      </c>
      <c r="H4259" t="s">
        <v>5902</v>
      </c>
      <c r="I4259">
        <v>23</v>
      </c>
      <c r="J4259">
        <v>0</v>
      </c>
      <c r="K4259">
        <v>0</v>
      </c>
      <c r="L4259">
        <v>23</v>
      </c>
      <c r="M4259">
        <v>0</v>
      </c>
      <c r="N4259">
        <v>0</v>
      </c>
      <c r="O4259">
        <v>0</v>
      </c>
    </row>
    <row r="4260" spans="1:15" x14ac:dyDescent="0.25">
      <c r="A4260" t="s">
        <v>1152</v>
      </c>
      <c r="B4260" t="s">
        <v>3031</v>
      </c>
      <c r="C4260" t="s">
        <v>927</v>
      </c>
      <c r="D4260" t="s">
        <v>3052</v>
      </c>
      <c r="E4260" t="s">
        <v>3053</v>
      </c>
      <c r="F4260" t="s">
        <v>533</v>
      </c>
      <c r="G4260" t="s">
        <v>534</v>
      </c>
      <c r="H4260" t="s">
        <v>5903</v>
      </c>
      <c r="I4260">
        <v>6</v>
      </c>
      <c r="J4260">
        <v>0</v>
      </c>
      <c r="K4260">
        <v>0</v>
      </c>
      <c r="L4260">
        <v>0</v>
      </c>
      <c r="M4260">
        <v>0</v>
      </c>
      <c r="N4260">
        <v>0</v>
      </c>
      <c r="O4260">
        <v>6</v>
      </c>
    </row>
    <row r="4261" spans="1:15" x14ac:dyDescent="0.25">
      <c r="A4261" t="s">
        <v>1056</v>
      </c>
      <c r="B4261" t="s">
        <v>2966</v>
      </c>
      <c r="C4261" t="s">
        <v>927</v>
      </c>
      <c r="D4261" t="s">
        <v>3052</v>
      </c>
      <c r="E4261" t="s">
        <v>3053</v>
      </c>
      <c r="F4261" t="s">
        <v>533</v>
      </c>
      <c r="G4261" t="s">
        <v>534</v>
      </c>
      <c r="H4261" t="s">
        <v>5904</v>
      </c>
      <c r="I4261">
        <v>47</v>
      </c>
      <c r="J4261">
        <v>8</v>
      </c>
      <c r="K4261">
        <v>0</v>
      </c>
      <c r="L4261">
        <v>39</v>
      </c>
      <c r="M4261">
        <v>0</v>
      </c>
      <c r="N4261">
        <v>0</v>
      </c>
      <c r="O4261">
        <v>0</v>
      </c>
    </row>
    <row r="4262" spans="1:15" x14ac:dyDescent="0.25">
      <c r="A4262" t="s">
        <v>1057</v>
      </c>
      <c r="B4262" t="s">
        <v>1972</v>
      </c>
      <c r="C4262" t="s">
        <v>927</v>
      </c>
      <c r="D4262" t="s">
        <v>3052</v>
      </c>
      <c r="E4262" t="s">
        <v>3053</v>
      </c>
      <c r="F4262" t="s">
        <v>533</v>
      </c>
      <c r="G4262" t="s">
        <v>534</v>
      </c>
      <c r="H4262" t="s">
        <v>5905</v>
      </c>
      <c r="I4262">
        <v>53</v>
      </c>
      <c r="J4262">
        <v>0</v>
      </c>
      <c r="K4262">
        <v>0</v>
      </c>
      <c r="L4262">
        <v>53</v>
      </c>
      <c r="M4262">
        <v>0</v>
      </c>
      <c r="N4262">
        <v>0</v>
      </c>
      <c r="O4262">
        <v>0</v>
      </c>
    </row>
    <row r="4263" spans="1:15" x14ac:dyDescent="0.25">
      <c r="A4263" t="s">
        <v>955</v>
      </c>
      <c r="B4263" t="s">
        <v>2660</v>
      </c>
      <c r="C4263" t="s">
        <v>927</v>
      </c>
      <c r="D4263" t="s">
        <v>3052</v>
      </c>
      <c r="E4263" t="s">
        <v>3053</v>
      </c>
      <c r="F4263" t="s">
        <v>533</v>
      </c>
      <c r="G4263" t="s">
        <v>534</v>
      </c>
      <c r="H4263" t="s">
        <v>5906</v>
      </c>
      <c r="I4263">
        <v>778</v>
      </c>
      <c r="J4263">
        <v>710</v>
      </c>
      <c r="K4263">
        <v>0</v>
      </c>
      <c r="L4263">
        <v>47</v>
      </c>
      <c r="M4263">
        <v>18</v>
      </c>
      <c r="N4263">
        <v>1</v>
      </c>
      <c r="O4263">
        <v>3</v>
      </c>
    </row>
    <row r="4264" spans="1:15" x14ac:dyDescent="0.25">
      <c r="A4264" t="s">
        <v>9795</v>
      </c>
      <c r="B4264" t="s">
        <v>1982</v>
      </c>
      <c r="C4264" t="s">
        <v>923</v>
      </c>
      <c r="D4264" t="s">
        <v>3063</v>
      </c>
      <c r="E4264" t="s">
        <v>3053</v>
      </c>
      <c r="F4264" t="s">
        <v>533</v>
      </c>
      <c r="G4264" t="s">
        <v>534</v>
      </c>
      <c r="H4264" t="s">
        <v>14838</v>
      </c>
      <c r="I4264">
        <v>10</v>
      </c>
      <c r="J4264">
        <v>0</v>
      </c>
      <c r="K4264">
        <v>0</v>
      </c>
      <c r="L4264">
        <v>10</v>
      </c>
      <c r="M4264">
        <v>0</v>
      </c>
      <c r="N4264">
        <v>0</v>
      </c>
      <c r="O4264">
        <v>0</v>
      </c>
    </row>
    <row r="4265" spans="1:15" x14ac:dyDescent="0.25">
      <c r="A4265" t="s">
        <v>14374</v>
      </c>
      <c r="B4265" t="s">
        <v>1943</v>
      </c>
      <c r="C4265" t="s">
        <v>927</v>
      </c>
      <c r="D4265" t="s">
        <v>3052</v>
      </c>
      <c r="E4265" t="s">
        <v>3053</v>
      </c>
      <c r="F4265" t="s">
        <v>533</v>
      </c>
      <c r="G4265" t="s">
        <v>534</v>
      </c>
      <c r="H4265" t="s">
        <v>14839</v>
      </c>
      <c r="I4265">
        <v>9</v>
      </c>
      <c r="J4265">
        <v>0</v>
      </c>
      <c r="K4265">
        <v>0</v>
      </c>
      <c r="L4265">
        <v>0</v>
      </c>
      <c r="M4265">
        <v>0</v>
      </c>
      <c r="N4265">
        <v>0</v>
      </c>
      <c r="O4265">
        <v>9</v>
      </c>
    </row>
    <row r="4266" spans="1:15" x14ac:dyDescent="0.25">
      <c r="A4266" t="s">
        <v>1165</v>
      </c>
      <c r="B4266" t="s">
        <v>2624</v>
      </c>
      <c r="C4266" t="s">
        <v>923</v>
      </c>
      <c r="D4266" t="s">
        <v>3063</v>
      </c>
      <c r="E4266" t="s">
        <v>3053</v>
      </c>
      <c r="F4266" t="s">
        <v>533</v>
      </c>
      <c r="G4266" t="s">
        <v>534</v>
      </c>
      <c r="H4266" t="s">
        <v>5907</v>
      </c>
      <c r="I4266">
        <v>36</v>
      </c>
      <c r="J4266">
        <v>0</v>
      </c>
      <c r="K4266">
        <v>0</v>
      </c>
      <c r="L4266">
        <v>0</v>
      </c>
      <c r="M4266">
        <v>36</v>
      </c>
      <c r="N4266">
        <v>0</v>
      </c>
      <c r="O4266">
        <v>0</v>
      </c>
    </row>
    <row r="4267" spans="1:15" x14ac:dyDescent="0.25">
      <c r="A4267" t="s">
        <v>1066</v>
      </c>
      <c r="B4267" t="s">
        <v>2557</v>
      </c>
      <c r="C4267" t="s">
        <v>927</v>
      </c>
      <c r="D4267" t="s">
        <v>3052</v>
      </c>
      <c r="E4267" t="s">
        <v>3053</v>
      </c>
      <c r="F4267" t="s">
        <v>533</v>
      </c>
      <c r="G4267" t="s">
        <v>534</v>
      </c>
      <c r="H4267" t="s">
        <v>5908</v>
      </c>
      <c r="I4267">
        <v>11</v>
      </c>
      <c r="J4267">
        <v>0</v>
      </c>
      <c r="K4267">
        <v>0</v>
      </c>
      <c r="L4267">
        <v>0</v>
      </c>
      <c r="M4267">
        <v>11</v>
      </c>
      <c r="N4267">
        <v>0</v>
      </c>
      <c r="O4267">
        <v>0</v>
      </c>
    </row>
    <row r="4268" spans="1:15" x14ac:dyDescent="0.25">
      <c r="A4268" t="s">
        <v>1069</v>
      </c>
      <c r="B4268" t="s">
        <v>2001</v>
      </c>
      <c r="C4268" t="s">
        <v>927</v>
      </c>
      <c r="D4268" t="s">
        <v>3052</v>
      </c>
      <c r="E4268" t="s">
        <v>3053</v>
      </c>
      <c r="F4268" t="s">
        <v>533</v>
      </c>
      <c r="G4268" t="s">
        <v>534</v>
      </c>
      <c r="H4268" t="s">
        <v>5909</v>
      </c>
      <c r="I4268">
        <v>71</v>
      </c>
      <c r="J4268">
        <v>71</v>
      </c>
      <c r="K4268">
        <v>0</v>
      </c>
      <c r="L4268">
        <v>0</v>
      </c>
      <c r="M4268">
        <v>0</v>
      </c>
      <c r="N4268">
        <v>0</v>
      </c>
      <c r="O4268">
        <v>0</v>
      </c>
    </row>
    <row r="4269" spans="1:15" x14ac:dyDescent="0.25">
      <c r="A4269" t="s">
        <v>1172</v>
      </c>
      <c r="B4269" t="s">
        <v>3023</v>
      </c>
      <c r="C4269" t="s">
        <v>927</v>
      </c>
      <c r="D4269" t="s">
        <v>3052</v>
      </c>
      <c r="E4269" t="s">
        <v>3053</v>
      </c>
      <c r="F4269" t="s">
        <v>533</v>
      </c>
      <c r="G4269" t="s">
        <v>534</v>
      </c>
      <c r="H4269" t="s">
        <v>14840</v>
      </c>
      <c r="I4269">
        <v>7</v>
      </c>
      <c r="J4269">
        <v>0</v>
      </c>
      <c r="K4269">
        <v>0</v>
      </c>
      <c r="L4269">
        <v>0</v>
      </c>
      <c r="M4269">
        <v>0</v>
      </c>
      <c r="N4269">
        <v>0</v>
      </c>
      <c r="O4269">
        <v>7</v>
      </c>
    </row>
    <row r="4270" spans="1:15" x14ac:dyDescent="0.25">
      <c r="A4270" t="s">
        <v>9798</v>
      </c>
      <c r="B4270" t="s">
        <v>9879</v>
      </c>
      <c r="C4270" t="s">
        <v>923</v>
      </c>
      <c r="D4270" t="s">
        <v>3063</v>
      </c>
      <c r="E4270" t="s">
        <v>3053</v>
      </c>
      <c r="F4270" t="s">
        <v>533</v>
      </c>
      <c r="G4270" t="s">
        <v>534</v>
      </c>
      <c r="H4270" t="s">
        <v>10487</v>
      </c>
      <c r="I4270">
        <v>28</v>
      </c>
      <c r="J4270">
        <v>28</v>
      </c>
      <c r="K4270">
        <v>0</v>
      </c>
      <c r="L4270">
        <v>0</v>
      </c>
      <c r="M4270">
        <v>0</v>
      </c>
      <c r="N4270">
        <v>0</v>
      </c>
      <c r="O4270">
        <v>0</v>
      </c>
    </row>
    <row r="4271" spans="1:15" x14ac:dyDescent="0.25">
      <c r="A4271" t="s">
        <v>1176</v>
      </c>
      <c r="B4271" t="s">
        <v>2952</v>
      </c>
      <c r="C4271" t="s">
        <v>923</v>
      </c>
      <c r="D4271" t="s">
        <v>3063</v>
      </c>
      <c r="E4271" t="s">
        <v>3053</v>
      </c>
      <c r="F4271" t="s">
        <v>533</v>
      </c>
      <c r="G4271" t="s">
        <v>534</v>
      </c>
      <c r="H4271" t="s">
        <v>5910</v>
      </c>
      <c r="I4271">
        <v>12</v>
      </c>
      <c r="J4271">
        <v>0</v>
      </c>
      <c r="K4271">
        <v>0</v>
      </c>
      <c r="L4271">
        <v>12</v>
      </c>
      <c r="M4271">
        <v>0</v>
      </c>
      <c r="N4271">
        <v>0</v>
      </c>
      <c r="O4271">
        <v>0</v>
      </c>
    </row>
    <row r="4272" spans="1:15" x14ac:dyDescent="0.25">
      <c r="A4272" t="s">
        <v>1071</v>
      </c>
      <c r="B4272" t="s">
        <v>2571</v>
      </c>
      <c r="C4272" t="s">
        <v>923</v>
      </c>
      <c r="D4272" t="s">
        <v>3063</v>
      </c>
      <c r="E4272" t="s">
        <v>3053</v>
      </c>
      <c r="F4272" t="s">
        <v>533</v>
      </c>
      <c r="G4272" t="s">
        <v>534</v>
      </c>
      <c r="H4272" t="s">
        <v>5911</v>
      </c>
      <c r="I4272">
        <v>9</v>
      </c>
      <c r="J4272">
        <v>0</v>
      </c>
      <c r="K4272">
        <v>0</v>
      </c>
      <c r="L4272">
        <v>9</v>
      </c>
      <c r="M4272">
        <v>0</v>
      </c>
      <c r="N4272">
        <v>0</v>
      </c>
      <c r="O4272">
        <v>0</v>
      </c>
    </row>
    <row r="4273" spans="1:15" x14ac:dyDescent="0.25">
      <c r="A4273" t="s">
        <v>1072</v>
      </c>
      <c r="B4273" t="s">
        <v>2907</v>
      </c>
      <c r="C4273" t="s">
        <v>927</v>
      </c>
      <c r="D4273" t="s">
        <v>3052</v>
      </c>
      <c r="E4273" t="s">
        <v>3053</v>
      </c>
      <c r="F4273" t="s">
        <v>533</v>
      </c>
      <c r="G4273" t="s">
        <v>534</v>
      </c>
      <c r="H4273" t="s">
        <v>5912</v>
      </c>
      <c r="I4273">
        <v>72</v>
      </c>
      <c r="J4273">
        <v>0</v>
      </c>
      <c r="K4273">
        <v>0</v>
      </c>
      <c r="L4273">
        <v>11</v>
      </c>
      <c r="M4273">
        <v>61</v>
      </c>
      <c r="N4273">
        <v>0</v>
      </c>
      <c r="O4273">
        <v>0</v>
      </c>
    </row>
    <row r="4274" spans="1:15" x14ac:dyDescent="0.25">
      <c r="A4274" t="s">
        <v>1188</v>
      </c>
      <c r="B4274" t="s">
        <v>2244</v>
      </c>
      <c r="C4274" t="s">
        <v>923</v>
      </c>
      <c r="D4274" t="s">
        <v>3063</v>
      </c>
      <c r="E4274" t="s">
        <v>3053</v>
      </c>
      <c r="F4274" t="s">
        <v>533</v>
      </c>
      <c r="G4274" t="s">
        <v>534</v>
      </c>
      <c r="H4274" t="s">
        <v>5913</v>
      </c>
      <c r="I4274">
        <v>80</v>
      </c>
      <c r="J4274">
        <v>0</v>
      </c>
      <c r="K4274">
        <v>0</v>
      </c>
      <c r="L4274">
        <v>0</v>
      </c>
      <c r="M4274">
        <v>80</v>
      </c>
      <c r="N4274">
        <v>0</v>
      </c>
      <c r="O4274">
        <v>0</v>
      </c>
    </row>
    <row r="4275" spans="1:15" x14ac:dyDescent="0.25">
      <c r="A4275" t="s">
        <v>1194</v>
      </c>
      <c r="B4275" t="s">
        <v>2627</v>
      </c>
      <c r="C4275" t="s">
        <v>923</v>
      </c>
      <c r="D4275" t="s">
        <v>3063</v>
      </c>
      <c r="E4275" t="s">
        <v>3053</v>
      </c>
      <c r="F4275" t="s">
        <v>533</v>
      </c>
      <c r="G4275" t="s">
        <v>534</v>
      </c>
      <c r="H4275" t="s">
        <v>5914</v>
      </c>
      <c r="I4275">
        <v>97</v>
      </c>
      <c r="J4275">
        <v>0</v>
      </c>
      <c r="K4275">
        <v>0</v>
      </c>
      <c r="L4275">
        <v>97</v>
      </c>
      <c r="M4275">
        <v>0</v>
      </c>
      <c r="N4275">
        <v>0</v>
      </c>
      <c r="O4275">
        <v>0</v>
      </c>
    </row>
    <row r="4276" spans="1:15" x14ac:dyDescent="0.25">
      <c r="A4276" t="s">
        <v>929</v>
      </c>
      <c r="B4276" t="s">
        <v>2999</v>
      </c>
      <c r="C4276" t="s">
        <v>927</v>
      </c>
      <c r="D4276" t="s">
        <v>3052</v>
      </c>
      <c r="E4276" t="s">
        <v>3053</v>
      </c>
      <c r="F4276" t="s">
        <v>535</v>
      </c>
      <c r="G4276" t="s">
        <v>536</v>
      </c>
      <c r="H4276" t="s">
        <v>5915</v>
      </c>
      <c r="I4276">
        <v>4</v>
      </c>
      <c r="J4276">
        <v>4</v>
      </c>
      <c r="K4276">
        <v>0</v>
      </c>
      <c r="L4276">
        <v>0</v>
      </c>
      <c r="M4276">
        <v>0</v>
      </c>
      <c r="N4276">
        <v>1</v>
      </c>
      <c r="O4276">
        <v>0</v>
      </c>
    </row>
    <row r="4277" spans="1:15" x14ac:dyDescent="0.25">
      <c r="A4277" t="s">
        <v>937</v>
      </c>
      <c r="B4277" t="s">
        <v>1962</v>
      </c>
      <c r="C4277" t="s">
        <v>927</v>
      </c>
      <c r="D4277" t="s">
        <v>3052</v>
      </c>
      <c r="E4277" t="s">
        <v>3053</v>
      </c>
      <c r="F4277" t="s">
        <v>535</v>
      </c>
      <c r="G4277" t="s">
        <v>536</v>
      </c>
      <c r="H4277" t="s">
        <v>5916</v>
      </c>
      <c r="I4277">
        <v>66</v>
      </c>
      <c r="J4277">
        <v>0</v>
      </c>
      <c r="K4277">
        <v>0</v>
      </c>
      <c r="L4277">
        <v>0</v>
      </c>
      <c r="M4277">
        <v>0</v>
      </c>
      <c r="N4277">
        <v>0</v>
      </c>
      <c r="O4277">
        <v>66</v>
      </c>
    </row>
    <row r="4278" spans="1:15" x14ac:dyDescent="0.25">
      <c r="A4278" t="s">
        <v>938</v>
      </c>
      <c r="B4278" t="s">
        <v>2791</v>
      </c>
      <c r="C4278" t="s">
        <v>927</v>
      </c>
      <c r="D4278" t="s">
        <v>3052</v>
      </c>
      <c r="E4278" t="s">
        <v>3053</v>
      </c>
      <c r="F4278" t="s">
        <v>535</v>
      </c>
      <c r="G4278" t="s">
        <v>536</v>
      </c>
      <c r="H4278" t="s">
        <v>5917</v>
      </c>
      <c r="I4278">
        <v>2</v>
      </c>
      <c r="J4278">
        <v>0</v>
      </c>
      <c r="K4278">
        <v>0</v>
      </c>
      <c r="L4278">
        <v>2</v>
      </c>
      <c r="M4278">
        <v>0</v>
      </c>
      <c r="N4278">
        <v>0</v>
      </c>
      <c r="O4278">
        <v>0</v>
      </c>
    </row>
    <row r="4279" spans="1:15" x14ac:dyDescent="0.25">
      <c r="A4279" t="s">
        <v>940</v>
      </c>
      <c r="B4279" t="s">
        <v>2647</v>
      </c>
      <c r="C4279" t="s">
        <v>927</v>
      </c>
      <c r="D4279" t="s">
        <v>3052</v>
      </c>
      <c r="E4279" t="s">
        <v>3053</v>
      </c>
      <c r="F4279" t="s">
        <v>535</v>
      </c>
      <c r="G4279" t="s">
        <v>536</v>
      </c>
      <c r="H4279" t="s">
        <v>5918</v>
      </c>
      <c r="I4279">
        <v>30</v>
      </c>
      <c r="J4279">
        <v>0</v>
      </c>
      <c r="K4279">
        <v>0</v>
      </c>
      <c r="L4279">
        <v>0</v>
      </c>
      <c r="M4279">
        <v>30</v>
      </c>
      <c r="N4279">
        <v>0</v>
      </c>
      <c r="O4279">
        <v>0</v>
      </c>
    </row>
    <row r="4280" spans="1:15" x14ac:dyDescent="0.25">
      <c r="A4280" t="s">
        <v>1619</v>
      </c>
      <c r="B4280" t="s">
        <v>2761</v>
      </c>
      <c r="C4280" t="s">
        <v>923</v>
      </c>
      <c r="D4280" t="s">
        <v>3063</v>
      </c>
      <c r="E4280" t="s">
        <v>3053</v>
      </c>
      <c r="F4280" t="s">
        <v>535</v>
      </c>
      <c r="G4280" t="s">
        <v>536</v>
      </c>
      <c r="H4280" t="s">
        <v>5919</v>
      </c>
      <c r="I4280">
        <v>36</v>
      </c>
      <c r="J4280">
        <v>36</v>
      </c>
      <c r="K4280">
        <v>0</v>
      </c>
      <c r="L4280">
        <v>0</v>
      </c>
      <c r="M4280">
        <v>0</v>
      </c>
      <c r="N4280">
        <v>0</v>
      </c>
      <c r="O4280">
        <v>0</v>
      </c>
    </row>
    <row r="4281" spans="1:15" x14ac:dyDescent="0.25">
      <c r="A4281" t="s">
        <v>945</v>
      </c>
      <c r="B4281" t="s">
        <v>2668</v>
      </c>
      <c r="C4281" t="s">
        <v>927</v>
      </c>
      <c r="D4281" t="s">
        <v>3052</v>
      </c>
      <c r="E4281" t="s">
        <v>3053</v>
      </c>
      <c r="F4281" t="s">
        <v>535</v>
      </c>
      <c r="G4281" t="s">
        <v>536</v>
      </c>
      <c r="H4281" t="s">
        <v>5920</v>
      </c>
      <c r="I4281">
        <v>1</v>
      </c>
      <c r="J4281">
        <v>0</v>
      </c>
      <c r="K4281">
        <v>0</v>
      </c>
      <c r="L4281">
        <v>0</v>
      </c>
      <c r="M4281">
        <v>0</v>
      </c>
      <c r="N4281">
        <v>0</v>
      </c>
      <c r="O4281">
        <v>1</v>
      </c>
    </row>
    <row r="4282" spans="1:15" x14ac:dyDescent="0.25">
      <c r="A4282" t="s">
        <v>11681</v>
      </c>
      <c r="B4282" t="s">
        <v>10690</v>
      </c>
      <c r="C4282" t="s">
        <v>923</v>
      </c>
      <c r="D4282" t="s">
        <v>3063</v>
      </c>
      <c r="E4282" t="s">
        <v>3053</v>
      </c>
      <c r="F4282" t="s">
        <v>535</v>
      </c>
      <c r="G4282" t="s">
        <v>536</v>
      </c>
      <c r="H4282" t="s">
        <v>12114</v>
      </c>
      <c r="I4282">
        <v>14</v>
      </c>
      <c r="J4282">
        <v>14</v>
      </c>
      <c r="K4282">
        <v>0</v>
      </c>
      <c r="L4282">
        <v>0</v>
      </c>
      <c r="M4282">
        <v>0</v>
      </c>
      <c r="N4282">
        <v>0</v>
      </c>
      <c r="O4282">
        <v>0</v>
      </c>
    </row>
    <row r="4283" spans="1:15" x14ac:dyDescent="0.25">
      <c r="A4283" t="s">
        <v>951</v>
      </c>
      <c r="B4283" t="s">
        <v>2680</v>
      </c>
      <c r="C4283" t="s">
        <v>927</v>
      </c>
      <c r="D4283" t="s">
        <v>3052</v>
      </c>
      <c r="E4283" t="s">
        <v>3053</v>
      </c>
      <c r="F4283" t="s">
        <v>535</v>
      </c>
      <c r="G4283" t="s">
        <v>536</v>
      </c>
      <c r="H4283" t="s">
        <v>5921</v>
      </c>
      <c r="I4283">
        <v>169</v>
      </c>
      <c r="J4283">
        <v>169</v>
      </c>
      <c r="K4283">
        <v>0</v>
      </c>
      <c r="L4283">
        <v>0</v>
      </c>
      <c r="M4283">
        <v>0</v>
      </c>
      <c r="N4283">
        <v>0</v>
      </c>
      <c r="O4283">
        <v>0</v>
      </c>
    </row>
    <row r="4284" spans="1:15" x14ac:dyDescent="0.25">
      <c r="A4284" t="s">
        <v>953</v>
      </c>
      <c r="B4284" t="s">
        <v>2014</v>
      </c>
      <c r="C4284" t="s">
        <v>927</v>
      </c>
      <c r="D4284" t="s">
        <v>3052</v>
      </c>
      <c r="E4284" t="s">
        <v>3053</v>
      </c>
      <c r="F4284" t="s">
        <v>535</v>
      </c>
      <c r="G4284" t="s">
        <v>536</v>
      </c>
      <c r="H4284" t="s">
        <v>5922</v>
      </c>
      <c r="I4284">
        <v>34</v>
      </c>
      <c r="J4284">
        <v>0</v>
      </c>
      <c r="K4284">
        <v>0</v>
      </c>
      <c r="L4284">
        <v>34</v>
      </c>
      <c r="M4284">
        <v>0</v>
      </c>
      <c r="N4284">
        <v>0</v>
      </c>
      <c r="O4284">
        <v>0</v>
      </c>
    </row>
    <row r="4285" spans="1:15" x14ac:dyDescent="0.25">
      <c r="A4285" t="s">
        <v>11663</v>
      </c>
      <c r="B4285" t="s">
        <v>11768</v>
      </c>
      <c r="C4285" t="s">
        <v>927</v>
      </c>
      <c r="D4285" t="s">
        <v>3052</v>
      </c>
      <c r="E4285" t="s">
        <v>3053</v>
      </c>
      <c r="F4285" t="s">
        <v>535</v>
      </c>
      <c r="G4285" t="s">
        <v>536</v>
      </c>
      <c r="H4285" t="s">
        <v>12115</v>
      </c>
      <c r="I4285">
        <v>3451</v>
      </c>
      <c r="J4285">
        <v>2681</v>
      </c>
      <c r="K4285">
        <v>0</v>
      </c>
      <c r="L4285">
        <v>347</v>
      </c>
      <c r="M4285">
        <v>277</v>
      </c>
      <c r="N4285">
        <v>6</v>
      </c>
      <c r="O4285">
        <v>146</v>
      </c>
    </row>
    <row r="4286" spans="1:15" x14ac:dyDescent="0.25">
      <c r="A4286" t="s">
        <v>960</v>
      </c>
      <c r="B4286" t="s">
        <v>2080</v>
      </c>
      <c r="C4286" t="s">
        <v>927</v>
      </c>
      <c r="D4286" t="s">
        <v>3052</v>
      </c>
      <c r="E4286" t="s">
        <v>3053</v>
      </c>
      <c r="F4286" t="s">
        <v>535</v>
      </c>
      <c r="G4286" t="s">
        <v>536</v>
      </c>
      <c r="H4286" t="s">
        <v>5923</v>
      </c>
      <c r="I4286">
        <v>3472</v>
      </c>
      <c r="J4286">
        <v>2984</v>
      </c>
      <c r="K4286">
        <v>0</v>
      </c>
      <c r="L4286">
        <v>66</v>
      </c>
      <c r="M4286">
        <v>284</v>
      </c>
      <c r="N4286">
        <v>17</v>
      </c>
      <c r="O4286">
        <v>138</v>
      </c>
    </row>
    <row r="4287" spans="1:15" x14ac:dyDescent="0.25">
      <c r="A4287" t="s">
        <v>1066</v>
      </c>
      <c r="B4287" t="s">
        <v>2557</v>
      </c>
      <c r="C4287" t="s">
        <v>927</v>
      </c>
      <c r="D4287" t="s">
        <v>3052</v>
      </c>
      <c r="E4287" t="s">
        <v>3053</v>
      </c>
      <c r="F4287" t="s">
        <v>535</v>
      </c>
      <c r="G4287" t="s">
        <v>536</v>
      </c>
      <c r="H4287" t="s">
        <v>5924</v>
      </c>
      <c r="I4287">
        <v>35</v>
      </c>
      <c r="J4287">
        <v>0</v>
      </c>
      <c r="K4287">
        <v>0</v>
      </c>
      <c r="L4287">
        <v>0</v>
      </c>
      <c r="M4287">
        <v>35</v>
      </c>
      <c r="N4287">
        <v>0</v>
      </c>
      <c r="O4287">
        <v>0</v>
      </c>
    </row>
    <row r="4288" spans="1:15" x14ac:dyDescent="0.25">
      <c r="A4288" t="s">
        <v>966</v>
      </c>
      <c r="B4288" t="s">
        <v>2684</v>
      </c>
      <c r="C4288" t="s">
        <v>927</v>
      </c>
      <c r="D4288" t="s">
        <v>3052</v>
      </c>
      <c r="E4288" t="s">
        <v>3053</v>
      </c>
      <c r="F4288" t="s">
        <v>535</v>
      </c>
      <c r="G4288" t="s">
        <v>536</v>
      </c>
      <c r="H4288" t="s">
        <v>5925</v>
      </c>
      <c r="I4288">
        <v>3</v>
      </c>
      <c r="J4288">
        <v>0</v>
      </c>
      <c r="K4288">
        <v>0</v>
      </c>
      <c r="L4288">
        <v>0</v>
      </c>
      <c r="M4288">
        <v>0</v>
      </c>
      <c r="N4288">
        <v>0</v>
      </c>
      <c r="O4288">
        <v>3</v>
      </c>
    </row>
    <row r="4289" spans="1:15" x14ac:dyDescent="0.25">
      <c r="A4289" t="s">
        <v>1686</v>
      </c>
      <c r="B4289" t="s">
        <v>2988</v>
      </c>
      <c r="C4289" t="s">
        <v>923</v>
      </c>
      <c r="D4289" t="s">
        <v>3063</v>
      </c>
      <c r="E4289" t="s">
        <v>3053</v>
      </c>
      <c r="F4289" t="s">
        <v>535</v>
      </c>
      <c r="G4289" t="s">
        <v>536</v>
      </c>
      <c r="H4289" t="s">
        <v>5926</v>
      </c>
      <c r="I4289">
        <v>30</v>
      </c>
      <c r="J4289">
        <v>0</v>
      </c>
      <c r="K4289">
        <v>0</v>
      </c>
      <c r="L4289">
        <v>30</v>
      </c>
      <c r="M4289">
        <v>0</v>
      </c>
      <c r="N4289">
        <v>0</v>
      </c>
      <c r="O4289">
        <v>0</v>
      </c>
    </row>
    <row r="4290" spans="1:15" x14ac:dyDescent="0.25">
      <c r="A4290" t="s">
        <v>1687</v>
      </c>
      <c r="B4290" t="s">
        <v>2716</v>
      </c>
      <c r="C4290" t="s">
        <v>923</v>
      </c>
      <c r="D4290" t="s">
        <v>3063</v>
      </c>
      <c r="E4290" t="s">
        <v>3053</v>
      </c>
      <c r="F4290" t="s">
        <v>535</v>
      </c>
      <c r="G4290" t="s">
        <v>536</v>
      </c>
      <c r="H4290" t="s">
        <v>5927</v>
      </c>
      <c r="I4290">
        <v>437</v>
      </c>
      <c r="J4290">
        <v>428</v>
      </c>
      <c r="K4290">
        <v>0</v>
      </c>
      <c r="L4290">
        <v>9</v>
      </c>
      <c r="M4290">
        <v>0</v>
      </c>
      <c r="N4290">
        <v>0</v>
      </c>
      <c r="O4290">
        <v>0</v>
      </c>
    </row>
    <row r="4291" spans="1:15" x14ac:dyDescent="0.25">
      <c r="A4291" t="s">
        <v>1701</v>
      </c>
      <c r="B4291" t="s">
        <v>2114</v>
      </c>
      <c r="C4291" t="s">
        <v>923</v>
      </c>
      <c r="D4291" t="s">
        <v>3063</v>
      </c>
      <c r="E4291" t="s">
        <v>3053</v>
      </c>
      <c r="F4291" t="s">
        <v>535</v>
      </c>
      <c r="G4291" t="s">
        <v>536</v>
      </c>
      <c r="H4291" t="s">
        <v>5928</v>
      </c>
      <c r="I4291">
        <v>10</v>
      </c>
      <c r="J4291">
        <v>0</v>
      </c>
      <c r="K4291">
        <v>0</v>
      </c>
      <c r="L4291">
        <v>10</v>
      </c>
      <c r="M4291">
        <v>0</v>
      </c>
      <c r="N4291">
        <v>0</v>
      </c>
      <c r="O4291">
        <v>0</v>
      </c>
    </row>
    <row r="4292" spans="1:15" x14ac:dyDescent="0.25">
      <c r="A4292" t="s">
        <v>929</v>
      </c>
      <c r="B4292" t="s">
        <v>2999</v>
      </c>
      <c r="C4292" t="s">
        <v>927</v>
      </c>
      <c r="D4292" t="s">
        <v>3052</v>
      </c>
      <c r="E4292" t="s">
        <v>3053</v>
      </c>
      <c r="F4292" t="s">
        <v>537</v>
      </c>
      <c r="G4292" t="s">
        <v>538</v>
      </c>
      <c r="H4292" t="s">
        <v>5929</v>
      </c>
      <c r="I4292">
        <v>7</v>
      </c>
      <c r="J4292">
        <v>0</v>
      </c>
      <c r="K4292">
        <v>0</v>
      </c>
      <c r="L4292">
        <v>0</v>
      </c>
      <c r="M4292">
        <v>7</v>
      </c>
      <c r="N4292">
        <v>0</v>
      </c>
      <c r="O4292">
        <v>0</v>
      </c>
    </row>
    <row r="4293" spans="1:15" x14ac:dyDescent="0.25">
      <c r="A4293" t="s">
        <v>1723</v>
      </c>
      <c r="B4293" t="s">
        <v>2798</v>
      </c>
      <c r="C4293" t="s">
        <v>923</v>
      </c>
      <c r="D4293" t="s">
        <v>3063</v>
      </c>
      <c r="E4293" t="s">
        <v>3053</v>
      </c>
      <c r="F4293" t="s">
        <v>537</v>
      </c>
      <c r="G4293" t="s">
        <v>538</v>
      </c>
      <c r="H4293" t="s">
        <v>5930</v>
      </c>
      <c r="I4293">
        <v>27</v>
      </c>
      <c r="J4293">
        <v>27</v>
      </c>
      <c r="K4293">
        <v>0</v>
      </c>
      <c r="L4293">
        <v>0</v>
      </c>
      <c r="M4293">
        <v>0</v>
      </c>
      <c r="N4293">
        <v>1</v>
      </c>
      <c r="O4293">
        <v>0</v>
      </c>
    </row>
    <row r="4294" spans="1:15" x14ac:dyDescent="0.25">
      <c r="A4294" t="s">
        <v>942</v>
      </c>
      <c r="B4294" t="s">
        <v>2113</v>
      </c>
      <c r="C4294" t="s">
        <v>927</v>
      </c>
      <c r="D4294" t="s">
        <v>3052</v>
      </c>
      <c r="E4294" t="s">
        <v>3053</v>
      </c>
      <c r="F4294" t="s">
        <v>537</v>
      </c>
      <c r="G4294" t="s">
        <v>538</v>
      </c>
      <c r="H4294" t="s">
        <v>5931</v>
      </c>
      <c r="I4294">
        <v>27</v>
      </c>
      <c r="J4294">
        <v>27</v>
      </c>
      <c r="K4294">
        <v>0</v>
      </c>
      <c r="L4294">
        <v>0</v>
      </c>
      <c r="M4294">
        <v>0</v>
      </c>
      <c r="N4294">
        <v>0</v>
      </c>
      <c r="O4294">
        <v>0</v>
      </c>
    </row>
    <row r="4295" spans="1:15" x14ac:dyDescent="0.25">
      <c r="A4295" t="s">
        <v>929</v>
      </c>
      <c r="B4295" t="s">
        <v>2999</v>
      </c>
      <c r="C4295" t="s">
        <v>927</v>
      </c>
      <c r="D4295" t="s">
        <v>3052</v>
      </c>
      <c r="E4295" t="s">
        <v>3053</v>
      </c>
      <c r="F4295" t="s">
        <v>539</v>
      </c>
      <c r="G4295" t="s">
        <v>540</v>
      </c>
      <c r="H4295" t="s">
        <v>5932</v>
      </c>
      <c r="I4295">
        <v>34</v>
      </c>
      <c r="J4295">
        <v>0</v>
      </c>
      <c r="K4295">
        <v>0</v>
      </c>
      <c r="L4295">
        <v>0</v>
      </c>
      <c r="M4295">
        <v>34</v>
      </c>
      <c r="N4295">
        <v>0</v>
      </c>
      <c r="O4295">
        <v>0</v>
      </c>
    </row>
    <row r="4296" spans="1:15" x14ac:dyDescent="0.25">
      <c r="A4296" t="s">
        <v>1087</v>
      </c>
      <c r="B4296" t="s">
        <v>2979</v>
      </c>
      <c r="C4296" t="s">
        <v>923</v>
      </c>
      <c r="D4296" t="s">
        <v>3063</v>
      </c>
      <c r="E4296" t="s">
        <v>3053</v>
      </c>
      <c r="F4296" t="s">
        <v>539</v>
      </c>
      <c r="G4296" t="s">
        <v>540</v>
      </c>
      <c r="H4296" t="s">
        <v>5933</v>
      </c>
      <c r="I4296">
        <v>40</v>
      </c>
      <c r="J4296">
        <v>40</v>
      </c>
      <c r="K4296">
        <v>0</v>
      </c>
      <c r="L4296">
        <v>0</v>
      </c>
      <c r="M4296">
        <v>0</v>
      </c>
      <c r="N4296">
        <v>11</v>
      </c>
      <c r="O4296">
        <v>0</v>
      </c>
    </row>
    <row r="4297" spans="1:15" x14ac:dyDescent="0.25">
      <c r="A4297" t="s">
        <v>9802</v>
      </c>
      <c r="B4297" t="s">
        <v>2899</v>
      </c>
      <c r="C4297" t="s">
        <v>923</v>
      </c>
      <c r="D4297" t="s">
        <v>3063</v>
      </c>
      <c r="E4297" t="s">
        <v>3053</v>
      </c>
      <c r="F4297" t="s">
        <v>539</v>
      </c>
      <c r="G4297" t="s">
        <v>540</v>
      </c>
      <c r="H4297" t="s">
        <v>9914</v>
      </c>
      <c r="I4297">
        <v>38</v>
      </c>
      <c r="J4297">
        <v>38</v>
      </c>
      <c r="K4297">
        <v>0</v>
      </c>
      <c r="L4297">
        <v>0</v>
      </c>
      <c r="M4297">
        <v>0</v>
      </c>
      <c r="N4297">
        <v>0</v>
      </c>
      <c r="O4297">
        <v>0</v>
      </c>
    </row>
    <row r="4298" spans="1:15" x14ac:dyDescent="0.25">
      <c r="A4298" t="s">
        <v>14382</v>
      </c>
      <c r="B4298" t="s">
        <v>2787</v>
      </c>
      <c r="C4298" t="s">
        <v>923</v>
      </c>
      <c r="D4298" t="s">
        <v>3063</v>
      </c>
      <c r="E4298" t="s">
        <v>3053</v>
      </c>
      <c r="F4298" t="s">
        <v>539</v>
      </c>
      <c r="G4298" t="s">
        <v>540</v>
      </c>
      <c r="H4298" t="s">
        <v>14841</v>
      </c>
      <c r="I4298">
        <v>299</v>
      </c>
      <c r="J4298">
        <v>269</v>
      </c>
      <c r="K4298">
        <v>0</v>
      </c>
      <c r="L4298">
        <v>0</v>
      </c>
      <c r="M4298">
        <v>30</v>
      </c>
      <c r="N4298">
        <v>5</v>
      </c>
      <c r="O4298">
        <v>0</v>
      </c>
    </row>
    <row r="4299" spans="1:15" x14ac:dyDescent="0.25">
      <c r="A4299" t="s">
        <v>1218</v>
      </c>
      <c r="B4299" t="s">
        <v>2565</v>
      </c>
      <c r="C4299" t="s">
        <v>927</v>
      </c>
      <c r="D4299" t="s">
        <v>3052</v>
      </c>
      <c r="E4299" t="s">
        <v>3053</v>
      </c>
      <c r="F4299" t="s">
        <v>539</v>
      </c>
      <c r="G4299" t="s">
        <v>540</v>
      </c>
      <c r="H4299" t="s">
        <v>5934</v>
      </c>
      <c r="I4299">
        <v>69</v>
      </c>
      <c r="J4299">
        <v>69</v>
      </c>
      <c r="K4299">
        <v>0</v>
      </c>
      <c r="L4299">
        <v>0</v>
      </c>
      <c r="M4299">
        <v>0</v>
      </c>
      <c r="N4299">
        <v>0</v>
      </c>
      <c r="O4299">
        <v>0</v>
      </c>
    </row>
    <row r="4300" spans="1:15" x14ac:dyDescent="0.25">
      <c r="A4300" t="s">
        <v>933</v>
      </c>
      <c r="B4300" t="s">
        <v>2106</v>
      </c>
      <c r="C4300" t="s">
        <v>927</v>
      </c>
      <c r="D4300" t="s">
        <v>3052</v>
      </c>
      <c r="E4300" t="s">
        <v>3053</v>
      </c>
      <c r="F4300" t="s">
        <v>539</v>
      </c>
      <c r="G4300" t="s">
        <v>540</v>
      </c>
      <c r="H4300" t="s">
        <v>5935</v>
      </c>
      <c r="I4300">
        <v>3327</v>
      </c>
      <c r="J4300">
        <v>2539</v>
      </c>
      <c r="K4300">
        <v>37</v>
      </c>
      <c r="L4300">
        <v>203</v>
      </c>
      <c r="M4300">
        <v>400</v>
      </c>
      <c r="N4300">
        <v>80</v>
      </c>
      <c r="O4300">
        <v>148</v>
      </c>
    </row>
    <row r="4301" spans="1:15" x14ac:dyDescent="0.25">
      <c r="A4301" t="s">
        <v>1413</v>
      </c>
      <c r="B4301" t="s">
        <v>2048</v>
      </c>
      <c r="C4301" t="s">
        <v>923</v>
      </c>
      <c r="D4301" t="s">
        <v>3063</v>
      </c>
      <c r="E4301" t="s">
        <v>3053</v>
      </c>
      <c r="F4301" t="s">
        <v>539</v>
      </c>
      <c r="G4301" t="s">
        <v>540</v>
      </c>
      <c r="H4301" t="s">
        <v>12116</v>
      </c>
      <c r="I4301">
        <v>26</v>
      </c>
      <c r="J4301">
        <v>0</v>
      </c>
      <c r="K4301">
        <v>0</v>
      </c>
      <c r="L4301">
        <v>26</v>
      </c>
      <c r="M4301">
        <v>0</v>
      </c>
      <c r="N4301">
        <v>26</v>
      </c>
      <c r="O4301">
        <v>0</v>
      </c>
    </row>
    <row r="4302" spans="1:15" x14ac:dyDescent="0.25">
      <c r="A4302" t="s">
        <v>11660</v>
      </c>
      <c r="B4302" t="s">
        <v>2041</v>
      </c>
      <c r="C4302" t="s">
        <v>923</v>
      </c>
      <c r="D4302" t="s">
        <v>3063</v>
      </c>
      <c r="E4302" t="s">
        <v>3053</v>
      </c>
      <c r="F4302" t="s">
        <v>539</v>
      </c>
      <c r="G4302" t="s">
        <v>540</v>
      </c>
      <c r="H4302" t="s">
        <v>14842</v>
      </c>
      <c r="I4302">
        <v>11</v>
      </c>
      <c r="J4302">
        <v>0</v>
      </c>
      <c r="K4302">
        <v>0</v>
      </c>
      <c r="L4302">
        <v>11</v>
      </c>
      <c r="M4302">
        <v>0</v>
      </c>
      <c r="N4302">
        <v>0</v>
      </c>
      <c r="O4302">
        <v>0</v>
      </c>
    </row>
    <row r="4303" spans="1:15" x14ac:dyDescent="0.25">
      <c r="A4303" t="s">
        <v>10626</v>
      </c>
      <c r="B4303" t="s">
        <v>10625</v>
      </c>
      <c r="C4303" t="s">
        <v>923</v>
      </c>
      <c r="D4303" t="s">
        <v>3063</v>
      </c>
      <c r="E4303" t="s">
        <v>3053</v>
      </c>
      <c r="F4303" t="s">
        <v>539</v>
      </c>
      <c r="G4303" t="s">
        <v>540</v>
      </c>
      <c r="H4303" t="s">
        <v>11095</v>
      </c>
      <c r="I4303">
        <v>35</v>
      </c>
      <c r="J4303">
        <v>35</v>
      </c>
      <c r="K4303">
        <v>0</v>
      </c>
      <c r="L4303">
        <v>0</v>
      </c>
      <c r="M4303">
        <v>0</v>
      </c>
      <c r="N4303">
        <v>0</v>
      </c>
      <c r="O4303">
        <v>0</v>
      </c>
    </row>
    <row r="4304" spans="1:15" x14ac:dyDescent="0.25">
      <c r="A4304" t="s">
        <v>1252</v>
      </c>
      <c r="B4304" t="s">
        <v>2610</v>
      </c>
      <c r="C4304" t="s">
        <v>923</v>
      </c>
      <c r="D4304" t="s">
        <v>3063</v>
      </c>
      <c r="E4304" t="s">
        <v>3053</v>
      </c>
      <c r="F4304" t="s">
        <v>539</v>
      </c>
      <c r="G4304" t="s">
        <v>540</v>
      </c>
      <c r="H4304" t="s">
        <v>5936</v>
      </c>
      <c r="I4304">
        <v>9</v>
      </c>
      <c r="J4304">
        <v>0</v>
      </c>
      <c r="K4304">
        <v>0</v>
      </c>
      <c r="L4304">
        <v>0</v>
      </c>
      <c r="M4304">
        <v>9</v>
      </c>
      <c r="N4304">
        <v>0</v>
      </c>
      <c r="O4304">
        <v>0</v>
      </c>
    </row>
    <row r="4305" spans="1:15" x14ac:dyDescent="0.25">
      <c r="A4305" t="s">
        <v>1008</v>
      </c>
      <c r="B4305" t="s">
        <v>2928</v>
      </c>
      <c r="C4305" t="s">
        <v>927</v>
      </c>
      <c r="D4305" t="s">
        <v>3052</v>
      </c>
      <c r="E4305" t="s">
        <v>3053</v>
      </c>
      <c r="F4305" t="s">
        <v>539</v>
      </c>
      <c r="G4305" t="s">
        <v>540</v>
      </c>
      <c r="H4305" t="s">
        <v>5937</v>
      </c>
      <c r="I4305">
        <v>31</v>
      </c>
      <c r="J4305">
        <v>31</v>
      </c>
      <c r="K4305">
        <v>0</v>
      </c>
      <c r="L4305">
        <v>0</v>
      </c>
      <c r="M4305">
        <v>0</v>
      </c>
      <c r="N4305">
        <v>0</v>
      </c>
      <c r="O4305">
        <v>0</v>
      </c>
    </row>
    <row r="4306" spans="1:15" x14ac:dyDescent="0.25">
      <c r="A4306" t="s">
        <v>938</v>
      </c>
      <c r="B4306" t="s">
        <v>2791</v>
      </c>
      <c r="C4306" t="s">
        <v>927</v>
      </c>
      <c r="D4306" t="s">
        <v>3052</v>
      </c>
      <c r="E4306" t="s">
        <v>3053</v>
      </c>
      <c r="F4306" t="s">
        <v>539</v>
      </c>
      <c r="G4306" t="s">
        <v>540</v>
      </c>
      <c r="H4306" t="s">
        <v>5938</v>
      </c>
      <c r="I4306">
        <v>14</v>
      </c>
      <c r="J4306">
        <v>0</v>
      </c>
      <c r="K4306">
        <v>0</v>
      </c>
      <c r="L4306">
        <v>14</v>
      </c>
      <c r="M4306">
        <v>0</v>
      </c>
      <c r="N4306">
        <v>0</v>
      </c>
      <c r="O4306">
        <v>0</v>
      </c>
    </row>
    <row r="4307" spans="1:15" x14ac:dyDescent="0.25">
      <c r="A4307" t="s">
        <v>940</v>
      </c>
      <c r="B4307" t="s">
        <v>2647</v>
      </c>
      <c r="C4307" t="s">
        <v>927</v>
      </c>
      <c r="D4307" t="s">
        <v>3052</v>
      </c>
      <c r="E4307" t="s">
        <v>3053</v>
      </c>
      <c r="F4307" t="s">
        <v>539</v>
      </c>
      <c r="G4307" t="s">
        <v>540</v>
      </c>
      <c r="H4307" t="s">
        <v>12117</v>
      </c>
      <c r="I4307">
        <v>99</v>
      </c>
      <c r="J4307">
        <v>0</v>
      </c>
      <c r="K4307">
        <v>0</v>
      </c>
      <c r="L4307">
        <v>12</v>
      </c>
      <c r="M4307">
        <v>87</v>
      </c>
      <c r="N4307">
        <v>0</v>
      </c>
      <c r="O4307">
        <v>0</v>
      </c>
    </row>
    <row r="4308" spans="1:15" x14ac:dyDescent="0.25">
      <c r="A4308" t="s">
        <v>1012</v>
      </c>
      <c r="B4308" t="s">
        <v>2911</v>
      </c>
      <c r="C4308" t="s">
        <v>927</v>
      </c>
      <c r="D4308" t="s">
        <v>3052</v>
      </c>
      <c r="E4308" t="s">
        <v>3053</v>
      </c>
      <c r="F4308" t="s">
        <v>539</v>
      </c>
      <c r="G4308" t="s">
        <v>540</v>
      </c>
      <c r="H4308" t="s">
        <v>5939</v>
      </c>
      <c r="I4308">
        <v>1076</v>
      </c>
      <c r="J4308">
        <v>1047</v>
      </c>
      <c r="K4308">
        <v>0</v>
      </c>
      <c r="L4308">
        <v>0</v>
      </c>
      <c r="M4308">
        <v>0</v>
      </c>
      <c r="N4308">
        <v>14</v>
      </c>
      <c r="O4308">
        <v>29</v>
      </c>
    </row>
    <row r="4309" spans="1:15" x14ac:dyDescent="0.25">
      <c r="A4309" t="s">
        <v>1124</v>
      </c>
      <c r="B4309" t="s">
        <v>2981</v>
      </c>
      <c r="C4309" t="s">
        <v>923</v>
      </c>
      <c r="D4309" t="s">
        <v>3063</v>
      </c>
      <c r="E4309" t="s">
        <v>3053</v>
      </c>
      <c r="F4309" t="s">
        <v>539</v>
      </c>
      <c r="G4309" t="s">
        <v>540</v>
      </c>
      <c r="H4309" t="s">
        <v>5940</v>
      </c>
      <c r="I4309">
        <v>3</v>
      </c>
      <c r="J4309">
        <v>3</v>
      </c>
      <c r="K4309">
        <v>0</v>
      </c>
      <c r="L4309">
        <v>0</v>
      </c>
      <c r="M4309">
        <v>0</v>
      </c>
      <c r="N4309">
        <v>0</v>
      </c>
      <c r="O4309">
        <v>0</v>
      </c>
    </row>
    <row r="4310" spans="1:15" x14ac:dyDescent="0.25">
      <c r="A4310" t="s">
        <v>1279</v>
      </c>
      <c r="B4310" t="s">
        <v>2384</v>
      </c>
      <c r="C4310" t="s">
        <v>923</v>
      </c>
      <c r="D4310" t="s">
        <v>3063</v>
      </c>
      <c r="E4310" t="s">
        <v>3053</v>
      </c>
      <c r="F4310" t="s">
        <v>539</v>
      </c>
      <c r="G4310" t="s">
        <v>540</v>
      </c>
      <c r="H4310" t="s">
        <v>5942</v>
      </c>
      <c r="I4310">
        <v>104</v>
      </c>
      <c r="J4310">
        <v>104</v>
      </c>
      <c r="K4310">
        <v>0</v>
      </c>
      <c r="L4310">
        <v>0</v>
      </c>
      <c r="M4310">
        <v>0</v>
      </c>
      <c r="N4310">
        <v>0</v>
      </c>
      <c r="O4310">
        <v>0</v>
      </c>
    </row>
    <row r="4311" spans="1:15" x14ac:dyDescent="0.25">
      <c r="A4311" t="s">
        <v>1278</v>
      </c>
      <c r="B4311" t="s">
        <v>2674</v>
      </c>
      <c r="C4311" t="s">
        <v>927</v>
      </c>
      <c r="D4311" t="s">
        <v>3052</v>
      </c>
      <c r="E4311" t="s">
        <v>3053</v>
      </c>
      <c r="F4311" t="s">
        <v>539</v>
      </c>
      <c r="G4311" t="s">
        <v>540</v>
      </c>
      <c r="H4311" t="s">
        <v>5941</v>
      </c>
      <c r="I4311">
        <v>831</v>
      </c>
      <c r="J4311">
        <v>678</v>
      </c>
      <c r="K4311">
        <v>12</v>
      </c>
      <c r="L4311">
        <v>43</v>
      </c>
      <c r="M4311">
        <v>12</v>
      </c>
      <c r="N4311">
        <v>0</v>
      </c>
      <c r="O4311">
        <v>86</v>
      </c>
    </row>
    <row r="4312" spans="1:15" x14ac:dyDescent="0.25">
      <c r="A4312" t="s">
        <v>1282</v>
      </c>
      <c r="B4312" t="s">
        <v>2028</v>
      </c>
      <c r="C4312" t="s">
        <v>923</v>
      </c>
      <c r="D4312" t="s">
        <v>3063</v>
      </c>
      <c r="E4312" t="s">
        <v>3053</v>
      </c>
      <c r="F4312" t="s">
        <v>539</v>
      </c>
      <c r="G4312" t="s">
        <v>540</v>
      </c>
      <c r="H4312" t="s">
        <v>12118</v>
      </c>
      <c r="I4312">
        <v>14</v>
      </c>
      <c r="J4312">
        <v>14</v>
      </c>
      <c r="K4312">
        <v>0</v>
      </c>
      <c r="L4312">
        <v>0</v>
      </c>
      <c r="M4312">
        <v>0</v>
      </c>
      <c r="N4312">
        <v>0</v>
      </c>
      <c r="O4312">
        <v>0</v>
      </c>
    </row>
    <row r="4313" spans="1:15" x14ac:dyDescent="0.25">
      <c r="A4313" t="s">
        <v>1283</v>
      </c>
      <c r="B4313" t="s">
        <v>2768</v>
      </c>
      <c r="C4313" t="s">
        <v>923</v>
      </c>
      <c r="D4313" t="s">
        <v>3063</v>
      </c>
      <c r="E4313" t="s">
        <v>3053</v>
      </c>
      <c r="F4313" t="s">
        <v>539</v>
      </c>
      <c r="G4313" t="s">
        <v>540</v>
      </c>
      <c r="H4313" t="s">
        <v>5943</v>
      </c>
      <c r="I4313">
        <v>102</v>
      </c>
      <c r="J4313">
        <v>102</v>
      </c>
      <c r="K4313">
        <v>0</v>
      </c>
      <c r="L4313">
        <v>0</v>
      </c>
      <c r="M4313">
        <v>0</v>
      </c>
      <c r="N4313">
        <v>0</v>
      </c>
      <c r="O4313">
        <v>0</v>
      </c>
    </row>
    <row r="4314" spans="1:15" x14ac:dyDescent="0.25">
      <c r="A4314" t="s">
        <v>1025</v>
      </c>
      <c r="B4314" t="s">
        <v>2893</v>
      </c>
      <c r="C4314" t="s">
        <v>927</v>
      </c>
      <c r="D4314" t="s">
        <v>3052</v>
      </c>
      <c r="E4314" t="s">
        <v>3053</v>
      </c>
      <c r="F4314" t="s">
        <v>539</v>
      </c>
      <c r="G4314" t="s">
        <v>540</v>
      </c>
      <c r="H4314" t="s">
        <v>5944</v>
      </c>
      <c r="I4314">
        <v>231</v>
      </c>
      <c r="J4314">
        <v>217</v>
      </c>
      <c r="K4314">
        <v>0</v>
      </c>
      <c r="L4314">
        <v>0</v>
      </c>
      <c r="M4314">
        <v>0</v>
      </c>
      <c r="N4314">
        <v>2</v>
      </c>
      <c r="O4314">
        <v>14</v>
      </c>
    </row>
    <row r="4315" spans="1:15" x14ac:dyDescent="0.25">
      <c r="A4315" t="s">
        <v>11680</v>
      </c>
      <c r="B4315" t="s">
        <v>11757</v>
      </c>
      <c r="C4315" t="s">
        <v>923</v>
      </c>
      <c r="D4315" t="s">
        <v>3063</v>
      </c>
      <c r="E4315" t="s">
        <v>3053</v>
      </c>
      <c r="F4315" t="s">
        <v>539</v>
      </c>
      <c r="G4315" t="s">
        <v>540</v>
      </c>
      <c r="H4315" t="s">
        <v>12119</v>
      </c>
      <c r="I4315">
        <v>28</v>
      </c>
      <c r="J4315">
        <v>0</v>
      </c>
      <c r="K4315">
        <v>0</v>
      </c>
      <c r="L4315">
        <v>0</v>
      </c>
      <c r="M4315">
        <v>28</v>
      </c>
      <c r="N4315">
        <v>0</v>
      </c>
      <c r="O4315">
        <v>0</v>
      </c>
    </row>
    <row r="4316" spans="1:15" x14ac:dyDescent="0.25">
      <c r="A4316" t="s">
        <v>943</v>
      </c>
      <c r="B4316" t="s">
        <v>2694</v>
      </c>
      <c r="C4316" t="s">
        <v>927</v>
      </c>
      <c r="D4316" t="s">
        <v>3052</v>
      </c>
      <c r="E4316" t="s">
        <v>3053</v>
      </c>
      <c r="F4316" t="s">
        <v>539</v>
      </c>
      <c r="G4316" t="s">
        <v>540</v>
      </c>
      <c r="H4316" t="s">
        <v>5945</v>
      </c>
      <c r="I4316">
        <v>2</v>
      </c>
      <c r="J4316">
        <v>0</v>
      </c>
      <c r="K4316">
        <v>0</v>
      </c>
      <c r="L4316">
        <v>0</v>
      </c>
      <c r="M4316">
        <v>0</v>
      </c>
      <c r="N4316">
        <v>0</v>
      </c>
      <c r="O4316">
        <v>2</v>
      </c>
    </row>
    <row r="4317" spans="1:15" x14ac:dyDescent="0.25">
      <c r="A4317" t="s">
        <v>1303</v>
      </c>
      <c r="B4317" t="s">
        <v>2381</v>
      </c>
      <c r="C4317" t="s">
        <v>923</v>
      </c>
      <c r="D4317" t="s">
        <v>3063</v>
      </c>
      <c r="E4317" t="s">
        <v>3053</v>
      </c>
      <c r="F4317" t="s">
        <v>539</v>
      </c>
      <c r="G4317" t="s">
        <v>540</v>
      </c>
      <c r="H4317" t="s">
        <v>5946</v>
      </c>
      <c r="I4317">
        <v>49</v>
      </c>
      <c r="J4317">
        <v>49</v>
      </c>
      <c r="K4317">
        <v>0</v>
      </c>
      <c r="L4317">
        <v>0</v>
      </c>
      <c r="M4317">
        <v>0</v>
      </c>
      <c r="N4317">
        <v>0</v>
      </c>
      <c r="O4317">
        <v>0</v>
      </c>
    </row>
    <row r="4318" spans="1:15" x14ac:dyDescent="0.25">
      <c r="A4318" t="s">
        <v>1131</v>
      </c>
      <c r="B4318" t="s">
        <v>2637</v>
      </c>
      <c r="C4318" t="s">
        <v>927</v>
      </c>
      <c r="D4318" t="s">
        <v>3052</v>
      </c>
      <c r="E4318" t="s">
        <v>3053</v>
      </c>
      <c r="F4318" t="s">
        <v>539</v>
      </c>
      <c r="G4318" t="s">
        <v>540</v>
      </c>
      <c r="H4318" t="s">
        <v>5947</v>
      </c>
      <c r="I4318">
        <v>1594</v>
      </c>
      <c r="J4318">
        <v>1217</v>
      </c>
      <c r="K4318">
        <v>27</v>
      </c>
      <c r="L4318">
        <v>13</v>
      </c>
      <c r="M4318">
        <v>0</v>
      </c>
      <c r="N4318">
        <v>1</v>
      </c>
      <c r="O4318">
        <v>337</v>
      </c>
    </row>
    <row r="4319" spans="1:15" x14ac:dyDescent="0.25">
      <c r="A4319" t="s">
        <v>1134</v>
      </c>
      <c r="B4319" t="s">
        <v>2118</v>
      </c>
      <c r="C4319" t="s">
        <v>927</v>
      </c>
      <c r="D4319" t="s">
        <v>3052</v>
      </c>
      <c r="E4319" t="s">
        <v>3053</v>
      </c>
      <c r="F4319" t="s">
        <v>539</v>
      </c>
      <c r="G4319" t="s">
        <v>540</v>
      </c>
      <c r="H4319" t="s">
        <v>5948</v>
      </c>
      <c r="I4319">
        <v>288</v>
      </c>
      <c r="J4319">
        <v>279</v>
      </c>
      <c r="K4319">
        <v>0</v>
      </c>
      <c r="L4319">
        <v>4</v>
      </c>
      <c r="M4319">
        <v>0</v>
      </c>
      <c r="N4319">
        <v>0</v>
      </c>
      <c r="O4319">
        <v>5</v>
      </c>
    </row>
    <row r="4320" spans="1:15" x14ac:dyDescent="0.25">
      <c r="A4320" t="s">
        <v>949</v>
      </c>
      <c r="B4320" t="s">
        <v>3035</v>
      </c>
      <c r="C4320" t="s">
        <v>927</v>
      </c>
      <c r="D4320" t="s">
        <v>3052</v>
      </c>
      <c r="E4320" t="s">
        <v>3053</v>
      </c>
      <c r="F4320" t="s">
        <v>539</v>
      </c>
      <c r="G4320" t="s">
        <v>540</v>
      </c>
      <c r="H4320" t="s">
        <v>5949</v>
      </c>
      <c r="I4320">
        <v>54</v>
      </c>
      <c r="J4320">
        <v>0</v>
      </c>
      <c r="K4320">
        <v>0</v>
      </c>
      <c r="L4320">
        <v>0</v>
      </c>
      <c r="M4320">
        <v>0</v>
      </c>
      <c r="N4320">
        <v>0</v>
      </c>
      <c r="O4320">
        <v>54</v>
      </c>
    </row>
    <row r="4321" spans="1:15" x14ac:dyDescent="0.25">
      <c r="A4321" t="s">
        <v>9806</v>
      </c>
      <c r="B4321" t="s">
        <v>2772</v>
      </c>
      <c r="C4321" t="s">
        <v>923</v>
      </c>
      <c r="D4321" t="s">
        <v>3063</v>
      </c>
      <c r="E4321" t="s">
        <v>3053</v>
      </c>
      <c r="F4321" t="s">
        <v>539</v>
      </c>
      <c r="G4321" t="s">
        <v>540</v>
      </c>
      <c r="H4321" t="s">
        <v>10229</v>
      </c>
      <c r="I4321">
        <v>53</v>
      </c>
      <c r="J4321">
        <v>53</v>
      </c>
      <c r="K4321">
        <v>0</v>
      </c>
      <c r="L4321">
        <v>0</v>
      </c>
      <c r="M4321">
        <v>0</v>
      </c>
      <c r="N4321">
        <v>0</v>
      </c>
      <c r="O4321">
        <v>0</v>
      </c>
    </row>
    <row r="4322" spans="1:15" x14ac:dyDescent="0.25">
      <c r="A4322" t="s">
        <v>1140</v>
      </c>
      <c r="B4322" t="s">
        <v>2697</v>
      </c>
      <c r="C4322" t="s">
        <v>927</v>
      </c>
      <c r="D4322" t="s">
        <v>3052</v>
      </c>
      <c r="E4322" t="s">
        <v>3053</v>
      </c>
      <c r="F4322" t="s">
        <v>539</v>
      </c>
      <c r="G4322" t="s">
        <v>540</v>
      </c>
      <c r="H4322" t="s">
        <v>5950</v>
      </c>
      <c r="I4322">
        <v>206</v>
      </c>
      <c r="J4322">
        <v>181</v>
      </c>
      <c r="K4322">
        <v>0</v>
      </c>
      <c r="L4322">
        <v>6</v>
      </c>
      <c r="M4322">
        <v>0</v>
      </c>
      <c r="N4322">
        <v>12</v>
      </c>
      <c r="O4322">
        <v>19</v>
      </c>
    </row>
    <row r="4323" spans="1:15" x14ac:dyDescent="0.25">
      <c r="A4323" t="s">
        <v>1043</v>
      </c>
      <c r="B4323" t="s">
        <v>2090</v>
      </c>
      <c r="C4323" t="s">
        <v>927</v>
      </c>
      <c r="D4323" t="s">
        <v>3052</v>
      </c>
      <c r="E4323" t="s">
        <v>3053</v>
      </c>
      <c r="F4323" t="s">
        <v>539</v>
      </c>
      <c r="G4323" t="s">
        <v>540</v>
      </c>
      <c r="H4323" t="s">
        <v>5951</v>
      </c>
      <c r="I4323">
        <v>93</v>
      </c>
      <c r="J4323">
        <v>68</v>
      </c>
      <c r="K4323">
        <v>0</v>
      </c>
      <c r="L4323">
        <v>0</v>
      </c>
      <c r="M4323">
        <v>25</v>
      </c>
      <c r="N4323">
        <v>0</v>
      </c>
      <c r="O4323">
        <v>0</v>
      </c>
    </row>
    <row r="4324" spans="1:15" x14ac:dyDescent="0.25">
      <c r="A4324" t="s">
        <v>1146</v>
      </c>
      <c r="B4324" t="s">
        <v>2117</v>
      </c>
      <c r="C4324" t="s">
        <v>927</v>
      </c>
      <c r="D4324" t="s">
        <v>3052</v>
      </c>
      <c r="E4324" t="s">
        <v>3053</v>
      </c>
      <c r="F4324" t="s">
        <v>539</v>
      </c>
      <c r="G4324" t="s">
        <v>540</v>
      </c>
      <c r="H4324" t="s">
        <v>5952</v>
      </c>
      <c r="I4324">
        <v>5398</v>
      </c>
      <c r="J4324">
        <v>4518</v>
      </c>
      <c r="K4324">
        <v>5</v>
      </c>
      <c r="L4324">
        <v>438</v>
      </c>
      <c r="M4324">
        <v>94</v>
      </c>
      <c r="N4324">
        <v>14</v>
      </c>
      <c r="O4324">
        <v>343</v>
      </c>
    </row>
    <row r="4325" spans="1:15" x14ac:dyDescent="0.25">
      <c r="A4325" t="s">
        <v>1320</v>
      </c>
      <c r="B4325" t="s">
        <v>2937</v>
      </c>
      <c r="C4325" t="s">
        <v>923</v>
      </c>
      <c r="D4325" t="s">
        <v>3063</v>
      </c>
      <c r="E4325" t="s">
        <v>3053</v>
      </c>
      <c r="F4325" t="s">
        <v>539</v>
      </c>
      <c r="G4325" t="s">
        <v>540</v>
      </c>
      <c r="H4325" t="s">
        <v>5953</v>
      </c>
      <c r="I4325">
        <v>138</v>
      </c>
      <c r="J4325">
        <v>24</v>
      </c>
      <c r="K4325">
        <v>24</v>
      </c>
      <c r="L4325">
        <v>90</v>
      </c>
      <c r="M4325">
        <v>0</v>
      </c>
      <c r="N4325">
        <v>2</v>
      </c>
      <c r="O4325">
        <v>0</v>
      </c>
    </row>
    <row r="4326" spans="1:15" x14ac:dyDescent="0.25">
      <c r="A4326" t="s">
        <v>1323</v>
      </c>
      <c r="B4326" t="s">
        <v>2612</v>
      </c>
      <c r="C4326" t="s">
        <v>923</v>
      </c>
      <c r="D4326" t="s">
        <v>3063</v>
      </c>
      <c r="E4326" t="s">
        <v>3053</v>
      </c>
      <c r="F4326" t="s">
        <v>539</v>
      </c>
      <c r="G4326" t="s">
        <v>540</v>
      </c>
      <c r="H4326" t="s">
        <v>5954</v>
      </c>
      <c r="I4326">
        <v>6</v>
      </c>
      <c r="J4326">
        <v>0</v>
      </c>
      <c r="K4326">
        <v>0</v>
      </c>
      <c r="L4326">
        <v>6</v>
      </c>
      <c r="M4326">
        <v>0</v>
      </c>
      <c r="N4326">
        <v>0</v>
      </c>
      <c r="O4326">
        <v>0</v>
      </c>
    </row>
    <row r="4327" spans="1:15" x14ac:dyDescent="0.25">
      <c r="A4327" t="s">
        <v>951</v>
      </c>
      <c r="B4327" t="s">
        <v>2680</v>
      </c>
      <c r="C4327" t="s">
        <v>927</v>
      </c>
      <c r="D4327" t="s">
        <v>3052</v>
      </c>
      <c r="E4327" t="s">
        <v>3053</v>
      </c>
      <c r="F4327" t="s">
        <v>539</v>
      </c>
      <c r="G4327" t="s">
        <v>540</v>
      </c>
      <c r="H4327" t="s">
        <v>5955</v>
      </c>
      <c r="I4327">
        <v>41</v>
      </c>
      <c r="J4327">
        <v>25</v>
      </c>
      <c r="K4327">
        <v>0</v>
      </c>
      <c r="L4327">
        <v>0</v>
      </c>
      <c r="M4327">
        <v>0</v>
      </c>
      <c r="N4327">
        <v>0</v>
      </c>
      <c r="O4327">
        <v>16</v>
      </c>
    </row>
    <row r="4328" spans="1:15" x14ac:dyDescent="0.25">
      <c r="A4328" t="s">
        <v>1048</v>
      </c>
      <c r="B4328" t="s">
        <v>2989</v>
      </c>
      <c r="C4328" t="s">
        <v>927</v>
      </c>
      <c r="D4328" t="s">
        <v>3052</v>
      </c>
      <c r="E4328" t="s">
        <v>3053</v>
      </c>
      <c r="F4328" t="s">
        <v>539</v>
      </c>
      <c r="G4328" t="s">
        <v>540</v>
      </c>
      <c r="H4328" t="s">
        <v>5956</v>
      </c>
      <c r="I4328">
        <v>55</v>
      </c>
      <c r="J4328">
        <v>33</v>
      </c>
      <c r="K4328">
        <v>0</v>
      </c>
      <c r="L4328">
        <v>22</v>
      </c>
      <c r="M4328">
        <v>0</v>
      </c>
      <c r="N4328">
        <v>0</v>
      </c>
      <c r="O4328">
        <v>0</v>
      </c>
    </row>
    <row r="4329" spans="1:15" x14ac:dyDescent="0.25">
      <c r="A4329" t="s">
        <v>1328</v>
      </c>
      <c r="B4329" t="s">
        <v>2360</v>
      </c>
      <c r="C4329" t="s">
        <v>923</v>
      </c>
      <c r="D4329" t="s">
        <v>3063</v>
      </c>
      <c r="E4329" t="s">
        <v>3053</v>
      </c>
      <c r="F4329" t="s">
        <v>539</v>
      </c>
      <c r="G4329" t="s">
        <v>540</v>
      </c>
      <c r="H4329" t="s">
        <v>5957</v>
      </c>
      <c r="I4329">
        <v>78</v>
      </c>
      <c r="J4329">
        <v>78</v>
      </c>
      <c r="K4329">
        <v>0</v>
      </c>
      <c r="L4329">
        <v>0</v>
      </c>
      <c r="M4329">
        <v>0</v>
      </c>
      <c r="N4329">
        <v>0</v>
      </c>
      <c r="O4329">
        <v>0</v>
      </c>
    </row>
    <row r="4330" spans="1:15" x14ac:dyDescent="0.25">
      <c r="A4330" t="s">
        <v>1333</v>
      </c>
      <c r="B4330" t="s">
        <v>2416</v>
      </c>
      <c r="C4330" t="s">
        <v>923</v>
      </c>
      <c r="D4330" t="s">
        <v>3063</v>
      </c>
      <c r="E4330" t="s">
        <v>3053</v>
      </c>
      <c r="F4330" t="s">
        <v>539</v>
      </c>
      <c r="G4330" t="s">
        <v>540</v>
      </c>
      <c r="H4330" t="s">
        <v>5958</v>
      </c>
      <c r="I4330">
        <v>26</v>
      </c>
      <c r="J4330">
        <v>0</v>
      </c>
      <c r="K4330">
        <v>26</v>
      </c>
      <c r="L4330">
        <v>0</v>
      </c>
      <c r="M4330">
        <v>0</v>
      </c>
      <c r="N4330">
        <v>0</v>
      </c>
      <c r="O4330">
        <v>0</v>
      </c>
    </row>
    <row r="4331" spans="1:15" x14ac:dyDescent="0.25">
      <c r="A4331" t="s">
        <v>955</v>
      </c>
      <c r="B4331" t="s">
        <v>2660</v>
      </c>
      <c r="C4331" t="s">
        <v>927</v>
      </c>
      <c r="D4331" t="s">
        <v>3052</v>
      </c>
      <c r="E4331" t="s">
        <v>3053</v>
      </c>
      <c r="F4331" t="s">
        <v>539</v>
      </c>
      <c r="G4331" t="s">
        <v>540</v>
      </c>
      <c r="H4331" t="s">
        <v>5959</v>
      </c>
      <c r="I4331">
        <v>72</v>
      </c>
      <c r="J4331">
        <v>4</v>
      </c>
      <c r="K4331">
        <v>0</v>
      </c>
      <c r="L4331">
        <v>32</v>
      </c>
      <c r="M4331">
        <v>36</v>
      </c>
      <c r="N4331">
        <v>0</v>
      </c>
      <c r="O4331">
        <v>0</v>
      </c>
    </row>
    <row r="4332" spans="1:15" x14ac:dyDescent="0.25">
      <c r="A4332" t="s">
        <v>1153</v>
      </c>
      <c r="B4332" t="s">
        <v>2560</v>
      </c>
      <c r="C4332" t="s">
        <v>923</v>
      </c>
      <c r="D4332" t="s">
        <v>3063</v>
      </c>
      <c r="E4332" t="s">
        <v>3053</v>
      </c>
      <c r="F4332" t="s">
        <v>539</v>
      </c>
      <c r="G4332" t="s">
        <v>540</v>
      </c>
      <c r="H4332" t="s">
        <v>5960</v>
      </c>
      <c r="I4332">
        <v>93</v>
      </c>
      <c r="J4332">
        <v>0</v>
      </c>
      <c r="K4332">
        <v>33</v>
      </c>
      <c r="L4332">
        <v>60</v>
      </c>
      <c r="M4332">
        <v>0</v>
      </c>
      <c r="N4332">
        <v>0</v>
      </c>
      <c r="O4332">
        <v>0</v>
      </c>
    </row>
    <row r="4333" spans="1:15" x14ac:dyDescent="0.25">
      <c r="A4333" t="s">
        <v>1338</v>
      </c>
      <c r="B4333" t="s">
        <v>2984</v>
      </c>
      <c r="C4333" t="s">
        <v>923</v>
      </c>
      <c r="D4333" t="s">
        <v>3063</v>
      </c>
      <c r="E4333" t="s">
        <v>3053</v>
      </c>
      <c r="F4333" t="s">
        <v>539</v>
      </c>
      <c r="G4333" t="s">
        <v>540</v>
      </c>
      <c r="H4333" t="s">
        <v>5961</v>
      </c>
      <c r="I4333">
        <v>68</v>
      </c>
      <c r="J4333">
        <v>68</v>
      </c>
      <c r="K4333">
        <v>0</v>
      </c>
      <c r="L4333">
        <v>0</v>
      </c>
      <c r="M4333">
        <v>0</v>
      </c>
      <c r="N4333">
        <v>0</v>
      </c>
      <c r="O4333">
        <v>0</v>
      </c>
    </row>
    <row r="4334" spans="1:15" x14ac:dyDescent="0.25">
      <c r="A4334" t="s">
        <v>1341</v>
      </c>
      <c r="B4334" t="s">
        <v>2954</v>
      </c>
      <c r="C4334" t="s">
        <v>923</v>
      </c>
      <c r="D4334" t="s">
        <v>3063</v>
      </c>
      <c r="E4334" t="s">
        <v>3053</v>
      </c>
      <c r="F4334" t="s">
        <v>539</v>
      </c>
      <c r="G4334" t="s">
        <v>540</v>
      </c>
      <c r="H4334" t="s">
        <v>5962</v>
      </c>
      <c r="I4334">
        <v>4</v>
      </c>
      <c r="J4334">
        <v>4</v>
      </c>
      <c r="K4334">
        <v>0</v>
      </c>
      <c r="L4334">
        <v>0</v>
      </c>
      <c r="M4334">
        <v>0</v>
      </c>
      <c r="N4334">
        <v>0</v>
      </c>
      <c r="O4334">
        <v>0</v>
      </c>
    </row>
    <row r="4335" spans="1:15" x14ac:dyDescent="0.25">
      <c r="A4335" t="s">
        <v>11663</v>
      </c>
      <c r="B4335" t="s">
        <v>11768</v>
      </c>
      <c r="C4335" t="s">
        <v>927</v>
      </c>
      <c r="D4335" t="s">
        <v>3052</v>
      </c>
      <c r="E4335" t="s">
        <v>3053</v>
      </c>
      <c r="F4335" t="s">
        <v>539</v>
      </c>
      <c r="G4335" t="s">
        <v>540</v>
      </c>
      <c r="H4335" t="s">
        <v>12120</v>
      </c>
      <c r="I4335">
        <v>1346</v>
      </c>
      <c r="J4335">
        <v>1099</v>
      </c>
      <c r="K4335">
        <v>3</v>
      </c>
      <c r="L4335">
        <v>1</v>
      </c>
      <c r="M4335">
        <v>0</v>
      </c>
      <c r="N4335">
        <v>6</v>
      </c>
      <c r="O4335">
        <v>243</v>
      </c>
    </row>
    <row r="4336" spans="1:15" x14ac:dyDescent="0.25">
      <c r="A4336" t="s">
        <v>14380</v>
      </c>
      <c r="B4336" t="s">
        <v>2074</v>
      </c>
      <c r="C4336" t="s">
        <v>927</v>
      </c>
      <c r="D4336" t="s">
        <v>3052</v>
      </c>
      <c r="E4336" t="s">
        <v>3053</v>
      </c>
      <c r="F4336" t="s">
        <v>539</v>
      </c>
      <c r="G4336" t="s">
        <v>540</v>
      </c>
      <c r="H4336" t="s">
        <v>14843</v>
      </c>
      <c r="I4336">
        <v>465</v>
      </c>
      <c r="J4336">
        <v>185</v>
      </c>
      <c r="K4336">
        <v>124</v>
      </c>
      <c r="L4336">
        <v>0</v>
      </c>
      <c r="M4336">
        <v>0</v>
      </c>
      <c r="N4336">
        <v>15</v>
      </c>
      <c r="O4336">
        <v>156</v>
      </c>
    </row>
    <row r="4337" spans="1:15" x14ac:dyDescent="0.25">
      <c r="A4337" t="s">
        <v>1347</v>
      </c>
      <c r="B4337" t="s">
        <v>2594</v>
      </c>
      <c r="C4337" t="s">
        <v>923</v>
      </c>
      <c r="D4337" t="s">
        <v>3063</v>
      </c>
      <c r="E4337" t="s">
        <v>3053</v>
      </c>
      <c r="F4337" t="s">
        <v>539</v>
      </c>
      <c r="G4337" t="s">
        <v>540</v>
      </c>
      <c r="H4337" t="s">
        <v>5963</v>
      </c>
      <c r="I4337">
        <v>22</v>
      </c>
      <c r="J4337">
        <v>0</v>
      </c>
      <c r="K4337">
        <v>0</v>
      </c>
      <c r="L4337">
        <v>22</v>
      </c>
      <c r="M4337">
        <v>0</v>
      </c>
      <c r="N4337">
        <v>0</v>
      </c>
      <c r="O4337">
        <v>0</v>
      </c>
    </row>
    <row r="4338" spans="1:15" x14ac:dyDescent="0.25">
      <c r="A4338" t="s">
        <v>1158</v>
      </c>
      <c r="B4338" t="s">
        <v>2922</v>
      </c>
      <c r="C4338" t="s">
        <v>927</v>
      </c>
      <c r="D4338" t="s">
        <v>3052</v>
      </c>
      <c r="E4338" t="s">
        <v>3053</v>
      </c>
      <c r="F4338" t="s">
        <v>539</v>
      </c>
      <c r="G4338" t="s">
        <v>540</v>
      </c>
      <c r="H4338" t="s">
        <v>5964</v>
      </c>
      <c r="I4338">
        <v>102</v>
      </c>
      <c r="J4338">
        <v>0</v>
      </c>
      <c r="K4338">
        <v>0</v>
      </c>
      <c r="L4338">
        <v>102</v>
      </c>
      <c r="M4338">
        <v>0</v>
      </c>
      <c r="N4338">
        <v>0</v>
      </c>
      <c r="O4338">
        <v>0</v>
      </c>
    </row>
    <row r="4339" spans="1:15" x14ac:dyDescent="0.25">
      <c r="A4339" t="s">
        <v>1352</v>
      </c>
      <c r="B4339" t="s">
        <v>2085</v>
      </c>
      <c r="C4339" t="s">
        <v>923</v>
      </c>
      <c r="D4339" t="s">
        <v>3063</v>
      </c>
      <c r="E4339" t="s">
        <v>3053</v>
      </c>
      <c r="F4339" t="s">
        <v>539</v>
      </c>
      <c r="G4339" t="s">
        <v>540</v>
      </c>
      <c r="H4339" t="s">
        <v>12121</v>
      </c>
      <c r="I4339">
        <v>1</v>
      </c>
      <c r="J4339">
        <v>1</v>
      </c>
      <c r="K4339">
        <v>0</v>
      </c>
      <c r="L4339">
        <v>0</v>
      </c>
      <c r="M4339">
        <v>0</v>
      </c>
      <c r="N4339">
        <v>0</v>
      </c>
      <c r="O4339">
        <v>0</v>
      </c>
    </row>
    <row r="4340" spans="1:15" x14ac:dyDescent="0.25">
      <c r="A4340" t="s">
        <v>1160</v>
      </c>
      <c r="B4340" t="s">
        <v>2863</v>
      </c>
      <c r="C4340" t="s">
        <v>923</v>
      </c>
      <c r="D4340" t="s">
        <v>3063</v>
      </c>
      <c r="E4340" t="s">
        <v>3053</v>
      </c>
      <c r="F4340" t="s">
        <v>539</v>
      </c>
      <c r="G4340" t="s">
        <v>540</v>
      </c>
      <c r="H4340" t="s">
        <v>14844</v>
      </c>
      <c r="I4340">
        <v>20</v>
      </c>
      <c r="J4340">
        <v>20</v>
      </c>
      <c r="K4340">
        <v>0</v>
      </c>
      <c r="L4340">
        <v>0</v>
      </c>
      <c r="M4340">
        <v>0</v>
      </c>
      <c r="N4340">
        <v>0</v>
      </c>
      <c r="O4340">
        <v>0</v>
      </c>
    </row>
    <row r="4341" spans="1:15" x14ac:dyDescent="0.25">
      <c r="A4341" t="s">
        <v>1069</v>
      </c>
      <c r="B4341" t="s">
        <v>2001</v>
      </c>
      <c r="C4341" t="s">
        <v>927</v>
      </c>
      <c r="D4341" t="s">
        <v>3052</v>
      </c>
      <c r="E4341" t="s">
        <v>3053</v>
      </c>
      <c r="F4341" t="s">
        <v>539</v>
      </c>
      <c r="G4341" t="s">
        <v>540</v>
      </c>
      <c r="H4341" t="s">
        <v>5965</v>
      </c>
      <c r="I4341">
        <v>554</v>
      </c>
      <c r="J4341">
        <v>527</v>
      </c>
      <c r="K4341">
        <v>0</v>
      </c>
      <c r="L4341">
        <v>7</v>
      </c>
      <c r="M4341">
        <v>0</v>
      </c>
      <c r="N4341">
        <v>0</v>
      </c>
      <c r="O4341">
        <v>20</v>
      </c>
    </row>
    <row r="4342" spans="1:15" x14ac:dyDescent="0.25">
      <c r="A4342" t="s">
        <v>1071</v>
      </c>
      <c r="B4342" t="s">
        <v>2571</v>
      </c>
      <c r="C4342" t="s">
        <v>923</v>
      </c>
      <c r="D4342" t="s">
        <v>3063</v>
      </c>
      <c r="E4342" t="s">
        <v>3053</v>
      </c>
      <c r="F4342" t="s">
        <v>539</v>
      </c>
      <c r="G4342" t="s">
        <v>540</v>
      </c>
      <c r="H4342" t="s">
        <v>5966</v>
      </c>
      <c r="I4342">
        <v>18</v>
      </c>
      <c r="J4342">
        <v>0</v>
      </c>
      <c r="K4342">
        <v>0</v>
      </c>
      <c r="L4342">
        <v>18</v>
      </c>
      <c r="M4342">
        <v>0</v>
      </c>
      <c r="N4342">
        <v>0</v>
      </c>
      <c r="O4342">
        <v>0</v>
      </c>
    </row>
    <row r="4343" spans="1:15" x14ac:dyDescent="0.25">
      <c r="A4343" t="s">
        <v>1072</v>
      </c>
      <c r="B4343" t="s">
        <v>2907</v>
      </c>
      <c r="C4343" t="s">
        <v>927</v>
      </c>
      <c r="D4343" t="s">
        <v>3052</v>
      </c>
      <c r="E4343" t="s">
        <v>3053</v>
      </c>
      <c r="F4343" t="s">
        <v>539</v>
      </c>
      <c r="G4343" t="s">
        <v>540</v>
      </c>
      <c r="H4343" t="s">
        <v>5967</v>
      </c>
      <c r="I4343">
        <v>610</v>
      </c>
      <c r="J4343">
        <v>379</v>
      </c>
      <c r="K4343">
        <v>7</v>
      </c>
      <c r="L4343">
        <v>90</v>
      </c>
      <c r="M4343">
        <v>17</v>
      </c>
      <c r="N4343">
        <v>0</v>
      </c>
      <c r="O4343">
        <v>117</v>
      </c>
    </row>
    <row r="4344" spans="1:15" x14ac:dyDescent="0.25">
      <c r="A4344" t="s">
        <v>1382</v>
      </c>
      <c r="B4344" t="s">
        <v>2387</v>
      </c>
      <c r="C4344" t="s">
        <v>923</v>
      </c>
      <c r="D4344" t="s">
        <v>3063</v>
      </c>
      <c r="E4344" t="s">
        <v>3053</v>
      </c>
      <c r="F4344" t="s">
        <v>539</v>
      </c>
      <c r="G4344" t="s">
        <v>540</v>
      </c>
      <c r="H4344" t="s">
        <v>5968</v>
      </c>
      <c r="I4344">
        <v>26</v>
      </c>
      <c r="J4344">
        <v>26</v>
      </c>
      <c r="K4344">
        <v>0</v>
      </c>
      <c r="L4344">
        <v>0</v>
      </c>
      <c r="M4344">
        <v>0</v>
      </c>
      <c r="N4344">
        <v>0</v>
      </c>
      <c r="O4344">
        <v>0</v>
      </c>
    </row>
    <row r="4345" spans="1:15" x14ac:dyDescent="0.25">
      <c r="A4345" t="s">
        <v>9886</v>
      </c>
      <c r="B4345" t="s">
        <v>2623</v>
      </c>
      <c r="C4345" t="s">
        <v>923</v>
      </c>
      <c r="D4345" t="s">
        <v>3063</v>
      </c>
      <c r="E4345" t="s">
        <v>3053</v>
      </c>
      <c r="F4345" t="s">
        <v>539</v>
      </c>
      <c r="G4345" t="s">
        <v>540</v>
      </c>
      <c r="H4345" t="s">
        <v>10518</v>
      </c>
      <c r="I4345">
        <v>146</v>
      </c>
      <c r="J4345">
        <v>0</v>
      </c>
      <c r="K4345">
        <v>0</v>
      </c>
      <c r="L4345">
        <v>146</v>
      </c>
      <c r="M4345">
        <v>0</v>
      </c>
      <c r="N4345">
        <v>0</v>
      </c>
      <c r="O4345">
        <v>0</v>
      </c>
    </row>
    <row r="4346" spans="1:15" x14ac:dyDescent="0.25">
      <c r="A4346" t="s">
        <v>1195</v>
      </c>
      <c r="B4346" t="s">
        <v>2924</v>
      </c>
      <c r="C4346" t="s">
        <v>927</v>
      </c>
      <c r="D4346" t="s">
        <v>3052</v>
      </c>
      <c r="E4346" t="s">
        <v>3053</v>
      </c>
      <c r="F4346" t="s">
        <v>541</v>
      </c>
      <c r="G4346" t="s">
        <v>542</v>
      </c>
      <c r="H4346" t="s">
        <v>5969</v>
      </c>
      <c r="I4346">
        <v>53</v>
      </c>
      <c r="J4346">
        <v>34</v>
      </c>
      <c r="K4346">
        <v>0</v>
      </c>
      <c r="L4346">
        <v>0</v>
      </c>
      <c r="M4346">
        <v>0</v>
      </c>
      <c r="N4346">
        <v>0</v>
      </c>
      <c r="O4346">
        <v>19</v>
      </c>
    </row>
    <row r="4347" spans="1:15" x14ac:dyDescent="0.25">
      <c r="A4347" t="s">
        <v>929</v>
      </c>
      <c r="B4347" t="s">
        <v>2999</v>
      </c>
      <c r="C4347" t="s">
        <v>927</v>
      </c>
      <c r="D4347" t="s">
        <v>3052</v>
      </c>
      <c r="E4347" t="s">
        <v>3053</v>
      </c>
      <c r="F4347" t="s">
        <v>541</v>
      </c>
      <c r="G4347" t="s">
        <v>542</v>
      </c>
      <c r="H4347" t="s">
        <v>5970</v>
      </c>
      <c r="I4347">
        <v>102</v>
      </c>
      <c r="J4347">
        <v>0</v>
      </c>
      <c r="K4347">
        <v>0</v>
      </c>
      <c r="L4347">
        <v>0</v>
      </c>
      <c r="M4347">
        <v>102</v>
      </c>
      <c r="N4347">
        <v>0</v>
      </c>
      <c r="O4347">
        <v>0</v>
      </c>
    </row>
    <row r="4348" spans="1:15" x14ac:dyDescent="0.25">
      <c r="A4348" t="s">
        <v>1087</v>
      </c>
      <c r="B4348" t="s">
        <v>2979</v>
      </c>
      <c r="C4348" t="s">
        <v>923</v>
      </c>
      <c r="D4348" t="s">
        <v>3063</v>
      </c>
      <c r="E4348" t="s">
        <v>3053</v>
      </c>
      <c r="F4348" t="s">
        <v>541</v>
      </c>
      <c r="G4348" t="s">
        <v>542</v>
      </c>
      <c r="H4348" t="s">
        <v>5971</v>
      </c>
      <c r="I4348">
        <v>30</v>
      </c>
      <c r="J4348">
        <v>30</v>
      </c>
      <c r="K4348">
        <v>0</v>
      </c>
      <c r="L4348">
        <v>0</v>
      </c>
      <c r="M4348">
        <v>0</v>
      </c>
      <c r="N4348">
        <v>21</v>
      </c>
      <c r="O4348">
        <v>0</v>
      </c>
    </row>
    <row r="4349" spans="1:15" x14ac:dyDescent="0.25">
      <c r="A4349" t="s">
        <v>1218</v>
      </c>
      <c r="B4349" t="s">
        <v>2565</v>
      </c>
      <c r="C4349" t="s">
        <v>927</v>
      </c>
      <c r="D4349" t="s">
        <v>3052</v>
      </c>
      <c r="E4349" t="s">
        <v>3053</v>
      </c>
      <c r="F4349" t="s">
        <v>541</v>
      </c>
      <c r="G4349" t="s">
        <v>542</v>
      </c>
      <c r="H4349" t="s">
        <v>5972</v>
      </c>
      <c r="I4349">
        <v>10</v>
      </c>
      <c r="J4349">
        <v>0</v>
      </c>
      <c r="K4349">
        <v>0</v>
      </c>
      <c r="L4349">
        <v>10</v>
      </c>
      <c r="M4349">
        <v>0</v>
      </c>
      <c r="N4349">
        <v>0</v>
      </c>
      <c r="O4349">
        <v>0</v>
      </c>
    </row>
    <row r="4350" spans="1:15" x14ac:dyDescent="0.25">
      <c r="A4350" t="s">
        <v>933</v>
      </c>
      <c r="B4350" t="s">
        <v>2106</v>
      </c>
      <c r="C4350" t="s">
        <v>927</v>
      </c>
      <c r="D4350" t="s">
        <v>3052</v>
      </c>
      <c r="E4350" t="s">
        <v>3053</v>
      </c>
      <c r="F4350" t="s">
        <v>541</v>
      </c>
      <c r="G4350" t="s">
        <v>542</v>
      </c>
      <c r="H4350" t="s">
        <v>5973</v>
      </c>
      <c r="I4350">
        <v>905</v>
      </c>
      <c r="J4350">
        <v>710</v>
      </c>
      <c r="K4350">
        <v>0</v>
      </c>
      <c r="L4350">
        <v>1</v>
      </c>
      <c r="M4350">
        <v>122</v>
      </c>
      <c r="N4350">
        <v>17</v>
      </c>
      <c r="O4350">
        <v>72</v>
      </c>
    </row>
    <row r="4351" spans="1:15" x14ac:dyDescent="0.25">
      <c r="A4351" t="s">
        <v>1243</v>
      </c>
      <c r="B4351" t="s">
        <v>2634</v>
      </c>
      <c r="C4351" t="s">
        <v>923</v>
      </c>
      <c r="D4351" t="s">
        <v>3063</v>
      </c>
      <c r="E4351" t="s">
        <v>3053</v>
      </c>
      <c r="F4351" t="s">
        <v>541</v>
      </c>
      <c r="G4351" t="s">
        <v>542</v>
      </c>
      <c r="H4351" t="s">
        <v>5974</v>
      </c>
      <c r="I4351">
        <v>24</v>
      </c>
      <c r="J4351">
        <v>0</v>
      </c>
      <c r="K4351">
        <v>0</v>
      </c>
      <c r="L4351">
        <v>24</v>
      </c>
      <c r="M4351">
        <v>0</v>
      </c>
      <c r="N4351">
        <v>0</v>
      </c>
      <c r="O4351">
        <v>0</v>
      </c>
    </row>
    <row r="4352" spans="1:15" x14ac:dyDescent="0.25">
      <c r="A4352" t="s">
        <v>1008</v>
      </c>
      <c r="B4352" t="s">
        <v>2928</v>
      </c>
      <c r="C4352" t="s">
        <v>927</v>
      </c>
      <c r="D4352" t="s">
        <v>3052</v>
      </c>
      <c r="E4352" t="s">
        <v>3053</v>
      </c>
      <c r="F4352" t="s">
        <v>541</v>
      </c>
      <c r="G4352" t="s">
        <v>542</v>
      </c>
      <c r="H4352" t="s">
        <v>5975</v>
      </c>
      <c r="I4352">
        <v>5</v>
      </c>
      <c r="J4352">
        <v>5</v>
      </c>
      <c r="K4352">
        <v>0</v>
      </c>
      <c r="L4352">
        <v>0</v>
      </c>
      <c r="M4352">
        <v>0</v>
      </c>
      <c r="N4352">
        <v>0</v>
      </c>
      <c r="O4352">
        <v>0</v>
      </c>
    </row>
    <row r="4353" spans="1:15" x14ac:dyDescent="0.25">
      <c r="A4353" t="s">
        <v>1259</v>
      </c>
      <c r="B4353" t="s">
        <v>2350</v>
      </c>
      <c r="C4353" t="s">
        <v>923</v>
      </c>
      <c r="D4353" t="s">
        <v>3063</v>
      </c>
      <c r="E4353" t="s">
        <v>3053</v>
      </c>
      <c r="F4353" t="s">
        <v>541</v>
      </c>
      <c r="G4353" t="s">
        <v>542</v>
      </c>
      <c r="H4353" t="s">
        <v>5976</v>
      </c>
      <c r="I4353">
        <v>49</v>
      </c>
      <c r="J4353">
        <v>0</v>
      </c>
      <c r="K4353">
        <v>0</v>
      </c>
      <c r="L4353">
        <v>0</v>
      </c>
      <c r="M4353">
        <v>49</v>
      </c>
      <c r="N4353">
        <v>0</v>
      </c>
      <c r="O4353">
        <v>0</v>
      </c>
    </row>
    <row r="4354" spans="1:15" x14ac:dyDescent="0.25">
      <c r="A4354" t="s">
        <v>1273</v>
      </c>
      <c r="B4354" t="s">
        <v>2709</v>
      </c>
      <c r="C4354" t="s">
        <v>923</v>
      </c>
      <c r="D4354" t="s">
        <v>3063</v>
      </c>
      <c r="E4354" t="s">
        <v>3053</v>
      </c>
      <c r="F4354" t="s">
        <v>541</v>
      </c>
      <c r="G4354" t="s">
        <v>542</v>
      </c>
      <c r="H4354" t="s">
        <v>5977</v>
      </c>
      <c r="I4354">
        <v>188</v>
      </c>
      <c r="J4354">
        <v>188</v>
      </c>
      <c r="K4354">
        <v>0</v>
      </c>
      <c r="L4354">
        <v>0</v>
      </c>
      <c r="M4354">
        <v>0</v>
      </c>
      <c r="N4354">
        <v>63</v>
      </c>
      <c r="O4354">
        <v>0</v>
      </c>
    </row>
    <row r="4355" spans="1:15" x14ac:dyDescent="0.25">
      <c r="A4355" t="s">
        <v>14386</v>
      </c>
      <c r="B4355" t="s">
        <v>2975</v>
      </c>
      <c r="C4355" t="s">
        <v>927</v>
      </c>
      <c r="D4355" t="s">
        <v>3052</v>
      </c>
      <c r="E4355" t="s">
        <v>3053</v>
      </c>
      <c r="F4355" t="s">
        <v>541</v>
      </c>
      <c r="G4355" t="s">
        <v>542</v>
      </c>
      <c r="H4355" t="s">
        <v>14845</v>
      </c>
      <c r="I4355">
        <v>6</v>
      </c>
      <c r="J4355">
        <v>6</v>
      </c>
      <c r="K4355">
        <v>0</v>
      </c>
      <c r="L4355">
        <v>0</v>
      </c>
      <c r="M4355">
        <v>0</v>
      </c>
      <c r="N4355">
        <v>0</v>
      </c>
      <c r="O4355">
        <v>0</v>
      </c>
    </row>
    <row r="4356" spans="1:15" x14ac:dyDescent="0.25">
      <c r="A4356" t="s">
        <v>1025</v>
      </c>
      <c r="B4356" t="s">
        <v>2893</v>
      </c>
      <c r="C4356" t="s">
        <v>927</v>
      </c>
      <c r="D4356" t="s">
        <v>3052</v>
      </c>
      <c r="E4356" t="s">
        <v>3053</v>
      </c>
      <c r="F4356" t="s">
        <v>541</v>
      </c>
      <c r="G4356" t="s">
        <v>542</v>
      </c>
      <c r="H4356" t="s">
        <v>5978</v>
      </c>
      <c r="I4356">
        <v>310</v>
      </c>
      <c r="J4356">
        <v>288</v>
      </c>
      <c r="K4356">
        <v>2</v>
      </c>
      <c r="L4356">
        <v>20</v>
      </c>
      <c r="M4356">
        <v>0</v>
      </c>
      <c r="N4356">
        <v>50</v>
      </c>
      <c r="O4356">
        <v>0</v>
      </c>
    </row>
    <row r="4357" spans="1:15" x14ac:dyDescent="0.25">
      <c r="A4357" t="s">
        <v>1293</v>
      </c>
      <c r="B4357" t="s">
        <v>2910</v>
      </c>
      <c r="C4357" t="s">
        <v>927</v>
      </c>
      <c r="D4357" t="s">
        <v>3052</v>
      </c>
      <c r="E4357" t="s">
        <v>3053</v>
      </c>
      <c r="F4357" t="s">
        <v>541</v>
      </c>
      <c r="G4357" t="s">
        <v>542</v>
      </c>
      <c r="H4357" t="s">
        <v>5979</v>
      </c>
      <c r="I4357">
        <v>118</v>
      </c>
      <c r="J4357">
        <v>0</v>
      </c>
      <c r="K4357">
        <v>0</v>
      </c>
      <c r="L4357">
        <v>118</v>
      </c>
      <c r="M4357">
        <v>0</v>
      </c>
      <c r="N4357">
        <v>0</v>
      </c>
      <c r="O4357">
        <v>0</v>
      </c>
    </row>
    <row r="4358" spans="1:15" x14ac:dyDescent="0.25">
      <c r="A4358" t="s">
        <v>943</v>
      </c>
      <c r="B4358" t="s">
        <v>2694</v>
      </c>
      <c r="C4358" t="s">
        <v>927</v>
      </c>
      <c r="D4358" t="s">
        <v>3052</v>
      </c>
      <c r="E4358" t="s">
        <v>3053</v>
      </c>
      <c r="F4358" t="s">
        <v>541</v>
      </c>
      <c r="G4358" t="s">
        <v>542</v>
      </c>
      <c r="H4358" t="s">
        <v>5980</v>
      </c>
      <c r="I4358">
        <v>11</v>
      </c>
      <c r="J4358">
        <v>0</v>
      </c>
      <c r="K4358">
        <v>0</v>
      </c>
      <c r="L4358">
        <v>11</v>
      </c>
      <c r="M4358">
        <v>0</v>
      </c>
      <c r="N4358">
        <v>0</v>
      </c>
      <c r="O4358">
        <v>0</v>
      </c>
    </row>
    <row r="4359" spans="1:15" x14ac:dyDescent="0.25">
      <c r="A4359" t="s">
        <v>1308</v>
      </c>
      <c r="B4359" t="s">
        <v>2462</v>
      </c>
      <c r="C4359" t="s">
        <v>923</v>
      </c>
      <c r="D4359" t="s">
        <v>3063</v>
      </c>
      <c r="E4359" t="s">
        <v>3053</v>
      </c>
      <c r="F4359" t="s">
        <v>541</v>
      </c>
      <c r="G4359" t="s">
        <v>542</v>
      </c>
      <c r="H4359" t="s">
        <v>5981</v>
      </c>
      <c r="I4359">
        <v>17</v>
      </c>
      <c r="J4359">
        <v>17</v>
      </c>
      <c r="K4359">
        <v>0</v>
      </c>
      <c r="L4359">
        <v>0</v>
      </c>
      <c r="M4359">
        <v>0</v>
      </c>
      <c r="N4359">
        <v>0</v>
      </c>
      <c r="O4359">
        <v>0</v>
      </c>
    </row>
    <row r="4360" spans="1:15" x14ac:dyDescent="0.25">
      <c r="A4360" t="s">
        <v>1134</v>
      </c>
      <c r="B4360" t="s">
        <v>2118</v>
      </c>
      <c r="C4360" t="s">
        <v>927</v>
      </c>
      <c r="D4360" t="s">
        <v>3052</v>
      </c>
      <c r="E4360" t="s">
        <v>3053</v>
      </c>
      <c r="F4360" t="s">
        <v>541</v>
      </c>
      <c r="G4360" t="s">
        <v>542</v>
      </c>
      <c r="H4360" t="s">
        <v>5982</v>
      </c>
      <c r="I4360">
        <v>3715</v>
      </c>
      <c r="J4360">
        <v>3298</v>
      </c>
      <c r="K4360">
        <v>6</v>
      </c>
      <c r="L4360">
        <v>319</v>
      </c>
      <c r="M4360">
        <v>90</v>
      </c>
      <c r="N4360">
        <v>42</v>
      </c>
      <c r="O4360">
        <v>2</v>
      </c>
    </row>
    <row r="4361" spans="1:15" x14ac:dyDescent="0.25">
      <c r="A4361" t="s">
        <v>949</v>
      </c>
      <c r="B4361" t="s">
        <v>3035</v>
      </c>
      <c r="C4361" t="s">
        <v>927</v>
      </c>
      <c r="D4361" t="s">
        <v>3052</v>
      </c>
      <c r="E4361" t="s">
        <v>3053</v>
      </c>
      <c r="F4361" t="s">
        <v>541</v>
      </c>
      <c r="G4361" t="s">
        <v>542</v>
      </c>
      <c r="H4361" t="s">
        <v>5983</v>
      </c>
      <c r="I4361">
        <v>322</v>
      </c>
      <c r="J4361">
        <v>0</v>
      </c>
      <c r="K4361">
        <v>0</v>
      </c>
      <c r="L4361">
        <v>0</v>
      </c>
      <c r="M4361">
        <v>0</v>
      </c>
      <c r="N4361">
        <v>0</v>
      </c>
      <c r="O4361">
        <v>322</v>
      </c>
    </row>
    <row r="4362" spans="1:15" x14ac:dyDescent="0.25">
      <c r="A4362" t="s">
        <v>1135</v>
      </c>
      <c r="B4362" t="s">
        <v>1996</v>
      </c>
      <c r="C4362" t="s">
        <v>923</v>
      </c>
      <c r="D4362" t="s">
        <v>3063</v>
      </c>
      <c r="E4362" t="s">
        <v>3053</v>
      </c>
      <c r="F4362" t="s">
        <v>541</v>
      </c>
      <c r="G4362" t="s">
        <v>542</v>
      </c>
      <c r="H4362" t="s">
        <v>14846</v>
      </c>
      <c r="I4362">
        <v>22</v>
      </c>
      <c r="J4362">
        <v>22</v>
      </c>
      <c r="K4362">
        <v>0</v>
      </c>
      <c r="L4362">
        <v>0</v>
      </c>
      <c r="M4362">
        <v>0</v>
      </c>
      <c r="N4362">
        <v>0</v>
      </c>
      <c r="O4362">
        <v>0</v>
      </c>
    </row>
    <row r="4363" spans="1:15" x14ac:dyDescent="0.25">
      <c r="A4363" t="s">
        <v>1309</v>
      </c>
      <c r="B4363" t="s">
        <v>2690</v>
      </c>
      <c r="C4363" t="s">
        <v>927</v>
      </c>
      <c r="D4363" t="s">
        <v>3052</v>
      </c>
      <c r="E4363" t="s">
        <v>3053</v>
      </c>
      <c r="F4363" t="s">
        <v>541</v>
      </c>
      <c r="G4363" t="s">
        <v>542</v>
      </c>
      <c r="H4363" t="s">
        <v>5984</v>
      </c>
      <c r="I4363">
        <v>1204</v>
      </c>
      <c r="J4363">
        <v>880</v>
      </c>
      <c r="K4363">
        <v>72</v>
      </c>
      <c r="L4363">
        <v>137</v>
      </c>
      <c r="M4363">
        <v>101</v>
      </c>
      <c r="N4363">
        <v>3</v>
      </c>
      <c r="O4363">
        <v>14</v>
      </c>
    </row>
    <row r="4364" spans="1:15" x14ac:dyDescent="0.25">
      <c r="A4364" t="s">
        <v>1146</v>
      </c>
      <c r="B4364" t="s">
        <v>2117</v>
      </c>
      <c r="C4364" t="s">
        <v>927</v>
      </c>
      <c r="D4364" t="s">
        <v>3052</v>
      </c>
      <c r="E4364" t="s">
        <v>3053</v>
      </c>
      <c r="F4364" t="s">
        <v>541</v>
      </c>
      <c r="G4364" t="s">
        <v>542</v>
      </c>
      <c r="H4364" t="s">
        <v>5985</v>
      </c>
      <c r="I4364">
        <v>3607</v>
      </c>
      <c r="J4364">
        <v>3192</v>
      </c>
      <c r="K4364">
        <v>0</v>
      </c>
      <c r="L4364">
        <v>127</v>
      </c>
      <c r="M4364">
        <v>205</v>
      </c>
      <c r="N4364">
        <v>10</v>
      </c>
      <c r="O4364">
        <v>83</v>
      </c>
    </row>
    <row r="4365" spans="1:15" x14ac:dyDescent="0.25">
      <c r="A4365" t="s">
        <v>951</v>
      </c>
      <c r="B4365" t="s">
        <v>2680</v>
      </c>
      <c r="C4365" t="s">
        <v>927</v>
      </c>
      <c r="D4365" t="s">
        <v>3052</v>
      </c>
      <c r="E4365" t="s">
        <v>3053</v>
      </c>
      <c r="F4365" t="s">
        <v>541</v>
      </c>
      <c r="G4365" t="s">
        <v>542</v>
      </c>
      <c r="H4365" t="s">
        <v>5986</v>
      </c>
      <c r="I4365">
        <v>13</v>
      </c>
      <c r="J4365">
        <v>10</v>
      </c>
      <c r="K4365">
        <v>0</v>
      </c>
      <c r="L4365">
        <v>0</v>
      </c>
      <c r="M4365">
        <v>0</v>
      </c>
      <c r="N4365">
        <v>0</v>
      </c>
      <c r="O4365">
        <v>3</v>
      </c>
    </row>
    <row r="4366" spans="1:15" x14ac:dyDescent="0.25">
      <c r="A4366" t="s">
        <v>1056</v>
      </c>
      <c r="B4366" t="s">
        <v>2966</v>
      </c>
      <c r="C4366" t="s">
        <v>927</v>
      </c>
      <c r="D4366" t="s">
        <v>3052</v>
      </c>
      <c r="E4366" t="s">
        <v>3053</v>
      </c>
      <c r="F4366" t="s">
        <v>541</v>
      </c>
      <c r="G4366" t="s">
        <v>542</v>
      </c>
      <c r="H4366" t="s">
        <v>5987</v>
      </c>
      <c r="I4366">
        <v>26</v>
      </c>
      <c r="J4366">
        <v>0</v>
      </c>
      <c r="K4366">
        <v>0</v>
      </c>
      <c r="L4366">
        <v>26</v>
      </c>
      <c r="M4366">
        <v>0</v>
      </c>
      <c r="N4366">
        <v>0</v>
      </c>
      <c r="O4366">
        <v>0</v>
      </c>
    </row>
    <row r="4367" spans="1:15" x14ac:dyDescent="0.25">
      <c r="A4367" t="s">
        <v>955</v>
      </c>
      <c r="B4367" t="s">
        <v>2660</v>
      </c>
      <c r="C4367" t="s">
        <v>927</v>
      </c>
      <c r="D4367" t="s">
        <v>3052</v>
      </c>
      <c r="E4367" t="s">
        <v>3053</v>
      </c>
      <c r="F4367" t="s">
        <v>541</v>
      </c>
      <c r="G4367" t="s">
        <v>542</v>
      </c>
      <c r="H4367" t="s">
        <v>5988</v>
      </c>
      <c r="I4367">
        <v>44</v>
      </c>
      <c r="J4367">
        <v>44</v>
      </c>
      <c r="K4367">
        <v>0</v>
      </c>
      <c r="L4367">
        <v>0</v>
      </c>
      <c r="M4367">
        <v>0</v>
      </c>
      <c r="N4367">
        <v>2</v>
      </c>
      <c r="O4367">
        <v>0</v>
      </c>
    </row>
    <row r="4368" spans="1:15" x14ac:dyDescent="0.25">
      <c r="A4368" t="s">
        <v>1155</v>
      </c>
      <c r="B4368" t="s">
        <v>2912</v>
      </c>
      <c r="C4368" t="s">
        <v>927</v>
      </c>
      <c r="D4368" t="s">
        <v>3052</v>
      </c>
      <c r="E4368" t="s">
        <v>3053</v>
      </c>
      <c r="F4368" t="s">
        <v>541</v>
      </c>
      <c r="G4368" t="s">
        <v>542</v>
      </c>
      <c r="H4368" t="s">
        <v>5989</v>
      </c>
      <c r="I4368">
        <v>81</v>
      </c>
      <c r="J4368">
        <v>79</v>
      </c>
      <c r="K4368">
        <v>0</v>
      </c>
      <c r="L4368">
        <v>0</v>
      </c>
      <c r="M4368">
        <v>0</v>
      </c>
      <c r="N4368">
        <v>3</v>
      </c>
      <c r="O4368">
        <v>2</v>
      </c>
    </row>
    <row r="4369" spans="1:15" x14ac:dyDescent="0.25">
      <c r="A4369" t="s">
        <v>11663</v>
      </c>
      <c r="B4369" t="s">
        <v>11768</v>
      </c>
      <c r="C4369" t="s">
        <v>927</v>
      </c>
      <c r="D4369" t="s">
        <v>3052</v>
      </c>
      <c r="E4369" t="s">
        <v>3053</v>
      </c>
      <c r="F4369" t="s">
        <v>541</v>
      </c>
      <c r="G4369" t="s">
        <v>542</v>
      </c>
      <c r="H4369" t="s">
        <v>12122</v>
      </c>
      <c r="I4369">
        <v>909</v>
      </c>
      <c r="J4369">
        <v>697</v>
      </c>
      <c r="K4369">
        <v>122</v>
      </c>
      <c r="L4369">
        <v>21</v>
      </c>
      <c r="M4369">
        <v>69</v>
      </c>
      <c r="N4369">
        <v>1</v>
      </c>
      <c r="O4369">
        <v>0</v>
      </c>
    </row>
    <row r="4370" spans="1:15" x14ac:dyDescent="0.25">
      <c r="A4370" t="s">
        <v>14380</v>
      </c>
      <c r="B4370" t="s">
        <v>2074</v>
      </c>
      <c r="C4370" t="s">
        <v>927</v>
      </c>
      <c r="D4370" t="s">
        <v>3052</v>
      </c>
      <c r="E4370" t="s">
        <v>3053</v>
      </c>
      <c r="F4370" t="s">
        <v>541</v>
      </c>
      <c r="G4370" t="s">
        <v>542</v>
      </c>
      <c r="H4370" t="s">
        <v>14847</v>
      </c>
      <c r="I4370">
        <v>147</v>
      </c>
      <c r="J4370">
        <v>144</v>
      </c>
      <c r="K4370">
        <v>0</v>
      </c>
      <c r="L4370">
        <v>0</v>
      </c>
      <c r="M4370">
        <v>0</v>
      </c>
      <c r="N4370">
        <v>1</v>
      </c>
      <c r="O4370">
        <v>3</v>
      </c>
    </row>
    <row r="4371" spans="1:15" x14ac:dyDescent="0.25">
      <c r="A4371" t="s">
        <v>1344</v>
      </c>
      <c r="B4371" t="s">
        <v>2957</v>
      </c>
      <c r="C4371" t="s">
        <v>923</v>
      </c>
      <c r="D4371" t="s">
        <v>3063</v>
      </c>
      <c r="E4371" t="s">
        <v>3053</v>
      </c>
      <c r="F4371" t="s">
        <v>541</v>
      </c>
      <c r="G4371" t="s">
        <v>542</v>
      </c>
      <c r="H4371" t="s">
        <v>5990</v>
      </c>
      <c r="I4371">
        <v>24</v>
      </c>
      <c r="J4371">
        <v>0</v>
      </c>
      <c r="K4371">
        <v>0</v>
      </c>
      <c r="L4371">
        <v>24</v>
      </c>
      <c r="M4371">
        <v>0</v>
      </c>
      <c r="N4371">
        <v>0</v>
      </c>
      <c r="O4371">
        <v>0</v>
      </c>
    </row>
    <row r="4372" spans="1:15" x14ac:dyDescent="0.25">
      <c r="A4372" t="s">
        <v>1346</v>
      </c>
      <c r="B4372" t="s">
        <v>2283</v>
      </c>
      <c r="C4372" t="s">
        <v>923</v>
      </c>
      <c r="D4372" t="s">
        <v>3063</v>
      </c>
      <c r="E4372" t="s">
        <v>3053</v>
      </c>
      <c r="F4372" t="s">
        <v>541</v>
      </c>
      <c r="G4372" t="s">
        <v>542</v>
      </c>
      <c r="H4372" t="s">
        <v>5991</v>
      </c>
      <c r="I4372">
        <v>10</v>
      </c>
      <c r="J4372">
        <v>0</v>
      </c>
      <c r="K4372">
        <v>0</v>
      </c>
      <c r="L4372">
        <v>0</v>
      </c>
      <c r="M4372">
        <v>10</v>
      </c>
      <c r="N4372">
        <v>0</v>
      </c>
      <c r="O4372">
        <v>0</v>
      </c>
    </row>
    <row r="4373" spans="1:15" x14ac:dyDescent="0.25">
      <c r="A4373" t="s">
        <v>1158</v>
      </c>
      <c r="B4373" t="s">
        <v>2922</v>
      </c>
      <c r="C4373" t="s">
        <v>927</v>
      </c>
      <c r="D4373" t="s">
        <v>3052</v>
      </c>
      <c r="E4373" t="s">
        <v>3053</v>
      </c>
      <c r="F4373" t="s">
        <v>541</v>
      </c>
      <c r="G4373" t="s">
        <v>542</v>
      </c>
      <c r="H4373" t="s">
        <v>5992</v>
      </c>
      <c r="I4373">
        <v>74</v>
      </c>
      <c r="J4373">
        <v>0</v>
      </c>
      <c r="K4373">
        <v>0</v>
      </c>
      <c r="L4373">
        <v>74</v>
      </c>
      <c r="M4373">
        <v>0</v>
      </c>
      <c r="N4373">
        <v>0</v>
      </c>
      <c r="O4373">
        <v>0</v>
      </c>
    </row>
    <row r="4374" spans="1:15" x14ac:dyDescent="0.25">
      <c r="A4374" t="s">
        <v>1170</v>
      </c>
      <c r="B4374" t="s">
        <v>2968</v>
      </c>
      <c r="C4374" t="s">
        <v>923</v>
      </c>
      <c r="D4374" t="s">
        <v>3063</v>
      </c>
      <c r="E4374" t="s">
        <v>3053</v>
      </c>
      <c r="F4374" t="s">
        <v>541</v>
      </c>
      <c r="G4374" t="s">
        <v>542</v>
      </c>
      <c r="H4374" t="s">
        <v>5993</v>
      </c>
      <c r="I4374">
        <v>19</v>
      </c>
      <c r="J4374">
        <v>0</v>
      </c>
      <c r="K4374">
        <v>0</v>
      </c>
      <c r="L4374">
        <v>19</v>
      </c>
      <c r="M4374">
        <v>0</v>
      </c>
      <c r="N4374">
        <v>0</v>
      </c>
      <c r="O4374">
        <v>0</v>
      </c>
    </row>
    <row r="4375" spans="1:15" x14ac:dyDescent="0.25">
      <c r="A4375" t="s">
        <v>1069</v>
      </c>
      <c r="B4375" t="s">
        <v>2001</v>
      </c>
      <c r="C4375" t="s">
        <v>927</v>
      </c>
      <c r="D4375" t="s">
        <v>3052</v>
      </c>
      <c r="E4375" t="s">
        <v>3053</v>
      </c>
      <c r="F4375" t="s">
        <v>541</v>
      </c>
      <c r="G4375" t="s">
        <v>542</v>
      </c>
      <c r="H4375" t="s">
        <v>5994</v>
      </c>
      <c r="I4375">
        <v>384</v>
      </c>
      <c r="J4375">
        <v>384</v>
      </c>
      <c r="K4375">
        <v>0</v>
      </c>
      <c r="L4375">
        <v>0</v>
      </c>
      <c r="M4375">
        <v>0</v>
      </c>
      <c r="N4375">
        <v>0</v>
      </c>
      <c r="O4375">
        <v>0</v>
      </c>
    </row>
    <row r="4376" spans="1:15" x14ac:dyDescent="0.25">
      <c r="A4376" t="s">
        <v>1071</v>
      </c>
      <c r="B4376" t="s">
        <v>2571</v>
      </c>
      <c r="C4376" t="s">
        <v>923</v>
      </c>
      <c r="D4376" t="s">
        <v>3063</v>
      </c>
      <c r="E4376" t="s">
        <v>3053</v>
      </c>
      <c r="F4376" t="s">
        <v>541</v>
      </c>
      <c r="G4376" t="s">
        <v>542</v>
      </c>
      <c r="H4376" t="s">
        <v>5995</v>
      </c>
      <c r="I4376">
        <v>22</v>
      </c>
      <c r="J4376">
        <v>0</v>
      </c>
      <c r="K4376">
        <v>0</v>
      </c>
      <c r="L4376">
        <v>22</v>
      </c>
      <c r="M4376">
        <v>0</v>
      </c>
      <c r="N4376">
        <v>0</v>
      </c>
      <c r="O4376">
        <v>0</v>
      </c>
    </row>
    <row r="4377" spans="1:15" x14ac:dyDescent="0.25">
      <c r="A4377" t="s">
        <v>1182</v>
      </c>
      <c r="B4377" t="s">
        <v>2583</v>
      </c>
      <c r="C4377" t="s">
        <v>923</v>
      </c>
      <c r="D4377" t="s">
        <v>3063</v>
      </c>
      <c r="E4377" t="s">
        <v>3053</v>
      </c>
      <c r="F4377" t="s">
        <v>541</v>
      </c>
      <c r="G4377" t="s">
        <v>542</v>
      </c>
      <c r="H4377" t="s">
        <v>5996</v>
      </c>
      <c r="I4377">
        <v>22</v>
      </c>
      <c r="J4377">
        <v>0</v>
      </c>
      <c r="K4377">
        <v>0</v>
      </c>
      <c r="L4377">
        <v>22</v>
      </c>
      <c r="M4377">
        <v>0</v>
      </c>
      <c r="N4377">
        <v>0</v>
      </c>
      <c r="O4377">
        <v>0</v>
      </c>
    </row>
    <row r="4378" spans="1:15" x14ac:dyDescent="0.25">
      <c r="A4378" t="s">
        <v>1390</v>
      </c>
      <c r="B4378" t="s">
        <v>2978</v>
      </c>
      <c r="C4378" t="s">
        <v>923</v>
      </c>
      <c r="D4378" t="s">
        <v>3063</v>
      </c>
      <c r="E4378" t="s">
        <v>3053</v>
      </c>
      <c r="F4378" t="s">
        <v>541</v>
      </c>
      <c r="G4378" t="s">
        <v>542</v>
      </c>
      <c r="H4378" t="s">
        <v>5997</v>
      </c>
      <c r="I4378">
        <v>148</v>
      </c>
      <c r="J4378">
        <v>108</v>
      </c>
      <c r="K4378">
        <v>0</v>
      </c>
      <c r="L4378">
        <v>40</v>
      </c>
      <c r="M4378">
        <v>0</v>
      </c>
      <c r="N4378">
        <v>0</v>
      </c>
      <c r="O4378">
        <v>0</v>
      </c>
    </row>
    <row r="4379" spans="1:15" x14ac:dyDescent="0.25">
      <c r="A4379" t="s">
        <v>1396</v>
      </c>
      <c r="B4379" t="s">
        <v>2750</v>
      </c>
      <c r="C4379" t="s">
        <v>923</v>
      </c>
      <c r="D4379" t="s">
        <v>3063</v>
      </c>
      <c r="E4379" t="s">
        <v>3053</v>
      </c>
      <c r="F4379" t="s">
        <v>541</v>
      </c>
      <c r="G4379" t="s">
        <v>542</v>
      </c>
      <c r="H4379" t="s">
        <v>5998</v>
      </c>
      <c r="I4379">
        <v>639</v>
      </c>
      <c r="J4379">
        <v>437</v>
      </c>
      <c r="K4379">
        <v>20</v>
      </c>
      <c r="L4379">
        <v>0</v>
      </c>
      <c r="M4379">
        <v>182</v>
      </c>
      <c r="N4379">
        <v>2</v>
      </c>
      <c r="O4379">
        <v>0</v>
      </c>
    </row>
    <row r="4380" spans="1:15" x14ac:dyDescent="0.25">
      <c r="A4380" t="s">
        <v>929</v>
      </c>
      <c r="B4380" t="s">
        <v>2999</v>
      </c>
      <c r="C4380" t="s">
        <v>927</v>
      </c>
      <c r="D4380" t="s">
        <v>3052</v>
      </c>
      <c r="E4380" t="s">
        <v>3053</v>
      </c>
      <c r="F4380" t="s">
        <v>543</v>
      </c>
      <c r="G4380" t="s">
        <v>544</v>
      </c>
      <c r="H4380" t="s">
        <v>5999</v>
      </c>
      <c r="I4380">
        <v>96</v>
      </c>
      <c r="J4380">
        <v>0</v>
      </c>
      <c r="K4380">
        <v>0</v>
      </c>
      <c r="L4380">
        <v>0</v>
      </c>
      <c r="M4380">
        <v>96</v>
      </c>
      <c r="N4380">
        <v>7</v>
      </c>
      <c r="O4380">
        <v>0</v>
      </c>
    </row>
    <row r="4381" spans="1:15" x14ac:dyDescent="0.25">
      <c r="A4381" t="s">
        <v>9790</v>
      </c>
      <c r="B4381" t="s">
        <v>1977</v>
      </c>
      <c r="C4381" t="s">
        <v>923</v>
      </c>
      <c r="D4381" t="s">
        <v>3063</v>
      </c>
      <c r="E4381" t="s">
        <v>3053</v>
      </c>
      <c r="F4381" t="s">
        <v>543</v>
      </c>
      <c r="G4381" t="s">
        <v>544</v>
      </c>
      <c r="H4381" t="s">
        <v>12123</v>
      </c>
      <c r="I4381">
        <v>19</v>
      </c>
      <c r="J4381">
        <v>0</v>
      </c>
      <c r="K4381">
        <v>0</v>
      </c>
      <c r="L4381">
        <v>19</v>
      </c>
      <c r="M4381">
        <v>0</v>
      </c>
      <c r="N4381">
        <v>0</v>
      </c>
      <c r="O4381">
        <v>0</v>
      </c>
    </row>
    <row r="4382" spans="1:15" x14ac:dyDescent="0.25">
      <c r="A4382" t="s">
        <v>1099</v>
      </c>
      <c r="B4382" t="s">
        <v>2641</v>
      </c>
      <c r="C4382" t="s">
        <v>927</v>
      </c>
      <c r="D4382" t="s">
        <v>3052</v>
      </c>
      <c r="E4382" t="s">
        <v>3053</v>
      </c>
      <c r="F4382" t="s">
        <v>543</v>
      </c>
      <c r="G4382" t="s">
        <v>544</v>
      </c>
      <c r="H4382" t="s">
        <v>6000</v>
      </c>
      <c r="I4382">
        <v>815</v>
      </c>
      <c r="J4382">
        <v>619</v>
      </c>
      <c r="K4382">
        <v>0</v>
      </c>
      <c r="L4382">
        <v>52</v>
      </c>
      <c r="M4382">
        <v>111</v>
      </c>
      <c r="N4382">
        <v>0</v>
      </c>
      <c r="O4382">
        <v>33</v>
      </c>
    </row>
    <row r="4383" spans="1:15" x14ac:dyDescent="0.25">
      <c r="A4383" t="s">
        <v>933</v>
      </c>
      <c r="B4383" t="s">
        <v>2106</v>
      </c>
      <c r="C4383" t="s">
        <v>927</v>
      </c>
      <c r="D4383" t="s">
        <v>3052</v>
      </c>
      <c r="E4383" t="s">
        <v>3053</v>
      </c>
      <c r="F4383" t="s">
        <v>543</v>
      </c>
      <c r="G4383" t="s">
        <v>544</v>
      </c>
      <c r="H4383" t="s">
        <v>6001</v>
      </c>
      <c r="I4383">
        <v>432</v>
      </c>
      <c r="J4383">
        <v>358</v>
      </c>
      <c r="K4383">
        <v>0</v>
      </c>
      <c r="L4383">
        <v>23</v>
      </c>
      <c r="M4383">
        <v>0</v>
      </c>
      <c r="N4383">
        <v>7</v>
      </c>
      <c r="O4383">
        <v>51</v>
      </c>
    </row>
    <row r="4384" spans="1:15" x14ac:dyDescent="0.25">
      <c r="A4384" t="s">
        <v>1000</v>
      </c>
      <c r="B4384" t="s">
        <v>1984</v>
      </c>
      <c r="C4384" t="s">
        <v>923</v>
      </c>
      <c r="D4384" t="s">
        <v>3063</v>
      </c>
      <c r="E4384" t="s">
        <v>3053</v>
      </c>
      <c r="F4384" t="s">
        <v>543</v>
      </c>
      <c r="G4384" t="s">
        <v>544</v>
      </c>
      <c r="H4384" t="s">
        <v>6002</v>
      </c>
      <c r="I4384">
        <v>13</v>
      </c>
      <c r="J4384">
        <v>0</v>
      </c>
      <c r="K4384">
        <v>0</v>
      </c>
      <c r="L4384">
        <v>13</v>
      </c>
      <c r="M4384">
        <v>0</v>
      </c>
      <c r="N4384">
        <v>0</v>
      </c>
      <c r="O4384">
        <v>0</v>
      </c>
    </row>
    <row r="4385" spans="1:15" x14ac:dyDescent="0.25">
      <c r="A4385" t="s">
        <v>1113</v>
      </c>
      <c r="B4385" t="s">
        <v>1953</v>
      </c>
      <c r="C4385" t="s">
        <v>927</v>
      </c>
      <c r="D4385" t="s">
        <v>3052</v>
      </c>
      <c r="E4385" t="s">
        <v>3053</v>
      </c>
      <c r="F4385" t="s">
        <v>543</v>
      </c>
      <c r="G4385" t="s">
        <v>544</v>
      </c>
      <c r="H4385" t="s">
        <v>6003</v>
      </c>
      <c r="I4385">
        <v>297</v>
      </c>
      <c r="J4385">
        <v>249</v>
      </c>
      <c r="K4385">
        <v>0</v>
      </c>
      <c r="L4385">
        <v>18</v>
      </c>
      <c r="M4385">
        <v>0</v>
      </c>
      <c r="N4385">
        <v>6</v>
      </c>
      <c r="O4385">
        <v>30</v>
      </c>
    </row>
    <row r="4386" spans="1:15" x14ac:dyDescent="0.25">
      <c r="A4386" t="s">
        <v>1114</v>
      </c>
      <c r="B4386" t="s">
        <v>2879</v>
      </c>
      <c r="C4386" t="s">
        <v>927</v>
      </c>
      <c r="D4386" t="s">
        <v>3052</v>
      </c>
      <c r="E4386" t="s">
        <v>3053</v>
      </c>
      <c r="F4386" t="s">
        <v>543</v>
      </c>
      <c r="G4386" t="s">
        <v>544</v>
      </c>
      <c r="H4386" t="s">
        <v>6004</v>
      </c>
      <c r="I4386">
        <v>6823</v>
      </c>
      <c r="J4386">
        <v>6148</v>
      </c>
      <c r="K4386">
        <v>22</v>
      </c>
      <c r="L4386">
        <v>26</v>
      </c>
      <c r="M4386">
        <v>567</v>
      </c>
      <c r="N4386">
        <v>76</v>
      </c>
      <c r="O4386">
        <v>60</v>
      </c>
    </row>
    <row r="4387" spans="1:15" x14ac:dyDescent="0.25">
      <c r="A4387" t="s">
        <v>1010</v>
      </c>
      <c r="B4387" t="s">
        <v>2639</v>
      </c>
      <c r="C4387" t="s">
        <v>927</v>
      </c>
      <c r="D4387" t="s">
        <v>3052</v>
      </c>
      <c r="E4387" t="s">
        <v>3053</v>
      </c>
      <c r="F4387" t="s">
        <v>543</v>
      </c>
      <c r="G4387" t="s">
        <v>544</v>
      </c>
      <c r="H4387" t="s">
        <v>6005</v>
      </c>
      <c r="I4387">
        <v>176</v>
      </c>
      <c r="J4387">
        <v>143</v>
      </c>
      <c r="K4387">
        <v>0</v>
      </c>
      <c r="L4387">
        <v>0</v>
      </c>
      <c r="M4387">
        <v>0</v>
      </c>
      <c r="N4387">
        <v>0</v>
      </c>
      <c r="O4387">
        <v>33</v>
      </c>
    </row>
    <row r="4388" spans="1:15" x14ac:dyDescent="0.25">
      <c r="A4388" t="s">
        <v>938</v>
      </c>
      <c r="B4388" t="s">
        <v>2791</v>
      </c>
      <c r="C4388" t="s">
        <v>927</v>
      </c>
      <c r="D4388" t="s">
        <v>3052</v>
      </c>
      <c r="E4388" t="s">
        <v>3053</v>
      </c>
      <c r="F4388" t="s">
        <v>543</v>
      </c>
      <c r="G4388" t="s">
        <v>544</v>
      </c>
      <c r="H4388" t="s">
        <v>14848</v>
      </c>
      <c r="I4388">
        <v>4</v>
      </c>
      <c r="J4388">
        <v>0</v>
      </c>
      <c r="K4388">
        <v>0</v>
      </c>
      <c r="L4388">
        <v>4</v>
      </c>
      <c r="M4388">
        <v>0</v>
      </c>
      <c r="N4388">
        <v>0</v>
      </c>
      <c r="O4388">
        <v>0</v>
      </c>
    </row>
    <row r="4389" spans="1:15" x14ac:dyDescent="0.25">
      <c r="A4389" t="s">
        <v>940</v>
      </c>
      <c r="B4389" t="s">
        <v>2647</v>
      </c>
      <c r="C4389" t="s">
        <v>927</v>
      </c>
      <c r="D4389" t="s">
        <v>3052</v>
      </c>
      <c r="E4389" t="s">
        <v>3053</v>
      </c>
      <c r="F4389" t="s">
        <v>543</v>
      </c>
      <c r="G4389" t="s">
        <v>544</v>
      </c>
      <c r="H4389" t="s">
        <v>6006</v>
      </c>
      <c r="I4389">
        <v>122</v>
      </c>
      <c r="J4389">
        <v>0</v>
      </c>
      <c r="K4389">
        <v>0</v>
      </c>
      <c r="L4389">
        <v>0</v>
      </c>
      <c r="M4389">
        <v>122</v>
      </c>
      <c r="N4389">
        <v>0</v>
      </c>
      <c r="O4389">
        <v>0</v>
      </c>
    </row>
    <row r="4390" spans="1:15" x14ac:dyDescent="0.25">
      <c r="A4390" t="s">
        <v>1023</v>
      </c>
      <c r="B4390" t="s">
        <v>2803</v>
      </c>
      <c r="C4390" t="s">
        <v>923</v>
      </c>
      <c r="D4390" t="s">
        <v>3063</v>
      </c>
      <c r="E4390" t="s">
        <v>3053</v>
      </c>
      <c r="F4390" t="s">
        <v>543</v>
      </c>
      <c r="G4390" t="s">
        <v>544</v>
      </c>
      <c r="H4390" t="s">
        <v>6007</v>
      </c>
      <c r="I4390">
        <v>8</v>
      </c>
      <c r="J4390">
        <v>8</v>
      </c>
      <c r="K4390">
        <v>0</v>
      </c>
      <c r="L4390">
        <v>0</v>
      </c>
      <c r="M4390">
        <v>0</v>
      </c>
      <c r="N4390">
        <v>0</v>
      </c>
      <c r="O4390">
        <v>0</v>
      </c>
    </row>
    <row r="4391" spans="1:15" x14ac:dyDescent="0.25">
      <c r="A4391" t="s">
        <v>1026</v>
      </c>
      <c r="B4391" t="s">
        <v>2848</v>
      </c>
      <c r="C4391" t="s">
        <v>927</v>
      </c>
      <c r="D4391" t="s">
        <v>3052</v>
      </c>
      <c r="E4391" t="s">
        <v>3053</v>
      </c>
      <c r="F4391" t="s">
        <v>543</v>
      </c>
      <c r="G4391" t="s">
        <v>544</v>
      </c>
      <c r="H4391" t="s">
        <v>6008</v>
      </c>
      <c r="I4391">
        <v>678</v>
      </c>
      <c r="J4391">
        <v>529</v>
      </c>
      <c r="K4391">
        <v>0</v>
      </c>
      <c r="L4391">
        <v>0</v>
      </c>
      <c r="M4391">
        <v>115</v>
      </c>
      <c r="N4391">
        <v>1</v>
      </c>
      <c r="O4391">
        <v>34</v>
      </c>
    </row>
    <row r="4392" spans="1:15" x14ac:dyDescent="0.25">
      <c r="A4392" t="s">
        <v>1031</v>
      </c>
      <c r="B4392" t="s">
        <v>2779</v>
      </c>
      <c r="C4392" t="s">
        <v>927</v>
      </c>
      <c r="D4392" t="s">
        <v>3052</v>
      </c>
      <c r="E4392" t="s">
        <v>3053</v>
      </c>
      <c r="F4392" t="s">
        <v>543</v>
      </c>
      <c r="G4392" t="s">
        <v>544</v>
      </c>
      <c r="H4392" t="s">
        <v>6009</v>
      </c>
      <c r="I4392">
        <v>3</v>
      </c>
      <c r="J4392">
        <v>0</v>
      </c>
      <c r="K4392">
        <v>0</v>
      </c>
      <c r="L4392">
        <v>3</v>
      </c>
      <c r="M4392">
        <v>0</v>
      </c>
      <c r="N4392">
        <v>0</v>
      </c>
      <c r="O4392">
        <v>0</v>
      </c>
    </row>
    <row r="4393" spans="1:15" x14ac:dyDescent="0.25">
      <c r="A4393" t="s">
        <v>1135</v>
      </c>
      <c r="B4393" t="s">
        <v>1996</v>
      </c>
      <c r="C4393" t="s">
        <v>923</v>
      </c>
      <c r="D4393" t="s">
        <v>3063</v>
      </c>
      <c r="E4393" t="s">
        <v>3053</v>
      </c>
      <c r="F4393" t="s">
        <v>543</v>
      </c>
      <c r="G4393" t="s">
        <v>544</v>
      </c>
      <c r="H4393" t="s">
        <v>12124</v>
      </c>
      <c r="I4393">
        <v>82</v>
      </c>
      <c r="J4393">
        <v>82</v>
      </c>
      <c r="K4393">
        <v>0</v>
      </c>
      <c r="L4393">
        <v>0</v>
      </c>
      <c r="M4393">
        <v>0</v>
      </c>
      <c r="N4393">
        <v>0</v>
      </c>
      <c r="O4393">
        <v>0</v>
      </c>
    </row>
    <row r="4394" spans="1:15" x14ac:dyDescent="0.25">
      <c r="A4394" t="s">
        <v>9787</v>
      </c>
      <c r="B4394" t="s">
        <v>2822</v>
      </c>
      <c r="C4394" t="s">
        <v>927</v>
      </c>
      <c r="D4394" t="s">
        <v>3052</v>
      </c>
      <c r="E4394" t="s">
        <v>3053</v>
      </c>
      <c r="F4394" t="s">
        <v>543</v>
      </c>
      <c r="G4394" t="s">
        <v>544</v>
      </c>
      <c r="H4394" t="s">
        <v>10261</v>
      </c>
      <c r="I4394">
        <v>72</v>
      </c>
      <c r="J4394">
        <v>72</v>
      </c>
      <c r="K4394">
        <v>0</v>
      </c>
      <c r="L4394">
        <v>0</v>
      </c>
      <c r="M4394">
        <v>0</v>
      </c>
      <c r="N4394">
        <v>0</v>
      </c>
      <c r="O4394">
        <v>0</v>
      </c>
    </row>
    <row r="4395" spans="1:15" x14ac:dyDescent="0.25">
      <c r="A4395" t="s">
        <v>951</v>
      </c>
      <c r="B4395" t="s">
        <v>2680</v>
      </c>
      <c r="C4395" t="s">
        <v>927</v>
      </c>
      <c r="D4395" t="s">
        <v>3052</v>
      </c>
      <c r="E4395" t="s">
        <v>3053</v>
      </c>
      <c r="F4395" t="s">
        <v>543</v>
      </c>
      <c r="G4395" t="s">
        <v>544</v>
      </c>
      <c r="H4395" t="s">
        <v>6010</v>
      </c>
      <c r="I4395">
        <v>71</v>
      </c>
      <c r="J4395">
        <v>71</v>
      </c>
      <c r="K4395">
        <v>0</v>
      </c>
      <c r="L4395">
        <v>0</v>
      </c>
      <c r="M4395">
        <v>0</v>
      </c>
      <c r="N4395">
        <v>0</v>
      </c>
      <c r="O4395">
        <v>0</v>
      </c>
    </row>
    <row r="4396" spans="1:15" x14ac:dyDescent="0.25">
      <c r="A4396" t="s">
        <v>1048</v>
      </c>
      <c r="B4396" t="s">
        <v>2989</v>
      </c>
      <c r="C4396" t="s">
        <v>927</v>
      </c>
      <c r="D4396" t="s">
        <v>3052</v>
      </c>
      <c r="E4396" t="s">
        <v>3053</v>
      </c>
      <c r="F4396" t="s">
        <v>543</v>
      </c>
      <c r="G4396" t="s">
        <v>544</v>
      </c>
      <c r="H4396" t="s">
        <v>12125</v>
      </c>
      <c r="I4396">
        <v>35</v>
      </c>
      <c r="J4396">
        <v>34</v>
      </c>
      <c r="K4396">
        <v>0</v>
      </c>
      <c r="L4396">
        <v>0</v>
      </c>
      <c r="M4396">
        <v>0</v>
      </c>
      <c r="N4396">
        <v>1</v>
      </c>
      <c r="O4396">
        <v>1</v>
      </c>
    </row>
    <row r="4397" spans="1:15" x14ac:dyDescent="0.25">
      <c r="A4397" t="s">
        <v>1051</v>
      </c>
      <c r="B4397" t="s">
        <v>2995</v>
      </c>
      <c r="C4397" t="s">
        <v>927</v>
      </c>
      <c r="D4397" t="s">
        <v>3052</v>
      </c>
      <c r="E4397" t="s">
        <v>3053</v>
      </c>
      <c r="F4397" t="s">
        <v>543</v>
      </c>
      <c r="G4397" t="s">
        <v>544</v>
      </c>
      <c r="H4397" t="s">
        <v>6011</v>
      </c>
      <c r="I4397">
        <v>24</v>
      </c>
      <c r="J4397">
        <v>0</v>
      </c>
      <c r="K4397">
        <v>0</v>
      </c>
      <c r="L4397">
        <v>24</v>
      </c>
      <c r="M4397">
        <v>0</v>
      </c>
      <c r="N4397">
        <v>0</v>
      </c>
      <c r="O4397">
        <v>0</v>
      </c>
    </row>
    <row r="4398" spans="1:15" x14ac:dyDescent="0.25">
      <c r="A4398" t="s">
        <v>953</v>
      </c>
      <c r="B4398" t="s">
        <v>2014</v>
      </c>
      <c r="C4398" t="s">
        <v>927</v>
      </c>
      <c r="D4398" t="s">
        <v>3052</v>
      </c>
      <c r="E4398" t="s">
        <v>3053</v>
      </c>
      <c r="F4398" t="s">
        <v>543</v>
      </c>
      <c r="G4398" t="s">
        <v>544</v>
      </c>
      <c r="H4398" t="s">
        <v>6012</v>
      </c>
      <c r="I4398">
        <v>18</v>
      </c>
      <c r="J4398">
        <v>0</v>
      </c>
      <c r="K4398">
        <v>0</v>
      </c>
      <c r="L4398">
        <v>18</v>
      </c>
      <c r="M4398">
        <v>0</v>
      </c>
      <c r="N4398">
        <v>0</v>
      </c>
      <c r="O4398">
        <v>0</v>
      </c>
    </row>
    <row r="4399" spans="1:15" x14ac:dyDescent="0.25">
      <c r="A4399" t="s">
        <v>1152</v>
      </c>
      <c r="B4399" t="s">
        <v>3031</v>
      </c>
      <c r="C4399" t="s">
        <v>927</v>
      </c>
      <c r="D4399" t="s">
        <v>3052</v>
      </c>
      <c r="E4399" t="s">
        <v>3053</v>
      </c>
      <c r="F4399" t="s">
        <v>543</v>
      </c>
      <c r="G4399" t="s">
        <v>544</v>
      </c>
      <c r="H4399" t="s">
        <v>6013</v>
      </c>
      <c r="I4399">
        <v>31</v>
      </c>
      <c r="J4399">
        <v>0</v>
      </c>
      <c r="K4399">
        <v>0</v>
      </c>
      <c r="L4399">
        <v>30</v>
      </c>
      <c r="M4399">
        <v>0</v>
      </c>
      <c r="N4399">
        <v>0</v>
      </c>
      <c r="O4399">
        <v>1</v>
      </c>
    </row>
    <row r="4400" spans="1:15" x14ac:dyDescent="0.25">
      <c r="A4400" t="s">
        <v>1057</v>
      </c>
      <c r="B4400" t="s">
        <v>1972</v>
      </c>
      <c r="C4400" t="s">
        <v>927</v>
      </c>
      <c r="D4400" t="s">
        <v>3052</v>
      </c>
      <c r="E4400" t="s">
        <v>3053</v>
      </c>
      <c r="F4400" t="s">
        <v>543</v>
      </c>
      <c r="G4400" t="s">
        <v>544</v>
      </c>
      <c r="H4400" t="s">
        <v>6014</v>
      </c>
      <c r="I4400">
        <v>28</v>
      </c>
      <c r="J4400">
        <v>0</v>
      </c>
      <c r="K4400">
        <v>0</v>
      </c>
      <c r="L4400">
        <v>28</v>
      </c>
      <c r="M4400">
        <v>0</v>
      </c>
      <c r="N4400">
        <v>0</v>
      </c>
      <c r="O4400">
        <v>0</v>
      </c>
    </row>
    <row r="4401" spans="1:15" x14ac:dyDescent="0.25">
      <c r="A4401" t="s">
        <v>955</v>
      </c>
      <c r="B4401" t="s">
        <v>2660</v>
      </c>
      <c r="C4401" t="s">
        <v>927</v>
      </c>
      <c r="D4401" t="s">
        <v>3052</v>
      </c>
      <c r="E4401" t="s">
        <v>3053</v>
      </c>
      <c r="F4401" t="s">
        <v>543</v>
      </c>
      <c r="G4401" t="s">
        <v>544</v>
      </c>
      <c r="H4401" t="s">
        <v>6015</v>
      </c>
      <c r="I4401">
        <v>120</v>
      </c>
      <c r="J4401">
        <v>120</v>
      </c>
      <c r="K4401">
        <v>0</v>
      </c>
      <c r="L4401">
        <v>0</v>
      </c>
      <c r="M4401">
        <v>0</v>
      </c>
      <c r="N4401">
        <v>4</v>
      </c>
      <c r="O4401">
        <v>0</v>
      </c>
    </row>
    <row r="4402" spans="1:15" x14ac:dyDescent="0.25">
      <c r="A4402" t="s">
        <v>962</v>
      </c>
      <c r="B4402" t="s">
        <v>2752</v>
      </c>
      <c r="C4402" t="s">
        <v>927</v>
      </c>
      <c r="D4402" t="s">
        <v>3052</v>
      </c>
      <c r="E4402" t="s">
        <v>3053</v>
      </c>
      <c r="F4402" t="s">
        <v>543</v>
      </c>
      <c r="G4402" t="s">
        <v>544</v>
      </c>
      <c r="H4402" t="s">
        <v>12126</v>
      </c>
      <c r="I4402">
        <v>39</v>
      </c>
      <c r="J4402">
        <v>39</v>
      </c>
      <c r="K4402">
        <v>0</v>
      </c>
      <c r="L4402">
        <v>0</v>
      </c>
      <c r="M4402">
        <v>0</v>
      </c>
      <c r="N4402">
        <v>0</v>
      </c>
      <c r="O4402">
        <v>0</v>
      </c>
    </row>
    <row r="4403" spans="1:15" x14ac:dyDescent="0.25">
      <c r="A4403" t="s">
        <v>1176</v>
      </c>
      <c r="B4403" t="s">
        <v>2952</v>
      </c>
      <c r="C4403" t="s">
        <v>923</v>
      </c>
      <c r="D4403" t="s">
        <v>3063</v>
      </c>
      <c r="E4403" t="s">
        <v>3053</v>
      </c>
      <c r="F4403" t="s">
        <v>543</v>
      </c>
      <c r="G4403" t="s">
        <v>544</v>
      </c>
      <c r="H4403" t="s">
        <v>6016</v>
      </c>
      <c r="I4403">
        <v>2</v>
      </c>
      <c r="J4403">
        <v>0</v>
      </c>
      <c r="K4403">
        <v>0</v>
      </c>
      <c r="L4403">
        <v>2</v>
      </c>
      <c r="M4403">
        <v>0</v>
      </c>
      <c r="N4403">
        <v>0</v>
      </c>
      <c r="O4403">
        <v>0</v>
      </c>
    </row>
    <row r="4404" spans="1:15" x14ac:dyDescent="0.25">
      <c r="A4404" t="s">
        <v>1183</v>
      </c>
      <c r="B4404" t="s">
        <v>2108</v>
      </c>
      <c r="C4404" t="s">
        <v>923</v>
      </c>
      <c r="D4404" t="s">
        <v>3063</v>
      </c>
      <c r="E4404" t="s">
        <v>3053</v>
      </c>
      <c r="F4404" t="s">
        <v>543</v>
      </c>
      <c r="G4404" t="s">
        <v>544</v>
      </c>
      <c r="H4404" t="s">
        <v>12127</v>
      </c>
      <c r="I4404">
        <v>2</v>
      </c>
      <c r="J4404">
        <v>2</v>
      </c>
      <c r="K4404">
        <v>0</v>
      </c>
      <c r="L4404">
        <v>0</v>
      </c>
      <c r="M4404">
        <v>0</v>
      </c>
      <c r="N4404">
        <v>0</v>
      </c>
      <c r="O4404">
        <v>0</v>
      </c>
    </row>
    <row r="4405" spans="1:15" x14ac:dyDescent="0.25">
      <c r="A4405" t="s">
        <v>1187</v>
      </c>
      <c r="B4405" t="s">
        <v>2125</v>
      </c>
      <c r="C4405" t="s">
        <v>923</v>
      </c>
      <c r="D4405" t="s">
        <v>3063</v>
      </c>
      <c r="E4405" t="s">
        <v>3053</v>
      </c>
      <c r="F4405" t="s">
        <v>543</v>
      </c>
      <c r="G4405" t="s">
        <v>544</v>
      </c>
      <c r="H4405" t="s">
        <v>6017</v>
      </c>
      <c r="I4405">
        <v>15</v>
      </c>
      <c r="J4405">
        <v>11</v>
      </c>
      <c r="K4405">
        <v>0</v>
      </c>
      <c r="L4405">
        <v>4</v>
      </c>
      <c r="M4405">
        <v>0</v>
      </c>
      <c r="N4405">
        <v>4</v>
      </c>
      <c r="O4405">
        <v>0</v>
      </c>
    </row>
    <row r="4406" spans="1:15" x14ac:dyDescent="0.25">
      <c r="A4406" t="s">
        <v>1193</v>
      </c>
      <c r="B4406" t="s">
        <v>2617</v>
      </c>
      <c r="C4406" t="s">
        <v>923</v>
      </c>
      <c r="D4406" t="s">
        <v>3063</v>
      </c>
      <c r="E4406" t="s">
        <v>3053</v>
      </c>
      <c r="F4406" t="s">
        <v>543</v>
      </c>
      <c r="G4406" t="s">
        <v>544</v>
      </c>
      <c r="H4406" t="s">
        <v>6018</v>
      </c>
      <c r="I4406">
        <v>19</v>
      </c>
      <c r="J4406">
        <v>0</v>
      </c>
      <c r="K4406">
        <v>0</v>
      </c>
      <c r="L4406">
        <v>19</v>
      </c>
      <c r="M4406">
        <v>0</v>
      </c>
      <c r="N4406">
        <v>0</v>
      </c>
      <c r="O4406">
        <v>0</v>
      </c>
    </row>
    <row r="4407" spans="1:15" x14ac:dyDescent="0.25">
      <c r="A4407" t="s">
        <v>929</v>
      </c>
      <c r="B4407" t="s">
        <v>2999</v>
      </c>
      <c r="C4407" t="s">
        <v>927</v>
      </c>
      <c r="D4407" t="s">
        <v>3052</v>
      </c>
      <c r="E4407" t="s">
        <v>3053</v>
      </c>
      <c r="F4407" t="s">
        <v>545</v>
      </c>
      <c r="G4407" t="s">
        <v>546</v>
      </c>
      <c r="H4407" t="s">
        <v>11618</v>
      </c>
      <c r="I4407">
        <v>364</v>
      </c>
      <c r="J4407">
        <v>0</v>
      </c>
      <c r="K4407">
        <v>0</v>
      </c>
      <c r="L4407">
        <v>0</v>
      </c>
      <c r="M4407">
        <v>364</v>
      </c>
      <c r="N4407">
        <v>0</v>
      </c>
      <c r="O4407">
        <v>0</v>
      </c>
    </row>
    <row r="4408" spans="1:15" x14ac:dyDescent="0.25">
      <c r="A4408" t="s">
        <v>978</v>
      </c>
      <c r="B4408" t="s">
        <v>1999</v>
      </c>
      <c r="C4408" t="s">
        <v>923</v>
      </c>
      <c r="D4408" t="s">
        <v>3063</v>
      </c>
      <c r="E4408" t="s">
        <v>3053</v>
      </c>
      <c r="F4408" t="s">
        <v>545</v>
      </c>
      <c r="G4408" t="s">
        <v>546</v>
      </c>
      <c r="H4408" t="s">
        <v>11619</v>
      </c>
      <c r="I4408">
        <v>7</v>
      </c>
      <c r="J4408">
        <v>7</v>
      </c>
      <c r="K4408">
        <v>0</v>
      </c>
      <c r="L4408">
        <v>0</v>
      </c>
      <c r="M4408">
        <v>0</v>
      </c>
      <c r="N4408">
        <v>0</v>
      </c>
      <c r="O4408">
        <v>0</v>
      </c>
    </row>
    <row r="4409" spans="1:15" x14ac:dyDescent="0.25">
      <c r="A4409" t="s">
        <v>985</v>
      </c>
      <c r="B4409" t="s">
        <v>1964</v>
      </c>
      <c r="C4409" t="s">
        <v>923</v>
      </c>
      <c r="D4409" t="s">
        <v>3063</v>
      </c>
      <c r="E4409" t="s">
        <v>3053</v>
      </c>
      <c r="F4409" t="s">
        <v>545</v>
      </c>
      <c r="G4409" t="s">
        <v>546</v>
      </c>
      <c r="H4409" t="s">
        <v>14849</v>
      </c>
      <c r="I4409">
        <v>4</v>
      </c>
      <c r="J4409">
        <v>0</v>
      </c>
      <c r="K4409">
        <v>0</v>
      </c>
      <c r="L4409">
        <v>4</v>
      </c>
      <c r="M4409">
        <v>0</v>
      </c>
      <c r="N4409">
        <v>0</v>
      </c>
      <c r="O4409">
        <v>0</v>
      </c>
    </row>
    <row r="4410" spans="1:15" x14ac:dyDescent="0.25">
      <c r="A4410" t="s">
        <v>11660</v>
      </c>
      <c r="B4410" t="s">
        <v>2041</v>
      </c>
      <c r="C4410" t="s">
        <v>923</v>
      </c>
      <c r="D4410" t="s">
        <v>3063</v>
      </c>
      <c r="E4410" t="s">
        <v>3053</v>
      </c>
      <c r="F4410" t="s">
        <v>545</v>
      </c>
      <c r="G4410" t="s">
        <v>546</v>
      </c>
      <c r="H4410" t="s">
        <v>12128</v>
      </c>
      <c r="I4410">
        <v>21</v>
      </c>
      <c r="J4410">
        <v>0</v>
      </c>
      <c r="K4410">
        <v>0</v>
      </c>
      <c r="L4410">
        <v>21</v>
      </c>
      <c r="M4410">
        <v>0</v>
      </c>
      <c r="N4410">
        <v>0</v>
      </c>
      <c r="O4410">
        <v>0</v>
      </c>
    </row>
    <row r="4411" spans="1:15" x14ac:dyDescent="0.25">
      <c r="A4411" t="s">
        <v>10638</v>
      </c>
      <c r="B4411" t="s">
        <v>2057</v>
      </c>
      <c r="C4411" t="s">
        <v>927</v>
      </c>
      <c r="D4411" t="s">
        <v>3052</v>
      </c>
      <c r="E4411" t="s">
        <v>3053</v>
      </c>
      <c r="F4411" t="s">
        <v>545</v>
      </c>
      <c r="G4411" t="s">
        <v>546</v>
      </c>
      <c r="H4411" t="s">
        <v>11620</v>
      </c>
      <c r="I4411">
        <v>8</v>
      </c>
      <c r="J4411">
        <v>0</v>
      </c>
      <c r="K4411">
        <v>0</v>
      </c>
      <c r="L4411">
        <v>8</v>
      </c>
      <c r="M4411">
        <v>0</v>
      </c>
      <c r="N4411">
        <v>0</v>
      </c>
      <c r="O4411">
        <v>0</v>
      </c>
    </row>
    <row r="4412" spans="1:15" x14ac:dyDescent="0.25">
      <c r="A4412" t="s">
        <v>1886</v>
      </c>
      <c r="B4412" t="s">
        <v>2054</v>
      </c>
      <c r="C4412" t="s">
        <v>923</v>
      </c>
      <c r="D4412" t="s">
        <v>3063</v>
      </c>
      <c r="E4412" t="s">
        <v>3053</v>
      </c>
      <c r="F4412" t="s">
        <v>545</v>
      </c>
      <c r="G4412" t="s">
        <v>546</v>
      </c>
      <c r="H4412" t="s">
        <v>11621</v>
      </c>
      <c r="I4412">
        <v>68</v>
      </c>
      <c r="J4412">
        <v>62</v>
      </c>
      <c r="K4412">
        <v>0</v>
      </c>
      <c r="L4412">
        <v>6</v>
      </c>
      <c r="M4412">
        <v>0</v>
      </c>
      <c r="N4412">
        <v>0</v>
      </c>
      <c r="O4412">
        <v>0</v>
      </c>
    </row>
    <row r="4413" spans="1:15" x14ac:dyDescent="0.25">
      <c r="A4413" t="s">
        <v>1006</v>
      </c>
      <c r="B4413" t="s">
        <v>2724</v>
      </c>
      <c r="C4413" t="s">
        <v>927</v>
      </c>
      <c r="D4413" t="s">
        <v>3052</v>
      </c>
      <c r="E4413" t="s">
        <v>3053</v>
      </c>
      <c r="F4413" t="s">
        <v>545</v>
      </c>
      <c r="G4413" t="s">
        <v>546</v>
      </c>
      <c r="H4413" t="s">
        <v>11622</v>
      </c>
      <c r="I4413">
        <v>15</v>
      </c>
      <c r="J4413">
        <v>0</v>
      </c>
      <c r="K4413">
        <v>0</v>
      </c>
      <c r="L4413">
        <v>15</v>
      </c>
      <c r="M4413">
        <v>0</v>
      </c>
      <c r="N4413">
        <v>0</v>
      </c>
      <c r="O4413">
        <v>0</v>
      </c>
    </row>
    <row r="4414" spans="1:15" x14ac:dyDescent="0.25">
      <c r="A4414" t="s">
        <v>1008</v>
      </c>
      <c r="B4414" t="s">
        <v>2928</v>
      </c>
      <c r="C4414" t="s">
        <v>927</v>
      </c>
      <c r="D4414" t="s">
        <v>3052</v>
      </c>
      <c r="E4414" t="s">
        <v>3053</v>
      </c>
      <c r="F4414" t="s">
        <v>545</v>
      </c>
      <c r="G4414" t="s">
        <v>546</v>
      </c>
      <c r="H4414" t="s">
        <v>11623</v>
      </c>
      <c r="I4414">
        <v>230</v>
      </c>
      <c r="J4414">
        <v>193</v>
      </c>
      <c r="K4414">
        <v>0</v>
      </c>
      <c r="L4414">
        <v>15</v>
      </c>
      <c r="M4414">
        <v>22</v>
      </c>
      <c r="N4414">
        <v>3</v>
      </c>
      <c r="O4414">
        <v>0</v>
      </c>
    </row>
    <row r="4415" spans="1:15" x14ac:dyDescent="0.25">
      <c r="A4415" t="s">
        <v>1009</v>
      </c>
      <c r="B4415" t="s">
        <v>1958</v>
      </c>
      <c r="C4415" t="s">
        <v>923</v>
      </c>
      <c r="D4415" t="s">
        <v>3063</v>
      </c>
      <c r="E4415" t="s">
        <v>3053</v>
      </c>
      <c r="F4415" t="s">
        <v>545</v>
      </c>
      <c r="G4415" t="s">
        <v>546</v>
      </c>
      <c r="H4415" t="s">
        <v>12129</v>
      </c>
      <c r="I4415">
        <v>2</v>
      </c>
      <c r="J4415">
        <v>0</v>
      </c>
      <c r="K4415">
        <v>0</v>
      </c>
      <c r="L4415">
        <v>2</v>
      </c>
      <c r="M4415">
        <v>0</v>
      </c>
      <c r="N4415">
        <v>0</v>
      </c>
      <c r="O4415">
        <v>0</v>
      </c>
    </row>
    <row r="4416" spans="1:15" x14ac:dyDescent="0.25">
      <c r="A4416" t="s">
        <v>1011</v>
      </c>
      <c r="B4416" t="s">
        <v>2020</v>
      </c>
      <c r="C4416" t="s">
        <v>927</v>
      </c>
      <c r="D4416" t="s">
        <v>3052</v>
      </c>
      <c r="E4416" t="s">
        <v>3053</v>
      </c>
      <c r="F4416" t="s">
        <v>545</v>
      </c>
      <c r="G4416" t="s">
        <v>546</v>
      </c>
      <c r="H4416" t="s">
        <v>11624</v>
      </c>
      <c r="I4416">
        <v>21</v>
      </c>
      <c r="J4416">
        <v>0</v>
      </c>
      <c r="K4416">
        <v>0</v>
      </c>
      <c r="L4416">
        <v>21</v>
      </c>
      <c r="M4416">
        <v>0</v>
      </c>
      <c r="N4416">
        <v>0</v>
      </c>
      <c r="O4416">
        <v>0</v>
      </c>
    </row>
    <row r="4417" spans="1:15" x14ac:dyDescent="0.25">
      <c r="A4417" t="s">
        <v>938</v>
      </c>
      <c r="B4417" t="s">
        <v>2791</v>
      </c>
      <c r="C4417" t="s">
        <v>927</v>
      </c>
      <c r="D4417" t="s">
        <v>3052</v>
      </c>
      <c r="E4417" t="s">
        <v>3053</v>
      </c>
      <c r="F4417" t="s">
        <v>545</v>
      </c>
      <c r="G4417" t="s">
        <v>546</v>
      </c>
      <c r="H4417" t="s">
        <v>11625</v>
      </c>
      <c r="I4417">
        <v>166</v>
      </c>
      <c r="J4417">
        <v>107</v>
      </c>
      <c r="K4417">
        <v>0</v>
      </c>
      <c r="L4417">
        <v>22</v>
      </c>
      <c r="M4417">
        <v>0</v>
      </c>
      <c r="N4417">
        <v>0</v>
      </c>
      <c r="O4417">
        <v>37</v>
      </c>
    </row>
    <row r="4418" spans="1:15" x14ac:dyDescent="0.25">
      <c r="A4418" t="s">
        <v>940</v>
      </c>
      <c r="B4418" t="s">
        <v>2647</v>
      </c>
      <c r="C4418" t="s">
        <v>927</v>
      </c>
      <c r="D4418" t="s">
        <v>3052</v>
      </c>
      <c r="E4418" t="s">
        <v>3053</v>
      </c>
      <c r="F4418" t="s">
        <v>545</v>
      </c>
      <c r="G4418" t="s">
        <v>546</v>
      </c>
      <c r="H4418" t="s">
        <v>11626</v>
      </c>
      <c r="I4418">
        <v>36</v>
      </c>
      <c r="J4418">
        <v>0</v>
      </c>
      <c r="K4418">
        <v>0</v>
      </c>
      <c r="L4418">
        <v>0</v>
      </c>
      <c r="M4418">
        <v>36</v>
      </c>
      <c r="N4418">
        <v>0</v>
      </c>
      <c r="O4418">
        <v>0</v>
      </c>
    </row>
    <row r="4419" spans="1:15" x14ac:dyDescent="0.25">
      <c r="A4419" t="s">
        <v>1893</v>
      </c>
      <c r="B4419" t="s">
        <v>2793</v>
      </c>
      <c r="C4419" t="s">
        <v>923</v>
      </c>
      <c r="D4419" t="s">
        <v>3063</v>
      </c>
      <c r="E4419" t="s">
        <v>3053</v>
      </c>
      <c r="F4419" t="s">
        <v>545</v>
      </c>
      <c r="G4419" t="s">
        <v>546</v>
      </c>
      <c r="H4419" t="s">
        <v>11627</v>
      </c>
      <c r="I4419">
        <v>355</v>
      </c>
      <c r="J4419">
        <v>107</v>
      </c>
      <c r="K4419">
        <v>0</v>
      </c>
      <c r="L4419">
        <v>44</v>
      </c>
      <c r="M4419">
        <v>204</v>
      </c>
      <c r="N4419">
        <v>0</v>
      </c>
      <c r="O4419">
        <v>0</v>
      </c>
    </row>
    <row r="4420" spans="1:15" x14ac:dyDescent="0.25">
      <c r="A4420" t="s">
        <v>1894</v>
      </c>
      <c r="B4420" t="s">
        <v>2785</v>
      </c>
      <c r="C4420" t="s">
        <v>923</v>
      </c>
      <c r="D4420" t="s">
        <v>3063</v>
      </c>
      <c r="E4420" t="s">
        <v>3053</v>
      </c>
      <c r="F4420" t="s">
        <v>545</v>
      </c>
      <c r="G4420" t="s">
        <v>546</v>
      </c>
      <c r="H4420" t="s">
        <v>11628</v>
      </c>
      <c r="I4420">
        <v>45</v>
      </c>
      <c r="J4420">
        <v>45</v>
      </c>
      <c r="K4420">
        <v>0</v>
      </c>
      <c r="L4420">
        <v>0</v>
      </c>
      <c r="M4420">
        <v>0</v>
      </c>
      <c r="N4420">
        <v>0</v>
      </c>
      <c r="O4420">
        <v>0</v>
      </c>
    </row>
    <row r="4421" spans="1:15" x14ac:dyDescent="0.25">
      <c r="A4421" t="s">
        <v>1895</v>
      </c>
      <c r="B4421" t="s">
        <v>2632</v>
      </c>
      <c r="C4421" t="s">
        <v>923</v>
      </c>
      <c r="D4421" t="s">
        <v>3063</v>
      </c>
      <c r="E4421" t="s">
        <v>3053</v>
      </c>
      <c r="F4421" t="s">
        <v>545</v>
      </c>
      <c r="G4421" t="s">
        <v>546</v>
      </c>
      <c r="H4421" t="s">
        <v>11629</v>
      </c>
      <c r="I4421">
        <v>73</v>
      </c>
      <c r="J4421">
        <v>0</v>
      </c>
      <c r="K4421">
        <v>0</v>
      </c>
      <c r="L4421">
        <v>73</v>
      </c>
      <c r="M4421">
        <v>0</v>
      </c>
      <c r="N4421">
        <v>0</v>
      </c>
      <c r="O4421">
        <v>0</v>
      </c>
    </row>
    <row r="4422" spans="1:15" x14ac:dyDescent="0.25">
      <c r="A4422" t="s">
        <v>1896</v>
      </c>
      <c r="B4422" t="s">
        <v>2147</v>
      </c>
      <c r="C4422" t="s">
        <v>923</v>
      </c>
      <c r="D4422" t="s">
        <v>3063</v>
      </c>
      <c r="E4422" t="s">
        <v>3053</v>
      </c>
      <c r="F4422" t="s">
        <v>545</v>
      </c>
      <c r="G4422" t="s">
        <v>546</v>
      </c>
      <c r="H4422" t="s">
        <v>11630</v>
      </c>
      <c r="I4422">
        <v>62</v>
      </c>
      <c r="J4422">
        <v>0</v>
      </c>
      <c r="K4422">
        <v>0</v>
      </c>
      <c r="L4422">
        <v>0</v>
      </c>
      <c r="M4422">
        <v>62</v>
      </c>
      <c r="N4422">
        <v>0</v>
      </c>
      <c r="O4422">
        <v>0</v>
      </c>
    </row>
    <row r="4423" spans="1:15" x14ac:dyDescent="0.25">
      <c r="A4423" t="s">
        <v>1892</v>
      </c>
      <c r="B4423" t="s">
        <v>2077</v>
      </c>
      <c r="C4423" t="s">
        <v>923</v>
      </c>
      <c r="D4423" t="s">
        <v>3063</v>
      </c>
      <c r="E4423" t="s">
        <v>3053</v>
      </c>
      <c r="F4423" t="s">
        <v>545</v>
      </c>
      <c r="G4423" t="s">
        <v>546</v>
      </c>
      <c r="H4423" t="s">
        <v>11631</v>
      </c>
      <c r="I4423">
        <v>74</v>
      </c>
      <c r="J4423">
        <v>4</v>
      </c>
      <c r="K4423">
        <v>0</v>
      </c>
      <c r="L4423">
        <v>70</v>
      </c>
      <c r="M4423">
        <v>0</v>
      </c>
      <c r="N4423">
        <v>0</v>
      </c>
      <c r="O4423">
        <v>0</v>
      </c>
    </row>
    <row r="4424" spans="1:15" x14ac:dyDescent="0.25">
      <c r="A4424" t="s">
        <v>1422</v>
      </c>
      <c r="B4424" t="s">
        <v>1990</v>
      </c>
      <c r="C4424" t="s">
        <v>923</v>
      </c>
      <c r="D4424" t="s">
        <v>3063</v>
      </c>
      <c r="E4424" t="s">
        <v>3053</v>
      </c>
      <c r="F4424" t="s">
        <v>545</v>
      </c>
      <c r="G4424" t="s">
        <v>546</v>
      </c>
      <c r="H4424" t="s">
        <v>12130</v>
      </c>
      <c r="I4424">
        <v>8</v>
      </c>
      <c r="J4424">
        <v>1</v>
      </c>
      <c r="K4424">
        <v>0</v>
      </c>
      <c r="L4424">
        <v>7</v>
      </c>
      <c r="M4424">
        <v>0</v>
      </c>
      <c r="N4424">
        <v>0</v>
      </c>
      <c r="O4424">
        <v>0</v>
      </c>
    </row>
    <row r="4425" spans="1:15" x14ac:dyDescent="0.25">
      <c r="A4425" t="s">
        <v>1013</v>
      </c>
      <c r="B4425" t="s">
        <v>1959</v>
      </c>
      <c r="C4425" t="s">
        <v>927</v>
      </c>
      <c r="D4425" t="s">
        <v>3052</v>
      </c>
      <c r="E4425" t="s">
        <v>3053</v>
      </c>
      <c r="F4425" t="s">
        <v>545</v>
      </c>
      <c r="G4425" t="s">
        <v>546</v>
      </c>
      <c r="H4425" t="s">
        <v>11632</v>
      </c>
      <c r="I4425">
        <v>67</v>
      </c>
      <c r="J4425">
        <v>0</v>
      </c>
      <c r="K4425">
        <v>0</v>
      </c>
      <c r="L4425">
        <v>67</v>
      </c>
      <c r="M4425">
        <v>0</v>
      </c>
      <c r="N4425">
        <v>0</v>
      </c>
      <c r="O4425">
        <v>0</v>
      </c>
    </row>
    <row r="4426" spans="1:15" x14ac:dyDescent="0.25">
      <c r="A4426" t="s">
        <v>1426</v>
      </c>
      <c r="B4426" t="s">
        <v>2137</v>
      </c>
      <c r="C4426" t="s">
        <v>927</v>
      </c>
      <c r="D4426" t="s">
        <v>3052</v>
      </c>
      <c r="E4426" t="s">
        <v>3053</v>
      </c>
      <c r="F4426" t="s">
        <v>545</v>
      </c>
      <c r="G4426" t="s">
        <v>546</v>
      </c>
      <c r="H4426" t="s">
        <v>11633</v>
      </c>
      <c r="I4426">
        <v>6</v>
      </c>
      <c r="J4426">
        <v>0</v>
      </c>
      <c r="K4426">
        <v>0</v>
      </c>
      <c r="L4426">
        <v>0</v>
      </c>
      <c r="M4426">
        <v>0</v>
      </c>
      <c r="N4426">
        <v>0</v>
      </c>
      <c r="O4426">
        <v>6</v>
      </c>
    </row>
    <row r="4427" spans="1:15" x14ac:dyDescent="0.25">
      <c r="A4427" t="s">
        <v>1905</v>
      </c>
      <c r="B4427" t="s">
        <v>2327</v>
      </c>
      <c r="C4427" t="s">
        <v>927</v>
      </c>
      <c r="D4427" t="s">
        <v>3052</v>
      </c>
      <c r="E4427" t="s">
        <v>3053</v>
      </c>
      <c r="F4427" t="s">
        <v>545</v>
      </c>
      <c r="G4427" t="s">
        <v>546</v>
      </c>
      <c r="H4427" t="s">
        <v>11634</v>
      </c>
      <c r="I4427">
        <v>1403</v>
      </c>
      <c r="J4427">
        <v>1212</v>
      </c>
      <c r="K4427">
        <v>0</v>
      </c>
      <c r="L4427">
        <v>0</v>
      </c>
      <c r="M4427">
        <v>191</v>
      </c>
      <c r="N4427">
        <v>0</v>
      </c>
      <c r="O4427">
        <v>0</v>
      </c>
    </row>
    <row r="4428" spans="1:15" x14ac:dyDescent="0.25">
      <c r="A4428" t="s">
        <v>951</v>
      </c>
      <c r="B4428" t="s">
        <v>2680</v>
      </c>
      <c r="C4428" t="s">
        <v>927</v>
      </c>
      <c r="D4428" t="s">
        <v>3052</v>
      </c>
      <c r="E4428" t="s">
        <v>3053</v>
      </c>
      <c r="F4428" t="s">
        <v>545</v>
      </c>
      <c r="G4428" t="s">
        <v>546</v>
      </c>
      <c r="H4428" t="s">
        <v>11635</v>
      </c>
      <c r="I4428">
        <v>2056</v>
      </c>
      <c r="J4428">
        <v>1806</v>
      </c>
      <c r="K4428">
        <v>0</v>
      </c>
      <c r="L4428">
        <v>26</v>
      </c>
      <c r="M4428">
        <v>131</v>
      </c>
      <c r="N4428">
        <v>1</v>
      </c>
      <c r="O4428">
        <v>93</v>
      </c>
    </row>
    <row r="4429" spans="1:15" x14ac:dyDescent="0.25">
      <c r="A4429" t="s">
        <v>1048</v>
      </c>
      <c r="B4429" t="s">
        <v>2989</v>
      </c>
      <c r="C4429" t="s">
        <v>927</v>
      </c>
      <c r="D4429" t="s">
        <v>3052</v>
      </c>
      <c r="E4429" t="s">
        <v>3053</v>
      </c>
      <c r="F4429" t="s">
        <v>545</v>
      </c>
      <c r="G4429" t="s">
        <v>546</v>
      </c>
      <c r="H4429" t="s">
        <v>11636</v>
      </c>
      <c r="I4429">
        <v>64</v>
      </c>
      <c r="J4429">
        <v>1</v>
      </c>
      <c r="K4429">
        <v>0</v>
      </c>
      <c r="L4429">
        <v>63</v>
      </c>
      <c r="M4429">
        <v>0</v>
      </c>
      <c r="N4429">
        <v>0</v>
      </c>
      <c r="O4429">
        <v>0</v>
      </c>
    </row>
    <row r="4430" spans="1:15" x14ac:dyDescent="0.25">
      <c r="A4430" t="s">
        <v>1436</v>
      </c>
      <c r="B4430" t="s">
        <v>2209</v>
      </c>
      <c r="C4430" t="s">
        <v>927</v>
      </c>
      <c r="D4430" t="s">
        <v>3052</v>
      </c>
      <c r="E4430" t="s">
        <v>3053</v>
      </c>
      <c r="F4430" t="s">
        <v>545</v>
      </c>
      <c r="G4430" t="s">
        <v>546</v>
      </c>
      <c r="H4430" t="s">
        <v>11637</v>
      </c>
      <c r="I4430">
        <v>151</v>
      </c>
      <c r="J4430">
        <v>34</v>
      </c>
      <c r="K4430">
        <v>0</v>
      </c>
      <c r="L4430">
        <v>95</v>
      </c>
      <c r="M4430">
        <v>0</v>
      </c>
      <c r="N4430">
        <v>106</v>
      </c>
      <c r="O4430">
        <v>22</v>
      </c>
    </row>
    <row r="4431" spans="1:15" x14ac:dyDescent="0.25">
      <c r="A4431" t="s">
        <v>953</v>
      </c>
      <c r="B4431" t="s">
        <v>2014</v>
      </c>
      <c r="C4431" t="s">
        <v>927</v>
      </c>
      <c r="D4431" t="s">
        <v>3052</v>
      </c>
      <c r="E4431" t="s">
        <v>3053</v>
      </c>
      <c r="F4431" t="s">
        <v>545</v>
      </c>
      <c r="G4431" t="s">
        <v>546</v>
      </c>
      <c r="H4431" t="s">
        <v>11638</v>
      </c>
      <c r="I4431">
        <v>1</v>
      </c>
      <c r="J4431">
        <v>0</v>
      </c>
      <c r="K4431">
        <v>0</v>
      </c>
      <c r="L4431">
        <v>1</v>
      </c>
      <c r="M4431">
        <v>0</v>
      </c>
      <c r="N4431">
        <v>0</v>
      </c>
      <c r="O4431">
        <v>0</v>
      </c>
    </row>
    <row r="4432" spans="1:15" x14ac:dyDescent="0.25">
      <c r="A4432" t="s">
        <v>1057</v>
      </c>
      <c r="B4432" t="s">
        <v>1972</v>
      </c>
      <c r="C4432" t="s">
        <v>927</v>
      </c>
      <c r="D4432" t="s">
        <v>3052</v>
      </c>
      <c r="E4432" t="s">
        <v>3053</v>
      </c>
      <c r="F4432" t="s">
        <v>545</v>
      </c>
      <c r="G4432" t="s">
        <v>546</v>
      </c>
      <c r="H4432" t="s">
        <v>11639</v>
      </c>
      <c r="I4432">
        <v>91</v>
      </c>
      <c r="J4432">
        <v>91</v>
      </c>
      <c r="K4432">
        <v>0</v>
      </c>
      <c r="L4432">
        <v>0</v>
      </c>
      <c r="M4432">
        <v>0</v>
      </c>
      <c r="N4432">
        <v>0</v>
      </c>
      <c r="O4432">
        <v>0</v>
      </c>
    </row>
    <row r="4433" spans="1:15" x14ac:dyDescent="0.25">
      <c r="A4433" t="s">
        <v>955</v>
      </c>
      <c r="B4433" t="s">
        <v>2660</v>
      </c>
      <c r="C4433" t="s">
        <v>927</v>
      </c>
      <c r="D4433" t="s">
        <v>3052</v>
      </c>
      <c r="E4433" t="s">
        <v>3053</v>
      </c>
      <c r="F4433" t="s">
        <v>545</v>
      </c>
      <c r="G4433" t="s">
        <v>546</v>
      </c>
      <c r="H4433" t="s">
        <v>11640</v>
      </c>
      <c r="I4433">
        <v>1464</v>
      </c>
      <c r="J4433">
        <v>1186</v>
      </c>
      <c r="K4433">
        <v>0</v>
      </c>
      <c r="L4433">
        <v>44</v>
      </c>
      <c r="M4433">
        <v>142</v>
      </c>
      <c r="N4433">
        <v>6</v>
      </c>
      <c r="O4433">
        <v>92</v>
      </c>
    </row>
    <row r="4434" spans="1:15" x14ac:dyDescent="0.25">
      <c r="A4434" t="s">
        <v>1911</v>
      </c>
      <c r="B4434" t="s">
        <v>1968</v>
      </c>
      <c r="C4434" t="s">
        <v>923</v>
      </c>
      <c r="D4434" t="s">
        <v>3063</v>
      </c>
      <c r="E4434" t="s">
        <v>3053</v>
      </c>
      <c r="F4434" t="s">
        <v>545</v>
      </c>
      <c r="G4434" t="s">
        <v>546</v>
      </c>
      <c r="H4434" t="s">
        <v>11641</v>
      </c>
      <c r="I4434">
        <v>2</v>
      </c>
      <c r="J4434">
        <v>0</v>
      </c>
      <c r="K4434">
        <v>0</v>
      </c>
      <c r="L4434">
        <v>2</v>
      </c>
      <c r="M4434">
        <v>0</v>
      </c>
      <c r="N4434">
        <v>0</v>
      </c>
      <c r="O4434">
        <v>0</v>
      </c>
    </row>
    <row r="4435" spans="1:15" x14ac:dyDescent="0.25">
      <c r="A4435" t="s">
        <v>1353</v>
      </c>
      <c r="B4435" t="s">
        <v>2927</v>
      </c>
      <c r="C4435" t="s">
        <v>923</v>
      </c>
      <c r="D4435" t="s">
        <v>3063</v>
      </c>
      <c r="E4435" t="s">
        <v>3053</v>
      </c>
      <c r="F4435" t="s">
        <v>545</v>
      </c>
      <c r="G4435" t="s">
        <v>546</v>
      </c>
      <c r="H4435" t="s">
        <v>11642</v>
      </c>
      <c r="I4435">
        <v>35</v>
      </c>
      <c r="J4435">
        <v>0</v>
      </c>
      <c r="K4435">
        <v>0</v>
      </c>
      <c r="L4435">
        <v>0</v>
      </c>
      <c r="M4435">
        <v>35</v>
      </c>
      <c r="N4435">
        <v>0</v>
      </c>
      <c r="O4435">
        <v>0</v>
      </c>
    </row>
    <row r="4436" spans="1:15" x14ac:dyDescent="0.25">
      <c r="A4436" t="s">
        <v>1072</v>
      </c>
      <c r="B4436" t="s">
        <v>2907</v>
      </c>
      <c r="C4436" t="s">
        <v>927</v>
      </c>
      <c r="D4436" t="s">
        <v>3052</v>
      </c>
      <c r="E4436" t="s">
        <v>3053</v>
      </c>
      <c r="F4436" t="s">
        <v>545</v>
      </c>
      <c r="G4436" t="s">
        <v>546</v>
      </c>
      <c r="H4436" t="s">
        <v>11643</v>
      </c>
      <c r="I4436">
        <v>1447</v>
      </c>
      <c r="J4436">
        <v>1185</v>
      </c>
      <c r="K4436">
        <v>0</v>
      </c>
      <c r="L4436">
        <v>222</v>
      </c>
      <c r="M4436">
        <v>38</v>
      </c>
      <c r="N4436">
        <v>0</v>
      </c>
      <c r="O4436">
        <v>2</v>
      </c>
    </row>
    <row r="4437" spans="1:15" x14ac:dyDescent="0.25">
      <c r="A4437" t="s">
        <v>1180</v>
      </c>
      <c r="B4437" t="s">
        <v>2896</v>
      </c>
      <c r="C4437" t="s">
        <v>927</v>
      </c>
      <c r="D4437" t="s">
        <v>3052</v>
      </c>
      <c r="E4437" t="s">
        <v>3053</v>
      </c>
      <c r="F4437" t="s">
        <v>545</v>
      </c>
      <c r="G4437" t="s">
        <v>546</v>
      </c>
      <c r="H4437" t="s">
        <v>11644</v>
      </c>
      <c r="I4437">
        <v>699</v>
      </c>
      <c r="J4437">
        <v>654</v>
      </c>
      <c r="K4437">
        <v>0</v>
      </c>
      <c r="L4437">
        <v>0</v>
      </c>
      <c r="M4437">
        <v>36</v>
      </c>
      <c r="N4437">
        <v>0</v>
      </c>
      <c r="O4437">
        <v>9</v>
      </c>
    </row>
    <row r="4438" spans="1:15" x14ac:dyDescent="0.25">
      <c r="A4438" t="s">
        <v>1075</v>
      </c>
      <c r="B4438" t="s">
        <v>2830</v>
      </c>
      <c r="C4438" t="s">
        <v>927</v>
      </c>
      <c r="D4438" t="s">
        <v>3052</v>
      </c>
      <c r="E4438" t="s">
        <v>3053</v>
      </c>
      <c r="F4438" t="s">
        <v>545</v>
      </c>
      <c r="G4438" t="s">
        <v>546</v>
      </c>
      <c r="H4438" t="s">
        <v>11645</v>
      </c>
      <c r="I4438">
        <v>869</v>
      </c>
      <c r="J4438">
        <v>710</v>
      </c>
      <c r="K4438">
        <v>0</v>
      </c>
      <c r="L4438">
        <v>30</v>
      </c>
      <c r="M4438">
        <v>0</v>
      </c>
      <c r="N4438">
        <v>0</v>
      </c>
      <c r="O4438">
        <v>129</v>
      </c>
    </row>
    <row r="4439" spans="1:15" x14ac:dyDescent="0.25">
      <c r="A4439" t="s">
        <v>1080</v>
      </c>
      <c r="B4439" t="s">
        <v>2030</v>
      </c>
      <c r="C4439" t="s">
        <v>923</v>
      </c>
      <c r="D4439" t="s">
        <v>3063</v>
      </c>
      <c r="E4439" t="s">
        <v>3053</v>
      </c>
      <c r="F4439" t="s">
        <v>545</v>
      </c>
      <c r="G4439" t="s">
        <v>546</v>
      </c>
      <c r="H4439" t="s">
        <v>11646</v>
      </c>
      <c r="I4439">
        <v>4</v>
      </c>
      <c r="J4439">
        <v>0</v>
      </c>
      <c r="K4439">
        <v>0</v>
      </c>
      <c r="L4439">
        <v>4</v>
      </c>
      <c r="M4439">
        <v>0</v>
      </c>
      <c r="N4439">
        <v>0</v>
      </c>
      <c r="O4439">
        <v>0</v>
      </c>
    </row>
    <row r="4440" spans="1:15" x14ac:dyDescent="0.25">
      <c r="A4440" t="s">
        <v>11728</v>
      </c>
      <c r="B4440" t="s">
        <v>2021</v>
      </c>
      <c r="C4440" t="s">
        <v>923</v>
      </c>
      <c r="D4440" t="s">
        <v>3063</v>
      </c>
      <c r="E4440" t="s">
        <v>3053</v>
      </c>
      <c r="F4440" t="s">
        <v>545</v>
      </c>
      <c r="G4440" t="s">
        <v>546</v>
      </c>
      <c r="H4440" t="s">
        <v>12131</v>
      </c>
      <c r="I4440">
        <v>54</v>
      </c>
      <c r="J4440">
        <v>9</v>
      </c>
      <c r="K4440">
        <v>0</v>
      </c>
      <c r="L4440">
        <v>45</v>
      </c>
      <c r="M4440">
        <v>0</v>
      </c>
      <c r="N4440">
        <v>0</v>
      </c>
      <c r="O4440">
        <v>0</v>
      </c>
    </row>
    <row r="4441" spans="1:15" x14ac:dyDescent="0.25">
      <c r="A4441" t="s">
        <v>1563</v>
      </c>
      <c r="B4441" t="s">
        <v>2895</v>
      </c>
      <c r="C4441" t="s">
        <v>927</v>
      </c>
      <c r="D4441" t="s">
        <v>3052</v>
      </c>
      <c r="E4441" t="s">
        <v>3053</v>
      </c>
      <c r="F4441" t="s">
        <v>545</v>
      </c>
      <c r="G4441" t="s">
        <v>546</v>
      </c>
      <c r="H4441" t="s">
        <v>14850</v>
      </c>
      <c r="I4441">
        <v>17</v>
      </c>
      <c r="J4441">
        <v>9</v>
      </c>
      <c r="K4441">
        <v>0</v>
      </c>
      <c r="L4441">
        <v>0</v>
      </c>
      <c r="M4441">
        <v>0</v>
      </c>
      <c r="N4441">
        <v>0</v>
      </c>
      <c r="O4441">
        <v>8</v>
      </c>
    </row>
    <row r="4442" spans="1:15" x14ac:dyDescent="0.25">
      <c r="A4442" t="s">
        <v>1196</v>
      </c>
      <c r="B4442" t="s">
        <v>3004</v>
      </c>
      <c r="C4442" t="s">
        <v>927</v>
      </c>
      <c r="D4442" t="s">
        <v>3052</v>
      </c>
      <c r="E4442" t="s">
        <v>3053</v>
      </c>
      <c r="F4442" t="s">
        <v>547</v>
      </c>
      <c r="G4442" t="s">
        <v>548</v>
      </c>
      <c r="H4442" t="s">
        <v>6019</v>
      </c>
      <c r="I4442">
        <v>5</v>
      </c>
      <c r="J4442">
        <v>3</v>
      </c>
      <c r="K4442">
        <v>0</v>
      </c>
      <c r="L4442">
        <v>0</v>
      </c>
      <c r="M4442">
        <v>0</v>
      </c>
      <c r="N4442">
        <v>0</v>
      </c>
      <c r="O4442">
        <v>2</v>
      </c>
    </row>
    <row r="4443" spans="1:15" x14ac:dyDescent="0.25">
      <c r="A4443" t="s">
        <v>924</v>
      </c>
      <c r="B4443" t="s">
        <v>2963</v>
      </c>
      <c r="C4443" t="s">
        <v>923</v>
      </c>
      <c r="D4443" t="s">
        <v>3063</v>
      </c>
      <c r="E4443" t="s">
        <v>3053</v>
      </c>
      <c r="F4443" t="s">
        <v>547</v>
      </c>
      <c r="G4443" t="s">
        <v>548</v>
      </c>
      <c r="H4443" t="s">
        <v>6020</v>
      </c>
      <c r="I4443">
        <v>1</v>
      </c>
      <c r="J4443">
        <v>0</v>
      </c>
      <c r="K4443">
        <v>0</v>
      </c>
      <c r="L4443">
        <v>1</v>
      </c>
      <c r="M4443">
        <v>0</v>
      </c>
      <c r="N4443">
        <v>0</v>
      </c>
      <c r="O4443">
        <v>0</v>
      </c>
    </row>
    <row r="4444" spans="1:15" x14ac:dyDescent="0.25">
      <c r="A4444" t="s">
        <v>926</v>
      </c>
      <c r="B4444" t="s">
        <v>2923</v>
      </c>
      <c r="C4444" t="s">
        <v>927</v>
      </c>
      <c r="D4444" t="s">
        <v>3052</v>
      </c>
      <c r="E4444" t="s">
        <v>3053</v>
      </c>
      <c r="F4444" t="s">
        <v>547</v>
      </c>
      <c r="G4444" t="s">
        <v>548</v>
      </c>
      <c r="H4444" t="s">
        <v>6021</v>
      </c>
      <c r="I4444">
        <v>1</v>
      </c>
      <c r="J4444">
        <v>1</v>
      </c>
      <c r="K4444">
        <v>0</v>
      </c>
      <c r="L4444">
        <v>0</v>
      </c>
      <c r="M4444">
        <v>0</v>
      </c>
      <c r="N4444">
        <v>0</v>
      </c>
      <c r="O4444">
        <v>0</v>
      </c>
    </row>
    <row r="4445" spans="1:15" x14ac:dyDescent="0.25">
      <c r="A4445" t="s">
        <v>929</v>
      </c>
      <c r="B4445" t="s">
        <v>2999</v>
      </c>
      <c r="C4445" t="s">
        <v>927</v>
      </c>
      <c r="D4445" t="s">
        <v>3052</v>
      </c>
      <c r="E4445" t="s">
        <v>3053</v>
      </c>
      <c r="F4445" t="s">
        <v>547</v>
      </c>
      <c r="G4445" t="s">
        <v>548</v>
      </c>
      <c r="H4445" t="s">
        <v>6022</v>
      </c>
      <c r="I4445">
        <v>86</v>
      </c>
      <c r="J4445">
        <v>0</v>
      </c>
      <c r="K4445">
        <v>0</v>
      </c>
      <c r="L4445">
        <v>0</v>
      </c>
      <c r="M4445">
        <v>86</v>
      </c>
      <c r="N4445">
        <v>0</v>
      </c>
      <c r="O4445">
        <v>0</v>
      </c>
    </row>
    <row r="4446" spans="1:15" x14ac:dyDescent="0.25">
      <c r="A4446" t="s">
        <v>1218</v>
      </c>
      <c r="B4446" t="s">
        <v>2565</v>
      </c>
      <c r="C4446" t="s">
        <v>927</v>
      </c>
      <c r="D4446" t="s">
        <v>3052</v>
      </c>
      <c r="E4446" t="s">
        <v>3053</v>
      </c>
      <c r="F4446" t="s">
        <v>547</v>
      </c>
      <c r="G4446" t="s">
        <v>548</v>
      </c>
      <c r="H4446" t="s">
        <v>6023</v>
      </c>
      <c r="I4446">
        <v>83</v>
      </c>
      <c r="J4446">
        <v>6</v>
      </c>
      <c r="K4446">
        <v>0</v>
      </c>
      <c r="L4446">
        <v>0</v>
      </c>
      <c r="M4446">
        <v>77</v>
      </c>
      <c r="N4446">
        <v>0</v>
      </c>
      <c r="O4446">
        <v>0</v>
      </c>
    </row>
    <row r="4447" spans="1:15" x14ac:dyDescent="0.25">
      <c r="A4447" t="s">
        <v>933</v>
      </c>
      <c r="B4447" t="s">
        <v>2106</v>
      </c>
      <c r="C4447" t="s">
        <v>927</v>
      </c>
      <c r="D4447" t="s">
        <v>3052</v>
      </c>
      <c r="E4447" t="s">
        <v>3053</v>
      </c>
      <c r="F4447" t="s">
        <v>547</v>
      </c>
      <c r="G4447" t="s">
        <v>548</v>
      </c>
      <c r="H4447" t="s">
        <v>6024</v>
      </c>
      <c r="I4447">
        <v>277</v>
      </c>
      <c r="J4447">
        <v>209</v>
      </c>
      <c r="K4447">
        <v>0</v>
      </c>
      <c r="L4447">
        <v>0</v>
      </c>
      <c r="M4447">
        <v>0</v>
      </c>
      <c r="N4447">
        <v>0</v>
      </c>
      <c r="O4447">
        <v>68</v>
      </c>
    </row>
    <row r="4448" spans="1:15" x14ac:dyDescent="0.25">
      <c r="A4448" t="s">
        <v>1104</v>
      </c>
      <c r="B4448" t="s">
        <v>2483</v>
      </c>
      <c r="C4448" t="s">
        <v>923</v>
      </c>
      <c r="D4448" t="s">
        <v>3063</v>
      </c>
      <c r="E4448" t="s">
        <v>3053</v>
      </c>
      <c r="F4448" t="s">
        <v>547</v>
      </c>
      <c r="G4448" t="s">
        <v>548</v>
      </c>
      <c r="H4448" t="s">
        <v>14851</v>
      </c>
      <c r="I4448">
        <v>15</v>
      </c>
      <c r="J4448">
        <v>15</v>
      </c>
      <c r="K4448">
        <v>0</v>
      </c>
      <c r="L4448">
        <v>0</v>
      </c>
      <c r="M4448">
        <v>0</v>
      </c>
      <c r="N4448">
        <v>0</v>
      </c>
      <c r="O4448">
        <v>0</v>
      </c>
    </row>
    <row r="4449" spans="1:15" x14ac:dyDescent="0.25">
      <c r="A4449" t="s">
        <v>10638</v>
      </c>
      <c r="B4449" t="s">
        <v>2057</v>
      </c>
      <c r="C4449" t="s">
        <v>927</v>
      </c>
      <c r="D4449" t="s">
        <v>3052</v>
      </c>
      <c r="E4449" t="s">
        <v>3053</v>
      </c>
      <c r="F4449" t="s">
        <v>547</v>
      </c>
      <c r="G4449" t="s">
        <v>548</v>
      </c>
      <c r="H4449" t="s">
        <v>11096</v>
      </c>
      <c r="I4449">
        <v>2</v>
      </c>
      <c r="J4449">
        <v>0</v>
      </c>
      <c r="K4449">
        <v>0</v>
      </c>
      <c r="L4449">
        <v>2</v>
      </c>
      <c r="M4449">
        <v>0</v>
      </c>
      <c r="N4449">
        <v>0</v>
      </c>
      <c r="O4449">
        <v>0</v>
      </c>
    </row>
    <row r="4450" spans="1:15" x14ac:dyDescent="0.25">
      <c r="A4450" t="s">
        <v>1008</v>
      </c>
      <c r="B4450" t="s">
        <v>2928</v>
      </c>
      <c r="C4450" t="s">
        <v>927</v>
      </c>
      <c r="D4450" t="s">
        <v>3052</v>
      </c>
      <c r="E4450" t="s">
        <v>3053</v>
      </c>
      <c r="F4450" t="s">
        <v>547</v>
      </c>
      <c r="G4450" t="s">
        <v>548</v>
      </c>
      <c r="H4450" t="s">
        <v>6025</v>
      </c>
      <c r="I4450">
        <v>23</v>
      </c>
      <c r="J4450">
        <v>0</v>
      </c>
      <c r="K4450">
        <v>0</v>
      </c>
      <c r="L4450">
        <v>23</v>
      </c>
      <c r="M4450">
        <v>0</v>
      </c>
      <c r="N4450">
        <v>0</v>
      </c>
      <c r="O4450">
        <v>0</v>
      </c>
    </row>
    <row r="4451" spans="1:15" x14ac:dyDescent="0.25">
      <c r="A4451" t="s">
        <v>938</v>
      </c>
      <c r="B4451" t="s">
        <v>2791</v>
      </c>
      <c r="C4451" t="s">
        <v>927</v>
      </c>
      <c r="D4451" t="s">
        <v>3052</v>
      </c>
      <c r="E4451" t="s">
        <v>3053</v>
      </c>
      <c r="F4451" t="s">
        <v>547</v>
      </c>
      <c r="G4451" t="s">
        <v>548</v>
      </c>
      <c r="H4451" t="s">
        <v>6026</v>
      </c>
      <c r="I4451">
        <v>39</v>
      </c>
      <c r="J4451">
        <v>39</v>
      </c>
      <c r="K4451">
        <v>0</v>
      </c>
      <c r="L4451">
        <v>0</v>
      </c>
      <c r="M4451">
        <v>0</v>
      </c>
      <c r="N4451">
        <v>0</v>
      </c>
      <c r="O4451">
        <v>0</v>
      </c>
    </row>
    <row r="4452" spans="1:15" x14ac:dyDescent="0.25">
      <c r="A4452" t="s">
        <v>940</v>
      </c>
      <c r="B4452" t="s">
        <v>2647</v>
      </c>
      <c r="C4452" t="s">
        <v>927</v>
      </c>
      <c r="D4452" t="s">
        <v>3052</v>
      </c>
      <c r="E4452" t="s">
        <v>3053</v>
      </c>
      <c r="F4452" t="s">
        <v>547</v>
      </c>
      <c r="G4452" t="s">
        <v>548</v>
      </c>
      <c r="H4452" t="s">
        <v>6027</v>
      </c>
      <c r="I4452">
        <v>33</v>
      </c>
      <c r="J4452">
        <v>0</v>
      </c>
      <c r="K4452">
        <v>0</v>
      </c>
      <c r="L4452">
        <v>0</v>
      </c>
      <c r="M4452">
        <v>33</v>
      </c>
      <c r="N4452">
        <v>0</v>
      </c>
      <c r="O4452">
        <v>0</v>
      </c>
    </row>
    <row r="4453" spans="1:15" x14ac:dyDescent="0.25">
      <c r="A4453" t="s">
        <v>1281</v>
      </c>
      <c r="B4453" t="s">
        <v>2915</v>
      </c>
      <c r="C4453" t="s">
        <v>923</v>
      </c>
      <c r="D4453" t="s">
        <v>3063</v>
      </c>
      <c r="E4453" t="s">
        <v>3053</v>
      </c>
      <c r="F4453" t="s">
        <v>547</v>
      </c>
      <c r="G4453" t="s">
        <v>548</v>
      </c>
      <c r="H4453" t="s">
        <v>6028</v>
      </c>
      <c r="I4453">
        <v>16</v>
      </c>
      <c r="J4453">
        <v>0</v>
      </c>
      <c r="K4453">
        <v>0</v>
      </c>
      <c r="L4453">
        <v>16</v>
      </c>
      <c r="M4453">
        <v>0</v>
      </c>
      <c r="N4453">
        <v>0</v>
      </c>
      <c r="O4453">
        <v>0</v>
      </c>
    </row>
    <row r="4454" spans="1:15" x14ac:dyDescent="0.25">
      <c r="A4454" t="s">
        <v>14386</v>
      </c>
      <c r="B4454" t="s">
        <v>2975</v>
      </c>
      <c r="C4454" t="s">
        <v>927</v>
      </c>
      <c r="D4454" t="s">
        <v>3052</v>
      </c>
      <c r="E4454" t="s">
        <v>3053</v>
      </c>
      <c r="F4454" t="s">
        <v>547</v>
      </c>
      <c r="G4454" t="s">
        <v>548</v>
      </c>
      <c r="H4454" t="s">
        <v>14852</v>
      </c>
      <c r="I4454">
        <v>10</v>
      </c>
      <c r="J4454">
        <v>10</v>
      </c>
      <c r="K4454">
        <v>0</v>
      </c>
      <c r="L4454">
        <v>0</v>
      </c>
      <c r="M4454">
        <v>0</v>
      </c>
      <c r="N4454">
        <v>0</v>
      </c>
      <c r="O4454">
        <v>0</v>
      </c>
    </row>
    <row r="4455" spans="1:15" x14ac:dyDescent="0.25">
      <c r="A4455" t="s">
        <v>1284</v>
      </c>
      <c r="B4455" t="s">
        <v>2700</v>
      </c>
      <c r="C4455" t="s">
        <v>923</v>
      </c>
      <c r="D4455" t="s">
        <v>3063</v>
      </c>
      <c r="E4455" t="s">
        <v>3053</v>
      </c>
      <c r="F4455" t="s">
        <v>547</v>
      </c>
      <c r="G4455" t="s">
        <v>548</v>
      </c>
      <c r="H4455" t="s">
        <v>6029</v>
      </c>
      <c r="I4455">
        <v>204</v>
      </c>
      <c r="J4455">
        <v>187</v>
      </c>
      <c r="K4455">
        <v>0</v>
      </c>
      <c r="L4455">
        <v>0</v>
      </c>
      <c r="M4455">
        <v>17</v>
      </c>
      <c r="N4455">
        <v>0</v>
      </c>
      <c r="O4455">
        <v>0</v>
      </c>
    </row>
    <row r="4456" spans="1:15" x14ac:dyDescent="0.25">
      <c r="A4456" t="s">
        <v>1025</v>
      </c>
      <c r="B4456" t="s">
        <v>2893</v>
      </c>
      <c r="C4456" t="s">
        <v>927</v>
      </c>
      <c r="D4456" t="s">
        <v>3052</v>
      </c>
      <c r="E4456" t="s">
        <v>3053</v>
      </c>
      <c r="F4456" t="s">
        <v>547</v>
      </c>
      <c r="G4456" t="s">
        <v>548</v>
      </c>
      <c r="H4456" t="s">
        <v>6030</v>
      </c>
      <c r="I4456">
        <v>370</v>
      </c>
      <c r="J4456">
        <v>312</v>
      </c>
      <c r="K4456">
        <v>0</v>
      </c>
      <c r="L4456">
        <v>0</v>
      </c>
      <c r="M4456">
        <v>0</v>
      </c>
      <c r="N4456">
        <v>0</v>
      </c>
      <c r="O4456">
        <v>58</v>
      </c>
    </row>
    <row r="4457" spans="1:15" x14ac:dyDescent="0.25">
      <c r="A4457" t="s">
        <v>10687</v>
      </c>
      <c r="B4457" t="s">
        <v>10686</v>
      </c>
      <c r="C4457" t="s">
        <v>923</v>
      </c>
      <c r="D4457" t="s">
        <v>3063</v>
      </c>
      <c r="E4457" t="s">
        <v>3053</v>
      </c>
      <c r="F4457" t="s">
        <v>547</v>
      </c>
      <c r="G4457" t="s">
        <v>548</v>
      </c>
      <c r="H4457" t="s">
        <v>14853</v>
      </c>
      <c r="I4457">
        <v>48</v>
      </c>
      <c r="J4457">
        <v>48</v>
      </c>
      <c r="K4457">
        <v>0</v>
      </c>
      <c r="L4457">
        <v>0</v>
      </c>
      <c r="M4457">
        <v>0</v>
      </c>
      <c r="N4457">
        <v>0</v>
      </c>
      <c r="O4457">
        <v>0</v>
      </c>
    </row>
    <row r="4458" spans="1:15" x14ac:dyDescent="0.25">
      <c r="A4458" t="s">
        <v>943</v>
      </c>
      <c r="B4458" t="s">
        <v>2694</v>
      </c>
      <c r="C4458" t="s">
        <v>927</v>
      </c>
      <c r="D4458" t="s">
        <v>3052</v>
      </c>
      <c r="E4458" t="s">
        <v>3053</v>
      </c>
      <c r="F4458" t="s">
        <v>547</v>
      </c>
      <c r="G4458" t="s">
        <v>548</v>
      </c>
      <c r="H4458" t="s">
        <v>6031</v>
      </c>
      <c r="I4458">
        <v>171</v>
      </c>
      <c r="J4458">
        <v>121</v>
      </c>
      <c r="K4458">
        <v>0</v>
      </c>
      <c r="L4458">
        <v>0</v>
      </c>
      <c r="M4458">
        <v>0</v>
      </c>
      <c r="N4458">
        <v>0</v>
      </c>
      <c r="O4458">
        <v>50</v>
      </c>
    </row>
    <row r="4459" spans="1:15" x14ac:dyDescent="0.25">
      <c r="A4459" t="s">
        <v>1297</v>
      </c>
      <c r="B4459" t="s">
        <v>2818</v>
      </c>
      <c r="C4459" t="s">
        <v>923</v>
      </c>
      <c r="D4459" t="s">
        <v>3063</v>
      </c>
      <c r="E4459" t="s">
        <v>3053</v>
      </c>
      <c r="F4459" t="s">
        <v>547</v>
      </c>
      <c r="G4459" t="s">
        <v>548</v>
      </c>
      <c r="H4459" t="s">
        <v>6032</v>
      </c>
      <c r="I4459">
        <v>5</v>
      </c>
      <c r="J4459">
        <v>5</v>
      </c>
      <c r="K4459">
        <v>0</v>
      </c>
      <c r="L4459">
        <v>0</v>
      </c>
      <c r="M4459">
        <v>0</v>
      </c>
      <c r="N4459">
        <v>0</v>
      </c>
      <c r="O4459">
        <v>0</v>
      </c>
    </row>
    <row r="4460" spans="1:15" x14ac:dyDescent="0.25">
      <c r="A4460" t="s">
        <v>1300</v>
      </c>
      <c r="B4460" t="s">
        <v>2644</v>
      </c>
      <c r="C4460" t="s">
        <v>927</v>
      </c>
      <c r="D4460" t="s">
        <v>3052</v>
      </c>
      <c r="E4460" t="s">
        <v>3053</v>
      </c>
      <c r="F4460" t="s">
        <v>547</v>
      </c>
      <c r="G4460" t="s">
        <v>548</v>
      </c>
      <c r="H4460" t="s">
        <v>6033</v>
      </c>
      <c r="I4460">
        <v>24</v>
      </c>
      <c r="J4460">
        <v>24</v>
      </c>
      <c r="K4460">
        <v>0</v>
      </c>
      <c r="L4460">
        <v>0</v>
      </c>
      <c r="M4460">
        <v>0</v>
      </c>
      <c r="N4460">
        <v>0</v>
      </c>
      <c r="O4460">
        <v>0</v>
      </c>
    </row>
    <row r="4461" spans="1:15" x14ac:dyDescent="0.25">
      <c r="A4461" t="s">
        <v>949</v>
      </c>
      <c r="B4461" t="s">
        <v>3035</v>
      </c>
      <c r="C4461" t="s">
        <v>927</v>
      </c>
      <c r="D4461" t="s">
        <v>3052</v>
      </c>
      <c r="E4461" t="s">
        <v>3053</v>
      </c>
      <c r="F4461" t="s">
        <v>547</v>
      </c>
      <c r="G4461" t="s">
        <v>548</v>
      </c>
      <c r="H4461" t="s">
        <v>6034</v>
      </c>
      <c r="I4461">
        <v>13</v>
      </c>
      <c r="J4461">
        <v>0</v>
      </c>
      <c r="K4461">
        <v>0</v>
      </c>
      <c r="L4461">
        <v>0</v>
      </c>
      <c r="M4461">
        <v>0</v>
      </c>
      <c r="N4461">
        <v>0</v>
      </c>
      <c r="O4461">
        <v>13</v>
      </c>
    </row>
    <row r="4462" spans="1:15" x14ac:dyDescent="0.25">
      <c r="A4462" t="s">
        <v>1140</v>
      </c>
      <c r="B4462" t="s">
        <v>2697</v>
      </c>
      <c r="C4462" t="s">
        <v>927</v>
      </c>
      <c r="D4462" t="s">
        <v>3052</v>
      </c>
      <c r="E4462" t="s">
        <v>3053</v>
      </c>
      <c r="F4462" t="s">
        <v>547</v>
      </c>
      <c r="G4462" t="s">
        <v>548</v>
      </c>
      <c r="H4462" t="s">
        <v>6035</v>
      </c>
      <c r="I4462">
        <v>1</v>
      </c>
      <c r="J4462">
        <v>0</v>
      </c>
      <c r="K4462">
        <v>0</v>
      </c>
      <c r="L4462">
        <v>0</v>
      </c>
      <c r="M4462">
        <v>0</v>
      </c>
      <c r="N4462">
        <v>0</v>
      </c>
      <c r="O4462">
        <v>1</v>
      </c>
    </row>
    <row r="4463" spans="1:15" x14ac:dyDescent="0.25">
      <c r="A4463" t="s">
        <v>1043</v>
      </c>
      <c r="B4463" t="s">
        <v>2090</v>
      </c>
      <c r="C4463" t="s">
        <v>927</v>
      </c>
      <c r="D4463" t="s">
        <v>3052</v>
      </c>
      <c r="E4463" t="s">
        <v>3053</v>
      </c>
      <c r="F4463" t="s">
        <v>547</v>
      </c>
      <c r="G4463" t="s">
        <v>548</v>
      </c>
      <c r="H4463" t="s">
        <v>6036</v>
      </c>
      <c r="I4463">
        <v>953</v>
      </c>
      <c r="J4463">
        <v>787</v>
      </c>
      <c r="K4463">
        <v>0</v>
      </c>
      <c r="L4463">
        <v>54</v>
      </c>
      <c r="M4463">
        <v>0</v>
      </c>
      <c r="N4463">
        <v>0</v>
      </c>
      <c r="O4463">
        <v>112</v>
      </c>
    </row>
    <row r="4464" spans="1:15" x14ac:dyDescent="0.25">
      <c r="A4464" t="s">
        <v>1144</v>
      </c>
      <c r="B4464" t="s">
        <v>2124</v>
      </c>
      <c r="C4464" t="s">
        <v>923</v>
      </c>
      <c r="D4464" t="s">
        <v>3063</v>
      </c>
      <c r="E4464" t="s">
        <v>3053</v>
      </c>
      <c r="F4464" t="s">
        <v>547</v>
      </c>
      <c r="G4464" t="s">
        <v>548</v>
      </c>
      <c r="H4464" t="s">
        <v>14854</v>
      </c>
      <c r="I4464">
        <v>9</v>
      </c>
      <c r="J4464">
        <v>9</v>
      </c>
      <c r="K4464">
        <v>0</v>
      </c>
      <c r="L4464">
        <v>0</v>
      </c>
      <c r="M4464">
        <v>0</v>
      </c>
      <c r="N4464">
        <v>0</v>
      </c>
      <c r="O4464">
        <v>0</v>
      </c>
    </row>
    <row r="4465" spans="1:15" x14ac:dyDescent="0.25">
      <c r="A4465" t="s">
        <v>951</v>
      </c>
      <c r="B4465" t="s">
        <v>2680</v>
      </c>
      <c r="C4465" t="s">
        <v>927</v>
      </c>
      <c r="D4465" t="s">
        <v>3052</v>
      </c>
      <c r="E4465" t="s">
        <v>3053</v>
      </c>
      <c r="F4465" t="s">
        <v>547</v>
      </c>
      <c r="G4465" t="s">
        <v>548</v>
      </c>
      <c r="H4465" t="s">
        <v>6037</v>
      </c>
      <c r="I4465">
        <v>18</v>
      </c>
      <c r="J4465">
        <v>16</v>
      </c>
      <c r="K4465">
        <v>0</v>
      </c>
      <c r="L4465">
        <v>0</v>
      </c>
      <c r="M4465">
        <v>0</v>
      </c>
      <c r="N4465">
        <v>0</v>
      </c>
      <c r="O4465">
        <v>2</v>
      </c>
    </row>
    <row r="4466" spans="1:15" x14ac:dyDescent="0.25">
      <c r="A4466" t="s">
        <v>953</v>
      </c>
      <c r="B4466" t="s">
        <v>2014</v>
      </c>
      <c r="C4466" t="s">
        <v>927</v>
      </c>
      <c r="D4466" t="s">
        <v>3052</v>
      </c>
      <c r="E4466" t="s">
        <v>3053</v>
      </c>
      <c r="F4466" t="s">
        <v>547</v>
      </c>
      <c r="G4466" t="s">
        <v>548</v>
      </c>
      <c r="H4466" t="s">
        <v>6038</v>
      </c>
      <c r="I4466">
        <v>32</v>
      </c>
      <c r="J4466">
        <v>0</v>
      </c>
      <c r="K4466">
        <v>0</v>
      </c>
      <c r="L4466">
        <v>32</v>
      </c>
      <c r="M4466">
        <v>0</v>
      </c>
      <c r="N4466">
        <v>0</v>
      </c>
      <c r="O4466">
        <v>0</v>
      </c>
    </row>
    <row r="4467" spans="1:15" x14ac:dyDescent="0.25">
      <c r="A4467" t="s">
        <v>1334</v>
      </c>
      <c r="B4467" t="s">
        <v>2849</v>
      </c>
      <c r="C4467" t="s">
        <v>927</v>
      </c>
      <c r="D4467" t="s">
        <v>3052</v>
      </c>
      <c r="E4467" t="s">
        <v>3053</v>
      </c>
      <c r="F4467" t="s">
        <v>547</v>
      </c>
      <c r="G4467" t="s">
        <v>548</v>
      </c>
      <c r="H4467" t="s">
        <v>6039</v>
      </c>
      <c r="I4467">
        <v>300</v>
      </c>
      <c r="J4467">
        <v>274</v>
      </c>
      <c r="K4467">
        <v>0</v>
      </c>
      <c r="L4467">
        <v>0</v>
      </c>
      <c r="M4467">
        <v>0</v>
      </c>
      <c r="N4467">
        <v>1</v>
      </c>
      <c r="O4467">
        <v>26</v>
      </c>
    </row>
    <row r="4468" spans="1:15" x14ac:dyDescent="0.25">
      <c r="A4468" t="s">
        <v>9788</v>
      </c>
      <c r="B4468" t="s">
        <v>9871</v>
      </c>
      <c r="C4468" t="s">
        <v>927</v>
      </c>
      <c r="D4468" t="s">
        <v>3052</v>
      </c>
      <c r="E4468" t="s">
        <v>3053</v>
      </c>
      <c r="F4468" t="s">
        <v>547</v>
      </c>
      <c r="G4468" t="s">
        <v>548</v>
      </c>
      <c r="H4468" t="s">
        <v>11097</v>
      </c>
      <c r="I4468">
        <v>6</v>
      </c>
      <c r="J4468">
        <v>6</v>
      </c>
      <c r="K4468">
        <v>0</v>
      </c>
      <c r="L4468">
        <v>0</v>
      </c>
      <c r="M4468">
        <v>0</v>
      </c>
      <c r="N4468">
        <v>0</v>
      </c>
      <c r="O4468">
        <v>0</v>
      </c>
    </row>
    <row r="4469" spans="1:15" x14ac:dyDescent="0.25">
      <c r="A4469" t="s">
        <v>1155</v>
      </c>
      <c r="B4469" t="s">
        <v>2912</v>
      </c>
      <c r="C4469" t="s">
        <v>927</v>
      </c>
      <c r="D4469" t="s">
        <v>3052</v>
      </c>
      <c r="E4469" t="s">
        <v>3053</v>
      </c>
      <c r="F4469" t="s">
        <v>547</v>
      </c>
      <c r="G4469" t="s">
        <v>548</v>
      </c>
      <c r="H4469" t="s">
        <v>6040</v>
      </c>
      <c r="I4469">
        <v>6</v>
      </c>
      <c r="J4469">
        <v>1</v>
      </c>
      <c r="K4469">
        <v>0</v>
      </c>
      <c r="L4469">
        <v>0</v>
      </c>
      <c r="M4469">
        <v>0</v>
      </c>
      <c r="N4469">
        <v>0</v>
      </c>
      <c r="O4469">
        <v>5</v>
      </c>
    </row>
    <row r="4470" spans="1:15" x14ac:dyDescent="0.25">
      <c r="A4470" t="s">
        <v>11663</v>
      </c>
      <c r="B4470" t="s">
        <v>11768</v>
      </c>
      <c r="C4470" t="s">
        <v>927</v>
      </c>
      <c r="D4470" t="s">
        <v>3052</v>
      </c>
      <c r="E4470" t="s">
        <v>3053</v>
      </c>
      <c r="F4470" t="s">
        <v>547</v>
      </c>
      <c r="G4470" t="s">
        <v>548</v>
      </c>
      <c r="H4470" t="s">
        <v>12132</v>
      </c>
      <c r="I4470">
        <v>84</v>
      </c>
      <c r="J4470">
        <v>4</v>
      </c>
      <c r="K4470">
        <v>78</v>
      </c>
      <c r="L4470">
        <v>0</v>
      </c>
      <c r="M4470">
        <v>0</v>
      </c>
      <c r="N4470">
        <v>0</v>
      </c>
      <c r="O4470">
        <v>2</v>
      </c>
    </row>
    <row r="4471" spans="1:15" x14ac:dyDescent="0.25">
      <c r="A4471" t="s">
        <v>14380</v>
      </c>
      <c r="B4471" t="s">
        <v>2074</v>
      </c>
      <c r="C4471" t="s">
        <v>927</v>
      </c>
      <c r="D4471" t="s">
        <v>3052</v>
      </c>
      <c r="E4471" t="s">
        <v>3053</v>
      </c>
      <c r="F4471" t="s">
        <v>547</v>
      </c>
      <c r="G4471" t="s">
        <v>548</v>
      </c>
      <c r="H4471" t="s">
        <v>14855</v>
      </c>
      <c r="I4471">
        <v>26</v>
      </c>
      <c r="J4471">
        <v>11</v>
      </c>
      <c r="K4471">
        <v>0</v>
      </c>
      <c r="L4471">
        <v>0</v>
      </c>
      <c r="M4471">
        <v>0</v>
      </c>
      <c r="N4471">
        <v>0</v>
      </c>
      <c r="O4471">
        <v>15</v>
      </c>
    </row>
    <row r="4472" spans="1:15" x14ac:dyDescent="0.25">
      <c r="A4472" t="s">
        <v>14374</v>
      </c>
      <c r="B4472" t="s">
        <v>1943</v>
      </c>
      <c r="C4472" t="s">
        <v>927</v>
      </c>
      <c r="D4472" t="s">
        <v>3052</v>
      </c>
      <c r="E4472" t="s">
        <v>3053</v>
      </c>
      <c r="F4472" t="s">
        <v>547</v>
      </c>
      <c r="G4472" t="s">
        <v>548</v>
      </c>
      <c r="H4472" t="s">
        <v>14856</v>
      </c>
      <c r="I4472">
        <v>3</v>
      </c>
      <c r="J4472">
        <v>0</v>
      </c>
      <c r="K4472">
        <v>0</v>
      </c>
      <c r="L4472">
        <v>0</v>
      </c>
      <c r="M4472">
        <v>0</v>
      </c>
      <c r="N4472">
        <v>0</v>
      </c>
      <c r="O4472">
        <v>3</v>
      </c>
    </row>
    <row r="4473" spans="1:15" x14ac:dyDescent="0.25">
      <c r="A4473" t="s">
        <v>11770</v>
      </c>
      <c r="B4473" t="s">
        <v>11769</v>
      </c>
      <c r="C4473" t="s">
        <v>923</v>
      </c>
      <c r="D4473" t="s">
        <v>3063</v>
      </c>
      <c r="E4473" t="s">
        <v>3053</v>
      </c>
      <c r="F4473" t="s">
        <v>547</v>
      </c>
      <c r="G4473" t="s">
        <v>548</v>
      </c>
      <c r="H4473" t="s">
        <v>14857</v>
      </c>
      <c r="I4473">
        <v>11</v>
      </c>
      <c r="J4473">
        <v>11</v>
      </c>
      <c r="K4473">
        <v>0</v>
      </c>
      <c r="L4473">
        <v>0</v>
      </c>
      <c r="M4473">
        <v>0</v>
      </c>
      <c r="N4473">
        <v>0</v>
      </c>
      <c r="O4473">
        <v>0</v>
      </c>
    </row>
    <row r="4474" spans="1:15" x14ac:dyDescent="0.25">
      <c r="A4474" t="s">
        <v>1353</v>
      </c>
      <c r="B4474" t="s">
        <v>2927</v>
      </c>
      <c r="C4474" t="s">
        <v>923</v>
      </c>
      <c r="D4474" t="s">
        <v>3063</v>
      </c>
      <c r="E4474" t="s">
        <v>3053</v>
      </c>
      <c r="F4474" t="s">
        <v>547</v>
      </c>
      <c r="G4474" t="s">
        <v>548</v>
      </c>
      <c r="H4474" t="s">
        <v>6041</v>
      </c>
      <c r="I4474">
        <v>77</v>
      </c>
      <c r="J4474">
        <v>77</v>
      </c>
      <c r="K4474">
        <v>0</v>
      </c>
      <c r="L4474">
        <v>0</v>
      </c>
      <c r="M4474">
        <v>0</v>
      </c>
      <c r="N4474">
        <v>0</v>
      </c>
      <c r="O4474">
        <v>0</v>
      </c>
    </row>
    <row r="4475" spans="1:15" x14ac:dyDescent="0.25">
      <c r="A4475" t="s">
        <v>1069</v>
      </c>
      <c r="B4475" t="s">
        <v>2001</v>
      </c>
      <c r="C4475" t="s">
        <v>927</v>
      </c>
      <c r="D4475" t="s">
        <v>3052</v>
      </c>
      <c r="E4475" t="s">
        <v>3053</v>
      </c>
      <c r="F4475" t="s">
        <v>547</v>
      </c>
      <c r="G4475" t="s">
        <v>548</v>
      </c>
      <c r="H4475" t="s">
        <v>14858</v>
      </c>
      <c r="I4475">
        <v>211</v>
      </c>
      <c r="J4475">
        <v>0</v>
      </c>
      <c r="K4475">
        <v>0</v>
      </c>
      <c r="L4475">
        <v>0</v>
      </c>
      <c r="M4475">
        <v>0</v>
      </c>
      <c r="N4475">
        <v>0</v>
      </c>
      <c r="O4475">
        <v>211</v>
      </c>
    </row>
    <row r="4476" spans="1:15" x14ac:dyDescent="0.25">
      <c r="A4476" t="s">
        <v>1072</v>
      </c>
      <c r="B4476" t="s">
        <v>2907</v>
      </c>
      <c r="C4476" t="s">
        <v>927</v>
      </c>
      <c r="D4476" t="s">
        <v>3052</v>
      </c>
      <c r="E4476" t="s">
        <v>3053</v>
      </c>
      <c r="F4476" t="s">
        <v>547</v>
      </c>
      <c r="G4476" t="s">
        <v>548</v>
      </c>
      <c r="H4476" t="s">
        <v>14859</v>
      </c>
      <c r="I4476">
        <v>28</v>
      </c>
      <c r="J4476">
        <v>10</v>
      </c>
      <c r="K4476">
        <v>5</v>
      </c>
      <c r="L4476">
        <v>12</v>
      </c>
      <c r="M4476">
        <v>0</v>
      </c>
      <c r="N4476">
        <v>0</v>
      </c>
      <c r="O4476">
        <v>1</v>
      </c>
    </row>
    <row r="4477" spans="1:15" x14ac:dyDescent="0.25">
      <c r="A4477" t="s">
        <v>1368</v>
      </c>
      <c r="B4477" t="s">
        <v>3022</v>
      </c>
      <c r="C4477" t="s">
        <v>923</v>
      </c>
      <c r="D4477" t="s">
        <v>3063</v>
      </c>
      <c r="E4477" t="s">
        <v>3053</v>
      </c>
      <c r="F4477" t="s">
        <v>547</v>
      </c>
      <c r="G4477" t="s">
        <v>548</v>
      </c>
      <c r="H4477" t="s">
        <v>6042</v>
      </c>
      <c r="I4477">
        <v>10</v>
      </c>
      <c r="J4477">
        <v>0</v>
      </c>
      <c r="K4477">
        <v>10</v>
      </c>
      <c r="L4477">
        <v>0</v>
      </c>
      <c r="M4477">
        <v>0</v>
      </c>
      <c r="N4477">
        <v>0</v>
      </c>
      <c r="O4477">
        <v>0</v>
      </c>
    </row>
    <row r="4478" spans="1:15" x14ac:dyDescent="0.25">
      <c r="A4478" t="s">
        <v>1380</v>
      </c>
      <c r="B4478" t="s">
        <v>2664</v>
      </c>
      <c r="C4478" t="s">
        <v>927</v>
      </c>
      <c r="D4478" t="s">
        <v>3052</v>
      </c>
      <c r="E4478" t="s">
        <v>3053</v>
      </c>
      <c r="F4478" t="s">
        <v>547</v>
      </c>
      <c r="G4478" t="s">
        <v>548</v>
      </c>
      <c r="H4478" t="s">
        <v>6043</v>
      </c>
      <c r="I4478">
        <v>157</v>
      </c>
      <c r="J4478">
        <v>83</v>
      </c>
      <c r="K4478">
        <v>0</v>
      </c>
      <c r="L4478">
        <v>0</v>
      </c>
      <c r="M4478">
        <v>0</v>
      </c>
      <c r="N4478">
        <v>2</v>
      </c>
      <c r="O4478">
        <v>74</v>
      </c>
    </row>
    <row r="4479" spans="1:15" x14ac:dyDescent="0.25">
      <c r="A4479" t="s">
        <v>1080</v>
      </c>
      <c r="B4479" t="s">
        <v>2030</v>
      </c>
      <c r="C4479" t="s">
        <v>923</v>
      </c>
      <c r="D4479" t="s">
        <v>3063</v>
      </c>
      <c r="E4479" t="s">
        <v>3053</v>
      </c>
      <c r="F4479" t="s">
        <v>547</v>
      </c>
      <c r="G4479" t="s">
        <v>548</v>
      </c>
      <c r="H4479" t="s">
        <v>6044</v>
      </c>
      <c r="I4479">
        <v>3</v>
      </c>
      <c r="J4479">
        <v>0</v>
      </c>
      <c r="K4479">
        <v>0</v>
      </c>
      <c r="L4479">
        <v>3</v>
      </c>
      <c r="M4479">
        <v>0</v>
      </c>
      <c r="N4479">
        <v>0</v>
      </c>
      <c r="O4479">
        <v>0</v>
      </c>
    </row>
    <row r="4480" spans="1:15" x14ac:dyDescent="0.25">
      <c r="A4480" t="s">
        <v>1396</v>
      </c>
      <c r="B4480" t="s">
        <v>2750</v>
      </c>
      <c r="C4480" t="s">
        <v>923</v>
      </c>
      <c r="D4480" t="s">
        <v>3063</v>
      </c>
      <c r="E4480" t="s">
        <v>3053</v>
      </c>
      <c r="F4480" t="s">
        <v>547</v>
      </c>
      <c r="G4480" t="s">
        <v>548</v>
      </c>
      <c r="H4480" t="s">
        <v>12133</v>
      </c>
      <c r="I4480">
        <v>3</v>
      </c>
      <c r="J4480">
        <v>3</v>
      </c>
      <c r="K4480">
        <v>0</v>
      </c>
      <c r="L4480">
        <v>0</v>
      </c>
      <c r="M4480">
        <v>0</v>
      </c>
      <c r="N4480">
        <v>0</v>
      </c>
      <c r="O4480">
        <v>0</v>
      </c>
    </row>
    <row r="4481" spans="1:15" x14ac:dyDescent="0.25">
      <c r="A4481" t="s">
        <v>1398</v>
      </c>
      <c r="B4481" t="s">
        <v>2998</v>
      </c>
      <c r="C4481" t="s">
        <v>927</v>
      </c>
      <c r="D4481" t="s">
        <v>3052</v>
      </c>
      <c r="E4481" t="s">
        <v>3053</v>
      </c>
      <c r="F4481" t="s">
        <v>547</v>
      </c>
      <c r="G4481" t="s">
        <v>548</v>
      </c>
      <c r="H4481" t="s">
        <v>6045</v>
      </c>
      <c r="I4481">
        <v>150</v>
      </c>
      <c r="J4481">
        <v>0</v>
      </c>
      <c r="K4481">
        <v>0</v>
      </c>
      <c r="L4481">
        <v>150</v>
      </c>
      <c r="M4481">
        <v>0</v>
      </c>
      <c r="N4481">
        <v>0</v>
      </c>
      <c r="O4481">
        <v>0</v>
      </c>
    </row>
    <row r="4482" spans="1:15" x14ac:dyDescent="0.25">
      <c r="A4482" t="s">
        <v>1016</v>
      </c>
      <c r="B4482" t="s">
        <v>2725</v>
      </c>
      <c r="C4482" t="s">
        <v>927</v>
      </c>
      <c r="D4482" t="s">
        <v>3052</v>
      </c>
      <c r="E4482" t="s">
        <v>3053</v>
      </c>
      <c r="F4482" t="s">
        <v>549</v>
      </c>
      <c r="G4482" t="s">
        <v>550</v>
      </c>
      <c r="H4482" t="s">
        <v>6062</v>
      </c>
      <c r="I4482">
        <v>388</v>
      </c>
      <c r="J4482">
        <v>217</v>
      </c>
      <c r="K4482">
        <v>0</v>
      </c>
      <c r="L4482">
        <v>0</v>
      </c>
      <c r="M4482">
        <v>119</v>
      </c>
      <c r="N4482">
        <v>0</v>
      </c>
      <c r="O4482">
        <v>52</v>
      </c>
    </row>
    <row r="4483" spans="1:15" x14ac:dyDescent="0.25">
      <c r="A4483" t="s">
        <v>11723</v>
      </c>
      <c r="B4483" t="s">
        <v>2719</v>
      </c>
      <c r="C4483" t="s">
        <v>927</v>
      </c>
      <c r="D4483" t="s">
        <v>3052</v>
      </c>
      <c r="E4483" t="s">
        <v>3053</v>
      </c>
      <c r="F4483" t="s">
        <v>549</v>
      </c>
      <c r="G4483" t="s">
        <v>550</v>
      </c>
      <c r="H4483" t="s">
        <v>12134</v>
      </c>
      <c r="I4483">
        <v>8</v>
      </c>
      <c r="J4483">
        <v>8</v>
      </c>
      <c r="K4483">
        <v>0</v>
      </c>
      <c r="L4483">
        <v>0</v>
      </c>
      <c r="M4483">
        <v>0</v>
      </c>
      <c r="N4483">
        <v>0</v>
      </c>
      <c r="O4483">
        <v>0</v>
      </c>
    </row>
    <row r="4484" spans="1:15" x14ac:dyDescent="0.25">
      <c r="A4484" t="s">
        <v>971</v>
      </c>
      <c r="B4484" t="s">
        <v>2956</v>
      </c>
      <c r="C4484" t="s">
        <v>927</v>
      </c>
      <c r="D4484" t="s">
        <v>3052</v>
      </c>
      <c r="E4484" t="s">
        <v>3053</v>
      </c>
      <c r="F4484" t="s">
        <v>549</v>
      </c>
      <c r="G4484" t="s">
        <v>550</v>
      </c>
      <c r="H4484" t="s">
        <v>6046</v>
      </c>
      <c r="I4484">
        <v>250</v>
      </c>
      <c r="J4484">
        <v>218</v>
      </c>
      <c r="K4484">
        <v>0</v>
      </c>
      <c r="L4484">
        <v>0</v>
      </c>
      <c r="M4484">
        <v>32</v>
      </c>
      <c r="N4484">
        <v>0</v>
      </c>
      <c r="O4484">
        <v>0</v>
      </c>
    </row>
    <row r="4485" spans="1:15" x14ac:dyDescent="0.25">
      <c r="A4485" t="s">
        <v>1452</v>
      </c>
      <c r="B4485" t="s">
        <v>2721</v>
      </c>
      <c r="C4485" t="s">
        <v>923</v>
      </c>
      <c r="D4485" t="s">
        <v>3063</v>
      </c>
      <c r="E4485" t="s">
        <v>3053</v>
      </c>
      <c r="F4485" t="s">
        <v>549</v>
      </c>
      <c r="G4485" t="s">
        <v>550</v>
      </c>
      <c r="H4485" t="s">
        <v>6047</v>
      </c>
      <c r="I4485">
        <v>46</v>
      </c>
      <c r="J4485">
        <v>0</v>
      </c>
      <c r="K4485">
        <v>0</v>
      </c>
      <c r="L4485">
        <v>0</v>
      </c>
      <c r="M4485">
        <v>46</v>
      </c>
      <c r="N4485">
        <v>0</v>
      </c>
      <c r="O4485">
        <v>0</v>
      </c>
    </row>
    <row r="4486" spans="1:15" x14ac:dyDescent="0.25">
      <c r="A4486" t="s">
        <v>929</v>
      </c>
      <c r="B4486" t="s">
        <v>2999</v>
      </c>
      <c r="C4486" t="s">
        <v>927</v>
      </c>
      <c r="D4486" t="s">
        <v>3052</v>
      </c>
      <c r="E4486" t="s">
        <v>3053</v>
      </c>
      <c r="F4486" t="s">
        <v>549</v>
      </c>
      <c r="G4486" t="s">
        <v>550</v>
      </c>
      <c r="H4486" t="s">
        <v>6048</v>
      </c>
      <c r="I4486">
        <v>182</v>
      </c>
      <c r="J4486">
        <v>0</v>
      </c>
      <c r="K4486">
        <v>0</v>
      </c>
      <c r="L4486">
        <v>0</v>
      </c>
      <c r="M4486">
        <v>182</v>
      </c>
      <c r="N4486">
        <v>0</v>
      </c>
      <c r="O4486">
        <v>0</v>
      </c>
    </row>
    <row r="4487" spans="1:15" x14ac:dyDescent="0.25">
      <c r="A4487" t="s">
        <v>978</v>
      </c>
      <c r="B4487" t="s">
        <v>1999</v>
      </c>
      <c r="C4487" t="s">
        <v>923</v>
      </c>
      <c r="D4487" t="s">
        <v>3063</v>
      </c>
      <c r="E4487" t="s">
        <v>3053</v>
      </c>
      <c r="F4487" t="s">
        <v>549</v>
      </c>
      <c r="G4487" t="s">
        <v>550</v>
      </c>
      <c r="H4487" t="s">
        <v>6049</v>
      </c>
      <c r="I4487">
        <v>1</v>
      </c>
      <c r="J4487">
        <v>1</v>
      </c>
      <c r="K4487">
        <v>0</v>
      </c>
      <c r="L4487">
        <v>0</v>
      </c>
      <c r="M4487">
        <v>0</v>
      </c>
      <c r="N4487">
        <v>0</v>
      </c>
      <c r="O4487">
        <v>0</v>
      </c>
    </row>
    <row r="4488" spans="1:15" x14ac:dyDescent="0.25">
      <c r="A4488" t="s">
        <v>1212</v>
      </c>
      <c r="B4488" t="s">
        <v>2004</v>
      </c>
      <c r="C4488" t="s">
        <v>923</v>
      </c>
      <c r="D4488" t="s">
        <v>3063</v>
      </c>
      <c r="E4488" t="s">
        <v>3053</v>
      </c>
      <c r="F4488" t="s">
        <v>549</v>
      </c>
      <c r="G4488" t="s">
        <v>550</v>
      </c>
      <c r="H4488" t="s">
        <v>10003</v>
      </c>
      <c r="I4488">
        <v>12</v>
      </c>
      <c r="J4488">
        <v>0</v>
      </c>
      <c r="K4488">
        <v>0</v>
      </c>
      <c r="L4488">
        <v>12</v>
      </c>
      <c r="M4488">
        <v>0</v>
      </c>
      <c r="N4488">
        <v>0</v>
      </c>
      <c r="O4488">
        <v>0</v>
      </c>
    </row>
    <row r="4489" spans="1:15" x14ac:dyDescent="0.25">
      <c r="A4489" t="s">
        <v>985</v>
      </c>
      <c r="B4489" t="s">
        <v>1964</v>
      </c>
      <c r="C4489" t="s">
        <v>923</v>
      </c>
      <c r="D4489" t="s">
        <v>3063</v>
      </c>
      <c r="E4489" t="s">
        <v>3053</v>
      </c>
      <c r="F4489" t="s">
        <v>549</v>
      </c>
      <c r="G4489" t="s">
        <v>550</v>
      </c>
      <c r="H4489" t="s">
        <v>6050</v>
      </c>
      <c r="I4489">
        <v>16</v>
      </c>
      <c r="J4489">
        <v>0</v>
      </c>
      <c r="K4489">
        <v>0</v>
      </c>
      <c r="L4489">
        <v>16</v>
      </c>
      <c r="M4489">
        <v>0</v>
      </c>
      <c r="N4489">
        <v>0</v>
      </c>
      <c r="O4489">
        <v>0</v>
      </c>
    </row>
    <row r="4490" spans="1:15" x14ac:dyDescent="0.25">
      <c r="A4490" t="s">
        <v>1877</v>
      </c>
      <c r="B4490" t="s">
        <v>2070</v>
      </c>
      <c r="C4490" t="s">
        <v>923</v>
      </c>
      <c r="D4490" t="s">
        <v>3063</v>
      </c>
      <c r="E4490" t="s">
        <v>3053</v>
      </c>
      <c r="F4490" t="s">
        <v>549</v>
      </c>
      <c r="G4490" t="s">
        <v>550</v>
      </c>
      <c r="H4490" t="s">
        <v>6051</v>
      </c>
      <c r="I4490">
        <v>28</v>
      </c>
      <c r="J4490">
        <v>0</v>
      </c>
      <c r="K4490">
        <v>0</v>
      </c>
      <c r="L4490">
        <v>28</v>
      </c>
      <c r="M4490">
        <v>0</v>
      </c>
      <c r="N4490">
        <v>0</v>
      </c>
      <c r="O4490">
        <v>0</v>
      </c>
    </row>
    <row r="4491" spans="1:15" x14ac:dyDescent="0.25">
      <c r="A4491" t="s">
        <v>1879</v>
      </c>
      <c r="B4491" t="s">
        <v>2783</v>
      </c>
      <c r="C4491" t="s">
        <v>927</v>
      </c>
      <c r="D4491" t="s">
        <v>3052</v>
      </c>
      <c r="E4491" t="s">
        <v>3053</v>
      </c>
      <c r="F4491" t="s">
        <v>549</v>
      </c>
      <c r="G4491" t="s">
        <v>550</v>
      </c>
      <c r="H4491" t="s">
        <v>6052</v>
      </c>
      <c r="I4491">
        <v>915</v>
      </c>
      <c r="J4491">
        <v>355</v>
      </c>
      <c r="K4491">
        <v>0</v>
      </c>
      <c r="L4491">
        <v>131</v>
      </c>
      <c r="M4491">
        <v>361</v>
      </c>
      <c r="N4491">
        <v>3</v>
      </c>
      <c r="O4491">
        <v>68</v>
      </c>
    </row>
    <row r="4492" spans="1:15" x14ac:dyDescent="0.25">
      <c r="A4492" t="s">
        <v>1483</v>
      </c>
      <c r="B4492" t="s">
        <v>1932</v>
      </c>
      <c r="C4492" t="s">
        <v>927</v>
      </c>
      <c r="D4492" t="s">
        <v>3052</v>
      </c>
      <c r="E4492" t="s">
        <v>3053</v>
      </c>
      <c r="F4492" t="s">
        <v>549</v>
      </c>
      <c r="G4492" t="s">
        <v>550</v>
      </c>
      <c r="H4492" t="s">
        <v>14860</v>
      </c>
      <c r="I4492">
        <v>15</v>
      </c>
      <c r="J4492">
        <v>5</v>
      </c>
      <c r="K4492">
        <v>0</v>
      </c>
      <c r="L4492">
        <v>0</v>
      </c>
      <c r="M4492">
        <v>0</v>
      </c>
      <c r="N4492">
        <v>0</v>
      </c>
      <c r="O4492">
        <v>10</v>
      </c>
    </row>
    <row r="4493" spans="1:15" x14ac:dyDescent="0.25">
      <c r="A4493" t="s">
        <v>1485</v>
      </c>
      <c r="B4493" t="s">
        <v>2836</v>
      </c>
      <c r="C4493" t="s">
        <v>927</v>
      </c>
      <c r="D4493" t="s">
        <v>3052</v>
      </c>
      <c r="E4493" t="s">
        <v>3053</v>
      </c>
      <c r="F4493" t="s">
        <v>549</v>
      </c>
      <c r="G4493" t="s">
        <v>550</v>
      </c>
      <c r="H4493" t="s">
        <v>6053</v>
      </c>
      <c r="I4493">
        <v>6</v>
      </c>
      <c r="J4493">
        <v>0</v>
      </c>
      <c r="K4493">
        <v>0</v>
      </c>
      <c r="L4493">
        <v>0</v>
      </c>
      <c r="M4493">
        <v>0</v>
      </c>
      <c r="N4493">
        <v>0</v>
      </c>
      <c r="O4493">
        <v>6</v>
      </c>
    </row>
    <row r="4494" spans="1:15" x14ac:dyDescent="0.25">
      <c r="A4494" t="s">
        <v>10638</v>
      </c>
      <c r="B4494" t="s">
        <v>2057</v>
      </c>
      <c r="C4494" t="s">
        <v>927</v>
      </c>
      <c r="D4494" t="s">
        <v>3052</v>
      </c>
      <c r="E4494" t="s">
        <v>3053</v>
      </c>
      <c r="F4494" t="s">
        <v>549</v>
      </c>
      <c r="G4494" t="s">
        <v>550</v>
      </c>
      <c r="H4494" t="s">
        <v>11098</v>
      </c>
      <c r="I4494">
        <v>10</v>
      </c>
      <c r="J4494">
        <v>0</v>
      </c>
      <c r="K4494">
        <v>0</v>
      </c>
      <c r="L4494">
        <v>10</v>
      </c>
      <c r="M4494">
        <v>0</v>
      </c>
      <c r="N4494">
        <v>0</v>
      </c>
      <c r="O4494">
        <v>0</v>
      </c>
    </row>
    <row r="4495" spans="1:15" x14ac:dyDescent="0.25">
      <c r="A4495" t="s">
        <v>1009</v>
      </c>
      <c r="B4495" t="s">
        <v>1958</v>
      </c>
      <c r="C4495" t="s">
        <v>923</v>
      </c>
      <c r="D4495" t="s">
        <v>3063</v>
      </c>
      <c r="E4495" t="s">
        <v>3053</v>
      </c>
      <c r="F4495" t="s">
        <v>549</v>
      </c>
      <c r="G4495" t="s">
        <v>550</v>
      </c>
      <c r="H4495" t="s">
        <v>6054</v>
      </c>
      <c r="I4495">
        <v>11</v>
      </c>
      <c r="J4495">
        <v>0</v>
      </c>
      <c r="K4495">
        <v>0</v>
      </c>
      <c r="L4495">
        <v>11</v>
      </c>
      <c r="M4495">
        <v>0</v>
      </c>
      <c r="N4495">
        <v>0</v>
      </c>
      <c r="O4495">
        <v>0</v>
      </c>
    </row>
    <row r="4496" spans="1:15" x14ac:dyDescent="0.25">
      <c r="A4496" t="s">
        <v>937</v>
      </c>
      <c r="B4496" t="s">
        <v>1962</v>
      </c>
      <c r="C4496" t="s">
        <v>927</v>
      </c>
      <c r="D4496" t="s">
        <v>3052</v>
      </c>
      <c r="E4496" t="s">
        <v>3053</v>
      </c>
      <c r="F4496" t="s">
        <v>549</v>
      </c>
      <c r="G4496" t="s">
        <v>550</v>
      </c>
      <c r="H4496" t="s">
        <v>6055</v>
      </c>
      <c r="I4496">
        <v>27</v>
      </c>
      <c r="J4496">
        <v>0</v>
      </c>
      <c r="K4496">
        <v>0</v>
      </c>
      <c r="L4496">
        <v>0</v>
      </c>
      <c r="M4496">
        <v>0</v>
      </c>
      <c r="N4496">
        <v>0</v>
      </c>
      <c r="O4496">
        <v>27</v>
      </c>
    </row>
    <row r="4497" spans="1:15" x14ac:dyDescent="0.25">
      <c r="A4497" t="s">
        <v>1891</v>
      </c>
      <c r="B4497" t="s">
        <v>2034</v>
      </c>
      <c r="C4497" t="s">
        <v>923</v>
      </c>
      <c r="D4497" t="s">
        <v>3063</v>
      </c>
      <c r="E4497" t="s">
        <v>3053</v>
      </c>
      <c r="F4497" t="s">
        <v>549</v>
      </c>
      <c r="G4497" t="s">
        <v>550</v>
      </c>
      <c r="H4497" t="s">
        <v>6056</v>
      </c>
      <c r="I4497">
        <v>41</v>
      </c>
      <c r="J4497">
        <v>2</v>
      </c>
      <c r="K4497">
        <v>0</v>
      </c>
      <c r="L4497">
        <v>39</v>
      </c>
      <c r="M4497">
        <v>0</v>
      </c>
      <c r="N4497">
        <v>0</v>
      </c>
      <c r="O4497">
        <v>0</v>
      </c>
    </row>
    <row r="4498" spans="1:15" x14ac:dyDescent="0.25">
      <c r="A4498" t="s">
        <v>1011</v>
      </c>
      <c r="B4498" t="s">
        <v>2020</v>
      </c>
      <c r="C4498" t="s">
        <v>927</v>
      </c>
      <c r="D4498" t="s">
        <v>3052</v>
      </c>
      <c r="E4498" t="s">
        <v>3053</v>
      </c>
      <c r="F4498" t="s">
        <v>549</v>
      </c>
      <c r="G4498" t="s">
        <v>550</v>
      </c>
      <c r="H4498" t="s">
        <v>6057</v>
      </c>
      <c r="I4498">
        <v>27</v>
      </c>
      <c r="J4498">
        <v>0</v>
      </c>
      <c r="K4498">
        <v>0</v>
      </c>
      <c r="L4498">
        <v>27</v>
      </c>
      <c r="M4498">
        <v>0</v>
      </c>
      <c r="N4498">
        <v>0</v>
      </c>
      <c r="O4498">
        <v>0</v>
      </c>
    </row>
    <row r="4499" spans="1:15" x14ac:dyDescent="0.25">
      <c r="A4499" t="s">
        <v>938</v>
      </c>
      <c r="B4499" t="s">
        <v>2791</v>
      </c>
      <c r="C4499" t="s">
        <v>927</v>
      </c>
      <c r="D4499" t="s">
        <v>3052</v>
      </c>
      <c r="E4499" t="s">
        <v>3053</v>
      </c>
      <c r="F4499" t="s">
        <v>549</v>
      </c>
      <c r="G4499" t="s">
        <v>550</v>
      </c>
      <c r="H4499" t="s">
        <v>6058</v>
      </c>
      <c r="I4499">
        <v>276</v>
      </c>
      <c r="J4499">
        <v>198</v>
      </c>
      <c r="K4499">
        <v>0</v>
      </c>
      <c r="L4499">
        <v>46</v>
      </c>
      <c r="M4499">
        <v>0</v>
      </c>
      <c r="N4499">
        <v>1</v>
      </c>
      <c r="O4499">
        <v>32</v>
      </c>
    </row>
    <row r="4500" spans="1:15" x14ac:dyDescent="0.25">
      <c r="A4500" t="s">
        <v>940</v>
      </c>
      <c r="B4500" t="s">
        <v>2647</v>
      </c>
      <c r="C4500" t="s">
        <v>927</v>
      </c>
      <c r="D4500" t="s">
        <v>3052</v>
      </c>
      <c r="E4500" t="s">
        <v>3053</v>
      </c>
      <c r="F4500" t="s">
        <v>549</v>
      </c>
      <c r="G4500" t="s">
        <v>550</v>
      </c>
      <c r="H4500" t="s">
        <v>6059</v>
      </c>
      <c r="I4500">
        <v>202</v>
      </c>
      <c r="J4500">
        <v>0</v>
      </c>
      <c r="K4500">
        <v>0</v>
      </c>
      <c r="L4500">
        <v>0</v>
      </c>
      <c r="M4500">
        <v>202</v>
      </c>
      <c r="N4500">
        <v>0</v>
      </c>
      <c r="O4500">
        <v>0</v>
      </c>
    </row>
    <row r="4501" spans="1:15" x14ac:dyDescent="0.25">
      <c r="A4501" t="s">
        <v>1423</v>
      </c>
      <c r="B4501" t="s">
        <v>2071</v>
      </c>
      <c r="C4501" t="s">
        <v>923</v>
      </c>
      <c r="D4501" t="s">
        <v>3063</v>
      </c>
      <c r="E4501" t="s">
        <v>3053</v>
      </c>
      <c r="F4501" t="s">
        <v>549</v>
      </c>
      <c r="G4501" t="s">
        <v>550</v>
      </c>
      <c r="H4501" t="s">
        <v>14861</v>
      </c>
      <c r="I4501">
        <v>7</v>
      </c>
      <c r="J4501">
        <v>0</v>
      </c>
      <c r="K4501">
        <v>0</v>
      </c>
      <c r="L4501">
        <v>7</v>
      </c>
      <c r="M4501">
        <v>0</v>
      </c>
      <c r="N4501">
        <v>0</v>
      </c>
      <c r="O4501">
        <v>0</v>
      </c>
    </row>
    <row r="4502" spans="1:15" x14ac:dyDescent="0.25">
      <c r="A4502" t="s">
        <v>1013</v>
      </c>
      <c r="B4502" t="s">
        <v>1959</v>
      </c>
      <c r="C4502" t="s">
        <v>927</v>
      </c>
      <c r="D4502" t="s">
        <v>3052</v>
      </c>
      <c r="E4502" t="s">
        <v>3053</v>
      </c>
      <c r="F4502" t="s">
        <v>549</v>
      </c>
      <c r="G4502" t="s">
        <v>550</v>
      </c>
      <c r="H4502" t="s">
        <v>6060</v>
      </c>
      <c r="I4502">
        <v>9</v>
      </c>
      <c r="J4502">
        <v>0</v>
      </c>
      <c r="K4502">
        <v>0</v>
      </c>
      <c r="L4502">
        <v>9</v>
      </c>
      <c r="M4502">
        <v>0</v>
      </c>
      <c r="N4502">
        <v>0</v>
      </c>
      <c r="O4502">
        <v>0</v>
      </c>
    </row>
    <row r="4503" spans="1:15" x14ac:dyDescent="0.25">
      <c r="A4503" t="s">
        <v>1897</v>
      </c>
      <c r="B4503" t="s">
        <v>2883</v>
      </c>
      <c r="C4503" t="s">
        <v>927</v>
      </c>
      <c r="D4503" t="s">
        <v>3052</v>
      </c>
      <c r="E4503" t="s">
        <v>3053</v>
      </c>
      <c r="F4503" t="s">
        <v>549</v>
      </c>
      <c r="G4503" t="s">
        <v>550</v>
      </c>
      <c r="H4503" t="s">
        <v>6061</v>
      </c>
      <c r="I4503">
        <v>1012</v>
      </c>
      <c r="J4503">
        <v>944</v>
      </c>
      <c r="K4503">
        <v>0</v>
      </c>
      <c r="L4503">
        <v>0</v>
      </c>
      <c r="M4503">
        <v>37</v>
      </c>
      <c r="N4503">
        <v>2</v>
      </c>
      <c r="O4503">
        <v>31</v>
      </c>
    </row>
    <row r="4504" spans="1:15" x14ac:dyDescent="0.25">
      <c r="A4504" t="s">
        <v>1900</v>
      </c>
      <c r="B4504" t="s">
        <v>2005</v>
      </c>
      <c r="C4504" t="s">
        <v>923</v>
      </c>
      <c r="D4504" t="s">
        <v>3063</v>
      </c>
      <c r="E4504" t="s">
        <v>3053</v>
      </c>
      <c r="F4504" t="s">
        <v>549</v>
      </c>
      <c r="G4504" t="s">
        <v>550</v>
      </c>
      <c r="H4504" t="s">
        <v>6063</v>
      </c>
      <c r="I4504">
        <v>8</v>
      </c>
      <c r="J4504">
        <v>8</v>
      </c>
      <c r="K4504">
        <v>0</v>
      </c>
      <c r="L4504">
        <v>0</v>
      </c>
      <c r="M4504">
        <v>0</v>
      </c>
      <c r="N4504">
        <v>0</v>
      </c>
      <c r="O4504">
        <v>0</v>
      </c>
    </row>
    <row r="4505" spans="1:15" x14ac:dyDescent="0.25">
      <c r="A4505" t="s">
        <v>1019</v>
      </c>
      <c r="B4505" t="s">
        <v>2944</v>
      </c>
      <c r="C4505" t="s">
        <v>927</v>
      </c>
      <c r="D4505" t="s">
        <v>3052</v>
      </c>
      <c r="E4505" t="s">
        <v>3053</v>
      </c>
      <c r="F4505" t="s">
        <v>549</v>
      </c>
      <c r="G4505" t="s">
        <v>550</v>
      </c>
      <c r="H4505" t="s">
        <v>12135</v>
      </c>
      <c r="I4505">
        <v>28</v>
      </c>
      <c r="J4505">
        <v>16</v>
      </c>
      <c r="K4505">
        <v>0</v>
      </c>
      <c r="L4505">
        <v>0</v>
      </c>
      <c r="M4505">
        <v>0</v>
      </c>
      <c r="N4505">
        <v>0</v>
      </c>
      <c r="O4505">
        <v>12</v>
      </c>
    </row>
    <row r="4506" spans="1:15" x14ac:dyDescent="0.25">
      <c r="A4506" t="s">
        <v>1296</v>
      </c>
      <c r="B4506" t="s">
        <v>2965</v>
      </c>
      <c r="C4506" t="s">
        <v>923</v>
      </c>
      <c r="D4506" t="s">
        <v>3063</v>
      </c>
      <c r="E4506" t="s">
        <v>3053</v>
      </c>
      <c r="F4506" t="s">
        <v>549</v>
      </c>
      <c r="G4506" t="s">
        <v>550</v>
      </c>
      <c r="H4506" t="s">
        <v>6064</v>
      </c>
      <c r="I4506">
        <v>46</v>
      </c>
      <c r="J4506">
        <v>0</v>
      </c>
      <c r="K4506">
        <v>0</v>
      </c>
      <c r="L4506">
        <v>0</v>
      </c>
      <c r="M4506">
        <v>46</v>
      </c>
      <c r="N4506">
        <v>0</v>
      </c>
      <c r="O4506">
        <v>0</v>
      </c>
    </row>
    <row r="4507" spans="1:15" x14ac:dyDescent="0.25">
      <c r="A4507" t="s">
        <v>1906</v>
      </c>
      <c r="B4507" t="s">
        <v>1983</v>
      </c>
      <c r="C4507" t="s">
        <v>923</v>
      </c>
      <c r="D4507" t="s">
        <v>3063</v>
      </c>
      <c r="E4507" t="s">
        <v>3053</v>
      </c>
      <c r="F4507" t="s">
        <v>549</v>
      </c>
      <c r="G4507" t="s">
        <v>550</v>
      </c>
      <c r="H4507" t="s">
        <v>6065</v>
      </c>
      <c r="I4507">
        <v>1</v>
      </c>
      <c r="J4507">
        <v>1</v>
      </c>
      <c r="K4507">
        <v>0</v>
      </c>
      <c r="L4507">
        <v>0</v>
      </c>
      <c r="M4507">
        <v>0</v>
      </c>
      <c r="N4507">
        <v>0</v>
      </c>
      <c r="O4507">
        <v>0</v>
      </c>
    </row>
    <row r="4508" spans="1:15" x14ac:dyDescent="0.25">
      <c r="A4508" t="s">
        <v>951</v>
      </c>
      <c r="B4508" t="s">
        <v>2680</v>
      </c>
      <c r="C4508" t="s">
        <v>927</v>
      </c>
      <c r="D4508" t="s">
        <v>3052</v>
      </c>
      <c r="E4508" t="s">
        <v>3053</v>
      </c>
      <c r="F4508" t="s">
        <v>549</v>
      </c>
      <c r="G4508" t="s">
        <v>550</v>
      </c>
      <c r="H4508" t="s">
        <v>6066</v>
      </c>
      <c r="I4508">
        <v>326</v>
      </c>
      <c r="J4508">
        <v>258</v>
      </c>
      <c r="K4508">
        <v>0</v>
      </c>
      <c r="L4508">
        <v>1</v>
      </c>
      <c r="M4508">
        <v>30</v>
      </c>
      <c r="N4508">
        <v>0</v>
      </c>
      <c r="O4508">
        <v>37</v>
      </c>
    </row>
    <row r="4509" spans="1:15" x14ac:dyDescent="0.25">
      <c r="A4509" t="s">
        <v>11720</v>
      </c>
      <c r="B4509" t="s">
        <v>10718</v>
      </c>
      <c r="C4509" t="s">
        <v>927</v>
      </c>
      <c r="D4509" t="s">
        <v>3052</v>
      </c>
      <c r="E4509" t="s">
        <v>3053</v>
      </c>
      <c r="F4509" t="s">
        <v>549</v>
      </c>
      <c r="G4509" t="s">
        <v>550</v>
      </c>
      <c r="H4509" t="s">
        <v>14862</v>
      </c>
      <c r="I4509">
        <v>4</v>
      </c>
      <c r="J4509">
        <v>0</v>
      </c>
      <c r="K4509">
        <v>0</v>
      </c>
      <c r="L4509">
        <v>0</v>
      </c>
      <c r="M4509">
        <v>0</v>
      </c>
      <c r="N4509">
        <v>0</v>
      </c>
      <c r="O4509">
        <v>4</v>
      </c>
    </row>
    <row r="4510" spans="1:15" x14ac:dyDescent="0.25">
      <c r="A4510" t="s">
        <v>9788</v>
      </c>
      <c r="B4510" t="s">
        <v>9871</v>
      </c>
      <c r="C4510" t="s">
        <v>927</v>
      </c>
      <c r="D4510" t="s">
        <v>3052</v>
      </c>
      <c r="E4510" t="s">
        <v>3053</v>
      </c>
      <c r="F4510" t="s">
        <v>549</v>
      </c>
      <c r="G4510" t="s">
        <v>550</v>
      </c>
      <c r="H4510" t="s">
        <v>10359</v>
      </c>
      <c r="I4510">
        <v>24</v>
      </c>
      <c r="J4510">
        <v>24</v>
      </c>
      <c r="K4510">
        <v>0</v>
      </c>
      <c r="L4510">
        <v>0</v>
      </c>
      <c r="M4510">
        <v>0</v>
      </c>
      <c r="N4510">
        <v>0</v>
      </c>
      <c r="O4510">
        <v>0</v>
      </c>
    </row>
    <row r="4511" spans="1:15" x14ac:dyDescent="0.25">
      <c r="A4511" t="s">
        <v>1057</v>
      </c>
      <c r="B4511" t="s">
        <v>1972</v>
      </c>
      <c r="C4511" t="s">
        <v>927</v>
      </c>
      <c r="D4511" t="s">
        <v>3052</v>
      </c>
      <c r="E4511" t="s">
        <v>3053</v>
      </c>
      <c r="F4511" t="s">
        <v>549</v>
      </c>
      <c r="G4511" t="s">
        <v>550</v>
      </c>
      <c r="H4511" t="s">
        <v>10401</v>
      </c>
      <c r="I4511">
        <v>7</v>
      </c>
      <c r="J4511">
        <v>0</v>
      </c>
      <c r="K4511">
        <v>0</v>
      </c>
      <c r="L4511">
        <v>7</v>
      </c>
      <c r="M4511">
        <v>0</v>
      </c>
      <c r="N4511">
        <v>0</v>
      </c>
      <c r="O4511">
        <v>0</v>
      </c>
    </row>
    <row r="4512" spans="1:15" x14ac:dyDescent="0.25">
      <c r="A4512" t="s">
        <v>14374</v>
      </c>
      <c r="B4512" t="s">
        <v>1943</v>
      </c>
      <c r="C4512" t="s">
        <v>927</v>
      </c>
      <c r="D4512" t="s">
        <v>3052</v>
      </c>
      <c r="E4512" t="s">
        <v>3053</v>
      </c>
      <c r="F4512" t="s">
        <v>549</v>
      </c>
      <c r="G4512" t="s">
        <v>550</v>
      </c>
      <c r="H4512" t="s">
        <v>14863</v>
      </c>
      <c r="I4512">
        <v>7</v>
      </c>
      <c r="J4512">
        <v>0</v>
      </c>
      <c r="K4512">
        <v>0</v>
      </c>
      <c r="L4512">
        <v>0</v>
      </c>
      <c r="M4512">
        <v>0</v>
      </c>
      <c r="N4512">
        <v>0</v>
      </c>
      <c r="O4512">
        <v>7</v>
      </c>
    </row>
    <row r="4513" spans="1:15" x14ac:dyDescent="0.25">
      <c r="A4513" t="s">
        <v>9849</v>
      </c>
      <c r="B4513" t="s">
        <v>2595</v>
      </c>
      <c r="C4513" t="s">
        <v>923</v>
      </c>
      <c r="D4513" t="s">
        <v>3063</v>
      </c>
      <c r="E4513" t="s">
        <v>3053</v>
      </c>
      <c r="F4513" t="s">
        <v>549</v>
      </c>
      <c r="G4513" t="s">
        <v>550</v>
      </c>
      <c r="H4513" t="s">
        <v>10420</v>
      </c>
      <c r="I4513">
        <v>16</v>
      </c>
      <c r="J4513">
        <v>0</v>
      </c>
      <c r="K4513">
        <v>0</v>
      </c>
      <c r="L4513">
        <v>16</v>
      </c>
      <c r="M4513">
        <v>0</v>
      </c>
      <c r="N4513">
        <v>0</v>
      </c>
      <c r="O4513">
        <v>0</v>
      </c>
    </row>
    <row r="4514" spans="1:15" x14ac:dyDescent="0.25">
      <c r="A4514" t="s">
        <v>962</v>
      </c>
      <c r="B4514" t="s">
        <v>2752</v>
      </c>
      <c r="C4514" t="s">
        <v>927</v>
      </c>
      <c r="D4514" t="s">
        <v>3052</v>
      </c>
      <c r="E4514" t="s">
        <v>3053</v>
      </c>
      <c r="F4514" t="s">
        <v>549</v>
      </c>
      <c r="G4514" t="s">
        <v>550</v>
      </c>
      <c r="H4514" t="s">
        <v>10442</v>
      </c>
      <c r="I4514">
        <v>231</v>
      </c>
      <c r="J4514">
        <v>205</v>
      </c>
      <c r="K4514">
        <v>0</v>
      </c>
      <c r="L4514">
        <v>0</v>
      </c>
      <c r="M4514">
        <v>0</v>
      </c>
      <c r="N4514">
        <v>0</v>
      </c>
      <c r="O4514">
        <v>26</v>
      </c>
    </row>
    <row r="4515" spans="1:15" x14ac:dyDescent="0.25">
      <c r="A4515" t="s">
        <v>1071</v>
      </c>
      <c r="B4515" t="s">
        <v>2571</v>
      </c>
      <c r="C4515" t="s">
        <v>923</v>
      </c>
      <c r="D4515" t="s">
        <v>3063</v>
      </c>
      <c r="E4515" t="s">
        <v>3053</v>
      </c>
      <c r="F4515" t="s">
        <v>549</v>
      </c>
      <c r="G4515" t="s">
        <v>550</v>
      </c>
      <c r="H4515" t="s">
        <v>14864</v>
      </c>
      <c r="I4515">
        <v>3</v>
      </c>
      <c r="J4515">
        <v>0</v>
      </c>
      <c r="K4515">
        <v>0</v>
      </c>
      <c r="L4515">
        <v>3</v>
      </c>
      <c r="M4515">
        <v>0</v>
      </c>
      <c r="N4515">
        <v>0</v>
      </c>
      <c r="O4515">
        <v>0</v>
      </c>
    </row>
    <row r="4516" spans="1:15" x14ac:dyDescent="0.25">
      <c r="A4516" t="s">
        <v>1072</v>
      </c>
      <c r="B4516" t="s">
        <v>2907</v>
      </c>
      <c r="C4516" t="s">
        <v>927</v>
      </c>
      <c r="D4516" t="s">
        <v>3052</v>
      </c>
      <c r="E4516" t="s">
        <v>3053</v>
      </c>
      <c r="F4516" t="s">
        <v>549</v>
      </c>
      <c r="G4516" t="s">
        <v>550</v>
      </c>
      <c r="H4516" t="s">
        <v>6067</v>
      </c>
      <c r="I4516">
        <v>53</v>
      </c>
      <c r="J4516">
        <v>0</v>
      </c>
      <c r="K4516">
        <v>0</v>
      </c>
      <c r="L4516">
        <v>26</v>
      </c>
      <c r="M4516">
        <v>27</v>
      </c>
      <c r="N4516">
        <v>0</v>
      </c>
      <c r="O4516">
        <v>0</v>
      </c>
    </row>
    <row r="4517" spans="1:15" x14ac:dyDescent="0.25">
      <c r="A4517" t="s">
        <v>1075</v>
      </c>
      <c r="B4517" t="s">
        <v>2830</v>
      </c>
      <c r="C4517" t="s">
        <v>927</v>
      </c>
      <c r="D4517" t="s">
        <v>3052</v>
      </c>
      <c r="E4517" t="s">
        <v>3053</v>
      </c>
      <c r="F4517" t="s">
        <v>549</v>
      </c>
      <c r="G4517" t="s">
        <v>550</v>
      </c>
      <c r="H4517" t="s">
        <v>6068</v>
      </c>
      <c r="I4517">
        <v>773</v>
      </c>
      <c r="J4517">
        <v>601</v>
      </c>
      <c r="K4517">
        <v>0</v>
      </c>
      <c r="L4517">
        <v>57</v>
      </c>
      <c r="M4517">
        <v>0</v>
      </c>
      <c r="N4517">
        <v>0</v>
      </c>
      <c r="O4517">
        <v>115</v>
      </c>
    </row>
    <row r="4518" spans="1:15" x14ac:dyDescent="0.25">
      <c r="A4518" t="s">
        <v>1078</v>
      </c>
      <c r="B4518" t="s">
        <v>1950</v>
      </c>
      <c r="C4518" t="s">
        <v>923</v>
      </c>
      <c r="D4518" t="s">
        <v>3063</v>
      </c>
      <c r="E4518" t="s">
        <v>3053</v>
      </c>
      <c r="F4518" t="s">
        <v>549</v>
      </c>
      <c r="G4518" t="s">
        <v>550</v>
      </c>
      <c r="H4518" t="s">
        <v>6069</v>
      </c>
      <c r="I4518">
        <v>1</v>
      </c>
      <c r="J4518">
        <v>0</v>
      </c>
      <c r="K4518">
        <v>0</v>
      </c>
      <c r="L4518">
        <v>1</v>
      </c>
      <c r="M4518">
        <v>0</v>
      </c>
      <c r="N4518">
        <v>0</v>
      </c>
      <c r="O4518">
        <v>0</v>
      </c>
    </row>
    <row r="4519" spans="1:15" x14ac:dyDescent="0.25">
      <c r="A4519" t="s">
        <v>1919</v>
      </c>
      <c r="B4519" t="s">
        <v>2976</v>
      </c>
      <c r="C4519" t="s">
        <v>927</v>
      </c>
      <c r="D4519" t="s">
        <v>3052</v>
      </c>
      <c r="E4519" t="s">
        <v>3053</v>
      </c>
      <c r="F4519" t="s">
        <v>549</v>
      </c>
      <c r="G4519" t="s">
        <v>550</v>
      </c>
      <c r="H4519" t="s">
        <v>6070</v>
      </c>
      <c r="I4519">
        <v>55</v>
      </c>
      <c r="J4519">
        <v>55</v>
      </c>
      <c r="K4519">
        <v>0</v>
      </c>
      <c r="L4519">
        <v>0</v>
      </c>
      <c r="M4519">
        <v>0</v>
      </c>
      <c r="N4519">
        <v>0</v>
      </c>
      <c r="O4519">
        <v>0</v>
      </c>
    </row>
    <row r="4520" spans="1:15" x14ac:dyDescent="0.25">
      <c r="A4520" t="s">
        <v>1920</v>
      </c>
      <c r="B4520" t="s">
        <v>2871</v>
      </c>
      <c r="C4520" t="s">
        <v>927</v>
      </c>
      <c r="D4520" t="s">
        <v>3052</v>
      </c>
      <c r="E4520" t="s">
        <v>3053</v>
      </c>
      <c r="F4520" t="s">
        <v>549</v>
      </c>
      <c r="G4520" t="s">
        <v>550</v>
      </c>
      <c r="H4520" t="s">
        <v>6071</v>
      </c>
      <c r="I4520">
        <v>35</v>
      </c>
      <c r="J4520">
        <v>22</v>
      </c>
      <c r="K4520">
        <v>0</v>
      </c>
      <c r="L4520">
        <v>0</v>
      </c>
      <c r="M4520">
        <v>0</v>
      </c>
      <c r="N4520">
        <v>0</v>
      </c>
      <c r="O4520">
        <v>13</v>
      </c>
    </row>
    <row r="4521" spans="1:15" x14ac:dyDescent="0.25">
      <c r="A4521" t="s">
        <v>1563</v>
      </c>
      <c r="B4521" t="s">
        <v>2895</v>
      </c>
      <c r="C4521" t="s">
        <v>927</v>
      </c>
      <c r="D4521" t="s">
        <v>3052</v>
      </c>
      <c r="E4521" t="s">
        <v>3053</v>
      </c>
      <c r="F4521" t="s">
        <v>549</v>
      </c>
      <c r="G4521" t="s">
        <v>550</v>
      </c>
      <c r="H4521" t="s">
        <v>6072</v>
      </c>
      <c r="I4521">
        <v>1665</v>
      </c>
      <c r="J4521">
        <v>1291</v>
      </c>
      <c r="K4521">
        <v>0</v>
      </c>
      <c r="L4521">
        <v>26</v>
      </c>
      <c r="M4521">
        <v>187</v>
      </c>
      <c r="N4521">
        <v>0</v>
      </c>
      <c r="O4521">
        <v>161</v>
      </c>
    </row>
    <row r="4522" spans="1:15" x14ac:dyDescent="0.25">
      <c r="A4522" t="s">
        <v>1083</v>
      </c>
      <c r="B4522" t="s">
        <v>2757</v>
      </c>
      <c r="C4522" t="s">
        <v>927</v>
      </c>
      <c r="D4522" t="s">
        <v>3052</v>
      </c>
      <c r="E4522" t="s">
        <v>3053</v>
      </c>
      <c r="F4522" t="s">
        <v>549</v>
      </c>
      <c r="G4522" t="s">
        <v>550</v>
      </c>
      <c r="H4522" t="s">
        <v>6073</v>
      </c>
      <c r="I4522">
        <v>20</v>
      </c>
      <c r="J4522">
        <v>20</v>
      </c>
      <c r="K4522">
        <v>0</v>
      </c>
      <c r="L4522">
        <v>0</v>
      </c>
      <c r="M4522">
        <v>0</v>
      </c>
      <c r="N4522">
        <v>0</v>
      </c>
      <c r="O4522">
        <v>0</v>
      </c>
    </row>
    <row r="4523" spans="1:15" x14ac:dyDescent="0.25">
      <c r="A4523" t="s">
        <v>929</v>
      </c>
      <c r="B4523" t="s">
        <v>2999</v>
      </c>
      <c r="C4523" t="s">
        <v>927</v>
      </c>
      <c r="D4523" t="s">
        <v>3052</v>
      </c>
      <c r="E4523" t="s">
        <v>3053</v>
      </c>
      <c r="F4523" t="s">
        <v>551</v>
      </c>
      <c r="G4523" t="s">
        <v>552</v>
      </c>
      <c r="H4523" t="s">
        <v>6074</v>
      </c>
      <c r="I4523">
        <v>134</v>
      </c>
      <c r="J4523">
        <v>0</v>
      </c>
      <c r="K4523">
        <v>0</v>
      </c>
      <c r="L4523">
        <v>0</v>
      </c>
      <c r="M4523">
        <v>134</v>
      </c>
      <c r="N4523">
        <v>0</v>
      </c>
      <c r="O4523">
        <v>0</v>
      </c>
    </row>
    <row r="4524" spans="1:15" x14ac:dyDescent="0.25">
      <c r="A4524" t="s">
        <v>9784</v>
      </c>
      <c r="B4524" t="s">
        <v>1994</v>
      </c>
      <c r="C4524" t="s">
        <v>927</v>
      </c>
      <c r="D4524" t="s">
        <v>3052</v>
      </c>
      <c r="E4524" t="s">
        <v>3053</v>
      </c>
      <c r="F4524" t="s">
        <v>551</v>
      </c>
      <c r="G4524" t="s">
        <v>552</v>
      </c>
      <c r="H4524" t="s">
        <v>9954</v>
      </c>
      <c r="I4524">
        <v>5</v>
      </c>
      <c r="J4524">
        <v>0</v>
      </c>
      <c r="K4524">
        <v>0</v>
      </c>
      <c r="L4524">
        <v>5</v>
      </c>
      <c r="M4524">
        <v>0</v>
      </c>
      <c r="N4524">
        <v>2</v>
      </c>
      <c r="O4524">
        <v>0</v>
      </c>
    </row>
    <row r="4525" spans="1:15" x14ac:dyDescent="0.25">
      <c r="A4525" t="s">
        <v>1468</v>
      </c>
      <c r="B4525" t="s">
        <v>2472</v>
      </c>
      <c r="C4525" t="s">
        <v>923</v>
      </c>
      <c r="D4525" t="s">
        <v>3063</v>
      </c>
      <c r="E4525" t="s">
        <v>3053</v>
      </c>
      <c r="F4525" t="s">
        <v>551</v>
      </c>
      <c r="G4525" t="s">
        <v>552</v>
      </c>
      <c r="H4525" t="s">
        <v>6075</v>
      </c>
      <c r="I4525">
        <v>19</v>
      </c>
      <c r="J4525">
        <v>19</v>
      </c>
      <c r="K4525">
        <v>0</v>
      </c>
      <c r="L4525">
        <v>0</v>
      </c>
      <c r="M4525">
        <v>0</v>
      </c>
      <c r="N4525">
        <v>0</v>
      </c>
      <c r="O4525">
        <v>0</v>
      </c>
    </row>
    <row r="4526" spans="1:15" x14ac:dyDescent="0.25">
      <c r="A4526" t="s">
        <v>1470</v>
      </c>
      <c r="B4526" t="s">
        <v>2859</v>
      </c>
      <c r="C4526" t="s">
        <v>927</v>
      </c>
      <c r="D4526" t="s">
        <v>3052</v>
      </c>
      <c r="E4526" t="s">
        <v>3053</v>
      </c>
      <c r="F4526" t="s">
        <v>551</v>
      </c>
      <c r="G4526" t="s">
        <v>552</v>
      </c>
      <c r="H4526" t="s">
        <v>6076</v>
      </c>
      <c r="I4526">
        <v>5</v>
      </c>
      <c r="J4526">
        <v>5</v>
      </c>
      <c r="K4526">
        <v>0</v>
      </c>
      <c r="L4526">
        <v>0</v>
      </c>
      <c r="M4526">
        <v>0</v>
      </c>
      <c r="N4526">
        <v>0</v>
      </c>
      <c r="O4526">
        <v>0</v>
      </c>
    </row>
    <row r="4527" spans="1:15" x14ac:dyDescent="0.25">
      <c r="A4527" t="s">
        <v>935</v>
      </c>
      <c r="B4527" t="s">
        <v>1960</v>
      </c>
      <c r="C4527" t="s">
        <v>923</v>
      </c>
      <c r="D4527" t="s">
        <v>3063</v>
      </c>
      <c r="E4527" t="s">
        <v>3053</v>
      </c>
      <c r="F4527" t="s">
        <v>551</v>
      </c>
      <c r="G4527" t="s">
        <v>552</v>
      </c>
      <c r="H4527" t="s">
        <v>6077</v>
      </c>
      <c r="I4527">
        <v>1</v>
      </c>
      <c r="J4527">
        <v>0</v>
      </c>
      <c r="K4527">
        <v>0</v>
      </c>
      <c r="L4527">
        <v>1</v>
      </c>
      <c r="M4527">
        <v>0</v>
      </c>
      <c r="N4527">
        <v>0</v>
      </c>
      <c r="O4527">
        <v>0</v>
      </c>
    </row>
    <row r="4528" spans="1:15" x14ac:dyDescent="0.25">
      <c r="A4528" t="s">
        <v>11660</v>
      </c>
      <c r="B4528" t="s">
        <v>2041</v>
      </c>
      <c r="C4528" t="s">
        <v>923</v>
      </c>
      <c r="D4528" t="s">
        <v>3063</v>
      </c>
      <c r="E4528" t="s">
        <v>3053</v>
      </c>
      <c r="F4528" t="s">
        <v>551</v>
      </c>
      <c r="G4528" t="s">
        <v>552</v>
      </c>
      <c r="H4528" t="s">
        <v>12136</v>
      </c>
      <c r="I4528">
        <v>17</v>
      </c>
      <c r="J4528">
        <v>0</v>
      </c>
      <c r="K4528">
        <v>0</v>
      </c>
      <c r="L4528">
        <v>17</v>
      </c>
      <c r="M4528">
        <v>0</v>
      </c>
      <c r="N4528">
        <v>0</v>
      </c>
      <c r="O4528">
        <v>0</v>
      </c>
    </row>
    <row r="4529" spans="1:15" x14ac:dyDescent="0.25">
      <c r="A4529" t="s">
        <v>1484</v>
      </c>
      <c r="B4529" t="s">
        <v>2897</v>
      </c>
      <c r="C4529" t="s">
        <v>927</v>
      </c>
      <c r="D4529" t="s">
        <v>3052</v>
      </c>
      <c r="E4529" t="s">
        <v>3053</v>
      </c>
      <c r="F4529" t="s">
        <v>551</v>
      </c>
      <c r="G4529" t="s">
        <v>552</v>
      </c>
      <c r="H4529" t="s">
        <v>6078</v>
      </c>
      <c r="I4529">
        <v>1868</v>
      </c>
      <c r="J4529">
        <v>1670</v>
      </c>
      <c r="K4529">
        <v>0</v>
      </c>
      <c r="L4529">
        <v>161</v>
      </c>
      <c r="M4529">
        <v>0</v>
      </c>
      <c r="N4529">
        <v>0</v>
      </c>
      <c r="O4529">
        <v>37</v>
      </c>
    </row>
    <row r="4530" spans="1:15" x14ac:dyDescent="0.25">
      <c r="A4530" t="s">
        <v>1009</v>
      </c>
      <c r="B4530" t="s">
        <v>1958</v>
      </c>
      <c r="C4530" t="s">
        <v>923</v>
      </c>
      <c r="D4530" t="s">
        <v>3063</v>
      </c>
      <c r="E4530" t="s">
        <v>3053</v>
      </c>
      <c r="F4530" t="s">
        <v>551</v>
      </c>
      <c r="G4530" t="s">
        <v>552</v>
      </c>
      <c r="H4530" t="s">
        <v>6079</v>
      </c>
      <c r="I4530">
        <v>51</v>
      </c>
      <c r="J4530">
        <v>0</v>
      </c>
      <c r="K4530">
        <v>0</v>
      </c>
      <c r="L4530">
        <v>51</v>
      </c>
      <c r="M4530">
        <v>0</v>
      </c>
      <c r="N4530">
        <v>0</v>
      </c>
      <c r="O4530">
        <v>0</v>
      </c>
    </row>
    <row r="4531" spans="1:15" x14ac:dyDescent="0.25">
      <c r="A4531" t="s">
        <v>1489</v>
      </c>
      <c r="B4531" t="s">
        <v>2047</v>
      </c>
      <c r="C4531" t="s">
        <v>923</v>
      </c>
      <c r="D4531" t="s">
        <v>3063</v>
      </c>
      <c r="E4531" t="s">
        <v>3053</v>
      </c>
      <c r="F4531" t="s">
        <v>551</v>
      </c>
      <c r="G4531" t="s">
        <v>552</v>
      </c>
      <c r="H4531" t="s">
        <v>6080</v>
      </c>
      <c r="I4531">
        <v>7</v>
      </c>
      <c r="J4531">
        <v>0</v>
      </c>
      <c r="K4531">
        <v>0</v>
      </c>
      <c r="L4531">
        <v>7</v>
      </c>
      <c r="M4531">
        <v>0</v>
      </c>
      <c r="N4531">
        <v>0</v>
      </c>
      <c r="O4531">
        <v>0</v>
      </c>
    </row>
    <row r="4532" spans="1:15" x14ac:dyDescent="0.25">
      <c r="A4532" t="s">
        <v>937</v>
      </c>
      <c r="B4532" t="s">
        <v>1962</v>
      </c>
      <c r="C4532" t="s">
        <v>927</v>
      </c>
      <c r="D4532" t="s">
        <v>3052</v>
      </c>
      <c r="E4532" t="s">
        <v>3053</v>
      </c>
      <c r="F4532" t="s">
        <v>551</v>
      </c>
      <c r="G4532" t="s">
        <v>552</v>
      </c>
      <c r="H4532" t="s">
        <v>6081</v>
      </c>
      <c r="I4532">
        <v>38</v>
      </c>
      <c r="J4532">
        <v>0</v>
      </c>
      <c r="K4532">
        <v>0</v>
      </c>
      <c r="L4532">
        <v>0</v>
      </c>
      <c r="M4532">
        <v>0</v>
      </c>
      <c r="N4532">
        <v>0</v>
      </c>
      <c r="O4532">
        <v>38</v>
      </c>
    </row>
    <row r="4533" spans="1:15" x14ac:dyDescent="0.25">
      <c r="A4533" t="s">
        <v>940</v>
      </c>
      <c r="B4533" t="s">
        <v>2647</v>
      </c>
      <c r="C4533" t="s">
        <v>927</v>
      </c>
      <c r="D4533" t="s">
        <v>3052</v>
      </c>
      <c r="E4533" t="s">
        <v>3053</v>
      </c>
      <c r="F4533" t="s">
        <v>551</v>
      </c>
      <c r="G4533" t="s">
        <v>552</v>
      </c>
      <c r="H4533" t="s">
        <v>6082</v>
      </c>
      <c r="I4533">
        <v>71</v>
      </c>
      <c r="J4533">
        <v>0</v>
      </c>
      <c r="K4533">
        <v>0</v>
      </c>
      <c r="L4533">
        <v>0</v>
      </c>
      <c r="M4533">
        <v>71</v>
      </c>
      <c r="N4533">
        <v>0</v>
      </c>
      <c r="O4533">
        <v>0</v>
      </c>
    </row>
    <row r="4534" spans="1:15" x14ac:dyDescent="0.25">
      <c r="A4534" t="s">
        <v>10657</v>
      </c>
      <c r="B4534" t="s">
        <v>2464</v>
      </c>
      <c r="C4534" t="s">
        <v>923</v>
      </c>
      <c r="D4534" t="s">
        <v>3063</v>
      </c>
      <c r="E4534" t="s">
        <v>3053</v>
      </c>
      <c r="F4534" t="s">
        <v>551</v>
      </c>
      <c r="G4534" t="s">
        <v>552</v>
      </c>
      <c r="H4534" t="s">
        <v>11099</v>
      </c>
      <c r="I4534">
        <v>65</v>
      </c>
      <c r="J4534">
        <v>0</v>
      </c>
      <c r="K4534">
        <v>0</v>
      </c>
      <c r="L4534">
        <v>65</v>
      </c>
      <c r="M4534">
        <v>0</v>
      </c>
      <c r="N4534">
        <v>0</v>
      </c>
      <c r="O4534">
        <v>0</v>
      </c>
    </row>
    <row r="4535" spans="1:15" x14ac:dyDescent="0.25">
      <c r="A4535" t="s">
        <v>1501</v>
      </c>
      <c r="B4535" t="s">
        <v>2469</v>
      </c>
      <c r="C4535" t="s">
        <v>923</v>
      </c>
      <c r="D4535" t="s">
        <v>3063</v>
      </c>
      <c r="E4535" t="s">
        <v>3053</v>
      </c>
      <c r="F4535" t="s">
        <v>551</v>
      </c>
      <c r="G4535" t="s">
        <v>552</v>
      </c>
      <c r="H4535" t="s">
        <v>6083</v>
      </c>
      <c r="I4535">
        <v>24</v>
      </c>
      <c r="J4535">
        <v>24</v>
      </c>
      <c r="K4535">
        <v>0</v>
      </c>
      <c r="L4535">
        <v>0</v>
      </c>
      <c r="M4535">
        <v>0</v>
      </c>
      <c r="N4535">
        <v>0</v>
      </c>
      <c r="O4535">
        <v>0</v>
      </c>
    </row>
    <row r="4536" spans="1:15" x14ac:dyDescent="0.25">
      <c r="A4536" t="s">
        <v>1020</v>
      </c>
      <c r="B4536" t="s">
        <v>2104</v>
      </c>
      <c r="C4536" t="s">
        <v>923</v>
      </c>
      <c r="D4536" t="s">
        <v>3063</v>
      </c>
      <c r="E4536" t="s">
        <v>3053</v>
      </c>
      <c r="F4536" t="s">
        <v>551</v>
      </c>
      <c r="G4536" t="s">
        <v>552</v>
      </c>
      <c r="H4536" t="s">
        <v>6084</v>
      </c>
      <c r="I4536">
        <v>1</v>
      </c>
      <c r="J4536">
        <v>0</v>
      </c>
      <c r="K4536">
        <v>0</v>
      </c>
      <c r="L4536">
        <v>1</v>
      </c>
      <c r="M4536">
        <v>0</v>
      </c>
      <c r="N4536">
        <v>0</v>
      </c>
      <c r="O4536">
        <v>0</v>
      </c>
    </row>
    <row r="4537" spans="1:15" x14ac:dyDescent="0.25">
      <c r="A4537" t="s">
        <v>1508</v>
      </c>
      <c r="B4537" t="s">
        <v>3024</v>
      </c>
      <c r="C4537" t="s">
        <v>927</v>
      </c>
      <c r="D4537" t="s">
        <v>3052</v>
      </c>
      <c r="E4537" t="s">
        <v>3053</v>
      </c>
      <c r="F4537" t="s">
        <v>551</v>
      </c>
      <c r="G4537" t="s">
        <v>552</v>
      </c>
      <c r="H4537" t="s">
        <v>6085</v>
      </c>
      <c r="I4537">
        <v>12776</v>
      </c>
      <c r="J4537">
        <v>11677</v>
      </c>
      <c r="K4537">
        <v>4</v>
      </c>
      <c r="L4537">
        <v>13</v>
      </c>
      <c r="M4537">
        <v>789</v>
      </c>
      <c r="N4537">
        <v>30</v>
      </c>
      <c r="O4537">
        <v>293</v>
      </c>
    </row>
    <row r="4538" spans="1:15" x14ac:dyDescent="0.25">
      <c r="A4538" t="s">
        <v>1031</v>
      </c>
      <c r="B4538" t="s">
        <v>2779</v>
      </c>
      <c r="C4538" t="s">
        <v>927</v>
      </c>
      <c r="D4538" t="s">
        <v>3052</v>
      </c>
      <c r="E4538" t="s">
        <v>3053</v>
      </c>
      <c r="F4538" t="s">
        <v>551</v>
      </c>
      <c r="G4538" t="s">
        <v>552</v>
      </c>
      <c r="H4538" t="s">
        <v>6086</v>
      </c>
      <c r="I4538">
        <v>40</v>
      </c>
      <c r="J4538">
        <v>40</v>
      </c>
      <c r="K4538">
        <v>0</v>
      </c>
      <c r="L4538">
        <v>0</v>
      </c>
      <c r="M4538">
        <v>0</v>
      </c>
      <c r="N4538">
        <v>0</v>
      </c>
      <c r="O4538">
        <v>0</v>
      </c>
    </row>
    <row r="4539" spans="1:15" x14ac:dyDescent="0.25">
      <c r="A4539" t="s">
        <v>1520</v>
      </c>
      <c r="B4539" t="s">
        <v>2058</v>
      </c>
      <c r="C4539" t="s">
        <v>927</v>
      </c>
      <c r="D4539" t="s">
        <v>3052</v>
      </c>
      <c r="E4539" t="s">
        <v>3053</v>
      </c>
      <c r="F4539" t="s">
        <v>551</v>
      </c>
      <c r="G4539" t="s">
        <v>552</v>
      </c>
      <c r="H4539" t="s">
        <v>6087</v>
      </c>
      <c r="I4539">
        <v>28</v>
      </c>
      <c r="J4539">
        <v>25</v>
      </c>
      <c r="K4539">
        <v>0</v>
      </c>
      <c r="L4539">
        <v>0</v>
      </c>
      <c r="M4539">
        <v>0</v>
      </c>
      <c r="N4539">
        <v>0</v>
      </c>
      <c r="O4539">
        <v>3</v>
      </c>
    </row>
    <row r="4540" spans="1:15" x14ac:dyDescent="0.25">
      <c r="A4540" t="s">
        <v>1521</v>
      </c>
      <c r="B4540" t="s">
        <v>2920</v>
      </c>
      <c r="C4540" t="s">
        <v>927</v>
      </c>
      <c r="D4540" t="s">
        <v>3052</v>
      </c>
      <c r="E4540" t="s">
        <v>3053</v>
      </c>
      <c r="F4540" t="s">
        <v>551</v>
      </c>
      <c r="G4540" t="s">
        <v>552</v>
      </c>
      <c r="H4540" t="s">
        <v>6088</v>
      </c>
      <c r="I4540">
        <v>640</v>
      </c>
      <c r="J4540">
        <v>380</v>
      </c>
      <c r="K4540">
        <v>0</v>
      </c>
      <c r="L4540">
        <v>186</v>
      </c>
      <c r="M4540">
        <v>12</v>
      </c>
      <c r="N4540">
        <v>0</v>
      </c>
      <c r="O4540">
        <v>62</v>
      </c>
    </row>
    <row r="4541" spans="1:15" x14ac:dyDescent="0.25">
      <c r="A4541" t="s">
        <v>951</v>
      </c>
      <c r="B4541" t="s">
        <v>2680</v>
      </c>
      <c r="C4541" t="s">
        <v>927</v>
      </c>
      <c r="D4541" t="s">
        <v>3052</v>
      </c>
      <c r="E4541" t="s">
        <v>3053</v>
      </c>
      <c r="F4541" t="s">
        <v>551</v>
      </c>
      <c r="G4541" t="s">
        <v>552</v>
      </c>
      <c r="H4541" t="s">
        <v>6089</v>
      </c>
      <c r="I4541">
        <v>1</v>
      </c>
      <c r="J4541">
        <v>0</v>
      </c>
      <c r="K4541">
        <v>0</v>
      </c>
      <c r="L4541">
        <v>0</v>
      </c>
      <c r="M4541">
        <v>0</v>
      </c>
      <c r="N4541">
        <v>0</v>
      </c>
      <c r="O4541">
        <v>1</v>
      </c>
    </row>
    <row r="4542" spans="1:15" x14ac:dyDescent="0.25">
      <c r="A4542" t="s">
        <v>1525</v>
      </c>
      <c r="B4542" t="s">
        <v>2908</v>
      </c>
      <c r="C4542" t="s">
        <v>927</v>
      </c>
      <c r="D4542" t="s">
        <v>3052</v>
      </c>
      <c r="E4542" t="s">
        <v>3053</v>
      </c>
      <c r="F4542" t="s">
        <v>551</v>
      </c>
      <c r="G4542" t="s">
        <v>552</v>
      </c>
      <c r="H4542" t="s">
        <v>6090</v>
      </c>
      <c r="I4542">
        <v>438</v>
      </c>
      <c r="J4542">
        <v>390</v>
      </c>
      <c r="K4542">
        <v>0</v>
      </c>
      <c r="L4542">
        <v>40</v>
      </c>
      <c r="M4542">
        <v>0</v>
      </c>
      <c r="N4542">
        <v>0</v>
      </c>
      <c r="O4542">
        <v>8</v>
      </c>
    </row>
    <row r="4543" spans="1:15" x14ac:dyDescent="0.25">
      <c r="A4543" t="s">
        <v>10707</v>
      </c>
      <c r="B4543" t="s">
        <v>2714</v>
      </c>
      <c r="C4543" t="s">
        <v>927</v>
      </c>
      <c r="D4543" t="s">
        <v>3052</v>
      </c>
      <c r="E4543" t="s">
        <v>3053</v>
      </c>
      <c r="F4543" t="s">
        <v>551</v>
      </c>
      <c r="G4543" t="s">
        <v>552</v>
      </c>
      <c r="H4543" t="s">
        <v>11100</v>
      </c>
      <c r="I4543">
        <v>19</v>
      </c>
      <c r="J4543">
        <v>19</v>
      </c>
      <c r="K4543">
        <v>0</v>
      </c>
      <c r="L4543">
        <v>0</v>
      </c>
      <c r="M4543">
        <v>0</v>
      </c>
      <c r="N4543">
        <v>0</v>
      </c>
      <c r="O4543">
        <v>0</v>
      </c>
    </row>
    <row r="4544" spans="1:15" x14ac:dyDescent="0.25">
      <c r="A4544" t="s">
        <v>1051</v>
      </c>
      <c r="B4544" t="s">
        <v>2995</v>
      </c>
      <c r="C4544" t="s">
        <v>927</v>
      </c>
      <c r="D4544" t="s">
        <v>3052</v>
      </c>
      <c r="E4544" t="s">
        <v>3053</v>
      </c>
      <c r="F4544" t="s">
        <v>551</v>
      </c>
      <c r="G4544" t="s">
        <v>552</v>
      </c>
      <c r="H4544" t="s">
        <v>6091</v>
      </c>
      <c r="I4544">
        <v>9</v>
      </c>
      <c r="J4544">
        <v>0</v>
      </c>
      <c r="K4544">
        <v>0</v>
      </c>
      <c r="L4544">
        <v>9</v>
      </c>
      <c r="M4544">
        <v>0</v>
      </c>
      <c r="N4544">
        <v>0</v>
      </c>
      <c r="O4544">
        <v>0</v>
      </c>
    </row>
    <row r="4545" spans="1:15" x14ac:dyDescent="0.25">
      <c r="A4545" t="s">
        <v>1528</v>
      </c>
      <c r="B4545" t="s">
        <v>2698</v>
      </c>
      <c r="C4545" t="s">
        <v>923</v>
      </c>
      <c r="D4545" t="s">
        <v>3063</v>
      </c>
      <c r="E4545" t="s">
        <v>3053</v>
      </c>
      <c r="F4545" t="s">
        <v>551</v>
      </c>
      <c r="G4545" t="s">
        <v>552</v>
      </c>
      <c r="H4545" t="s">
        <v>12137</v>
      </c>
      <c r="I4545">
        <v>6</v>
      </c>
      <c r="J4545">
        <v>0</v>
      </c>
      <c r="K4545">
        <v>0</v>
      </c>
      <c r="L4545">
        <v>6</v>
      </c>
      <c r="M4545">
        <v>0</v>
      </c>
      <c r="N4545">
        <v>0</v>
      </c>
      <c r="O4545">
        <v>0</v>
      </c>
    </row>
    <row r="4546" spans="1:15" x14ac:dyDescent="0.25">
      <c r="A4546" t="s">
        <v>953</v>
      </c>
      <c r="B4546" t="s">
        <v>2014</v>
      </c>
      <c r="C4546" t="s">
        <v>927</v>
      </c>
      <c r="D4546" t="s">
        <v>3052</v>
      </c>
      <c r="E4546" t="s">
        <v>3053</v>
      </c>
      <c r="F4546" t="s">
        <v>551</v>
      </c>
      <c r="G4546" t="s">
        <v>552</v>
      </c>
      <c r="H4546" t="s">
        <v>6092</v>
      </c>
      <c r="I4546">
        <v>10</v>
      </c>
      <c r="J4546">
        <v>0</v>
      </c>
      <c r="K4546">
        <v>0</v>
      </c>
      <c r="L4546">
        <v>10</v>
      </c>
      <c r="M4546">
        <v>0</v>
      </c>
      <c r="N4546">
        <v>0</v>
      </c>
      <c r="O4546">
        <v>0</v>
      </c>
    </row>
    <row r="4547" spans="1:15" x14ac:dyDescent="0.25">
      <c r="A4547" t="s">
        <v>1531</v>
      </c>
      <c r="B4547" t="s">
        <v>2486</v>
      </c>
      <c r="C4547" t="s">
        <v>923</v>
      </c>
      <c r="D4547" t="s">
        <v>3063</v>
      </c>
      <c r="E4547" t="s">
        <v>3053</v>
      </c>
      <c r="F4547" t="s">
        <v>551</v>
      </c>
      <c r="G4547" t="s">
        <v>552</v>
      </c>
      <c r="H4547" t="s">
        <v>6093</v>
      </c>
      <c r="I4547">
        <v>37</v>
      </c>
      <c r="J4547">
        <v>37</v>
      </c>
      <c r="K4547">
        <v>0</v>
      </c>
      <c r="L4547">
        <v>0</v>
      </c>
      <c r="M4547">
        <v>0</v>
      </c>
      <c r="N4547">
        <v>0</v>
      </c>
      <c r="O4547">
        <v>0</v>
      </c>
    </row>
    <row r="4548" spans="1:15" x14ac:dyDescent="0.25">
      <c r="A4548" t="s">
        <v>955</v>
      </c>
      <c r="B4548" t="s">
        <v>2660</v>
      </c>
      <c r="C4548" t="s">
        <v>927</v>
      </c>
      <c r="D4548" t="s">
        <v>3052</v>
      </c>
      <c r="E4548" t="s">
        <v>3053</v>
      </c>
      <c r="F4548" t="s">
        <v>551</v>
      </c>
      <c r="G4548" t="s">
        <v>552</v>
      </c>
      <c r="H4548" t="s">
        <v>6094</v>
      </c>
      <c r="I4548">
        <v>205</v>
      </c>
      <c r="J4548">
        <v>138</v>
      </c>
      <c r="K4548">
        <v>0</v>
      </c>
      <c r="L4548">
        <v>25</v>
      </c>
      <c r="M4548">
        <v>34</v>
      </c>
      <c r="N4548">
        <v>0</v>
      </c>
      <c r="O4548">
        <v>8</v>
      </c>
    </row>
    <row r="4549" spans="1:15" x14ac:dyDescent="0.25">
      <c r="A4549" t="s">
        <v>1539</v>
      </c>
      <c r="B4549" t="s">
        <v>2468</v>
      </c>
      <c r="C4549" t="s">
        <v>923</v>
      </c>
      <c r="D4549" t="s">
        <v>3063</v>
      </c>
      <c r="E4549" t="s">
        <v>3053</v>
      </c>
      <c r="F4549" t="s">
        <v>551</v>
      </c>
      <c r="G4549" t="s">
        <v>552</v>
      </c>
      <c r="H4549" t="s">
        <v>6095</v>
      </c>
      <c r="I4549">
        <v>23</v>
      </c>
      <c r="J4549">
        <v>23</v>
      </c>
      <c r="K4549">
        <v>0</v>
      </c>
      <c r="L4549">
        <v>0</v>
      </c>
      <c r="M4549">
        <v>0</v>
      </c>
      <c r="N4549">
        <v>0</v>
      </c>
      <c r="O4549">
        <v>0</v>
      </c>
    </row>
    <row r="4550" spans="1:15" x14ac:dyDescent="0.25">
      <c r="A4550" t="s">
        <v>1543</v>
      </c>
      <c r="B4550" t="s">
        <v>2487</v>
      </c>
      <c r="C4550" t="s">
        <v>923</v>
      </c>
      <c r="D4550" t="s">
        <v>3063</v>
      </c>
      <c r="E4550" t="s">
        <v>3053</v>
      </c>
      <c r="F4550" t="s">
        <v>551</v>
      </c>
      <c r="G4550" t="s">
        <v>552</v>
      </c>
      <c r="H4550" t="s">
        <v>6096</v>
      </c>
      <c r="I4550">
        <v>24</v>
      </c>
      <c r="J4550">
        <v>24</v>
      </c>
      <c r="K4550">
        <v>0</v>
      </c>
      <c r="L4550">
        <v>0</v>
      </c>
      <c r="M4550">
        <v>0</v>
      </c>
      <c r="N4550">
        <v>0</v>
      </c>
      <c r="O4550">
        <v>0</v>
      </c>
    </row>
    <row r="4551" spans="1:15" x14ac:dyDescent="0.25">
      <c r="A4551" t="s">
        <v>1072</v>
      </c>
      <c r="B4551" t="s">
        <v>2907</v>
      </c>
      <c r="C4551" t="s">
        <v>927</v>
      </c>
      <c r="D4551" t="s">
        <v>3052</v>
      </c>
      <c r="E4551" t="s">
        <v>3053</v>
      </c>
      <c r="F4551" t="s">
        <v>551</v>
      </c>
      <c r="G4551" t="s">
        <v>552</v>
      </c>
      <c r="H4551" t="s">
        <v>6097</v>
      </c>
      <c r="I4551">
        <v>1019</v>
      </c>
      <c r="J4551">
        <v>630</v>
      </c>
      <c r="K4551">
        <v>0</v>
      </c>
      <c r="L4551">
        <v>88</v>
      </c>
      <c r="M4551">
        <v>198</v>
      </c>
      <c r="N4551">
        <v>0</v>
      </c>
      <c r="O4551">
        <v>103</v>
      </c>
    </row>
    <row r="4552" spans="1:15" x14ac:dyDescent="0.25">
      <c r="A4552" t="s">
        <v>1553</v>
      </c>
      <c r="B4552" t="s">
        <v>2132</v>
      </c>
      <c r="C4552" t="s">
        <v>927</v>
      </c>
      <c r="D4552" t="s">
        <v>3052</v>
      </c>
      <c r="E4552" t="s">
        <v>3053</v>
      </c>
      <c r="F4552" t="s">
        <v>551</v>
      </c>
      <c r="G4552" t="s">
        <v>552</v>
      </c>
      <c r="H4552" t="s">
        <v>6098</v>
      </c>
      <c r="I4552">
        <v>584</v>
      </c>
      <c r="J4552">
        <v>320</v>
      </c>
      <c r="K4552">
        <v>0</v>
      </c>
      <c r="L4552">
        <v>16</v>
      </c>
      <c r="M4552">
        <v>100</v>
      </c>
      <c r="N4552">
        <v>1</v>
      </c>
      <c r="O4552">
        <v>148</v>
      </c>
    </row>
    <row r="4553" spans="1:15" x14ac:dyDescent="0.25">
      <c r="A4553" t="s">
        <v>1078</v>
      </c>
      <c r="B4553" t="s">
        <v>1950</v>
      </c>
      <c r="C4553" t="s">
        <v>923</v>
      </c>
      <c r="D4553" t="s">
        <v>3063</v>
      </c>
      <c r="E4553" t="s">
        <v>3053</v>
      </c>
      <c r="F4553" t="s">
        <v>551</v>
      </c>
      <c r="G4553" t="s">
        <v>552</v>
      </c>
      <c r="H4553" t="s">
        <v>6099</v>
      </c>
      <c r="I4553">
        <v>4</v>
      </c>
      <c r="J4553">
        <v>0</v>
      </c>
      <c r="K4553">
        <v>0</v>
      </c>
      <c r="L4553">
        <v>4</v>
      </c>
      <c r="M4553">
        <v>0</v>
      </c>
      <c r="N4553">
        <v>0</v>
      </c>
      <c r="O4553">
        <v>0</v>
      </c>
    </row>
    <row r="4554" spans="1:15" x14ac:dyDescent="0.25">
      <c r="A4554" t="s">
        <v>1560</v>
      </c>
      <c r="B4554" t="s">
        <v>2491</v>
      </c>
      <c r="C4554" t="s">
        <v>923</v>
      </c>
      <c r="D4554" t="s">
        <v>3063</v>
      </c>
      <c r="E4554" t="s">
        <v>3053</v>
      </c>
      <c r="F4554" t="s">
        <v>551</v>
      </c>
      <c r="G4554" t="s">
        <v>552</v>
      </c>
      <c r="H4554" t="s">
        <v>6100</v>
      </c>
      <c r="I4554">
        <v>35</v>
      </c>
      <c r="J4554">
        <v>35</v>
      </c>
      <c r="K4554">
        <v>0</v>
      </c>
      <c r="L4554">
        <v>0</v>
      </c>
      <c r="M4554">
        <v>0</v>
      </c>
      <c r="N4554">
        <v>0</v>
      </c>
      <c r="O4554">
        <v>0</v>
      </c>
    </row>
    <row r="4555" spans="1:15" x14ac:dyDescent="0.25">
      <c r="A4555" t="s">
        <v>1083</v>
      </c>
      <c r="B4555" t="s">
        <v>2757</v>
      </c>
      <c r="C4555" t="s">
        <v>927</v>
      </c>
      <c r="D4555" t="s">
        <v>3052</v>
      </c>
      <c r="E4555" t="s">
        <v>3053</v>
      </c>
      <c r="F4555" t="s">
        <v>551</v>
      </c>
      <c r="G4555" t="s">
        <v>552</v>
      </c>
      <c r="H4555" t="s">
        <v>6101</v>
      </c>
      <c r="I4555">
        <v>742</v>
      </c>
      <c r="J4555">
        <v>561</v>
      </c>
      <c r="K4555">
        <v>0</v>
      </c>
      <c r="L4555">
        <v>27</v>
      </c>
      <c r="M4555">
        <v>41</v>
      </c>
      <c r="N4555">
        <v>0</v>
      </c>
      <c r="O4555">
        <v>113</v>
      </c>
    </row>
    <row r="4556" spans="1:15" x14ac:dyDescent="0.25">
      <c r="A4556" t="s">
        <v>1195</v>
      </c>
      <c r="B4556" t="s">
        <v>2924</v>
      </c>
      <c r="C4556" t="s">
        <v>927</v>
      </c>
      <c r="D4556" t="s">
        <v>3052</v>
      </c>
      <c r="E4556" t="s">
        <v>3053</v>
      </c>
      <c r="F4556" t="s">
        <v>553</v>
      </c>
      <c r="G4556" t="s">
        <v>554</v>
      </c>
      <c r="H4556" t="s">
        <v>6102</v>
      </c>
      <c r="I4556">
        <v>51</v>
      </c>
      <c r="J4556">
        <v>29</v>
      </c>
      <c r="K4556">
        <v>0</v>
      </c>
      <c r="L4556">
        <v>0</v>
      </c>
      <c r="M4556">
        <v>0</v>
      </c>
      <c r="N4556">
        <v>0</v>
      </c>
      <c r="O4556">
        <v>22</v>
      </c>
    </row>
    <row r="4557" spans="1:15" x14ac:dyDescent="0.25">
      <c r="A4557" t="s">
        <v>926</v>
      </c>
      <c r="B4557" t="s">
        <v>2923</v>
      </c>
      <c r="C4557" t="s">
        <v>927</v>
      </c>
      <c r="D4557" t="s">
        <v>3052</v>
      </c>
      <c r="E4557" t="s">
        <v>3053</v>
      </c>
      <c r="F4557" t="s">
        <v>553</v>
      </c>
      <c r="G4557" t="s">
        <v>554</v>
      </c>
      <c r="H4557" t="s">
        <v>6103</v>
      </c>
      <c r="I4557">
        <v>1</v>
      </c>
      <c r="J4557">
        <v>0</v>
      </c>
      <c r="K4557">
        <v>0</v>
      </c>
      <c r="L4557">
        <v>1</v>
      </c>
      <c r="M4557">
        <v>0</v>
      </c>
      <c r="N4557">
        <v>0</v>
      </c>
      <c r="O4557">
        <v>0</v>
      </c>
    </row>
    <row r="4558" spans="1:15" x14ac:dyDescent="0.25">
      <c r="A4558" t="s">
        <v>929</v>
      </c>
      <c r="B4558" t="s">
        <v>2999</v>
      </c>
      <c r="C4558" t="s">
        <v>927</v>
      </c>
      <c r="D4558" t="s">
        <v>3052</v>
      </c>
      <c r="E4558" t="s">
        <v>3053</v>
      </c>
      <c r="F4558" t="s">
        <v>553</v>
      </c>
      <c r="G4558" t="s">
        <v>554</v>
      </c>
      <c r="H4558" t="s">
        <v>6104</v>
      </c>
      <c r="I4558">
        <v>156</v>
      </c>
      <c r="J4558">
        <v>0</v>
      </c>
      <c r="K4558">
        <v>0</v>
      </c>
      <c r="L4558">
        <v>0</v>
      </c>
      <c r="M4558">
        <v>156</v>
      </c>
      <c r="N4558">
        <v>0</v>
      </c>
      <c r="O4558">
        <v>0</v>
      </c>
    </row>
    <row r="4559" spans="1:15" x14ac:dyDescent="0.25">
      <c r="A4559" t="s">
        <v>1087</v>
      </c>
      <c r="B4559" t="s">
        <v>2979</v>
      </c>
      <c r="C4559" t="s">
        <v>923</v>
      </c>
      <c r="D4559" t="s">
        <v>3063</v>
      </c>
      <c r="E4559" t="s">
        <v>3053</v>
      </c>
      <c r="F4559" t="s">
        <v>553</v>
      </c>
      <c r="G4559" t="s">
        <v>554</v>
      </c>
      <c r="H4559" t="s">
        <v>6105</v>
      </c>
      <c r="I4559">
        <v>12</v>
      </c>
      <c r="J4559">
        <v>12</v>
      </c>
      <c r="K4559">
        <v>0</v>
      </c>
      <c r="L4559">
        <v>0</v>
      </c>
      <c r="M4559">
        <v>0</v>
      </c>
      <c r="N4559">
        <v>12</v>
      </c>
      <c r="O4559">
        <v>0</v>
      </c>
    </row>
    <row r="4560" spans="1:15" x14ac:dyDescent="0.25">
      <c r="A4560" t="s">
        <v>1205</v>
      </c>
      <c r="B4560" t="s">
        <v>2504</v>
      </c>
      <c r="C4560" t="s">
        <v>923</v>
      </c>
      <c r="D4560" t="s">
        <v>3063</v>
      </c>
      <c r="E4560" t="s">
        <v>3053</v>
      </c>
      <c r="F4560" t="s">
        <v>553</v>
      </c>
      <c r="G4560" t="s">
        <v>554</v>
      </c>
      <c r="H4560" t="s">
        <v>6106</v>
      </c>
      <c r="I4560">
        <v>138</v>
      </c>
      <c r="J4560">
        <v>128</v>
      </c>
      <c r="K4560">
        <v>10</v>
      </c>
      <c r="L4560">
        <v>0</v>
      </c>
      <c r="M4560">
        <v>0</v>
      </c>
      <c r="N4560">
        <v>0</v>
      </c>
      <c r="O4560">
        <v>0</v>
      </c>
    </row>
    <row r="4561" spans="1:15" x14ac:dyDescent="0.25">
      <c r="A4561" t="s">
        <v>9790</v>
      </c>
      <c r="B4561" t="s">
        <v>1977</v>
      </c>
      <c r="C4561" t="s">
        <v>923</v>
      </c>
      <c r="D4561" t="s">
        <v>3063</v>
      </c>
      <c r="E4561" t="s">
        <v>3053</v>
      </c>
      <c r="F4561" t="s">
        <v>553</v>
      </c>
      <c r="G4561" t="s">
        <v>554</v>
      </c>
      <c r="H4561" t="s">
        <v>12138</v>
      </c>
      <c r="I4561">
        <v>13</v>
      </c>
      <c r="J4561">
        <v>0</v>
      </c>
      <c r="K4561">
        <v>0</v>
      </c>
      <c r="L4561">
        <v>13</v>
      </c>
      <c r="M4561">
        <v>0</v>
      </c>
      <c r="N4561">
        <v>0</v>
      </c>
      <c r="O4561">
        <v>0</v>
      </c>
    </row>
    <row r="4562" spans="1:15" x14ac:dyDescent="0.25">
      <c r="A4562" t="s">
        <v>10582</v>
      </c>
      <c r="B4562" t="s">
        <v>2400</v>
      </c>
      <c r="C4562" t="s">
        <v>923</v>
      </c>
      <c r="D4562" t="s">
        <v>3063</v>
      </c>
      <c r="E4562" t="s">
        <v>3053</v>
      </c>
      <c r="F4562" t="s">
        <v>553</v>
      </c>
      <c r="G4562" t="s">
        <v>554</v>
      </c>
      <c r="H4562" t="s">
        <v>11101</v>
      </c>
      <c r="I4562">
        <v>39</v>
      </c>
      <c r="J4562">
        <v>39</v>
      </c>
      <c r="K4562">
        <v>0</v>
      </c>
      <c r="L4562">
        <v>0</v>
      </c>
      <c r="M4562">
        <v>0</v>
      </c>
      <c r="N4562">
        <v>0</v>
      </c>
      <c r="O4562">
        <v>0</v>
      </c>
    </row>
    <row r="4563" spans="1:15" x14ac:dyDescent="0.25">
      <c r="A4563" t="s">
        <v>1216</v>
      </c>
      <c r="B4563" t="s">
        <v>2382</v>
      </c>
      <c r="C4563" t="s">
        <v>923</v>
      </c>
      <c r="D4563" t="s">
        <v>3063</v>
      </c>
      <c r="E4563" t="s">
        <v>3053</v>
      </c>
      <c r="F4563" t="s">
        <v>553</v>
      </c>
      <c r="G4563" t="s">
        <v>554</v>
      </c>
      <c r="H4563" t="s">
        <v>6107</v>
      </c>
      <c r="I4563">
        <v>86</v>
      </c>
      <c r="J4563">
        <v>86</v>
      </c>
      <c r="K4563">
        <v>0</v>
      </c>
      <c r="L4563">
        <v>0</v>
      </c>
      <c r="M4563">
        <v>0</v>
      </c>
      <c r="N4563">
        <v>0</v>
      </c>
      <c r="O4563">
        <v>0</v>
      </c>
    </row>
    <row r="4564" spans="1:15" x14ac:dyDescent="0.25">
      <c r="A4564" t="s">
        <v>933</v>
      </c>
      <c r="B4564" t="s">
        <v>2106</v>
      </c>
      <c r="C4564" t="s">
        <v>927</v>
      </c>
      <c r="D4564" t="s">
        <v>3052</v>
      </c>
      <c r="E4564" t="s">
        <v>3053</v>
      </c>
      <c r="F4564" t="s">
        <v>553</v>
      </c>
      <c r="G4564" t="s">
        <v>554</v>
      </c>
      <c r="H4564" t="s">
        <v>6108</v>
      </c>
      <c r="I4564">
        <v>166</v>
      </c>
      <c r="J4564">
        <v>31</v>
      </c>
      <c r="K4564">
        <v>78</v>
      </c>
      <c r="L4564">
        <v>0</v>
      </c>
      <c r="M4564">
        <v>0</v>
      </c>
      <c r="N4564">
        <v>0</v>
      </c>
      <c r="O4564">
        <v>57</v>
      </c>
    </row>
    <row r="4565" spans="1:15" x14ac:dyDescent="0.25">
      <c r="A4565" t="s">
        <v>1227</v>
      </c>
      <c r="B4565" t="s">
        <v>2023</v>
      </c>
      <c r="C4565" t="s">
        <v>923</v>
      </c>
      <c r="D4565" t="s">
        <v>3063</v>
      </c>
      <c r="E4565" t="s">
        <v>3053</v>
      </c>
      <c r="F4565" t="s">
        <v>553</v>
      </c>
      <c r="G4565" t="s">
        <v>554</v>
      </c>
      <c r="H4565" t="s">
        <v>11102</v>
      </c>
      <c r="I4565">
        <v>2</v>
      </c>
      <c r="J4565">
        <v>1</v>
      </c>
      <c r="K4565">
        <v>1</v>
      </c>
      <c r="L4565">
        <v>0</v>
      </c>
      <c r="M4565">
        <v>0</v>
      </c>
      <c r="N4565">
        <v>0</v>
      </c>
      <c r="O4565">
        <v>0</v>
      </c>
    </row>
    <row r="4566" spans="1:15" x14ac:dyDescent="0.25">
      <c r="A4566" t="s">
        <v>14383</v>
      </c>
      <c r="B4566" t="s">
        <v>2065</v>
      </c>
      <c r="C4566" t="s">
        <v>923</v>
      </c>
      <c r="D4566" t="s">
        <v>3063</v>
      </c>
      <c r="E4566" t="s">
        <v>3053</v>
      </c>
      <c r="F4566" t="s">
        <v>553</v>
      </c>
      <c r="G4566" t="s">
        <v>554</v>
      </c>
      <c r="H4566" t="s">
        <v>14865</v>
      </c>
      <c r="I4566">
        <v>2</v>
      </c>
      <c r="J4566">
        <v>2</v>
      </c>
      <c r="K4566">
        <v>0</v>
      </c>
      <c r="L4566">
        <v>0</v>
      </c>
      <c r="M4566">
        <v>0</v>
      </c>
      <c r="N4566">
        <v>0</v>
      </c>
      <c r="O4566">
        <v>0</v>
      </c>
    </row>
    <row r="4567" spans="1:15" x14ac:dyDescent="0.25">
      <c r="A4567" t="s">
        <v>1237</v>
      </c>
      <c r="B4567" t="s">
        <v>2395</v>
      </c>
      <c r="C4567" t="s">
        <v>923</v>
      </c>
      <c r="D4567" t="s">
        <v>3063</v>
      </c>
      <c r="E4567" t="s">
        <v>3053</v>
      </c>
      <c r="F4567" t="s">
        <v>553</v>
      </c>
      <c r="G4567" t="s">
        <v>554</v>
      </c>
      <c r="H4567" t="s">
        <v>6109</v>
      </c>
      <c r="I4567">
        <v>69</v>
      </c>
      <c r="J4567">
        <v>69</v>
      </c>
      <c r="K4567">
        <v>0</v>
      </c>
      <c r="L4567">
        <v>0</v>
      </c>
      <c r="M4567">
        <v>0</v>
      </c>
      <c r="N4567">
        <v>0</v>
      </c>
      <c r="O4567">
        <v>0</v>
      </c>
    </row>
    <row r="4568" spans="1:15" x14ac:dyDescent="0.25">
      <c r="A4568" t="s">
        <v>1239</v>
      </c>
      <c r="B4568" t="s">
        <v>2990</v>
      </c>
      <c r="C4568" t="s">
        <v>923</v>
      </c>
      <c r="D4568" t="s">
        <v>3063</v>
      </c>
      <c r="E4568" t="s">
        <v>3053</v>
      </c>
      <c r="F4568" t="s">
        <v>553</v>
      </c>
      <c r="G4568" t="s">
        <v>554</v>
      </c>
      <c r="H4568" t="s">
        <v>6110</v>
      </c>
      <c r="I4568">
        <v>272</v>
      </c>
      <c r="J4568">
        <v>232</v>
      </c>
      <c r="K4568">
        <v>0</v>
      </c>
      <c r="L4568">
        <v>40</v>
      </c>
      <c r="M4568">
        <v>0</v>
      </c>
      <c r="N4568">
        <v>0</v>
      </c>
      <c r="O4568">
        <v>0</v>
      </c>
    </row>
    <row r="4569" spans="1:15" x14ac:dyDescent="0.25">
      <c r="A4569" t="s">
        <v>1243</v>
      </c>
      <c r="B4569" t="s">
        <v>2634</v>
      </c>
      <c r="C4569" t="s">
        <v>923</v>
      </c>
      <c r="D4569" t="s">
        <v>3063</v>
      </c>
      <c r="E4569" t="s">
        <v>3053</v>
      </c>
      <c r="F4569" t="s">
        <v>553</v>
      </c>
      <c r="G4569" t="s">
        <v>554</v>
      </c>
      <c r="H4569" t="s">
        <v>6111</v>
      </c>
      <c r="I4569">
        <v>114</v>
      </c>
      <c r="J4569">
        <v>0</v>
      </c>
      <c r="K4569">
        <v>0</v>
      </c>
      <c r="L4569">
        <v>114</v>
      </c>
      <c r="M4569">
        <v>0</v>
      </c>
      <c r="N4569">
        <v>0</v>
      </c>
      <c r="O4569">
        <v>0</v>
      </c>
    </row>
    <row r="4570" spans="1:15" x14ac:dyDescent="0.25">
      <c r="A4570" t="s">
        <v>1416</v>
      </c>
      <c r="B4570" t="s">
        <v>2029</v>
      </c>
      <c r="C4570" t="s">
        <v>923</v>
      </c>
      <c r="D4570" t="s">
        <v>3063</v>
      </c>
      <c r="E4570" t="s">
        <v>3053</v>
      </c>
      <c r="F4570" t="s">
        <v>553</v>
      </c>
      <c r="G4570" t="s">
        <v>554</v>
      </c>
      <c r="H4570" t="s">
        <v>12139</v>
      </c>
      <c r="I4570">
        <v>19</v>
      </c>
      <c r="J4570">
        <v>0</v>
      </c>
      <c r="K4570">
        <v>0</v>
      </c>
      <c r="L4570">
        <v>19</v>
      </c>
      <c r="M4570">
        <v>0</v>
      </c>
      <c r="N4570">
        <v>0</v>
      </c>
      <c r="O4570">
        <v>0</v>
      </c>
    </row>
    <row r="4571" spans="1:15" x14ac:dyDescent="0.25">
      <c r="A4571" t="s">
        <v>1115</v>
      </c>
      <c r="B4571" t="s">
        <v>2677</v>
      </c>
      <c r="C4571" t="s">
        <v>927</v>
      </c>
      <c r="D4571" t="s">
        <v>3052</v>
      </c>
      <c r="E4571" t="s">
        <v>3053</v>
      </c>
      <c r="F4571" t="s">
        <v>553</v>
      </c>
      <c r="G4571" t="s">
        <v>554</v>
      </c>
      <c r="H4571" t="s">
        <v>6112</v>
      </c>
      <c r="I4571">
        <v>1</v>
      </c>
      <c r="J4571">
        <v>0</v>
      </c>
      <c r="K4571">
        <v>0</v>
      </c>
      <c r="L4571">
        <v>0</v>
      </c>
      <c r="M4571">
        <v>0</v>
      </c>
      <c r="N4571">
        <v>0</v>
      </c>
      <c r="O4571">
        <v>1</v>
      </c>
    </row>
    <row r="4572" spans="1:15" x14ac:dyDescent="0.25">
      <c r="A4572" t="s">
        <v>10638</v>
      </c>
      <c r="B4572" t="s">
        <v>2057</v>
      </c>
      <c r="C4572" t="s">
        <v>927</v>
      </c>
      <c r="D4572" t="s">
        <v>3052</v>
      </c>
      <c r="E4572" t="s">
        <v>3053</v>
      </c>
      <c r="F4572" t="s">
        <v>553</v>
      </c>
      <c r="G4572" t="s">
        <v>554</v>
      </c>
      <c r="H4572" t="s">
        <v>11103</v>
      </c>
      <c r="I4572">
        <v>10</v>
      </c>
      <c r="J4572">
        <v>0</v>
      </c>
      <c r="K4572">
        <v>0</v>
      </c>
      <c r="L4572">
        <v>10</v>
      </c>
      <c r="M4572">
        <v>0</v>
      </c>
      <c r="N4572">
        <v>0</v>
      </c>
      <c r="O4572">
        <v>0</v>
      </c>
    </row>
    <row r="4573" spans="1:15" x14ac:dyDescent="0.25">
      <c r="A4573" t="s">
        <v>1265</v>
      </c>
      <c r="B4573" t="s">
        <v>2131</v>
      </c>
      <c r="C4573" t="s">
        <v>923</v>
      </c>
      <c r="D4573" t="s">
        <v>3063</v>
      </c>
      <c r="E4573" t="s">
        <v>3053</v>
      </c>
      <c r="F4573" t="s">
        <v>553</v>
      </c>
      <c r="G4573" t="s">
        <v>554</v>
      </c>
      <c r="H4573" t="s">
        <v>6115</v>
      </c>
      <c r="I4573">
        <v>175</v>
      </c>
      <c r="J4573">
        <v>175</v>
      </c>
      <c r="K4573">
        <v>0</v>
      </c>
      <c r="L4573">
        <v>0</v>
      </c>
      <c r="M4573">
        <v>0</v>
      </c>
      <c r="N4573">
        <v>0</v>
      </c>
      <c r="O4573">
        <v>0</v>
      </c>
    </row>
    <row r="4574" spans="1:15" x14ac:dyDescent="0.25">
      <c r="A4574" t="s">
        <v>1259</v>
      </c>
      <c r="B4574" t="s">
        <v>2350</v>
      </c>
      <c r="C4574" t="s">
        <v>923</v>
      </c>
      <c r="D4574" t="s">
        <v>3063</v>
      </c>
      <c r="E4574" t="s">
        <v>3053</v>
      </c>
      <c r="F4574" t="s">
        <v>553</v>
      </c>
      <c r="G4574" t="s">
        <v>554</v>
      </c>
      <c r="H4574" t="s">
        <v>6113</v>
      </c>
      <c r="I4574">
        <v>25</v>
      </c>
      <c r="J4574">
        <v>25</v>
      </c>
      <c r="K4574">
        <v>0</v>
      </c>
      <c r="L4574">
        <v>0</v>
      </c>
      <c r="M4574">
        <v>0</v>
      </c>
      <c r="N4574">
        <v>0</v>
      </c>
      <c r="O4574">
        <v>0</v>
      </c>
    </row>
    <row r="4575" spans="1:15" x14ac:dyDescent="0.25">
      <c r="A4575" t="s">
        <v>9805</v>
      </c>
      <c r="B4575" t="s">
        <v>2364</v>
      </c>
      <c r="C4575" t="s">
        <v>923</v>
      </c>
      <c r="D4575" t="s">
        <v>3063</v>
      </c>
      <c r="E4575" t="s">
        <v>3053</v>
      </c>
      <c r="F4575" t="s">
        <v>553</v>
      </c>
      <c r="G4575" t="s">
        <v>554</v>
      </c>
      <c r="H4575" t="s">
        <v>10091</v>
      </c>
      <c r="I4575">
        <v>19</v>
      </c>
      <c r="J4575">
        <v>19</v>
      </c>
      <c r="K4575">
        <v>0</v>
      </c>
      <c r="L4575">
        <v>0</v>
      </c>
      <c r="M4575">
        <v>0</v>
      </c>
      <c r="N4575">
        <v>0</v>
      </c>
      <c r="O4575">
        <v>0</v>
      </c>
    </row>
    <row r="4576" spans="1:15" x14ac:dyDescent="0.25">
      <c r="A4576" t="s">
        <v>1264</v>
      </c>
      <c r="B4576" t="s">
        <v>2749</v>
      </c>
      <c r="C4576" t="s">
        <v>927</v>
      </c>
      <c r="D4576" t="s">
        <v>3052</v>
      </c>
      <c r="E4576" t="s">
        <v>3053</v>
      </c>
      <c r="F4576" t="s">
        <v>553</v>
      </c>
      <c r="G4576" t="s">
        <v>554</v>
      </c>
      <c r="H4576" t="s">
        <v>6114</v>
      </c>
      <c r="I4576">
        <v>5</v>
      </c>
      <c r="J4576">
        <v>0</v>
      </c>
      <c r="K4576">
        <v>0</v>
      </c>
      <c r="L4576">
        <v>5</v>
      </c>
      <c r="M4576">
        <v>0</v>
      </c>
      <c r="N4576">
        <v>0</v>
      </c>
      <c r="O4576">
        <v>0</v>
      </c>
    </row>
    <row r="4577" spans="1:15" x14ac:dyDescent="0.25">
      <c r="A4577" t="s">
        <v>1266</v>
      </c>
      <c r="B4577" t="s">
        <v>2238</v>
      </c>
      <c r="C4577" t="s">
        <v>923</v>
      </c>
      <c r="D4577" t="s">
        <v>3063</v>
      </c>
      <c r="E4577" t="s">
        <v>3053</v>
      </c>
      <c r="F4577" t="s">
        <v>553</v>
      </c>
      <c r="G4577" t="s">
        <v>554</v>
      </c>
      <c r="H4577" t="s">
        <v>6116</v>
      </c>
      <c r="I4577">
        <v>8</v>
      </c>
      <c r="J4577">
        <v>0</v>
      </c>
      <c r="K4577">
        <v>0</v>
      </c>
      <c r="L4577">
        <v>0</v>
      </c>
      <c r="M4577">
        <v>8</v>
      </c>
      <c r="N4577">
        <v>0</v>
      </c>
      <c r="O4577">
        <v>0</v>
      </c>
    </row>
    <row r="4578" spans="1:15" x14ac:dyDescent="0.25">
      <c r="A4578" t="s">
        <v>1011</v>
      </c>
      <c r="B4578" t="s">
        <v>2020</v>
      </c>
      <c r="C4578" t="s">
        <v>927</v>
      </c>
      <c r="D4578" t="s">
        <v>3052</v>
      </c>
      <c r="E4578" t="s">
        <v>3053</v>
      </c>
      <c r="F4578" t="s">
        <v>553</v>
      </c>
      <c r="G4578" t="s">
        <v>554</v>
      </c>
      <c r="H4578" t="s">
        <v>6117</v>
      </c>
      <c r="I4578">
        <v>7</v>
      </c>
      <c r="J4578">
        <v>0</v>
      </c>
      <c r="K4578">
        <v>0</v>
      </c>
      <c r="L4578">
        <v>7</v>
      </c>
      <c r="M4578">
        <v>0</v>
      </c>
      <c r="N4578">
        <v>0</v>
      </c>
      <c r="O4578">
        <v>0</v>
      </c>
    </row>
    <row r="4579" spans="1:15" x14ac:dyDescent="0.25">
      <c r="A4579" t="s">
        <v>938</v>
      </c>
      <c r="B4579" t="s">
        <v>2791</v>
      </c>
      <c r="C4579" t="s">
        <v>927</v>
      </c>
      <c r="D4579" t="s">
        <v>3052</v>
      </c>
      <c r="E4579" t="s">
        <v>3053</v>
      </c>
      <c r="F4579" t="s">
        <v>553</v>
      </c>
      <c r="G4579" t="s">
        <v>554</v>
      </c>
      <c r="H4579" t="s">
        <v>6118</v>
      </c>
      <c r="I4579">
        <v>15</v>
      </c>
      <c r="J4579">
        <v>0</v>
      </c>
      <c r="K4579">
        <v>0</v>
      </c>
      <c r="L4579">
        <v>15</v>
      </c>
      <c r="M4579">
        <v>0</v>
      </c>
      <c r="N4579">
        <v>0</v>
      </c>
      <c r="O4579">
        <v>0</v>
      </c>
    </row>
    <row r="4580" spans="1:15" x14ac:dyDescent="0.25">
      <c r="A4580" t="s">
        <v>14384</v>
      </c>
      <c r="B4580" t="s">
        <v>2417</v>
      </c>
      <c r="C4580" t="s">
        <v>923</v>
      </c>
      <c r="D4580" t="s">
        <v>3063</v>
      </c>
      <c r="E4580" t="s">
        <v>3053</v>
      </c>
      <c r="F4580" t="s">
        <v>553</v>
      </c>
      <c r="G4580" t="s">
        <v>554</v>
      </c>
      <c r="H4580" t="s">
        <v>14866</v>
      </c>
      <c r="I4580">
        <v>15</v>
      </c>
      <c r="J4580">
        <v>15</v>
      </c>
      <c r="K4580">
        <v>0</v>
      </c>
      <c r="L4580">
        <v>0</v>
      </c>
      <c r="M4580">
        <v>0</v>
      </c>
      <c r="N4580">
        <v>0</v>
      </c>
      <c r="O4580">
        <v>0</v>
      </c>
    </row>
    <row r="4581" spans="1:15" x14ac:dyDescent="0.25">
      <c r="A4581" t="s">
        <v>940</v>
      </c>
      <c r="B4581" t="s">
        <v>2647</v>
      </c>
      <c r="C4581" t="s">
        <v>927</v>
      </c>
      <c r="D4581" t="s">
        <v>3052</v>
      </c>
      <c r="E4581" t="s">
        <v>3053</v>
      </c>
      <c r="F4581" t="s">
        <v>553</v>
      </c>
      <c r="G4581" t="s">
        <v>554</v>
      </c>
      <c r="H4581" t="s">
        <v>12140</v>
      </c>
      <c r="I4581">
        <v>84</v>
      </c>
      <c r="J4581">
        <v>0</v>
      </c>
      <c r="K4581">
        <v>0</v>
      </c>
      <c r="L4581">
        <v>0</v>
      </c>
      <c r="M4581">
        <v>66</v>
      </c>
      <c r="N4581">
        <v>0</v>
      </c>
      <c r="O4581">
        <v>18</v>
      </c>
    </row>
    <row r="4582" spans="1:15" x14ac:dyDescent="0.25">
      <c r="A4582" t="s">
        <v>1012</v>
      </c>
      <c r="B4582" t="s">
        <v>2911</v>
      </c>
      <c r="C4582" t="s">
        <v>927</v>
      </c>
      <c r="D4582" t="s">
        <v>3052</v>
      </c>
      <c r="E4582" t="s">
        <v>3053</v>
      </c>
      <c r="F4582" t="s">
        <v>553</v>
      </c>
      <c r="G4582" t="s">
        <v>554</v>
      </c>
      <c r="H4582" t="s">
        <v>6119</v>
      </c>
      <c r="I4582">
        <v>182</v>
      </c>
      <c r="J4582">
        <v>129</v>
      </c>
      <c r="K4582">
        <v>0</v>
      </c>
      <c r="L4582">
        <v>52</v>
      </c>
      <c r="M4582">
        <v>0</v>
      </c>
      <c r="N4582">
        <v>4</v>
      </c>
      <c r="O4582">
        <v>1</v>
      </c>
    </row>
    <row r="4583" spans="1:15" x14ac:dyDescent="0.25">
      <c r="A4583" t="s">
        <v>1275</v>
      </c>
      <c r="B4583" t="s">
        <v>2841</v>
      </c>
      <c r="C4583" t="s">
        <v>927</v>
      </c>
      <c r="D4583" t="s">
        <v>3052</v>
      </c>
      <c r="E4583" t="s">
        <v>3053</v>
      </c>
      <c r="F4583" t="s">
        <v>553</v>
      </c>
      <c r="G4583" t="s">
        <v>554</v>
      </c>
      <c r="H4583" t="s">
        <v>6120</v>
      </c>
      <c r="I4583">
        <v>2258</v>
      </c>
      <c r="J4583">
        <v>2187</v>
      </c>
      <c r="K4583">
        <v>0</v>
      </c>
      <c r="L4583">
        <v>0</v>
      </c>
      <c r="M4583">
        <v>42</v>
      </c>
      <c r="N4583">
        <v>106</v>
      </c>
      <c r="O4583">
        <v>29</v>
      </c>
    </row>
    <row r="4584" spans="1:15" x14ac:dyDescent="0.25">
      <c r="A4584" t="s">
        <v>1013</v>
      </c>
      <c r="B4584" t="s">
        <v>1959</v>
      </c>
      <c r="C4584" t="s">
        <v>927</v>
      </c>
      <c r="D4584" t="s">
        <v>3052</v>
      </c>
      <c r="E4584" t="s">
        <v>3053</v>
      </c>
      <c r="F4584" t="s">
        <v>553</v>
      </c>
      <c r="G4584" t="s">
        <v>554</v>
      </c>
      <c r="H4584" t="s">
        <v>6121</v>
      </c>
      <c r="I4584">
        <v>5</v>
      </c>
      <c r="J4584">
        <v>0</v>
      </c>
      <c r="K4584">
        <v>0</v>
      </c>
      <c r="L4584">
        <v>5</v>
      </c>
      <c r="M4584">
        <v>0</v>
      </c>
      <c r="N4584">
        <v>0</v>
      </c>
      <c r="O4584">
        <v>0</v>
      </c>
    </row>
    <row r="4585" spans="1:15" x14ac:dyDescent="0.25">
      <c r="A4585" t="s">
        <v>1124</v>
      </c>
      <c r="B4585" t="s">
        <v>2981</v>
      </c>
      <c r="C4585" t="s">
        <v>923</v>
      </c>
      <c r="D4585" t="s">
        <v>3063</v>
      </c>
      <c r="E4585" t="s">
        <v>3053</v>
      </c>
      <c r="F4585" t="s">
        <v>553</v>
      </c>
      <c r="G4585" t="s">
        <v>554</v>
      </c>
      <c r="H4585" t="s">
        <v>6122</v>
      </c>
      <c r="I4585">
        <v>7</v>
      </c>
      <c r="J4585">
        <v>7</v>
      </c>
      <c r="K4585">
        <v>0</v>
      </c>
      <c r="L4585">
        <v>0</v>
      </c>
      <c r="M4585">
        <v>0</v>
      </c>
      <c r="N4585">
        <v>0</v>
      </c>
      <c r="O4585">
        <v>0</v>
      </c>
    </row>
    <row r="4586" spans="1:15" x14ac:dyDescent="0.25">
      <c r="A4586" t="s">
        <v>10659</v>
      </c>
      <c r="B4586" t="s">
        <v>10658</v>
      </c>
      <c r="C4586" t="s">
        <v>923</v>
      </c>
      <c r="D4586" t="s">
        <v>3063</v>
      </c>
      <c r="E4586" t="s">
        <v>3053</v>
      </c>
      <c r="F4586" t="s">
        <v>553</v>
      </c>
      <c r="G4586" t="s">
        <v>554</v>
      </c>
      <c r="H4586" t="s">
        <v>12141</v>
      </c>
      <c r="I4586">
        <v>59</v>
      </c>
      <c r="J4586">
        <v>59</v>
      </c>
      <c r="K4586">
        <v>0</v>
      </c>
      <c r="L4586">
        <v>0</v>
      </c>
      <c r="M4586">
        <v>0</v>
      </c>
      <c r="N4586">
        <v>0</v>
      </c>
      <c r="O4586">
        <v>0</v>
      </c>
    </row>
    <row r="4587" spans="1:15" x14ac:dyDescent="0.25">
      <c r="A4587" t="s">
        <v>1125</v>
      </c>
      <c r="B4587" t="s">
        <v>2938</v>
      </c>
      <c r="C4587" t="s">
        <v>923</v>
      </c>
      <c r="D4587" t="s">
        <v>3063</v>
      </c>
      <c r="E4587" t="s">
        <v>3053</v>
      </c>
      <c r="F4587" t="s">
        <v>553</v>
      </c>
      <c r="G4587" t="s">
        <v>554</v>
      </c>
      <c r="H4587" t="s">
        <v>6123</v>
      </c>
      <c r="I4587">
        <v>26</v>
      </c>
      <c r="J4587">
        <v>0</v>
      </c>
      <c r="K4587">
        <v>0</v>
      </c>
      <c r="L4587">
        <v>0</v>
      </c>
      <c r="M4587">
        <v>26</v>
      </c>
      <c r="N4587">
        <v>0</v>
      </c>
      <c r="O4587">
        <v>0</v>
      </c>
    </row>
    <row r="4588" spans="1:15" x14ac:dyDescent="0.25">
      <c r="A4588" t="s">
        <v>14385</v>
      </c>
      <c r="B4588" t="s">
        <v>3027</v>
      </c>
      <c r="C4588" t="s">
        <v>923</v>
      </c>
      <c r="D4588" t="s">
        <v>3063</v>
      </c>
      <c r="E4588" t="s">
        <v>3053</v>
      </c>
      <c r="F4588" t="s">
        <v>553</v>
      </c>
      <c r="G4588" t="s">
        <v>554</v>
      </c>
      <c r="H4588" t="s">
        <v>14867</v>
      </c>
      <c r="I4588">
        <v>15</v>
      </c>
      <c r="J4588">
        <v>0</v>
      </c>
      <c r="K4588">
        <v>0</v>
      </c>
      <c r="L4588">
        <v>15</v>
      </c>
      <c r="M4588">
        <v>0</v>
      </c>
      <c r="N4588">
        <v>0</v>
      </c>
      <c r="O4588">
        <v>0</v>
      </c>
    </row>
    <row r="4589" spans="1:15" x14ac:dyDescent="0.25">
      <c r="A4589" t="s">
        <v>1283</v>
      </c>
      <c r="B4589" t="s">
        <v>2768</v>
      </c>
      <c r="C4589" t="s">
        <v>923</v>
      </c>
      <c r="D4589" t="s">
        <v>3063</v>
      </c>
      <c r="E4589" t="s">
        <v>3053</v>
      </c>
      <c r="F4589" t="s">
        <v>553</v>
      </c>
      <c r="G4589" t="s">
        <v>554</v>
      </c>
      <c r="H4589" t="s">
        <v>6124</v>
      </c>
      <c r="I4589">
        <v>10</v>
      </c>
      <c r="J4589">
        <v>10</v>
      </c>
      <c r="K4589">
        <v>0</v>
      </c>
      <c r="L4589">
        <v>0</v>
      </c>
      <c r="M4589">
        <v>0</v>
      </c>
      <c r="N4589">
        <v>0</v>
      </c>
      <c r="O4589">
        <v>0</v>
      </c>
    </row>
    <row r="4590" spans="1:15" x14ac:dyDescent="0.25">
      <c r="A4590" t="s">
        <v>1287</v>
      </c>
      <c r="B4590" t="s">
        <v>2858</v>
      </c>
      <c r="C4590" t="s">
        <v>923</v>
      </c>
      <c r="D4590" t="s">
        <v>3063</v>
      </c>
      <c r="E4590" t="s">
        <v>3053</v>
      </c>
      <c r="F4590" t="s">
        <v>553</v>
      </c>
      <c r="G4590" t="s">
        <v>554</v>
      </c>
      <c r="H4590" t="s">
        <v>6125</v>
      </c>
      <c r="I4590">
        <v>51</v>
      </c>
      <c r="J4590">
        <v>51</v>
      </c>
      <c r="K4590">
        <v>0</v>
      </c>
      <c r="L4590">
        <v>0</v>
      </c>
      <c r="M4590">
        <v>0</v>
      </c>
      <c r="N4590">
        <v>4</v>
      </c>
      <c r="O4590">
        <v>0</v>
      </c>
    </row>
    <row r="4591" spans="1:15" x14ac:dyDescent="0.25">
      <c r="A4591" t="s">
        <v>11678</v>
      </c>
      <c r="B4591" t="s">
        <v>2706</v>
      </c>
      <c r="C4591" t="s">
        <v>923</v>
      </c>
      <c r="D4591" t="s">
        <v>3063</v>
      </c>
      <c r="E4591" t="s">
        <v>3053</v>
      </c>
      <c r="F4591" t="s">
        <v>553</v>
      </c>
      <c r="G4591" t="s">
        <v>554</v>
      </c>
      <c r="H4591" t="s">
        <v>12142</v>
      </c>
      <c r="I4591">
        <v>104</v>
      </c>
      <c r="J4591">
        <v>104</v>
      </c>
      <c r="K4591">
        <v>0</v>
      </c>
      <c r="L4591">
        <v>0</v>
      </c>
      <c r="M4591">
        <v>0</v>
      </c>
      <c r="N4591">
        <v>0</v>
      </c>
      <c r="O4591">
        <v>0</v>
      </c>
    </row>
    <row r="4592" spans="1:15" x14ac:dyDescent="0.25">
      <c r="A4592" t="s">
        <v>10667</v>
      </c>
      <c r="B4592" t="s">
        <v>10666</v>
      </c>
      <c r="C4592" t="s">
        <v>927</v>
      </c>
      <c r="D4592" t="s">
        <v>3052</v>
      </c>
      <c r="E4592" t="s">
        <v>3053</v>
      </c>
      <c r="F4592" t="s">
        <v>553</v>
      </c>
      <c r="G4592" t="s">
        <v>554</v>
      </c>
      <c r="H4592" t="s">
        <v>14868</v>
      </c>
      <c r="I4592">
        <v>90</v>
      </c>
      <c r="J4592">
        <v>90</v>
      </c>
      <c r="K4592">
        <v>0</v>
      </c>
      <c r="L4592">
        <v>0</v>
      </c>
      <c r="M4592">
        <v>0</v>
      </c>
      <c r="N4592">
        <v>0</v>
      </c>
      <c r="O4592">
        <v>0</v>
      </c>
    </row>
    <row r="4593" spans="1:15" x14ac:dyDescent="0.25">
      <c r="A4593" t="s">
        <v>1025</v>
      </c>
      <c r="B4593" t="s">
        <v>2893</v>
      </c>
      <c r="C4593" t="s">
        <v>927</v>
      </c>
      <c r="D4593" t="s">
        <v>3052</v>
      </c>
      <c r="E4593" t="s">
        <v>3053</v>
      </c>
      <c r="F4593" t="s">
        <v>553</v>
      </c>
      <c r="G4593" t="s">
        <v>554</v>
      </c>
      <c r="H4593" t="s">
        <v>6126</v>
      </c>
      <c r="I4593">
        <v>4115</v>
      </c>
      <c r="J4593">
        <v>3229</v>
      </c>
      <c r="K4593">
        <v>0</v>
      </c>
      <c r="L4593">
        <v>468</v>
      </c>
      <c r="M4593">
        <v>125</v>
      </c>
      <c r="N4593">
        <v>217</v>
      </c>
      <c r="O4593">
        <v>293</v>
      </c>
    </row>
    <row r="4594" spans="1:15" x14ac:dyDescent="0.25">
      <c r="A4594" t="s">
        <v>10681</v>
      </c>
      <c r="B4594" t="s">
        <v>10680</v>
      </c>
      <c r="C4594" t="s">
        <v>927</v>
      </c>
      <c r="D4594" t="s">
        <v>3052</v>
      </c>
      <c r="E4594" t="s">
        <v>3053</v>
      </c>
      <c r="F4594" t="s">
        <v>553</v>
      </c>
      <c r="G4594" t="s">
        <v>554</v>
      </c>
      <c r="H4594" t="s">
        <v>14869</v>
      </c>
      <c r="I4594">
        <v>15</v>
      </c>
      <c r="J4594">
        <v>0</v>
      </c>
      <c r="K4594">
        <v>0</v>
      </c>
      <c r="L4594">
        <v>0</v>
      </c>
      <c r="M4594">
        <v>0</v>
      </c>
      <c r="N4594">
        <v>0</v>
      </c>
      <c r="O4594">
        <v>15</v>
      </c>
    </row>
    <row r="4595" spans="1:15" x14ac:dyDescent="0.25">
      <c r="A4595" t="s">
        <v>943</v>
      </c>
      <c r="B4595" t="s">
        <v>2694</v>
      </c>
      <c r="C4595" t="s">
        <v>927</v>
      </c>
      <c r="D4595" t="s">
        <v>3052</v>
      </c>
      <c r="E4595" t="s">
        <v>3053</v>
      </c>
      <c r="F4595" t="s">
        <v>553</v>
      </c>
      <c r="G4595" t="s">
        <v>554</v>
      </c>
      <c r="H4595" t="s">
        <v>6127</v>
      </c>
      <c r="I4595">
        <v>5028</v>
      </c>
      <c r="J4595">
        <v>3843</v>
      </c>
      <c r="K4595">
        <v>0</v>
      </c>
      <c r="L4595">
        <v>350</v>
      </c>
      <c r="M4595">
        <v>459</v>
      </c>
      <c r="N4595">
        <v>3</v>
      </c>
      <c r="O4595">
        <v>376</v>
      </c>
    </row>
    <row r="4596" spans="1:15" x14ac:dyDescent="0.25">
      <c r="A4596" t="s">
        <v>1298</v>
      </c>
      <c r="B4596" t="s">
        <v>2478</v>
      </c>
      <c r="C4596" t="s">
        <v>923</v>
      </c>
      <c r="D4596" t="s">
        <v>3063</v>
      </c>
      <c r="E4596" t="s">
        <v>3053</v>
      </c>
      <c r="F4596" t="s">
        <v>553</v>
      </c>
      <c r="G4596" t="s">
        <v>554</v>
      </c>
      <c r="H4596" t="s">
        <v>6128</v>
      </c>
      <c r="I4596">
        <v>13</v>
      </c>
      <c r="J4596">
        <v>13</v>
      </c>
      <c r="K4596">
        <v>0</v>
      </c>
      <c r="L4596">
        <v>0</v>
      </c>
      <c r="M4596">
        <v>0</v>
      </c>
      <c r="N4596">
        <v>0</v>
      </c>
      <c r="O4596">
        <v>0</v>
      </c>
    </row>
    <row r="4597" spans="1:15" x14ac:dyDescent="0.25">
      <c r="A4597" t="s">
        <v>1301</v>
      </c>
      <c r="B4597" t="s">
        <v>2476</v>
      </c>
      <c r="C4597" t="s">
        <v>923</v>
      </c>
      <c r="D4597" t="s">
        <v>3063</v>
      </c>
      <c r="E4597" t="s">
        <v>3053</v>
      </c>
      <c r="F4597" t="s">
        <v>553</v>
      </c>
      <c r="G4597" t="s">
        <v>554</v>
      </c>
      <c r="H4597" t="s">
        <v>6129</v>
      </c>
      <c r="I4597">
        <v>56</v>
      </c>
      <c r="J4597">
        <v>56</v>
      </c>
      <c r="K4597">
        <v>0</v>
      </c>
      <c r="L4597">
        <v>0</v>
      </c>
      <c r="M4597">
        <v>0</v>
      </c>
      <c r="N4597">
        <v>0</v>
      </c>
      <c r="O4597">
        <v>0</v>
      </c>
    </row>
    <row r="4598" spans="1:15" x14ac:dyDescent="0.25">
      <c r="A4598" t="s">
        <v>1305</v>
      </c>
      <c r="B4598" t="s">
        <v>2992</v>
      </c>
      <c r="C4598" t="s">
        <v>923</v>
      </c>
      <c r="D4598" t="s">
        <v>3063</v>
      </c>
      <c r="E4598" t="s">
        <v>3053</v>
      </c>
      <c r="F4598" t="s">
        <v>553</v>
      </c>
      <c r="G4598" t="s">
        <v>554</v>
      </c>
      <c r="H4598" t="s">
        <v>6130</v>
      </c>
      <c r="I4598">
        <v>91</v>
      </c>
      <c r="J4598">
        <v>71</v>
      </c>
      <c r="K4598">
        <v>0</v>
      </c>
      <c r="L4598">
        <v>0</v>
      </c>
      <c r="M4598">
        <v>20</v>
      </c>
      <c r="N4598">
        <v>3</v>
      </c>
      <c r="O4598">
        <v>0</v>
      </c>
    </row>
    <row r="4599" spans="1:15" x14ac:dyDescent="0.25">
      <c r="A4599" t="s">
        <v>1134</v>
      </c>
      <c r="B4599" t="s">
        <v>2118</v>
      </c>
      <c r="C4599" t="s">
        <v>927</v>
      </c>
      <c r="D4599" t="s">
        <v>3052</v>
      </c>
      <c r="E4599" t="s">
        <v>3053</v>
      </c>
      <c r="F4599" t="s">
        <v>553</v>
      </c>
      <c r="G4599" t="s">
        <v>554</v>
      </c>
      <c r="H4599" t="s">
        <v>6131</v>
      </c>
      <c r="I4599">
        <v>2499</v>
      </c>
      <c r="J4599">
        <v>2285</v>
      </c>
      <c r="K4599">
        <v>0</v>
      </c>
      <c r="L4599">
        <v>63</v>
      </c>
      <c r="M4599">
        <v>16</v>
      </c>
      <c r="N4599">
        <v>15</v>
      </c>
      <c r="O4599">
        <v>135</v>
      </c>
    </row>
    <row r="4600" spans="1:15" x14ac:dyDescent="0.25">
      <c r="A4600" t="s">
        <v>949</v>
      </c>
      <c r="B4600" t="s">
        <v>3035</v>
      </c>
      <c r="C4600" t="s">
        <v>927</v>
      </c>
      <c r="D4600" t="s">
        <v>3052</v>
      </c>
      <c r="E4600" t="s">
        <v>3053</v>
      </c>
      <c r="F4600" t="s">
        <v>553</v>
      </c>
      <c r="G4600" t="s">
        <v>554</v>
      </c>
      <c r="H4600" t="s">
        <v>6132</v>
      </c>
      <c r="I4600">
        <v>410</v>
      </c>
      <c r="J4600">
        <v>0</v>
      </c>
      <c r="K4600">
        <v>0</v>
      </c>
      <c r="L4600">
        <v>0</v>
      </c>
      <c r="M4600">
        <v>0</v>
      </c>
      <c r="N4600">
        <v>0</v>
      </c>
      <c r="O4600">
        <v>410</v>
      </c>
    </row>
    <row r="4601" spans="1:15" x14ac:dyDescent="0.25">
      <c r="A4601" t="s">
        <v>1140</v>
      </c>
      <c r="B4601" t="s">
        <v>2697</v>
      </c>
      <c r="C4601" t="s">
        <v>927</v>
      </c>
      <c r="D4601" t="s">
        <v>3052</v>
      </c>
      <c r="E4601" t="s">
        <v>3053</v>
      </c>
      <c r="F4601" t="s">
        <v>553</v>
      </c>
      <c r="G4601" t="s">
        <v>554</v>
      </c>
      <c r="H4601" t="s">
        <v>6133</v>
      </c>
      <c r="I4601">
        <v>2</v>
      </c>
      <c r="J4601">
        <v>0</v>
      </c>
      <c r="K4601">
        <v>0</v>
      </c>
      <c r="L4601">
        <v>0</v>
      </c>
      <c r="M4601">
        <v>0</v>
      </c>
      <c r="N4601">
        <v>0</v>
      </c>
      <c r="O4601">
        <v>2</v>
      </c>
    </row>
    <row r="4602" spans="1:15" x14ac:dyDescent="0.25">
      <c r="A4602" t="s">
        <v>1314</v>
      </c>
      <c r="B4602" t="s">
        <v>2516</v>
      </c>
      <c r="C4602" t="s">
        <v>923</v>
      </c>
      <c r="D4602" t="s">
        <v>3063</v>
      </c>
      <c r="E4602" t="s">
        <v>3053</v>
      </c>
      <c r="F4602" t="s">
        <v>553</v>
      </c>
      <c r="G4602" t="s">
        <v>554</v>
      </c>
      <c r="H4602" t="s">
        <v>6134</v>
      </c>
      <c r="I4602">
        <v>27</v>
      </c>
      <c r="J4602">
        <v>27</v>
      </c>
      <c r="K4602">
        <v>0</v>
      </c>
      <c r="L4602">
        <v>0</v>
      </c>
      <c r="M4602">
        <v>0</v>
      </c>
      <c r="N4602">
        <v>0</v>
      </c>
      <c r="O4602">
        <v>0</v>
      </c>
    </row>
    <row r="4603" spans="1:15" x14ac:dyDescent="0.25">
      <c r="A4603" t="s">
        <v>1043</v>
      </c>
      <c r="B4603" t="s">
        <v>2090</v>
      </c>
      <c r="C4603" t="s">
        <v>927</v>
      </c>
      <c r="D4603" t="s">
        <v>3052</v>
      </c>
      <c r="E4603" t="s">
        <v>3053</v>
      </c>
      <c r="F4603" t="s">
        <v>553</v>
      </c>
      <c r="G4603" t="s">
        <v>554</v>
      </c>
      <c r="H4603" t="s">
        <v>6135</v>
      </c>
      <c r="I4603">
        <v>318</v>
      </c>
      <c r="J4603">
        <v>197</v>
      </c>
      <c r="K4603">
        <v>0</v>
      </c>
      <c r="L4603">
        <v>45</v>
      </c>
      <c r="M4603">
        <v>47</v>
      </c>
      <c r="N4603">
        <v>0</v>
      </c>
      <c r="O4603">
        <v>29</v>
      </c>
    </row>
    <row r="4604" spans="1:15" x14ac:dyDescent="0.25">
      <c r="A4604" t="s">
        <v>1316</v>
      </c>
      <c r="B4604" t="s">
        <v>2477</v>
      </c>
      <c r="C4604" t="s">
        <v>923</v>
      </c>
      <c r="D4604" t="s">
        <v>3063</v>
      </c>
      <c r="E4604" t="s">
        <v>3053</v>
      </c>
      <c r="F4604" t="s">
        <v>553</v>
      </c>
      <c r="G4604" t="s">
        <v>554</v>
      </c>
      <c r="H4604" t="s">
        <v>6136</v>
      </c>
      <c r="I4604">
        <v>25</v>
      </c>
      <c r="J4604">
        <v>25</v>
      </c>
      <c r="K4604">
        <v>0</v>
      </c>
      <c r="L4604">
        <v>0</v>
      </c>
      <c r="M4604">
        <v>0</v>
      </c>
      <c r="N4604">
        <v>0</v>
      </c>
      <c r="O4604">
        <v>0</v>
      </c>
    </row>
    <row r="4605" spans="1:15" x14ac:dyDescent="0.25">
      <c r="A4605" t="s">
        <v>1145</v>
      </c>
      <c r="B4605" t="s">
        <v>2814</v>
      </c>
      <c r="C4605" t="s">
        <v>923</v>
      </c>
      <c r="D4605" t="s">
        <v>3063</v>
      </c>
      <c r="E4605" t="s">
        <v>3053</v>
      </c>
      <c r="F4605" t="s">
        <v>553</v>
      </c>
      <c r="G4605" t="s">
        <v>554</v>
      </c>
      <c r="H4605" t="s">
        <v>14870</v>
      </c>
      <c r="I4605">
        <v>58</v>
      </c>
      <c r="J4605">
        <v>58</v>
      </c>
      <c r="K4605">
        <v>0</v>
      </c>
      <c r="L4605">
        <v>0</v>
      </c>
      <c r="M4605">
        <v>0</v>
      </c>
      <c r="N4605">
        <v>0</v>
      </c>
      <c r="O4605">
        <v>0</v>
      </c>
    </row>
    <row r="4606" spans="1:15" x14ac:dyDescent="0.25">
      <c r="A4606" t="s">
        <v>1146</v>
      </c>
      <c r="B4606" t="s">
        <v>2117</v>
      </c>
      <c r="C4606" t="s">
        <v>927</v>
      </c>
      <c r="D4606" t="s">
        <v>3052</v>
      </c>
      <c r="E4606" t="s">
        <v>3053</v>
      </c>
      <c r="F4606" t="s">
        <v>553</v>
      </c>
      <c r="G4606" t="s">
        <v>554</v>
      </c>
      <c r="H4606" t="s">
        <v>6137</v>
      </c>
      <c r="I4606">
        <v>2989</v>
      </c>
      <c r="J4606">
        <v>2520</v>
      </c>
      <c r="K4606">
        <v>0</v>
      </c>
      <c r="L4606">
        <v>246</v>
      </c>
      <c r="M4606">
        <v>47</v>
      </c>
      <c r="N4606">
        <v>0</v>
      </c>
      <c r="O4606">
        <v>176</v>
      </c>
    </row>
    <row r="4607" spans="1:15" x14ac:dyDescent="0.25">
      <c r="A4607" t="s">
        <v>1317</v>
      </c>
      <c r="B4607" t="s">
        <v>2367</v>
      </c>
      <c r="C4607" t="s">
        <v>923</v>
      </c>
      <c r="D4607" t="s">
        <v>3063</v>
      </c>
      <c r="E4607" t="s">
        <v>3053</v>
      </c>
      <c r="F4607" t="s">
        <v>553</v>
      </c>
      <c r="G4607" t="s">
        <v>554</v>
      </c>
      <c r="H4607" t="s">
        <v>6138</v>
      </c>
      <c r="I4607">
        <v>27</v>
      </c>
      <c r="J4607">
        <v>27</v>
      </c>
      <c r="K4607">
        <v>0</v>
      </c>
      <c r="L4607">
        <v>0</v>
      </c>
      <c r="M4607">
        <v>0</v>
      </c>
      <c r="N4607">
        <v>0</v>
      </c>
      <c r="O4607">
        <v>0</v>
      </c>
    </row>
    <row r="4608" spans="1:15" x14ac:dyDescent="0.25">
      <c r="A4608" t="s">
        <v>1323</v>
      </c>
      <c r="B4608" t="s">
        <v>2612</v>
      </c>
      <c r="C4608" t="s">
        <v>923</v>
      </c>
      <c r="D4608" t="s">
        <v>3063</v>
      </c>
      <c r="E4608" t="s">
        <v>3053</v>
      </c>
      <c r="F4608" t="s">
        <v>553</v>
      </c>
      <c r="G4608" t="s">
        <v>554</v>
      </c>
      <c r="H4608" t="s">
        <v>6139</v>
      </c>
      <c r="I4608">
        <v>12</v>
      </c>
      <c r="J4608">
        <v>0</v>
      </c>
      <c r="K4608">
        <v>0</v>
      </c>
      <c r="L4608">
        <v>12</v>
      </c>
      <c r="M4608">
        <v>0</v>
      </c>
      <c r="N4608">
        <v>0</v>
      </c>
      <c r="O4608">
        <v>0</v>
      </c>
    </row>
    <row r="4609" spans="1:15" x14ac:dyDescent="0.25">
      <c r="A4609" t="s">
        <v>951</v>
      </c>
      <c r="B4609" t="s">
        <v>2680</v>
      </c>
      <c r="C4609" t="s">
        <v>927</v>
      </c>
      <c r="D4609" t="s">
        <v>3052</v>
      </c>
      <c r="E4609" t="s">
        <v>3053</v>
      </c>
      <c r="F4609" t="s">
        <v>553</v>
      </c>
      <c r="G4609" t="s">
        <v>554</v>
      </c>
      <c r="H4609" t="s">
        <v>6140</v>
      </c>
      <c r="I4609">
        <v>3</v>
      </c>
      <c r="J4609">
        <v>3</v>
      </c>
      <c r="K4609">
        <v>0</v>
      </c>
      <c r="L4609">
        <v>0</v>
      </c>
      <c r="M4609">
        <v>0</v>
      </c>
      <c r="N4609">
        <v>0</v>
      </c>
      <c r="O4609">
        <v>0</v>
      </c>
    </row>
    <row r="4610" spans="1:15" x14ac:dyDescent="0.25">
      <c r="A4610" t="s">
        <v>1330</v>
      </c>
      <c r="B4610" t="s">
        <v>2776</v>
      </c>
      <c r="C4610" t="s">
        <v>923</v>
      </c>
      <c r="D4610" t="s">
        <v>3063</v>
      </c>
      <c r="E4610" t="s">
        <v>3053</v>
      </c>
      <c r="F4610" t="s">
        <v>553</v>
      </c>
      <c r="G4610" t="s">
        <v>554</v>
      </c>
      <c r="H4610" t="s">
        <v>6141</v>
      </c>
      <c r="I4610">
        <v>24</v>
      </c>
      <c r="J4610">
        <v>24</v>
      </c>
      <c r="K4610">
        <v>0</v>
      </c>
      <c r="L4610">
        <v>0</v>
      </c>
      <c r="M4610">
        <v>0</v>
      </c>
      <c r="N4610">
        <v>0</v>
      </c>
      <c r="O4610">
        <v>0</v>
      </c>
    </row>
    <row r="4611" spans="1:15" x14ac:dyDescent="0.25">
      <c r="A4611" t="s">
        <v>1056</v>
      </c>
      <c r="B4611" t="s">
        <v>2966</v>
      </c>
      <c r="C4611" t="s">
        <v>927</v>
      </c>
      <c r="D4611" t="s">
        <v>3052</v>
      </c>
      <c r="E4611" t="s">
        <v>3053</v>
      </c>
      <c r="F4611" t="s">
        <v>553</v>
      </c>
      <c r="G4611" t="s">
        <v>554</v>
      </c>
      <c r="H4611" t="s">
        <v>6142</v>
      </c>
      <c r="I4611">
        <v>34</v>
      </c>
      <c r="J4611">
        <v>0</v>
      </c>
      <c r="K4611">
        <v>0</v>
      </c>
      <c r="L4611">
        <v>0</v>
      </c>
      <c r="M4611">
        <v>34</v>
      </c>
      <c r="N4611">
        <v>0</v>
      </c>
      <c r="O4611">
        <v>0</v>
      </c>
    </row>
    <row r="4612" spans="1:15" x14ac:dyDescent="0.25">
      <c r="A4612" t="s">
        <v>955</v>
      </c>
      <c r="B4612" t="s">
        <v>2660</v>
      </c>
      <c r="C4612" t="s">
        <v>927</v>
      </c>
      <c r="D4612" t="s">
        <v>3052</v>
      </c>
      <c r="E4612" t="s">
        <v>3053</v>
      </c>
      <c r="F4612" t="s">
        <v>553</v>
      </c>
      <c r="G4612" t="s">
        <v>554</v>
      </c>
      <c r="H4612" t="s">
        <v>6143</v>
      </c>
      <c r="I4612">
        <v>206</v>
      </c>
      <c r="J4612">
        <v>4</v>
      </c>
      <c r="K4612">
        <v>0</v>
      </c>
      <c r="L4612">
        <v>40</v>
      </c>
      <c r="M4612">
        <v>153</v>
      </c>
      <c r="N4612">
        <v>0</v>
      </c>
      <c r="O4612">
        <v>9</v>
      </c>
    </row>
    <row r="4613" spans="1:15" x14ac:dyDescent="0.25">
      <c r="A4613" t="s">
        <v>1155</v>
      </c>
      <c r="B4613" t="s">
        <v>2912</v>
      </c>
      <c r="C4613" t="s">
        <v>927</v>
      </c>
      <c r="D4613" t="s">
        <v>3052</v>
      </c>
      <c r="E4613" t="s">
        <v>3053</v>
      </c>
      <c r="F4613" t="s">
        <v>553</v>
      </c>
      <c r="G4613" t="s">
        <v>554</v>
      </c>
      <c r="H4613" t="s">
        <v>6144</v>
      </c>
      <c r="I4613">
        <v>1</v>
      </c>
      <c r="J4613">
        <v>0</v>
      </c>
      <c r="K4613">
        <v>0</v>
      </c>
      <c r="L4613">
        <v>0</v>
      </c>
      <c r="M4613">
        <v>0</v>
      </c>
      <c r="N4613">
        <v>0</v>
      </c>
      <c r="O4613">
        <v>1</v>
      </c>
    </row>
    <row r="4614" spans="1:15" x14ac:dyDescent="0.25">
      <c r="A4614" t="s">
        <v>11663</v>
      </c>
      <c r="B4614" t="s">
        <v>11768</v>
      </c>
      <c r="C4614" t="s">
        <v>927</v>
      </c>
      <c r="D4614" t="s">
        <v>3052</v>
      </c>
      <c r="E4614" t="s">
        <v>3053</v>
      </c>
      <c r="F4614" t="s">
        <v>553</v>
      </c>
      <c r="G4614" t="s">
        <v>554</v>
      </c>
      <c r="H4614" t="s">
        <v>12143</v>
      </c>
      <c r="I4614">
        <v>2736</v>
      </c>
      <c r="J4614">
        <v>2495</v>
      </c>
      <c r="K4614">
        <v>0</v>
      </c>
      <c r="L4614">
        <v>60</v>
      </c>
      <c r="M4614">
        <v>30</v>
      </c>
      <c r="N4614">
        <v>11</v>
      </c>
      <c r="O4614">
        <v>151</v>
      </c>
    </row>
    <row r="4615" spans="1:15" x14ac:dyDescent="0.25">
      <c r="A4615" t="s">
        <v>14380</v>
      </c>
      <c r="B4615" t="s">
        <v>2074</v>
      </c>
      <c r="C4615" t="s">
        <v>927</v>
      </c>
      <c r="D4615" t="s">
        <v>3052</v>
      </c>
      <c r="E4615" t="s">
        <v>3053</v>
      </c>
      <c r="F4615" t="s">
        <v>553</v>
      </c>
      <c r="G4615" t="s">
        <v>554</v>
      </c>
      <c r="H4615" t="s">
        <v>14871</v>
      </c>
      <c r="I4615">
        <v>1237</v>
      </c>
      <c r="J4615">
        <v>1018</v>
      </c>
      <c r="K4615">
        <v>0</v>
      </c>
      <c r="L4615">
        <v>46</v>
      </c>
      <c r="M4615">
        <v>59</v>
      </c>
      <c r="N4615">
        <v>16</v>
      </c>
      <c r="O4615">
        <v>114</v>
      </c>
    </row>
    <row r="4616" spans="1:15" x14ac:dyDescent="0.25">
      <c r="A4616" t="s">
        <v>1347</v>
      </c>
      <c r="B4616" t="s">
        <v>2594</v>
      </c>
      <c r="C4616" t="s">
        <v>923</v>
      </c>
      <c r="D4616" t="s">
        <v>3063</v>
      </c>
      <c r="E4616" t="s">
        <v>3053</v>
      </c>
      <c r="F4616" t="s">
        <v>553</v>
      </c>
      <c r="G4616" t="s">
        <v>554</v>
      </c>
      <c r="H4616" t="s">
        <v>6145</v>
      </c>
      <c r="I4616">
        <v>18</v>
      </c>
      <c r="J4616">
        <v>0</v>
      </c>
      <c r="K4616">
        <v>0</v>
      </c>
      <c r="L4616">
        <v>18</v>
      </c>
      <c r="M4616">
        <v>0</v>
      </c>
      <c r="N4616">
        <v>0</v>
      </c>
      <c r="O4616">
        <v>0</v>
      </c>
    </row>
    <row r="4617" spans="1:15" x14ac:dyDescent="0.25">
      <c r="A4617" t="s">
        <v>1158</v>
      </c>
      <c r="B4617" t="s">
        <v>2922</v>
      </c>
      <c r="C4617" t="s">
        <v>927</v>
      </c>
      <c r="D4617" t="s">
        <v>3052</v>
      </c>
      <c r="E4617" t="s">
        <v>3053</v>
      </c>
      <c r="F4617" t="s">
        <v>553</v>
      </c>
      <c r="G4617" t="s">
        <v>554</v>
      </c>
      <c r="H4617" t="s">
        <v>6146</v>
      </c>
      <c r="I4617">
        <v>110</v>
      </c>
      <c r="J4617">
        <v>0</v>
      </c>
      <c r="K4617">
        <v>0</v>
      </c>
      <c r="L4617">
        <v>110</v>
      </c>
      <c r="M4617">
        <v>0</v>
      </c>
      <c r="N4617">
        <v>0</v>
      </c>
      <c r="O4617">
        <v>0</v>
      </c>
    </row>
    <row r="4618" spans="1:15" x14ac:dyDescent="0.25">
      <c r="A4618" t="s">
        <v>11683</v>
      </c>
      <c r="B4618" t="s">
        <v>11779</v>
      </c>
      <c r="C4618" t="s">
        <v>923</v>
      </c>
      <c r="D4618" t="s">
        <v>3063</v>
      </c>
      <c r="E4618" t="s">
        <v>3053</v>
      </c>
      <c r="F4618" t="s">
        <v>553</v>
      </c>
      <c r="G4618" t="s">
        <v>554</v>
      </c>
      <c r="H4618" t="s">
        <v>12144</v>
      </c>
      <c r="I4618">
        <v>7</v>
      </c>
      <c r="J4618">
        <v>0</v>
      </c>
      <c r="K4618">
        <v>0</v>
      </c>
      <c r="L4618">
        <v>0</v>
      </c>
      <c r="M4618">
        <v>7</v>
      </c>
      <c r="N4618">
        <v>0</v>
      </c>
      <c r="O4618">
        <v>0</v>
      </c>
    </row>
    <row r="4619" spans="1:15" x14ac:dyDescent="0.25">
      <c r="A4619" t="s">
        <v>1069</v>
      </c>
      <c r="B4619" t="s">
        <v>2001</v>
      </c>
      <c r="C4619" t="s">
        <v>927</v>
      </c>
      <c r="D4619" t="s">
        <v>3052</v>
      </c>
      <c r="E4619" t="s">
        <v>3053</v>
      </c>
      <c r="F4619" t="s">
        <v>553</v>
      </c>
      <c r="G4619" t="s">
        <v>554</v>
      </c>
      <c r="H4619" t="s">
        <v>6147</v>
      </c>
      <c r="I4619">
        <v>746</v>
      </c>
      <c r="J4619">
        <v>577</v>
      </c>
      <c r="K4619">
        <v>0</v>
      </c>
      <c r="L4619">
        <v>0</v>
      </c>
      <c r="M4619">
        <v>47</v>
      </c>
      <c r="N4619">
        <v>0</v>
      </c>
      <c r="O4619">
        <v>122</v>
      </c>
    </row>
    <row r="4620" spans="1:15" x14ac:dyDescent="0.25">
      <c r="A4620" t="s">
        <v>1366</v>
      </c>
      <c r="B4620" t="s">
        <v>2480</v>
      </c>
      <c r="C4620" t="s">
        <v>923</v>
      </c>
      <c r="D4620" t="s">
        <v>3063</v>
      </c>
      <c r="E4620" t="s">
        <v>3053</v>
      </c>
      <c r="F4620" t="s">
        <v>553</v>
      </c>
      <c r="G4620" t="s">
        <v>554</v>
      </c>
      <c r="H4620" t="s">
        <v>12145</v>
      </c>
      <c r="I4620">
        <v>41</v>
      </c>
      <c r="J4620">
        <v>41</v>
      </c>
      <c r="K4620">
        <v>0</v>
      </c>
      <c r="L4620">
        <v>0</v>
      </c>
      <c r="M4620">
        <v>0</v>
      </c>
      <c r="N4620">
        <v>0</v>
      </c>
      <c r="O4620">
        <v>0</v>
      </c>
    </row>
    <row r="4621" spans="1:15" x14ac:dyDescent="0.25">
      <c r="A4621" t="s">
        <v>1072</v>
      </c>
      <c r="B4621" t="s">
        <v>2907</v>
      </c>
      <c r="C4621" t="s">
        <v>927</v>
      </c>
      <c r="D4621" t="s">
        <v>3052</v>
      </c>
      <c r="E4621" t="s">
        <v>3053</v>
      </c>
      <c r="F4621" t="s">
        <v>553</v>
      </c>
      <c r="G4621" t="s">
        <v>554</v>
      </c>
      <c r="H4621" t="s">
        <v>6148</v>
      </c>
      <c r="I4621">
        <v>322</v>
      </c>
      <c r="J4621">
        <v>155</v>
      </c>
      <c r="K4621">
        <v>0</v>
      </c>
      <c r="L4621">
        <v>49</v>
      </c>
      <c r="M4621">
        <v>98</v>
      </c>
      <c r="N4621">
        <v>0</v>
      </c>
      <c r="O4621">
        <v>20</v>
      </c>
    </row>
    <row r="4622" spans="1:15" x14ac:dyDescent="0.25">
      <c r="A4622" t="s">
        <v>1370</v>
      </c>
      <c r="B4622" t="s">
        <v>2066</v>
      </c>
      <c r="C4622" t="s">
        <v>923</v>
      </c>
      <c r="D4622" t="s">
        <v>3063</v>
      </c>
      <c r="E4622" t="s">
        <v>3053</v>
      </c>
      <c r="F4622" t="s">
        <v>553</v>
      </c>
      <c r="G4622" t="s">
        <v>554</v>
      </c>
      <c r="H4622" t="s">
        <v>6149</v>
      </c>
      <c r="I4622">
        <v>17</v>
      </c>
      <c r="J4622">
        <v>17</v>
      </c>
      <c r="K4622">
        <v>0</v>
      </c>
      <c r="L4622">
        <v>0</v>
      </c>
      <c r="M4622">
        <v>0</v>
      </c>
      <c r="N4622">
        <v>0</v>
      </c>
      <c r="O4622">
        <v>0</v>
      </c>
    </row>
    <row r="4623" spans="1:15" x14ac:dyDescent="0.25">
      <c r="A4623" t="s">
        <v>1375</v>
      </c>
      <c r="B4623" t="s">
        <v>2235</v>
      </c>
      <c r="C4623" t="s">
        <v>923</v>
      </c>
      <c r="D4623" t="s">
        <v>3063</v>
      </c>
      <c r="E4623" t="s">
        <v>3053</v>
      </c>
      <c r="F4623" t="s">
        <v>553</v>
      </c>
      <c r="G4623" t="s">
        <v>554</v>
      </c>
      <c r="H4623" t="s">
        <v>6150</v>
      </c>
      <c r="I4623">
        <v>16</v>
      </c>
      <c r="J4623">
        <v>0</v>
      </c>
      <c r="K4623">
        <v>0</v>
      </c>
      <c r="L4623">
        <v>0</v>
      </c>
      <c r="M4623">
        <v>16</v>
      </c>
      <c r="N4623">
        <v>0</v>
      </c>
      <c r="O4623">
        <v>0</v>
      </c>
    </row>
    <row r="4624" spans="1:15" x14ac:dyDescent="0.25">
      <c r="A4624" t="s">
        <v>1377</v>
      </c>
      <c r="B4624" t="s">
        <v>2459</v>
      </c>
      <c r="C4624" t="s">
        <v>923</v>
      </c>
      <c r="D4624" t="s">
        <v>3063</v>
      </c>
      <c r="E4624" t="s">
        <v>3053</v>
      </c>
      <c r="F4624" t="s">
        <v>553</v>
      </c>
      <c r="G4624" t="s">
        <v>554</v>
      </c>
      <c r="H4624" t="s">
        <v>6151</v>
      </c>
      <c r="I4624">
        <v>50</v>
      </c>
      <c r="J4624">
        <v>50</v>
      </c>
      <c r="K4624">
        <v>0</v>
      </c>
      <c r="L4624">
        <v>0</v>
      </c>
      <c r="M4624">
        <v>0</v>
      </c>
      <c r="N4624">
        <v>0</v>
      </c>
      <c r="O4624">
        <v>0</v>
      </c>
    </row>
    <row r="4625" spans="1:15" x14ac:dyDescent="0.25">
      <c r="A4625" t="s">
        <v>1380</v>
      </c>
      <c r="B4625" t="s">
        <v>2664</v>
      </c>
      <c r="C4625" t="s">
        <v>927</v>
      </c>
      <c r="D4625" t="s">
        <v>3052</v>
      </c>
      <c r="E4625" t="s">
        <v>3053</v>
      </c>
      <c r="F4625" t="s">
        <v>553</v>
      </c>
      <c r="G4625" t="s">
        <v>554</v>
      </c>
      <c r="H4625" t="s">
        <v>6152</v>
      </c>
      <c r="I4625">
        <v>499</v>
      </c>
      <c r="J4625">
        <v>411</v>
      </c>
      <c r="K4625">
        <v>0</v>
      </c>
      <c r="L4625">
        <v>0</v>
      </c>
      <c r="M4625">
        <v>0</v>
      </c>
      <c r="N4625">
        <v>3</v>
      </c>
      <c r="O4625">
        <v>88</v>
      </c>
    </row>
    <row r="4626" spans="1:15" x14ac:dyDescent="0.25">
      <c r="A4626" t="s">
        <v>11684</v>
      </c>
      <c r="B4626" t="s">
        <v>2864</v>
      </c>
      <c r="C4626" t="s">
        <v>927</v>
      </c>
      <c r="D4626" t="s">
        <v>3052</v>
      </c>
      <c r="E4626" t="s">
        <v>3053</v>
      </c>
      <c r="F4626" t="s">
        <v>553</v>
      </c>
      <c r="G4626" t="s">
        <v>554</v>
      </c>
      <c r="H4626" t="s">
        <v>12146</v>
      </c>
      <c r="I4626">
        <v>923</v>
      </c>
      <c r="J4626">
        <v>837</v>
      </c>
      <c r="K4626">
        <v>0</v>
      </c>
      <c r="L4626">
        <v>0</v>
      </c>
      <c r="M4626">
        <v>86</v>
      </c>
      <c r="N4626">
        <v>9</v>
      </c>
      <c r="O4626">
        <v>0</v>
      </c>
    </row>
    <row r="4627" spans="1:15" x14ac:dyDescent="0.25">
      <c r="A4627" t="s">
        <v>11685</v>
      </c>
      <c r="B4627" t="s">
        <v>11782</v>
      </c>
      <c r="C4627" t="s">
        <v>923</v>
      </c>
      <c r="D4627" t="s">
        <v>3063</v>
      </c>
      <c r="E4627" t="s">
        <v>3053</v>
      </c>
      <c r="F4627" t="s">
        <v>553</v>
      </c>
      <c r="G4627" t="s">
        <v>554</v>
      </c>
      <c r="H4627" t="s">
        <v>12147</v>
      </c>
      <c r="I4627">
        <v>44</v>
      </c>
      <c r="J4627">
        <v>27</v>
      </c>
      <c r="K4627">
        <v>0</v>
      </c>
      <c r="L4627">
        <v>17</v>
      </c>
      <c r="M4627">
        <v>0</v>
      </c>
      <c r="N4627">
        <v>0</v>
      </c>
      <c r="O4627">
        <v>0</v>
      </c>
    </row>
    <row r="4628" spans="1:15" x14ac:dyDescent="0.25">
      <c r="A4628" t="s">
        <v>1080</v>
      </c>
      <c r="B4628" t="s">
        <v>2030</v>
      </c>
      <c r="C4628" t="s">
        <v>923</v>
      </c>
      <c r="D4628" t="s">
        <v>3063</v>
      </c>
      <c r="E4628" t="s">
        <v>3053</v>
      </c>
      <c r="F4628" t="s">
        <v>553</v>
      </c>
      <c r="G4628" t="s">
        <v>554</v>
      </c>
      <c r="H4628" t="s">
        <v>6153</v>
      </c>
      <c r="I4628">
        <v>18</v>
      </c>
      <c r="J4628">
        <v>0</v>
      </c>
      <c r="K4628">
        <v>0</v>
      </c>
      <c r="L4628">
        <v>18</v>
      </c>
      <c r="M4628">
        <v>0</v>
      </c>
      <c r="N4628">
        <v>0</v>
      </c>
      <c r="O4628">
        <v>0</v>
      </c>
    </row>
    <row r="4629" spans="1:15" x14ac:dyDescent="0.25">
      <c r="A4629" t="s">
        <v>14377</v>
      </c>
      <c r="B4629" t="s">
        <v>14444</v>
      </c>
      <c r="C4629" t="s">
        <v>923</v>
      </c>
      <c r="D4629" t="s">
        <v>3063</v>
      </c>
      <c r="E4629" t="s">
        <v>3053</v>
      </c>
      <c r="F4629" t="s">
        <v>553</v>
      </c>
      <c r="G4629" t="s">
        <v>554</v>
      </c>
      <c r="H4629" t="s">
        <v>14872</v>
      </c>
      <c r="I4629">
        <v>18</v>
      </c>
      <c r="J4629">
        <v>0</v>
      </c>
      <c r="K4629">
        <v>0</v>
      </c>
      <c r="L4629">
        <v>18</v>
      </c>
      <c r="M4629">
        <v>0</v>
      </c>
      <c r="N4629">
        <v>0</v>
      </c>
      <c r="O4629">
        <v>0</v>
      </c>
    </row>
    <row r="4630" spans="1:15" x14ac:dyDescent="0.25">
      <c r="A4630" t="s">
        <v>1016</v>
      </c>
      <c r="B4630" t="s">
        <v>2725</v>
      </c>
      <c r="C4630" t="s">
        <v>927</v>
      </c>
      <c r="D4630" t="s">
        <v>3052</v>
      </c>
      <c r="E4630" t="s">
        <v>3053</v>
      </c>
      <c r="F4630" t="s">
        <v>555</v>
      </c>
      <c r="G4630" t="s">
        <v>556</v>
      </c>
      <c r="H4630" t="s">
        <v>6169</v>
      </c>
      <c r="I4630">
        <v>65</v>
      </c>
      <c r="J4630">
        <v>0</v>
      </c>
      <c r="K4630">
        <v>0</v>
      </c>
      <c r="L4630">
        <v>0</v>
      </c>
      <c r="M4630">
        <v>65</v>
      </c>
      <c r="N4630">
        <v>0</v>
      </c>
      <c r="O4630">
        <v>0</v>
      </c>
    </row>
    <row r="4631" spans="1:15" x14ac:dyDescent="0.25">
      <c r="A4631" t="s">
        <v>929</v>
      </c>
      <c r="B4631" t="s">
        <v>2999</v>
      </c>
      <c r="C4631" t="s">
        <v>927</v>
      </c>
      <c r="D4631" t="s">
        <v>3052</v>
      </c>
      <c r="E4631" t="s">
        <v>3053</v>
      </c>
      <c r="F4631" t="s">
        <v>555</v>
      </c>
      <c r="G4631" t="s">
        <v>556</v>
      </c>
      <c r="H4631" t="s">
        <v>6154</v>
      </c>
      <c r="I4631">
        <v>190</v>
      </c>
      <c r="J4631">
        <v>0</v>
      </c>
      <c r="K4631">
        <v>0</v>
      </c>
      <c r="L4631">
        <v>0</v>
      </c>
      <c r="M4631">
        <v>190</v>
      </c>
      <c r="N4631">
        <v>0</v>
      </c>
      <c r="O4631">
        <v>0</v>
      </c>
    </row>
    <row r="4632" spans="1:15" x14ac:dyDescent="0.25">
      <c r="A4632" t="s">
        <v>978</v>
      </c>
      <c r="B4632" t="s">
        <v>1999</v>
      </c>
      <c r="C4632" t="s">
        <v>923</v>
      </c>
      <c r="D4632" t="s">
        <v>3063</v>
      </c>
      <c r="E4632" t="s">
        <v>3053</v>
      </c>
      <c r="F4632" t="s">
        <v>555</v>
      </c>
      <c r="G4632" t="s">
        <v>556</v>
      </c>
      <c r="H4632" t="s">
        <v>6155</v>
      </c>
      <c r="I4632">
        <v>2</v>
      </c>
      <c r="J4632">
        <v>2</v>
      </c>
      <c r="K4632">
        <v>0</v>
      </c>
      <c r="L4632">
        <v>0</v>
      </c>
      <c r="M4632">
        <v>0</v>
      </c>
      <c r="N4632">
        <v>0</v>
      </c>
      <c r="O4632">
        <v>0</v>
      </c>
    </row>
    <row r="4633" spans="1:15" x14ac:dyDescent="0.25">
      <c r="A4633" t="s">
        <v>1457</v>
      </c>
      <c r="B4633" t="s">
        <v>2003</v>
      </c>
      <c r="C4633" t="s">
        <v>923</v>
      </c>
      <c r="D4633" t="s">
        <v>3063</v>
      </c>
      <c r="E4633" t="s">
        <v>3053</v>
      </c>
      <c r="F4633" t="s">
        <v>555</v>
      </c>
      <c r="G4633" t="s">
        <v>556</v>
      </c>
      <c r="H4633" t="s">
        <v>6156</v>
      </c>
      <c r="I4633">
        <v>2</v>
      </c>
      <c r="J4633">
        <v>0</v>
      </c>
      <c r="K4633">
        <v>0</v>
      </c>
      <c r="L4633">
        <v>2</v>
      </c>
      <c r="M4633">
        <v>0</v>
      </c>
      <c r="N4633">
        <v>0</v>
      </c>
      <c r="O4633">
        <v>0</v>
      </c>
    </row>
    <row r="4634" spans="1:15" x14ac:dyDescent="0.25">
      <c r="A4634" t="s">
        <v>9790</v>
      </c>
      <c r="B4634" t="s">
        <v>1977</v>
      </c>
      <c r="C4634" t="s">
        <v>923</v>
      </c>
      <c r="D4634" t="s">
        <v>3063</v>
      </c>
      <c r="E4634" t="s">
        <v>3053</v>
      </c>
      <c r="F4634" t="s">
        <v>555</v>
      </c>
      <c r="G4634" t="s">
        <v>556</v>
      </c>
      <c r="H4634" t="s">
        <v>9910</v>
      </c>
      <c r="I4634">
        <v>5</v>
      </c>
      <c r="J4634">
        <v>0</v>
      </c>
      <c r="K4634">
        <v>0</v>
      </c>
      <c r="L4634">
        <v>5</v>
      </c>
      <c r="M4634">
        <v>0</v>
      </c>
      <c r="N4634">
        <v>0</v>
      </c>
      <c r="O4634">
        <v>0</v>
      </c>
    </row>
    <row r="4635" spans="1:15" x14ac:dyDescent="0.25">
      <c r="A4635" t="s">
        <v>1463</v>
      </c>
      <c r="B4635" t="s">
        <v>2846</v>
      </c>
      <c r="C4635" t="s">
        <v>927</v>
      </c>
      <c r="D4635" t="s">
        <v>3052</v>
      </c>
      <c r="E4635" t="s">
        <v>3053</v>
      </c>
      <c r="F4635" t="s">
        <v>555</v>
      </c>
      <c r="G4635" t="s">
        <v>556</v>
      </c>
      <c r="H4635" t="s">
        <v>10021</v>
      </c>
      <c r="I4635">
        <v>24</v>
      </c>
      <c r="J4635">
        <v>0</v>
      </c>
      <c r="K4635">
        <v>0</v>
      </c>
      <c r="L4635">
        <v>24</v>
      </c>
      <c r="M4635">
        <v>0</v>
      </c>
      <c r="N4635">
        <v>0</v>
      </c>
      <c r="O4635">
        <v>0</v>
      </c>
    </row>
    <row r="4636" spans="1:15" x14ac:dyDescent="0.25">
      <c r="A4636" t="s">
        <v>985</v>
      </c>
      <c r="B4636" t="s">
        <v>1964</v>
      </c>
      <c r="C4636" t="s">
        <v>923</v>
      </c>
      <c r="D4636" t="s">
        <v>3063</v>
      </c>
      <c r="E4636" t="s">
        <v>3053</v>
      </c>
      <c r="F4636" t="s">
        <v>555</v>
      </c>
      <c r="G4636" t="s">
        <v>556</v>
      </c>
      <c r="H4636" t="s">
        <v>6157</v>
      </c>
      <c r="I4636">
        <v>10</v>
      </c>
      <c r="J4636">
        <v>0</v>
      </c>
      <c r="K4636">
        <v>0</v>
      </c>
      <c r="L4636">
        <v>10</v>
      </c>
      <c r="M4636">
        <v>0</v>
      </c>
      <c r="N4636">
        <v>0</v>
      </c>
      <c r="O4636">
        <v>0</v>
      </c>
    </row>
    <row r="4637" spans="1:15" x14ac:dyDescent="0.25">
      <c r="A4637" t="s">
        <v>1465</v>
      </c>
      <c r="B4637" t="s">
        <v>1988</v>
      </c>
      <c r="C4637" t="s">
        <v>923</v>
      </c>
      <c r="D4637" t="s">
        <v>3063</v>
      </c>
      <c r="E4637" t="s">
        <v>3053</v>
      </c>
      <c r="F4637" t="s">
        <v>555</v>
      </c>
      <c r="G4637" t="s">
        <v>556</v>
      </c>
      <c r="H4637" t="s">
        <v>6158</v>
      </c>
      <c r="I4637">
        <v>48</v>
      </c>
      <c r="J4637">
        <v>0</v>
      </c>
      <c r="K4637">
        <v>0</v>
      </c>
      <c r="L4637">
        <v>48</v>
      </c>
      <c r="M4637">
        <v>0</v>
      </c>
      <c r="N4637">
        <v>0</v>
      </c>
      <c r="O4637">
        <v>0</v>
      </c>
    </row>
    <row r="4638" spans="1:15" x14ac:dyDescent="0.25">
      <c r="A4638" t="s">
        <v>1412</v>
      </c>
      <c r="B4638" t="s">
        <v>2099</v>
      </c>
      <c r="C4638" t="s">
        <v>927</v>
      </c>
      <c r="D4638" t="s">
        <v>3052</v>
      </c>
      <c r="E4638" t="s">
        <v>3053</v>
      </c>
      <c r="F4638" t="s">
        <v>555</v>
      </c>
      <c r="G4638" t="s">
        <v>556</v>
      </c>
      <c r="H4638" t="s">
        <v>6159</v>
      </c>
      <c r="I4638">
        <v>33</v>
      </c>
      <c r="J4638">
        <v>31</v>
      </c>
      <c r="K4638">
        <v>0</v>
      </c>
      <c r="L4638">
        <v>0</v>
      </c>
      <c r="M4638">
        <v>0</v>
      </c>
      <c r="N4638">
        <v>0</v>
      </c>
      <c r="O4638">
        <v>2</v>
      </c>
    </row>
    <row r="4639" spans="1:15" x14ac:dyDescent="0.25">
      <c r="A4639" t="s">
        <v>991</v>
      </c>
      <c r="B4639" t="s">
        <v>1976</v>
      </c>
      <c r="C4639" t="s">
        <v>923</v>
      </c>
      <c r="D4639" t="s">
        <v>3063</v>
      </c>
      <c r="E4639" t="s">
        <v>3053</v>
      </c>
      <c r="F4639" t="s">
        <v>555</v>
      </c>
      <c r="G4639" t="s">
        <v>556</v>
      </c>
      <c r="H4639" t="s">
        <v>6160</v>
      </c>
      <c r="I4639">
        <v>8</v>
      </c>
      <c r="J4639">
        <v>0</v>
      </c>
      <c r="K4639">
        <v>0</v>
      </c>
      <c r="L4639">
        <v>8</v>
      </c>
      <c r="M4639">
        <v>0</v>
      </c>
      <c r="N4639">
        <v>0</v>
      </c>
      <c r="O4639">
        <v>0</v>
      </c>
    </row>
    <row r="4640" spans="1:15" x14ac:dyDescent="0.25">
      <c r="A4640" t="s">
        <v>996</v>
      </c>
      <c r="B4640" t="s">
        <v>1952</v>
      </c>
      <c r="C4640" t="s">
        <v>923</v>
      </c>
      <c r="D4640" t="s">
        <v>3063</v>
      </c>
      <c r="E4640" t="s">
        <v>3053</v>
      </c>
      <c r="F4640" t="s">
        <v>555</v>
      </c>
      <c r="G4640" t="s">
        <v>556</v>
      </c>
      <c r="H4640" t="s">
        <v>6161</v>
      </c>
      <c r="I4640">
        <v>11</v>
      </c>
      <c r="J4640">
        <v>0</v>
      </c>
      <c r="K4640">
        <v>0</v>
      </c>
      <c r="L4640">
        <v>11</v>
      </c>
      <c r="M4640">
        <v>0</v>
      </c>
      <c r="N4640">
        <v>0</v>
      </c>
      <c r="O4640">
        <v>0</v>
      </c>
    </row>
    <row r="4641" spans="1:15" x14ac:dyDescent="0.25">
      <c r="A4641" t="s">
        <v>935</v>
      </c>
      <c r="B4641" t="s">
        <v>1960</v>
      </c>
      <c r="C4641" t="s">
        <v>923</v>
      </c>
      <c r="D4641" t="s">
        <v>3063</v>
      </c>
      <c r="E4641" t="s">
        <v>3053</v>
      </c>
      <c r="F4641" t="s">
        <v>555</v>
      </c>
      <c r="G4641" t="s">
        <v>556</v>
      </c>
      <c r="H4641" t="s">
        <v>6162</v>
      </c>
      <c r="I4641">
        <v>14</v>
      </c>
      <c r="J4641">
        <v>0</v>
      </c>
      <c r="K4641">
        <v>0</v>
      </c>
      <c r="L4641">
        <v>14</v>
      </c>
      <c r="M4641">
        <v>0</v>
      </c>
      <c r="N4641">
        <v>0</v>
      </c>
      <c r="O4641">
        <v>0</v>
      </c>
    </row>
    <row r="4642" spans="1:15" x14ac:dyDescent="0.25">
      <c r="A4642" t="s">
        <v>1416</v>
      </c>
      <c r="B4642" t="s">
        <v>2029</v>
      </c>
      <c r="C4642" t="s">
        <v>923</v>
      </c>
      <c r="D4642" t="s">
        <v>3063</v>
      </c>
      <c r="E4642" t="s">
        <v>3053</v>
      </c>
      <c r="F4642" t="s">
        <v>555</v>
      </c>
      <c r="G4642" t="s">
        <v>556</v>
      </c>
      <c r="H4642" t="s">
        <v>12148</v>
      </c>
      <c r="I4642">
        <v>1</v>
      </c>
      <c r="J4642">
        <v>0</v>
      </c>
      <c r="K4642">
        <v>0</v>
      </c>
      <c r="L4642">
        <v>1</v>
      </c>
      <c r="M4642">
        <v>0</v>
      </c>
      <c r="N4642">
        <v>0</v>
      </c>
      <c r="O4642">
        <v>0</v>
      </c>
    </row>
    <row r="4643" spans="1:15" x14ac:dyDescent="0.25">
      <c r="A4643" t="s">
        <v>1006</v>
      </c>
      <c r="B4643" t="s">
        <v>2724</v>
      </c>
      <c r="C4643" t="s">
        <v>927</v>
      </c>
      <c r="D4643" t="s">
        <v>3052</v>
      </c>
      <c r="E4643" t="s">
        <v>3053</v>
      </c>
      <c r="F4643" t="s">
        <v>555</v>
      </c>
      <c r="G4643" t="s">
        <v>556</v>
      </c>
      <c r="H4643" t="s">
        <v>6163</v>
      </c>
      <c r="I4643">
        <v>362</v>
      </c>
      <c r="J4643">
        <v>298</v>
      </c>
      <c r="K4643">
        <v>0</v>
      </c>
      <c r="L4643">
        <v>25</v>
      </c>
      <c r="M4643">
        <v>0</v>
      </c>
      <c r="N4643">
        <v>0</v>
      </c>
      <c r="O4643">
        <v>39</v>
      </c>
    </row>
    <row r="4644" spans="1:15" x14ac:dyDescent="0.25">
      <c r="A4644" t="s">
        <v>1009</v>
      </c>
      <c r="B4644" t="s">
        <v>1958</v>
      </c>
      <c r="C4644" t="s">
        <v>923</v>
      </c>
      <c r="D4644" t="s">
        <v>3063</v>
      </c>
      <c r="E4644" t="s">
        <v>3053</v>
      </c>
      <c r="F4644" t="s">
        <v>555</v>
      </c>
      <c r="G4644" t="s">
        <v>556</v>
      </c>
      <c r="H4644" t="s">
        <v>6164</v>
      </c>
      <c r="I4644">
        <v>35</v>
      </c>
      <c r="J4644">
        <v>0</v>
      </c>
      <c r="K4644">
        <v>0</v>
      </c>
      <c r="L4644">
        <v>35</v>
      </c>
      <c r="M4644">
        <v>0</v>
      </c>
      <c r="N4644">
        <v>0</v>
      </c>
      <c r="O4644">
        <v>0</v>
      </c>
    </row>
    <row r="4645" spans="1:15" x14ac:dyDescent="0.25">
      <c r="A4645" t="s">
        <v>937</v>
      </c>
      <c r="B4645" t="s">
        <v>1962</v>
      </c>
      <c r="C4645" t="s">
        <v>927</v>
      </c>
      <c r="D4645" t="s">
        <v>3052</v>
      </c>
      <c r="E4645" t="s">
        <v>3053</v>
      </c>
      <c r="F4645" t="s">
        <v>555</v>
      </c>
      <c r="G4645" t="s">
        <v>556</v>
      </c>
      <c r="H4645" t="s">
        <v>6165</v>
      </c>
      <c r="I4645">
        <v>73</v>
      </c>
      <c r="J4645">
        <v>0</v>
      </c>
      <c r="K4645">
        <v>0</v>
      </c>
      <c r="L4645">
        <v>0</v>
      </c>
      <c r="M4645">
        <v>0</v>
      </c>
      <c r="N4645">
        <v>0</v>
      </c>
      <c r="O4645">
        <v>73</v>
      </c>
    </row>
    <row r="4646" spans="1:15" x14ac:dyDescent="0.25">
      <c r="A4646" t="s">
        <v>1011</v>
      </c>
      <c r="B4646" t="s">
        <v>2020</v>
      </c>
      <c r="C4646" t="s">
        <v>927</v>
      </c>
      <c r="D4646" t="s">
        <v>3052</v>
      </c>
      <c r="E4646" t="s">
        <v>3053</v>
      </c>
      <c r="F4646" t="s">
        <v>555</v>
      </c>
      <c r="G4646" t="s">
        <v>556</v>
      </c>
      <c r="H4646" t="s">
        <v>6166</v>
      </c>
      <c r="I4646">
        <v>21</v>
      </c>
      <c r="J4646">
        <v>0</v>
      </c>
      <c r="K4646">
        <v>0</v>
      </c>
      <c r="L4646">
        <v>21</v>
      </c>
      <c r="M4646">
        <v>0</v>
      </c>
      <c r="N4646">
        <v>0</v>
      </c>
      <c r="O4646">
        <v>0</v>
      </c>
    </row>
    <row r="4647" spans="1:15" x14ac:dyDescent="0.25">
      <c r="A4647" t="s">
        <v>940</v>
      </c>
      <c r="B4647" t="s">
        <v>2647</v>
      </c>
      <c r="C4647" t="s">
        <v>927</v>
      </c>
      <c r="D4647" t="s">
        <v>3052</v>
      </c>
      <c r="E4647" t="s">
        <v>3053</v>
      </c>
      <c r="F4647" t="s">
        <v>555</v>
      </c>
      <c r="G4647" t="s">
        <v>556</v>
      </c>
      <c r="H4647" t="s">
        <v>6167</v>
      </c>
      <c r="I4647">
        <v>35</v>
      </c>
      <c r="J4647">
        <v>0</v>
      </c>
      <c r="K4647">
        <v>0</v>
      </c>
      <c r="L4647">
        <v>0</v>
      </c>
      <c r="M4647">
        <v>35</v>
      </c>
      <c r="N4647">
        <v>0</v>
      </c>
      <c r="O4647">
        <v>0</v>
      </c>
    </row>
    <row r="4648" spans="1:15" x14ac:dyDescent="0.25">
      <c r="A4648" t="s">
        <v>1013</v>
      </c>
      <c r="B4648" t="s">
        <v>1959</v>
      </c>
      <c r="C4648" t="s">
        <v>927</v>
      </c>
      <c r="D4648" t="s">
        <v>3052</v>
      </c>
      <c r="E4648" t="s">
        <v>3053</v>
      </c>
      <c r="F4648" t="s">
        <v>555</v>
      </c>
      <c r="G4648" t="s">
        <v>556</v>
      </c>
      <c r="H4648" t="s">
        <v>6168</v>
      </c>
      <c r="I4648">
        <v>28</v>
      </c>
      <c r="J4648">
        <v>0</v>
      </c>
      <c r="K4648">
        <v>0</v>
      </c>
      <c r="L4648">
        <v>28</v>
      </c>
      <c r="M4648">
        <v>0</v>
      </c>
      <c r="N4648">
        <v>0</v>
      </c>
      <c r="O4648">
        <v>0</v>
      </c>
    </row>
    <row r="4649" spans="1:15" x14ac:dyDescent="0.25">
      <c r="A4649" t="s">
        <v>9819</v>
      </c>
      <c r="B4649" t="s">
        <v>2916</v>
      </c>
      <c r="C4649" t="s">
        <v>927</v>
      </c>
      <c r="D4649" t="s">
        <v>3052</v>
      </c>
      <c r="E4649" t="s">
        <v>3053</v>
      </c>
      <c r="F4649" t="s">
        <v>555</v>
      </c>
      <c r="G4649" t="s">
        <v>556</v>
      </c>
      <c r="H4649" t="s">
        <v>10139</v>
      </c>
      <c r="I4649">
        <v>776</v>
      </c>
      <c r="J4649">
        <v>505</v>
      </c>
      <c r="K4649">
        <v>0</v>
      </c>
      <c r="L4649">
        <v>64</v>
      </c>
      <c r="M4649">
        <v>34</v>
      </c>
      <c r="N4649">
        <v>1</v>
      </c>
      <c r="O4649">
        <v>173</v>
      </c>
    </row>
    <row r="4650" spans="1:15" x14ac:dyDescent="0.25">
      <c r="A4650" t="s">
        <v>1018</v>
      </c>
      <c r="B4650" t="s">
        <v>1980</v>
      </c>
      <c r="C4650" t="s">
        <v>923</v>
      </c>
      <c r="D4650" t="s">
        <v>3063</v>
      </c>
      <c r="E4650" t="s">
        <v>3053</v>
      </c>
      <c r="F4650" t="s">
        <v>555</v>
      </c>
      <c r="G4650" t="s">
        <v>556</v>
      </c>
      <c r="H4650" t="s">
        <v>11104</v>
      </c>
      <c r="I4650">
        <v>5</v>
      </c>
      <c r="J4650">
        <v>0</v>
      </c>
      <c r="K4650">
        <v>0</v>
      </c>
      <c r="L4650">
        <v>5</v>
      </c>
      <c r="M4650">
        <v>0</v>
      </c>
      <c r="N4650">
        <v>0</v>
      </c>
      <c r="O4650">
        <v>0</v>
      </c>
    </row>
    <row r="4651" spans="1:15" x14ac:dyDescent="0.25">
      <c r="A4651" t="s">
        <v>10667</v>
      </c>
      <c r="B4651" t="s">
        <v>10666</v>
      </c>
      <c r="C4651" t="s">
        <v>927</v>
      </c>
      <c r="D4651" t="s">
        <v>3052</v>
      </c>
      <c r="E4651" t="s">
        <v>3053</v>
      </c>
      <c r="F4651" t="s">
        <v>555</v>
      </c>
      <c r="G4651" t="s">
        <v>556</v>
      </c>
      <c r="H4651" t="s">
        <v>11105</v>
      </c>
      <c r="I4651">
        <v>10</v>
      </c>
      <c r="J4651">
        <v>10</v>
      </c>
      <c r="K4651">
        <v>0</v>
      </c>
      <c r="L4651">
        <v>0</v>
      </c>
      <c r="M4651">
        <v>0</v>
      </c>
      <c r="N4651">
        <v>0</v>
      </c>
      <c r="O4651">
        <v>0</v>
      </c>
    </row>
    <row r="4652" spans="1:15" x14ac:dyDescent="0.25">
      <c r="A4652" t="s">
        <v>1126</v>
      </c>
      <c r="B4652" t="s">
        <v>2130</v>
      </c>
      <c r="C4652" t="s">
        <v>927</v>
      </c>
      <c r="D4652" t="s">
        <v>3052</v>
      </c>
      <c r="E4652" t="s">
        <v>3053</v>
      </c>
      <c r="F4652" t="s">
        <v>555</v>
      </c>
      <c r="G4652" t="s">
        <v>556</v>
      </c>
      <c r="H4652" t="s">
        <v>10164</v>
      </c>
      <c r="I4652">
        <v>7</v>
      </c>
      <c r="J4652">
        <v>0</v>
      </c>
      <c r="K4652">
        <v>0</v>
      </c>
      <c r="L4652">
        <v>0</v>
      </c>
      <c r="M4652">
        <v>0</v>
      </c>
      <c r="N4652">
        <v>0</v>
      </c>
      <c r="O4652">
        <v>7</v>
      </c>
    </row>
    <row r="4653" spans="1:15" x14ac:dyDescent="0.25">
      <c r="A4653" t="s">
        <v>1510</v>
      </c>
      <c r="B4653" t="s">
        <v>2812</v>
      </c>
      <c r="C4653" t="s">
        <v>923</v>
      </c>
      <c r="D4653" t="s">
        <v>3063</v>
      </c>
      <c r="E4653" t="s">
        <v>3053</v>
      </c>
      <c r="F4653" t="s">
        <v>555</v>
      </c>
      <c r="G4653" t="s">
        <v>556</v>
      </c>
      <c r="H4653" t="s">
        <v>6170</v>
      </c>
      <c r="I4653">
        <v>44</v>
      </c>
      <c r="J4653">
        <v>44</v>
      </c>
      <c r="K4653">
        <v>0</v>
      </c>
      <c r="L4653">
        <v>0</v>
      </c>
      <c r="M4653">
        <v>0</v>
      </c>
      <c r="N4653">
        <v>0</v>
      </c>
      <c r="O4653">
        <v>0</v>
      </c>
    </row>
    <row r="4654" spans="1:15" x14ac:dyDescent="0.25">
      <c r="A4654" t="s">
        <v>1521</v>
      </c>
      <c r="B4654" t="s">
        <v>2920</v>
      </c>
      <c r="C4654" t="s">
        <v>927</v>
      </c>
      <c r="D4654" t="s">
        <v>3052</v>
      </c>
      <c r="E4654" t="s">
        <v>3053</v>
      </c>
      <c r="F4654" t="s">
        <v>555</v>
      </c>
      <c r="G4654" t="s">
        <v>556</v>
      </c>
      <c r="H4654" t="s">
        <v>11106</v>
      </c>
      <c r="I4654">
        <v>107</v>
      </c>
      <c r="J4654">
        <v>69</v>
      </c>
      <c r="K4654">
        <v>0</v>
      </c>
      <c r="L4654">
        <v>0</v>
      </c>
      <c r="M4654">
        <v>38</v>
      </c>
      <c r="N4654">
        <v>0</v>
      </c>
      <c r="O4654">
        <v>0</v>
      </c>
    </row>
    <row r="4655" spans="1:15" x14ac:dyDescent="0.25">
      <c r="A4655" t="s">
        <v>951</v>
      </c>
      <c r="B4655" t="s">
        <v>2680</v>
      </c>
      <c r="C4655" t="s">
        <v>927</v>
      </c>
      <c r="D4655" t="s">
        <v>3052</v>
      </c>
      <c r="E4655" t="s">
        <v>3053</v>
      </c>
      <c r="F4655" t="s">
        <v>555</v>
      </c>
      <c r="G4655" t="s">
        <v>556</v>
      </c>
      <c r="H4655" t="s">
        <v>6171</v>
      </c>
      <c r="I4655">
        <v>587</v>
      </c>
      <c r="J4655">
        <v>474</v>
      </c>
      <c r="K4655">
        <v>0</v>
      </c>
      <c r="L4655">
        <v>7</v>
      </c>
      <c r="M4655">
        <v>56</v>
      </c>
      <c r="N4655">
        <v>1</v>
      </c>
      <c r="O4655">
        <v>50</v>
      </c>
    </row>
    <row r="4656" spans="1:15" x14ac:dyDescent="0.25">
      <c r="A4656" t="s">
        <v>1048</v>
      </c>
      <c r="B4656" t="s">
        <v>2989</v>
      </c>
      <c r="C4656" t="s">
        <v>927</v>
      </c>
      <c r="D4656" t="s">
        <v>3052</v>
      </c>
      <c r="E4656" t="s">
        <v>3053</v>
      </c>
      <c r="F4656" t="s">
        <v>555</v>
      </c>
      <c r="G4656" t="s">
        <v>556</v>
      </c>
      <c r="H4656" t="s">
        <v>6172</v>
      </c>
      <c r="I4656">
        <v>63</v>
      </c>
      <c r="J4656">
        <v>0</v>
      </c>
      <c r="K4656">
        <v>0</v>
      </c>
      <c r="L4656">
        <v>25</v>
      </c>
      <c r="M4656">
        <v>38</v>
      </c>
      <c r="N4656">
        <v>0</v>
      </c>
      <c r="O4656">
        <v>0</v>
      </c>
    </row>
    <row r="4657" spans="1:15" x14ac:dyDescent="0.25">
      <c r="A4657" t="s">
        <v>1051</v>
      </c>
      <c r="B4657" t="s">
        <v>2995</v>
      </c>
      <c r="C4657" t="s">
        <v>927</v>
      </c>
      <c r="D4657" t="s">
        <v>3052</v>
      </c>
      <c r="E4657" t="s">
        <v>3053</v>
      </c>
      <c r="F4657" t="s">
        <v>555</v>
      </c>
      <c r="G4657" t="s">
        <v>556</v>
      </c>
      <c r="H4657" t="s">
        <v>6173</v>
      </c>
      <c r="I4657">
        <v>82</v>
      </c>
      <c r="J4657">
        <v>24</v>
      </c>
      <c r="K4657">
        <v>0</v>
      </c>
      <c r="L4657">
        <v>31</v>
      </c>
      <c r="M4657">
        <v>0</v>
      </c>
      <c r="N4657">
        <v>0</v>
      </c>
      <c r="O4657">
        <v>27</v>
      </c>
    </row>
    <row r="4658" spans="1:15" x14ac:dyDescent="0.25">
      <c r="A4658" t="s">
        <v>1056</v>
      </c>
      <c r="B4658" t="s">
        <v>2966</v>
      </c>
      <c r="C4658" t="s">
        <v>927</v>
      </c>
      <c r="D4658" t="s">
        <v>3052</v>
      </c>
      <c r="E4658" t="s">
        <v>3053</v>
      </c>
      <c r="F4658" t="s">
        <v>555</v>
      </c>
      <c r="G4658" t="s">
        <v>556</v>
      </c>
      <c r="H4658" t="s">
        <v>6174</v>
      </c>
      <c r="I4658">
        <v>32</v>
      </c>
      <c r="J4658">
        <v>3</v>
      </c>
      <c r="K4658">
        <v>0</v>
      </c>
      <c r="L4658">
        <v>29</v>
      </c>
      <c r="M4658">
        <v>0</v>
      </c>
      <c r="N4658">
        <v>0</v>
      </c>
      <c r="O4658">
        <v>0</v>
      </c>
    </row>
    <row r="4659" spans="1:15" x14ac:dyDescent="0.25">
      <c r="A4659" t="s">
        <v>955</v>
      </c>
      <c r="B4659" t="s">
        <v>2660</v>
      </c>
      <c r="C4659" t="s">
        <v>927</v>
      </c>
      <c r="D4659" t="s">
        <v>3052</v>
      </c>
      <c r="E4659" t="s">
        <v>3053</v>
      </c>
      <c r="F4659" t="s">
        <v>555</v>
      </c>
      <c r="G4659" t="s">
        <v>556</v>
      </c>
      <c r="H4659" t="s">
        <v>6175</v>
      </c>
      <c r="I4659">
        <v>12</v>
      </c>
      <c r="J4659">
        <v>0</v>
      </c>
      <c r="K4659">
        <v>0</v>
      </c>
      <c r="L4659">
        <v>12</v>
      </c>
      <c r="M4659">
        <v>0</v>
      </c>
      <c r="N4659">
        <v>0</v>
      </c>
      <c r="O4659">
        <v>0</v>
      </c>
    </row>
    <row r="4660" spans="1:15" x14ac:dyDescent="0.25">
      <c r="A4660" t="s">
        <v>1537</v>
      </c>
      <c r="B4660" t="s">
        <v>1973</v>
      </c>
      <c r="C4660" t="s">
        <v>927</v>
      </c>
      <c r="D4660" t="s">
        <v>3052</v>
      </c>
      <c r="E4660" t="s">
        <v>3053</v>
      </c>
      <c r="F4660" t="s">
        <v>555</v>
      </c>
      <c r="G4660" t="s">
        <v>556</v>
      </c>
      <c r="H4660" t="s">
        <v>6176</v>
      </c>
      <c r="I4660">
        <v>46</v>
      </c>
      <c r="J4660">
        <v>35</v>
      </c>
      <c r="K4660">
        <v>0</v>
      </c>
      <c r="L4660">
        <v>0</v>
      </c>
      <c r="M4660">
        <v>0</v>
      </c>
      <c r="N4660">
        <v>0</v>
      </c>
      <c r="O4660">
        <v>11</v>
      </c>
    </row>
    <row r="4661" spans="1:15" x14ac:dyDescent="0.25">
      <c r="A4661" t="s">
        <v>1066</v>
      </c>
      <c r="B4661" t="s">
        <v>2557</v>
      </c>
      <c r="C4661" t="s">
        <v>927</v>
      </c>
      <c r="D4661" t="s">
        <v>3052</v>
      </c>
      <c r="E4661" t="s">
        <v>3053</v>
      </c>
      <c r="F4661" t="s">
        <v>555</v>
      </c>
      <c r="G4661" t="s">
        <v>556</v>
      </c>
      <c r="H4661" t="s">
        <v>6177</v>
      </c>
      <c r="I4661">
        <v>12</v>
      </c>
      <c r="J4661">
        <v>0</v>
      </c>
      <c r="K4661">
        <v>0</v>
      </c>
      <c r="L4661">
        <v>0</v>
      </c>
      <c r="M4661">
        <v>12</v>
      </c>
      <c r="N4661">
        <v>0</v>
      </c>
      <c r="O4661">
        <v>0</v>
      </c>
    </row>
    <row r="4662" spans="1:15" x14ac:dyDescent="0.25">
      <c r="A4662" t="s">
        <v>9816</v>
      </c>
      <c r="B4662" t="s">
        <v>2900</v>
      </c>
      <c r="C4662" t="s">
        <v>923</v>
      </c>
      <c r="D4662" t="s">
        <v>3063</v>
      </c>
      <c r="E4662" t="s">
        <v>3053</v>
      </c>
      <c r="F4662" t="s">
        <v>555</v>
      </c>
      <c r="G4662" t="s">
        <v>556</v>
      </c>
      <c r="H4662" t="s">
        <v>12149</v>
      </c>
      <c r="I4662">
        <v>2</v>
      </c>
      <c r="J4662">
        <v>0</v>
      </c>
      <c r="K4662">
        <v>0</v>
      </c>
      <c r="L4662">
        <v>2</v>
      </c>
      <c r="M4662">
        <v>0</v>
      </c>
      <c r="N4662">
        <v>0</v>
      </c>
      <c r="O4662">
        <v>0</v>
      </c>
    </row>
    <row r="4663" spans="1:15" x14ac:dyDescent="0.25">
      <c r="A4663" t="s">
        <v>1069</v>
      </c>
      <c r="B4663" t="s">
        <v>2001</v>
      </c>
      <c r="C4663" t="s">
        <v>927</v>
      </c>
      <c r="D4663" t="s">
        <v>3052</v>
      </c>
      <c r="E4663" t="s">
        <v>3053</v>
      </c>
      <c r="F4663" t="s">
        <v>555</v>
      </c>
      <c r="G4663" t="s">
        <v>556</v>
      </c>
      <c r="H4663" t="s">
        <v>6178</v>
      </c>
      <c r="I4663">
        <v>613</v>
      </c>
      <c r="J4663">
        <v>526</v>
      </c>
      <c r="K4663">
        <v>0</v>
      </c>
      <c r="L4663">
        <v>20</v>
      </c>
      <c r="M4663">
        <v>46</v>
      </c>
      <c r="N4663">
        <v>1</v>
      </c>
      <c r="O4663">
        <v>21</v>
      </c>
    </row>
    <row r="4664" spans="1:15" x14ac:dyDescent="0.25">
      <c r="A4664" t="s">
        <v>1072</v>
      </c>
      <c r="B4664" t="s">
        <v>2907</v>
      </c>
      <c r="C4664" t="s">
        <v>927</v>
      </c>
      <c r="D4664" t="s">
        <v>3052</v>
      </c>
      <c r="E4664" t="s">
        <v>3053</v>
      </c>
      <c r="F4664" t="s">
        <v>555</v>
      </c>
      <c r="G4664" t="s">
        <v>556</v>
      </c>
      <c r="H4664" t="s">
        <v>6179</v>
      </c>
      <c r="I4664">
        <v>57</v>
      </c>
      <c r="J4664">
        <v>45</v>
      </c>
      <c r="K4664">
        <v>0</v>
      </c>
      <c r="L4664">
        <v>0</v>
      </c>
      <c r="M4664">
        <v>12</v>
      </c>
      <c r="N4664">
        <v>0</v>
      </c>
      <c r="O4664">
        <v>0</v>
      </c>
    </row>
    <row r="4665" spans="1:15" x14ac:dyDescent="0.25">
      <c r="A4665" t="s">
        <v>1083</v>
      </c>
      <c r="B4665" t="s">
        <v>2757</v>
      </c>
      <c r="C4665" t="s">
        <v>927</v>
      </c>
      <c r="D4665" t="s">
        <v>3052</v>
      </c>
      <c r="E4665" t="s">
        <v>3053</v>
      </c>
      <c r="F4665" t="s">
        <v>555</v>
      </c>
      <c r="G4665" t="s">
        <v>556</v>
      </c>
      <c r="H4665" t="s">
        <v>6180</v>
      </c>
      <c r="I4665">
        <v>1</v>
      </c>
      <c r="J4665">
        <v>0</v>
      </c>
      <c r="K4665">
        <v>0</v>
      </c>
      <c r="L4665">
        <v>0</v>
      </c>
      <c r="M4665">
        <v>0</v>
      </c>
      <c r="N4665">
        <v>0</v>
      </c>
      <c r="O4665">
        <v>1</v>
      </c>
    </row>
    <row r="4666" spans="1:15" x14ac:dyDescent="0.25">
      <c r="A4666" t="s">
        <v>11723</v>
      </c>
      <c r="B4666" t="s">
        <v>2719</v>
      </c>
      <c r="C4666" t="s">
        <v>927</v>
      </c>
      <c r="D4666" t="s">
        <v>3052</v>
      </c>
      <c r="E4666" t="s">
        <v>3053</v>
      </c>
      <c r="F4666" t="s">
        <v>557</v>
      </c>
      <c r="G4666" t="s">
        <v>558</v>
      </c>
      <c r="H4666" t="s">
        <v>12150</v>
      </c>
      <c r="I4666">
        <v>1367</v>
      </c>
      <c r="J4666">
        <v>1243</v>
      </c>
      <c r="K4666">
        <v>0</v>
      </c>
      <c r="L4666">
        <v>0</v>
      </c>
      <c r="M4666">
        <v>67</v>
      </c>
      <c r="N4666">
        <v>1</v>
      </c>
      <c r="O4666">
        <v>57</v>
      </c>
    </row>
    <row r="4667" spans="1:15" x14ac:dyDescent="0.25">
      <c r="A4667" t="s">
        <v>1872</v>
      </c>
      <c r="B4667" t="s">
        <v>2133</v>
      </c>
      <c r="C4667" t="s">
        <v>923</v>
      </c>
      <c r="D4667" t="s">
        <v>3063</v>
      </c>
      <c r="E4667" t="s">
        <v>3053</v>
      </c>
      <c r="F4667" t="s">
        <v>557</v>
      </c>
      <c r="G4667" t="s">
        <v>558</v>
      </c>
      <c r="H4667" t="s">
        <v>6181</v>
      </c>
      <c r="I4667">
        <v>6</v>
      </c>
      <c r="J4667">
        <v>0</v>
      </c>
      <c r="K4667">
        <v>0</v>
      </c>
      <c r="L4667">
        <v>0</v>
      </c>
      <c r="M4667">
        <v>6</v>
      </c>
      <c r="N4667">
        <v>0</v>
      </c>
      <c r="O4667">
        <v>0</v>
      </c>
    </row>
    <row r="4668" spans="1:15" x14ac:dyDescent="0.25">
      <c r="A4668" t="s">
        <v>971</v>
      </c>
      <c r="B4668" t="s">
        <v>2956</v>
      </c>
      <c r="C4668" t="s">
        <v>927</v>
      </c>
      <c r="D4668" t="s">
        <v>3052</v>
      </c>
      <c r="E4668" t="s">
        <v>3053</v>
      </c>
      <c r="F4668" t="s">
        <v>557</v>
      </c>
      <c r="G4668" t="s">
        <v>558</v>
      </c>
      <c r="H4668" t="s">
        <v>6182</v>
      </c>
      <c r="I4668">
        <v>408</v>
      </c>
      <c r="J4668">
        <v>323</v>
      </c>
      <c r="K4668">
        <v>0</v>
      </c>
      <c r="L4668">
        <v>0</v>
      </c>
      <c r="M4668">
        <v>37</v>
      </c>
      <c r="N4668">
        <v>0</v>
      </c>
      <c r="O4668">
        <v>48</v>
      </c>
    </row>
    <row r="4669" spans="1:15" x14ac:dyDescent="0.25">
      <c r="A4669" t="s">
        <v>1452</v>
      </c>
      <c r="B4669" t="s">
        <v>2721</v>
      </c>
      <c r="C4669" t="s">
        <v>923</v>
      </c>
      <c r="D4669" t="s">
        <v>3063</v>
      </c>
      <c r="E4669" t="s">
        <v>3053</v>
      </c>
      <c r="F4669" t="s">
        <v>557</v>
      </c>
      <c r="G4669" t="s">
        <v>558</v>
      </c>
      <c r="H4669" t="s">
        <v>6183</v>
      </c>
      <c r="I4669">
        <v>48</v>
      </c>
      <c r="J4669">
        <v>0</v>
      </c>
      <c r="K4669">
        <v>0</v>
      </c>
      <c r="L4669">
        <v>0</v>
      </c>
      <c r="M4669">
        <v>48</v>
      </c>
      <c r="N4669">
        <v>0</v>
      </c>
      <c r="O4669">
        <v>0</v>
      </c>
    </row>
    <row r="4670" spans="1:15" x14ac:dyDescent="0.25">
      <c r="A4670" t="s">
        <v>929</v>
      </c>
      <c r="B4670" t="s">
        <v>2999</v>
      </c>
      <c r="C4670" t="s">
        <v>927</v>
      </c>
      <c r="D4670" t="s">
        <v>3052</v>
      </c>
      <c r="E4670" t="s">
        <v>3053</v>
      </c>
      <c r="F4670" t="s">
        <v>557</v>
      </c>
      <c r="G4670" t="s">
        <v>558</v>
      </c>
      <c r="H4670" t="s">
        <v>6184</v>
      </c>
      <c r="I4670">
        <v>1010</v>
      </c>
      <c r="J4670">
        <v>0</v>
      </c>
      <c r="K4670">
        <v>0</v>
      </c>
      <c r="L4670">
        <v>0</v>
      </c>
      <c r="M4670">
        <v>942</v>
      </c>
      <c r="N4670">
        <v>0</v>
      </c>
      <c r="O4670">
        <v>68</v>
      </c>
    </row>
    <row r="4671" spans="1:15" x14ac:dyDescent="0.25">
      <c r="A4671" t="s">
        <v>978</v>
      </c>
      <c r="B4671" t="s">
        <v>1999</v>
      </c>
      <c r="C4671" t="s">
        <v>923</v>
      </c>
      <c r="D4671" t="s">
        <v>3063</v>
      </c>
      <c r="E4671" t="s">
        <v>3053</v>
      </c>
      <c r="F4671" t="s">
        <v>557</v>
      </c>
      <c r="G4671" t="s">
        <v>558</v>
      </c>
      <c r="H4671" t="s">
        <v>6185</v>
      </c>
      <c r="I4671">
        <v>3</v>
      </c>
      <c r="J4671">
        <v>3</v>
      </c>
      <c r="K4671">
        <v>0</v>
      </c>
      <c r="L4671">
        <v>0</v>
      </c>
      <c r="M4671">
        <v>0</v>
      </c>
      <c r="N4671">
        <v>0</v>
      </c>
      <c r="O4671">
        <v>0</v>
      </c>
    </row>
    <row r="4672" spans="1:15" x14ac:dyDescent="0.25">
      <c r="A4672" t="s">
        <v>9790</v>
      </c>
      <c r="B4672" t="s">
        <v>1977</v>
      </c>
      <c r="C4672" t="s">
        <v>923</v>
      </c>
      <c r="D4672" t="s">
        <v>3063</v>
      </c>
      <c r="E4672" t="s">
        <v>3053</v>
      </c>
      <c r="F4672" t="s">
        <v>557</v>
      </c>
      <c r="G4672" t="s">
        <v>558</v>
      </c>
      <c r="H4672" t="s">
        <v>12151</v>
      </c>
      <c r="I4672">
        <v>8</v>
      </c>
      <c r="J4672">
        <v>0</v>
      </c>
      <c r="K4672">
        <v>0</v>
      </c>
      <c r="L4672">
        <v>8</v>
      </c>
      <c r="M4672">
        <v>0</v>
      </c>
      <c r="N4672">
        <v>0</v>
      </c>
      <c r="O4672">
        <v>0</v>
      </c>
    </row>
    <row r="4673" spans="1:15" x14ac:dyDescent="0.25">
      <c r="A4673" t="s">
        <v>9784</v>
      </c>
      <c r="B4673" t="s">
        <v>1994</v>
      </c>
      <c r="C4673" t="s">
        <v>927</v>
      </c>
      <c r="D4673" t="s">
        <v>3052</v>
      </c>
      <c r="E4673" t="s">
        <v>3053</v>
      </c>
      <c r="F4673" t="s">
        <v>557</v>
      </c>
      <c r="G4673" t="s">
        <v>558</v>
      </c>
      <c r="H4673" t="s">
        <v>9955</v>
      </c>
      <c r="I4673">
        <v>35</v>
      </c>
      <c r="J4673">
        <v>0</v>
      </c>
      <c r="K4673">
        <v>0</v>
      </c>
      <c r="L4673">
        <v>35</v>
      </c>
      <c r="M4673">
        <v>0</v>
      </c>
      <c r="N4673">
        <v>7</v>
      </c>
      <c r="O4673">
        <v>0</v>
      </c>
    </row>
    <row r="4674" spans="1:15" x14ac:dyDescent="0.25">
      <c r="A4674" t="s">
        <v>1212</v>
      </c>
      <c r="B4674" t="s">
        <v>2004</v>
      </c>
      <c r="C4674" t="s">
        <v>923</v>
      </c>
      <c r="D4674" t="s">
        <v>3063</v>
      </c>
      <c r="E4674" t="s">
        <v>3053</v>
      </c>
      <c r="F4674" t="s">
        <v>557</v>
      </c>
      <c r="G4674" t="s">
        <v>558</v>
      </c>
      <c r="H4674" t="s">
        <v>10004</v>
      </c>
      <c r="I4674">
        <v>114</v>
      </c>
      <c r="J4674">
        <v>0</v>
      </c>
      <c r="K4674">
        <v>0</v>
      </c>
      <c r="L4674">
        <v>114</v>
      </c>
      <c r="M4674">
        <v>0</v>
      </c>
      <c r="N4674">
        <v>0</v>
      </c>
      <c r="O4674">
        <v>0</v>
      </c>
    </row>
    <row r="4675" spans="1:15" x14ac:dyDescent="0.25">
      <c r="A4675" t="s">
        <v>1874</v>
      </c>
      <c r="B4675" t="s">
        <v>2006</v>
      </c>
      <c r="C4675" t="s">
        <v>923</v>
      </c>
      <c r="D4675" t="s">
        <v>3063</v>
      </c>
      <c r="E4675" t="s">
        <v>3053</v>
      </c>
      <c r="F4675" t="s">
        <v>557</v>
      </c>
      <c r="G4675" t="s">
        <v>558</v>
      </c>
      <c r="H4675" t="s">
        <v>14873</v>
      </c>
      <c r="I4675">
        <v>3</v>
      </c>
      <c r="J4675">
        <v>3</v>
      </c>
      <c r="K4675">
        <v>0</v>
      </c>
      <c r="L4675">
        <v>0</v>
      </c>
      <c r="M4675">
        <v>0</v>
      </c>
      <c r="N4675">
        <v>0</v>
      </c>
      <c r="O4675">
        <v>0</v>
      </c>
    </row>
    <row r="4676" spans="1:15" x14ac:dyDescent="0.25">
      <c r="A4676" t="s">
        <v>1411</v>
      </c>
      <c r="B4676" t="s">
        <v>2993</v>
      </c>
      <c r="C4676" t="s">
        <v>927</v>
      </c>
      <c r="D4676" t="s">
        <v>3052</v>
      </c>
      <c r="E4676" t="s">
        <v>3053</v>
      </c>
      <c r="F4676" t="s">
        <v>557</v>
      </c>
      <c r="G4676" t="s">
        <v>558</v>
      </c>
      <c r="H4676" t="s">
        <v>6186</v>
      </c>
      <c r="I4676">
        <v>39</v>
      </c>
      <c r="J4676">
        <v>26</v>
      </c>
      <c r="K4676">
        <v>0</v>
      </c>
      <c r="L4676">
        <v>0</v>
      </c>
      <c r="M4676">
        <v>0</v>
      </c>
      <c r="N4676">
        <v>0</v>
      </c>
      <c r="O4676">
        <v>13</v>
      </c>
    </row>
    <row r="4677" spans="1:15" x14ac:dyDescent="0.25">
      <c r="A4677" t="s">
        <v>989</v>
      </c>
      <c r="B4677" t="s">
        <v>2016</v>
      </c>
      <c r="C4677" t="s">
        <v>923</v>
      </c>
      <c r="D4677" t="s">
        <v>3063</v>
      </c>
      <c r="E4677" t="s">
        <v>3053</v>
      </c>
      <c r="F4677" t="s">
        <v>557</v>
      </c>
      <c r="G4677" t="s">
        <v>558</v>
      </c>
      <c r="H4677" t="s">
        <v>6187</v>
      </c>
      <c r="I4677">
        <v>3</v>
      </c>
      <c r="J4677">
        <v>0</v>
      </c>
      <c r="K4677">
        <v>0</v>
      </c>
      <c r="L4677">
        <v>3</v>
      </c>
      <c r="M4677">
        <v>0</v>
      </c>
      <c r="N4677">
        <v>0</v>
      </c>
      <c r="O4677">
        <v>0</v>
      </c>
    </row>
    <row r="4678" spans="1:15" x14ac:dyDescent="0.25">
      <c r="A4678" t="s">
        <v>933</v>
      </c>
      <c r="B4678" t="s">
        <v>2106</v>
      </c>
      <c r="C4678" t="s">
        <v>927</v>
      </c>
      <c r="D4678" t="s">
        <v>3052</v>
      </c>
      <c r="E4678" t="s">
        <v>3053</v>
      </c>
      <c r="F4678" t="s">
        <v>557</v>
      </c>
      <c r="G4678" t="s">
        <v>558</v>
      </c>
      <c r="H4678" t="s">
        <v>6188</v>
      </c>
      <c r="I4678">
        <v>651</v>
      </c>
      <c r="J4678">
        <v>609</v>
      </c>
      <c r="K4678">
        <v>0</v>
      </c>
      <c r="L4678">
        <v>9</v>
      </c>
      <c r="M4678">
        <v>0</v>
      </c>
      <c r="N4678">
        <v>10</v>
      </c>
      <c r="O4678">
        <v>33</v>
      </c>
    </row>
    <row r="4679" spans="1:15" x14ac:dyDescent="0.25">
      <c r="A4679" t="s">
        <v>1879</v>
      </c>
      <c r="B4679" t="s">
        <v>2783</v>
      </c>
      <c r="C4679" t="s">
        <v>927</v>
      </c>
      <c r="D4679" t="s">
        <v>3052</v>
      </c>
      <c r="E4679" t="s">
        <v>3053</v>
      </c>
      <c r="F4679" t="s">
        <v>557</v>
      </c>
      <c r="G4679" t="s">
        <v>558</v>
      </c>
      <c r="H4679" t="s">
        <v>6189</v>
      </c>
      <c r="I4679">
        <v>2095</v>
      </c>
      <c r="J4679">
        <v>1472</v>
      </c>
      <c r="K4679">
        <v>8</v>
      </c>
      <c r="L4679">
        <v>95</v>
      </c>
      <c r="M4679">
        <v>373</v>
      </c>
      <c r="N4679">
        <v>7</v>
      </c>
      <c r="O4679">
        <v>147</v>
      </c>
    </row>
    <row r="4680" spans="1:15" x14ac:dyDescent="0.25">
      <c r="A4680" t="s">
        <v>991</v>
      </c>
      <c r="B4680" t="s">
        <v>1976</v>
      </c>
      <c r="C4680" t="s">
        <v>923</v>
      </c>
      <c r="D4680" t="s">
        <v>3063</v>
      </c>
      <c r="E4680" t="s">
        <v>3053</v>
      </c>
      <c r="F4680" t="s">
        <v>557</v>
      </c>
      <c r="G4680" t="s">
        <v>558</v>
      </c>
      <c r="H4680" t="s">
        <v>6190</v>
      </c>
      <c r="I4680">
        <v>24</v>
      </c>
      <c r="J4680">
        <v>0</v>
      </c>
      <c r="K4680">
        <v>0</v>
      </c>
      <c r="L4680">
        <v>24</v>
      </c>
      <c r="M4680">
        <v>0</v>
      </c>
      <c r="N4680">
        <v>0</v>
      </c>
      <c r="O4680">
        <v>0</v>
      </c>
    </row>
    <row r="4681" spans="1:15" x14ac:dyDescent="0.25">
      <c r="A4681" t="s">
        <v>996</v>
      </c>
      <c r="B4681" t="s">
        <v>1952</v>
      </c>
      <c r="C4681" t="s">
        <v>923</v>
      </c>
      <c r="D4681" t="s">
        <v>3063</v>
      </c>
      <c r="E4681" t="s">
        <v>3053</v>
      </c>
      <c r="F4681" t="s">
        <v>557</v>
      </c>
      <c r="G4681" t="s">
        <v>558</v>
      </c>
      <c r="H4681" t="s">
        <v>6191</v>
      </c>
      <c r="I4681">
        <v>3</v>
      </c>
      <c r="J4681">
        <v>0</v>
      </c>
      <c r="K4681">
        <v>0</v>
      </c>
      <c r="L4681">
        <v>3</v>
      </c>
      <c r="M4681">
        <v>0</v>
      </c>
      <c r="N4681">
        <v>0</v>
      </c>
      <c r="O4681">
        <v>0</v>
      </c>
    </row>
    <row r="4682" spans="1:15" x14ac:dyDescent="0.25">
      <c r="A4682" t="s">
        <v>11724</v>
      </c>
      <c r="B4682" t="s">
        <v>2945</v>
      </c>
      <c r="C4682" t="s">
        <v>923</v>
      </c>
      <c r="D4682" t="s">
        <v>3063</v>
      </c>
      <c r="E4682" t="s">
        <v>3053</v>
      </c>
      <c r="F4682" t="s">
        <v>557</v>
      </c>
      <c r="G4682" t="s">
        <v>558</v>
      </c>
      <c r="H4682" t="s">
        <v>12152</v>
      </c>
      <c r="I4682">
        <v>30</v>
      </c>
      <c r="J4682">
        <v>0</v>
      </c>
      <c r="K4682">
        <v>0</v>
      </c>
      <c r="L4682">
        <v>0</v>
      </c>
      <c r="M4682">
        <v>30</v>
      </c>
      <c r="N4682">
        <v>0</v>
      </c>
      <c r="O4682">
        <v>0</v>
      </c>
    </row>
    <row r="4683" spans="1:15" x14ac:dyDescent="0.25">
      <c r="A4683" t="s">
        <v>1883</v>
      </c>
      <c r="B4683" t="s">
        <v>1975</v>
      </c>
      <c r="C4683" t="s">
        <v>923</v>
      </c>
      <c r="D4683" t="s">
        <v>3063</v>
      </c>
      <c r="E4683" t="s">
        <v>3053</v>
      </c>
      <c r="F4683" t="s">
        <v>557</v>
      </c>
      <c r="G4683" t="s">
        <v>558</v>
      </c>
      <c r="H4683" t="s">
        <v>6192</v>
      </c>
      <c r="I4683">
        <v>9</v>
      </c>
      <c r="J4683">
        <v>5</v>
      </c>
      <c r="K4683">
        <v>0</v>
      </c>
      <c r="L4683">
        <v>4</v>
      </c>
      <c r="M4683">
        <v>0</v>
      </c>
      <c r="N4683">
        <v>0</v>
      </c>
      <c r="O4683">
        <v>0</v>
      </c>
    </row>
    <row r="4684" spans="1:15" x14ac:dyDescent="0.25">
      <c r="A4684" t="s">
        <v>1485</v>
      </c>
      <c r="B4684" t="s">
        <v>2836</v>
      </c>
      <c r="C4684" t="s">
        <v>927</v>
      </c>
      <c r="D4684" t="s">
        <v>3052</v>
      </c>
      <c r="E4684" t="s">
        <v>3053</v>
      </c>
      <c r="F4684" t="s">
        <v>557</v>
      </c>
      <c r="G4684" t="s">
        <v>558</v>
      </c>
      <c r="H4684" t="s">
        <v>6193</v>
      </c>
      <c r="I4684">
        <v>52</v>
      </c>
      <c r="J4684">
        <v>20</v>
      </c>
      <c r="K4684">
        <v>0</v>
      </c>
      <c r="L4684">
        <v>0</v>
      </c>
      <c r="M4684">
        <v>0</v>
      </c>
      <c r="N4684">
        <v>0</v>
      </c>
      <c r="O4684">
        <v>32</v>
      </c>
    </row>
    <row r="4685" spans="1:15" x14ac:dyDescent="0.25">
      <c r="A4685" t="s">
        <v>10638</v>
      </c>
      <c r="B4685" t="s">
        <v>2057</v>
      </c>
      <c r="C4685" t="s">
        <v>927</v>
      </c>
      <c r="D4685" t="s">
        <v>3052</v>
      </c>
      <c r="E4685" t="s">
        <v>3053</v>
      </c>
      <c r="F4685" t="s">
        <v>557</v>
      </c>
      <c r="G4685" t="s">
        <v>558</v>
      </c>
      <c r="H4685" t="s">
        <v>11107</v>
      </c>
      <c r="I4685">
        <v>26</v>
      </c>
      <c r="J4685">
        <v>0</v>
      </c>
      <c r="K4685">
        <v>0</v>
      </c>
      <c r="L4685">
        <v>26</v>
      </c>
      <c r="M4685">
        <v>0</v>
      </c>
      <c r="N4685">
        <v>0</v>
      </c>
      <c r="O4685">
        <v>0</v>
      </c>
    </row>
    <row r="4686" spans="1:15" x14ac:dyDescent="0.25">
      <c r="A4686" t="s">
        <v>1008</v>
      </c>
      <c r="B4686" t="s">
        <v>2928</v>
      </c>
      <c r="C4686" t="s">
        <v>927</v>
      </c>
      <c r="D4686" t="s">
        <v>3052</v>
      </c>
      <c r="E4686" t="s">
        <v>3053</v>
      </c>
      <c r="F4686" t="s">
        <v>557</v>
      </c>
      <c r="G4686" t="s">
        <v>558</v>
      </c>
      <c r="H4686" t="s">
        <v>6194</v>
      </c>
      <c r="I4686">
        <v>70</v>
      </c>
      <c r="J4686">
        <v>50</v>
      </c>
      <c r="K4686">
        <v>0</v>
      </c>
      <c r="L4686">
        <v>10</v>
      </c>
      <c r="M4686">
        <v>10</v>
      </c>
      <c r="N4686">
        <v>0</v>
      </c>
      <c r="O4686">
        <v>0</v>
      </c>
    </row>
    <row r="4687" spans="1:15" x14ac:dyDescent="0.25">
      <c r="A4687" t="s">
        <v>1009</v>
      </c>
      <c r="B4687" t="s">
        <v>1958</v>
      </c>
      <c r="C4687" t="s">
        <v>923</v>
      </c>
      <c r="D4687" t="s">
        <v>3063</v>
      </c>
      <c r="E4687" t="s">
        <v>3053</v>
      </c>
      <c r="F4687" t="s">
        <v>557</v>
      </c>
      <c r="G4687" t="s">
        <v>558</v>
      </c>
      <c r="H4687" t="s">
        <v>6195</v>
      </c>
      <c r="I4687">
        <v>6</v>
      </c>
      <c r="J4687">
        <v>0</v>
      </c>
      <c r="K4687">
        <v>0</v>
      </c>
      <c r="L4687">
        <v>6</v>
      </c>
      <c r="M4687">
        <v>0</v>
      </c>
      <c r="N4687">
        <v>0</v>
      </c>
      <c r="O4687">
        <v>0</v>
      </c>
    </row>
    <row r="4688" spans="1:15" x14ac:dyDescent="0.25">
      <c r="A4688" t="s">
        <v>10650</v>
      </c>
      <c r="B4688" t="s">
        <v>2211</v>
      </c>
      <c r="C4688" t="s">
        <v>923</v>
      </c>
      <c r="D4688" t="s">
        <v>3063</v>
      </c>
      <c r="E4688" t="s">
        <v>3053</v>
      </c>
      <c r="F4688" t="s">
        <v>557</v>
      </c>
      <c r="G4688" t="s">
        <v>558</v>
      </c>
      <c r="H4688" t="s">
        <v>11108</v>
      </c>
      <c r="I4688">
        <v>52</v>
      </c>
      <c r="J4688">
        <v>0</v>
      </c>
      <c r="K4688">
        <v>0</v>
      </c>
      <c r="L4688">
        <v>0</v>
      </c>
      <c r="M4688">
        <v>52</v>
      </c>
      <c r="N4688">
        <v>0</v>
      </c>
      <c r="O4688">
        <v>0</v>
      </c>
    </row>
    <row r="4689" spans="1:15" x14ac:dyDescent="0.25">
      <c r="A4689" t="s">
        <v>1419</v>
      </c>
      <c r="B4689" t="s">
        <v>2013</v>
      </c>
      <c r="C4689" t="s">
        <v>923</v>
      </c>
      <c r="D4689" t="s">
        <v>3063</v>
      </c>
      <c r="E4689" t="s">
        <v>3053</v>
      </c>
      <c r="F4689" t="s">
        <v>557</v>
      </c>
      <c r="G4689" t="s">
        <v>558</v>
      </c>
      <c r="H4689" t="s">
        <v>11109</v>
      </c>
      <c r="I4689">
        <v>8</v>
      </c>
      <c r="J4689">
        <v>8</v>
      </c>
      <c r="K4689">
        <v>0</v>
      </c>
      <c r="L4689">
        <v>0</v>
      </c>
      <c r="M4689">
        <v>0</v>
      </c>
      <c r="N4689">
        <v>0</v>
      </c>
      <c r="O4689">
        <v>0</v>
      </c>
    </row>
    <row r="4690" spans="1:15" x14ac:dyDescent="0.25">
      <c r="A4690" t="s">
        <v>937</v>
      </c>
      <c r="B4690" t="s">
        <v>1962</v>
      </c>
      <c r="C4690" t="s">
        <v>927</v>
      </c>
      <c r="D4690" t="s">
        <v>3052</v>
      </c>
      <c r="E4690" t="s">
        <v>3053</v>
      </c>
      <c r="F4690" t="s">
        <v>557</v>
      </c>
      <c r="G4690" t="s">
        <v>558</v>
      </c>
      <c r="H4690" t="s">
        <v>6196</v>
      </c>
      <c r="I4690">
        <v>62</v>
      </c>
      <c r="J4690">
        <v>0</v>
      </c>
      <c r="K4690">
        <v>0</v>
      </c>
      <c r="L4690">
        <v>0</v>
      </c>
      <c r="M4690">
        <v>0</v>
      </c>
      <c r="N4690">
        <v>0</v>
      </c>
      <c r="O4690">
        <v>62</v>
      </c>
    </row>
    <row r="4691" spans="1:15" x14ac:dyDescent="0.25">
      <c r="A4691" t="s">
        <v>938</v>
      </c>
      <c r="B4691" t="s">
        <v>2791</v>
      </c>
      <c r="C4691" t="s">
        <v>927</v>
      </c>
      <c r="D4691" t="s">
        <v>3052</v>
      </c>
      <c r="E4691" t="s">
        <v>3053</v>
      </c>
      <c r="F4691" t="s">
        <v>557</v>
      </c>
      <c r="G4691" t="s">
        <v>558</v>
      </c>
      <c r="H4691" t="s">
        <v>6197</v>
      </c>
      <c r="I4691">
        <v>518</v>
      </c>
      <c r="J4691">
        <v>255</v>
      </c>
      <c r="K4691">
        <v>0</v>
      </c>
      <c r="L4691">
        <v>76</v>
      </c>
      <c r="M4691">
        <v>127</v>
      </c>
      <c r="N4691">
        <v>0</v>
      </c>
      <c r="O4691">
        <v>60</v>
      </c>
    </row>
    <row r="4692" spans="1:15" x14ac:dyDescent="0.25">
      <c r="A4692" t="s">
        <v>940</v>
      </c>
      <c r="B4692" t="s">
        <v>2647</v>
      </c>
      <c r="C4692" t="s">
        <v>927</v>
      </c>
      <c r="D4692" t="s">
        <v>3052</v>
      </c>
      <c r="E4692" t="s">
        <v>3053</v>
      </c>
      <c r="F4692" t="s">
        <v>557</v>
      </c>
      <c r="G4692" t="s">
        <v>558</v>
      </c>
      <c r="H4692" t="s">
        <v>6198</v>
      </c>
      <c r="I4692">
        <v>313</v>
      </c>
      <c r="J4692">
        <v>0</v>
      </c>
      <c r="K4692">
        <v>0</v>
      </c>
      <c r="L4692">
        <v>0</v>
      </c>
      <c r="M4692">
        <v>253</v>
      </c>
      <c r="N4692">
        <v>0</v>
      </c>
      <c r="O4692">
        <v>60</v>
      </c>
    </row>
    <row r="4693" spans="1:15" x14ac:dyDescent="0.25">
      <c r="A4693" t="s">
        <v>11726</v>
      </c>
      <c r="B4693" t="s">
        <v>11752</v>
      </c>
      <c r="C4693" t="s">
        <v>923</v>
      </c>
      <c r="D4693" t="s">
        <v>3063</v>
      </c>
      <c r="E4693" t="s">
        <v>3053</v>
      </c>
      <c r="F4693" t="s">
        <v>557</v>
      </c>
      <c r="G4693" t="s">
        <v>558</v>
      </c>
      <c r="H4693" t="s">
        <v>12153</v>
      </c>
      <c r="I4693">
        <v>18</v>
      </c>
      <c r="J4693">
        <v>18</v>
      </c>
      <c r="K4693">
        <v>0</v>
      </c>
      <c r="L4693">
        <v>0</v>
      </c>
      <c r="M4693">
        <v>0</v>
      </c>
      <c r="N4693">
        <v>0</v>
      </c>
      <c r="O4693">
        <v>0</v>
      </c>
    </row>
    <row r="4694" spans="1:15" x14ac:dyDescent="0.25">
      <c r="A4694" t="s">
        <v>1423</v>
      </c>
      <c r="B4694" t="s">
        <v>2071</v>
      </c>
      <c r="C4694" t="s">
        <v>923</v>
      </c>
      <c r="D4694" t="s">
        <v>3063</v>
      </c>
      <c r="E4694" t="s">
        <v>3053</v>
      </c>
      <c r="F4694" t="s">
        <v>557</v>
      </c>
      <c r="G4694" t="s">
        <v>558</v>
      </c>
      <c r="H4694" t="s">
        <v>6199</v>
      </c>
      <c r="I4694">
        <v>20</v>
      </c>
      <c r="J4694">
        <v>0</v>
      </c>
      <c r="K4694">
        <v>0</v>
      </c>
      <c r="L4694">
        <v>20</v>
      </c>
      <c r="M4694">
        <v>0</v>
      </c>
      <c r="N4694">
        <v>0</v>
      </c>
      <c r="O4694">
        <v>0</v>
      </c>
    </row>
    <row r="4695" spans="1:15" x14ac:dyDescent="0.25">
      <c r="A4695" t="s">
        <v>1013</v>
      </c>
      <c r="B4695" t="s">
        <v>1959</v>
      </c>
      <c r="C4695" t="s">
        <v>927</v>
      </c>
      <c r="D4695" t="s">
        <v>3052</v>
      </c>
      <c r="E4695" t="s">
        <v>3053</v>
      </c>
      <c r="F4695" t="s">
        <v>557</v>
      </c>
      <c r="G4695" t="s">
        <v>558</v>
      </c>
      <c r="H4695" t="s">
        <v>6200</v>
      </c>
      <c r="I4695">
        <v>50</v>
      </c>
      <c r="J4695">
        <v>0</v>
      </c>
      <c r="K4695">
        <v>0</v>
      </c>
      <c r="L4695">
        <v>50</v>
      </c>
      <c r="M4695">
        <v>0</v>
      </c>
      <c r="N4695">
        <v>0</v>
      </c>
      <c r="O4695">
        <v>0</v>
      </c>
    </row>
    <row r="4696" spans="1:15" x14ac:dyDescent="0.25">
      <c r="A4696" t="s">
        <v>1897</v>
      </c>
      <c r="B4696" t="s">
        <v>2883</v>
      </c>
      <c r="C4696" t="s">
        <v>927</v>
      </c>
      <c r="D4696" t="s">
        <v>3052</v>
      </c>
      <c r="E4696" t="s">
        <v>3053</v>
      </c>
      <c r="F4696" t="s">
        <v>557</v>
      </c>
      <c r="G4696" t="s">
        <v>558</v>
      </c>
      <c r="H4696" t="s">
        <v>11110</v>
      </c>
      <c r="I4696">
        <v>143</v>
      </c>
      <c r="J4696">
        <v>96</v>
      </c>
      <c r="K4696">
        <v>0</v>
      </c>
      <c r="L4696">
        <v>0</v>
      </c>
      <c r="M4696">
        <v>0</v>
      </c>
      <c r="N4696">
        <v>0</v>
      </c>
      <c r="O4696">
        <v>47</v>
      </c>
    </row>
    <row r="4697" spans="1:15" x14ac:dyDescent="0.25">
      <c r="A4697" t="s">
        <v>1426</v>
      </c>
      <c r="B4697" t="s">
        <v>2137</v>
      </c>
      <c r="C4697" t="s">
        <v>927</v>
      </c>
      <c r="D4697" t="s">
        <v>3052</v>
      </c>
      <c r="E4697" t="s">
        <v>3053</v>
      </c>
      <c r="F4697" t="s">
        <v>557</v>
      </c>
      <c r="G4697" t="s">
        <v>558</v>
      </c>
      <c r="H4697" t="s">
        <v>6201</v>
      </c>
      <c r="I4697">
        <v>8</v>
      </c>
      <c r="J4697">
        <v>0</v>
      </c>
      <c r="K4697">
        <v>0</v>
      </c>
      <c r="L4697">
        <v>0</v>
      </c>
      <c r="M4697">
        <v>2</v>
      </c>
      <c r="N4697">
        <v>0</v>
      </c>
      <c r="O4697">
        <v>6</v>
      </c>
    </row>
    <row r="4698" spans="1:15" x14ac:dyDescent="0.25">
      <c r="A4698" t="s">
        <v>1427</v>
      </c>
      <c r="B4698" t="s">
        <v>2087</v>
      </c>
      <c r="C4698" t="s">
        <v>927</v>
      </c>
      <c r="D4698" t="s">
        <v>3052</v>
      </c>
      <c r="E4698" t="s">
        <v>3053</v>
      </c>
      <c r="F4698" t="s">
        <v>557</v>
      </c>
      <c r="G4698" t="s">
        <v>558</v>
      </c>
      <c r="H4698" t="s">
        <v>10157</v>
      </c>
      <c r="I4698">
        <v>28</v>
      </c>
      <c r="J4698">
        <v>16</v>
      </c>
      <c r="K4698">
        <v>0</v>
      </c>
      <c r="L4698">
        <v>0</v>
      </c>
      <c r="M4698">
        <v>0</v>
      </c>
      <c r="N4698">
        <v>0</v>
      </c>
      <c r="O4698">
        <v>12</v>
      </c>
    </row>
    <row r="4699" spans="1:15" x14ac:dyDescent="0.25">
      <c r="A4699" t="s">
        <v>1019</v>
      </c>
      <c r="B4699" t="s">
        <v>2944</v>
      </c>
      <c r="C4699" t="s">
        <v>927</v>
      </c>
      <c r="D4699" t="s">
        <v>3052</v>
      </c>
      <c r="E4699" t="s">
        <v>3053</v>
      </c>
      <c r="F4699" t="s">
        <v>557</v>
      </c>
      <c r="G4699" t="s">
        <v>558</v>
      </c>
      <c r="H4699" t="s">
        <v>6202</v>
      </c>
      <c r="I4699">
        <v>3745</v>
      </c>
      <c r="J4699">
        <v>3039</v>
      </c>
      <c r="K4699">
        <v>0</v>
      </c>
      <c r="L4699">
        <v>170</v>
      </c>
      <c r="M4699">
        <v>254</v>
      </c>
      <c r="N4699">
        <v>0</v>
      </c>
      <c r="O4699">
        <v>282</v>
      </c>
    </row>
    <row r="4700" spans="1:15" x14ac:dyDescent="0.25">
      <c r="A4700" t="s">
        <v>1902</v>
      </c>
      <c r="B4700" t="s">
        <v>2672</v>
      </c>
      <c r="C4700" t="s">
        <v>923</v>
      </c>
      <c r="D4700" t="s">
        <v>3063</v>
      </c>
      <c r="E4700" t="s">
        <v>3053</v>
      </c>
      <c r="F4700" t="s">
        <v>557</v>
      </c>
      <c r="G4700" t="s">
        <v>558</v>
      </c>
      <c r="H4700" t="s">
        <v>6203</v>
      </c>
      <c r="I4700">
        <v>549</v>
      </c>
      <c r="J4700">
        <v>280</v>
      </c>
      <c r="K4700">
        <v>0</v>
      </c>
      <c r="L4700">
        <v>0</v>
      </c>
      <c r="M4700">
        <v>269</v>
      </c>
      <c r="N4700">
        <v>0</v>
      </c>
      <c r="O4700">
        <v>0</v>
      </c>
    </row>
    <row r="4701" spans="1:15" x14ac:dyDescent="0.25">
      <c r="A4701" t="s">
        <v>1904</v>
      </c>
      <c r="B4701" t="s">
        <v>2314</v>
      </c>
      <c r="C4701" t="s">
        <v>923</v>
      </c>
      <c r="D4701" t="s">
        <v>3063</v>
      </c>
      <c r="E4701" t="s">
        <v>3053</v>
      </c>
      <c r="F4701" t="s">
        <v>557</v>
      </c>
      <c r="G4701" t="s">
        <v>558</v>
      </c>
      <c r="H4701" t="s">
        <v>6204</v>
      </c>
      <c r="I4701">
        <v>6</v>
      </c>
      <c r="J4701">
        <v>0</v>
      </c>
      <c r="K4701">
        <v>0</v>
      </c>
      <c r="L4701">
        <v>0</v>
      </c>
      <c r="M4701">
        <v>6</v>
      </c>
      <c r="N4701">
        <v>0</v>
      </c>
      <c r="O4701">
        <v>0</v>
      </c>
    </row>
    <row r="4702" spans="1:15" x14ac:dyDescent="0.25">
      <c r="A4702" t="s">
        <v>1296</v>
      </c>
      <c r="B4702" t="s">
        <v>2965</v>
      </c>
      <c r="C4702" t="s">
        <v>923</v>
      </c>
      <c r="D4702" t="s">
        <v>3063</v>
      </c>
      <c r="E4702" t="s">
        <v>3053</v>
      </c>
      <c r="F4702" t="s">
        <v>557</v>
      </c>
      <c r="G4702" t="s">
        <v>558</v>
      </c>
      <c r="H4702" t="s">
        <v>6205</v>
      </c>
      <c r="I4702">
        <v>137</v>
      </c>
      <c r="J4702">
        <v>0</v>
      </c>
      <c r="K4702">
        <v>0</v>
      </c>
      <c r="L4702">
        <v>0</v>
      </c>
      <c r="M4702">
        <v>137</v>
      </c>
      <c r="N4702">
        <v>0</v>
      </c>
      <c r="O4702">
        <v>0</v>
      </c>
    </row>
    <row r="4703" spans="1:15" x14ac:dyDescent="0.25">
      <c r="A4703" t="s">
        <v>1144</v>
      </c>
      <c r="B4703" t="s">
        <v>2124</v>
      </c>
      <c r="C4703" t="s">
        <v>923</v>
      </c>
      <c r="D4703" t="s">
        <v>3063</v>
      </c>
      <c r="E4703" t="s">
        <v>3053</v>
      </c>
      <c r="F4703" t="s">
        <v>557</v>
      </c>
      <c r="G4703" t="s">
        <v>558</v>
      </c>
      <c r="H4703" t="s">
        <v>11111</v>
      </c>
      <c r="I4703">
        <v>12</v>
      </c>
      <c r="J4703">
        <v>12</v>
      </c>
      <c r="K4703">
        <v>0</v>
      </c>
      <c r="L4703">
        <v>0</v>
      </c>
      <c r="M4703">
        <v>0</v>
      </c>
      <c r="N4703">
        <v>0</v>
      </c>
      <c r="O4703">
        <v>0</v>
      </c>
    </row>
    <row r="4704" spans="1:15" x14ac:dyDescent="0.25">
      <c r="A4704" t="s">
        <v>1046</v>
      </c>
      <c r="B4704" t="s">
        <v>2027</v>
      </c>
      <c r="C4704" t="s">
        <v>923</v>
      </c>
      <c r="D4704" t="s">
        <v>3063</v>
      </c>
      <c r="E4704" t="s">
        <v>3053</v>
      </c>
      <c r="F4704" t="s">
        <v>557</v>
      </c>
      <c r="G4704" t="s">
        <v>558</v>
      </c>
      <c r="H4704" t="s">
        <v>6206</v>
      </c>
      <c r="I4704">
        <v>3</v>
      </c>
      <c r="J4704">
        <v>0</v>
      </c>
      <c r="K4704">
        <v>0</v>
      </c>
      <c r="L4704">
        <v>3</v>
      </c>
      <c r="M4704">
        <v>0</v>
      </c>
      <c r="N4704">
        <v>0</v>
      </c>
      <c r="O4704">
        <v>0</v>
      </c>
    </row>
    <row r="4705" spans="1:15" x14ac:dyDescent="0.25">
      <c r="A4705" t="s">
        <v>951</v>
      </c>
      <c r="B4705" t="s">
        <v>2680</v>
      </c>
      <c r="C4705" t="s">
        <v>927</v>
      </c>
      <c r="D4705" t="s">
        <v>3052</v>
      </c>
      <c r="E4705" t="s">
        <v>3053</v>
      </c>
      <c r="F4705" t="s">
        <v>557</v>
      </c>
      <c r="G4705" t="s">
        <v>558</v>
      </c>
      <c r="H4705" t="s">
        <v>6207</v>
      </c>
      <c r="I4705">
        <v>877</v>
      </c>
      <c r="J4705">
        <v>672</v>
      </c>
      <c r="K4705">
        <v>0</v>
      </c>
      <c r="L4705">
        <v>14</v>
      </c>
      <c r="M4705">
        <v>74</v>
      </c>
      <c r="N4705">
        <v>0</v>
      </c>
      <c r="O4705">
        <v>117</v>
      </c>
    </row>
    <row r="4706" spans="1:15" x14ac:dyDescent="0.25">
      <c r="A4706" t="s">
        <v>1048</v>
      </c>
      <c r="B4706" t="s">
        <v>2989</v>
      </c>
      <c r="C4706" t="s">
        <v>927</v>
      </c>
      <c r="D4706" t="s">
        <v>3052</v>
      </c>
      <c r="E4706" t="s">
        <v>3053</v>
      </c>
      <c r="F4706" t="s">
        <v>557</v>
      </c>
      <c r="G4706" t="s">
        <v>558</v>
      </c>
      <c r="H4706" t="s">
        <v>6208</v>
      </c>
      <c r="I4706">
        <v>413</v>
      </c>
      <c r="J4706">
        <v>340</v>
      </c>
      <c r="K4706">
        <v>0</v>
      </c>
      <c r="L4706">
        <v>18</v>
      </c>
      <c r="M4706">
        <v>55</v>
      </c>
      <c r="N4706">
        <v>0</v>
      </c>
      <c r="O4706">
        <v>0</v>
      </c>
    </row>
    <row r="4707" spans="1:15" x14ac:dyDescent="0.25">
      <c r="A4707" t="s">
        <v>1050</v>
      </c>
      <c r="B4707" t="s">
        <v>2018</v>
      </c>
      <c r="C4707" t="s">
        <v>923</v>
      </c>
      <c r="D4707" t="s">
        <v>3063</v>
      </c>
      <c r="E4707" t="s">
        <v>3053</v>
      </c>
      <c r="F4707" t="s">
        <v>557</v>
      </c>
      <c r="G4707" t="s">
        <v>558</v>
      </c>
      <c r="H4707" t="s">
        <v>6209</v>
      </c>
      <c r="I4707">
        <v>43</v>
      </c>
      <c r="J4707">
        <v>43</v>
      </c>
      <c r="K4707">
        <v>0</v>
      </c>
      <c r="L4707">
        <v>0</v>
      </c>
      <c r="M4707">
        <v>0</v>
      </c>
      <c r="N4707">
        <v>0</v>
      </c>
      <c r="O4707">
        <v>0</v>
      </c>
    </row>
    <row r="4708" spans="1:15" x14ac:dyDescent="0.25">
      <c r="A4708" t="s">
        <v>1051</v>
      </c>
      <c r="B4708" t="s">
        <v>2995</v>
      </c>
      <c r="C4708" t="s">
        <v>927</v>
      </c>
      <c r="D4708" t="s">
        <v>3052</v>
      </c>
      <c r="E4708" t="s">
        <v>3053</v>
      </c>
      <c r="F4708" t="s">
        <v>557</v>
      </c>
      <c r="G4708" t="s">
        <v>558</v>
      </c>
      <c r="H4708" t="s">
        <v>6210</v>
      </c>
      <c r="I4708">
        <v>411</v>
      </c>
      <c r="J4708">
        <v>0</v>
      </c>
      <c r="K4708">
        <v>0</v>
      </c>
      <c r="L4708">
        <v>408</v>
      </c>
      <c r="M4708">
        <v>0</v>
      </c>
      <c r="N4708">
        <v>0</v>
      </c>
      <c r="O4708">
        <v>3</v>
      </c>
    </row>
    <row r="4709" spans="1:15" x14ac:dyDescent="0.25">
      <c r="A4709" t="s">
        <v>1436</v>
      </c>
      <c r="B4709" t="s">
        <v>2209</v>
      </c>
      <c r="C4709" t="s">
        <v>927</v>
      </c>
      <c r="D4709" t="s">
        <v>3052</v>
      </c>
      <c r="E4709" t="s">
        <v>3053</v>
      </c>
      <c r="F4709" t="s">
        <v>557</v>
      </c>
      <c r="G4709" t="s">
        <v>558</v>
      </c>
      <c r="H4709" t="s">
        <v>6211</v>
      </c>
      <c r="I4709">
        <v>67</v>
      </c>
      <c r="J4709">
        <v>3</v>
      </c>
      <c r="K4709">
        <v>0</v>
      </c>
      <c r="L4709">
        <v>32</v>
      </c>
      <c r="M4709">
        <v>12</v>
      </c>
      <c r="N4709">
        <v>19</v>
      </c>
      <c r="O4709">
        <v>20</v>
      </c>
    </row>
    <row r="4710" spans="1:15" x14ac:dyDescent="0.25">
      <c r="A4710" t="s">
        <v>953</v>
      </c>
      <c r="B4710" t="s">
        <v>2014</v>
      </c>
      <c r="C4710" t="s">
        <v>927</v>
      </c>
      <c r="D4710" t="s">
        <v>3052</v>
      </c>
      <c r="E4710" t="s">
        <v>3053</v>
      </c>
      <c r="F4710" t="s">
        <v>557</v>
      </c>
      <c r="G4710" t="s">
        <v>558</v>
      </c>
      <c r="H4710" t="s">
        <v>6212</v>
      </c>
      <c r="I4710">
        <v>47</v>
      </c>
      <c r="J4710">
        <v>0</v>
      </c>
      <c r="K4710">
        <v>0</v>
      </c>
      <c r="L4710">
        <v>47</v>
      </c>
      <c r="M4710">
        <v>0</v>
      </c>
      <c r="N4710">
        <v>0</v>
      </c>
      <c r="O4710">
        <v>0</v>
      </c>
    </row>
    <row r="4711" spans="1:15" x14ac:dyDescent="0.25">
      <c r="A4711" t="s">
        <v>1056</v>
      </c>
      <c r="B4711" t="s">
        <v>2966</v>
      </c>
      <c r="C4711" t="s">
        <v>927</v>
      </c>
      <c r="D4711" t="s">
        <v>3052</v>
      </c>
      <c r="E4711" t="s">
        <v>3053</v>
      </c>
      <c r="F4711" t="s">
        <v>557</v>
      </c>
      <c r="G4711" t="s">
        <v>558</v>
      </c>
      <c r="H4711" t="s">
        <v>6213</v>
      </c>
      <c r="I4711">
        <v>82</v>
      </c>
      <c r="J4711">
        <v>82</v>
      </c>
      <c r="K4711">
        <v>0</v>
      </c>
      <c r="L4711">
        <v>0</v>
      </c>
      <c r="M4711">
        <v>0</v>
      </c>
      <c r="N4711">
        <v>0</v>
      </c>
      <c r="O4711">
        <v>0</v>
      </c>
    </row>
    <row r="4712" spans="1:15" x14ac:dyDescent="0.25">
      <c r="A4712" t="s">
        <v>1057</v>
      </c>
      <c r="B4712" t="s">
        <v>1972</v>
      </c>
      <c r="C4712" t="s">
        <v>927</v>
      </c>
      <c r="D4712" t="s">
        <v>3052</v>
      </c>
      <c r="E4712" t="s">
        <v>3053</v>
      </c>
      <c r="F4712" t="s">
        <v>557</v>
      </c>
      <c r="G4712" t="s">
        <v>558</v>
      </c>
      <c r="H4712" t="s">
        <v>6214</v>
      </c>
      <c r="I4712">
        <v>147</v>
      </c>
      <c r="J4712">
        <v>102</v>
      </c>
      <c r="K4712">
        <v>0</v>
      </c>
      <c r="L4712">
        <v>32</v>
      </c>
      <c r="M4712">
        <v>0</v>
      </c>
      <c r="N4712">
        <v>0</v>
      </c>
      <c r="O4712">
        <v>13</v>
      </c>
    </row>
    <row r="4713" spans="1:15" x14ac:dyDescent="0.25">
      <c r="A4713" t="s">
        <v>955</v>
      </c>
      <c r="B4713" t="s">
        <v>2660</v>
      </c>
      <c r="C4713" t="s">
        <v>927</v>
      </c>
      <c r="D4713" t="s">
        <v>3052</v>
      </c>
      <c r="E4713" t="s">
        <v>3053</v>
      </c>
      <c r="F4713" t="s">
        <v>557</v>
      </c>
      <c r="G4713" t="s">
        <v>558</v>
      </c>
      <c r="H4713" t="s">
        <v>6215</v>
      </c>
      <c r="I4713">
        <v>867</v>
      </c>
      <c r="J4713">
        <v>793</v>
      </c>
      <c r="K4713">
        <v>0</v>
      </c>
      <c r="L4713">
        <v>25</v>
      </c>
      <c r="M4713">
        <v>41</v>
      </c>
      <c r="N4713">
        <v>0</v>
      </c>
      <c r="O4713">
        <v>8</v>
      </c>
    </row>
    <row r="4714" spans="1:15" x14ac:dyDescent="0.25">
      <c r="A4714" t="s">
        <v>9849</v>
      </c>
      <c r="B4714" t="s">
        <v>2595</v>
      </c>
      <c r="C4714" t="s">
        <v>923</v>
      </c>
      <c r="D4714" t="s">
        <v>3063</v>
      </c>
      <c r="E4714" t="s">
        <v>3053</v>
      </c>
      <c r="F4714" t="s">
        <v>557</v>
      </c>
      <c r="G4714" t="s">
        <v>558</v>
      </c>
      <c r="H4714" t="s">
        <v>10421</v>
      </c>
      <c r="I4714">
        <v>185</v>
      </c>
      <c r="J4714">
        <v>0</v>
      </c>
      <c r="K4714">
        <v>0</v>
      </c>
      <c r="L4714">
        <v>185</v>
      </c>
      <c r="M4714">
        <v>0</v>
      </c>
      <c r="N4714">
        <v>0</v>
      </c>
      <c r="O4714">
        <v>0</v>
      </c>
    </row>
    <row r="4715" spans="1:15" x14ac:dyDescent="0.25">
      <c r="A4715" t="s">
        <v>962</v>
      </c>
      <c r="B4715" t="s">
        <v>2752</v>
      </c>
      <c r="C4715" t="s">
        <v>927</v>
      </c>
      <c r="D4715" t="s">
        <v>3052</v>
      </c>
      <c r="E4715" t="s">
        <v>3053</v>
      </c>
      <c r="F4715" t="s">
        <v>557</v>
      </c>
      <c r="G4715" t="s">
        <v>558</v>
      </c>
      <c r="H4715" t="s">
        <v>6216</v>
      </c>
      <c r="I4715">
        <v>207</v>
      </c>
      <c r="J4715">
        <v>165</v>
      </c>
      <c r="K4715">
        <v>0</v>
      </c>
      <c r="L4715">
        <v>0</v>
      </c>
      <c r="M4715">
        <v>0</v>
      </c>
      <c r="N4715">
        <v>0</v>
      </c>
      <c r="O4715">
        <v>42</v>
      </c>
    </row>
    <row r="4716" spans="1:15" x14ac:dyDescent="0.25">
      <c r="A4716" t="s">
        <v>1910</v>
      </c>
      <c r="B4716" t="s">
        <v>2409</v>
      </c>
      <c r="C4716" t="s">
        <v>923</v>
      </c>
      <c r="D4716" t="s">
        <v>3063</v>
      </c>
      <c r="E4716" t="s">
        <v>3053</v>
      </c>
      <c r="F4716" t="s">
        <v>557</v>
      </c>
      <c r="G4716" t="s">
        <v>558</v>
      </c>
      <c r="H4716" t="s">
        <v>6217</v>
      </c>
      <c r="I4716">
        <v>38</v>
      </c>
      <c r="J4716">
        <v>38</v>
      </c>
      <c r="K4716">
        <v>0</v>
      </c>
      <c r="L4716">
        <v>0</v>
      </c>
      <c r="M4716">
        <v>0</v>
      </c>
      <c r="N4716">
        <v>0</v>
      </c>
      <c r="O4716">
        <v>0</v>
      </c>
    </row>
    <row r="4717" spans="1:15" x14ac:dyDescent="0.25">
      <c r="A4717" t="s">
        <v>9874</v>
      </c>
      <c r="B4717" t="s">
        <v>2155</v>
      </c>
      <c r="C4717" t="s">
        <v>923</v>
      </c>
      <c r="D4717" t="s">
        <v>3063</v>
      </c>
      <c r="E4717" t="s">
        <v>3053</v>
      </c>
      <c r="F4717" t="s">
        <v>557</v>
      </c>
      <c r="G4717" t="s">
        <v>558</v>
      </c>
      <c r="H4717" t="s">
        <v>10473</v>
      </c>
      <c r="I4717">
        <v>28</v>
      </c>
      <c r="J4717">
        <v>0</v>
      </c>
      <c r="K4717">
        <v>0</v>
      </c>
      <c r="L4717">
        <v>0</v>
      </c>
      <c r="M4717">
        <v>28</v>
      </c>
      <c r="N4717">
        <v>0</v>
      </c>
      <c r="O4717">
        <v>0</v>
      </c>
    </row>
    <row r="4718" spans="1:15" x14ac:dyDescent="0.25">
      <c r="A4718" t="s">
        <v>1069</v>
      </c>
      <c r="B4718" t="s">
        <v>2001</v>
      </c>
      <c r="C4718" t="s">
        <v>927</v>
      </c>
      <c r="D4718" t="s">
        <v>3052</v>
      </c>
      <c r="E4718" t="s">
        <v>3053</v>
      </c>
      <c r="F4718" t="s">
        <v>557</v>
      </c>
      <c r="G4718" t="s">
        <v>558</v>
      </c>
      <c r="H4718" t="s">
        <v>6218</v>
      </c>
      <c r="I4718">
        <v>304</v>
      </c>
      <c r="J4718">
        <v>117</v>
      </c>
      <c r="K4718">
        <v>0</v>
      </c>
      <c r="L4718">
        <v>0</v>
      </c>
      <c r="M4718">
        <v>78</v>
      </c>
      <c r="N4718">
        <v>0</v>
      </c>
      <c r="O4718">
        <v>109</v>
      </c>
    </row>
    <row r="4719" spans="1:15" x14ac:dyDescent="0.25">
      <c r="A4719" t="s">
        <v>1072</v>
      </c>
      <c r="B4719" t="s">
        <v>2907</v>
      </c>
      <c r="C4719" t="s">
        <v>927</v>
      </c>
      <c r="D4719" t="s">
        <v>3052</v>
      </c>
      <c r="E4719" t="s">
        <v>3053</v>
      </c>
      <c r="F4719" t="s">
        <v>557</v>
      </c>
      <c r="G4719" t="s">
        <v>558</v>
      </c>
      <c r="H4719" t="s">
        <v>6219</v>
      </c>
      <c r="I4719">
        <v>91</v>
      </c>
      <c r="J4719">
        <v>0</v>
      </c>
      <c r="K4719">
        <v>0</v>
      </c>
      <c r="L4719">
        <v>91</v>
      </c>
      <c r="M4719">
        <v>0</v>
      </c>
      <c r="N4719">
        <v>0</v>
      </c>
      <c r="O4719">
        <v>0</v>
      </c>
    </row>
    <row r="4720" spans="1:15" x14ac:dyDescent="0.25">
      <c r="A4720" t="s">
        <v>1917</v>
      </c>
      <c r="B4720" t="s">
        <v>2296</v>
      </c>
      <c r="C4720" t="s">
        <v>923</v>
      </c>
      <c r="D4720" t="s">
        <v>3063</v>
      </c>
      <c r="E4720" t="s">
        <v>3053</v>
      </c>
      <c r="F4720" t="s">
        <v>557</v>
      </c>
      <c r="G4720" t="s">
        <v>558</v>
      </c>
      <c r="H4720" t="s">
        <v>6220</v>
      </c>
      <c r="I4720">
        <v>7</v>
      </c>
      <c r="J4720">
        <v>0</v>
      </c>
      <c r="K4720">
        <v>0</v>
      </c>
      <c r="L4720">
        <v>0</v>
      </c>
      <c r="M4720">
        <v>7</v>
      </c>
      <c r="N4720">
        <v>0</v>
      </c>
      <c r="O4720">
        <v>0</v>
      </c>
    </row>
    <row r="4721" spans="1:15" x14ac:dyDescent="0.25">
      <c r="A4721" t="s">
        <v>1075</v>
      </c>
      <c r="B4721" t="s">
        <v>2830</v>
      </c>
      <c r="C4721" t="s">
        <v>927</v>
      </c>
      <c r="D4721" t="s">
        <v>3052</v>
      </c>
      <c r="E4721" t="s">
        <v>3053</v>
      </c>
      <c r="F4721" t="s">
        <v>557</v>
      </c>
      <c r="G4721" t="s">
        <v>558</v>
      </c>
      <c r="H4721" t="s">
        <v>6221</v>
      </c>
      <c r="I4721">
        <v>856</v>
      </c>
      <c r="J4721">
        <v>684</v>
      </c>
      <c r="K4721">
        <v>0</v>
      </c>
      <c r="L4721">
        <v>37</v>
      </c>
      <c r="M4721">
        <v>0</v>
      </c>
      <c r="N4721">
        <v>0</v>
      </c>
      <c r="O4721">
        <v>135</v>
      </c>
    </row>
    <row r="4722" spans="1:15" x14ac:dyDescent="0.25">
      <c r="A4722" t="s">
        <v>1919</v>
      </c>
      <c r="B4722" t="s">
        <v>2976</v>
      </c>
      <c r="C4722" t="s">
        <v>927</v>
      </c>
      <c r="D4722" t="s">
        <v>3052</v>
      </c>
      <c r="E4722" t="s">
        <v>3053</v>
      </c>
      <c r="F4722" t="s">
        <v>557</v>
      </c>
      <c r="G4722" t="s">
        <v>558</v>
      </c>
      <c r="H4722" t="s">
        <v>6222</v>
      </c>
      <c r="I4722">
        <v>1328</v>
      </c>
      <c r="J4722">
        <v>1244</v>
      </c>
      <c r="K4722">
        <v>0</v>
      </c>
      <c r="L4722">
        <v>24</v>
      </c>
      <c r="M4722">
        <v>0</v>
      </c>
      <c r="N4722">
        <v>7</v>
      </c>
      <c r="O4722">
        <v>60</v>
      </c>
    </row>
    <row r="4723" spans="1:15" x14ac:dyDescent="0.25">
      <c r="A4723" t="s">
        <v>1920</v>
      </c>
      <c r="B4723" t="s">
        <v>2871</v>
      </c>
      <c r="C4723" t="s">
        <v>927</v>
      </c>
      <c r="D4723" t="s">
        <v>3052</v>
      </c>
      <c r="E4723" t="s">
        <v>3053</v>
      </c>
      <c r="F4723" t="s">
        <v>557</v>
      </c>
      <c r="G4723" t="s">
        <v>558</v>
      </c>
      <c r="H4723" t="s">
        <v>6223</v>
      </c>
      <c r="I4723">
        <v>33</v>
      </c>
      <c r="J4723">
        <v>15</v>
      </c>
      <c r="K4723">
        <v>0</v>
      </c>
      <c r="L4723">
        <v>0</v>
      </c>
      <c r="M4723">
        <v>0</v>
      </c>
      <c r="N4723">
        <v>0</v>
      </c>
      <c r="O4723">
        <v>18</v>
      </c>
    </row>
    <row r="4724" spans="1:15" x14ac:dyDescent="0.25">
      <c r="A4724" t="s">
        <v>1080</v>
      </c>
      <c r="B4724" t="s">
        <v>2030</v>
      </c>
      <c r="C4724" t="s">
        <v>923</v>
      </c>
      <c r="D4724" t="s">
        <v>3063</v>
      </c>
      <c r="E4724" t="s">
        <v>3053</v>
      </c>
      <c r="F4724" t="s">
        <v>557</v>
      </c>
      <c r="G4724" t="s">
        <v>558</v>
      </c>
      <c r="H4724" t="s">
        <v>6224</v>
      </c>
      <c r="I4724">
        <v>1</v>
      </c>
      <c r="J4724">
        <v>0</v>
      </c>
      <c r="K4724">
        <v>0</v>
      </c>
      <c r="L4724">
        <v>1</v>
      </c>
      <c r="M4724">
        <v>0</v>
      </c>
      <c r="N4724">
        <v>0</v>
      </c>
      <c r="O4724">
        <v>0</v>
      </c>
    </row>
    <row r="4725" spans="1:15" x14ac:dyDescent="0.25">
      <c r="A4725" t="s">
        <v>1563</v>
      </c>
      <c r="B4725" t="s">
        <v>2895</v>
      </c>
      <c r="C4725" t="s">
        <v>927</v>
      </c>
      <c r="D4725" t="s">
        <v>3052</v>
      </c>
      <c r="E4725" t="s">
        <v>3053</v>
      </c>
      <c r="F4725" t="s">
        <v>557</v>
      </c>
      <c r="G4725" t="s">
        <v>558</v>
      </c>
      <c r="H4725" t="s">
        <v>6225</v>
      </c>
      <c r="I4725">
        <v>2215</v>
      </c>
      <c r="J4725">
        <v>1830</v>
      </c>
      <c r="K4725">
        <v>0</v>
      </c>
      <c r="L4725">
        <v>8</v>
      </c>
      <c r="M4725">
        <v>63</v>
      </c>
      <c r="N4725">
        <v>0</v>
      </c>
      <c r="O4725">
        <v>314</v>
      </c>
    </row>
    <row r="4726" spans="1:15" x14ac:dyDescent="0.25">
      <c r="A4726" t="s">
        <v>1083</v>
      </c>
      <c r="B4726" t="s">
        <v>2757</v>
      </c>
      <c r="C4726" t="s">
        <v>927</v>
      </c>
      <c r="D4726" t="s">
        <v>3052</v>
      </c>
      <c r="E4726" t="s">
        <v>3053</v>
      </c>
      <c r="F4726" t="s">
        <v>557</v>
      </c>
      <c r="G4726" t="s">
        <v>558</v>
      </c>
      <c r="H4726" t="s">
        <v>6226</v>
      </c>
      <c r="I4726">
        <v>411</v>
      </c>
      <c r="J4726">
        <v>302</v>
      </c>
      <c r="K4726">
        <v>0</v>
      </c>
      <c r="L4726">
        <v>0</v>
      </c>
      <c r="M4726">
        <v>69</v>
      </c>
      <c r="N4726">
        <v>0</v>
      </c>
      <c r="O4726">
        <v>40</v>
      </c>
    </row>
    <row r="4727" spans="1:15" x14ac:dyDescent="0.25">
      <c r="A4727" t="s">
        <v>974</v>
      </c>
      <c r="B4727" t="s">
        <v>2949</v>
      </c>
      <c r="C4727" t="s">
        <v>923</v>
      </c>
      <c r="D4727" t="s">
        <v>3063</v>
      </c>
      <c r="E4727" t="s">
        <v>3053</v>
      </c>
      <c r="F4727" t="s">
        <v>559</v>
      </c>
      <c r="G4727" t="s">
        <v>560</v>
      </c>
      <c r="H4727" t="s">
        <v>6227</v>
      </c>
      <c r="I4727">
        <v>43</v>
      </c>
      <c r="J4727">
        <v>0</v>
      </c>
      <c r="K4727">
        <v>0</v>
      </c>
      <c r="L4727">
        <v>43</v>
      </c>
      <c r="M4727">
        <v>0</v>
      </c>
      <c r="N4727">
        <v>0</v>
      </c>
      <c r="O4727">
        <v>0</v>
      </c>
    </row>
    <row r="4728" spans="1:15" x14ac:dyDescent="0.25">
      <c r="A4728" t="s">
        <v>926</v>
      </c>
      <c r="B4728" t="s">
        <v>2923</v>
      </c>
      <c r="C4728" t="s">
        <v>927</v>
      </c>
      <c r="D4728" t="s">
        <v>3052</v>
      </c>
      <c r="E4728" t="s">
        <v>3053</v>
      </c>
      <c r="F4728" t="s">
        <v>559</v>
      </c>
      <c r="G4728" t="s">
        <v>560</v>
      </c>
      <c r="H4728" t="s">
        <v>6228</v>
      </c>
      <c r="I4728">
        <v>141</v>
      </c>
      <c r="J4728">
        <v>0</v>
      </c>
      <c r="K4728">
        <v>0</v>
      </c>
      <c r="L4728">
        <v>117</v>
      </c>
      <c r="M4728">
        <v>0</v>
      </c>
      <c r="N4728">
        <v>0</v>
      </c>
      <c r="O4728">
        <v>24</v>
      </c>
    </row>
    <row r="4729" spans="1:15" x14ac:dyDescent="0.25">
      <c r="A4729" t="s">
        <v>929</v>
      </c>
      <c r="B4729" t="s">
        <v>2999</v>
      </c>
      <c r="C4729" t="s">
        <v>927</v>
      </c>
      <c r="D4729" t="s">
        <v>3052</v>
      </c>
      <c r="E4729" t="s">
        <v>3053</v>
      </c>
      <c r="F4729" t="s">
        <v>559</v>
      </c>
      <c r="G4729" t="s">
        <v>560</v>
      </c>
      <c r="H4729" t="s">
        <v>6229</v>
      </c>
      <c r="I4729">
        <v>129</v>
      </c>
      <c r="J4729">
        <v>0</v>
      </c>
      <c r="K4729">
        <v>0</v>
      </c>
      <c r="L4729">
        <v>0</v>
      </c>
      <c r="M4729">
        <v>125</v>
      </c>
      <c r="N4729">
        <v>0</v>
      </c>
      <c r="O4729">
        <v>4</v>
      </c>
    </row>
    <row r="4730" spans="1:15" x14ac:dyDescent="0.25">
      <c r="A4730" t="s">
        <v>978</v>
      </c>
      <c r="B4730" t="s">
        <v>1999</v>
      </c>
      <c r="C4730" t="s">
        <v>923</v>
      </c>
      <c r="D4730" t="s">
        <v>3063</v>
      </c>
      <c r="E4730" t="s">
        <v>3053</v>
      </c>
      <c r="F4730" t="s">
        <v>559</v>
      </c>
      <c r="G4730" t="s">
        <v>560</v>
      </c>
      <c r="H4730" t="s">
        <v>6230</v>
      </c>
      <c r="I4730">
        <v>1</v>
      </c>
      <c r="J4730">
        <v>1</v>
      </c>
      <c r="K4730">
        <v>0</v>
      </c>
      <c r="L4730">
        <v>0</v>
      </c>
      <c r="M4730">
        <v>0</v>
      </c>
      <c r="N4730">
        <v>0</v>
      </c>
      <c r="O4730">
        <v>0</v>
      </c>
    </row>
    <row r="4731" spans="1:15" x14ac:dyDescent="0.25">
      <c r="A4731" t="s">
        <v>9783</v>
      </c>
      <c r="B4731" t="s">
        <v>2356</v>
      </c>
      <c r="C4731" t="s">
        <v>923</v>
      </c>
      <c r="D4731" t="s">
        <v>3063</v>
      </c>
      <c r="E4731" t="s">
        <v>3053</v>
      </c>
      <c r="F4731" t="s">
        <v>559</v>
      </c>
      <c r="G4731" t="s">
        <v>560</v>
      </c>
      <c r="H4731" t="s">
        <v>9915</v>
      </c>
      <c r="I4731">
        <v>378</v>
      </c>
      <c r="J4731">
        <v>357</v>
      </c>
      <c r="K4731">
        <v>0</v>
      </c>
      <c r="L4731">
        <v>0</v>
      </c>
      <c r="M4731">
        <v>21</v>
      </c>
      <c r="N4731">
        <v>11</v>
      </c>
      <c r="O4731">
        <v>0</v>
      </c>
    </row>
    <row r="4732" spans="1:15" x14ac:dyDescent="0.25">
      <c r="A4732" t="s">
        <v>9784</v>
      </c>
      <c r="B4732" t="s">
        <v>1994</v>
      </c>
      <c r="C4732" t="s">
        <v>927</v>
      </c>
      <c r="D4732" t="s">
        <v>3052</v>
      </c>
      <c r="E4732" t="s">
        <v>3053</v>
      </c>
      <c r="F4732" t="s">
        <v>559</v>
      </c>
      <c r="G4732" t="s">
        <v>560</v>
      </c>
      <c r="H4732" t="s">
        <v>9956</v>
      </c>
      <c r="I4732">
        <v>4</v>
      </c>
      <c r="J4732">
        <v>0</v>
      </c>
      <c r="K4732">
        <v>0</v>
      </c>
      <c r="L4732">
        <v>4</v>
      </c>
      <c r="M4732">
        <v>0</v>
      </c>
      <c r="N4732">
        <v>0</v>
      </c>
      <c r="O4732">
        <v>0</v>
      </c>
    </row>
    <row r="4733" spans="1:15" x14ac:dyDescent="0.25">
      <c r="A4733" t="s">
        <v>990</v>
      </c>
      <c r="B4733" t="s">
        <v>2399</v>
      </c>
      <c r="C4733" t="s">
        <v>923</v>
      </c>
      <c r="D4733" t="s">
        <v>3063</v>
      </c>
      <c r="E4733" t="s">
        <v>3053</v>
      </c>
      <c r="F4733" t="s">
        <v>559</v>
      </c>
      <c r="G4733" t="s">
        <v>560</v>
      </c>
      <c r="H4733" t="s">
        <v>6231</v>
      </c>
      <c r="I4733">
        <v>139</v>
      </c>
      <c r="J4733">
        <v>125</v>
      </c>
      <c r="K4733">
        <v>0</v>
      </c>
      <c r="L4733">
        <v>0</v>
      </c>
      <c r="M4733">
        <v>14</v>
      </c>
      <c r="N4733">
        <v>7</v>
      </c>
      <c r="O4733">
        <v>0</v>
      </c>
    </row>
    <row r="4734" spans="1:15" x14ac:dyDescent="0.25">
      <c r="A4734" t="s">
        <v>991</v>
      </c>
      <c r="B4734" t="s">
        <v>1976</v>
      </c>
      <c r="C4734" t="s">
        <v>923</v>
      </c>
      <c r="D4734" t="s">
        <v>3063</v>
      </c>
      <c r="E4734" t="s">
        <v>3053</v>
      </c>
      <c r="F4734" t="s">
        <v>559</v>
      </c>
      <c r="G4734" t="s">
        <v>560</v>
      </c>
      <c r="H4734" t="s">
        <v>6232</v>
      </c>
      <c r="I4734">
        <v>4</v>
      </c>
      <c r="J4734">
        <v>0</v>
      </c>
      <c r="K4734">
        <v>0</v>
      </c>
      <c r="L4734">
        <v>4</v>
      </c>
      <c r="M4734">
        <v>0</v>
      </c>
      <c r="N4734">
        <v>0</v>
      </c>
      <c r="O4734">
        <v>0</v>
      </c>
    </row>
    <row r="4735" spans="1:15" x14ac:dyDescent="0.25">
      <c r="A4735" t="s">
        <v>996</v>
      </c>
      <c r="B4735" t="s">
        <v>1952</v>
      </c>
      <c r="C4735" t="s">
        <v>923</v>
      </c>
      <c r="D4735" t="s">
        <v>3063</v>
      </c>
      <c r="E4735" t="s">
        <v>3053</v>
      </c>
      <c r="F4735" t="s">
        <v>559</v>
      </c>
      <c r="G4735" t="s">
        <v>560</v>
      </c>
      <c r="H4735" t="s">
        <v>6233</v>
      </c>
      <c r="I4735">
        <v>13</v>
      </c>
      <c r="J4735">
        <v>0</v>
      </c>
      <c r="K4735">
        <v>0</v>
      </c>
      <c r="L4735">
        <v>13</v>
      </c>
      <c r="M4735">
        <v>0</v>
      </c>
      <c r="N4735">
        <v>0</v>
      </c>
      <c r="O4735">
        <v>0</v>
      </c>
    </row>
    <row r="4736" spans="1:15" x14ac:dyDescent="0.25">
      <c r="A4736" t="s">
        <v>997</v>
      </c>
      <c r="B4736" t="s">
        <v>2033</v>
      </c>
      <c r="C4736" t="s">
        <v>927</v>
      </c>
      <c r="D4736" t="s">
        <v>3052</v>
      </c>
      <c r="E4736" t="s">
        <v>3053</v>
      </c>
      <c r="F4736" t="s">
        <v>559</v>
      </c>
      <c r="G4736" t="s">
        <v>560</v>
      </c>
      <c r="H4736" t="s">
        <v>6234</v>
      </c>
      <c r="I4736">
        <v>1453</v>
      </c>
      <c r="J4736">
        <v>1215</v>
      </c>
      <c r="K4736">
        <v>0</v>
      </c>
      <c r="L4736">
        <v>89</v>
      </c>
      <c r="M4736">
        <v>104</v>
      </c>
      <c r="N4736">
        <v>11</v>
      </c>
      <c r="O4736">
        <v>45</v>
      </c>
    </row>
    <row r="4737" spans="1:15" x14ac:dyDescent="0.25">
      <c r="A4737" t="s">
        <v>11660</v>
      </c>
      <c r="B4737" t="s">
        <v>2041</v>
      </c>
      <c r="C4737" t="s">
        <v>923</v>
      </c>
      <c r="D4737" t="s">
        <v>3063</v>
      </c>
      <c r="E4737" t="s">
        <v>3053</v>
      </c>
      <c r="F4737" t="s">
        <v>559</v>
      </c>
      <c r="G4737" t="s">
        <v>560</v>
      </c>
      <c r="H4737" t="s">
        <v>14874</v>
      </c>
      <c r="I4737">
        <v>8</v>
      </c>
      <c r="J4737">
        <v>0</v>
      </c>
      <c r="K4737">
        <v>0</v>
      </c>
      <c r="L4737">
        <v>8</v>
      </c>
      <c r="M4737">
        <v>0</v>
      </c>
      <c r="N4737">
        <v>0</v>
      </c>
      <c r="O4737">
        <v>0</v>
      </c>
    </row>
    <row r="4738" spans="1:15" x14ac:dyDescent="0.25">
      <c r="A4738" t="s">
        <v>1416</v>
      </c>
      <c r="B4738" t="s">
        <v>2029</v>
      </c>
      <c r="C4738" t="s">
        <v>923</v>
      </c>
      <c r="D4738" t="s">
        <v>3063</v>
      </c>
      <c r="E4738" t="s">
        <v>3053</v>
      </c>
      <c r="F4738" t="s">
        <v>559</v>
      </c>
      <c r="G4738" t="s">
        <v>560</v>
      </c>
      <c r="H4738" t="s">
        <v>12154</v>
      </c>
      <c r="I4738">
        <v>6</v>
      </c>
      <c r="J4738">
        <v>0</v>
      </c>
      <c r="K4738">
        <v>0</v>
      </c>
      <c r="L4738">
        <v>6</v>
      </c>
      <c r="M4738">
        <v>0</v>
      </c>
      <c r="N4738">
        <v>0</v>
      </c>
      <c r="O4738">
        <v>0</v>
      </c>
    </row>
    <row r="4739" spans="1:15" x14ac:dyDescent="0.25">
      <c r="A4739" t="s">
        <v>1000</v>
      </c>
      <c r="B4739" t="s">
        <v>1984</v>
      </c>
      <c r="C4739" t="s">
        <v>923</v>
      </c>
      <c r="D4739" t="s">
        <v>3063</v>
      </c>
      <c r="E4739" t="s">
        <v>3053</v>
      </c>
      <c r="F4739" t="s">
        <v>559</v>
      </c>
      <c r="G4739" t="s">
        <v>560</v>
      </c>
      <c r="H4739" t="s">
        <v>6235</v>
      </c>
      <c r="I4739">
        <v>14</v>
      </c>
      <c r="J4739">
        <v>0</v>
      </c>
      <c r="K4739">
        <v>0</v>
      </c>
      <c r="L4739">
        <v>14</v>
      </c>
      <c r="M4739">
        <v>0</v>
      </c>
      <c r="N4739">
        <v>0</v>
      </c>
      <c r="O4739">
        <v>0</v>
      </c>
    </row>
    <row r="4740" spans="1:15" x14ac:dyDescent="0.25">
      <c r="A4740" t="s">
        <v>1001</v>
      </c>
      <c r="B4740" t="s">
        <v>3007</v>
      </c>
      <c r="C4740" t="s">
        <v>927</v>
      </c>
      <c r="D4740" t="s">
        <v>3052</v>
      </c>
      <c r="E4740" t="s">
        <v>3053</v>
      </c>
      <c r="F4740" t="s">
        <v>559</v>
      </c>
      <c r="G4740" t="s">
        <v>560</v>
      </c>
      <c r="H4740" t="s">
        <v>6236</v>
      </c>
      <c r="I4740">
        <v>11</v>
      </c>
      <c r="J4740">
        <v>0</v>
      </c>
      <c r="K4740">
        <v>0</v>
      </c>
      <c r="L4740">
        <v>11</v>
      </c>
      <c r="M4740">
        <v>0</v>
      </c>
      <c r="N4740">
        <v>0</v>
      </c>
      <c r="O4740">
        <v>0</v>
      </c>
    </row>
    <row r="4741" spans="1:15" x14ac:dyDescent="0.25">
      <c r="A4741" t="s">
        <v>1009</v>
      </c>
      <c r="B4741" t="s">
        <v>1958</v>
      </c>
      <c r="C4741" t="s">
        <v>923</v>
      </c>
      <c r="D4741" t="s">
        <v>3063</v>
      </c>
      <c r="E4741" t="s">
        <v>3053</v>
      </c>
      <c r="F4741" t="s">
        <v>559</v>
      </c>
      <c r="G4741" t="s">
        <v>560</v>
      </c>
      <c r="H4741" t="s">
        <v>6237</v>
      </c>
      <c r="I4741">
        <v>2</v>
      </c>
      <c r="J4741">
        <v>0</v>
      </c>
      <c r="K4741">
        <v>0</v>
      </c>
      <c r="L4741">
        <v>2</v>
      </c>
      <c r="M4741">
        <v>0</v>
      </c>
      <c r="N4741">
        <v>0</v>
      </c>
      <c r="O4741">
        <v>0</v>
      </c>
    </row>
    <row r="4742" spans="1:15" x14ac:dyDescent="0.25">
      <c r="A4742" t="s">
        <v>1011</v>
      </c>
      <c r="B4742" t="s">
        <v>2020</v>
      </c>
      <c r="C4742" t="s">
        <v>927</v>
      </c>
      <c r="D4742" t="s">
        <v>3052</v>
      </c>
      <c r="E4742" t="s">
        <v>3053</v>
      </c>
      <c r="F4742" t="s">
        <v>559</v>
      </c>
      <c r="G4742" t="s">
        <v>560</v>
      </c>
      <c r="H4742" t="s">
        <v>6238</v>
      </c>
      <c r="I4742">
        <v>13</v>
      </c>
      <c r="J4742">
        <v>0</v>
      </c>
      <c r="K4742">
        <v>0</v>
      </c>
      <c r="L4742">
        <v>13</v>
      </c>
      <c r="M4742">
        <v>0</v>
      </c>
      <c r="N4742">
        <v>0</v>
      </c>
      <c r="O4742">
        <v>0</v>
      </c>
    </row>
    <row r="4743" spans="1:15" x14ac:dyDescent="0.25">
      <c r="A4743" t="s">
        <v>938</v>
      </c>
      <c r="B4743" t="s">
        <v>2791</v>
      </c>
      <c r="C4743" t="s">
        <v>927</v>
      </c>
      <c r="D4743" t="s">
        <v>3052</v>
      </c>
      <c r="E4743" t="s">
        <v>3053</v>
      </c>
      <c r="F4743" t="s">
        <v>559</v>
      </c>
      <c r="G4743" t="s">
        <v>560</v>
      </c>
      <c r="H4743" t="s">
        <v>6239</v>
      </c>
      <c r="I4743">
        <v>13</v>
      </c>
      <c r="J4743">
        <v>0</v>
      </c>
      <c r="K4743">
        <v>0</v>
      </c>
      <c r="L4743">
        <v>13</v>
      </c>
      <c r="M4743">
        <v>0</v>
      </c>
      <c r="N4743">
        <v>0</v>
      </c>
      <c r="O4743">
        <v>0</v>
      </c>
    </row>
    <row r="4744" spans="1:15" x14ac:dyDescent="0.25">
      <c r="A4744" t="s">
        <v>1013</v>
      </c>
      <c r="B4744" t="s">
        <v>1959</v>
      </c>
      <c r="C4744" t="s">
        <v>927</v>
      </c>
      <c r="D4744" t="s">
        <v>3052</v>
      </c>
      <c r="E4744" t="s">
        <v>3053</v>
      </c>
      <c r="F4744" t="s">
        <v>559</v>
      </c>
      <c r="G4744" t="s">
        <v>560</v>
      </c>
      <c r="H4744" t="s">
        <v>6240</v>
      </c>
      <c r="I4744">
        <v>34</v>
      </c>
      <c r="J4744">
        <v>0</v>
      </c>
      <c r="K4744">
        <v>0</v>
      </c>
      <c r="L4744">
        <v>34</v>
      </c>
      <c r="M4744">
        <v>0</v>
      </c>
      <c r="N4744">
        <v>0</v>
      </c>
      <c r="O4744">
        <v>0</v>
      </c>
    </row>
    <row r="4745" spans="1:15" x14ac:dyDescent="0.25">
      <c r="A4745" t="s">
        <v>1020</v>
      </c>
      <c r="B4745" t="s">
        <v>2104</v>
      </c>
      <c r="C4745" t="s">
        <v>923</v>
      </c>
      <c r="D4745" t="s">
        <v>3063</v>
      </c>
      <c r="E4745" t="s">
        <v>3053</v>
      </c>
      <c r="F4745" t="s">
        <v>559</v>
      </c>
      <c r="G4745" t="s">
        <v>560</v>
      </c>
      <c r="H4745" t="s">
        <v>6241</v>
      </c>
      <c r="I4745">
        <v>9</v>
      </c>
      <c r="J4745">
        <v>0</v>
      </c>
      <c r="K4745">
        <v>0</v>
      </c>
      <c r="L4745">
        <v>9</v>
      </c>
      <c r="M4745">
        <v>0</v>
      </c>
      <c r="N4745">
        <v>0</v>
      </c>
      <c r="O4745">
        <v>0</v>
      </c>
    </row>
    <row r="4746" spans="1:15" x14ac:dyDescent="0.25">
      <c r="A4746" t="s">
        <v>1026</v>
      </c>
      <c r="B4746" t="s">
        <v>2848</v>
      </c>
      <c r="C4746" t="s">
        <v>927</v>
      </c>
      <c r="D4746" t="s">
        <v>3052</v>
      </c>
      <c r="E4746" t="s">
        <v>3053</v>
      </c>
      <c r="F4746" t="s">
        <v>559</v>
      </c>
      <c r="G4746" t="s">
        <v>560</v>
      </c>
      <c r="H4746" t="s">
        <v>6242</v>
      </c>
      <c r="I4746">
        <v>46</v>
      </c>
      <c r="J4746">
        <v>46</v>
      </c>
      <c r="K4746">
        <v>0</v>
      </c>
      <c r="L4746">
        <v>0</v>
      </c>
      <c r="M4746">
        <v>0</v>
      </c>
      <c r="N4746">
        <v>0</v>
      </c>
      <c r="O4746">
        <v>0</v>
      </c>
    </row>
    <row r="4747" spans="1:15" x14ac:dyDescent="0.25">
      <c r="A4747" t="s">
        <v>10681</v>
      </c>
      <c r="B4747" t="s">
        <v>10680</v>
      </c>
      <c r="C4747" t="s">
        <v>927</v>
      </c>
      <c r="D4747" t="s">
        <v>3052</v>
      </c>
      <c r="E4747" t="s">
        <v>3053</v>
      </c>
      <c r="F4747" t="s">
        <v>559</v>
      </c>
      <c r="G4747" t="s">
        <v>560</v>
      </c>
      <c r="H4747" t="s">
        <v>14875</v>
      </c>
      <c r="I4747">
        <v>16</v>
      </c>
      <c r="J4747">
        <v>0</v>
      </c>
      <c r="K4747">
        <v>0</v>
      </c>
      <c r="L4747">
        <v>0</v>
      </c>
      <c r="M4747">
        <v>0</v>
      </c>
      <c r="N4747">
        <v>0</v>
      </c>
      <c r="O4747">
        <v>16</v>
      </c>
    </row>
    <row r="4748" spans="1:15" x14ac:dyDescent="0.25">
      <c r="A4748" t="s">
        <v>1029</v>
      </c>
      <c r="B4748" t="s">
        <v>2377</v>
      </c>
      <c r="C4748" t="s">
        <v>923</v>
      </c>
      <c r="D4748" t="s">
        <v>3063</v>
      </c>
      <c r="E4748" t="s">
        <v>3053</v>
      </c>
      <c r="F4748" t="s">
        <v>559</v>
      </c>
      <c r="G4748" t="s">
        <v>560</v>
      </c>
      <c r="H4748" t="s">
        <v>6243</v>
      </c>
      <c r="I4748">
        <v>117</v>
      </c>
      <c r="J4748">
        <v>117</v>
      </c>
      <c r="K4748">
        <v>0</v>
      </c>
      <c r="L4748">
        <v>0</v>
      </c>
      <c r="M4748">
        <v>0</v>
      </c>
      <c r="N4748">
        <v>0</v>
      </c>
      <c r="O4748">
        <v>0</v>
      </c>
    </row>
    <row r="4749" spans="1:15" x14ac:dyDescent="0.25">
      <c r="A4749" t="s">
        <v>943</v>
      </c>
      <c r="B4749" t="s">
        <v>2694</v>
      </c>
      <c r="C4749" t="s">
        <v>927</v>
      </c>
      <c r="D4749" t="s">
        <v>3052</v>
      </c>
      <c r="E4749" t="s">
        <v>3053</v>
      </c>
      <c r="F4749" t="s">
        <v>559</v>
      </c>
      <c r="G4749" t="s">
        <v>560</v>
      </c>
      <c r="H4749" t="s">
        <v>6244</v>
      </c>
      <c r="I4749">
        <v>91</v>
      </c>
      <c r="J4749">
        <v>69</v>
      </c>
      <c r="K4749">
        <v>0</v>
      </c>
      <c r="L4749">
        <v>0</v>
      </c>
      <c r="M4749">
        <v>0</v>
      </c>
      <c r="N4749">
        <v>0</v>
      </c>
      <c r="O4749">
        <v>22</v>
      </c>
    </row>
    <row r="4750" spans="1:15" x14ac:dyDescent="0.25">
      <c r="A4750" t="s">
        <v>1030</v>
      </c>
      <c r="B4750" t="s">
        <v>2880</v>
      </c>
      <c r="C4750" t="s">
        <v>927</v>
      </c>
      <c r="D4750" t="s">
        <v>3052</v>
      </c>
      <c r="E4750" t="s">
        <v>3053</v>
      </c>
      <c r="F4750" t="s">
        <v>559</v>
      </c>
      <c r="G4750" t="s">
        <v>560</v>
      </c>
      <c r="H4750" t="s">
        <v>6245</v>
      </c>
      <c r="I4750">
        <v>990</v>
      </c>
      <c r="J4750">
        <v>905</v>
      </c>
      <c r="K4750">
        <v>0</v>
      </c>
      <c r="L4750">
        <v>1</v>
      </c>
      <c r="M4750">
        <v>0</v>
      </c>
      <c r="N4750">
        <v>0</v>
      </c>
      <c r="O4750">
        <v>84</v>
      </c>
    </row>
    <row r="4751" spans="1:15" x14ac:dyDescent="0.25">
      <c r="A4751" t="s">
        <v>1036</v>
      </c>
      <c r="B4751" t="s">
        <v>1966</v>
      </c>
      <c r="C4751" t="s">
        <v>923</v>
      </c>
      <c r="D4751" t="s">
        <v>3063</v>
      </c>
      <c r="E4751" t="s">
        <v>3053</v>
      </c>
      <c r="F4751" t="s">
        <v>559</v>
      </c>
      <c r="G4751" t="s">
        <v>560</v>
      </c>
      <c r="H4751" t="s">
        <v>6246</v>
      </c>
      <c r="I4751">
        <v>14</v>
      </c>
      <c r="J4751">
        <v>0</v>
      </c>
      <c r="K4751">
        <v>0</v>
      </c>
      <c r="L4751">
        <v>14</v>
      </c>
      <c r="M4751">
        <v>0</v>
      </c>
      <c r="N4751">
        <v>0</v>
      </c>
      <c r="O4751">
        <v>0</v>
      </c>
    </row>
    <row r="4752" spans="1:15" x14ac:dyDescent="0.25">
      <c r="A4752" t="s">
        <v>1038</v>
      </c>
      <c r="B4752" t="s">
        <v>2068</v>
      </c>
      <c r="C4752" t="s">
        <v>927</v>
      </c>
      <c r="D4752" t="s">
        <v>3052</v>
      </c>
      <c r="E4752" t="s">
        <v>3053</v>
      </c>
      <c r="F4752" t="s">
        <v>559</v>
      </c>
      <c r="G4752" t="s">
        <v>560</v>
      </c>
      <c r="H4752" t="s">
        <v>6247</v>
      </c>
      <c r="I4752">
        <v>571</v>
      </c>
      <c r="J4752">
        <v>411</v>
      </c>
      <c r="K4752">
        <v>0</v>
      </c>
      <c r="L4752">
        <v>56</v>
      </c>
      <c r="M4752">
        <v>70</v>
      </c>
      <c r="N4752">
        <v>0</v>
      </c>
      <c r="O4752">
        <v>34</v>
      </c>
    </row>
    <row r="4753" spans="1:15" x14ac:dyDescent="0.25">
      <c r="A4753" t="s">
        <v>1043</v>
      </c>
      <c r="B4753" t="s">
        <v>2090</v>
      </c>
      <c r="C4753" t="s">
        <v>927</v>
      </c>
      <c r="D4753" t="s">
        <v>3052</v>
      </c>
      <c r="E4753" t="s">
        <v>3053</v>
      </c>
      <c r="F4753" t="s">
        <v>559</v>
      </c>
      <c r="G4753" t="s">
        <v>560</v>
      </c>
      <c r="H4753" t="s">
        <v>6248</v>
      </c>
      <c r="I4753">
        <v>3607</v>
      </c>
      <c r="J4753">
        <v>2903</v>
      </c>
      <c r="K4753">
        <v>0</v>
      </c>
      <c r="L4753">
        <v>204</v>
      </c>
      <c r="M4753">
        <v>437</v>
      </c>
      <c r="N4753">
        <v>0</v>
      </c>
      <c r="O4753">
        <v>63</v>
      </c>
    </row>
    <row r="4754" spans="1:15" x14ac:dyDescent="0.25">
      <c r="A4754" t="s">
        <v>951</v>
      </c>
      <c r="B4754" t="s">
        <v>2680</v>
      </c>
      <c r="C4754" t="s">
        <v>927</v>
      </c>
      <c r="D4754" t="s">
        <v>3052</v>
      </c>
      <c r="E4754" t="s">
        <v>3053</v>
      </c>
      <c r="F4754" t="s">
        <v>559</v>
      </c>
      <c r="G4754" t="s">
        <v>560</v>
      </c>
      <c r="H4754" t="s">
        <v>6249</v>
      </c>
      <c r="I4754">
        <v>182</v>
      </c>
      <c r="J4754">
        <v>178</v>
      </c>
      <c r="K4754">
        <v>0</v>
      </c>
      <c r="L4754">
        <v>4</v>
      </c>
      <c r="M4754">
        <v>0</v>
      </c>
      <c r="N4754">
        <v>0</v>
      </c>
      <c r="O4754">
        <v>0</v>
      </c>
    </row>
    <row r="4755" spans="1:15" x14ac:dyDescent="0.25">
      <c r="A4755" t="s">
        <v>1048</v>
      </c>
      <c r="B4755" t="s">
        <v>2989</v>
      </c>
      <c r="C4755" t="s">
        <v>927</v>
      </c>
      <c r="D4755" t="s">
        <v>3052</v>
      </c>
      <c r="E4755" t="s">
        <v>3053</v>
      </c>
      <c r="F4755" t="s">
        <v>559</v>
      </c>
      <c r="G4755" t="s">
        <v>560</v>
      </c>
      <c r="H4755" t="s">
        <v>6250</v>
      </c>
      <c r="I4755">
        <v>81</v>
      </c>
      <c r="J4755">
        <v>27</v>
      </c>
      <c r="K4755">
        <v>0</v>
      </c>
      <c r="L4755">
        <v>50</v>
      </c>
      <c r="M4755">
        <v>0</v>
      </c>
      <c r="N4755">
        <v>0</v>
      </c>
      <c r="O4755">
        <v>4</v>
      </c>
    </row>
    <row r="4756" spans="1:15" x14ac:dyDescent="0.25">
      <c r="A4756" t="s">
        <v>1049</v>
      </c>
      <c r="B4756" t="s">
        <v>2138</v>
      </c>
      <c r="C4756" t="s">
        <v>927</v>
      </c>
      <c r="D4756" t="s">
        <v>3052</v>
      </c>
      <c r="E4756" t="s">
        <v>3053</v>
      </c>
      <c r="F4756" t="s">
        <v>559</v>
      </c>
      <c r="G4756" t="s">
        <v>560</v>
      </c>
      <c r="H4756" t="s">
        <v>6251</v>
      </c>
      <c r="I4756">
        <v>1213</v>
      </c>
      <c r="J4756">
        <v>977</v>
      </c>
      <c r="K4756">
        <v>0</v>
      </c>
      <c r="L4756">
        <v>16</v>
      </c>
      <c r="M4756">
        <v>49</v>
      </c>
      <c r="N4756">
        <v>0</v>
      </c>
      <c r="O4756">
        <v>171</v>
      </c>
    </row>
    <row r="4757" spans="1:15" x14ac:dyDescent="0.25">
      <c r="A4757" t="s">
        <v>1051</v>
      </c>
      <c r="B4757" t="s">
        <v>2995</v>
      </c>
      <c r="C4757" t="s">
        <v>927</v>
      </c>
      <c r="D4757" t="s">
        <v>3052</v>
      </c>
      <c r="E4757" t="s">
        <v>3053</v>
      </c>
      <c r="F4757" t="s">
        <v>559</v>
      </c>
      <c r="G4757" t="s">
        <v>560</v>
      </c>
      <c r="H4757" t="s">
        <v>6252</v>
      </c>
      <c r="I4757">
        <v>44</v>
      </c>
      <c r="J4757">
        <v>0</v>
      </c>
      <c r="K4757">
        <v>0</v>
      </c>
      <c r="L4757">
        <v>44</v>
      </c>
      <c r="M4757">
        <v>0</v>
      </c>
      <c r="N4757">
        <v>0</v>
      </c>
      <c r="O4757">
        <v>0</v>
      </c>
    </row>
    <row r="4758" spans="1:15" x14ac:dyDescent="0.25">
      <c r="A4758" t="s">
        <v>1054</v>
      </c>
      <c r="B4758" t="s">
        <v>2408</v>
      </c>
      <c r="C4758" t="s">
        <v>923</v>
      </c>
      <c r="D4758" t="s">
        <v>3063</v>
      </c>
      <c r="E4758" t="s">
        <v>3053</v>
      </c>
      <c r="F4758" t="s">
        <v>559</v>
      </c>
      <c r="G4758" t="s">
        <v>560</v>
      </c>
      <c r="H4758" t="s">
        <v>6253</v>
      </c>
      <c r="I4758">
        <v>121</v>
      </c>
      <c r="J4758">
        <v>121</v>
      </c>
      <c r="K4758">
        <v>0</v>
      </c>
      <c r="L4758">
        <v>0</v>
      </c>
      <c r="M4758">
        <v>0</v>
      </c>
      <c r="N4758">
        <v>0</v>
      </c>
      <c r="O4758">
        <v>0</v>
      </c>
    </row>
    <row r="4759" spans="1:15" x14ac:dyDescent="0.25">
      <c r="A4759" t="s">
        <v>11720</v>
      </c>
      <c r="B4759" t="s">
        <v>10718</v>
      </c>
      <c r="C4759" t="s">
        <v>927</v>
      </c>
      <c r="D4759" t="s">
        <v>3052</v>
      </c>
      <c r="E4759" t="s">
        <v>3053</v>
      </c>
      <c r="F4759" t="s">
        <v>559</v>
      </c>
      <c r="G4759" t="s">
        <v>560</v>
      </c>
      <c r="H4759" t="s">
        <v>14876</v>
      </c>
      <c r="I4759">
        <v>13</v>
      </c>
      <c r="J4759">
        <v>7</v>
      </c>
      <c r="K4759">
        <v>0</v>
      </c>
      <c r="L4759">
        <v>0</v>
      </c>
      <c r="M4759">
        <v>0</v>
      </c>
      <c r="N4759">
        <v>0</v>
      </c>
      <c r="O4759">
        <v>6</v>
      </c>
    </row>
    <row r="4760" spans="1:15" x14ac:dyDescent="0.25">
      <c r="A4760" t="s">
        <v>9788</v>
      </c>
      <c r="B4760" t="s">
        <v>9871</v>
      </c>
      <c r="C4760" t="s">
        <v>927</v>
      </c>
      <c r="D4760" t="s">
        <v>3052</v>
      </c>
      <c r="E4760" t="s">
        <v>3053</v>
      </c>
      <c r="F4760" t="s">
        <v>559</v>
      </c>
      <c r="G4760" t="s">
        <v>560</v>
      </c>
      <c r="H4760" t="s">
        <v>10360</v>
      </c>
      <c r="I4760">
        <v>15</v>
      </c>
      <c r="J4760">
        <v>15</v>
      </c>
      <c r="K4760">
        <v>0</v>
      </c>
      <c r="L4760">
        <v>0</v>
      </c>
      <c r="M4760">
        <v>0</v>
      </c>
      <c r="N4760">
        <v>0</v>
      </c>
      <c r="O4760">
        <v>0</v>
      </c>
    </row>
    <row r="4761" spans="1:15" x14ac:dyDescent="0.25">
      <c r="A4761" t="s">
        <v>955</v>
      </c>
      <c r="B4761" t="s">
        <v>2660</v>
      </c>
      <c r="C4761" t="s">
        <v>927</v>
      </c>
      <c r="D4761" t="s">
        <v>3052</v>
      </c>
      <c r="E4761" t="s">
        <v>3053</v>
      </c>
      <c r="F4761" t="s">
        <v>559</v>
      </c>
      <c r="G4761" t="s">
        <v>560</v>
      </c>
      <c r="H4761" t="s">
        <v>6254</v>
      </c>
      <c r="I4761">
        <v>65</v>
      </c>
      <c r="J4761">
        <v>19</v>
      </c>
      <c r="K4761">
        <v>0</v>
      </c>
      <c r="L4761">
        <v>42</v>
      </c>
      <c r="M4761">
        <v>0</v>
      </c>
      <c r="N4761">
        <v>0</v>
      </c>
      <c r="O4761">
        <v>4</v>
      </c>
    </row>
    <row r="4762" spans="1:15" x14ac:dyDescent="0.25">
      <c r="A4762" t="s">
        <v>1062</v>
      </c>
      <c r="B4762" t="s">
        <v>1993</v>
      </c>
      <c r="C4762" t="s">
        <v>927</v>
      </c>
      <c r="D4762" t="s">
        <v>3052</v>
      </c>
      <c r="E4762" t="s">
        <v>3053</v>
      </c>
      <c r="F4762" t="s">
        <v>559</v>
      </c>
      <c r="G4762" t="s">
        <v>560</v>
      </c>
      <c r="H4762" t="s">
        <v>6255</v>
      </c>
      <c r="I4762">
        <v>23</v>
      </c>
      <c r="J4762">
        <v>23</v>
      </c>
      <c r="K4762">
        <v>0</v>
      </c>
      <c r="L4762">
        <v>0</v>
      </c>
      <c r="M4762">
        <v>0</v>
      </c>
      <c r="N4762">
        <v>0</v>
      </c>
      <c r="O4762">
        <v>0</v>
      </c>
    </row>
    <row r="4763" spans="1:15" x14ac:dyDescent="0.25">
      <c r="A4763" t="s">
        <v>962</v>
      </c>
      <c r="B4763" t="s">
        <v>2752</v>
      </c>
      <c r="C4763" t="s">
        <v>927</v>
      </c>
      <c r="D4763" t="s">
        <v>3052</v>
      </c>
      <c r="E4763" t="s">
        <v>3053</v>
      </c>
      <c r="F4763" t="s">
        <v>559</v>
      </c>
      <c r="G4763" t="s">
        <v>560</v>
      </c>
      <c r="H4763" t="s">
        <v>6256</v>
      </c>
      <c r="I4763">
        <v>95</v>
      </c>
      <c r="J4763">
        <v>94</v>
      </c>
      <c r="K4763">
        <v>0</v>
      </c>
      <c r="L4763">
        <v>0</v>
      </c>
      <c r="M4763">
        <v>0</v>
      </c>
      <c r="N4763">
        <v>0</v>
      </c>
      <c r="O4763">
        <v>1</v>
      </c>
    </row>
    <row r="4764" spans="1:15" x14ac:dyDescent="0.25">
      <c r="A4764" t="s">
        <v>1072</v>
      </c>
      <c r="B4764" t="s">
        <v>2907</v>
      </c>
      <c r="C4764" t="s">
        <v>927</v>
      </c>
      <c r="D4764" t="s">
        <v>3052</v>
      </c>
      <c r="E4764" t="s">
        <v>3053</v>
      </c>
      <c r="F4764" t="s">
        <v>559</v>
      </c>
      <c r="G4764" t="s">
        <v>560</v>
      </c>
      <c r="H4764" t="s">
        <v>6257</v>
      </c>
      <c r="I4764">
        <v>1446</v>
      </c>
      <c r="J4764">
        <v>1273</v>
      </c>
      <c r="K4764">
        <v>0</v>
      </c>
      <c r="L4764">
        <v>51</v>
      </c>
      <c r="M4764">
        <v>67</v>
      </c>
      <c r="N4764">
        <v>0</v>
      </c>
      <c r="O4764">
        <v>55</v>
      </c>
    </row>
    <row r="4765" spans="1:15" x14ac:dyDescent="0.25">
      <c r="A4765" t="s">
        <v>1078</v>
      </c>
      <c r="B4765" t="s">
        <v>1950</v>
      </c>
      <c r="C4765" t="s">
        <v>923</v>
      </c>
      <c r="D4765" t="s">
        <v>3063</v>
      </c>
      <c r="E4765" t="s">
        <v>3053</v>
      </c>
      <c r="F4765" t="s">
        <v>559</v>
      </c>
      <c r="G4765" t="s">
        <v>560</v>
      </c>
      <c r="H4765" t="s">
        <v>6258</v>
      </c>
      <c r="I4765">
        <v>24</v>
      </c>
      <c r="J4765">
        <v>0</v>
      </c>
      <c r="K4765">
        <v>0</v>
      </c>
      <c r="L4765">
        <v>24</v>
      </c>
      <c r="M4765">
        <v>0</v>
      </c>
      <c r="N4765">
        <v>0</v>
      </c>
      <c r="O4765">
        <v>0</v>
      </c>
    </row>
    <row r="4766" spans="1:15" x14ac:dyDescent="0.25">
      <c r="A4766" t="s">
        <v>1079</v>
      </c>
      <c r="B4766" t="s">
        <v>2810</v>
      </c>
      <c r="C4766" t="s">
        <v>927</v>
      </c>
      <c r="D4766" t="s">
        <v>3052</v>
      </c>
      <c r="E4766" t="s">
        <v>3053</v>
      </c>
      <c r="F4766" t="s">
        <v>559</v>
      </c>
      <c r="G4766" t="s">
        <v>560</v>
      </c>
      <c r="H4766" t="s">
        <v>6259</v>
      </c>
      <c r="I4766">
        <v>92</v>
      </c>
      <c r="J4766">
        <v>92</v>
      </c>
      <c r="K4766">
        <v>0</v>
      </c>
      <c r="L4766">
        <v>0</v>
      </c>
      <c r="M4766">
        <v>0</v>
      </c>
      <c r="N4766">
        <v>0</v>
      </c>
      <c r="O4766">
        <v>0</v>
      </c>
    </row>
    <row r="4767" spans="1:15" x14ac:dyDescent="0.25">
      <c r="A4767" t="s">
        <v>11669</v>
      </c>
      <c r="B4767" t="s">
        <v>2579</v>
      </c>
      <c r="C4767" t="s">
        <v>923</v>
      </c>
      <c r="D4767" t="s">
        <v>3063</v>
      </c>
      <c r="E4767" t="s">
        <v>3053</v>
      </c>
      <c r="F4767" t="s">
        <v>559</v>
      </c>
      <c r="G4767" t="s">
        <v>560</v>
      </c>
      <c r="H4767" t="s">
        <v>12155</v>
      </c>
      <c r="I4767">
        <v>109</v>
      </c>
      <c r="J4767">
        <v>0</v>
      </c>
      <c r="K4767">
        <v>0</v>
      </c>
      <c r="L4767">
        <v>109</v>
      </c>
      <c r="M4767">
        <v>0</v>
      </c>
      <c r="N4767">
        <v>0</v>
      </c>
      <c r="O4767">
        <v>0</v>
      </c>
    </row>
    <row r="4768" spans="1:15" x14ac:dyDescent="0.25">
      <c r="A4768" t="s">
        <v>1195</v>
      </c>
      <c r="B4768" t="s">
        <v>2924</v>
      </c>
      <c r="C4768" t="s">
        <v>927</v>
      </c>
      <c r="D4768" t="s">
        <v>3052</v>
      </c>
      <c r="E4768" t="s">
        <v>3053</v>
      </c>
      <c r="F4768" t="s">
        <v>561</v>
      </c>
      <c r="G4768" t="s">
        <v>562</v>
      </c>
      <c r="H4768" t="s">
        <v>6260</v>
      </c>
      <c r="I4768">
        <v>2</v>
      </c>
      <c r="J4768">
        <v>0</v>
      </c>
      <c r="K4768">
        <v>0</v>
      </c>
      <c r="L4768">
        <v>2</v>
      </c>
      <c r="M4768">
        <v>0</v>
      </c>
      <c r="N4768">
        <v>0</v>
      </c>
      <c r="O4768">
        <v>0</v>
      </c>
    </row>
    <row r="4769" spans="1:15" x14ac:dyDescent="0.25">
      <c r="A4769" t="s">
        <v>9790</v>
      </c>
      <c r="B4769" t="s">
        <v>1977</v>
      </c>
      <c r="C4769" t="s">
        <v>923</v>
      </c>
      <c r="D4769" t="s">
        <v>3063</v>
      </c>
      <c r="E4769" t="s">
        <v>3053</v>
      </c>
      <c r="F4769" t="s">
        <v>561</v>
      </c>
      <c r="G4769" t="s">
        <v>562</v>
      </c>
      <c r="H4769" t="s">
        <v>12156</v>
      </c>
      <c r="I4769">
        <v>4</v>
      </c>
      <c r="J4769">
        <v>0</v>
      </c>
      <c r="K4769">
        <v>0</v>
      </c>
      <c r="L4769">
        <v>4</v>
      </c>
      <c r="M4769">
        <v>0</v>
      </c>
      <c r="N4769">
        <v>0</v>
      </c>
      <c r="O4769">
        <v>0</v>
      </c>
    </row>
    <row r="4770" spans="1:15" x14ac:dyDescent="0.25">
      <c r="A4770" t="s">
        <v>933</v>
      </c>
      <c r="B4770" t="s">
        <v>2106</v>
      </c>
      <c r="C4770" t="s">
        <v>927</v>
      </c>
      <c r="D4770" t="s">
        <v>3052</v>
      </c>
      <c r="E4770" t="s">
        <v>3053</v>
      </c>
      <c r="F4770" t="s">
        <v>561</v>
      </c>
      <c r="G4770" t="s">
        <v>562</v>
      </c>
      <c r="H4770" t="s">
        <v>6261</v>
      </c>
      <c r="I4770">
        <v>182</v>
      </c>
      <c r="J4770">
        <v>122</v>
      </c>
      <c r="K4770">
        <v>0</v>
      </c>
      <c r="L4770">
        <v>0</v>
      </c>
      <c r="M4770">
        <v>0</v>
      </c>
      <c r="N4770">
        <v>0</v>
      </c>
      <c r="O4770">
        <v>60</v>
      </c>
    </row>
    <row r="4771" spans="1:15" x14ac:dyDescent="0.25">
      <c r="A4771" t="s">
        <v>1604</v>
      </c>
      <c r="B4771" t="s">
        <v>2229</v>
      </c>
      <c r="C4771" t="s">
        <v>923</v>
      </c>
      <c r="D4771" t="s">
        <v>3063</v>
      </c>
      <c r="E4771" t="s">
        <v>3053</v>
      </c>
      <c r="F4771" t="s">
        <v>561</v>
      </c>
      <c r="G4771" t="s">
        <v>562</v>
      </c>
      <c r="H4771" t="s">
        <v>6262</v>
      </c>
      <c r="I4771">
        <v>14</v>
      </c>
      <c r="J4771">
        <v>0</v>
      </c>
      <c r="K4771">
        <v>0</v>
      </c>
      <c r="L4771">
        <v>0</v>
      </c>
      <c r="M4771">
        <v>14</v>
      </c>
      <c r="N4771">
        <v>4</v>
      </c>
      <c r="O4771">
        <v>0</v>
      </c>
    </row>
    <row r="4772" spans="1:15" x14ac:dyDescent="0.25">
      <c r="A4772" t="s">
        <v>10638</v>
      </c>
      <c r="B4772" t="s">
        <v>2057</v>
      </c>
      <c r="C4772" t="s">
        <v>927</v>
      </c>
      <c r="D4772" t="s">
        <v>3052</v>
      </c>
      <c r="E4772" t="s">
        <v>3053</v>
      </c>
      <c r="F4772" t="s">
        <v>561</v>
      </c>
      <c r="G4772" t="s">
        <v>562</v>
      </c>
      <c r="H4772" t="s">
        <v>11112</v>
      </c>
      <c r="I4772">
        <v>6</v>
      </c>
      <c r="J4772">
        <v>0</v>
      </c>
      <c r="K4772">
        <v>0</v>
      </c>
      <c r="L4772">
        <v>6</v>
      </c>
      <c r="M4772">
        <v>0</v>
      </c>
      <c r="N4772">
        <v>0</v>
      </c>
      <c r="O4772">
        <v>0</v>
      </c>
    </row>
    <row r="4773" spans="1:15" x14ac:dyDescent="0.25">
      <c r="A4773" t="s">
        <v>1008</v>
      </c>
      <c r="B4773" t="s">
        <v>2928</v>
      </c>
      <c r="C4773" t="s">
        <v>927</v>
      </c>
      <c r="D4773" t="s">
        <v>3052</v>
      </c>
      <c r="E4773" t="s">
        <v>3053</v>
      </c>
      <c r="F4773" t="s">
        <v>561</v>
      </c>
      <c r="G4773" t="s">
        <v>562</v>
      </c>
      <c r="H4773" t="s">
        <v>6263</v>
      </c>
      <c r="I4773">
        <v>2</v>
      </c>
      <c r="J4773">
        <v>2</v>
      </c>
      <c r="K4773">
        <v>0</v>
      </c>
      <c r="L4773">
        <v>0</v>
      </c>
      <c r="M4773">
        <v>0</v>
      </c>
      <c r="N4773">
        <v>0</v>
      </c>
      <c r="O4773">
        <v>0</v>
      </c>
    </row>
    <row r="4774" spans="1:15" x14ac:dyDescent="0.25">
      <c r="A4774" t="s">
        <v>1010</v>
      </c>
      <c r="B4774" t="s">
        <v>2639</v>
      </c>
      <c r="C4774" t="s">
        <v>927</v>
      </c>
      <c r="D4774" t="s">
        <v>3052</v>
      </c>
      <c r="E4774" t="s">
        <v>3053</v>
      </c>
      <c r="F4774" t="s">
        <v>561</v>
      </c>
      <c r="G4774" t="s">
        <v>562</v>
      </c>
      <c r="H4774" t="s">
        <v>6264</v>
      </c>
      <c r="I4774">
        <v>93</v>
      </c>
      <c r="J4774">
        <v>72</v>
      </c>
      <c r="K4774">
        <v>0</v>
      </c>
      <c r="L4774">
        <v>0</v>
      </c>
      <c r="M4774">
        <v>0</v>
      </c>
      <c r="N4774">
        <v>0</v>
      </c>
      <c r="O4774">
        <v>21</v>
      </c>
    </row>
    <row r="4775" spans="1:15" x14ac:dyDescent="0.25">
      <c r="A4775" t="s">
        <v>937</v>
      </c>
      <c r="B4775" t="s">
        <v>1962</v>
      </c>
      <c r="C4775" t="s">
        <v>927</v>
      </c>
      <c r="D4775" t="s">
        <v>3052</v>
      </c>
      <c r="E4775" t="s">
        <v>3053</v>
      </c>
      <c r="F4775" t="s">
        <v>561</v>
      </c>
      <c r="G4775" t="s">
        <v>562</v>
      </c>
      <c r="H4775" t="s">
        <v>11113</v>
      </c>
      <c r="I4775">
        <v>7</v>
      </c>
      <c r="J4775">
        <v>0</v>
      </c>
      <c r="K4775">
        <v>0</v>
      </c>
      <c r="L4775">
        <v>0</v>
      </c>
      <c r="M4775">
        <v>0</v>
      </c>
      <c r="N4775">
        <v>0</v>
      </c>
      <c r="O4775">
        <v>7</v>
      </c>
    </row>
    <row r="4776" spans="1:15" x14ac:dyDescent="0.25">
      <c r="A4776" t="s">
        <v>938</v>
      </c>
      <c r="B4776" t="s">
        <v>2791</v>
      </c>
      <c r="C4776" t="s">
        <v>927</v>
      </c>
      <c r="D4776" t="s">
        <v>3052</v>
      </c>
      <c r="E4776" t="s">
        <v>3053</v>
      </c>
      <c r="F4776" t="s">
        <v>561</v>
      </c>
      <c r="G4776" t="s">
        <v>562</v>
      </c>
      <c r="H4776" t="s">
        <v>6265</v>
      </c>
      <c r="I4776">
        <v>21</v>
      </c>
      <c r="J4776">
        <v>21</v>
      </c>
      <c r="K4776">
        <v>0</v>
      </c>
      <c r="L4776">
        <v>0</v>
      </c>
      <c r="M4776">
        <v>0</v>
      </c>
      <c r="N4776">
        <v>0</v>
      </c>
      <c r="O4776">
        <v>0</v>
      </c>
    </row>
    <row r="4777" spans="1:15" x14ac:dyDescent="0.25">
      <c r="A4777" t="s">
        <v>940</v>
      </c>
      <c r="B4777" t="s">
        <v>2647</v>
      </c>
      <c r="C4777" t="s">
        <v>927</v>
      </c>
      <c r="D4777" t="s">
        <v>3052</v>
      </c>
      <c r="E4777" t="s">
        <v>3053</v>
      </c>
      <c r="F4777" t="s">
        <v>561</v>
      </c>
      <c r="G4777" t="s">
        <v>562</v>
      </c>
      <c r="H4777" t="s">
        <v>6266</v>
      </c>
      <c r="I4777">
        <v>43</v>
      </c>
      <c r="J4777">
        <v>0</v>
      </c>
      <c r="K4777">
        <v>0</v>
      </c>
      <c r="L4777">
        <v>0</v>
      </c>
      <c r="M4777">
        <v>43</v>
      </c>
      <c r="N4777">
        <v>0</v>
      </c>
      <c r="O4777">
        <v>0</v>
      </c>
    </row>
    <row r="4778" spans="1:15" x14ac:dyDescent="0.25">
      <c r="A4778" t="s">
        <v>1012</v>
      </c>
      <c r="B4778" t="s">
        <v>2911</v>
      </c>
      <c r="C4778" t="s">
        <v>927</v>
      </c>
      <c r="D4778" t="s">
        <v>3052</v>
      </c>
      <c r="E4778" t="s">
        <v>3053</v>
      </c>
      <c r="F4778" t="s">
        <v>561</v>
      </c>
      <c r="G4778" t="s">
        <v>562</v>
      </c>
      <c r="H4778" t="s">
        <v>6267</v>
      </c>
      <c r="I4778">
        <v>30</v>
      </c>
      <c r="J4778">
        <v>25</v>
      </c>
      <c r="K4778">
        <v>0</v>
      </c>
      <c r="L4778">
        <v>0</v>
      </c>
      <c r="M4778">
        <v>0</v>
      </c>
      <c r="N4778">
        <v>0</v>
      </c>
      <c r="O4778">
        <v>5</v>
      </c>
    </row>
    <row r="4779" spans="1:15" x14ac:dyDescent="0.25">
      <c r="A4779" t="s">
        <v>1013</v>
      </c>
      <c r="B4779" t="s">
        <v>1959</v>
      </c>
      <c r="C4779" t="s">
        <v>927</v>
      </c>
      <c r="D4779" t="s">
        <v>3052</v>
      </c>
      <c r="E4779" t="s">
        <v>3053</v>
      </c>
      <c r="F4779" t="s">
        <v>561</v>
      </c>
      <c r="G4779" t="s">
        <v>562</v>
      </c>
      <c r="H4779" t="s">
        <v>6268</v>
      </c>
      <c r="I4779">
        <v>10</v>
      </c>
      <c r="J4779">
        <v>0</v>
      </c>
      <c r="K4779">
        <v>0</v>
      </c>
      <c r="L4779">
        <v>10</v>
      </c>
      <c r="M4779">
        <v>0</v>
      </c>
      <c r="N4779">
        <v>0</v>
      </c>
      <c r="O4779">
        <v>0</v>
      </c>
    </row>
    <row r="4780" spans="1:15" x14ac:dyDescent="0.25">
      <c r="A4780" t="s">
        <v>10667</v>
      </c>
      <c r="B4780" t="s">
        <v>10666</v>
      </c>
      <c r="C4780" t="s">
        <v>927</v>
      </c>
      <c r="D4780" t="s">
        <v>3052</v>
      </c>
      <c r="E4780" t="s">
        <v>3053</v>
      </c>
      <c r="F4780" t="s">
        <v>561</v>
      </c>
      <c r="G4780" t="s">
        <v>562</v>
      </c>
      <c r="H4780" t="s">
        <v>12157</v>
      </c>
      <c r="I4780">
        <v>15</v>
      </c>
      <c r="J4780">
        <v>15</v>
      </c>
      <c r="K4780">
        <v>0</v>
      </c>
      <c r="L4780">
        <v>0</v>
      </c>
      <c r="M4780">
        <v>0</v>
      </c>
      <c r="N4780">
        <v>0</v>
      </c>
      <c r="O4780">
        <v>0</v>
      </c>
    </row>
    <row r="4781" spans="1:15" x14ac:dyDescent="0.25">
      <c r="A4781" t="s">
        <v>1126</v>
      </c>
      <c r="B4781" t="s">
        <v>2130</v>
      </c>
      <c r="C4781" t="s">
        <v>927</v>
      </c>
      <c r="D4781" t="s">
        <v>3052</v>
      </c>
      <c r="E4781" t="s">
        <v>3053</v>
      </c>
      <c r="F4781" t="s">
        <v>561</v>
      </c>
      <c r="G4781" t="s">
        <v>562</v>
      </c>
      <c r="H4781" t="s">
        <v>11114</v>
      </c>
      <c r="I4781">
        <v>33</v>
      </c>
      <c r="J4781">
        <v>8</v>
      </c>
      <c r="K4781">
        <v>0</v>
      </c>
      <c r="L4781">
        <v>0</v>
      </c>
      <c r="M4781">
        <v>0</v>
      </c>
      <c r="N4781">
        <v>0</v>
      </c>
      <c r="O4781">
        <v>25</v>
      </c>
    </row>
    <row r="4782" spans="1:15" x14ac:dyDescent="0.25">
      <c r="A4782" t="s">
        <v>1020</v>
      </c>
      <c r="B4782" t="s">
        <v>2104</v>
      </c>
      <c r="C4782" t="s">
        <v>923</v>
      </c>
      <c r="D4782" t="s">
        <v>3063</v>
      </c>
      <c r="E4782" t="s">
        <v>3053</v>
      </c>
      <c r="F4782" t="s">
        <v>561</v>
      </c>
      <c r="G4782" t="s">
        <v>562</v>
      </c>
      <c r="H4782" t="s">
        <v>12158</v>
      </c>
      <c r="I4782">
        <v>1</v>
      </c>
      <c r="J4782">
        <v>0</v>
      </c>
      <c r="K4782">
        <v>0</v>
      </c>
      <c r="L4782">
        <v>1</v>
      </c>
      <c r="M4782">
        <v>0</v>
      </c>
      <c r="N4782">
        <v>0</v>
      </c>
      <c r="O4782">
        <v>0</v>
      </c>
    </row>
    <row r="4783" spans="1:15" x14ac:dyDescent="0.25">
      <c r="A4783" t="s">
        <v>1025</v>
      </c>
      <c r="B4783" t="s">
        <v>2893</v>
      </c>
      <c r="C4783" t="s">
        <v>927</v>
      </c>
      <c r="D4783" t="s">
        <v>3052</v>
      </c>
      <c r="E4783" t="s">
        <v>3053</v>
      </c>
      <c r="F4783" t="s">
        <v>561</v>
      </c>
      <c r="G4783" t="s">
        <v>562</v>
      </c>
      <c r="H4783" t="s">
        <v>6269</v>
      </c>
      <c r="I4783">
        <v>3</v>
      </c>
      <c r="J4783">
        <v>0</v>
      </c>
      <c r="K4783">
        <v>0</v>
      </c>
      <c r="L4783">
        <v>0</v>
      </c>
      <c r="M4783">
        <v>0</v>
      </c>
      <c r="N4783">
        <v>0</v>
      </c>
      <c r="O4783">
        <v>3</v>
      </c>
    </row>
    <row r="4784" spans="1:15" x14ac:dyDescent="0.25">
      <c r="A4784" t="s">
        <v>1628</v>
      </c>
      <c r="B4784" t="s">
        <v>2851</v>
      </c>
      <c r="C4784" t="s">
        <v>927</v>
      </c>
      <c r="D4784" t="s">
        <v>3052</v>
      </c>
      <c r="E4784" t="s">
        <v>3053</v>
      </c>
      <c r="F4784" t="s">
        <v>561</v>
      </c>
      <c r="G4784" t="s">
        <v>562</v>
      </c>
      <c r="H4784" t="s">
        <v>6270</v>
      </c>
      <c r="I4784">
        <v>30</v>
      </c>
      <c r="J4784">
        <v>0</v>
      </c>
      <c r="K4784">
        <v>0</v>
      </c>
      <c r="L4784">
        <v>0</v>
      </c>
      <c r="M4784">
        <v>0</v>
      </c>
      <c r="N4784">
        <v>0</v>
      </c>
      <c r="O4784">
        <v>30</v>
      </c>
    </row>
    <row r="4785" spans="1:15" x14ac:dyDescent="0.25">
      <c r="A4785" t="s">
        <v>945</v>
      </c>
      <c r="B4785" t="s">
        <v>2668</v>
      </c>
      <c r="C4785" t="s">
        <v>927</v>
      </c>
      <c r="D4785" t="s">
        <v>3052</v>
      </c>
      <c r="E4785" t="s">
        <v>3053</v>
      </c>
      <c r="F4785" t="s">
        <v>561</v>
      </c>
      <c r="G4785" t="s">
        <v>562</v>
      </c>
      <c r="H4785" t="s">
        <v>6271</v>
      </c>
      <c r="I4785">
        <v>3</v>
      </c>
      <c r="J4785">
        <v>1</v>
      </c>
      <c r="K4785">
        <v>0</v>
      </c>
      <c r="L4785">
        <v>0</v>
      </c>
      <c r="M4785">
        <v>0</v>
      </c>
      <c r="N4785">
        <v>0</v>
      </c>
      <c r="O4785">
        <v>2</v>
      </c>
    </row>
    <row r="4786" spans="1:15" x14ac:dyDescent="0.25">
      <c r="A4786" t="s">
        <v>9827</v>
      </c>
      <c r="B4786" t="s">
        <v>2208</v>
      </c>
      <c r="C4786" t="s">
        <v>923</v>
      </c>
      <c r="D4786" t="s">
        <v>3063</v>
      </c>
      <c r="E4786" t="s">
        <v>3053</v>
      </c>
      <c r="F4786" t="s">
        <v>561</v>
      </c>
      <c r="G4786" t="s">
        <v>562</v>
      </c>
      <c r="H4786" t="s">
        <v>10227</v>
      </c>
      <c r="I4786">
        <v>41</v>
      </c>
      <c r="J4786">
        <v>0</v>
      </c>
      <c r="K4786">
        <v>0</v>
      </c>
      <c r="L4786">
        <v>0</v>
      </c>
      <c r="M4786">
        <v>41</v>
      </c>
      <c r="N4786">
        <v>0</v>
      </c>
      <c r="O4786">
        <v>0</v>
      </c>
    </row>
    <row r="4787" spans="1:15" x14ac:dyDescent="0.25">
      <c r="A4787" t="s">
        <v>1041</v>
      </c>
      <c r="B4787" t="s">
        <v>2826</v>
      </c>
      <c r="C4787" t="s">
        <v>927</v>
      </c>
      <c r="D4787" t="s">
        <v>3052</v>
      </c>
      <c r="E4787" t="s">
        <v>3053</v>
      </c>
      <c r="F4787" t="s">
        <v>561</v>
      </c>
      <c r="G4787" t="s">
        <v>562</v>
      </c>
      <c r="H4787" t="s">
        <v>6272</v>
      </c>
      <c r="I4787">
        <v>35</v>
      </c>
      <c r="J4787">
        <v>0</v>
      </c>
      <c r="K4787">
        <v>0</v>
      </c>
      <c r="L4787">
        <v>0</v>
      </c>
      <c r="M4787">
        <v>0</v>
      </c>
      <c r="N4787">
        <v>0</v>
      </c>
      <c r="O4787">
        <v>35</v>
      </c>
    </row>
    <row r="4788" spans="1:15" x14ac:dyDescent="0.25">
      <c r="A4788" t="s">
        <v>9787</v>
      </c>
      <c r="B4788" t="s">
        <v>2822</v>
      </c>
      <c r="C4788" t="s">
        <v>927</v>
      </c>
      <c r="D4788" t="s">
        <v>3052</v>
      </c>
      <c r="E4788" t="s">
        <v>3053</v>
      </c>
      <c r="F4788" t="s">
        <v>561</v>
      </c>
      <c r="G4788" t="s">
        <v>562</v>
      </c>
      <c r="H4788" t="s">
        <v>10262</v>
      </c>
      <c r="I4788">
        <v>53</v>
      </c>
      <c r="J4788">
        <v>46</v>
      </c>
      <c r="K4788">
        <v>0</v>
      </c>
      <c r="L4788">
        <v>7</v>
      </c>
      <c r="M4788">
        <v>0</v>
      </c>
      <c r="N4788">
        <v>2</v>
      </c>
      <c r="O4788">
        <v>0</v>
      </c>
    </row>
    <row r="4789" spans="1:15" x14ac:dyDescent="0.25">
      <c r="A4789" t="s">
        <v>11707</v>
      </c>
      <c r="B4789" t="s">
        <v>2743</v>
      </c>
      <c r="C4789" t="s">
        <v>923</v>
      </c>
      <c r="D4789" t="s">
        <v>3063</v>
      </c>
      <c r="E4789" t="s">
        <v>3053</v>
      </c>
      <c r="F4789" t="s">
        <v>561</v>
      </c>
      <c r="G4789" t="s">
        <v>562</v>
      </c>
      <c r="H4789" t="s">
        <v>12159</v>
      </c>
      <c r="I4789">
        <v>17</v>
      </c>
      <c r="J4789">
        <v>0</v>
      </c>
      <c r="K4789">
        <v>0</v>
      </c>
      <c r="L4789">
        <v>0</v>
      </c>
      <c r="M4789">
        <v>17</v>
      </c>
      <c r="N4789">
        <v>0</v>
      </c>
      <c r="O4789">
        <v>0</v>
      </c>
    </row>
    <row r="4790" spans="1:15" x14ac:dyDescent="0.25">
      <c r="A4790" t="s">
        <v>951</v>
      </c>
      <c r="B4790" t="s">
        <v>2680</v>
      </c>
      <c r="C4790" t="s">
        <v>927</v>
      </c>
      <c r="D4790" t="s">
        <v>3052</v>
      </c>
      <c r="E4790" t="s">
        <v>3053</v>
      </c>
      <c r="F4790" t="s">
        <v>561</v>
      </c>
      <c r="G4790" t="s">
        <v>562</v>
      </c>
      <c r="H4790" t="s">
        <v>6273</v>
      </c>
      <c r="I4790">
        <v>69</v>
      </c>
      <c r="J4790">
        <v>69</v>
      </c>
      <c r="K4790">
        <v>0</v>
      </c>
      <c r="L4790">
        <v>0</v>
      </c>
      <c r="M4790">
        <v>0</v>
      </c>
      <c r="N4790">
        <v>0</v>
      </c>
      <c r="O4790">
        <v>0</v>
      </c>
    </row>
    <row r="4791" spans="1:15" x14ac:dyDescent="0.25">
      <c r="A4791" t="s">
        <v>1331</v>
      </c>
      <c r="B4791" t="s">
        <v>2856</v>
      </c>
      <c r="C4791" t="s">
        <v>927</v>
      </c>
      <c r="D4791" t="s">
        <v>3052</v>
      </c>
      <c r="E4791" t="s">
        <v>3053</v>
      </c>
      <c r="F4791" t="s">
        <v>561</v>
      </c>
      <c r="G4791" t="s">
        <v>562</v>
      </c>
      <c r="H4791" t="s">
        <v>6274</v>
      </c>
      <c r="I4791">
        <v>22</v>
      </c>
      <c r="J4791">
        <v>6</v>
      </c>
      <c r="K4791">
        <v>0</v>
      </c>
      <c r="L4791">
        <v>0</v>
      </c>
      <c r="M4791">
        <v>0</v>
      </c>
      <c r="N4791">
        <v>0</v>
      </c>
      <c r="O4791">
        <v>16</v>
      </c>
    </row>
    <row r="4792" spans="1:15" x14ac:dyDescent="0.25">
      <c r="A4792" t="s">
        <v>11720</v>
      </c>
      <c r="B4792" t="s">
        <v>10718</v>
      </c>
      <c r="C4792" t="s">
        <v>927</v>
      </c>
      <c r="D4792" t="s">
        <v>3052</v>
      </c>
      <c r="E4792" t="s">
        <v>3053</v>
      </c>
      <c r="F4792" t="s">
        <v>561</v>
      </c>
      <c r="G4792" t="s">
        <v>562</v>
      </c>
      <c r="H4792" t="s">
        <v>14877</v>
      </c>
      <c r="I4792">
        <v>71</v>
      </c>
      <c r="J4792">
        <v>54</v>
      </c>
      <c r="K4792">
        <v>0</v>
      </c>
      <c r="L4792">
        <v>0</v>
      </c>
      <c r="M4792">
        <v>0</v>
      </c>
      <c r="N4792">
        <v>0</v>
      </c>
      <c r="O4792">
        <v>17</v>
      </c>
    </row>
    <row r="4793" spans="1:15" x14ac:dyDescent="0.25">
      <c r="A4793" t="s">
        <v>9788</v>
      </c>
      <c r="B4793" t="s">
        <v>9871</v>
      </c>
      <c r="C4793" t="s">
        <v>927</v>
      </c>
      <c r="D4793" t="s">
        <v>3052</v>
      </c>
      <c r="E4793" t="s">
        <v>3053</v>
      </c>
      <c r="F4793" t="s">
        <v>561</v>
      </c>
      <c r="G4793" t="s">
        <v>562</v>
      </c>
      <c r="H4793" t="s">
        <v>10361</v>
      </c>
      <c r="I4793">
        <v>66</v>
      </c>
      <c r="J4793">
        <v>66</v>
      </c>
      <c r="K4793">
        <v>0</v>
      </c>
      <c r="L4793">
        <v>0</v>
      </c>
      <c r="M4793">
        <v>0</v>
      </c>
      <c r="N4793">
        <v>0</v>
      </c>
      <c r="O4793">
        <v>0</v>
      </c>
    </row>
    <row r="4794" spans="1:15" x14ac:dyDescent="0.25">
      <c r="A4794" t="s">
        <v>1056</v>
      </c>
      <c r="B4794" t="s">
        <v>2966</v>
      </c>
      <c r="C4794" t="s">
        <v>927</v>
      </c>
      <c r="D4794" t="s">
        <v>3052</v>
      </c>
      <c r="E4794" t="s">
        <v>3053</v>
      </c>
      <c r="F4794" t="s">
        <v>561</v>
      </c>
      <c r="G4794" t="s">
        <v>562</v>
      </c>
      <c r="H4794" t="s">
        <v>6275</v>
      </c>
      <c r="I4794">
        <v>42</v>
      </c>
      <c r="J4794">
        <v>0</v>
      </c>
      <c r="K4794">
        <v>0</v>
      </c>
      <c r="L4794">
        <v>42</v>
      </c>
      <c r="M4794">
        <v>0</v>
      </c>
      <c r="N4794">
        <v>0</v>
      </c>
      <c r="O4794">
        <v>0</v>
      </c>
    </row>
    <row r="4795" spans="1:15" x14ac:dyDescent="0.25">
      <c r="A4795" t="s">
        <v>955</v>
      </c>
      <c r="B4795" t="s">
        <v>2660</v>
      </c>
      <c r="C4795" t="s">
        <v>927</v>
      </c>
      <c r="D4795" t="s">
        <v>3052</v>
      </c>
      <c r="E4795" t="s">
        <v>3053</v>
      </c>
      <c r="F4795" t="s">
        <v>561</v>
      </c>
      <c r="G4795" t="s">
        <v>562</v>
      </c>
      <c r="H4795" t="s">
        <v>6276</v>
      </c>
      <c r="I4795">
        <v>5</v>
      </c>
      <c r="J4795">
        <v>5</v>
      </c>
      <c r="K4795">
        <v>0</v>
      </c>
      <c r="L4795">
        <v>0</v>
      </c>
      <c r="M4795">
        <v>0</v>
      </c>
      <c r="N4795">
        <v>0</v>
      </c>
      <c r="O4795">
        <v>0</v>
      </c>
    </row>
    <row r="4796" spans="1:15" x14ac:dyDescent="0.25">
      <c r="A4796" t="s">
        <v>1654</v>
      </c>
      <c r="B4796" t="s">
        <v>2850</v>
      </c>
      <c r="C4796" t="s">
        <v>927</v>
      </c>
      <c r="D4796" t="s">
        <v>3052</v>
      </c>
      <c r="E4796" t="s">
        <v>3053</v>
      </c>
      <c r="F4796" t="s">
        <v>561</v>
      </c>
      <c r="G4796" t="s">
        <v>562</v>
      </c>
      <c r="H4796" t="s">
        <v>6277</v>
      </c>
      <c r="I4796">
        <v>74</v>
      </c>
      <c r="J4796">
        <v>24</v>
      </c>
      <c r="K4796">
        <v>0</v>
      </c>
      <c r="L4796">
        <v>9</v>
      </c>
      <c r="M4796">
        <v>30</v>
      </c>
      <c r="N4796">
        <v>0</v>
      </c>
      <c r="O4796">
        <v>11</v>
      </c>
    </row>
    <row r="4797" spans="1:15" x14ac:dyDescent="0.25">
      <c r="A4797" t="s">
        <v>1661</v>
      </c>
      <c r="B4797" t="s">
        <v>2764</v>
      </c>
      <c r="C4797" t="s">
        <v>923</v>
      </c>
      <c r="D4797" t="s">
        <v>3063</v>
      </c>
      <c r="E4797" t="s">
        <v>3053</v>
      </c>
      <c r="F4797" t="s">
        <v>561</v>
      </c>
      <c r="G4797" t="s">
        <v>562</v>
      </c>
      <c r="H4797" t="s">
        <v>6278</v>
      </c>
      <c r="I4797">
        <v>57</v>
      </c>
      <c r="J4797">
        <v>0</v>
      </c>
      <c r="K4797">
        <v>0</v>
      </c>
      <c r="L4797">
        <v>57</v>
      </c>
      <c r="M4797">
        <v>0</v>
      </c>
      <c r="N4797">
        <v>0</v>
      </c>
      <c r="O4797">
        <v>0</v>
      </c>
    </row>
    <row r="4798" spans="1:15" x14ac:dyDescent="0.25">
      <c r="A4798" t="s">
        <v>11663</v>
      </c>
      <c r="B4798" t="s">
        <v>11768</v>
      </c>
      <c r="C4798" t="s">
        <v>927</v>
      </c>
      <c r="D4798" t="s">
        <v>3052</v>
      </c>
      <c r="E4798" t="s">
        <v>3053</v>
      </c>
      <c r="F4798" t="s">
        <v>561</v>
      </c>
      <c r="G4798" t="s">
        <v>562</v>
      </c>
      <c r="H4798" t="s">
        <v>12160</v>
      </c>
      <c r="I4798">
        <v>637</v>
      </c>
      <c r="J4798">
        <v>440</v>
      </c>
      <c r="K4798">
        <v>0</v>
      </c>
      <c r="L4798">
        <v>6</v>
      </c>
      <c r="M4798">
        <v>93</v>
      </c>
      <c r="N4798">
        <v>0</v>
      </c>
      <c r="O4798">
        <v>98</v>
      </c>
    </row>
    <row r="4799" spans="1:15" x14ac:dyDescent="0.25">
      <c r="A4799" t="s">
        <v>14374</v>
      </c>
      <c r="B4799" t="s">
        <v>1943</v>
      </c>
      <c r="C4799" t="s">
        <v>927</v>
      </c>
      <c r="D4799" t="s">
        <v>3052</v>
      </c>
      <c r="E4799" t="s">
        <v>3053</v>
      </c>
      <c r="F4799" t="s">
        <v>561</v>
      </c>
      <c r="G4799" t="s">
        <v>562</v>
      </c>
      <c r="H4799" t="s">
        <v>14878</v>
      </c>
      <c r="I4799">
        <v>37</v>
      </c>
      <c r="J4799">
        <v>0</v>
      </c>
      <c r="K4799">
        <v>0</v>
      </c>
      <c r="L4799">
        <v>0</v>
      </c>
      <c r="M4799">
        <v>0</v>
      </c>
      <c r="N4799">
        <v>0</v>
      </c>
      <c r="O4799">
        <v>37</v>
      </c>
    </row>
    <row r="4800" spans="1:15" x14ac:dyDescent="0.25">
      <c r="A4800" t="s">
        <v>962</v>
      </c>
      <c r="B4800" t="s">
        <v>2752</v>
      </c>
      <c r="C4800" t="s">
        <v>927</v>
      </c>
      <c r="D4800" t="s">
        <v>3052</v>
      </c>
      <c r="E4800" t="s">
        <v>3053</v>
      </c>
      <c r="F4800" t="s">
        <v>561</v>
      </c>
      <c r="G4800" t="s">
        <v>562</v>
      </c>
      <c r="H4800" t="s">
        <v>11115</v>
      </c>
      <c r="I4800">
        <v>185</v>
      </c>
      <c r="J4800">
        <v>89</v>
      </c>
      <c r="K4800">
        <v>0</v>
      </c>
      <c r="L4800">
        <v>0</v>
      </c>
      <c r="M4800">
        <v>0</v>
      </c>
      <c r="N4800">
        <v>0</v>
      </c>
      <c r="O4800">
        <v>96</v>
      </c>
    </row>
    <row r="4801" spans="1:15" x14ac:dyDescent="0.25">
      <c r="A4801" t="s">
        <v>11709</v>
      </c>
      <c r="B4801" t="s">
        <v>2913</v>
      </c>
      <c r="C4801" t="s">
        <v>923</v>
      </c>
      <c r="D4801" t="s">
        <v>3063</v>
      </c>
      <c r="E4801" t="s">
        <v>3053</v>
      </c>
      <c r="F4801" t="s">
        <v>561</v>
      </c>
      <c r="G4801" t="s">
        <v>562</v>
      </c>
      <c r="H4801" t="s">
        <v>12161</v>
      </c>
      <c r="I4801">
        <v>134</v>
      </c>
      <c r="J4801">
        <v>0</v>
      </c>
      <c r="K4801">
        <v>0</v>
      </c>
      <c r="L4801">
        <v>0</v>
      </c>
      <c r="M4801">
        <v>134</v>
      </c>
      <c r="N4801">
        <v>0</v>
      </c>
      <c r="O4801">
        <v>0</v>
      </c>
    </row>
    <row r="4802" spans="1:15" x14ac:dyDescent="0.25">
      <c r="A4802" t="s">
        <v>1669</v>
      </c>
      <c r="B4802" t="s">
        <v>2576</v>
      </c>
      <c r="C4802" t="s">
        <v>923</v>
      </c>
      <c r="D4802" t="s">
        <v>3063</v>
      </c>
      <c r="E4802" t="s">
        <v>3053</v>
      </c>
      <c r="F4802" t="s">
        <v>561</v>
      </c>
      <c r="G4802" t="s">
        <v>562</v>
      </c>
      <c r="H4802" t="s">
        <v>6279</v>
      </c>
      <c r="I4802">
        <v>9</v>
      </c>
      <c r="J4802">
        <v>0</v>
      </c>
      <c r="K4802">
        <v>0</v>
      </c>
      <c r="L4802">
        <v>9</v>
      </c>
      <c r="M4802">
        <v>0</v>
      </c>
      <c r="N4802">
        <v>0</v>
      </c>
      <c r="O4802">
        <v>0</v>
      </c>
    </row>
    <row r="4803" spans="1:15" x14ac:dyDescent="0.25">
      <c r="A4803" t="s">
        <v>1069</v>
      </c>
      <c r="B4803" t="s">
        <v>2001</v>
      </c>
      <c r="C4803" t="s">
        <v>927</v>
      </c>
      <c r="D4803" t="s">
        <v>3052</v>
      </c>
      <c r="E4803" t="s">
        <v>3053</v>
      </c>
      <c r="F4803" t="s">
        <v>561</v>
      </c>
      <c r="G4803" t="s">
        <v>562</v>
      </c>
      <c r="H4803" t="s">
        <v>6280</v>
      </c>
      <c r="I4803">
        <v>411</v>
      </c>
      <c r="J4803">
        <v>256</v>
      </c>
      <c r="K4803">
        <v>0</v>
      </c>
      <c r="L4803">
        <v>0</v>
      </c>
      <c r="M4803">
        <v>70</v>
      </c>
      <c r="N4803">
        <v>0</v>
      </c>
      <c r="O4803">
        <v>85</v>
      </c>
    </row>
    <row r="4804" spans="1:15" x14ac:dyDescent="0.25">
      <c r="A4804" t="s">
        <v>1195</v>
      </c>
      <c r="B4804" t="s">
        <v>2924</v>
      </c>
      <c r="C4804" t="s">
        <v>927</v>
      </c>
      <c r="D4804" t="s">
        <v>3052</v>
      </c>
      <c r="E4804" t="s">
        <v>3053</v>
      </c>
      <c r="F4804" t="s">
        <v>563</v>
      </c>
      <c r="G4804" t="s">
        <v>564</v>
      </c>
      <c r="H4804" t="s">
        <v>6281</v>
      </c>
      <c r="I4804">
        <v>29</v>
      </c>
      <c r="J4804">
        <v>29</v>
      </c>
      <c r="K4804">
        <v>0</v>
      </c>
      <c r="L4804">
        <v>0</v>
      </c>
      <c r="M4804">
        <v>0</v>
      </c>
      <c r="N4804">
        <v>0</v>
      </c>
      <c r="O4804">
        <v>0</v>
      </c>
    </row>
    <row r="4805" spans="1:15" x14ac:dyDescent="0.25">
      <c r="A4805" t="s">
        <v>929</v>
      </c>
      <c r="B4805" t="s">
        <v>2999</v>
      </c>
      <c r="C4805" t="s">
        <v>927</v>
      </c>
      <c r="D4805" t="s">
        <v>3052</v>
      </c>
      <c r="E4805" t="s">
        <v>3053</v>
      </c>
      <c r="F4805" t="s">
        <v>563</v>
      </c>
      <c r="G4805" t="s">
        <v>564</v>
      </c>
      <c r="H4805" t="s">
        <v>6282</v>
      </c>
      <c r="I4805">
        <v>68</v>
      </c>
      <c r="J4805">
        <v>0</v>
      </c>
      <c r="K4805">
        <v>0</v>
      </c>
      <c r="L4805">
        <v>0</v>
      </c>
      <c r="M4805">
        <v>68</v>
      </c>
      <c r="N4805">
        <v>0</v>
      </c>
      <c r="O4805">
        <v>0</v>
      </c>
    </row>
    <row r="4806" spans="1:15" x14ac:dyDescent="0.25">
      <c r="A4806" t="s">
        <v>1087</v>
      </c>
      <c r="B4806" t="s">
        <v>2979</v>
      </c>
      <c r="C4806" t="s">
        <v>923</v>
      </c>
      <c r="D4806" t="s">
        <v>3063</v>
      </c>
      <c r="E4806" t="s">
        <v>3053</v>
      </c>
      <c r="F4806" t="s">
        <v>563</v>
      </c>
      <c r="G4806" t="s">
        <v>564</v>
      </c>
      <c r="H4806" t="s">
        <v>6283</v>
      </c>
      <c r="I4806">
        <v>8</v>
      </c>
      <c r="J4806">
        <v>8</v>
      </c>
      <c r="K4806">
        <v>0</v>
      </c>
      <c r="L4806">
        <v>0</v>
      </c>
      <c r="M4806">
        <v>0</v>
      </c>
      <c r="N4806">
        <v>4</v>
      </c>
      <c r="O4806">
        <v>0</v>
      </c>
    </row>
    <row r="4807" spans="1:15" x14ac:dyDescent="0.25">
      <c r="A4807" t="s">
        <v>1094</v>
      </c>
      <c r="B4807" t="s">
        <v>2742</v>
      </c>
      <c r="C4807" t="s">
        <v>923</v>
      </c>
      <c r="D4807" t="s">
        <v>3063</v>
      </c>
      <c r="E4807" t="s">
        <v>3053</v>
      </c>
      <c r="F4807" t="s">
        <v>563</v>
      </c>
      <c r="G4807" t="s">
        <v>564</v>
      </c>
      <c r="H4807" t="s">
        <v>11116</v>
      </c>
      <c r="I4807">
        <v>4</v>
      </c>
      <c r="J4807">
        <v>0</v>
      </c>
      <c r="K4807">
        <v>0</v>
      </c>
      <c r="L4807">
        <v>4</v>
      </c>
      <c r="M4807">
        <v>0</v>
      </c>
      <c r="N4807">
        <v>0</v>
      </c>
      <c r="O4807">
        <v>0</v>
      </c>
    </row>
    <row r="4808" spans="1:15" x14ac:dyDescent="0.25">
      <c r="A4808" t="s">
        <v>11674</v>
      </c>
      <c r="B4808" t="s">
        <v>11739</v>
      </c>
      <c r="C4808" t="s">
        <v>923</v>
      </c>
      <c r="D4808" t="s">
        <v>3063</v>
      </c>
      <c r="E4808" t="s">
        <v>3053</v>
      </c>
      <c r="F4808" t="s">
        <v>563</v>
      </c>
      <c r="G4808" t="s">
        <v>564</v>
      </c>
      <c r="H4808" t="s">
        <v>12162</v>
      </c>
      <c r="I4808">
        <v>90</v>
      </c>
      <c r="J4808">
        <v>90</v>
      </c>
      <c r="K4808">
        <v>0</v>
      </c>
      <c r="L4808">
        <v>0</v>
      </c>
      <c r="M4808">
        <v>0</v>
      </c>
      <c r="N4808">
        <v>0</v>
      </c>
      <c r="O4808">
        <v>0</v>
      </c>
    </row>
    <row r="4809" spans="1:15" x14ac:dyDescent="0.25">
      <c r="A4809" t="s">
        <v>1219</v>
      </c>
      <c r="B4809" t="s">
        <v>2569</v>
      </c>
      <c r="C4809" t="s">
        <v>923</v>
      </c>
      <c r="D4809" t="s">
        <v>3063</v>
      </c>
      <c r="E4809" t="s">
        <v>3053</v>
      </c>
      <c r="F4809" t="s">
        <v>563</v>
      </c>
      <c r="G4809" t="s">
        <v>564</v>
      </c>
      <c r="H4809" t="s">
        <v>6284</v>
      </c>
      <c r="I4809">
        <v>20</v>
      </c>
      <c r="J4809">
        <v>16</v>
      </c>
      <c r="K4809">
        <v>4</v>
      </c>
      <c r="L4809">
        <v>0</v>
      </c>
      <c r="M4809">
        <v>0</v>
      </c>
      <c r="N4809">
        <v>0</v>
      </c>
      <c r="O4809">
        <v>0</v>
      </c>
    </row>
    <row r="4810" spans="1:15" x14ac:dyDescent="0.25">
      <c r="A4810" t="s">
        <v>1102</v>
      </c>
      <c r="B4810" t="s">
        <v>2801</v>
      </c>
      <c r="C4810" t="s">
        <v>923</v>
      </c>
      <c r="D4810" t="s">
        <v>3063</v>
      </c>
      <c r="E4810" t="s">
        <v>3053</v>
      </c>
      <c r="F4810" t="s">
        <v>563</v>
      </c>
      <c r="G4810" t="s">
        <v>564</v>
      </c>
      <c r="H4810" t="s">
        <v>6285</v>
      </c>
      <c r="I4810">
        <v>141</v>
      </c>
      <c r="J4810">
        <v>122</v>
      </c>
      <c r="K4810">
        <v>19</v>
      </c>
      <c r="L4810">
        <v>0</v>
      </c>
      <c r="M4810">
        <v>0</v>
      </c>
      <c r="N4810">
        <v>0</v>
      </c>
      <c r="O4810">
        <v>0</v>
      </c>
    </row>
    <row r="4811" spans="1:15" x14ac:dyDescent="0.25">
      <c r="A4811" t="s">
        <v>1223</v>
      </c>
      <c r="B4811" t="s">
        <v>2756</v>
      </c>
      <c r="C4811" t="s">
        <v>923</v>
      </c>
      <c r="D4811" t="s">
        <v>3063</v>
      </c>
      <c r="E4811" t="s">
        <v>3053</v>
      </c>
      <c r="F4811" t="s">
        <v>563</v>
      </c>
      <c r="G4811" t="s">
        <v>564</v>
      </c>
      <c r="H4811" t="s">
        <v>6286</v>
      </c>
      <c r="I4811">
        <v>16</v>
      </c>
      <c r="J4811">
        <v>0</v>
      </c>
      <c r="K4811">
        <v>0</v>
      </c>
      <c r="L4811">
        <v>0</v>
      </c>
      <c r="M4811">
        <v>16</v>
      </c>
      <c r="N4811">
        <v>0</v>
      </c>
      <c r="O4811">
        <v>0</v>
      </c>
    </row>
    <row r="4812" spans="1:15" x14ac:dyDescent="0.25">
      <c r="A4812" t="s">
        <v>933</v>
      </c>
      <c r="B4812" t="s">
        <v>2106</v>
      </c>
      <c r="C4812" t="s">
        <v>927</v>
      </c>
      <c r="D4812" t="s">
        <v>3052</v>
      </c>
      <c r="E4812" t="s">
        <v>3053</v>
      </c>
      <c r="F4812" t="s">
        <v>563</v>
      </c>
      <c r="G4812" t="s">
        <v>564</v>
      </c>
      <c r="H4812" t="s">
        <v>6287</v>
      </c>
      <c r="I4812">
        <v>1059</v>
      </c>
      <c r="J4812">
        <v>701</v>
      </c>
      <c r="K4812">
        <v>0</v>
      </c>
      <c r="L4812">
        <v>0</v>
      </c>
      <c r="M4812">
        <v>111</v>
      </c>
      <c r="N4812">
        <v>0</v>
      </c>
      <c r="O4812">
        <v>247</v>
      </c>
    </row>
    <row r="4813" spans="1:15" x14ac:dyDescent="0.25">
      <c r="A4813" t="s">
        <v>1474</v>
      </c>
      <c r="B4813" t="s">
        <v>2038</v>
      </c>
      <c r="C4813" t="s">
        <v>923</v>
      </c>
      <c r="D4813" t="s">
        <v>3063</v>
      </c>
      <c r="E4813" t="s">
        <v>3053</v>
      </c>
      <c r="F4813" t="s">
        <v>563</v>
      </c>
      <c r="G4813" t="s">
        <v>564</v>
      </c>
      <c r="H4813" t="s">
        <v>10031</v>
      </c>
      <c r="I4813">
        <v>28</v>
      </c>
      <c r="J4813">
        <v>0</v>
      </c>
      <c r="K4813">
        <v>28</v>
      </c>
      <c r="L4813">
        <v>0</v>
      </c>
      <c r="M4813">
        <v>0</v>
      </c>
      <c r="N4813">
        <v>28</v>
      </c>
      <c r="O4813">
        <v>0</v>
      </c>
    </row>
    <row r="4814" spans="1:15" x14ac:dyDescent="0.25">
      <c r="A4814" t="s">
        <v>1227</v>
      </c>
      <c r="B4814" t="s">
        <v>2023</v>
      </c>
      <c r="C4814" t="s">
        <v>923</v>
      </c>
      <c r="D4814" t="s">
        <v>3063</v>
      </c>
      <c r="E4814" t="s">
        <v>3053</v>
      </c>
      <c r="F4814" t="s">
        <v>563</v>
      </c>
      <c r="G4814" t="s">
        <v>564</v>
      </c>
      <c r="H4814" t="s">
        <v>11117</v>
      </c>
      <c r="I4814">
        <v>5</v>
      </c>
      <c r="J4814">
        <v>5</v>
      </c>
      <c r="K4814">
        <v>0</v>
      </c>
      <c r="L4814">
        <v>0</v>
      </c>
      <c r="M4814">
        <v>0</v>
      </c>
      <c r="N4814">
        <v>0</v>
      </c>
      <c r="O4814">
        <v>0</v>
      </c>
    </row>
    <row r="4815" spans="1:15" x14ac:dyDescent="0.25">
      <c r="A4815" t="s">
        <v>1233</v>
      </c>
      <c r="B4815" t="s">
        <v>2485</v>
      </c>
      <c r="C4815" t="s">
        <v>923</v>
      </c>
      <c r="D4815" t="s">
        <v>3063</v>
      </c>
      <c r="E4815" t="s">
        <v>3053</v>
      </c>
      <c r="F4815" t="s">
        <v>563</v>
      </c>
      <c r="G4815" t="s">
        <v>564</v>
      </c>
      <c r="H4815" t="s">
        <v>6288</v>
      </c>
      <c r="I4815">
        <v>19</v>
      </c>
      <c r="J4815">
        <v>19</v>
      </c>
      <c r="K4815">
        <v>0</v>
      </c>
      <c r="L4815">
        <v>0</v>
      </c>
      <c r="M4815">
        <v>0</v>
      </c>
      <c r="N4815">
        <v>0</v>
      </c>
      <c r="O4815">
        <v>0</v>
      </c>
    </row>
    <row r="4816" spans="1:15" x14ac:dyDescent="0.25">
      <c r="A4816" t="s">
        <v>11675</v>
      </c>
      <c r="B4816" t="s">
        <v>11744</v>
      </c>
      <c r="C4816" t="s">
        <v>923</v>
      </c>
      <c r="D4816" t="s">
        <v>3063</v>
      </c>
      <c r="E4816" t="s">
        <v>3053</v>
      </c>
      <c r="F4816" t="s">
        <v>563</v>
      </c>
      <c r="G4816" t="s">
        <v>564</v>
      </c>
      <c r="H4816" t="s">
        <v>14879</v>
      </c>
      <c r="I4816">
        <v>131</v>
      </c>
      <c r="J4816">
        <v>51</v>
      </c>
      <c r="K4816">
        <v>80</v>
      </c>
      <c r="L4816">
        <v>0</v>
      </c>
      <c r="M4816">
        <v>0</v>
      </c>
      <c r="N4816">
        <v>0</v>
      </c>
      <c r="O4816">
        <v>0</v>
      </c>
    </row>
    <row r="4817" spans="1:15" x14ac:dyDescent="0.25">
      <c r="A4817" t="s">
        <v>1239</v>
      </c>
      <c r="B4817" t="s">
        <v>2990</v>
      </c>
      <c r="C4817" t="s">
        <v>923</v>
      </c>
      <c r="D4817" t="s">
        <v>3063</v>
      </c>
      <c r="E4817" t="s">
        <v>3053</v>
      </c>
      <c r="F4817" t="s">
        <v>563</v>
      </c>
      <c r="G4817" t="s">
        <v>564</v>
      </c>
      <c r="H4817" t="s">
        <v>6289</v>
      </c>
      <c r="I4817">
        <v>34</v>
      </c>
      <c r="J4817">
        <v>26</v>
      </c>
      <c r="K4817">
        <v>0</v>
      </c>
      <c r="L4817">
        <v>8</v>
      </c>
      <c r="M4817">
        <v>0</v>
      </c>
      <c r="N4817">
        <v>2</v>
      </c>
      <c r="O4817">
        <v>0</v>
      </c>
    </row>
    <row r="4818" spans="1:15" x14ac:dyDescent="0.25">
      <c r="A4818" t="s">
        <v>1008</v>
      </c>
      <c r="B4818" t="s">
        <v>2928</v>
      </c>
      <c r="C4818" t="s">
        <v>927</v>
      </c>
      <c r="D4818" t="s">
        <v>3052</v>
      </c>
      <c r="E4818" t="s">
        <v>3053</v>
      </c>
      <c r="F4818" t="s">
        <v>563</v>
      </c>
      <c r="G4818" t="s">
        <v>564</v>
      </c>
      <c r="H4818" t="s">
        <v>6290</v>
      </c>
      <c r="I4818">
        <v>22</v>
      </c>
      <c r="J4818">
        <v>20</v>
      </c>
      <c r="K4818">
        <v>0</v>
      </c>
      <c r="L4818">
        <v>0</v>
      </c>
      <c r="M4818">
        <v>2</v>
      </c>
      <c r="N4818">
        <v>1</v>
      </c>
      <c r="O4818">
        <v>0</v>
      </c>
    </row>
    <row r="4819" spans="1:15" x14ac:dyDescent="0.25">
      <c r="A4819" t="s">
        <v>1264</v>
      </c>
      <c r="B4819" t="s">
        <v>2749</v>
      </c>
      <c r="C4819" t="s">
        <v>927</v>
      </c>
      <c r="D4819" t="s">
        <v>3052</v>
      </c>
      <c r="E4819" t="s">
        <v>3053</v>
      </c>
      <c r="F4819" t="s">
        <v>563</v>
      </c>
      <c r="G4819" t="s">
        <v>564</v>
      </c>
      <c r="H4819" t="s">
        <v>6291</v>
      </c>
      <c r="I4819">
        <v>1359</v>
      </c>
      <c r="J4819">
        <v>1203</v>
      </c>
      <c r="K4819">
        <v>28</v>
      </c>
      <c r="L4819">
        <v>68</v>
      </c>
      <c r="M4819">
        <v>0</v>
      </c>
      <c r="N4819">
        <v>0</v>
      </c>
      <c r="O4819">
        <v>60</v>
      </c>
    </row>
    <row r="4820" spans="1:15" x14ac:dyDescent="0.25">
      <c r="A4820" t="s">
        <v>940</v>
      </c>
      <c r="B4820" t="s">
        <v>2647</v>
      </c>
      <c r="C4820" t="s">
        <v>927</v>
      </c>
      <c r="D4820" t="s">
        <v>3052</v>
      </c>
      <c r="E4820" t="s">
        <v>3053</v>
      </c>
      <c r="F4820" t="s">
        <v>563</v>
      </c>
      <c r="G4820" t="s">
        <v>564</v>
      </c>
      <c r="H4820" t="s">
        <v>6292</v>
      </c>
      <c r="I4820">
        <v>171</v>
      </c>
      <c r="J4820">
        <v>0</v>
      </c>
      <c r="K4820">
        <v>0</v>
      </c>
      <c r="L4820">
        <v>5</v>
      </c>
      <c r="M4820">
        <v>166</v>
      </c>
      <c r="N4820">
        <v>0</v>
      </c>
      <c r="O4820">
        <v>0</v>
      </c>
    </row>
    <row r="4821" spans="1:15" x14ac:dyDescent="0.25">
      <c r="A4821" t="s">
        <v>1273</v>
      </c>
      <c r="B4821" t="s">
        <v>2709</v>
      </c>
      <c r="C4821" t="s">
        <v>923</v>
      </c>
      <c r="D4821" t="s">
        <v>3063</v>
      </c>
      <c r="E4821" t="s">
        <v>3053</v>
      </c>
      <c r="F4821" t="s">
        <v>563</v>
      </c>
      <c r="G4821" t="s">
        <v>564</v>
      </c>
      <c r="H4821" t="s">
        <v>6293</v>
      </c>
      <c r="I4821">
        <v>208</v>
      </c>
      <c r="J4821">
        <v>208</v>
      </c>
      <c r="K4821">
        <v>0</v>
      </c>
      <c r="L4821">
        <v>0</v>
      </c>
      <c r="M4821">
        <v>0</v>
      </c>
      <c r="N4821">
        <v>13</v>
      </c>
      <c r="O4821">
        <v>0</v>
      </c>
    </row>
    <row r="4822" spans="1:15" x14ac:dyDescent="0.25">
      <c r="A4822" t="s">
        <v>1012</v>
      </c>
      <c r="B4822" t="s">
        <v>2911</v>
      </c>
      <c r="C4822" t="s">
        <v>927</v>
      </c>
      <c r="D4822" t="s">
        <v>3052</v>
      </c>
      <c r="E4822" t="s">
        <v>3053</v>
      </c>
      <c r="F4822" t="s">
        <v>563</v>
      </c>
      <c r="G4822" t="s">
        <v>564</v>
      </c>
      <c r="H4822" t="s">
        <v>6294</v>
      </c>
      <c r="I4822">
        <v>2931</v>
      </c>
      <c r="J4822">
        <v>2345</v>
      </c>
      <c r="K4822">
        <v>0</v>
      </c>
      <c r="L4822">
        <v>233</v>
      </c>
      <c r="M4822">
        <v>109</v>
      </c>
      <c r="N4822">
        <v>76</v>
      </c>
      <c r="O4822">
        <v>244</v>
      </c>
    </row>
    <row r="4823" spans="1:15" x14ac:dyDescent="0.25">
      <c r="A4823" t="s">
        <v>1124</v>
      </c>
      <c r="B4823" t="s">
        <v>2981</v>
      </c>
      <c r="C4823" t="s">
        <v>923</v>
      </c>
      <c r="D4823" t="s">
        <v>3063</v>
      </c>
      <c r="E4823" t="s">
        <v>3053</v>
      </c>
      <c r="F4823" t="s">
        <v>563</v>
      </c>
      <c r="G4823" t="s">
        <v>564</v>
      </c>
      <c r="H4823" t="s">
        <v>6295</v>
      </c>
      <c r="I4823">
        <v>5</v>
      </c>
      <c r="J4823">
        <v>5</v>
      </c>
      <c r="K4823">
        <v>0</v>
      </c>
      <c r="L4823">
        <v>0</v>
      </c>
      <c r="M4823">
        <v>0</v>
      </c>
      <c r="N4823">
        <v>0</v>
      </c>
      <c r="O4823">
        <v>0</v>
      </c>
    </row>
    <row r="4824" spans="1:15" x14ac:dyDescent="0.25">
      <c r="A4824" t="s">
        <v>1285</v>
      </c>
      <c r="B4824" t="s">
        <v>2445</v>
      </c>
      <c r="C4824" t="s">
        <v>923</v>
      </c>
      <c r="D4824" t="s">
        <v>3063</v>
      </c>
      <c r="E4824" t="s">
        <v>3053</v>
      </c>
      <c r="F4824" t="s">
        <v>563</v>
      </c>
      <c r="G4824" t="s">
        <v>564</v>
      </c>
      <c r="H4824" t="s">
        <v>6296</v>
      </c>
      <c r="I4824">
        <v>38</v>
      </c>
      <c r="J4824">
        <v>28</v>
      </c>
      <c r="K4824">
        <v>10</v>
      </c>
      <c r="L4824">
        <v>0</v>
      </c>
      <c r="M4824">
        <v>0</v>
      </c>
      <c r="N4824">
        <v>0</v>
      </c>
      <c r="O4824">
        <v>0</v>
      </c>
    </row>
    <row r="4825" spans="1:15" x14ac:dyDescent="0.25">
      <c r="A4825" t="s">
        <v>11678</v>
      </c>
      <c r="B4825" t="s">
        <v>2706</v>
      </c>
      <c r="C4825" t="s">
        <v>923</v>
      </c>
      <c r="D4825" t="s">
        <v>3063</v>
      </c>
      <c r="E4825" t="s">
        <v>3053</v>
      </c>
      <c r="F4825" t="s">
        <v>563</v>
      </c>
      <c r="G4825" t="s">
        <v>564</v>
      </c>
      <c r="H4825" t="s">
        <v>12163</v>
      </c>
      <c r="I4825">
        <v>29</v>
      </c>
      <c r="J4825">
        <v>29</v>
      </c>
      <c r="K4825">
        <v>0</v>
      </c>
      <c r="L4825">
        <v>0</v>
      </c>
      <c r="M4825">
        <v>0</v>
      </c>
      <c r="N4825">
        <v>0</v>
      </c>
      <c r="O4825">
        <v>0</v>
      </c>
    </row>
    <row r="4826" spans="1:15" x14ac:dyDescent="0.25">
      <c r="A4826" t="s">
        <v>11679</v>
      </c>
      <c r="B4826" t="s">
        <v>11753</v>
      </c>
      <c r="C4826" t="s">
        <v>923</v>
      </c>
      <c r="D4826" t="s">
        <v>3063</v>
      </c>
      <c r="E4826" t="s">
        <v>3053</v>
      </c>
      <c r="F4826" t="s">
        <v>563</v>
      </c>
      <c r="G4826" t="s">
        <v>564</v>
      </c>
      <c r="H4826" t="s">
        <v>12164</v>
      </c>
      <c r="I4826">
        <v>15</v>
      </c>
      <c r="J4826">
        <v>15</v>
      </c>
      <c r="K4826">
        <v>0</v>
      </c>
      <c r="L4826">
        <v>0</v>
      </c>
      <c r="M4826">
        <v>0</v>
      </c>
      <c r="N4826">
        <v>0</v>
      </c>
      <c r="O4826">
        <v>0</v>
      </c>
    </row>
    <row r="4827" spans="1:15" x14ac:dyDescent="0.25">
      <c r="A4827" t="s">
        <v>1290</v>
      </c>
      <c r="B4827" t="s">
        <v>2365</v>
      </c>
      <c r="C4827" t="s">
        <v>923</v>
      </c>
      <c r="D4827" t="s">
        <v>3063</v>
      </c>
      <c r="E4827" t="s">
        <v>3053</v>
      </c>
      <c r="F4827" t="s">
        <v>563</v>
      </c>
      <c r="G4827" t="s">
        <v>564</v>
      </c>
      <c r="H4827" t="s">
        <v>6297</v>
      </c>
      <c r="I4827">
        <v>47</v>
      </c>
      <c r="J4827">
        <v>46</v>
      </c>
      <c r="K4827">
        <v>1</v>
      </c>
      <c r="L4827">
        <v>0</v>
      </c>
      <c r="M4827">
        <v>0</v>
      </c>
      <c r="N4827">
        <v>0</v>
      </c>
      <c r="O4827">
        <v>0</v>
      </c>
    </row>
    <row r="4828" spans="1:15" x14ac:dyDescent="0.25">
      <c r="A4828" t="s">
        <v>1127</v>
      </c>
      <c r="B4828" t="s">
        <v>3034</v>
      </c>
      <c r="C4828" t="s">
        <v>927</v>
      </c>
      <c r="D4828" t="s">
        <v>3052</v>
      </c>
      <c r="E4828" t="s">
        <v>3053</v>
      </c>
      <c r="F4828" t="s">
        <v>563</v>
      </c>
      <c r="G4828" t="s">
        <v>564</v>
      </c>
      <c r="H4828" t="s">
        <v>6298</v>
      </c>
      <c r="I4828">
        <v>2</v>
      </c>
      <c r="J4828">
        <v>2</v>
      </c>
      <c r="K4828">
        <v>0</v>
      </c>
      <c r="L4828">
        <v>0</v>
      </c>
      <c r="M4828">
        <v>0</v>
      </c>
      <c r="N4828">
        <v>0</v>
      </c>
      <c r="O4828">
        <v>0</v>
      </c>
    </row>
    <row r="4829" spans="1:15" x14ac:dyDescent="0.25">
      <c r="A4829" t="s">
        <v>1025</v>
      </c>
      <c r="B4829" t="s">
        <v>2893</v>
      </c>
      <c r="C4829" t="s">
        <v>927</v>
      </c>
      <c r="D4829" t="s">
        <v>3052</v>
      </c>
      <c r="E4829" t="s">
        <v>3053</v>
      </c>
      <c r="F4829" t="s">
        <v>563</v>
      </c>
      <c r="G4829" t="s">
        <v>564</v>
      </c>
      <c r="H4829" t="s">
        <v>6299</v>
      </c>
      <c r="I4829">
        <v>6566</v>
      </c>
      <c r="J4829">
        <v>5561</v>
      </c>
      <c r="K4829">
        <v>0</v>
      </c>
      <c r="L4829">
        <v>204</v>
      </c>
      <c r="M4829">
        <v>57</v>
      </c>
      <c r="N4829">
        <v>94</v>
      </c>
      <c r="O4829">
        <v>744</v>
      </c>
    </row>
    <row r="4830" spans="1:15" x14ac:dyDescent="0.25">
      <c r="A4830" t="s">
        <v>10681</v>
      </c>
      <c r="B4830" t="s">
        <v>10680</v>
      </c>
      <c r="C4830" t="s">
        <v>927</v>
      </c>
      <c r="D4830" t="s">
        <v>3052</v>
      </c>
      <c r="E4830" t="s">
        <v>3053</v>
      </c>
      <c r="F4830" t="s">
        <v>563</v>
      </c>
      <c r="G4830" t="s">
        <v>564</v>
      </c>
      <c r="H4830" t="s">
        <v>14880</v>
      </c>
      <c r="I4830">
        <v>41</v>
      </c>
      <c r="J4830">
        <v>0</v>
      </c>
      <c r="K4830">
        <v>0</v>
      </c>
      <c r="L4830">
        <v>0</v>
      </c>
      <c r="M4830">
        <v>0</v>
      </c>
      <c r="N4830">
        <v>0</v>
      </c>
      <c r="O4830">
        <v>41</v>
      </c>
    </row>
    <row r="4831" spans="1:15" x14ac:dyDescent="0.25">
      <c r="A4831" t="s">
        <v>1295</v>
      </c>
      <c r="B4831" t="s">
        <v>2467</v>
      </c>
      <c r="C4831" t="s">
        <v>923</v>
      </c>
      <c r="D4831" t="s">
        <v>3063</v>
      </c>
      <c r="E4831" t="s">
        <v>3053</v>
      </c>
      <c r="F4831" t="s">
        <v>563</v>
      </c>
      <c r="G4831" t="s">
        <v>564</v>
      </c>
      <c r="H4831" t="s">
        <v>6300</v>
      </c>
      <c r="I4831">
        <v>18</v>
      </c>
      <c r="J4831">
        <v>18</v>
      </c>
      <c r="K4831">
        <v>0</v>
      </c>
      <c r="L4831">
        <v>0</v>
      </c>
      <c r="M4831">
        <v>0</v>
      </c>
      <c r="N4831">
        <v>0</v>
      </c>
      <c r="O4831">
        <v>0</v>
      </c>
    </row>
    <row r="4832" spans="1:15" x14ac:dyDescent="0.25">
      <c r="A4832" t="s">
        <v>943</v>
      </c>
      <c r="B4832" t="s">
        <v>2694</v>
      </c>
      <c r="C4832" t="s">
        <v>927</v>
      </c>
      <c r="D4832" t="s">
        <v>3052</v>
      </c>
      <c r="E4832" t="s">
        <v>3053</v>
      </c>
      <c r="F4832" t="s">
        <v>563</v>
      </c>
      <c r="G4832" t="s">
        <v>564</v>
      </c>
      <c r="H4832" t="s">
        <v>6301</v>
      </c>
      <c r="I4832">
        <v>163</v>
      </c>
      <c r="J4832">
        <v>40</v>
      </c>
      <c r="K4832">
        <v>0</v>
      </c>
      <c r="L4832">
        <v>121</v>
      </c>
      <c r="M4832">
        <v>0</v>
      </c>
      <c r="N4832">
        <v>0</v>
      </c>
      <c r="O4832">
        <v>2</v>
      </c>
    </row>
    <row r="4833" spans="1:15" x14ac:dyDescent="0.25">
      <c r="A4833" t="s">
        <v>945</v>
      </c>
      <c r="B4833" t="s">
        <v>2668</v>
      </c>
      <c r="C4833" t="s">
        <v>927</v>
      </c>
      <c r="D4833" t="s">
        <v>3052</v>
      </c>
      <c r="E4833" t="s">
        <v>3053</v>
      </c>
      <c r="F4833" t="s">
        <v>563</v>
      </c>
      <c r="G4833" t="s">
        <v>564</v>
      </c>
      <c r="H4833" t="s">
        <v>6302</v>
      </c>
      <c r="I4833">
        <v>148</v>
      </c>
      <c r="J4833">
        <v>41</v>
      </c>
      <c r="K4833">
        <v>0</v>
      </c>
      <c r="L4833">
        <v>0</v>
      </c>
      <c r="M4833">
        <v>40</v>
      </c>
      <c r="N4833">
        <v>0</v>
      </c>
      <c r="O4833">
        <v>67</v>
      </c>
    </row>
    <row r="4834" spans="1:15" x14ac:dyDescent="0.25">
      <c r="A4834" t="s">
        <v>1304</v>
      </c>
      <c r="B4834" t="s">
        <v>2451</v>
      </c>
      <c r="C4834" t="s">
        <v>923</v>
      </c>
      <c r="D4834" t="s">
        <v>3063</v>
      </c>
      <c r="E4834" t="s">
        <v>3053</v>
      </c>
      <c r="F4834" t="s">
        <v>563</v>
      </c>
      <c r="G4834" t="s">
        <v>564</v>
      </c>
      <c r="H4834" t="s">
        <v>6303</v>
      </c>
      <c r="I4834">
        <v>27</v>
      </c>
      <c r="J4834">
        <v>0</v>
      </c>
      <c r="K4834">
        <v>0</v>
      </c>
      <c r="L4834">
        <v>0</v>
      </c>
      <c r="M4834">
        <v>27</v>
      </c>
      <c r="N4834">
        <v>0</v>
      </c>
      <c r="O4834">
        <v>0</v>
      </c>
    </row>
    <row r="4835" spans="1:15" x14ac:dyDescent="0.25">
      <c r="A4835" t="s">
        <v>1305</v>
      </c>
      <c r="B4835" t="s">
        <v>2992</v>
      </c>
      <c r="C4835" t="s">
        <v>923</v>
      </c>
      <c r="D4835" t="s">
        <v>3063</v>
      </c>
      <c r="E4835" t="s">
        <v>3053</v>
      </c>
      <c r="F4835" t="s">
        <v>563</v>
      </c>
      <c r="G4835" t="s">
        <v>564</v>
      </c>
      <c r="H4835" t="s">
        <v>6304</v>
      </c>
      <c r="I4835">
        <v>132</v>
      </c>
      <c r="J4835">
        <v>132</v>
      </c>
      <c r="K4835">
        <v>0</v>
      </c>
      <c r="L4835">
        <v>0</v>
      </c>
      <c r="M4835">
        <v>0</v>
      </c>
      <c r="N4835">
        <v>0</v>
      </c>
      <c r="O4835">
        <v>0</v>
      </c>
    </row>
    <row r="4836" spans="1:15" x14ac:dyDescent="0.25">
      <c r="A4836" t="s">
        <v>1134</v>
      </c>
      <c r="B4836" t="s">
        <v>2118</v>
      </c>
      <c r="C4836" t="s">
        <v>927</v>
      </c>
      <c r="D4836" t="s">
        <v>3052</v>
      </c>
      <c r="E4836" t="s">
        <v>3053</v>
      </c>
      <c r="F4836" t="s">
        <v>563</v>
      </c>
      <c r="G4836" t="s">
        <v>564</v>
      </c>
      <c r="H4836" t="s">
        <v>6305</v>
      </c>
      <c r="I4836">
        <v>300</v>
      </c>
      <c r="J4836">
        <v>300</v>
      </c>
      <c r="K4836">
        <v>0</v>
      </c>
      <c r="L4836">
        <v>0</v>
      </c>
      <c r="M4836">
        <v>0</v>
      </c>
      <c r="N4836">
        <v>0</v>
      </c>
      <c r="O4836">
        <v>0</v>
      </c>
    </row>
    <row r="4837" spans="1:15" x14ac:dyDescent="0.25">
      <c r="A4837" t="s">
        <v>949</v>
      </c>
      <c r="B4837" t="s">
        <v>3035</v>
      </c>
      <c r="C4837" t="s">
        <v>927</v>
      </c>
      <c r="D4837" t="s">
        <v>3052</v>
      </c>
      <c r="E4837" t="s">
        <v>3053</v>
      </c>
      <c r="F4837" t="s">
        <v>563</v>
      </c>
      <c r="G4837" t="s">
        <v>564</v>
      </c>
      <c r="H4837" t="s">
        <v>6306</v>
      </c>
      <c r="I4837">
        <v>5</v>
      </c>
      <c r="J4837">
        <v>0</v>
      </c>
      <c r="K4837">
        <v>0</v>
      </c>
      <c r="L4837">
        <v>0</v>
      </c>
      <c r="M4837">
        <v>0</v>
      </c>
      <c r="N4837">
        <v>0</v>
      </c>
      <c r="O4837">
        <v>5</v>
      </c>
    </row>
    <row r="4838" spans="1:15" x14ac:dyDescent="0.25">
      <c r="A4838" t="s">
        <v>1043</v>
      </c>
      <c r="B4838" t="s">
        <v>2090</v>
      </c>
      <c r="C4838" t="s">
        <v>927</v>
      </c>
      <c r="D4838" t="s">
        <v>3052</v>
      </c>
      <c r="E4838" t="s">
        <v>3053</v>
      </c>
      <c r="F4838" t="s">
        <v>563</v>
      </c>
      <c r="G4838" t="s">
        <v>564</v>
      </c>
      <c r="H4838" t="s">
        <v>6307</v>
      </c>
      <c r="I4838">
        <v>256</v>
      </c>
      <c r="J4838">
        <v>194</v>
      </c>
      <c r="K4838">
        <v>0</v>
      </c>
      <c r="L4838">
        <v>0</v>
      </c>
      <c r="M4838">
        <v>0</v>
      </c>
      <c r="N4838">
        <v>0</v>
      </c>
      <c r="O4838">
        <v>62</v>
      </c>
    </row>
    <row r="4839" spans="1:15" x14ac:dyDescent="0.25">
      <c r="A4839" t="s">
        <v>1145</v>
      </c>
      <c r="B4839" t="s">
        <v>2814</v>
      </c>
      <c r="C4839" t="s">
        <v>923</v>
      </c>
      <c r="D4839" t="s">
        <v>3063</v>
      </c>
      <c r="E4839" t="s">
        <v>3053</v>
      </c>
      <c r="F4839" t="s">
        <v>563</v>
      </c>
      <c r="G4839" t="s">
        <v>564</v>
      </c>
      <c r="H4839" t="s">
        <v>14881</v>
      </c>
      <c r="I4839">
        <v>6</v>
      </c>
      <c r="J4839">
        <v>6</v>
      </c>
      <c r="K4839">
        <v>0</v>
      </c>
      <c r="L4839">
        <v>0</v>
      </c>
      <c r="M4839">
        <v>0</v>
      </c>
      <c r="N4839">
        <v>0</v>
      </c>
      <c r="O4839">
        <v>0</v>
      </c>
    </row>
    <row r="4840" spans="1:15" x14ac:dyDescent="0.25">
      <c r="A4840" t="s">
        <v>1146</v>
      </c>
      <c r="B4840" t="s">
        <v>2117</v>
      </c>
      <c r="C4840" t="s">
        <v>927</v>
      </c>
      <c r="D4840" t="s">
        <v>3052</v>
      </c>
      <c r="E4840" t="s">
        <v>3053</v>
      </c>
      <c r="F4840" t="s">
        <v>563</v>
      </c>
      <c r="G4840" t="s">
        <v>564</v>
      </c>
      <c r="H4840" t="s">
        <v>6308</v>
      </c>
      <c r="I4840">
        <v>2231</v>
      </c>
      <c r="J4840">
        <v>1773</v>
      </c>
      <c r="K4840">
        <v>0</v>
      </c>
      <c r="L4840">
        <v>65</v>
      </c>
      <c r="M4840">
        <v>40</v>
      </c>
      <c r="N4840">
        <v>0</v>
      </c>
      <c r="O4840">
        <v>353</v>
      </c>
    </row>
    <row r="4841" spans="1:15" x14ac:dyDescent="0.25">
      <c r="A4841" t="s">
        <v>1321</v>
      </c>
      <c r="B4841" t="s">
        <v>2889</v>
      </c>
      <c r="C4841" t="s">
        <v>927</v>
      </c>
      <c r="D4841" t="s">
        <v>3052</v>
      </c>
      <c r="E4841" t="s">
        <v>3053</v>
      </c>
      <c r="F4841" t="s">
        <v>563</v>
      </c>
      <c r="G4841" t="s">
        <v>564</v>
      </c>
      <c r="H4841" t="s">
        <v>6309</v>
      </c>
      <c r="I4841">
        <v>6434</v>
      </c>
      <c r="J4841">
        <v>6351</v>
      </c>
      <c r="K4841">
        <v>0</v>
      </c>
      <c r="L4841">
        <v>0</v>
      </c>
      <c r="M4841">
        <v>60</v>
      </c>
      <c r="N4841">
        <v>33</v>
      </c>
      <c r="O4841">
        <v>23</v>
      </c>
    </row>
    <row r="4842" spans="1:15" x14ac:dyDescent="0.25">
      <c r="A4842" t="s">
        <v>1323</v>
      </c>
      <c r="B4842" t="s">
        <v>2612</v>
      </c>
      <c r="C4842" t="s">
        <v>923</v>
      </c>
      <c r="D4842" t="s">
        <v>3063</v>
      </c>
      <c r="E4842" t="s">
        <v>3053</v>
      </c>
      <c r="F4842" t="s">
        <v>563</v>
      </c>
      <c r="G4842" t="s">
        <v>564</v>
      </c>
      <c r="H4842" t="s">
        <v>6310</v>
      </c>
      <c r="I4842">
        <v>25</v>
      </c>
      <c r="J4842">
        <v>0</v>
      </c>
      <c r="K4842">
        <v>0</v>
      </c>
      <c r="L4842">
        <v>25</v>
      </c>
      <c r="M4842">
        <v>0</v>
      </c>
      <c r="N4842">
        <v>0</v>
      </c>
      <c r="O4842">
        <v>0</v>
      </c>
    </row>
    <row r="4843" spans="1:15" x14ac:dyDescent="0.25">
      <c r="A4843" t="s">
        <v>1906</v>
      </c>
      <c r="B4843" t="s">
        <v>1983</v>
      </c>
      <c r="C4843" t="s">
        <v>923</v>
      </c>
      <c r="D4843" t="s">
        <v>3063</v>
      </c>
      <c r="E4843" t="s">
        <v>3053</v>
      </c>
      <c r="F4843" t="s">
        <v>563</v>
      </c>
      <c r="G4843" t="s">
        <v>564</v>
      </c>
      <c r="H4843" t="s">
        <v>11118</v>
      </c>
      <c r="I4843">
        <v>110</v>
      </c>
      <c r="J4843">
        <v>110</v>
      </c>
      <c r="K4843">
        <v>0</v>
      </c>
      <c r="L4843">
        <v>0</v>
      </c>
      <c r="M4843">
        <v>0</v>
      </c>
      <c r="N4843">
        <v>0</v>
      </c>
      <c r="O4843">
        <v>0</v>
      </c>
    </row>
    <row r="4844" spans="1:15" x14ac:dyDescent="0.25">
      <c r="A4844" t="s">
        <v>951</v>
      </c>
      <c r="B4844" t="s">
        <v>2680</v>
      </c>
      <c r="C4844" t="s">
        <v>927</v>
      </c>
      <c r="D4844" t="s">
        <v>3052</v>
      </c>
      <c r="E4844" t="s">
        <v>3053</v>
      </c>
      <c r="F4844" t="s">
        <v>563</v>
      </c>
      <c r="G4844" t="s">
        <v>564</v>
      </c>
      <c r="H4844" t="s">
        <v>6311</v>
      </c>
      <c r="I4844">
        <v>6</v>
      </c>
      <c r="J4844">
        <v>0</v>
      </c>
      <c r="K4844">
        <v>0</v>
      </c>
      <c r="L4844">
        <v>6</v>
      </c>
      <c r="M4844">
        <v>0</v>
      </c>
      <c r="N4844">
        <v>0</v>
      </c>
      <c r="O4844">
        <v>0</v>
      </c>
    </row>
    <row r="4845" spans="1:15" x14ac:dyDescent="0.25">
      <c r="A4845" t="s">
        <v>1329</v>
      </c>
      <c r="B4845" t="s">
        <v>1985</v>
      </c>
      <c r="C4845" t="s">
        <v>923</v>
      </c>
      <c r="D4845" t="s">
        <v>3063</v>
      </c>
      <c r="E4845" t="s">
        <v>3053</v>
      </c>
      <c r="F4845" t="s">
        <v>563</v>
      </c>
      <c r="G4845" t="s">
        <v>564</v>
      </c>
      <c r="H4845" t="s">
        <v>6312</v>
      </c>
      <c r="I4845">
        <v>678</v>
      </c>
      <c r="J4845">
        <v>0</v>
      </c>
      <c r="K4845">
        <v>0</v>
      </c>
      <c r="L4845">
        <v>678</v>
      </c>
      <c r="M4845">
        <v>0</v>
      </c>
      <c r="N4845">
        <v>0</v>
      </c>
      <c r="O4845">
        <v>0</v>
      </c>
    </row>
    <row r="4846" spans="1:15" x14ac:dyDescent="0.25">
      <c r="A4846" t="s">
        <v>953</v>
      </c>
      <c r="B4846" t="s">
        <v>2014</v>
      </c>
      <c r="C4846" t="s">
        <v>927</v>
      </c>
      <c r="D4846" t="s">
        <v>3052</v>
      </c>
      <c r="E4846" t="s">
        <v>3053</v>
      </c>
      <c r="F4846" t="s">
        <v>563</v>
      </c>
      <c r="G4846" t="s">
        <v>564</v>
      </c>
      <c r="H4846" t="s">
        <v>6313</v>
      </c>
      <c r="I4846">
        <v>8</v>
      </c>
      <c r="J4846">
        <v>0</v>
      </c>
      <c r="K4846">
        <v>0</v>
      </c>
      <c r="L4846">
        <v>8</v>
      </c>
      <c r="M4846">
        <v>0</v>
      </c>
      <c r="N4846">
        <v>0</v>
      </c>
      <c r="O4846">
        <v>0</v>
      </c>
    </row>
    <row r="4847" spans="1:15" x14ac:dyDescent="0.25">
      <c r="A4847" t="s">
        <v>9788</v>
      </c>
      <c r="B4847" t="s">
        <v>9871</v>
      </c>
      <c r="C4847" t="s">
        <v>927</v>
      </c>
      <c r="D4847" t="s">
        <v>3052</v>
      </c>
      <c r="E4847" t="s">
        <v>3053</v>
      </c>
      <c r="F4847" t="s">
        <v>563</v>
      </c>
      <c r="G4847" t="s">
        <v>564</v>
      </c>
      <c r="H4847" t="s">
        <v>10362</v>
      </c>
      <c r="I4847">
        <v>23</v>
      </c>
      <c r="J4847">
        <v>23</v>
      </c>
      <c r="K4847">
        <v>0</v>
      </c>
      <c r="L4847">
        <v>0</v>
      </c>
      <c r="M4847">
        <v>0</v>
      </c>
      <c r="N4847">
        <v>0</v>
      </c>
      <c r="O4847">
        <v>0</v>
      </c>
    </row>
    <row r="4848" spans="1:15" x14ac:dyDescent="0.25">
      <c r="A4848" t="s">
        <v>955</v>
      </c>
      <c r="B4848" t="s">
        <v>2660</v>
      </c>
      <c r="C4848" t="s">
        <v>927</v>
      </c>
      <c r="D4848" t="s">
        <v>3052</v>
      </c>
      <c r="E4848" t="s">
        <v>3053</v>
      </c>
      <c r="F4848" t="s">
        <v>563</v>
      </c>
      <c r="G4848" t="s">
        <v>564</v>
      </c>
      <c r="H4848" t="s">
        <v>6314</v>
      </c>
      <c r="I4848">
        <v>61</v>
      </c>
      <c r="J4848">
        <v>0</v>
      </c>
      <c r="K4848">
        <v>0</v>
      </c>
      <c r="L4848">
        <v>61</v>
      </c>
      <c r="M4848">
        <v>0</v>
      </c>
      <c r="N4848">
        <v>0</v>
      </c>
      <c r="O4848">
        <v>0</v>
      </c>
    </row>
    <row r="4849" spans="1:15" x14ac:dyDescent="0.25">
      <c r="A4849" t="s">
        <v>11663</v>
      </c>
      <c r="B4849" t="s">
        <v>11768</v>
      </c>
      <c r="C4849" t="s">
        <v>927</v>
      </c>
      <c r="D4849" t="s">
        <v>3052</v>
      </c>
      <c r="E4849" t="s">
        <v>3053</v>
      </c>
      <c r="F4849" t="s">
        <v>563</v>
      </c>
      <c r="G4849" t="s">
        <v>564</v>
      </c>
      <c r="H4849" t="s">
        <v>12165</v>
      </c>
      <c r="I4849">
        <v>1272</v>
      </c>
      <c r="J4849">
        <v>987</v>
      </c>
      <c r="K4849">
        <v>26</v>
      </c>
      <c r="L4849">
        <v>49</v>
      </c>
      <c r="M4849">
        <v>59</v>
      </c>
      <c r="N4849">
        <v>8</v>
      </c>
      <c r="O4849">
        <v>151</v>
      </c>
    </row>
    <row r="4850" spans="1:15" x14ac:dyDescent="0.25">
      <c r="A4850" t="s">
        <v>14374</v>
      </c>
      <c r="B4850" t="s">
        <v>1943</v>
      </c>
      <c r="C4850" t="s">
        <v>927</v>
      </c>
      <c r="D4850" t="s">
        <v>3052</v>
      </c>
      <c r="E4850" t="s">
        <v>3053</v>
      </c>
      <c r="F4850" t="s">
        <v>563</v>
      </c>
      <c r="G4850" t="s">
        <v>564</v>
      </c>
      <c r="H4850" t="s">
        <v>14882</v>
      </c>
      <c r="I4850">
        <v>9</v>
      </c>
      <c r="J4850">
        <v>0</v>
      </c>
      <c r="K4850">
        <v>0</v>
      </c>
      <c r="L4850">
        <v>0</v>
      </c>
      <c r="M4850">
        <v>0</v>
      </c>
      <c r="N4850">
        <v>0</v>
      </c>
      <c r="O4850">
        <v>9</v>
      </c>
    </row>
    <row r="4851" spans="1:15" x14ac:dyDescent="0.25">
      <c r="A4851" t="s">
        <v>1344</v>
      </c>
      <c r="B4851" t="s">
        <v>2957</v>
      </c>
      <c r="C4851" t="s">
        <v>923</v>
      </c>
      <c r="D4851" t="s">
        <v>3063</v>
      </c>
      <c r="E4851" t="s">
        <v>3053</v>
      </c>
      <c r="F4851" t="s">
        <v>563</v>
      </c>
      <c r="G4851" t="s">
        <v>564</v>
      </c>
      <c r="H4851" t="s">
        <v>6315</v>
      </c>
      <c r="I4851">
        <v>16</v>
      </c>
      <c r="J4851">
        <v>0</v>
      </c>
      <c r="K4851">
        <v>0</v>
      </c>
      <c r="L4851">
        <v>16</v>
      </c>
      <c r="M4851">
        <v>0</v>
      </c>
      <c r="N4851">
        <v>0</v>
      </c>
      <c r="O4851">
        <v>0</v>
      </c>
    </row>
    <row r="4852" spans="1:15" x14ac:dyDescent="0.25">
      <c r="A4852" t="s">
        <v>1158</v>
      </c>
      <c r="B4852" t="s">
        <v>2922</v>
      </c>
      <c r="C4852" t="s">
        <v>927</v>
      </c>
      <c r="D4852" t="s">
        <v>3052</v>
      </c>
      <c r="E4852" t="s">
        <v>3053</v>
      </c>
      <c r="F4852" t="s">
        <v>563</v>
      </c>
      <c r="G4852" t="s">
        <v>564</v>
      </c>
      <c r="H4852" t="s">
        <v>6316</v>
      </c>
      <c r="I4852">
        <v>161</v>
      </c>
      <c r="J4852">
        <v>0</v>
      </c>
      <c r="K4852">
        <v>0</v>
      </c>
      <c r="L4852">
        <v>161</v>
      </c>
      <c r="M4852">
        <v>0</v>
      </c>
      <c r="N4852">
        <v>0</v>
      </c>
      <c r="O4852">
        <v>0</v>
      </c>
    </row>
    <row r="4853" spans="1:15" x14ac:dyDescent="0.25">
      <c r="A4853" t="s">
        <v>1160</v>
      </c>
      <c r="B4853" t="s">
        <v>2863</v>
      </c>
      <c r="C4853" t="s">
        <v>923</v>
      </c>
      <c r="D4853" t="s">
        <v>3063</v>
      </c>
      <c r="E4853" t="s">
        <v>3053</v>
      </c>
      <c r="F4853" t="s">
        <v>563</v>
      </c>
      <c r="G4853" t="s">
        <v>564</v>
      </c>
      <c r="H4853" t="s">
        <v>6317</v>
      </c>
      <c r="I4853">
        <v>31</v>
      </c>
      <c r="J4853">
        <v>31</v>
      </c>
      <c r="K4853">
        <v>0</v>
      </c>
      <c r="L4853">
        <v>0</v>
      </c>
      <c r="M4853">
        <v>0</v>
      </c>
      <c r="N4853">
        <v>0</v>
      </c>
      <c r="O4853">
        <v>0</v>
      </c>
    </row>
    <row r="4854" spans="1:15" x14ac:dyDescent="0.25">
      <c r="A4854" t="s">
        <v>1355</v>
      </c>
      <c r="B4854" t="s">
        <v>2589</v>
      </c>
      <c r="C4854" t="s">
        <v>923</v>
      </c>
      <c r="D4854" t="s">
        <v>3063</v>
      </c>
      <c r="E4854" t="s">
        <v>3053</v>
      </c>
      <c r="F4854" t="s">
        <v>563</v>
      </c>
      <c r="G4854" t="s">
        <v>564</v>
      </c>
      <c r="H4854" t="s">
        <v>6318</v>
      </c>
      <c r="I4854">
        <v>5</v>
      </c>
      <c r="J4854">
        <v>0</v>
      </c>
      <c r="K4854">
        <v>0</v>
      </c>
      <c r="L4854">
        <v>0</v>
      </c>
      <c r="M4854">
        <v>5</v>
      </c>
      <c r="N4854">
        <v>0</v>
      </c>
      <c r="O4854">
        <v>0</v>
      </c>
    </row>
    <row r="4855" spans="1:15" x14ac:dyDescent="0.25">
      <c r="A4855" t="s">
        <v>1365</v>
      </c>
      <c r="B4855" t="s">
        <v>2223</v>
      </c>
      <c r="C4855" t="s">
        <v>923</v>
      </c>
      <c r="D4855" t="s">
        <v>3063</v>
      </c>
      <c r="E4855" t="s">
        <v>3053</v>
      </c>
      <c r="F4855" t="s">
        <v>563</v>
      </c>
      <c r="G4855" t="s">
        <v>564</v>
      </c>
      <c r="H4855" t="s">
        <v>6319</v>
      </c>
      <c r="I4855">
        <v>75</v>
      </c>
      <c r="J4855">
        <v>75</v>
      </c>
      <c r="K4855">
        <v>0</v>
      </c>
      <c r="L4855">
        <v>0</v>
      </c>
      <c r="M4855">
        <v>0</v>
      </c>
      <c r="N4855">
        <v>0</v>
      </c>
      <c r="O4855">
        <v>0</v>
      </c>
    </row>
    <row r="4856" spans="1:15" x14ac:dyDescent="0.25">
      <c r="A4856" t="s">
        <v>1072</v>
      </c>
      <c r="B4856" t="s">
        <v>2907</v>
      </c>
      <c r="C4856" t="s">
        <v>927</v>
      </c>
      <c r="D4856" t="s">
        <v>3052</v>
      </c>
      <c r="E4856" t="s">
        <v>3053</v>
      </c>
      <c r="F4856" t="s">
        <v>563</v>
      </c>
      <c r="G4856" t="s">
        <v>564</v>
      </c>
      <c r="H4856" t="s">
        <v>6320</v>
      </c>
      <c r="I4856">
        <v>357</v>
      </c>
      <c r="J4856">
        <v>139</v>
      </c>
      <c r="K4856">
        <v>0</v>
      </c>
      <c r="L4856">
        <v>121</v>
      </c>
      <c r="M4856">
        <v>53</v>
      </c>
      <c r="N4856">
        <v>0</v>
      </c>
      <c r="O4856">
        <v>44</v>
      </c>
    </row>
    <row r="4857" spans="1:15" x14ac:dyDescent="0.25">
      <c r="A4857" t="s">
        <v>1380</v>
      </c>
      <c r="B4857" t="s">
        <v>2664</v>
      </c>
      <c r="C4857" t="s">
        <v>927</v>
      </c>
      <c r="D4857" t="s">
        <v>3052</v>
      </c>
      <c r="E4857" t="s">
        <v>3053</v>
      </c>
      <c r="F4857" t="s">
        <v>563</v>
      </c>
      <c r="G4857" t="s">
        <v>564</v>
      </c>
      <c r="H4857" t="s">
        <v>6321</v>
      </c>
      <c r="I4857">
        <v>294</v>
      </c>
      <c r="J4857">
        <v>279</v>
      </c>
      <c r="K4857">
        <v>0</v>
      </c>
      <c r="L4857">
        <v>0</v>
      </c>
      <c r="M4857">
        <v>0</v>
      </c>
      <c r="N4857">
        <v>2</v>
      </c>
      <c r="O4857">
        <v>15</v>
      </c>
    </row>
    <row r="4858" spans="1:15" x14ac:dyDescent="0.25">
      <c r="A4858" t="s">
        <v>926</v>
      </c>
      <c r="B4858" t="s">
        <v>2923</v>
      </c>
      <c r="C4858" t="s">
        <v>927</v>
      </c>
      <c r="D4858" t="s">
        <v>3052</v>
      </c>
      <c r="E4858" t="s">
        <v>3053</v>
      </c>
      <c r="F4858" t="s">
        <v>565</v>
      </c>
      <c r="G4858" t="s">
        <v>566</v>
      </c>
      <c r="H4858" t="s">
        <v>6322</v>
      </c>
      <c r="I4858">
        <v>15</v>
      </c>
      <c r="J4858">
        <v>0</v>
      </c>
      <c r="K4858">
        <v>0</v>
      </c>
      <c r="L4858">
        <v>15</v>
      </c>
      <c r="M4858">
        <v>0</v>
      </c>
      <c r="N4858">
        <v>0</v>
      </c>
      <c r="O4858">
        <v>0</v>
      </c>
    </row>
    <row r="4859" spans="1:15" x14ac:dyDescent="0.25">
      <c r="A4859" t="s">
        <v>982</v>
      </c>
      <c r="B4859" t="s">
        <v>2874</v>
      </c>
      <c r="C4859" t="s">
        <v>923</v>
      </c>
      <c r="D4859" t="s">
        <v>3063</v>
      </c>
      <c r="E4859" t="s">
        <v>3053</v>
      </c>
      <c r="F4859" t="s">
        <v>565</v>
      </c>
      <c r="G4859" t="s">
        <v>566</v>
      </c>
      <c r="H4859" t="s">
        <v>6323</v>
      </c>
      <c r="I4859">
        <v>60</v>
      </c>
      <c r="J4859">
        <v>60</v>
      </c>
      <c r="K4859">
        <v>0</v>
      </c>
      <c r="L4859">
        <v>0</v>
      </c>
      <c r="M4859">
        <v>0</v>
      </c>
      <c r="N4859">
        <v>0</v>
      </c>
      <c r="O4859">
        <v>0</v>
      </c>
    </row>
    <row r="4860" spans="1:15" x14ac:dyDescent="0.25">
      <c r="A4860" t="s">
        <v>983</v>
      </c>
      <c r="B4860" t="s">
        <v>2069</v>
      </c>
      <c r="C4860" t="s">
        <v>927</v>
      </c>
      <c r="D4860" t="s">
        <v>3052</v>
      </c>
      <c r="E4860" t="s">
        <v>3053</v>
      </c>
      <c r="F4860" t="s">
        <v>565</v>
      </c>
      <c r="G4860" t="s">
        <v>566</v>
      </c>
      <c r="H4860" t="s">
        <v>6324</v>
      </c>
      <c r="I4860">
        <v>5091</v>
      </c>
      <c r="J4860">
        <v>4556</v>
      </c>
      <c r="K4860">
        <v>0</v>
      </c>
      <c r="L4860">
        <v>96</v>
      </c>
      <c r="M4860">
        <v>173</v>
      </c>
      <c r="N4860">
        <v>1</v>
      </c>
      <c r="O4860">
        <v>266</v>
      </c>
    </row>
    <row r="4861" spans="1:15" x14ac:dyDescent="0.25">
      <c r="A4861" t="s">
        <v>1715</v>
      </c>
      <c r="B4861" t="s">
        <v>2136</v>
      </c>
      <c r="C4861" t="s">
        <v>927</v>
      </c>
      <c r="D4861" t="s">
        <v>3052</v>
      </c>
      <c r="E4861" t="s">
        <v>3053</v>
      </c>
      <c r="F4861" t="s">
        <v>565</v>
      </c>
      <c r="G4861" t="s">
        <v>566</v>
      </c>
      <c r="H4861" t="s">
        <v>6325</v>
      </c>
      <c r="I4861">
        <v>14</v>
      </c>
      <c r="J4861">
        <v>14</v>
      </c>
      <c r="K4861">
        <v>0</v>
      </c>
      <c r="L4861">
        <v>0</v>
      </c>
      <c r="M4861">
        <v>0</v>
      </c>
      <c r="N4861">
        <v>0</v>
      </c>
      <c r="O4861">
        <v>0</v>
      </c>
    </row>
    <row r="4862" spans="1:15" x14ac:dyDescent="0.25">
      <c r="A4862" t="s">
        <v>933</v>
      </c>
      <c r="B4862" t="s">
        <v>2106</v>
      </c>
      <c r="C4862" t="s">
        <v>927</v>
      </c>
      <c r="D4862" t="s">
        <v>3052</v>
      </c>
      <c r="E4862" t="s">
        <v>3053</v>
      </c>
      <c r="F4862" t="s">
        <v>565</v>
      </c>
      <c r="G4862" t="s">
        <v>566</v>
      </c>
      <c r="H4862" t="s">
        <v>6326</v>
      </c>
      <c r="I4862">
        <v>49</v>
      </c>
      <c r="J4862">
        <v>9</v>
      </c>
      <c r="K4862">
        <v>0</v>
      </c>
      <c r="L4862">
        <v>0</v>
      </c>
      <c r="M4862">
        <v>0</v>
      </c>
      <c r="N4862">
        <v>0</v>
      </c>
      <c r="O4862">
        <v>40</v>
      </c>
    </row>
    <row r="4863" spans="1:15" x14ac:dyDescent="0.25">
      <c r="A4863" t="s">
        <v>11660</v>
      </c>
      <c r="B4863" t="s">
        <v>2041</v>
      </c>
      <c r="C4863" t="s">
        <v>923</v>
      </c>
      <c r="D4863" t="s">
        <v>3063</v>
      </c>
      <c r="E4863" t="s">
        <v>3053</v>
      </c>
      <c r="F4863" t="s">
        <v>565</v>
      </c>
      <c r="G4863" t="s">
        <v>566</v>
      </c>
      <c r="H4863" t="s">
        <v>14883</v>
      </c>
      <c r="I4863">
        <v>2</v>
      </c>
      <c r="J4863">
        <v>0</v>
      </c>
      <c r="K4863">
        <v>0</v>
      </c>
      <c r="L4863">
        <v>2</v>
      </c>
      <c r="M4863">
        <v>0</v>
      </c>
      <c r="N4863">
        <v>0</v>
      </c>
      <c r="O4863">
        <v>0</v>
      </c>
    </row>
    <row r="4864" spans="1:15" x14ac:dyDescent="0.25">
      <c r="A4864" t="s">
        <v>10643</v>
      </c>
      <c r="B4864" t="s">
        <v>2987</v>
      </c>
      <c r="C4864" t="s">
        <v>927</v>
      </c>
      <c r="D4864" t="s">
        <v>3052</v>
      </c>
      <c r="E4864" t="s">
        <v>3053</v>
      </c>
      <c r="F4864" t="s">
        <v>565</v>
      </c>
      <c r="G4864" t="s">
        <v>566</v>
      </c>
      <c r="H4864" t="s">
        <v>11119</v>
      </c>
      <c r="I4864">
        <v>56</v>
      </c>
      <c r="J4864">
        <v>0</v>
      </c>
      <c r="K4864">
        <v>0</v>
      </c>
      <c r="L4864">
        <v>0</v>
      </c>
      <c r="M4864">
        <v>0</v>
      </c>
      <c r="N4864">
        <v>0</v>
      </c>
      <c r="O4864">
        <v>56</v>
      </c>
    </row>
    <row r="4865" spans="1:15" x14ac:dyDescent="0.25">
      <c r="A4865" t="s">
        <v>937</v>
      </c>
      <c r="B4865" t="s">
        <v>1962</v>
      </c>
      <c r="C4865" t="s">
        <v>927</v>
      </c>
      <c r="D4865" t="s">
        <v>3052</v>
      </c>
      <c r="E4865" t="s">
        <v>3053</v>
      </c>
      <c r="F4865" t="s">
        <v>565</v>
      </c>
      <c r="G4865" t="s">
        <v>566</v>
      </c>
      <c r="H4865" t="s">
        <v>10096</v>
      </c>
      <c r="I4865">
        <v>17</v>
      </c>
      <c r="J4865">
        <v>0</v>
      </c>
      <c r="K4865">
        <v>0</v>
      </c>
      <c r="L4865">
        <v>0</v>
      </c>
      <c r="M4865">
        <v>0</v>
      </c>
      <c r="N4865">
        <v>0</v>
      </c>
      <c r="O4865">
        <v>17</v>
      </c>
    </row>
    <row r="4866" spans="1:15" x14ac:dyDescent="0.25">
      <c r="A4866" t="s">
        <v>940</v>
      </c>
      <c r="B4866" t="s">
        <v>2647</v>
      </c>
      <c r="C4866" t="s">
        <v>927</v>
      </c>
      <c r="D4866" t="s">
        <v>3052</v>
      </c>
      <c r="E4866" t="s">
        <v>3053</v>
      </c>
      <c r="F4866" t="s">
        <v>565</v>
      </c>
      <c r="G4866" t="s">
        <v>566</v>
      </c>
      <c r="H4866" t="s">
        <v>6327</v>
      </c>
      <c r="I4866">
        <v>62</v>
      </c>
      <c r="J4866">
        <v>0</v>
      </c>
      <c r="K4866">
        <v>0</v>
      </c>
      <c r="L4866">
        <v>0</v>
      </c>
      <c r="M4866">
        <v>62</v>
      </c>
      <c r="N4866">
        <v>0</v>
      </c>
      <c r="O4866">
        <v>0</v>
      </c>
    </row>
    <row r="4867" spans="1:15" x14ac:dyDescent="0.25">
      <c r="A4867" t="s">
        <v>1013</v>
      </c>
      <c r="B4867" t="s">
        <v>1959</v>
      </c>
      <c r="C4867" t="s">
        <v>927</v>
      </c>
      <c r="D4867" t="s">
        <v>3052</v>
      </c>
      <c r="E4867" t="s">
        <v>3053</v>
      </c>
      <c r="F4867" t="s">
        <v>565</v>
      </c>
      <c r="G4867" t="s">
        <v>566</v>
      </c>
      <c r="H4867" t="s">
        <v>6328</v>
      </c>
      <c r="I4867">
        <v>12</v>
      </c>
      <c r="J4867">
        <v>0</v>
      </c>
      <c r="K4867">
        <v>0</v>
      </c>
      <c r="L4867">
        <v>12</v>
      </c>
      <c r="M4867">
        <v>0</v>
      </c>
      <c r="N4867">
        <v>0</v>
      </c>
      <c r="O4867">
        <v>0</v>
      </c>
    </row>
    <row r="4868" spans="1:15" x14ac:dyDescent="0.25">
      <c r="A4868" t="s">
        <v>1126</v>
      </c>
      <c r="B4868" t="s">
        <v>2130</v>
      </c>
      <c r="C4868" t="s">
        <v>927</v>
      </c>
      <c r="D4868" t="s">
        <v>3052</v>
      </c>
      <c r="E4868" t="s">
        <v>3053</v>
      </c>
      <c r="F4868" t="s">
        <v>565</v>
      </c>
      <c r="G4868" t="s">
        <v>566</v>
      </c>
      <c r="H4868" t="s">
        <v>14884</v>
      </c>
      <c r="I4868">
        <v>1</v>
      </c>
      <c r="J4868">
        <v>0</v>
      </c>
      <c r="K4868">
        <v>0</v>
      </c>
      <c r="L4868">
        <v>0</v>
      </c>
      <c r="M4868">
        <v>0</v>
      </c>
      <c r="N4868">
        <v>0</v>
      </c>
      <c r="O4868">
        <v>1</v>
      </c>
    </row>
    <row r="4869" spans="1:15" x14ac:dyDescent="0.25">
      <c r="A4869" t="s">
        <v>943</v>
      </c>
      <c r="B4869" t="s">
        <v>2694</v>
      </c>
      <c r="C4869" t="s">
        <v>927</v>
      </c>
      <c r="D4869" t="s">
        <v>3052</v>
      </c>
      <c r="E4869" t="s">
        <v>3053</v>
      </c>
      <c r="F4869" t="s">
        <v>565</v>
      </c>
      <c r="G4869" t="s">
        <v>566</v>
      </c>
      <c r="H4869" t="s">
        <v>6329</v>
      </c>
      <c r="I4869">
        <v>2</v>
      </c>
      <c r="J4869">
        <v>2</v>
      </c>
      <c r="K4869">
        <v>0</v>
      </c>
      <c r="L4869">
        <v>0</v>
      </c>
      <c r="M4869">
        <v>0</v>
      </c>
      <c r="N4869">
        <v>0</v>
      </c>
      <c r="O4869">
        <v>0</v>
      </c>
    </row>
    <row r="4870" spans="1:15" x14ac:dyDescent="0.25">
      <c r="A4870" t="s">
        <v>1030</v>
      </c>
      <c r="B4870" t="s">
        <v>2880</v>
      </c>
      <c r="C4870" t="s">
        <v>927</v>
      </c>
      <c r="D4870" t="s">
        <v>3052</v>
      </c>
      <c r="E4870" t="s">
        <v>3053</v>
      </c>
      <c r="F4870" t="s">
        <v>565</v>
      </c>
      <c r="G4870" t="s">
        <v>566</v>
      </c>
      <c r="H4870" t="s">
        <v>6330</v>
      </c>
      <c r="I4870">
        <v>619</v>
      </c>
      <c r="J4870">
        <v>501</v>
      </c>
      <c r="K4870">
        <v>0</v>
      </c>
      <c r="L4870">
        <v>0</v>
      </c>
      <c r="M4870">
        <v>63</v>
      </c>
      <c r="N4870">
        <v>0</v>
      </c>
      <c r="O4870">
        <v>55</v>
      </c>
    </row>
    <row r="4871" spans="1:15" x14ac:dyDescent="0.25">
      <c r="A4871" t="s">
        <v>1041</v>
      </c>
      <c r="B4871" t="s">
        <v>2826</v>
      </c>
      <c r="C4871" t="s">
        <v>927</v>
      </c>
      <c r="D4871" t="s">
        <v>3052</v>
      </c>
      <c r="E4871" t="s">
        <v>3053</v>
      </c>
      <c r="F4871" t="s">
        <v>565</v>
      </c>
      <c r="G4871" t="s">
        <v>566</v>
      </c>
      <c r="H4871" t="s">
        <v>6331</v>
      </c>
      <c r="I4871">
        <v>143</v>
      </c>
      <c r="J4871">
        <v>0</v>
      </c>
      <c r="K4871">
        <v>0</v>
      </c>
      <c r="L4871">
        <v>0</v>
      </c>
      <c r="M4871">
        <v>0</v>
      </c>
      <c r="N4871">
        <v>0</v>
      </c>
      <c r="O4871">
        <v>143</v>
      </c>
    </row>
    <row r="4872" spans="1:15" x14ac:dyDescent="0.25">
      <c r="A4872" t="s">
        <v>9787</v>
      </c>
      <c r="B4872" t="s">
        <v>2822</v>
      </c>
      <c r="C4872" t="s">
        <v>927</v>
      </c>
      <c r="D4872" t="s">
        <v>3052</v>
      </c>
      <c r="E4872" t="s">
        <v>3053</v>
      </c>
      <c r="F4872" t="s">
        <v>565</v>
      </c>
      <c r="G4872" t="s">
        <v>566</v>
      </c>
      <c r="H4872" t="s">
        <v>10263</v>
      </c>
      <c r="I4872">
        <v>194</v>
      </c>
      <c r="J4872">
        <v>194</v>
      </c>
      <c r="K4872">
        <v>0</v>
      </c>
      <c r="L4872">
        <v>0</v>
      </c>
      <c r="M4872">
        <v>0</v>
      </c>
      <c r="N4872">
        <v>0</v>
      </c>
      <c r="O4872">
        <v>0</v>
      </c>
    </row>
    <row r="4873" spans="1:15" x14ac:dyDescent="0.25">
      <c r="A4873" t="s">
        <v>1049</v>
      </c>
      <c r="B4873" t="s">
        <v>2138</v>
      </c>
      <c r="C4873" t="s">
        <v>927</v>
      </c>
      <c r="D4873" t="s">
        <v>3052</v>
      </c>
      <c r="E4873" t="s">
        <v>3053</v>
      </c>
      <c r="F4873" t="s">
        <v>565</v>
      </c>
      <c r="G4873" t="s">
        <v>566</v>
      </c>
      <c r="H4873" t="s">
        <v>6332</v>
      </c>
      <c r="I4873">
        <v>349</v>
      </c>
      <c r="J4873">
        <v>263</v>
      </c>
      <c r="K4873">
        <v>0</v>
      </c>
      <c r="L4873">
        <v>0</v>
      </c>
      <c r="M4873">
        <v>0</v>
      </c>
      <c r="N4873">
        <v>0</v>
      </c>
      <c r="O4873">
        <v>86</v>
      </c>
    </row>
    <row r="4874" spans="1:15" x14ac:dyDescent="0.25">
      <c r="A4874" t="s">
        <v>955</v>
      </c>
      <c r="B4874" t="s">
        <v>2660</v>
      </c>
      <c r="C4874" t="s">
        <v>927</v>
      </c>
      <c r="D4874" t="s">
        <v>3052</v>
      </c>
      <c r="E4874" t="s">
        <v>3053</v>
      </c>
      <c r="F4874" t="s">
        <v>565</v>
      </c>
      <c r="G4874" t="s">
        <v>566</v>
      </c>
      <c r="H4874" t="s">
        <v>6333</v>
      </c>
      <c r="I4874">
        <v>187</v>
      </c>
      <c r="J4874">
        <v>187</v>
      </c>
      <c r="K4874">
        <v>0</v>
      </c>
      <c r="L4874">
        <v>0</v>
      </c>
      <c r="M4874">
        <v>0</v>
      </c>
      <c r="N4874">
        <v>0</v>
      </c>
      <c r="O4874">
        <v>0</v>
      </c>
    </row>
    <row r="4875" spans="1:15" x14ac:dyDescent="0.25">
      <c r="A4875" t="s">
        <v>1849</v>
      </c>
      <c r="B4875" t="s">
        <v>2794</v>
      </c>
      <c r="C4875" t="s">
        <v>923</v>
      </c>
      <c r="D4875" t="s">
        <v>3063</v>
      </c>
      <c r="E4875" t="s">
        <v>3053</v>
      </c>
      <c r="F4875" t="s">
        <v>565</v>
      </c>
      <c r="G4875" t="s">
        <v>566</v>
      </c>
      <c r="H4875" t="s">
        <v>10429</v>
      </c>
      <c r="I4875">
        <v>1</v>
      </c>
      <c r="J4875">
        <v>0</v>
      </c>
      <c r="K4875">
        <v>0</v>
      </c>
      <c r="L4875">
        <v>1</v>
      </c>
      <c r="M4875">
        <v>0</v>
      </c>
      <c r="N4875">
        <v>0</v>
      </c>
      <c r="O4875">
        <v>0</v>
      </c>
    </row>
    <row r="4876" spans="1:15" x14ac:dyDescent="0.25">
      <c r="A4876" t="s">
        <v>962</v>
      </c>
      <c r="B4876" t="s">
        <v>2752</v>
      </c>
      <c r="C4876" t="s">
        <v>927</v>
      </c>
      <c r="D4876" t="s">
        <v>3052</v>
      </c>
      <c r="E4876" t="s">
        <v>3053</v>
      </c>
      <c r="F4876" t="s">
        <v>565</v>
      </c>
      <c r="G4876" t="s">
        <v>566</v>
      </c>
      <c r="H4876" t="s">
        <v>12166</v>
      </c>
      <c r="I4876">
        <v>5</v>
      </c>
      <c r="J4876">
        <v>5</v>
      </c>
      <c r="K4876">
        <v>0</v>
      </c>
      <c r="L4876">
        <v>0</v>
      </c>
      <c r="M4876">
        <v>0</v>
      </c>
      <c r="N4876">
        <v>0</v>
      </c>
      <c r="O4876">
        <v>0</v>
      </c>
    </row>
    <row r="4877" spans="1:15" x14ac:dyDescent="0.25">
      <c r="A4877" t="s">
        <v>1856</v>
      </c>
      <c r="B4877" t="s">
        <v>2329</v>
      </c>
      <c r="C4877" t="s">
        <v>923</v>
      </c>
      <c r="D4877" t="s">
        <v>3063</v>
      </c>
      <c r="E4877" t="s">
        <v>3053</v>
      </c>
      <c r="F4877" t="s">
        <v>565</v>
      </c>
      <c r="G4877" t="s">
        <v>566</v>
      </c>
      <c r="H4877" t="s">
        <v>6334</v>
      </c>
      <c r="I4877">
        <v>2</v>
      </c>
      <c r="J4877">
        <v>2</v>
      </c>
      <c r="K4877">
        <v>0</v>
      </c>
      <c r="L4877">
        <v>0</v>
      </c>
      <c r="M4877">
        <v>0</v>
      </c>
      <c r="N4877">
        <v>0</v>
      </c>
      <c r="O4877">
        <v>0</v>
      </c>
    </row>
    <row r="4878" spans="1:15" x14ac:dyDescent="0.25">
      <c r="A4878" t="s">
        <v>1072</v>
      </c>
      <c r="B4878" t="s">
        <v>2907</v>
      </c>
      <c r="C4878" t="s">
        <v>927</v>
      </c>
      <c r="D4878" t="s">
        <v>3052</v>
      </c>
      <c r="E4878" t="s">
        <v>3053</v>
      </c>
      <c r="F4878" t="s">
        <v>565</v>
      </c>
      <c r="G4878" t="s">
        <v>566</v>
      </c>
      <c r="H4878" t="s">
        <v>6335</v>
      </c>
      <c r="I4878">
        <v>10</v>
      </c>
      <c r="J4878">
        <v>10</v>
      </c>
      <c r="K4878">
        <v>0</v>
      </c>
      <c r="L4878">
        <v>0</v>
      </c>
      <c r="M4878">
        <v>0</v>
      </c>
      <c r="N4878">
        <v>0</v>
      </c>
      <c r="O4878">
        <v>0</v>
      </c>
    </row>
    <row r="4879" spans="1:15" x14ac:dyDescent="0.25">
      <c r="A4879" t="s">
        <v>1861</v>
      </c>
      <c r="B4879" t="s">
        <v>3011</v>
      </c>
      <c r="C4879" t="s">
        <v>927</v>
      </c>
      <c r="D4879" t="s">
        <v>3052</v>
      </c>
      <c r="E4879" t="s">
        <v>3053</v>
      </c>
      <c r="F4879" t="s">
        <v>565</v>
      </c>
      <c r="G4879" t="s">
        <v>566</v>
      </c>
      <c r="H4879" t="s">
        <v>6336</v>
      </c>
      <c r="I4879">
        <v>21</v>
      </c>
      <c r="J4879">
        <v>14</v>
      </c>
      <c r="K4879">
        <v>0</v>
      </c>
      <c r="L4879">
        <v>0</v>
      </c>
      <c r="M4879">
        <v>0</v>
      </c>
      <c r="N4879">
        <v>0</v>
      </c>
      <c r="O4879">
        <v>7</v>
      </c>
    </row>
    <row r="4880" spans="1:15" x14ac:dyDescent="0.25">
      <c r="A4880" t="s">
        <v>1076</v>
      </c>
      <c r="B4880" t="s">
        <v>2852</v>
      </c>
      <c r="C4880" t="s">
        <v>927</v>
      </c>
      <c r="D4880" t="s">
        <v>3052</v>
      </c>
      <c r="E4880" t="s">
        <v>3053</v>
      </c>
      <c r="F4880" t="s">
        <v>565</v>
      </c>
      <c r="G4880" t="s">
        <v>566</v>
      </c>
      <c r="H4880" t="s">
        <v>6337</v>
      </c>
      <c r="I4880">
        <v>18</v>
      </c>
      <c r="J4880">
        <v>10</v>
      </c>
      <c r="K4880">
        <v>0</v>
      </c>
      <c r="L4880">
        <v>0</v>
      </c>
      <c r="M4880">
        <v>0</v>
      </c>
      <c r="N4880">
        <v>0</v>
      </c>
      <c r="O4880">
        <v>8</v>
      </c>
    </row>
    <row r="4881" spans="1:15" x14ac:dyDescent="0.25">
      <c r="A4881" t="s">
        <v>1077</v>
      </c>
      <c r="B4881" t="s">
        <v>2711</v>
      </c>
      <c r="C4881" t="s">
        <v>927</v>
      </c>
      <c r="D4881" t="s">
        <v>3052</v>
      </c>
      <c r="E4881" t="s">
        <v>3053</v>
      </c>
      <c r="F4881" t="s">
        <v>565</v>
      </c>
      <c r="G4881" t="s">
        <v>566</v>
      </c>
      <c r="H4881" t="s">
        <v>6338</v>
      </c>
      <c r="I4881">
        <v>27</v>
      </c>
      <c r="J4881">
        <v>27</v>
      </c>
      <c r="K4881">
        <v>0</v>
      </c>
      <c r="L4881">
        <v>0</v>
      </c>
      <c r="M4881">
        <v>0</v>
      </c>
      <c r="N4881">
        <v>0</v>
      </c>
      <c r="O4881">
        <v>0</v>
      </c>
    </row>
    <row r="4882" spans="1:15" x14ac:dyDescent="0.25">
      <c r="A4882" t="s">
        <v>1865</v>
      </c>
      <c r="B4882" t="s">
        <v>2866</v>
      </c>
      <c r="C4882" t="s">
        <v>927</v>
      </c>
      <c r="D4882" t="s">
        <v>3052</v>
      </c>
      <c r="E4882" t="s">
        <v>3053</v>
      </c>
      <c r="F4882" t="s">
        <v>565</v>
      </c>
      <c r="G4882" t="s">
        <v>566</v>
      </c>
      <c r="H4882" t="s">
        <v>6339</v>
      </c>
      <c r="I4882">
        <v>141</v>
      </c>
      <c r="J4882">
        <v>85</v>
      </c>
      <c r="K4882">
        <v>0</v>
      </c>
      <c r="L4882">
        <v>0</v>
      </c>
      <c r="M4882">
        <v>0</v>
      </c>
      <c r="N4882">
        <v>0</v>
      </c>
      <c r="O4882">
        <v>56</v>
      </c>
    </row>
    <row r="4883" spans="1:15" x14ac:dyDescent="0.25">
      <c r="A4883" t="s">
        <v>1083</v>
      </c>
      <c r="B4883" t="s">
        <v>2757</v>
      </c>
      <c r="C4883" t="s">
        <v>927</v>
      </c>
      <c r="D4883" t="s">
        <v>3052</v>
      </c>
      <c r="E4883" t="s">
        <v>3053</v>
      </c>
      <c r="F4883" t="s">
        <v>565</v>
      </c>
      <c r="G4883" t="s">
        <v>566</v>
      </c>
      <c r="H4883" t="s">
        <v>6340</v>
      </c>
      <c r="I4883">
        <v>1</v>
      </c>
      <c r="J4883">
        <v>0</v>
      </c>
      <c r="K4883">
        <v>0</v>
      </c>
      <c r="L4883">
        <v>0</v>
      </c>
      <c r="M4883">
        <v>0</v>
      </c>
      <c r="N4883">
        <v>0</v>
      </c>
      <c r="O4883">
        <v>1</v>
      </c>
    </row>
    <row r="4884" spans="1:15" x14ac:dyDescent="0.25">
      <c r="A4884" t="s">
        <v>972</v>
      </c>
      <c r="B4884" t="s">
        <v>2842</v>
      </c>
      <c r="C4884" t="s">
        <v>927</v>
      </c>
      <c r="D4884" t="s">
        <v>3052</v>
      </c>
      <c r="E4884" t="s">
        <v>3053</v>
      </c>
      <c r="F4884" t="s">
        <v>567</v>
      </c>
      <c r="G4884" t="s">
        <v>568</v>
      </c>
      <c r="H4884" t="s">
        <v>6341</v>
      </c>
      <c r="I4884">
        <v>17</v>
      </c>
      <c r="J4884">
        <v>10</v>
      </c>
      <c r="K4884">
        <v>0</v>
      </c>
      <c r="L4884">
        <v>0</v>
      </c>
      <c r="M4884">
        <v>0</v>
      </c>
      <c r="N4884">
        <v>0</v>
      </c>
      <c r="O4884">
        <v>7</v>
      </c>
    </row>
    <row r="4885" spans="1:15" x14ac:dyDescent="0.25">
      <c r="A4885" t="s">
        <v>926</v>
      </c>
      <c r="B4885" t="s">
        <v>2923</v>
      </c>
      <c r="C4885" t="s">
        <v>927</v>
      </c>
      <c r="D4885" t="s">
        <v>3052</v>
      </c>
      <c r="E4885" t="s">
        <v>3053</v>
      </c>
      <c r="F4885" t="s">
        <v>567</v>
      </c>
      <c r="G4885" t="s">
        <v>568</v>
      </c>
      <c r="H4885" t="s">
        <v>6342</v>
      </c>
      <c r="I4885">
        <v>32</v>
      </c>
      <c r="J4885">
        <v>0</v>
      </c>
      <c r="K4885">
        <v>0</v>
      </c>
      <c r="L4885">
        <v>29</v>
      </c>
      <c r="M4885">
        <v>0</v>
      </c>
      <c r="N4885">
        <v>0</v>
      </c>
      <c r="O4885">
        <v>3</v>
      </c>
    </row>
    <row r="4886" spans="1:15" x14ac:dyDescent="0.25">
      <c r="A4886" t="s">
        <v>929</v>
      </c>
      <c r="B4886" t="s">
        <v>2999</v>
      </c>
      <c r="C4886" t="s">
        <v>927</v>
      </c>
      <c r="D4886" t="s">
        <v>3052</v>
      </c>
      <c r="E4886" t="s">
        <v>3053</v>
      </c>
      <c r="F4886" t="s">
        <v>567</v>
      </c>
      <c r="G4886" t="s">
        <v>568</v>
      </c>
      <c r="H4886" t="s">
        <v>6343</v>
      </c>
      <c r="I4886">
        <v>32</v>
      </c>
      <c r="J4886">
        <v>0</v>
      </c>
      <c r="K4886">
        <v>0</v>
      </c>
      <c r="L4886">
        <v>0</v>
      </c>
      <c r="M4886">
        <v>32</v>
      </c>
      <c r="N4886">
        <v>0</v>
      </c>
      <c r="O4886">
        <v>0</v>
      </c>
    </row>
    <row r="4887" spans="1:15" x14ac:dyDescent="0.25">
      <c r="A4887" t="s">
        <v>9784</v>
      </c>
      <c r="B4887" t="s">
        <v>1994</v>
      </c>
      <c r="C4887" t="s">
        <v>927</v>
      </c>
      <c r="D4887" t="s">
        <v>3052</v>
      </c>
      <c r="E4887" t="s">
        <v>3053</v>
      </c>
      <c r="F4887" t="s">
        <v>567</v>
      </c>
      <c r="G4887" t="s">
        <v>568</v>
      </c>
      <c r="H4887" t="s">
        <v>9957</v>
      </c>
      <c r="I4887">
        <v>19</v>
      </c>
      <c r="J4887">
        <v>0</v>
      </c>
      <c r="K4887">
        <v>0</v>
      </c>
      <c r="L4887">
        <v>19</v>
      </c>
      <c r="M4887">
        <v>0</v>
      </c>
      <c r="N4887">
        <v>0</v>
      </c>
      <c r="O4887">
        <v>0</v>
      </c>
    </row>
    <row r="4888" spans="1:15" x14ac:dyDescent="0.25">
      <c r="A4888" t="s">
        <v>933</v>
      </c>
      <c r="B4888" t="s">
        <v>2106</v>
      </c>
      <c r="C4888" t="s">
        <v>927</v>
      </c>
      <c r="D4888" t="s">
        <v>3052</v>
      </c>
      <c r="E4888" t="s">
        <v>3053</v>
      </c>
      <c r="F4888" t="s">
        <v>567</v>
      </c>
      <c r="G4888" t="s">
        <v>568</v>
      </c>
      <c r="H4888" t="s">
        <v>6344</v>
      </c>
      <c r="I4888">
        <v>3</v>
      </c>
      <c r="J4888">
        <v>0</v>
      </c>
      <c r="K4888">
        <v>0</v>
      </c>
      <c r="L4888">
        <v>0</v>
      </c>
      <c r="M4888">
        <v>0</v>
      </c>
      <c r="N4888">
        <v>0</v>
      </c>
      <c r="O4888">
        <v>3</v>
      </c>
    </row>
    <row r="4889" spans="1:15" x14ac:dyDescent="0.25">
      <c r="A4889" t="s">
        <v>997</v>
      </c>
      <c r="B4889" t="s">
        <v>2033</v>
      </c>
      <c r="C4889" t="s">
        <v>927</v>
      </c>
      <c r="D4889" t="s">
        <v>3052</v>
      </c>
      <c r="E4889" t="s">
        <v>3053</v>
      </c>
      <c r="F4889" t="s">
        <v>567</v>
      </c>
      <c r="G4889" t="s">
        <v>568</v>
      </c>
      <c r="H4889" t="s">
        <v>6345</v>
      </c>
      <c r="I4889">
        <v>1</v>
      </c>
      <c r="J4889">
        <v>0</v>
      </c>
      <c r="K4889">
        <v>0</v>
      </c>
      <c r="L4889">
        <v>0</v>
      </c>
      <c r="M4889">
        <v>0</v>
      </c>
      <c r="N4889">
        <v>0</v>
      </c>
      <c r="O4889">
        <v>1</v>
      </c>
    </row>
    <row r="4890" spans="1:15" x14ac:dyDescent="0.25">
      <c r="A4890" t="s">
        <v>1001</v>
      </c>
      <c r="B4890" t="s">
        <v>3007</v>
      </c>
      <c r="C4890" t="s">
        <v>927</v>
      </c>
      <c r="D4890" t="s">
        <v>3052</v>
      </c>
      <c r="E4890" t="s">
        <v>3053</v>
      </c>
      <c r="F4890" t="s">
        <v>567</v>
      </c>
      <c r="G4890" t="s">
        <v>568</v>
      </c>
      <c r="H4890" t="s">
        <v>6346</v>
      </c>
      <c r="I4890">
        <v>99</v>
      </c>
      <c r="J4890">
        <v>0</v>
      </c>
      <c r="K4890">
        <v>0</v>
      </c>
      <c r="L4890">
        <v>99</v>
      </c>
      <c r="M4890">
        <v>0</v>
      </c>
      <c r="N4890">
        <v>0</v>
      </c>
      <c r="O4890">
        <v>0</v>
      </c>
    </row>
    <row r="4891" spans="1:15" x14ac:dyDescent="0.25">
      <c r="A4891" t="s">
        <v>10638</v>
      </c>
      <c r="B4891" t="s">
        <v>2057</v>
      </c>
      <c r="C4891" t="s">
        <v>927</v>
      </c>
      <c r="D4891" t="s">
        <v>3052</v>
      </c>
      <c r="E4891" t="s">
        <v>3053</v>
      </c>
      <c r="F4891" t="s">
        <v>567</v>
      </c>
      <c r="G4891" t="s">
        <v>568</v>
      </c>
      <c r="H4891" t="s">
        <v>11120</v>
      </c>
      <c r="I4891">
        <v>3</v>
      </c>
      <c r="J4891">
        <v>0</v>
      </c>
      <c r="K4891">
        <v>0</v>
      </c>
      <c r="L4891">
        <v>3</v>
      </c>
      <c r="M4891">
        <v>0</v>
      </c>
      <c r="N4891">
        <v>0</v>
      </c>
      <c r="O4891">
        <v>0</v>
      </c>
    </row>
    <row r="4892" spans="1:15" x14ac:dyDescent="0.25">
      <c r="A4892" t="s">
        <v>1013</v>
      </c>
      <c r="B4892" t="s">
        <v>1959</v>
      </c>
      <c r="C4892" t="s">
        <v>927</v>
      </c>
      <c r="D4892" t="s">
        <v>3052</v>
      </c>
      <c r="E4892" t="s">
        <v>3053</v>
      </c>
      <c r="F4892" t="s">
        <v>567</v>
      </c>
      <c r="G4892" t="s">
        <v>568</v>
      </c>
      <c r="H4892" t="s">
        <v>6347</v>
      </c>
      <c r="I4892">
        <v>6</v>
      </c>
      <c r="J4892">
        <v>0</v>
      </c>
      <c r="K4892">
        <v>0</v>
      </c>
      <c r="L4892">
        <v>6</v>
      </c>
      <c r="M4892">
        <v>0</v>
      </c>
      <c r="N4892">
        <v>0</v>
      </c>
      <c r="O4892">
        <v>0</v>
      </c>
    </row>
    <row r="4893" spans="1:15" x14ac:dyDescent="0.25">
      <c r="A4893" t="s">
        <v>1017</v>
      </c>
      <c r="B4893" t="s">
        <v>2671</v>
      </c>
      <c r="C4893" t="s">
        <v>923</v>
      </c>
      <c r="D4893" t="s">
        <v>3063</v>
      </c>
      <c r="E4893" t="s">
        <v>3053</v>
      </c>
      <c r="F4893" t="s">
        <v>567</v>
      </c>
      <c r="G4893" t="s">
        <v>568</v>
      </c>
      <c r="H4893" t="s">
        <v>6348</v>
      </c>
      <c r="I4893">
        <v>76</v>
      </c>
      <c r="J4893">
        <v>29</v>
      </c>
      <c r="K4893">
        <v>0</v>
      </c>
      <c r="L4893">
        <v>0</v>
      </c>
      <c r="M4893">
        <v>47</v>
      </c>
      <c r="N4893">
        <v>0</v>
      </c>
      <c r="O4893">
        <v>0</v>
      </c>
    </row>
    <row r="4894" spans="1:15" x14ac:dyDescent="0.25">
      <c r="A4894" t="s">
        <v>1021</v>
      </c>
      <c r="B4894" t="s">
        <v>2051</v>
      </c>
      <c r="C4894" t="s">
        <v>923</v>
      </c>
      <c r="D4894" t="s">
        <v>3063</v>
      </c>
      <c r="E4894" t="s">
        <v>3053</v>
      </c>
      <c r="F4894" t="s">
        <v>567</v>
      </c>
      <c r="G4894" t="s">
        <v>568</v>
      </c>
      <c r="H4894" t="s">
        <v>6349</v>
      </c>
      <c r="I4894">
        <v>39</v>
      </c>
      <c r="J4894">
        <v>0</v>
      </c>
      <c r="K4894">
        <v>0</v>
      </c>
      <c r="L4894">
        <v>39</v>
      </c>
      <c r="M4894">
        <v>0</v>
      </c>
      <c r="N4894">
        <v>0</v>
      </c>
      <c r="O4894">
        <v>0</v>
      </c>
    </row>
    <row r="4895" spans="1:15" x14ac:dyDescent="0.25">
      <c r="A4895" t="s">
        <v>1024</v>
      </c>
      <c r="B4895" t="s">
        <v>2584</v>
      </c>
      <c r="C4895" t="s">
        <v>923</v>
      </c>
      <c r="D4895" t="s">
        <v>3063</v>
      </c>
      <c r="E4895" t="s">
        <v>3053</v>
      </c>
      <c r="F4895" t="s">
        <v>567</v>
      </c>
      <c r="G4895" t="s">
        <v>568</v>
      </c>
      <c r="H4895" t="s">
        <v>6350</v>
      </c>
      <c r="I4895">
        <v>177</v>
      </c>
      <c r="J4895">
        <v>0</v>
      </c>
      <c r="K4895">
        <v>0</v>
      </c>
      <c r="L4895">
        <v>164</v>
      </c>
      <c r="M4895">
        <v>13</v>
      </c>
      <c r="N4895">
        <v>0</v>
      </c>
      <c r="O4895">
        <v>0</v>
      </c>
    </row>
    <row r="4896" spans="1:15" x14ac:dyDescent="0.25">
      <c r="A4896" t="s">
        <v>1026</v>
      </c>
      <c r="B4896" t="s">
        <v>2848</v>
      </c>
      <c r="C4896" t="s">
        <v>927</v>
      </c>
      <c r="D4896" t="s">
        <v>3052</v>
      </c>
      <c r="E4896" t="s">
        <v>3053</v>
      </c>
      <c r="F4896" t="s">
        <v>567</v>
      </c>
      <c r="G4896" t="s">
        <v>568</v>
      </c>
      <c r="H4896" t="s">
        <v>6351</v>
      </c>
      <c r="I4896">
        <v>770</v>
      </c>
      <c r="J4896">
        <v>614</v>
      </c>
      <c r="K4896">
        <v>0</v>
      </c>
      <c r="L4896">
        <v>16</v>
      </c>
      <c r="M4896">
        <v>58</v>
      </c>
      <c r="N4896">
        <v>3</v>
      </c>
      <c r="O4896">
        <v>82</v>
      </c>
    </row>
    <row r="4897" spans="1:15" x14ac:dyDescent="0.25">
      <c r="A4897" t="s">
        <v>10681</v>
      </c>
      <c r="B4897" t="s">
        <v>10680</v>
      </c>
      <c r="C4897" t="s">
        <v>927</v>
      </c>
      <c r="D4897" t="s">
        <v>3052</v>
      </c>
      <c r="E4897" t="s">
        <v>3053</v>
      </c>
      <c r="F4897" t="s">
        <v>567</v>
      </c>
      <c r="G4897" t="s">
        <v>568</v>
      </c>
      <c r="H4897" t="s">
        <v>14885</v>
      </c>
      <c r="I4897">
        <v>3</v>
      </c>
      <c r="J4897">
        <v>0</v>
      </c>
      <c r="K4897">
        <v>0</v>
      </c>
      <c r="L4897">
        <v>0</v>
      </c>
      <c r="M4897">
        <v>0</v>
      </c>
      <c r="N4897">
        <v>0</v>
      </c>
      <c r="O4897">
        <v>3</v>
      </c>
    </row>
    <row r="4898" spans="1:15" x14ac:dyDescent="0.25">
      <c r="A4898" t="s">
        <v>1033</v>
      </c>
      <c r="B4898" t="s">
        <v>2039</v>
      </c>
      <c r="C4898" t="s">
        <v>923</v>
      </c>
      <c r="D4898" t="s">
        <v>3063</v>
      </c>
      <c r="E4898" t="s">
        <v>3053</v>
      </c>
      <c r="F4898" t="s">
        <v>567</v>
      </c>
      <c r="G4898" t="s">
        <v>568</v>
      </c>
      <c r="H4898" t="s">
        <v>6352</v>
      </c>
      <c r="I4898">
        <v>24</v>
      </c>
      <c r="J4898">
        <v>0</v>
      </c>
      <c r="K4898">
        <v>0</v>
      </c>
      <c r="L4898">
        <v>24</v>
      </c>
      <c r="M4898">
        <v>0</v>
      </c>
      <c r="N4898">
        <v>0</v>
      </c>
      <c r="O4898">
        <v>0</v>
      </c>
    </row>
    <row r="4899" spans="1:15" x14ac:dyDescent="0.25">
      <c r="A4899" t="s">
        <v>1038</v>
      </c>
      <c r="B4899" t="s">
        <v>2068</v>
      </c>
      <c r="C4899" t="s">
        <v>927</v>
      </c>
      <c r="D4899" t="s">
        <v>3052</v>
      </c>
      <c r="E4899" t="s">
        <v>3053</v>
      </c>
      <c r="F4899" t="s">
        <v>567</v>
      </c>
      <c r="G4899" t="s">
        <v>568</v>
      </c>
      <c r="H4899" t="s">
        <v>6353</v>
      </c>
      <c r="I4899">
        <v>26</v>
      </c>
      <c r="J4899">
        <v>0</v>
      </c>
      <c r="K4899">
        <v>0</v>
      </c>
      <c r="L4899">
        <v>26</v>
      </c>
      <c r="M4899">
        <v>0</v>
      </c>
      <c r="N4899">
        <v>0</v>
      </c>
      <c r="O4899">
        <v>0</v>
      </c>
    </row>
    <row r="4900" spans="1:15" x14ac:dyDescent="0.25">
      <c r="A4900" t="s">
        <v>1039</v>
      </c>
      <c r="B4900" t="s">
        <v>2885</v>
      </c>
      <c r="C4900" t="s">
        <v>927</v>
      </c>
      <c r="D4900" t="s">
        <v>3052</v>
      </c>
      <c r="E4900" t="s">
        <v>3053</v>
      </c>
      <c r="F4900" t="s">
        <v>567</v>
      </c>
      <c r="G4900" t="s">
        <v>568</v>
      </c>
      <c r="H4900" t="s">
        <v>11121</v>
      </c>
      <c r="I4900">
        <v>106</v>
      </c>
      <c r="J4900">
        <v>76</v>
      </c>
      <c r="K4900">
        <v>0</v>
      </c>
      <c r="L4900">
        <v>0</v>
      </c>
      <c r="M4900">
        <v>0</v>
      </c>
      <c r="N4900">
        <v>0</v>
      </c>
      <c r="O4900">
        <v>30</v>
      </c>
    </row>
    <row r="4901" spans="1:15" x14ac:dyDescent="0.25">
      <c r="A4901" t="s">
        <v>1044</v>
      </c>
      <c r="B4901" t="s">
        <v>2000</v>
      </c>
      <c r="C4901" t="s">
        <v>923</v>
      </c>
      <c r="D4901" t="s">
        <v>3063</v>
      </c>
      <c r="E4901" t="s">
        <v>3053</v>
      </c>
      <c r="F4901" t="s">
        <v>567</v>
      </c>
      <c r="G4901" t="s">
        <v>568</v>
      </c>
      <c r="H4901" t="s">
        <v>6354</v>
      </c>
      <c r="I4901">
        <v>29</v>
      </c>
      <c r="J4901">
        <v>0</v>
      </c>
      <c r="K4901">
        <v>0</v>
      </c>
      <c r="L4901">
        <v>29</v>
      </c>
      <c r="M4901">
        <v>0</v>
      </c>
      <c r="N4901">
        <v>0</v>
      </c>
      <c r="O4901">
        <v>0</v>
      </c>
    </row>
    <row r="4902" spans="1:15" x14ac:dyDescent="0.25">
      <c r="A4902" t="s">
        <v>1906</v>
      </c>
      <c r="B4902" t="s">
        <v>1983</v>
      </c>
      <c r="C4902" t="s">
        <v>923</v>
      </c>
      <c r="D4902" t="s">
        <v>3063</v>
      </c>
      <c r="E4902" t="s">
        <v>3053</v>
      </c>
      <c r="F4902" t="s">
        <v>567</v>
      </c>
      <c r="G4902" t="s">
        <v>568</v>
      </c>
      <c r="H4902" t="s">
        <v>14886</v>
      </c>
      <c r="I4902">
        <v>9</v>
      </c>
      <c r="J4902">
        <v>9</v>
      </c>
      <c r="K4902">
        <v>0</v>
      </c>
      <c r="L4902">
        <v>0</v>
      </c>
      <c r="M4902">
        <v>0</v>
      </c>
      <c r="N4902">
        <v>0</v>
      </c>
      <c r="O4902">
        <v>0</v>
      </c>
    </row>
    <row r="4903" spans="1:15" x14ac:dyDescent="0.25">
      <c r="A4903" t="s">
        <v>951</v>
      </c>
      <c r="B4903" t="s">
        <v>2680</v>
      </c>
      <c r="C4903" t="s">
        <v>927</v>
      </c>
      <c r="D4903" t="s">
        <v>3052</v>
      </c>
      <c r="E4903" t="s">
        <v>3053</v>
      </c>
      <c r="F4903" t="s">
        <v>567</v>
      </c>
      <c r="G4903" t="s">
        <v>568</v>
      </c>
      <c r="H4903" t="s">
        <v>6355</v>
      </c>
      <c r="I4903">
        <v>210</v>
      </c>
      <c r="J4903">
        <v>210</v>
      </c>
      <c r="K4903">
        <v>0</v>
      </c>
      <c r="L4903">
        <v>0</v>
      </c>
      <c r="M4903">
        <v>0</v>
      </c>
      <c r="N4903">
        <v>0</v>
      </c>
      <c r="O4903">
        <v>0</v>
      </c>
    </row>
    <row r="4904" spans="1:15" x14ac:dyDescent="0.25">
      <c r="A4904" t="s">
        <v>1048</v>
      </c>
      <c r="B4904" t="s">
        <v>2989</v>
      </c>
      <c r="C4904" t="s">
        <v>927</v>
      </c>
      <c r="D4904" t="s">
        <v>3052</v>
      </c>
      <c r="E4904" t="s">
        <v>3053</v>
      </c>
      <c r="F4904" t="s">
        <v>567</v>
      </c>
      <c r="G4904" t="s">
        <v>568</v>
      </c>
      <c r="H4904" t="s">
        <v>12167</v>
      </c>
      <c r="I4904">
        <v>205</v>
      </c>
      <c r="J4904">
        <v>200</v>
      </c>
      <c r="K4904">
        <v>0</v>
      </c>
      <c r="L4904">
        <v>0</v>
      </c>
      <c r="M4904">
        <v>0</v>
      </c>
      <c r="N4904">
        <v>0</v>
      </c>
      <c r="O4904">
        <v>5</v>
      </c>
    </row>
    <row r="4905" spans="1:15" x14ac:dyDescent="0.25">
      <c r="A4905" t="s">
        <v>1049</v>
      </c>
      <c r="B4905" t="s">
        <v>2138</v>
      </c>
      <c r="C4905" t="s">
        <v>927</v>
      </c>
      <c r="D4905" t="s">
        <v>3052</v>
      </c>
      <c r="E4905" t="s">
        <v>3053</v>
      </c>
      <c r="F4905" t="s">
        <v>567</v>
      </c>
      <c r="G4905" t="s">
        <v>568</v>
      </c>
      <c r="H4905" t="s">
        <v>6356</v>
      </c>
      <c r="I4905">
        <v>309</v>
      </c>
      <c r="J4905">
        <v>174</v>
      </c>
      <c r="K4905">
        <v>0</v>
      </c>
      <c r="L4905">
        <v>0</v>
      </c>
      <c r="M4905">
        <v>0</v>
      </c>
      <c r="N4905">
        <v>0</v>
      </c>
      <c r="O4905">
        <v>135</v>
      </c>
    </row>
    <row r="4906" spans="1:15" x14ac:dyDescent="0.25">
      <c r="A4906" t="s">
        <v>1051</v>
      </c>
      <c r="B4906" t="s">
        <v>2995</v>
      </c>
      <c r="C4906" t="s">
        <v>927</v>
      </c>
      <c r="D4906" t="s">
        <v>3052</v>
      </c>
      <c r="E4906" t="s">
        <v>3053</v>
      </c>
      <c r="F4906" t="s">
        <v>567</v>
      </c>
      <c r="G4906" t="s">
        <v>568</v>
      </c>
      <c r="H4906" t="s">
        <v>6357</v>
      </c>
      <c r="I4906">
        <v>6</v>
      </c>
      <c r="J4906">
        <v>0</v>
      </c>
      <c r="K4906">
        <v>0</v>
      </c>
      <c r="L4906">
        <v>6</v>
      </c>
      <c r="M4906">
        <v>0</v>
      </c>
      <c r="N4906">
        <v>0</v>
      </c>
      <c r="O4906">
        <v>0</v>
      </c>
    </row>
    <row r="4907" spans="1:15" x14ac:dyDescent="0.25">
      <c r="A4907" t="s">
        <v>953</v>
      </c>
      <c r="B4907" t="s">
        <v>2014</v>
      </c>
      <c r="C4907" t="s">
        <v>927</v>
      </c>
      <c r="D4907" t="s">
        <v>3052</v>
      </c>
      <c r="E4907" t="s">
        <v>3053</v>
      </c>
      <c r="F4907" t="s">
        <v>567</v>
      </c>
      <c r="G4907" t="s">
        <v>568</v>
      </c>
      <c r="H4907" t="s">
        <v>6358</v>
      </c>
      <c r="I4907">
        <v>10</v>
      </c>
      <c r="J4907">
        <v>0</v>
      </c>
      <c r="K4907">
        <v>0</v>
      </c>
      <c r="L4907">
        <v>10</v>
      </c>
      <c r="M4907">
        <v>0</v>
      </c>
      <c r="N4907">
        <v>0</v>
      </c>
      <c r="O4907">
        <v>0</v>
      </c>
    </row>
    <row r="4908" spans="1:15" x14ac:dyDescent="0.25">
      <c r="A4908" t="s">
        <v>955</v>
      </c>
      <c r="B4908" t="s">
        <v>2660</v>
      </c>
      <c r="C4908" t="s">
        <v>927</v>
      </c>
      <c r="D4908" t="s">
        <v>3052</v>
      </c>
      <c r="E4908" t="s">
        <v>3053</v>
      </c>
      <c r="F4908" t="s">
        <v>567</v>
      </c>
      <c r="G4908" t="s">
        <v>568</v>
      </c>
      <c r="H4908" t="s">
        <v>6359</v>
      </c>
      <c r="I4908">
        <v>23</v>
      </c>
      <c r="J4908">
        <v>23</v>
      </c>
      <c r="K4908">
        <v>0</v>
      </c>
      <c r="L4908">
        <v>0</v>
      </c>
      <c r="M4908">
        <v>0</v>
      </c>
      <c r="N4908">
        <v>0</v>
      </c>
      <c r="O4908">
        <v>0</v>
      </c>
    </row>
    <row r="4909" spans="1:15" x14ac:dyDescent="0.25">
      <c r="A4909" t="s">
        <v>1064</v>
      </c>
      <c r="B4909" t="s">
        <v>2105</v>
      </c>
      <c r="C4909" t="s">
        <v>923</v>
      </c>
      <c r="D4909" t="s">
        <v>3063</v>
      </c>
      <c r="E4909" t="s">
        <v>3053</v>
      </c>
      <c r="F4909" t="s">
        <v>567</v>
      </c>
      <c r="G4909" t="s">
        <v>568</v>
      </c>
      <c r="H4909" t="s">
        <v>14887</v>
      </c>
      <c r="I4909">
        <v>2</v>
      </c>
      <c r="J4909">
        <v>2</v>
      </c>
      <c r="K4909">
        <v>0</v>
      </c>
      <c r="L4909">
        <v>0</v>
      </c>
      <c r="M4909">
        <v>0</v>
      </c>
      <c r="N4909">
        <v>0</v>
      </c>
      <c r="O4909">
        <v>0</v>
      </c>
    </row>
    <row r="4910" spans="1:15" x14ac:dyDescent="0.25">
      <c r="A4910" t="s">
        <v>1066</v>
      </c>
      <c r="B4910" t="s">
        <v>2557</v>
      </c>
      <c r="C4910" t="s">
        <v>927</v>
      </c>
      <c r="D4910" t="s">
        <v>3052</v>
      </c>
      <c r="E4910" t="s">
        <v>3053</v>
      </c>
      <c r="F4910" t="s">
        <v>567</v>
      </c>
      <c r="G4910" t="s">
        <v>568</v>
      </c>
      <c r="H4910" t="s">
        <v>6360</v>
      </c>
      <c r="I4910">
        <v>11</v>
      </c>
      <c r="J4910">
        <v>0</v>
      </c>
      <c r="K4910">
        <v>0</v>
      </c>
      <c r="L4910">
        <v>0</v>
      </c>
      <c r="M4910">
        <v>11</v>
      </c>
      <c r="N4910">
        <v>0</v>
      </c>
      <c r="O4910">
        <v>0</v>
      </c>
    </row>
    <row r="4911" spans="1:15" x14ac:dyDescent="0.25">
      <c r="A4911" t="s">
        <v>1080</v>
      </c>
      <c r="B4911" t="s">
        <v>2030</v>
      </c>
      <c r="C4911" t="s">
        <v>923</v>
      </c>
      <c r="D4911" t="s">
        <v>3063</v>
      </c>
      <c r="E4911" t="s">
        <v>3053</v>
      </c>
      <c r="F4911" t="s">
        <v>567</v>
      </c>
      <c r="G4911" t="s">
        <v>568</v>
      </c>
      <c r="H4911" t="s">
        <v>6361</v>
      </c>
      <c r="I4911">
        <v>12</v>
      </c>
      <c r="J4911">
        <v>0</v>
      </c>
      <c r="K4911">
        <v>0</v>
      </c>
      <c r="L4911">
        <v>12</v>
      </c>
      <c r="M4911">
        <v>0</v>
      </c>
      <c r="N4911">
        <v>0</v>
      </c>
      <c r="O4911">
        <v>0</v>
      </c>
    </row>
    <row r="4912" spans="1:15" x14ac:dyDescent="0.25">
      <c r="A4912" t="s">
        <v>974</v>
      </c>
      <c r="B4912" t="s">
        <v>2949</v>
      </c>
      <c r="C4912" t="s">
        <v>923</v>
      </c>
      <c r="D4912" t="s">
        <v>3063</v>
      </c>
      <c r="E4912" t="s">
        <v>3053</v>
      </c>
      <c r="F4912" t="s">
        <v>569</v>
      </c>
      <c r="G4912" t="s">
        <v>570</v>
      </c>
      <c r="H4912" t="s">
        <v>6362</v>
      </c>
      <c r="I4912">
        <v>10</v>
      </c>
      <c r="J4912">
        <v>0</v>
      </c>
      <c r="K4912">
        <v>10</v>
      </c>
      <c r="L4912">
        <v>0</v>
      </c>
      <c r="M4912">
        <v>0</v>
      </c>
      <c r="N4912">
        <v>0</v>
      </c>
      <c r="O4912">
        <v>0</v>
      </c>
    </row>
    <row r="4913" spans="1:15" x14ac:dyDescent="0.25">
      <c r="A4913" t="s">
        <v>1453</v>
      </c>
      <c r="B4913" t="s">
        <v>2375</v>
      </c>
      <c r="C4913" t="s">
        <v>923</v>
      </c>
      <c r="D4913" t="s">
        <v>3063</v>
      </c>
      <c r="E4913" t="s">
        <v>3053</v>
      </c>
      <c r="F4913" t="s">
        <v>569</v>
      </c>
      <c r="G4913" t="s">
        <v>570</v>
      </c>
      <c r="H4913" t="s">
        <v>6363</v>
      </c>
      <c r="I4913">
        <v>138</v>
      </c>
      <c r="J4913">
        <v>138</v>
      </c>
      <c r="K4913">
        <v>0</v>
      </c>
      <c r="L4913">
        <v>0</v>
      </c>
      <c r="M4913">
        <v>0</v>
      </c>
      <c r="N4913">
        <v>0</v>
      </c>
      <c r="O4913">
        <v>0</v>
      </c>
    </row>
    <row r="4914" spans="1:15" x14ac:dyDescent="0.25">
      <c r="A4914" t="s">
        <v>929</v>
      </c>
      <c r="B4914" t="s">
        <v>2999</v>
      </c>
      <c r="C4914" t="s">
        <v>927</v>
      </c>
      <c r="D4914" t="s">
        <v>3052</v>
      </c>
      <c r="E4914" t="s">
        <v>3053</v>
      </c>
      <c r="F4914" t="s">
        <v>569</v>
      </c>
      <c r="G4914" t="s">
        <v>570</v>
      </c>
      <c r="H4914" t="s">
        <v>6364</v>
      </c>
      <c r="I4914">
        <v>545</v>
      </c>
      <c r="J4914">
        <v>58</v>
      </c>
      <c r="K4914">
        <v>0</v>
      </c>
      <c r="L4914">
        <v>0</v>
      </c>
      <c r="M4914">
        <v>487</v>
      </c>
      <c r="N4914">
        <v>0</v>
      </c>
      <c r="O4914">
        <v>0</v>
      </c>
    </row>
    <row r="4915" spans="1:15" x14ac:dyDescent="0.25">
      <c r="A4915" t="s">
        <v>1457</v>
      </c>
      <c r="B4915" t="s">
        <v>2003</v>
      </c>
      <c r="C4915" t="s">
        <v>923</v>
      </c>
      <c r="D4915" t="s">
        <v>3063</v>
      </c>
      <c r="E4915" t="s">
        <v>3053</v>
      </c>
      <c r="F4915" t="s">
        <v>569</v>
      </c>
      <c r="G4915" t="s">
        <v>570</v>
      </c>
      <c r="H4915" t="s">
        <v>9903</v>
      </c>
      <c r="I4915">
        <v>3</v>
      </c>
      <c r="J4915">
        <v>0</v>
      </c>
      <c r="K4915">
        <v>0</v>
      </c>
      <c r="L4915">
        <v>3</v>
      </c>
      <c r="M4915">
        <v>0</v>
      </c>
      <c r="N4915">
        <v>0</v>
      </c>
      <c r="O4915">
        <v>0</v>
      </c>
    </row>
    <row r="4916" spans="1:15" x14ac:dyDescent="0.25">
      <c r="A4916" t="s">
        <v>9784</v>
      </c>
      <c r="B4916" t="s">
        <v>1994</v>
      </c>
      <c r="C4916" t="s">
        <v>927</v>
      </c>
      <c r="D4916" t="s">
        <v>3052</v>
      </c>
      <c r="E4916" t="s">
        <v>3053</v>
      </c>
      <c r="F4916" t="s">
        <v>569</v>
      </c>
      <c r="G4916" t="s">
        <v>570</v>
      </c>
      <c r="H4916" t="s">
        <v>9958</v>
      </c>
      <c r="I4916">
        <v>6</v>
      </c>
      <c r="J4916">
        <v>0</v>
      </c>
      <c r="K4916">
        <v>0</v>
      </c>
      <c r="L4916">
        <v>6</v>
      </c>
      <c r="M4916">
        <v>0</v>
      </c>
      <c r="N4916">
        <v>0</v>
      </c>
      <c r="O4916">
        <v>0</v>
      </c>
    </row>
    <row r="4917" spans="1:15" x14ac:dyDescent="0.25">
      <c r="A4917" t="s">
        <v>1462</v>
      </c>
      <c r="B4917" t="s">
        <v>2489</v>
      </c>
      <c r="C4917" t="s">
        <v>923</v>
      </c>
      <c r="D4917" t="s">
        <v>3063</v>
      </c>
      <c r="E4917" t="s">
        <v>3053</v>
      </c>
      <c r="F4917" t="s">
        <v>569</v>
      </c>
      <c r="G4917" t="s">
        <v>570</v>
      </c>
      <c r="H4917" t="s">
        <v>6365</v>
      </c>
      <c r="I4917">
        <v>15</v>
      </c>
      <c r="J4917">
        <v>15</v>
      </c>
      <c r="K4917">
        <v>0</v>
      </c>
      <c r="L4917">
        <v>0</v>
      </c>
      <c r="M4917">
        <v>0</v>
      </c>
      <c r="N4917">
        <v>0</v>
      </c>
      <c r="O4917">
        <v>0</v>
      </c>
    </row>
    <row r="4918" spans="1:15" x14ac:dyDescent="0.25">
      <c r="A4918" t="s">
        <v>1464</v>
      </c>
      <c r="B4918" t="s">
        <v>2358</v>
      </c>
      <c r="C4918" t="s">
        <v>923</v>
      </c>
      <c r="D4918" t="s">
        <v>3063</v>
      </c>
      <c r="E4918" t="s">
        <v>3053</v>
      </c>
      <c r="F4918" t="s">
        <v>569</v>
      </c>
      <c r="G4918" t="s">
        <v>570</v>
      </c>
      <c r="H4918" t="s">
        <v>6366</v>
      </c>
      <c r="I4918">
        <v>119</v>
      </c>
      <c r="J4918">
        <v>119</v>
      </c>
      <c r="K4918">
        <v>0</v>
      </c>
      <c r="L4918">
        <v>0</v>
      </c>
      <c r="M4918">
        <v>0</v>
      </c>
      <c r="N4918">
        <v>0</v>
      </c>
      <c r="O4918">
        <v>0</v>
      </c>
    </row>
    <row r="4919" spans="1:15" x14ac:dyDescent="0.25">
      <c r="A4919" t="s">
        <v>985</v>
      </c>
      <c r="B4919" t="s">
        <v>1964</v>
      </c>
      <c r="C4919" t="s">
        <v>923</v>
      </c>
      <c r="D4919" t="s">
        <v>3063</v>
      </c>
      <c r="E4919" t="s">
        <v>3053</v>
      </c>
      <c r="F4919" t="s">
        <v>569</v>
      </c>
      <c r="G4919" t="s">
        <v>570</v>
      </c>
      <c r="H4919" t="s">
        <v>6367</v>
      </c>
      <c r="I4919">
        <v>3</v>
      </c>
      <c r="J4919">
        <v>0</v>
      </c>
      <c r="K4919">
        <v>0</v>
      </c>
      <c r="L4919">
        <v>3</v>
      </c>
      <c r="M4919">
        <v>0</v>
      </c>
      <c r="N4919">
        <v>0</v>
      </c>
      <c r="O4919">
        <v>0</v>
      </c>
    </row>
    <row r="4920" spans="1:15" x14ac:dyDescent="0.25">
      <c r="A4920" t="s">
        <v>1466</v>
      </c>
      <c r="B4920" t="s">
        <v>2505</v>
      </c>
      <c r="C4920" t="s">
        <v>923</v>
      </c>
      <c r="D4920" t="s">
        <v>3063</v>
      </c>
      <c r="E4920" t="s">
        <v>3053</v>
      </c>
      <c r="F4920" t="s">
        <v>569</v>
      </c>
      <c r="G4920" t="s">
        <v>570</v>
      </c>
      <c r="H4920" t="s">
        <v>6368</v>
      </c>
      <c r="I4920">
        <v>18</v>
      </c>
      <c r="J4920">
        <v>18</v>
      </c>
      <c r="K4920">
        <v>0</v>
      </c>
      <c r="L4920">
        <v>0</v>
      </c>
      <c r="M4920">
        <v>0</v>
      </c>
      <c r="N4920">
        <v>0</v>
      </c>
      <c r="O4920">
        <v>0</v>
      </c>
    </row>
    <row r="4921" spans="1:15" x14ac:dyDescent="0.25">
      <c r="A4921" t="s">
        <v>1469</v>
      </c>
      <c r="B4921" t="s">
        <v>2568</v>
      </c>
      <c r="C4921" t="s">
        <v>923</v>
      </c>
      <c r="D4921" t="s">
        <v>3063</v>
      </c>
      <c r="E4921" t="s">
        <v>3053</v>
      </c>
      <c r="F4921" t="s">
        <v>569</v>
      </c>
      <c r="G4921" t="s">
        <v>570</v>
      </c>
      <c r="H4921" t="s">
        <v>6369</v>
      </c>
      <c r="I4921">
        <v>109</v>
      </c>
      <c r="J4921">
        <v>0</v>
      </c>
      <c r="K4921">
        <v>0</v>
      </c>
      <c r="L4921">
        <v>109</v>
      </c>
      <c r="M4921">
        <v>0</v>
      </c>
      <c r="N4921">
        <v>0</v>
      </c>
      <c r="O4921">
        <v>0</v>
      </c>
    </row>
    <row r="4922" spans="1:15" x14ac:dyDescent="0.25">
      <c r="A4922" t="s">
        <v>11692</v>
      </c>
      <c r="B4922" t="s">
        <v>2498</v>
      </c>
      <c r="C4922" t="s">
        <v>923</v>
      </c>
      <c r="D4922" t="s">
        <v>3063</v>
      </c>
      <c r="E4922" t="s">
        <v>3053</v>
      </c>
      <c r="F4922" t="s">
        <v>569</v>
      </c>
      <c r="G4922" t="s">
        <v>570</v>
      </c>
      <c r="H4922" t="s">
        <v>12168</v>
      </c>
      <c r="I4922">
        <v>20</v>
      </c>
      <c r="J4922">
        <v>20</v>
      </c>
      <c r="K4922">
        <v>0</v>
      </c>
      <c r="L4922">
        <v>0</v>
      </c>
      <c r="M4922">
        <v>0</v>
      </c>
      <c r="N4922">
        <v>0</v>
      </c>
      <c r="O4922">
        <v>0</v>
      </c>
    </row>
    <row r="4923" spans="1:15" x14ac:dyDescent="0.25">
      <c r="A4923" t="s">
        <v>1470</v>
      </c>
      <c r="B4923" t="s">
        <v>2859</v>
      </c>
      <c r="C4923" t="s">
        <v>927</v>
      </c>
      <c r="D4923" t="s">
        <v>3052</v>
      </c>
      <c r="E4923" t="s">
        <v>3053</v>
      </c>
      <c r="F4923" t="s">
        <v>569</v>
      </c>
      <c r="G4923" t="s">
        <v>570</v>
      </c>
      <c r="H4923" t="s">
        <v>6370</v>
      </c>
      <c r="I4923">
        <v>5750</v>
      </c>
      <c r="J4923">
        <v>5748</v>
      </c>
      <c r="K4923">
        <v>0</v>
      </c>
      <c r="L4923">
        <v>0</v>
      </c>
      <c r="M4923">
        <v>0</v>
      </c>
      <c r="N4923">
        <v>19</v>
      </c>
      <c r="O4923">
        <v>2</v>
      </c>
    </row>
    <row r="4924" spans="1:15" x14ac:dyDescent="0.25">
      <c r="A4924" t="s">
        <v>11693</v>
      </c>
      <c r="B4924" t="s">
        <v>2369</v>
      </c>
      <c r="C4924" t="s">
        <v>923</v>
      </c>
      <c r="D4924" t="s">
        <v>3063</v>
      </c>
      <c r="E4924" t="s">
        <v>3053</v>
      </c>
      <c r="F4924" t="s">
        <v>569</v>
      </c>
      <c r="G4924" t="s">
        <v>570</v>
      </c>
      <c r="H4924" t="s">
        <v>12169</v>
      </c>
      <c r="I4924">
        <v>75</v>
      </c>
      <c r="J4924">
        <v>75</v>
      </c>
      <c r="K4924">
        <v>0</v>
      </c>
      <c r="L4924">
        <v>0</v>
      </c>
      <c r="M4924">
        <v>0</v>
      </c>
      <c r="N4924">
        <v>0</v>
      </c>
      <c r="O4924">
        <v>0</v>
      </c>
    </row>
    <row r="4925" spans="1:15" x14ac:dyDescent="0.25">
      <c r="A4925" t="s">
        <v>991</v>
      </c>
      <c r="B4925" t="s">
        <v>1976</v>
      </c>
      <c r="C4925" t="s">
        <v>923</v>
      </c>
      <c r="D4925" t="s">
        <v>3063</v>
      </c>
      <c r="E4925" t="s">
        <v>3053</v>
      </c>
      <c r="F4925" t="s">
        <v>569</v>
      </c>
      <c r="G4925" t="s">
        <v>570</v>
      </c>
      <c r="H4925" t="s">
        <v>6371</v>
      </c>
      <c r="I4925">
        <v>16</v>
      </c>
      <c r="J4925">
        <v>0</v>
      </c>
      <c r="K4925">
        <v>0</v>
      </c>
      <c r="L4925">
        <v>16</v>
      </c>
      <c r="M4925">
        <v>0</v>
      </c>
      <c r="N4925">
        <v>0</v>
      </c>
      <c r="O4925">
        <v>0</v>
      </c>
    </row>
    <row r="4926" spans="1:15" x14ac:dyDescent="0.25">
      <c r="A4926" t="s">
        <v>1475</v>
      </c>
      <c r="B4926" t="s">
        <v>1991</v>
      </c>
      <c r="C4926" t="s">
        <v>923</v>
      </c>
      <c r="D4926" t="s">
        <v>3063</v>
      </c>
      <c r="E4926" t="s">
        <v>3053</v>
      </c>
      <c r="F4926" t="s">
        <v>569</v>
      </c>
      <c r="G4926" t="s">
        <v>570</v>
      </c>
      <c r="H4926" t="s">
        <v>6372</v>
      </c>
      <c r="I4926">
        <v>145</v>
      </c>
      <c r="J4926">
        <v>0</v>
      </c>
      <c r="K4926">
        <v>0</v>
      </c>
      <c r="L4926">
        <v>145</v>
      </c>
      <c r="M4926">
        <v>0</v>
      </c>
      <c r="N4926">
        <v>0</v>
      </c>
      <c r="O4926">
        <v>0</v>
      </c>
    </row>
    <row r="4927" spans="1:15" x14ac:dyDescent="0.25">
      <c r="A4927" t="s">
        <v>1476</v>
      </c>
      <c r="B4927" t="s">
        <v>2760</v>
      </c>
      <c r="C4927" t="s">
        <v>923</v>
      </c>
      <c r="D4927" t="s">
        <v>3063</v>
      </c>
      <c r="E4927" t="s">
        <v>3053</v>
      </c>
      <c r="F4927" t="s">
        <v>569</v>
      </c>
      <c r="G4927" t="s">
        <v>570</v>
      </c>
      <c r="H4927" t="s">
        <v>6373</v>
      </c>
      <c r="I4927">
        <v>13</v>
      </c>
      <c r="J4927">
        <v>0</v>
      </c>
      <c r="K4927">
        <v>0</v>
      </c>
      <c r="L4927">
        <v>13</v>
      </c>
      <c r="M4927">
        <v>0</v>
      </c>
      <c r="N4927">
        <v>0</v>
      </c>
      <c r="O4927">
        <v>0</v>
      </c>
    </row>
    <row r="4928" spans="1:15" x14ac:dyDescent="0.25">
      <c r="A4928" t="s">
        <v>1477</v>
      </c>
      <c r="B4928" t="s">
        <v>2432</v>
      </c>
      <c r="C4928" t="s">
        <v>923</v>
      </c>
      <c r="D4928" t="s">
        <v>3063</v>
      </c>
      <c r="E4928" t="s">
        <v>3053</v>
      </c>
      <c r="F4928" t="s">
        <v>569</v>
      </c>
      <c r="G4928" t="s">
        <v>570</v>
      </c>
      <c r="H4928" t="s">
        <v>6374</v>
      </c>
      <c r="I4928">
        <v>32</v>
      </c>
      <c r="J4928">
        <v>32</v>
      </c>
      <c r="K4928">
        <v>0</v>
      </c>
      <c r="L4928">
        <v>0</v>
      </c>
      <c r="M4928">
        <v>0</v>
      </c>
      <c r="N4928">
        <v>0</v>
      </c>
      <c r="O4928">
        <v>0</v>
      </c>
    </row>
    <row r="4929" spans="1:15" x14ac:dyDescent="0.25">
      <c r="A4929" t="s">
        <v>9862</v>
      </c>
      <c r="B4929" t="s">
        <v>2473</v>
      </c>
      <c r="C4929" t="s">
        <v>923</v>
      </c>
      <c r="D4929" t="s">
        <v>3063</v>
      </c>
      <c r="E4929" t="s">
        <v>3053</v>
      </c>
      <c r="F4929" t="s">
        <v>569</v>
      </c>
      <c r="G4929" t="s">
        <v>570</v>
      </c>
      <c r="H4929" t="s">
        <v>10060</v>
      </c>
      <c r="I4929">
        <v>382</v>
      </c>
      <c r="J4929">
        <v>303</v>
      </c>
      <c r="K4929">
        <v>0</v>
      </c>
      <c r="L4929">
        <v>0</v>
      </c>
      <c r="M4929">
        <v>79</v>
      </c>
      <c r="N4929">
        <v>0</v>
      </c>
      <c r="O4929">
        <v>0</v>
      </c>
    </row>
    <row r="4930" spans="1:15" x14ac:dyDescent="0.25">
      <c r="A4930" t="s">
        <v>935</v>
      </c>
      <c r="B4930" t="s">
        <v>1960</v>
      </c>
      <c r="C4930" t="s">
        <v>923</v>
      </c>
      <c r="D4930" t="s">
        <v>3063</v>
      </c>
      <c r="E4930" t="s">
        <v>3053</v>
      </c>
      <c r="F4930" t="s">
        <v>569</v>
      </c>
      <c r="G4930" t="s">
        <v>570</v>
      </c>
      <c r="H4930" t="s">
        <v>6375</v>
      </c>
      <c r="I4930">
        <v>20</v>
      </c>
      <c r="J4930">
        <v>0</v>
      </c>
      <c r="K4930">
        <v>0</v>
      </c>
      <c r="L4930">
        <v>20</v>
      </c>
      <c r="M4930">
        <v>0</v>
      </c>
      <c r="N4930">
        <v>0</v>
      </c>
      <c r="O4930">
        <v>0</v>
      </c>
    </row>
    <row r="4931" spans="1:15" x14ac:dyDescent="0.25">
      <c r="A4931" t="s">
        <v>11660</v>
      </c>
      <c r="B4931" t="s">
        <v>2041</v>
      </c>
      <c r="C4931" t="s">
        <v>923</v>
      </c>
      <c r="D4931" t="s">
        <v>3063</v>
      </c>
      <c r="E4931" t="s">
        <v>3053</v>
      </c>
      <c r="F4931" t="s">
        <v>569</v>
      </c>
      <c r="G4931" t="s">
        <v>570</v>
      </c>
      <c r="H4931" t="s">
        <v>12170</v>
      </c>
      <c r="I4931">
        <v>16</v>
      </c>
      <c r="J4931">
        <v>0</v>
      </c>
      <c r="K4931">
        <v>0</v>
      </c>
      <c r="L4931">
        <v>16</v>
      </c>
      <c r="M4931">
        <v>0</v>
      </c>
      <c r="N4931">
        <v>0</v>
      </c>
      <c r="O4931">
        <v>0</v>
      </c>
    </row>
    <row r="4932" spans="1:15" x14ac:dyDescent="0.25">
      <c r="A4932" t="s">
        <v>1479</v>
      </c>
      <c r="B4932" t="s">
        <v>2050</v>
      </c>
      <c r="C4932" t="s">
        <v>923</v>
      </c>
      <c r="D4932" t="s">
        <v>3063</v>
      </c>
      <c r="E4932" t="s">
        <v>3053</v>
      </c>
      <c r="F4932" t="s">
        <v>569</v>
      </c>
      <c r="G4932" t="s">
        <v>570</v>
      </c>
      <c r="H4932" t="s">
        <v>6376</v>
      </c>
      <c r="I4932">
        <v>75</v>
      </c>
      <c r="J4932">
        <v>0</v>
      </c>
      <c r="K4932">
        <v>0</v>
      </c>
      <c r="L4932">
        <v>75</v>
      </c>
      <c r="M4932">
        <v>0</v>
      </c>
      <c r="N4932">
        <v>0</v>
      </c>
      <c r="O4932">
        <v>0</v>
      </c>
    </row>
    <row r="4933" spans="1:15" x14ac:dyDescent="0.25">
      <c r="A4933" t="s">
        <v>1416</v>
      </c>
      <c r="B4933" t="s">
        <v>2029</v>
      </c>
      <c r="C4933" t="s">
        <v>923</v>
      </c>
      <c r="D4933" t="s">
        <v>3063</v>
      </c>
      <c r="E4933" t="s">
        <v>3053</v>
      </c>
      <c r="F4933" t="s">
        <v>569</v>
      </c>
      <c r="G4933" t="s">
        <v>570</v>
      </c>
      <c r="H4933" t="s">
        <v>12171</v>
      </c>
      <c r="I4933">
        <v>5</v>
      </c>
      <c r="J4933">
        <v>0</v>
      </c>
      <c r="K4933">
        <v>0</v>
      </c>
      <c r="L4933">
        <v>5</v>
      </c>
      <c r="M4933">
        <v>0</v>
      </c>
      <c r="N4933">
        <v>0</v>
      </c>
      <c r="O4933">
        <v>0</v>
      </c>
    </row>
    <row r="4934" spans="1:15" x14ac:dyDescent="0.25">
      <c r="A4934" t="s">
        <v>1000</v>
      </c>
      <c r="B4934" t="s">
        <v>1984</v>
      </c>
      <c r="C4934" t="s">
        <v>923</v>
      </c>
      <c r="D4934" t="s">
        <v>3063</v>
      </c>
      <c r="E4934" t="s">
        <v>3053</v>
      </c>
      <c r="F4934" t="s">
        <v>569</v>
      </c>
      <c r="G4934" t="s">
        <v>570</v>
      </c>
      <c r="H4934" t="s">
        <v>6377</v>
      </c>
      <c r="I4934">
        <v>28</v>
      </c>
      <c r="J4934">
        <v>0</v>
      </c>
      <c r="K4934">
        <v>0</v>
      </c>
      <c r="L4934">
        <v>28</v>
      </c>
      <c r="M4934">
        <v>0</v>
      </c>
      <c r="N4934">
        <v>0</v>
      </c>
      <c r="O4934">
        <v>0</v>
      </c>
    </row>
    <row r="4935" spans="1:15" x14ac:dyDescent="0.25">
      <c r="A4935" t="s">
        <v>10638</v>
      </c>
      <c r="B4935" t="s">
        <v>2057</v>
      </c>
      <c r="C4935" t="s">
        <v>927</v>
      </c>
      <c r="D4935" t="s">
        <v>3052</v>
      </c>
      <c r="E4935" t="s">
        <v>3053</v>
      </c>
      <c r="F4935" t="s">
        <v>569</v>
      </c>
      <c r="G4935" t="s">
        <v>570</v>
      </c>
      <c r="H4935" t="s">
        <v>11122</v>
      </c>
      <c r="I4935">
        <v>7</v>
      </c>
      <c r="J4935">
        <v>0</v>
      </c>
      <c r="K4935">
        <v>0</v>
      </c>
      <c r="L4935">
        <v>7</v>
      </c>
      <c r="M4935">
        <v>0</v>
      </c>
      <c r="N4935">
        <v>0</v>
      </c>
      <c r="O4935">
        <v>0</v>
      </c>
    </row>
    <row r="4936" spans="1:15" x14ac:dyDescent="0.25">
      <c r="A4936" t="s">
        <v>1486</v>
      </c>
      <c r="B4936" t="s">
        <v>2433</v>
      </c>
      <c r="C4936" t="s">
        <v>923</v>
      </c>
      <c r="D4936" t="s">
        <v>3063</v>
      </c>
      <c r="E4936" t="s">
        <v>3053</v>
      </c>
      <c r="F4936" t="s">
        <v>569</v>
      </c>
      <c r="G4936" t="s">
        <v>570</v>
      </c>
      <c r="H4936" t="s">
        <v>6378</v>
      </c>
      <c r="I4936">
        <v>30</v>
      </c>
      <c r="J4936">
        <v>30</v>
      </c>
      <c r="K4936">
        <v>0</v>
      </c>
      <c r="L4936">
        <v>0</v>
      </c>
      <c r="M4936">
        <v>0</v>
      </c>
      <c r="N4936">
        <v>0</v>
      </c>
      <c r="O4936">
        <v>0</v>
      </c>
    </row>
    <row r="4937" spans="1:15" x14ac:dyDescent="0.25">
      <c r="A4937" t="s">
        <v>1009</v>
      </c>
      <c r="B4937" t="s">
        <v>1958</v>
      </c>
      <c r="C4937" t="s">
        <v>923</v>
      </c>
      <c r="D4937" t="s">
        <v>3063</v>
      </c>
      <c r="E4937" t="s">
        <v>3053</v>
      </c>
      <c r="F4937" t="s">
        <v>569</v>
      </c>
      <c r="G4937" t="s">
        <v>570</v>
      </c>
      <c r="H4937" t="s">
        <v>6379</v>
      </c>
      <c r="I4937">
        <v>81</v>
      </c>
      <c r="J4937">
        <v>0</v>
      </c>
      <c r="K4937">
        <v>0</v>
      </c>
      <c r="L4937">
        <v>81</v>
      </c>
      <c r="M4937">
        <v>0</v>
      </c>
      <c r="N4937">
        <v>0</v>
      </c>
      <c r="O4937">
        <v>0</v>
      </c>
    </row>
    <row r="4938" spans="1:15" x14ac:dyDescent="0.25">
      <c r="A4938" t="s">
        <v>1488</v>
      </c>
      <c r="B4938" t="s">
        <v>2492</v>
      </c>
      <c r="C4938" t="s">
        <v>923</v>
      </c>
      <c r="D4938" t="s">
        <v>3063</v>
      </c>
      <c r="E4938" t="s">
        <v>3053</v>
      </c>
      <c r="F4938" t="s">
        <v>569</v>
      </c>
      <c r="G4938" t="s">
        <v>570</v>
      </c>
      <c r="H4938" t="s">
        <v>6380</v>
      </c>
      <c r="I4938">
        <v>40</v>
      </c>
      <c r="J4938">
        <v>40</v>
      </c>
      <c r="K4938">
        <v>0</v>
      </c>
      <c r="L4938">
        <v>0</v>
      </c>
      <c r="M4938">
        <v>0</v>
      </c>
      <c r="N4938">
        <v>0</v>
      </c>
      <c r="O4938">
        <v>0</v>
      </c>
    </row>
    <row r="4939" spans="1:15" x14ac:dyDescent="0.25">
      <c r="A4939" t="s">
        <v>1489</v>
      </c>
      <c r="B4939" t="s">
        <v>2047</v>
      </c>
      <c r="C4939" t="s">
        <v>923</v>
      </c>
      <c r="D4939" t="s">
        <v>3063</v>
      </c>
      <c r="E4939" t="s">
        <v>3053</v>
      </c>
      <c r="F4939" t="s">
        <v>569</v>
      </c>
      <c r="G4939" t="s">
        <v>570</v>
      </c>
      <c r="H4939" t="s">
        <v>6381</v>
      </c>
      <c r="I4939">
        <v>136</v>
      </c>
      <c r="J4939">
        <v>0</v>
      </c>
      <c r="K4939">
        <v>0</v>
      </c>
      <c r="L4939">
        <v>136</v>
      </c>
      <c r="M4939">
        <v>0</v>
      </c>
      <c r="N4939">
        <v>1</v>
      </c>
      <c r="O4939">
        <v>0</v>
      </c>
    </row>
    <row r="4940" spans="1:15" x14ac:dyDescent="0.25">
      <c r="A4940" t="s">
        <v>1490</v>
      </c>
      <c r="B4940" t="s">
        <v>2407</v>
      </c>
      <c r="C4940" t="s">
        <v>923</v>
      </c>
      <c r="D4940" t="s">
        <v>3063</v>
      </c>
      <c r="E4940" t="s">
        <v>3053</v>
      </c>
      <c r="F4940" t="s">
        <v>569</v>
      </c>
      <c r="G4940" t="s">
        <v>570</v>
      </c>
      <c r="H4940" t="s">
        <v>6382</v>
      </c>
      <c r="I4940">
        <v>42</v>
      </c>
      <c r="J4940">
        <v>42</v>
      </c>
      <c r="K4940">
        <v>0</v>
      </c>
      <c r="L4940">
        <v>0</v>
      </c>
      <c r="M4940">
        <v>0</v>
      </c>
      <c r="N4940">
        <v>0</v>
      </c>
      <c r="O4940">
        <v>0</v>
      </c>
    </row>
    <row r="4941" spans="1:15" x14ac:dyDescent="0.25">
      <c r="A4941" t="s">
        <v>937</v>
      </c>
      <c r="B4941" t="s">
        <v>1962</v>
      </c>
      <c r="C4941" t="s">
        <v>927</v>
      </c>
      <c r="D4941" t="s">
        <v>3052</v>
      </c>
      <c r="E4941" t="s">
        <v>3053</v>
      </c>
      <c r="F4941" t="s">
        <v>569</v>
      </c>
      <c r="G4941" t="s">
        <v>570</v>
      </c>
      <c r="H4941" t="s">
        <v>6383</v>
      </c>
      <c r="I4941">
        <v>25</v>
      </c>
      <c r="J4941">
        <v>0</v>
      </c>
      <c r="K4941">
        <v>0</v>
      </c>
      <c r="L4941">
        <v>0</v>
      </c>
      <c r="M4941">
        <v>0</v>
      </c>
      <c r="N4941">
        <v>0</v>
      </c>
      <c r="O4941">
        <v>25</v>
      </c>
    </row>
    <row r="4942" spans="1:15" x14ac:dyDescent="0.25">
      <c r="A4942" t="s">
        <v>1011</v>
      </c>
      <c r="B4942" t="s">
        <v>2020</v>
      </c>
      <c r="C4942" t="s">
        <v>927</v>
      </c>
      <c r="D4942" t="s">
        <v>3052</v>
      </c>
      <c r="E4942" t="s">
        <v>3053</v>
      </c>
      <c r="F4942" t="s">
        <v>569</v>
      </c>
      <c r="G4942" t="s">
        <v>570</v>
      </c>
      <c r="H4942" t="s">
        <v>6384</v>
      </c>
      <c r="I4942">
        <v>53</v>
      </c>
      <c r="J4942">
        <v>0</v>
      </c>
      <c r="K4942">
        <v>0</v>
      </c>
      <c r="L4942">
        <v>53</v>
      </c>
      <c r="M4942">
        <v>0</v>
      </c>
      <c r="N4942">
        <v>0</v>
      </c>
      <c r="O4942">
        <v>0</v>
      </c>
    </row>
    <row r="4943" spans="1:15" x14ac:dyDescent="0.25">
      <c r="A4943" t="s">
        <v>1491</v>
      </c>
      <c r="B4943" t="s">
        <v>2438</v>
      </c>
      <c r="C4943" t="s">
        <v>923</v>
      </c>
      <c r="D4943" t="s">
        <v>3063</v>
      </c>
      <c r="E4943" t="s">
        <v>3053</v>
      </c>
      <c r="F4943" t="s">
        <v>569</v>
      </c>
      <c r="G4943" t="s">
        <v>570</v>
      </c>
      <c r="H4943" t="s">
        <v>6385</v>
      </c>
      <c r="I4943">
        <v>34</v>
      </c>
      <c r="J4943">
        <v>34</v>
      </c>
      <c r="K4943">
        <v>0</v>
      </c>
      <c r="L4943">
        <v>0</v>
      </c>
      <c r="M4943">
        <v>0</v>
      </c>
      <c r="N4943">
        <v>0</v>
      </c>
      <c r="O4943">
        <v>0</v>
      </c>
    </row>
    <row r="4944" spans="1:15" x14ac:dyDescent="0.25">
      <c r="A4944" t="s">
        <v>11695</v>
      </c>
      <c r="B4944" t="s">
        <v>2372</v>
      </c>
      <c r="C4944" t="s">
        <v>923</v>
      </c>
      <c r="D4944" t="s">
        <v>3063</v>
      </c>
      <c r="E4944" t="s">
        <v>3053</v>
      </c>
      <c r="F4944" t="s">
        <v>569</v>
      </c>
      <c r="G4944" t="s">
        <v>570</v>
      </c>
      <c r="H4944" t="s">
        <v>12172</v>
      </c>
      <c r="I4944">
        <v>117</v>
      </c>
      <c r="J4944">
        <v>117</v>
      </c>
      <c r="K4944">
        <v>0</v>
      </c>
      <c r="L4944">
        <v>0</v>
      </c>
      <c r="M4944">
        <v>0</v>
      </c>
      <c r="N4944">
        <v>0</v>
      </c>
      <c r="O4944">
        <v>0</v>
      </c>
    </row>
    <row r="4945" spans="1:15" x14ac:dyDescent="0.25">
      <c r="A4945" t="s">
        <v>940</v>
      </c>
      <c r="B4945" t="s">
        <v>2647</v>
      </c>
      <c r="C4945" t="s">
        <v>927</v>
      </c>
      <c r="D4945" t="s">
        <v>3052</v>
      </c>
      <c r="E4945" t="s">
        <v>3053</v>
      </c>
      <c r="F4945" t="s">
        <v>569</v>
      </c>
      <c r="G4945" t="s">
        <v>570</v>
      </c>
      <c r="H4945" t="s">
        <v>6386</v>
      </c>
      <c r="I4945">
        <v>185</v>
      </c>
      <c r="J4945">
        <v>0</v>
      </c>
      <c r="K4945">
        <v>0</v>
      </c>
      <c r="L4945">
        <v>0</v>
      </c>
      <c r="M4945">
        <v>185</v>
      </c>
      <c r="N4945">
        <v>0</v>
      </c>
      <c r="O4945">
        <v>0</v>
      </c>
    </row>
    <row r="4946" spans="1:15" x14ac:dyDescent="0.25">
      <c r="A4946" t="s">
        <v>1013</v>
      </c>
      <c r="B4946" t="s">
        <v>1959</v>
      </c>
      <c r="C4946" t="s">
        <v>927</v>
      </c>
      <c r="D4946" t="s">
        <v>3052</v>
      </c>
      <c r="E4946" t="s">
        <v>3053</v>
      </c>
      <c r="F4946" t="s">
        <v>569</v>
      </c>
      <c r="G4946" t="s">
        <v>570</v>
      </c>
      <c r="H4946" t="s">
        <v>6387</v>
      </c>
      <c r="I4946">
        <v>104</v>
      </c>
      <c r="J4946">
        <v>0</v>
      </c>
      <c r="K4946">
        <v>0</v>
      </c>
      <c r="L4946">
        <v>104</v>
      </c>
      <c r="M4946">
        <v>0</v>
      </c>
      <c r="N4946">
        <v>0</v>
      </c>
      <c r="O4946">
        <v>0</v>
      </c>
    </row>
    <row r="4947" spans="1:15" x14ac:dyDescent="0.25">
      <c r="A4947" t="s">
        <v>1500</v>
      </c>
      <c r="B4947" t="s">
        <v>2072</v>
      </c>
      <c r="C4947" t="s">
        <v>923</v>
      </c>
      <c r="D4947" t="s">
        <v>3063</v>
      </c>
      <c r="E4947" t="s">
        <v>3053</v>
      </c>
      <c r="F4947" t="s">
        <v>569</v>
      </c>
      <c r="G4947" t="s">
        <v>570</v>
      </c>
      <c r="H4947" t="s">
        <v>6388</v>
      </c>
      <c r="I4947">
        <v>64</v>
      </c>
      <c r="J4947">
        <v>64</v>
      </c>
      <c r="K4947">
        <v>0</v>
      </c>
      <c r="L4947">
        <v>0</v>
      </c>
      <c r="M4947">
        <v>0</v>
      </c>
      <c r="N4947">
        <v>0</v>
      </c>
      <c r="O4947">
        <v>0</v>
      </c>
    </row>
    <row r="4948" spans="1:15" x14ac:dyDescent="0.25">
      <c r="A4948" t="s">
        <v>1502</v>
      </c>
      <c r="B4948" t="s">
        <v>2502</v>
      </c>
      <c r="C4948" t="s">
        <v>923</v>
      </c>
      <c r="D4948" t="s">
        <v>3063</v>
      </c>
      <c r="E4948" t="s">
        <v>3053</v>
      </c>
      <c r="F4948" t="s">
        <v>569</v>
      </c>
      <c r="G4948" t="s">
        <v>570</v>
      </c>
      <c r="H4948" t="s">
        <v>6389</v>
      </c>
      <c r="I4948">
        <v>48</v>
      </c>
      <c r="J4948">
        <v>48</v>
      </c>
      <c r="K4948">
        <v>0</v>
      </c>
      <c r="L4948">
        <v>0</v>
      </c>
      <c r="M4948">
        <v>0</v>
      </c>
      <c r="N4948">
        <v>0</v>
      </c>
      <c r="O4948">
        <v>0</v>
      </c>
    </row>
    <row r="4949" spans="1:15" x14ac:dyDescent="0.25">
      <c r="A4949" t="s">
        <v>1503</v>
      </c>
      <c r="B4949" t="s">
        <v>2368</v>
      </c>
      <c r="C4949" t="s">
        <v>923</v>
      </c>
      <c r="D4949" t="s">
        <v>3063</v>
      </c>
      <c r="E4949" t="s">
        <v>3053</v>
      </c>
      <c r="F4949" t="s">
        <v>569</v>
      </c>
      <c r="G4949" t="s">
        <v>570</v>
      </c>
      <c r="H4949" t="s">
        <v>6390</v>
      </c>
      <c r="I4949">
        <v>128</v>
      </c>
      <c r="J4949">
        <v>128</v>
      </c>
      <c r="K4949">
        <v>0</v>
      </c>
      <c r="L4949">
        <v>0</v>
      </c>
      <c r="M4949">
        <v>0</v>
      </c>
      <c r="N4949">
        <v>0</v>
      </c>
      <c r="O4949">
        <v>0</v>
      </c>
    </row>
    <row r="4950" spans="1:15" x14ac:dyDescent="0.25">
      <c r="A4950" t="s">
        <v>9821</v>
      </c>
      <c r="B4950" t="s">
        <v>2431</v>
      </c>
      <c r="C4950" t="s">
        <v>923</v>
      </c>
      <c r="D4950" t="s">
        <v>3063</v>
      </c>
      <c r="E4950" t="s">
        <v>3053</v>
      </c>
      <c r="F4950" t="s">
        <v>569</v>
      </c>
      <c r="G4950" t="s">
        <v>570</v>
      </c>
      <c r="H4950" t="s">
        <v>12173</v>
      </c>
      <c r="I4950">
        <v>40</v>
      </c>
      <c r="J4950">
        <v>40</v>
      </c>
      <c r="K4950">
        <v>0</v>
      </c>
      <c r="L4950">
        <v>0</v>
      </c>
      <c r="M4950">
        <v>0</v>
      </c>
      <c r="N4950">
        <v>0</v>
      </c>
      <c r="O4950">
        <v>0</v>
      </c>
    </row>
    <row r="4951" spans="1:15" x14ac:dyDescent="0.25">
      <c r="A4951" t="s">
        <v>1506</v>
      </c>
      <c r="B4951" t="s">
        <v>2402</v>
      </c>
      <c r="C4951" t="s">
        <v>923</v>
      </c>
      <c r="D4951" t="s">
        <v>3063</v>
      </c>
      <c r="E4951" t="s">
        <v>3053</v>
      </c>
      <c r="F4951" t="s">
        <v>569</v>
      </c>
      <c r="G4951" t="s">
        <v>570</v>
      </c>
      <c r="H4951" t="s">
        <v>6391</v>
      </c>
      <c r="I4951">
        <v>37</v>
      </c>
      <c r="J4951">
        <v>37</v>
      </c>
      <c r="K4951">
        <v>0</v>
      </c>
      <c r="L4951">
        <v>0</v>
      </c>
      <c r="M4951">
        <v>0</v>
      </c>
      <c r="N4951">
        <v>0</v>
      </c>
      <c r="O4951">
        <v>0</v>
      </c>
    </row>
    <row r="4952" spans="1:15" x14ac:dyDescent="0.25">
      <c r="A4952" t="s">
        <v>1507</v>
      </c>
      <c r="B4952" t="s">
        <v>2649</v>
      </c>
      <c r="C4952" t="s">
        <v>923</v>
      </c>
      <c r="D4952" t="s">
        <v>3063</v>
      </c>
      <c r="E4952" t="s">
        <v>3053</v>
      </c>
      <c r="F4952" t="s">
        <v>569</v>
      </c>
      <c r="G4952" t="s">
        <v>570</v>
      </c>
      <c r="H4952" t="s">
        <v>6392</v>
      </c>
      <c r="I4952">
        <v>206</v>
      </c>
      <c r="J4952">
        <v>40</v>
      </c>
      <c r="K4952">
        <v>0</v>
      </c>
      <c r="L4952">
        <v>0</v>
      </c>
      <c r="M4952">
        <v>166</v>
      </c>
      <c r="N4952">
        <v>1</v>
      </c>
      <c r="O4952">
        <v>0</v>
      </c>
    </row>
    <row r="4953" spans="1:15" x14ac:dyDescent="0.25">
      <c r="A4953" t="s">
        <v>1508</v>
      </c>
      <c r="B4953" t="s">
        <v>3024</v>
      </c>
      <c r="C4953" t="s">
        <v>927</v>
      </c>
      <c r="D4953" t="s">
        <v>3052</v>
      </c>
      <c r="E4953" t="s">
        <v>3053</v>
      </c>
      <c r="F4953" t="s">
        <v>569</v>
      </c>
      <c r="G4953" t="s">
        <v>570</v>
      </c>
      <c r="H4953" t="s">
        <v>12174</v>
      </c>
      <c r="I4953">
        <v>10</v>
      </c>
      <c r="J4953">
        <v>10</v>
      </c>
      <c r="K4953">
        <v>0</v>
      </c>
      <c r="L4953">
        <v>0</v>
      </c>
      <c r="M4953">
        <v>0</v>
      </c>
      <c r="N4953">
        <v>0</v>
      </c>
      <c r="O4953">
        <v>0</v>
      </c>
    </row>
    <row r="4954" spans="1:15" x14ac:dyDescent="0.25">
      <c r="A4954" t="s">
        <v>1509</v>
      </c>
      <c r="B4954" t="s">
        <v>2354</v>
      </c>
      <c r="C4954" t="s">
        <v>923</v>
      </c>
      <c r="D4954" t="s">
        <v>3063</v>
      </c>
      <c r="E4954" t="s">
        <v>3053</v>
      </c>
      <c r="F4954" t="s">
        <v>569</v>
      </c>
      <c r="G4954" t="s">
        <v>570</v>
      </c>
      <c r="H4954" t="s">
        <v>6393</v>
      </c>
      <c r="I4954">
        <v>215</v>
      </c>
      <c r="J4954">
        <v>215</v>
      </c>
      <c r="K4954">
        <v>0</v>
      </c>
      <c r="L4954">
        <v>0</v>
      </c>
      <c r="M4954">
        <v>0</v>
      </c>
      <c r="N4954">
        <v>0</v>
      </c>
      <c r="O4954">
        <v>0</v>
      </c>
    </row>
    <row r="4955" spans="1:15" x14ac:dyDescent="0.25">
      <c r="A4955" t="s">
        <v>943</v>
      </c>
      <c r="B4955" t="s">
        <v>2694</v>
      </c>
      <c r="C4955" t="s">
        <v>927</v>
      </c>
      <c r="D4955" t="s">
        <v>3052</v>
      </c>
      <c r="E4955" t="s">
        <v>3053</v>
      </c>
      <c r="F4955" t="s">
        <v>569</v>
      </c>
      <c r="G4955" t="s">
        <v>570</v>
      </c>
      <c r="H4955" t="s">
        <v>14888</v>
      </c>
      <c r="I4955">
        <v>1</v>
      </c>
      <c r="J4955">
        <v>0</v>
      </c>
      <c r="K4955">
        <v>0</v>
      </c>
      <c r="L4955">
        <v>0</v>
      </c>
      <c r="M4955">
        <v>0</v>
      </c>
      <c r="N4955">
        <v>0</v>
      </c>
      <c r="O4955">
        <v>1</v>
      </c>
    </row>
    <row r="4956" spans="1:15" x14ac:dyDescent="0.25">
      <c r="A4956" t="s">
        <v>9823</v>
      </c>
      <c r="B4956" t="s">
        <v>2450</v>
      </c>
      <c r="C4956" t="s">
        <v>923</v>
      </c>
      <c r="D4956" t="s">
        <v>3063</v>
      </c>
      <c r="E4956" t="s">
        <v>3053</v>
      </c>
      <c r="F4956" t="s">
        <v>569</v>
      </c>
      <c r="G4956" t="s">
        <v>570</v>
      </c>
      <c r="H4956" t="s">
        <v>10207</v>
      </c>
      <c r="I4956">
        <v>54</v>
      </c>
      <c r="J4956">
        <v>54</v>
      </c>
      <c r="K4956">
        <v>0</v>
      </c>
      <c r="L4956">
        <v>0</v>
      </c>
      <c r="M4956">
        <v>0</v>
      </c>
      <c r="N4956">
        <v>0</v>
      </c>
      <c r="O4956">
        <v>0</v>
      </c>
    </row>
    <row r="4957" spans="1:15" x14ac:dyDescent="0.25">
      <c r="A4957" t="s">
        <v>1031</v>
      </c>
      <c r="B4957" t="s">
        <v>2779</v>
      </c>
      <c r="C4957" t="s">
        <v>927</v>
      </c>
      <c r="D4957" t="s">
        <v>3052</v>
      </c>
      <c r="E4957" t="s">
        <v>3053</v>
      </c>
      <c r="F4957" t="s">
        <v>569</v>
      </c>
      <c r="G4957" t="s">
        <v>570</v>
      </c>
      <c r="H4957" t="s">
        <v>6394</v>
      </c>
      <c r="I4957">
        <v>21</v>
      </c>
      <c r="J4957">
        <v>21</v>
      </c>
      <c r="K4957">
        <v>0</v>
      </c>
      <c r="L4957">
        <v>0</v>
      </c>
      <c r="M4957">
        <v>0</v>
      </c>
      <c r="N4957">
        <v>0</v>
      </c>
      <c r="O4957">
        <v>0</v>
      </c>
    </row>
    <row r="4958" spans="1:15" x14ac:dyDescent="0.25">
      <c r="A4958" t="s">
        <v>1302</v>
      </c>
      <c r="B4958" t="s">
        <v>1961</v>
      </c>
      <c r="C4958" t="s">
        <v>923</v>
      </c>
      <c r="D4958" t="s">
        <v>3063</v>
      </c>
      <c r="E4958" t="s">
        <v>3053</v>
      </c>
      <c r="F4958" t="s">
        <v>569</v>
      </c>
      <c r="G4958" t="s">
        <v>570</v>
      </c>
      <c r="H4958" t="s">
        <v>6395</v>
      </c>
      <c r="I4958">
        <v>13</v>
      </c>
      <c r="J4958">
        <v>0</v>
      </c>
      <c r="K4958">
        <v>0</v>
      </c>
      <c r="L4958">
        <v>13</v>
      </c>
      <c r="M4958">
        <v>0</v>
      </c>
      <c r="N4958">
        <v>0</v>
      </c>
      <c r="O4958">
        <v>0</v>
      </c>
    </row>
    <row r="4959" spans="1:15" x14ac:dyDescent="0.25">
      <c r="A4959" t="s">
        <v>1518</v>
      </c>
      <c r="B4959" t="s">
        <v>2413</v>
      </c>
      <c r="C4959" t="s">
        <v>923</v>
      </c>
      <c r="D4959" t="s">
        <v>3063</v>
      </c>
      <c r="E4959" t="s">
        <v>3053</v>
      </c>
      <c r="F4959" t="s">
        <v>569</v>
      </c>
      <c r="G4959" t="s">
        <v>570</v>
      </c>
      <c r="H4959" t="s">
        <v>6396</v>
      </c>
      <c r="I4959">
        <v>90</v>
      </c>
      <c r="J4959">
        <v>90</v>
      </c>
      <c r="K4959">
        <v>0</v>
      </c>
      <c r="L4959">
        <v>0</v>
      </c>
      <c r="M4959">
        <v>0</v>
      </c>
      <c r="N4959">
        <v>0</v>
      </c>
      <c r="O4959">
        <v>0</v>
      </c>
    </row>
    <row r="4960" spans="1:15" x14ac:dyDescent="0.25">
      <c r="A4960" t="s">
        <v>1520</v>
      </c>
      <c r="B4960" t="s">
        <v>2058</v>
      </c>
      <c r="C4960" t="s">
        <v>927</v>
      </c>
      <c r="D4960" t="s">
        <v>3052</v>
      </c>
      <c r="E4960" t="s">
        <v>3053</v>
      </c>
      <c r="F4960" t="s">
        <v>569</v>
      </c>
      <c r="G4960" t="s">
        <v>570</v>
      </c>
      <c r="H4960" t="s">
        <v>6397</v>
      </c>
      <c r="I4960">
        <v>982</v>
      </c>
      <c r="J4960">
        <v>883</v>
      </c>
      <c r="K4960">
        <v>0</v>
      </c>
      <c r="L4960">
        <v>53</v>
      </c>
      <c r="M4960">
        <v>0</v>
      </c>
      <c r="N4960">
        <v>0</v>
      </c>
      <c r="O4960">
        <v>46</v>
      </c>
    </row>
    <row r="4961" spans="1:15" x14ac:dyDescent="0.25">
      <c r="A4961" t="s">
        <v>1521</v>
      </c>
      <c r="B4961" t="s">
        <v>2920</v>
      </c>
      <c r="C4961" t="s">
        <v>927</v>
      </c>
      <c r="D4961" t="s">
        <v>3052</v>
      </c>
      <c r="E4961" t="s">
        <v>3053</v>
      </c>
      <c r="F4961" t="s">
        <v>569</v>
      </c>
      <c r="G4961" t="s">
        <v>570</v>
      </c>
      <c r="H4961" t="s">
        <v>6398</v>
      </c>
      <c r="I4961">
        <v>6593</v>
      </c>
      <c r="J4961">
        <v>5457</v>
      </c>
      <c r="K4961">
        <v>0</v>
      </c>
      <c r="L4961">
        <v>540</v>
      </c>
      <c r="M4961">
        <v>456</v>
      </c>
      <c r="N4961">
        <v>0</v>
      </c>
      <c r="O4961">
        <v>140</v>
      </c>
    </row>
    <row r="4962" spans="1:15" x14ac:dyDescent="0.25">
      <c r="A4962" t="s">
        <v>1046</v>
      </c>
      <c r="B4962" t="s">
        <v>2027</v>
      </c>
      <c r="C4962" t="s">
        <v>923</v>
      </c>
      <c r="D4962" t="s">
        <v>3063</v>
      </c>
      <c r="E4962" t="s">
        <v>3053</v>
      </c>
      <c r="F4962" t="s">
        <v>569</v>
      </c>
      <c r="G4962" t="s">
        <v>570</v>
      </c>
      <c r="H4962" t="s">
        <v>6399</v>
      </c>
      <c r="I4962">
        <v>2</v>
      </c>
      <c r="J4962">
        <v>2</v>
      </c>
      <c r="K4962">
        <v>0</v>
      </c>
      <c r="L4962">
        <v>0</v>
      </c>
      <c r="M4962">
        <v>0</v>
      </c>
      <c r="N4962">
        <v>0</v>
      </c>
      <c r="O4962">
        <v>0</v>
      </c>
    </row>
    <row r="4963" spans="1:15" x14ac:dyDescent="0.25">
      <c r="A4963" t="s">
        <v>1524</v>
      </c>
      <c r="B4963" t="s">
        <v>2802</v>
      </c>
      <c r="C4963" t="s">
        <v>923</v>
      </c>
      <c r="D4963" t="s">
        <v>3063</v>
      </c>
      <c r="E4963" t="s">
        <v>3053</v>
      </c>
      <c r="F4963" t="s">
        <v>569</v>
      </c>
      <c r="G4963" t="s">
        <v>570</v>
      </c>
      <c r="H4963" t="s">
        <v>6400</v>
      </c>
      <c r="I4963">
        <v>411</v>
      </c>
      <c r="J4963">
        <v>373</v>
      </c>
      <c r="K4963">
        <v>0</v>
      </c>
      <c r="L4963">
        <v>38</v>
      </c>
      <c r="M4963">
        <v>0</v>
      </c>
      <c r="N4963">
        <v>0</v>
      </c>
      <c r="O4963">
        <v>0</v>
      </c>
    </row>
    <row r="4964" spans="1:15" x14ac:dyDescent="0.25">
      <c r="A4964" t="s">
        <v>951</v>
      </c>
      <c r="B4964" t="s">
        <v>2680</v>
      </c>
      <c r="C4964" t="s">
        <v>927</v>
      </c>
      <c r="D4964" t="s">
        <v>3052</v>
      </c>
      <c r="E4964" t="s">
        <v>3053</v>
      </c>
      <c r="F4964" t="s">
        <v>569</v>
      </c>
      <c r="G4964" t="s">
        <v>570</v>
      </c>
      <c r="H4964" t="s">
        <v>6401</v>
      </c>
      <c r="I4964">
        <v>1</v>
      </c>
      <c r="J4964">
        <v>0</v>
      </c>
      <c r="K4964">
        <v>0</v>
      </c>
      <c r="L4964">
        <v>0</v>
      </c>
      <c r="M4964">
        <v>0</v>
      </c>
      <c r="N4964">
        <v>0</v>
      </c>
      <c r="O4964">
        <v>1</v>
      </c>
    </row>
    <row r="4965" spans="1:15" x14ac:dyDescent="0.25">
      <c r="A4965" t="s">
        <v>1048</v>
      </c>
      <c r="B4965" t="s">
        <v>2989</v>
      </c>
      <c r="C4965" t="s">
        <v>927</v>
      </c>
      <c r="D4965" t="s">
        <v>3052</v>
      </c>
      <c r="E4965" t="s">
        <v>3053</v>
      </c>
      <c r="F4965" t="s">
        <v>569</v>
      </c>
      <c r="G4965" t="s">
        <v>570</v>
      </c>
      <c r="H4965" t="s">
        <v>14889</v>
      </c>
      <c r="I4965">
        <v>1</v>
      </c>
      <c r="J4965">
        <v>0</v>
      </c>
      <c r="K4965">
        <v>0</v>
      </c>
      <c r="L4965">
        <v>1</v>
      </c>
      <c r="M4965">
        <v>0</v>
      </c>
      <c r="N4965">
        <v>0</v>
      </c>
      <c r="O4965">
        <v>0</v>
      </c>
    </row>
    <row r="4966" spans="1:15" x14ac:dyDescent="0.25">
      <c r="A4966" t="s">
        <v>1525</v>
      </c>
      <c r="B4966" t="s">
        <v>2908</v>
      </c>
      <c r="C4966" t="s">
        <v>927</v>
      </c>
      <c r="D4966" t="s">
        <v>3052</v>
      </c>
      <c r="E4966" t="s">
        <v>3053</v>
      </c>
      <c r="F4966" t="s">
        <v>569</v>
      </c>
      <c r="G4966" t="s">
        <v>570</v>
      </c>
      <c r="H4966" t="s">
        <v>6402</v>
      </c>
      <c r="I4966">
        <v>4937</v>
      </c>
      <c r="J4966">
        <v>4560</v>
      </c>
      <c r="K4966">
        <v>0</v>
      </c>
      <c r="L4966">
        <v>37</v>
      </c>
      <c r="M4966">
        <v>249</v>
      </c>
      <c r="N4966">
        <v>0</v>
      </c>
      <c r="O4966">
        <v>91</v>
      </c>
    </row>
    <row r="4967" spans="1:15" x14ac:dyDescent="0.25">
      <c r="A4967" t="s">
        <v>10707</v>
      </c>
      <c r="B4967" t="s">
        <v>2714</v>
      </c>
      <c r="C4967" t="s">
        <v>927</v>
      </c>
      <c r="D4967" t="s">
        <v>3052</v>
      </c>
      <c r="E4967" t="s">
        <v>3053</v>
      </c>
      <c r="F4967" t="s">
        <v>569</v>
      </c>
      <c r="G4967" t="s">
        <v>570</v>
      </c>
      <c r="H4967" t="s">
        <v>11123</v>
      </c>
      <c r="I4967">
        <v>862</v>
      </c>
      <c r="J4967">
        <v>777</v>
      </c>
      <c r="K4967">
        <v>0</v>
      </c>
      <c r="L4967">
        <v>23</v>
      </c>
      <c r="M4967">
        <v>62</v>
      </c>
      <c r="N4967">
        <v>0</v>
      </c>
      <c r="O4967">
        <v>0</v>
      </c>
    </row>
    <row r="4968" spans="1:15" x14ac:dyDescent="0.25">
      <c r="A4968" t="s">
        <v>1526</v>
      </c>
      <c r="B4968" t="s">
        <v>2425</v>
      </c>
      <c r="C4968" t="s">
        <v>923</v>
      </c>
      <c r="D4968" t="s">
        <v>3063</v>
      </c>
      <c r="E4968" t="s">
        <v>3053</v>
      </c>
      <c r="F4968" t="s">
        <v>569</v>
      </c>
      <c r="G4968" t="s">
        <v>570</v>
      </c>
      <c r="H4968" t="s">
        <v>6403</v>
      </c>
      <c r="I4968">
        <v>19</v>
      </c>
      <c r="J4968">
        <v>19</v>
      </c>
      <c r="K4968">
        <v>0</v>
      </c>
      <c r="L4968">
        <v>0</v>
      </c>
      <c r="M4968">
        <v>0</v>
      </c>
      <c r="N4968">
        <v>0</v>
      </c>
      <c r="O4968">
        <v>0</v>
      </c>
    </row>
    <row r="4969" spans="1:15" x14ac:dyDescent="0.25">
      <c r="A4969" t="s">
        <v>9824</v>
      </c>
      <c r="B4969" t="s">
        <v>2371</v>
      </c>
      <c r="C4969" t="s">
        <v>923</v>
      </c>
      <c r="D4969" t="s">
        <v>3063</v>
      </c>
      <c r="E4969" t="s">
        <v>3053</v>
      </c>
      <c r="F4969" t="s">
        <v>569</v>
      </c>
      <c r="G4969" t="s">
        <v>570</v>
      </c>
      <c r="H4969" t="s">
        <v>10317</v>
      </c>
      <c r="I4969">
        <v>99</v>
      </c>
      <c r="J4969">
        <v>99</v>
      </c>
      <c r="K4969">
        <v>0</v>
      </c>
      <c r="L4969">
        <v>0</v>
      </c>
      <c r="M4969">
        <v>0</v>
      </c>
      <c r="N4969">
        <v>0</v>
      </c>
      <c r="O4969">
        <v>0</v>
      </c>
    </row>
    <row r="4970" spans="1:15" x14ac:dyDescent="0.25">
      <c r="A4970" t="s">
        <v>1051</v>
      </c>
      <c r="B4970" t="s">
        <v>2995</v>
      </c>
      <c r="C4970" t="s">
        <v>927</v>
      </c>
      <c r="D4970" t="s">
        <v>3052</v>
      </c>
      <c r="E4970" t="s">
        <v>3053</v>
      </c>
      <c r="F4970" t="s">
        <v>569</v>
      </c>
      <c r="G4970" t="s">
        <v>570</v>
      </c>
      <c r="H4970" t="s">
        <v>6404</v>
      </c>
      <c r="I4970">
        <v>102</v>
      </c>
      <c r="J4970">
        <v>0</v>
      </c>
      <c r="K4970">
        <v>0</v>
      </c>
      <c r="L4970">
        <v>102</v>
      </c>
      <c r="M4970">
        <v>0</v>
      </c>
      <c r="N4970">
        <v>0</v>
      </c>
      <c r="O4970">
        <v>0</v>
      </c>
    </row>
    <row r="4971" spans="1:15" x14ac:dyDescent="0.25">
      <c r="A4971" t="s">
        <v>10711</v>
      </c>
      <c r="B4971" t="s">
        <v>10710</v>
      </c>
      <c r="C4971" t="s">
        <v>923</v>
      </c>
      <c r="D4971" t="s">
        <v>3063</v>
      </c>
      <c r="E4971" t="s">
        <v>3053</v>
      </c>
      <c r="F4971" t="s">
        <v>569</v>
      </c>
      <c r="G4971" t="s">
        <v>570</v>
      </c>
      <c r="H4971" t="s">
        <v>11124</v>
      </c>
      <c r="I4971">
        <v>7</v>
      </c>
      <c r="J4971">
        <v>7</v>
      </c>
      <c r="K4971">
        <v>0</v>
      </c>
      <c r="L4971">
        <v>0</v>
      </c>
      <c r="M4971">
        <v>0</v>
      </c>
      <c r="N4971">
        <v>0</v>
      </c>
      <c r="O4971">
        <v>0</v>
      </c>
    </row>
    <row r="4972" spans="1:15" x14ac:dyDescent="0.25">
      <c r="A4972" t="s">
        <v>1528</v>
      </c>
      <c r="B4972" t="s">
        <v>2698</v>
      </c>
      <c r="C4972" t="s">
        <v>923</v>
      </c>
      <c r="D4972" t="s">
        <v>3063</v>
      </c>
      <c r="E4972" t="s">
        <v>3053</v>
      </c>
      <c r="F4972" t="s">
        <v>569</v>
      </c>
      <c r="G4972" t="s">
        <v>570</v>
      </c>
      <c r="H4972" t="s">
        <v>6405</v>
      </c>
      <c r="I4972">
        <v>128</v>
      </c>
      <c r="J4972">
        <v>70</v>
      </c>
      <c r="K4972">
        <v>0</v>
      </c>
      <c r="L4972">
        <v>58</v>
      </c>
      <c r="M4972">
        <v>0</v>
      </c>
      <c r="N4972">
        <v>0</v>
      </c>
      <c r="O4972">
        <v>0</v>
      </c>
    </row>
    <row r="4973" spans="1:15" x14ac:dyDescent="0.25">
      <c r="A4973" t="s">
        <v>1529</v>
      </c>
      <c r="B4973" t="s">
        <v>1954</v>
      </c>
      <c r="C4973" t="s">
        <v>927</v>
      </c>
      <c r="D4973" t="s">
        <v>3052</v>
      </c>
      <c r="E4973" t="s">
        <v>3053</v>
      </c>
      <c r="F4973" t="s">
        <v>569</v>
      </c>
      <c r="G4973" t="s">
        <v>570</v>
      </c>
      <c r="H4973" t="s">
        <v>6406</v>
      </c>
      <c r="I4973">
        <v>942</v>
      </c>
      <c r="J4973">
        <v>654</v>
      </c>
      <c r="K4973">
        <v>0</v>
      </c>
      <c r="L4973">
        <v>53</v>
      </c>
      <c r="M4973">
        <v>162</v>
      </c>
      <c r="N4973">
        <v>0</v>
      </c>
      <c r="O4973">
        <v>73</v>
      </c>
    </row>
    <row r="4974" spans="1:15" x14ac:dyDescent="0.25">
      <c r="A4974" t="s">
        <v>953</v>
      </c>
      <c r="B4974" t="s">
        <v>2014</v>
      </c>
      <c r="C4974" t="s">
        <v>927</v>
      </c>
      <c r="D4974" t="s">
        <v>3052</v>
      </c>
      <c r="E4974" t="s">
        <v>3053</v>
      </c>
      <c r="F4974" t="s">
        <v>569</v>
      </c>
      <c r="G4974" t="s">
        <v>570</v>
      </c>
      <c r="H4974" t="s">
        <v>6407</v>
      </c>
      <c r="I4974">
        <v>12</v>
      </c>
      <c r="J4974">
        <v>0</v>
      </c>
      <c r="K4974">
        <v>0</v>
      </c>
      <c r="L4974">
        <v>12</v>
      </c>
      <c r="M4974">
        <v>0</v>
      </c>
      <c r="N4974">
        <v>0</v>
      </c>
      <c r="O4974">
        <v>0</v>
      </c>
    </row>
    <row r="4975" spans="1:15" x14ac:dyDescent="0.25">
      <c r="A4975" t="s">
        <v>1053</v>
      </c>
      <c r="B4975" t="s">
        <v>2860</v>
      </c>
      <c r="C4975" t="s">
        <v>923</v>
      </c>
      <c r="D4975" t="s">
        <v>3063</v>
      </c>
      <c r="E4975" t="s">
        <v>3053</v>
      </c>
      <c r="F4975" t="s">
        <v>569</v>
      </c>
      <c r="G4975" t="s">
        <v>570</v>
      </c>
      <c r="H4975" t="s">
        <v>6408</v>
      </c>
      <c r="I4975">
        <v>46</v>
      </c>
      <c r="J4975">
        <v>0</v>
      </c>
      <c r="K4975">
        <v>0</v>
      </c>
      <c r="L4975">
        <v>0</v>
      </c>
      <c r="M4975">
        <v>46</v>
      </c>
      <c r="N4975">
        <v>0</v>
      </c>
      <c r="O4975">
        <v>0</v>
      </c>
    </row>
    <row r="4976" spans="1:15" x14ac:dyDescent="0.25">
      <c r="A4976" t="s">
        <v>1056</v>
      </c>
      <c r="B4976" t="s">
        <v>2966</v>
      </c>
      <c r="C4976" t="s">
        <v>927</v>
      </c>
      <c r="D4976" t="s">
        <v>3052</v>
      </c>
      <c r="E4976" t="s">
        <v>3053</v>
      </c>
      <c r="F4976" t="s">
        <v>569</v>
      </c>
      <c r="G4976" t="s">
        <v>570</v>
      </c>
      <c r="H4976" t="s">
        <v>6409</v>
      </c>
      <c r="I4976">
        <v>142</v>
      </c>
      <c r="J4976">
        <v>6</v>
      </c>
      <c r="K4976">
        <v>0</v>
      </c>
      <c r="L4976">
        <v>136</v>
      </c>
      <c r="M4976">
        <v>0</v>
      </c>
      <c r="N4976">
        <v>0</v>
      </c>
      <c r="O4976">
        <v>0</v>
      </c>
    </row>
    <row r="4977" spans="1:15" x14ac:dyDescent="0.25">
      <c r="A4977" t="s">
        <v>1057</v>
      </c>
      <c r="B4977" t="s">
        <v>1972</v>
      </c>
      <c r="C4977" t="s">
        <v>927</v>
      </c>
      <c r="D4977" t="s">
        <v>3052</v>
      </c>
      <c r="E4977" t="s">
        <v>3053</v>
      </c>
      <c r="F4977" t="s">
        <v>569</v>
      </c>
      <c r="G4977" t="s">
        <v>570</v>
      </c>
      <c r="H4977" t="s">
        <v>6410</v>
      </c>
      <c r="I4977">
        <v>42</v>
      </c>
      <c r="J4977">
        <v>28</v>
      </c>
      <c r="K4977">
        <v>0</v>
      </c>
      <c r="L4977">
        <v>0</v>
      </c>
      <c r="M4977">
        <v>0</v>
      </c>
      <c r="N4977">
        <v>0</v>
      </c>
      <c r="O4977">
        <v>14</v>
      </c>
    </row>
    <row r="4978" spans="1:15" x14ac:dyDescent="0.25">
      <c r="A4978" t="s">
        <v>955</v>
      </c>
      <c r="B4978" t="s">
        <v>2660</v>
      </c>
      <c r="C4978" t="s">
        <v>927</v>
      </c>
      <c r="D4978" t="s">
        <v>3052</v>
      </c>
      <c r="E4978" t="s">
        <v>3053</v>
      </c>
      <c r="F4978" t="s">
        <v>569</v>
      </c>
      <c r="G4978" t="s">
        <v>570</v>
      </c>
      <c r="H4978" t="s">
        <v>6411</v>
      </c>
      <c r="I4978">
        <v>1022</v>
      </c>
      <c r="J4978">
        <v>856</v>
      </c>
      <c r="K4978">
        <v>0</v>
      </c>
      <c r="L4978">
        <v>97</v>
      </c>
      <c r="M4978">
        <v>40</v>
      </c>
      <c r="N4978">
        <v>3</v>
      </c>
      <c r="O4978">
        <v>29</v>
      </c>
    </row>
    <row r="4979" spans="1:15" x14ac:dyDescent="0.25">
      <c r="A4979" t="s">
        <v>1534</v>
      </c>
      <c r="B4979" t="s">
        <v>2452</v>
      </c>
      <c r="C4979" t="s">
        <v>923</v>
      </c>
      <c r="D4979" t="s">
        <v>3063</v>
      </c>
      <c r="E4979" t="s">
        <v>3053</v>
      </c>
      <c r="F4979" t="s">
        <v>569</v>
      </c>
      <c r="G4979" t="s">
        <v>570</v>
      </c>
      <c r="H4979" t="s">
        <v>6412</v>
      </c>
      <c r="I4979">
        <v>46</v>
      </c>
      <c r="J4979">
        <v>46</v>
      </c>
      <c r="K4979">
        <v>0</v>
      </c>
      <c r="L4979">
        <v>0</v>
      </c>
      <c r="M4979">
        <v>0</v>
      </c>
      <c r="N4979">
        <v>0</v>
      </c>
      <c r="O4979">
        <v>0</v>
      </c>
    </row>
    <row r="4980" spans="1:15" x14ac:dyDescent="0.25">
      <c r="A4980" t="s">
        <v>1538</v>
      </c>
      <c r="B4980" t="s">
        <v>2843</v>
      </c>
      <c r="C4980" t="s">
        <v>927</v>
      </c>
      <c r="D4980" t="s">
        <v>3052</v>
      </c>
      <c r="E4980" t="s">
        <v>3053</v>
      </c>
      <c r="F4980" t="s">
        <v>569</v>
      </c>
      <c r="G4980" t="s">
        <v>570</v>
      </c>
      <c r="H4980" t="s">
        <v>6413</v>
      </c>
      <c r="I4980">
        <v>3822</v>
      </c>
      <c r="J4980">
        <v>3660</v>
      </c>
      <c r="K4980">
        <v>0</v>
      </c>
      <c r="L4980">
        <v>3</v>
      </c>
      <c r="M4980">
        <v>118</v>
      </c>
      <c r="N4980">
        <v>1</v>
      </c>
      <c r="O4980">
        <v>41</v>
      </c>
    </row>
    <row r="4981" spans="1:15" x14ac:dyDescent="0.25">
      <c r="A4981" t="s">
        <v>1540</v>
      </c>
      <c r="B4981" t="s">
        <v>2441</v>
      </c>
      <c r="C4981" t="s">
        <v>923</v>
      </c>
      <c r="D4981" t="s">
        <v>3063</v>
      </c>
      <c r="E4981" t="s">
        <v>3053</v>
      </c>
      <c r="F4981" t="s">
        <v>569</v>
      </c>
      <c r="G4981" t="s">
        <v>570</v>
      </c>
      <c r="H4981" t="s">
        <v>6414</v>
      </c>
      <c r="I4981">
        <v>40</v>
      </c>
      <c r="J4981">
        <v>40</v>
      </c>
      <c r="K4981">
        <v>0</v>
      </c>
      <c r="L4981">
        <v>0</v>
      </c>
      <c r="M4981">
        <v>0</v>
      </c>
      <c r="N4981">
        <v>0</v>
      </c>
      <c r="O4981">
        <v>0</v>
      </c>
    </row>
    <row r="4982" spans="1:15" x14ac:dyDescent="0.25">
      <c r="A4982" t="s">
        <v>1544</v>
      </c>
      <c r="B4982" t="s">
        <v>2804</v>
      </c>
      <c r="C4982" t="s">
        <v>923</v>
      </c>
      <c r="D4982" t="s">
        <v>3063</v>
      </c>
      <c r="E4982" t="s">
        <v>3053</v>
      </c>
      <c r="F4982" t="s">
        <v>569</v>
      </c>
      <c r="G4982" t="s">
        <v>570</v>
      </c>
      <c r="H4982" t="s">
        <v>6415</v>
      </c>
      <c r="I4982">
        <v>277</v>
      </c>
      <c r="J4982">
        <v>195</v>
      </c>
      <c r="K4982">
        <v>0</v>
      </c>
      <c r="L4982">
        <v>82</v>
      </c>
      <c r="M4982">
        <v>0</v>
      </c>
      <c r="N4982">
        <v>0</v>
      </c>
      <c r="O4982">
        <v>0</v>
      </c>
    </row>
    <row r="4983" spans="1:15" x14ac:dyDescent="0.25">
      <c r="A4983" t="s">
        <v>10810</v>
      </c>
      <c r="B4983" t="s">
        <v>2015</v>
      </c>
      <c r="C4983" t="s">
        <v>923</v>
      </c>
      <c r="D4983" t="s">
        <v>3063</v>
      </c>
      <c r="E4983" t="s">
        <v>3053</v>
      </c>
      <c r="F4983" t="s">
        <v>569</v>
      </c>
      <c r="G4983" t="s">
        <v>570</v>
      </c>
      <c r="H4983" t="s">
        <v>11125</v>
      </c>
      <c r="I4983">
        <v>30</v>
      </c>
      <c r="J4983">
        <v>0</v>
      </c>
      <c r="K4983">
        <v>0</v>
      </c>
      <c r="L4983">
        <v>30</v>
      </c>
      <c r="M4983">
        <v>0</v>
      </c>
      <c r="N4983">
        <v>0</v>
      </c>
      <c r="O4983">
        <v>0</v>
      </c>
    </row>
    <row r="4984" spans="1:15" x14ac:dyDescent="0.25">
      <c r="A4984" t="s">
        <v>1071</v>
      </c>
      <c r="B4984" t="s">
        <v>2571</v>
      </c>
      <c r="C4984" t="s">
        <v>923</v>
      </c>
      <c r="D4984" t="s">
        <v>3063</v>
      </c>
      <c r="E4984" t="s">
        <v>3053</v>
      </c>
      <c r="F4984" t="s">
        <v>569</v>
      </c>
      <c r="G4984" t="s">
        <v>570</v>
      </c>
      <c r="H4984" t="s">
        <v>6416</v>
      </c>
      <c r="I4984">
        <v>25</v>
      </c>
      <c r="J4984">
        <v>0</v>
      </c>
      <c r="K4984">
        <v>0</v>
      </c>
      <c r="L4984">
        <v>25</v>
      </c>
      <c r="M4984">
        <v>0</v>
      </c>
      <c r="N4984">
        <v>0</v>
      </c>
      <c r="O4984">
        <v>0</v>
      </c>
    </row>
    <row r="4985" spans="1:15" x14ac:dyDescent="0.25">
      <c r="A4985" t="s">
        <v>1072</v>
      </c>
      <c r="B4985" t="s">
        <v>2907</v>
      </c>
      <c r="C4985" t="s">
        <v>927</v>
      </c>
      <c r="D4985" t="s">
        <v>3052</v>
      </c>
      <c r="E4985" t="s">
        <v>3053</v>
      </c>
      <c r="F4985" t="s">
        <v>569</v>
      </c>
      <c r="G4985" t="s">
        <v>570</v>
      </c>
      <c r="H4985" t="s">
        <v>6417</v>
      </c>
      <c r="I4985">
        <v>11133</v>
      </c>
      <c r="J4985">
        <v>9762</v>
      </c>
      <c r="K4985">
        <v>6</v>
      </c>
      <c r="L4985">
        <v>251</v>
      </c>
      <c r="M4985">
        <v>806</v>
      </c>
      <c r="N4985">
        <v>11</v>
      </c>
      <c r="O4985">
        <v>308</v>
      </c>
    </row>
    <row r="4986" spans="1:15" x14ac:dyDescent="0.25">
      <c r="A4986" t="s">
        <v>1552</v>
      </c>
      <c r="B4986" t="s">
        <v>2430</v>
      </c>
      <c r="C4986" t="s">
        <v>923</v>
      </c>
      <c r="D4986" t="s">
        <v>3063</v>
      </c>
      <c r="E4986" t="s">
        <v>3053</v>
      </c>
      <c r="F4986" t="s">
        <v>569</v>
      </c>
      <c r="G4986" t="s">
        <v>570</v>
      </c>
      <c r="H4986" t="s">
        <v>6418</v>
      </c>
      <c r="I4986">
        <v>40</v>
      </c>
      <c r="J4986">
        <v>40</v>
      </c>
      <c r="K4986">
        <v>0</v>
      </c>
      <c r="L4986">
        <v>0</v>
      </c>
      <c r="M4986">
        <v>0</v>
      </c>
      <c r="N4986">
        <v>0</v>
      </c>
      <c r="O4986">
        <v>0</v>
      </c>
    </row>
    <row r="4987" spans="1:15" x14ac:dyDescent="0.25">
      <c r="A4987" t="s">
        <v>1553</v>
      </c>
      <c r="B4987" t="s">
        <v>2132</v>
      </c>
      <c r="C4987" t="s">
        <v>927</v>
      </c>
      <c r="D4987" t="s">
        <v>3052</v>
      </c>
      <c r="E4987" t="s">
        <v>3053</v>
      </c>
      <c r="F4987" t="s">
        <v>569</v>
      </c>
      <c r="G4987" t="s">
        <v>570</v>
      </c>
      <c r="H4987" t="s">
        <v>6419</v>
      </c>
      <c r="I4987">
        <v>15284</v>
      </c>
      <c r="J4987">
        <v>14280</v>
      </c>
      <c r="K4987">
        <v>0</v>
      </c>
      <c r="L4987">
        <v>118</v>
      </c>
      <c r="M4987">
        <v>756</v>
      </c>
      <c r="N4987">
        <v>109</v>
      </c>
      <c r="O4987">
        <v>130</v>
      </c>
    </row>
    <row r="4988" spans="1:15" x14ac:dyDescent="0.25">
      <c r="A4988" t="s">
        <v>1078</v>
      </c>
      <c r="B4988" t="s">
        <v>1950</v>
      </c>
      <c r="C4988" t="s">
        <v>923</v>
      </c>
      <c r="D4988" t="s">
        <v>3063</v>
      </c>
      <c r="E4988" t="s">
        <v>3053</v>
      </c>
      <c r="F4988" t="s">
        <v>569</v>
      </c>
      <c r="G4988" t="s">
        <v>570</v>
      </c>
      <c r="H4988" t="s">
        <v>6420</v>
      </c>
      <c r="I4988">
        <v>15</v>
      </c>
      <c r="J4988">
        <v>0</v>
      </c>
      <c r="K4988">
        <v>0</v>
      </c>
      <c r="L4988">
        <v>15</v>
      </c>
      <c r="M4988">
        <v>0</v>
      </c>
      <c r="N4988">
        <v>0</v>
      </c>
      <c r="O4988">
        <v>0</v>
      </c>
    </row>
    <row r="4989" spans="1:15" x14ac:dyDescent="0.25">
      <c r="A4989" t="s">
        <v>1558</v>
      </c>
      <c r="B4989" t="s">
        <v>2391</v>
      </c>
      <c r="C4989" t="s">
        <v>923</v>
      </c>
      <c r="D4989" t="s">
        <v>3063</v>
      </c>
      <c r="E4989" t="s">
        <v>3053</v>
      </c>
      <c r="F4989" t="s">
        <v>569</v>
      </c>
      <c r="G4989" t="s">
        <v>570</v>
      </c>
      <c r="H4989" t="s">
        <v>6421</v>
      </c>
      <c r="I4989">
        <v>67</v>
      </c>
      <c r="J4989">
        <v>67</v>
      </c>
      <c r="K4989">
        <v>0</v>
      </c>
      <c r="L4989">
        <v>0</v>
      </c>
      <c r="M4989">
        <v>0</v>
      </c>
      <c r="N4989">
        <v>0</v>
      </c>
      <c r="O4989">
        <v>0</v>
      </c>
    </row>
    <row r="4990" spans="1:15" x14ac:dyDescent="0.25">
      <c r="A4990" t="s">
        <v>1083</v>
      </c>
      <c r="B4990" t="s">
        <v>2757</v>
      </c>
      <c r="C4990" t="s">
        <v>927</v>
      </c>
      <c r="D4990" t="s">
        <v>3052</v>
      </c>
      <c r="E4990" t="s">
        <v>3053</v>
      </c>
      <c r="F4990" t="s">
        <v>569</v>
      </c>
      <c r="G4990" t="s">
        <v>570</v>
      </c>
      <c r="H4990" t="s">
        <v>6422</v>
      </c>
      <c r="I4990">
        <v>2884</v>
      </c>
      <c r="J4990">
        <v>2610</v>
      </c>
      <c r="K4990">
        <v>0</v>
      </c>
      <c r="L4990">
        <v>11</v>
      </c>
      <c r="M4990">
        <v>162</v>
      </c>
      <c r="N4990">
        <v>1</v>
      </c>
      <c r="O4990">
        <v>101</v>
      </c>
    </row>
    <row r="4991" spans="1:15" x14ac:dyDescent="0.25">
      <c r="A4991" t="s">
        <v>926</v>
      </c>
      <c r="B4991" t="s">
        <v>2923</v>
      </c>
      <c r="C4991" t="s">
        <v>927</v>
      </c>
      <c r="D4991" t="s">
        <v>3052</v>
      </c>
      <c r="E4991" t="s">
        <v>3053</v>
      </c>
      <c r="F4991" t="s">
        <v>571</v>
      </c>
      <c r="G4991" t="s">
        <v>572</v>
      </c>
      <c r="H4991" t="s">
        <v>6423</v>
      </c>
      <c r="I4991">
        <v>16</v>
      </c>
      <c r="J4991">
        <v>0</v>
      </c>
      <c r="K4991">
        <v>0</v>
      </c>
      <c r="L4991">
        <v>16</v>
      </c>
      <c r="M4991">
        <v>0</v>
      </c>
      <c r="N4991">
        <v>0</v>
      </c>
      <c r="O4991">
        <v>0</v>
      </c>
    </row>
    <row r="4992" spans="1:15" x14ac:dyDescent="0.25">
      <c r="A4992" t="s">
        <v>929</v>
      </c>
      <c r="B4992" t="s">
        <v>2999</v>
      </c>
      <c r="C4992" t="s">
        <v>927</v>
      </c>
      <c r="D4992" t="s">
        <v>3052</v>
      </c>
      <c r="E4992" t="s">
        <v>3053</v>
      </c>
      <c r="F4992" t="s">
        <v>571</v>
      </c>
      <c r="G4992" t="s">
        <v>572</v>
      </c>
      <c r="H4992" t="s">
        <v>6424</v>
      </c>
      <c r="I4992">
        <v>76</v>
      </c>
      <c r="J4992">
        <v>0</v>
      </c>
      <c r="K4992">
        <v>0</v>
      </c>
      <c r="L4992">
        <v>0</v>
      </c>
      <c r="M4992">
        <v>76</v>
      </c>
      <c r="N4992">
        <v>0</v>
      </c>
      <c r="O4992">
        <v>0</v>
      </c>
    </row>
    <row r="4993" spans="1:15" x14ac:dyDescent="0.25">
      <c r="A4993" t="s">
        <v>1089</v>
      </c>
      <c r="B4993" t="s">
        <v>2153</v>
      </c>
      <c r="C4993" t="s">
        <v>923</v>
      </c>
      <c r="D4993" t="s">
        <v>3063</v>
      </c>
      <c r="E4993" t="s">
        <v>3053</v>
      </c>
      <c r="F4993" t="s">
        <v>571</v>
      </c>
      <c r="G4993" t="s">
        <v>572</v>
      </c>
      <c r="H4993" t="s">
        <v>6425</v>
      </c>
      <c r="I4993">
        <v>36</v>
      </c>
      <c r="J4993">
        <v>0</v>
      </c>
      <c r="K4993">
        <v>0</v>
      </c>
      <c r="L4993">
        <v>0</v>
      </c>
      <c r="M4993">
        <v>36</v>
      </c>
      <c r="N4993">
        <v>0</v>
      </c>
      <c r="O4993">
        <v>0</v>
      </c>
    </row>
    <row r="4994" spans="1:15" x14ac:dyDescent="0.25">
      <c r="A4994" t="s">
        <v>933</v>
      </c>
      <c r="B4994" t="s">
        <v>2106</v>
      </c>
      <c r="C4994" t="s">
        <v>927</v>
      </c>
      <c r="D4994" t="s">
        <v>3052</v>
      </c>
      <c r="E4994" t="s">
        <v>3053</v>
      </c>
      <c r="F4994" t="s">
        <v>571</v>
      </c>
      <c r="G4994" t="s">
        <v>572</v>
      </c>
      <c r="H4994" t="s">
        <v>6427</v>
      </c>
      <c r="I4994">
        <v>852</v>
      </c>
      <c r="J4994">
        <v>797</v>
      </c>
      <c r="K4994">
        <v>0</v>
      </c>
      <c r="L4994">
        <v>12</v>
      </c>
      <c r="M4994">
        <v>37</v>
      </c>
      <c r="N4994">
        <v>7</v>
      </c>
      <c r="O4994">
        <v>6</v>
      </c>
    </row>
    <row r="4995" spans="1:15" x14ac:dyDescent="0.25">
      <c r="A4995" t="s">
        <v>1005</v>
      </c>
      <c r="B4995" t="s">
        <v>2128</v>
      </c>
      <c r="C4995" t="s">
        <v>927</v>
      </c>
      <c r="D4995" t="s">
        <v>3052</v>
      </c>
      <c r="E4995" t="s">
        <v>3053</v>
      </c>
      <c r="F4995" t="s">
        <v>571</v>
      </c>
      <c r="G4995" t="s">
        <v>572</v>
      </c>
      <c r="H4995" t="s">
        <v>6428</v>
      </c>
      <c r="I4995">
        <v>29</v>
      </c>
      <c r="J4995">
        <v>20</v>
      </c>
      <c r="K4995">
        <v>0</v>
      </c>
      <c r="L4995">
        <v>9</v>
      </c>
      <c r="M4995">
        <v>0</v>
      </c>
      <c r="N4995">
        <v>0</v>
      </c>
      <c r="O4995">
        <v>0</v>
      </c>
    </row>
    <row r="4996" spans="1:15" x14ac:dyDescent="0.25">
      <c r="A4996" t="s">
        <v>1010</v>
      </c>
      <c r="B4996" t="s">
        <v>2639</v>
      </c>
      <c r="C4996" t="s">
        <v>927</v>
      </c>
      <c r="D4996" t="s">
        <v>3052</v>
      </c>
      <c r="E4996" t="s">
        <v>3053</v>
      </c>
      <c r="F4996" t="s">
        <v>571</v>
      </c>
      <c r="G4996" t="s">
        <v>572</v>
      </c>
      <c r="H4996" t="s">
        <v>6429</v>
      </c>
      <c r="I4996">
        <v>20</v>
      </c>
      <c r="J4996">
        <v>20</v>
      </c>
      <c r="K4996">
        <v>0</v>
      </c>
      <c r="L4996">
        <v>0</v>
      </c>
      <c r="M4996">
        <v>0</v>
      </c>
      <c r="N4996">
        <v>0</v>
      </c>
      <c r="O4996">
        <v>0</v>
      </c>
    </row>
    <row r="4997" spans="1:15" x14ac:dyDescent="0.25">
      <c r="A4997" t="s">
        <v>937</v>
      </c>
      <c r="B4997" t="s">
        <v>1962</v>
      </c>
      <c r="C4997" t="s">
        <v>927</v>
      </c>
      <c r="D4997" t="s">
        <v>3052</v>
      </c>
      <c r="E4997" t="s">
        <v>3053</v>
      </c>
      <c r="F4997" t="s">
        <v>571</v>
      </c>
      <c r="G4997" t="s">
        <v>572</v>
      </c>
      <c r="H4997" t="s">
        <v>6430</v>
      </c>
      <c r="I4997">
        <v>20</v>
      </c>
      <c r="J4997">
        <v>0</v>
      </c>
      <c r="K4997">
        <v>0</v>
      </c>
      <c r="L4997">
        <v>0</v>
      </c>
      <c r="M4997">
        <v>0</v>
      </c>
      <c r="N4997">
        <v>0</v>
      </c>
      <c r="O4997">
        <v>20</v>
      </c>
    </row>
    <row r="4998" spans="1:15" x14ac:dyDescent="0.25">
      <c r="A4998" t="s">
        <v>1119</v>
      </c>
      <c r="B4998" t="s">
        <v>2777</v>
      </c>
      <c r="C4998" t="s">
        <v>927</v>
      </c>
      <c r="D4998" t="s">
        <v>3052</v>
      </c>
      <c r="E4998" t="s">
        <v>3053</v>
      </c>
      <c r="F4998" t="s">
        <v>571</v>
      </c>
      <c r="G4998" t="s">
        <v>572</v>
      </c>
      <c r="H4998" t="s">
        <v>6431</v>
      </c>
      <c r="I4998">
        <v>234</v>
      </c>
      <c r="J4998">
        <v>196</v>
      </c>
      <c r="K4998">
        <v>0</v>
      </c>
      <c r="L4998">
        <v>5</v>
      </c>
      <c r="M4998">
        <v>0</v>
      </c>
      <c r="N4998">
        <v>0</v>
      </c>
      <c r="O4998">
        <v>33</v>
      </c>
    </row>
    <row r="4999" spans="1:15" x14ac:dyDescent="0.25">
      <c r="A4999" t="s">
        <v>938</v>
      </c>
      <c r="B4999" t="s">
        <v>2791</v>
      </c>
      <c r="C4999" t="s">
        <v>927</v>
      </c>
      <c r="D4999" t="s">
        <v>3052</v>
      </c>
      <c r="E4999" t="s">
        <v>3053</v>
      </c>
      <c r="F4999" t="s">
        <v>571</v>
      </c>
      <c r="G4999" t="s">
        <v>572</v>
      </c>
      <c r="H4999" t="s">
        <v>6432</v>
      </c>
      <c r="I4999">
        <v>56</v>
      </c>
      <c r="J4999">
        <v>0</v>
      </c>
      <c r="K4999">
        <v>0</v>
      </c>
      <c r="L4999">
        <v>0</v>
      </c>
      <c r="M4999">
        <v>56</v>
      </c>
      <c r="N4999">
        <v>0</v>
      </c>
      <c r="O4999">
        <v>0</v>
      </c>
    </row>
    <row r="5000" spans="1:15" x14ac:dyDescent="0.25">
      <c r="A5000" t="s">
        <v>9793</v>
      </c>
      <c r="B5000" t="s">
        <v>2615</v>
      </c>
      <c r="C5000" t="s">
        <v>923</v>
      </c>
      <c r="D5000" t="s">
        <v>3063</v>
      </c>
      <c r="E5000" t="s">
        <v>3053</v>
      </c>
      <c r="F5000" t="s">
        <v>571</v>
      </c>
      <c r="G5000" t="s">
        <v>572</v>
      </c>
      <c r="H5000" t="s">
        <v>11126</v>
      </c>
      <c r="I5000">
        <v>15</v>
      </c>
      <c r="J5000">
        <v>0</v>
      </c>
      <c r="K5000">
        <v>0</v>
      </c>
      <c r="L5000">
        <v>15</v>
      </c>
      <c r="M5000">
        <v>0</v>
      </c>
      <c r="N5000">
        <v>0</v>
      </c>
      <c r="O5000">
        <v>0</v>
      </c>
    </row>
    <row r="5001" spans="1:15" x14ac:dyDescent="0.25">
      <c r="A5001" t="s">
        <v>11671</v>
      </c>
      <c r="B5001" t="s">
        <v>1998</v>
      </c>
      <c r="C5001" t="s">
        <v>923</v>
      </c>
      <c r="D5001" t="s">
        <v>3063</v>
      </c>
      <c r="E5001" t="s">
        <v>3053</v>
      </c>
      <c r="F5001" t="s">
        <v>571</v>
      </c>
      <c r="G5001" t="s">
        <v>572</v>
      </c>
      <c r="H5001" t="s">
        <v>12175</v>
      </c>
      <c r="I5001">
        <v>14</v>
      </c>
      <c r="J5001">
        <v>14</v>
      </c>
      <c r="K5001">
        <v>0</v>
      </c>
      <c r="L5001">
        <v>0</v>
      </c>
      <c r="M5001">
        <v>0</v>
      </c>
      <c r="N5001">
        <v>0</v>
      </c>
      <c r="O5001">
        <v>0</v>
      </c>
    </row>
    <row r="5002" spans="1:15" x14ac:dyDescent="0.25">
      <c r="A5002" t="s">
        <v>1018</v>
      </c>
      <c r="B5002" t="s">
        <v>1980</v>
      </c>
      <c r="C5002" t="s">
        <v>923</v>
      </c>
      <c r="D5002" t="s">
        <v>3063</v>
      </c>
      <c r="E5002" t="s">
        <v>3053</v>
      </c>
      <c r="F5002" t="s">
        <v>571</v>
      </c>
      <c r="G5002" t="s">
        <v>572</v>
      </c>
      <c r="H5002" t="s">
        <v>6433</v>
      </c>
      <c r="I5002">
        <v>15</v>
      </c>
      <c r="J5002">
        <v>0</v>
      </c>
      <c r="K5002">
        <v>0</v>
      </c>
      <c r="L5002">
        <v>15</v>
      </c>
      <c r="M5002">
        <v>0</v>
      </c>
      <c r="N5002">
        <v>0</v>
      </c>
      <c r="O5002">
        <v>0</v>
      </c>
    </row>
    <row r="5003" spans="1:15" x14ac:dyDescent="0.25">
      <c r="A5003" t="s">
        <v>1025</v>
      </c>
      <c r="B5003" t="s">
        <v>2893</v>
      </c>
      <c r="C5003" t="s">
        <v>927</v>
      </c>
      <c r="D5003" t="s">
        <v>3052</v>
      </c>
      <c r="E5003" t="s">
        <v>3053</v>
      </c>
      <c r="F5003" t="s">
        <v>571</v>
      </c>
      <c r="G5003" t="s">
        <v>572</v>
      </c>
      <c r="H5003" t="s">
        <v>10186</v>
      </c>
      <c r="I5003">
        <v>7</v>
      </c>
      <c r="J5003">
        <v>0</v>
      </c>
      <c r="K5003">
        <v>0</v>
      </c>
      <c r="L5003">
        <v>0</v>
      </c>
      <c r="M5003">
        <v>0</v>
      </c>
      <c r="N5003">
        <v>0</v>
      </c>
      <c r="O5003">
        <v>7</v>
      </c>
    </row>
    <row r="5004" spans="1:15" x14ac:dyDescent="0.25">
      <c r="A5004" t="s">
        <v>9794</v>
      </c>
      <c r="B5004" t="s">
        <v>2745</v>
      </c>
      <c r="C5004" t="s">
        <v>923</v>
      </c>
      <c r="D5004" t="s">
        <v>3063</v>
      </c>
      <c r="E5004" t="s">
        <v>3053</v>
      </c>
      <c r="F5004" t="s">
        <v>571</v>
      </c>
      <c r="G5004" t="s">
        <v>572</v>
      </c>
      <c r="H5004" t="s">
        <v>10203</v>
      </c>
      <c r="I5004">
        <v>388</v>
      </c>
      <c r="J5004">
        <v>281</v>
      </c>
      <c r="K5004">
        <v>0</v>
      </c>
      <c r="L5004">
        <v>79</v>
      </c>
      <c r="M5004">
        <v>28</v>
      </c>
      <c r="N5004">
        <v>0</v>
      </c>
      <c r="O5004">
        <v>0</v>
      </c>
    </row>
    <row r="5005" spans="1:15" x14ac:dyDescent="0.25">
      <c r="A5005" t="s">
        <v>943</v>
      </c>
      <c r="B5005" t="s">
        <v>2694</v>
      </c>
      <c r="C5005" t="s">
        <v>927</v>
      </c>
      <c r="D5005" t="s">
        <v>3052</v>
      </c>
      <c r="E5005" t="s">
        <v>3053</v>
      </c>
      <c r="F5005" t="s">
        <v>571</v>
      </c>
      <c r="G5005" t="s">
        <v>572</v>
      </c>
      <c r="H5005" t="s">
        <v>6434</v>
      </c>
      <c r="I5005">
        <v>1</v>
      </c>
      <c r="J5005">
        <v>0</v>
      </c>
      <c r="K5005">
        <v>0</v>
      </c>
      <c r="L5005">
        <v>0</v>
      </c>
      <c r="M5005">
        <v>0</v>
      </c>
      <c r="N5005">
        <v>0</v>
      </c>
      <c r="O5005">
        <v>1</v>
      </c>
    </row>
    <row r="5006" spans="1:15" x14ac:dyDescent="0.25">
      <c r="A5006" t="s">
        <v>1134</v>
      </c>
      <c r="B5006" t="s">
        <v>2118</v>
      </c>
      <c r="C5006" t="s">
        <v>927</v>
      </c>
      <c r="D5006" t="s">
        <v>3052</v>
      </c>
      <c r="E5006" t="s">
        <v>3053</v>
      </c>
      <c r="F5006" t="s">
        <v>571</v>
      </c>
      <c r="G5006" t="s">
        <v>572</v>
      </c>
      <c r="H5006" t="s">
        <v>6435</v>
      </c>
      <c r="I5006">
        <v>72</v>
      </c>
      <c r="J5006">
        <v>72</v>
      </c>
      <c r="K5006">
        <v>0</v>
      </c>
      <c r="L5006">
        <v>0</v>
      </c>
      <c r="M5006">
        <v>0</v>
      </c>
      <c r="N5006">
        <v>0</v>
      </c>
      <c r="O5006">
        <v>0</v>
      </c>
    </row>
    <row r="5007" spans="1:15" x14ac:dyDescent="0.25">
      <c r="A5007" t="s">
        <v>1136</v>
      </c>
      <c r="B5007" t="s">
        <v>1942</v>
      </c>
      <c r="C5007" t="s">
        <v>923</v>
      </c>
      <c r="D5007" t="s">
        <v>3063</v>
      </c>
      <c r="E5007" t="s">
        <v>3053</v>
      </c>
      <c r="F5007" t="s">
        <v>571</v>
      </c>
      <c r="G5007" t="s">
        <v>572</v>
      </c>
      <c r="H5007" t="s">
        <v>6436</v>
      </c>
      <c r="I5007">
        <v>20</v>
      </c>
      <c r="J5007">
        <v>20</v>
      </c>
      <c r="K5007">
        <v>0</v>
      </c>
      <c r="L5007">
        <v>0</v>
      </c>
      <c r="M5007">
        <v>0</v>
      </c>
      <c r="N5007">
        <v>0</v>
      </c>
      <c r="O5007">
        <v>0</v>
      </c>
    </row>
    <row r="5008" spans="1:15" x14ac:dyDescent="0.25">
      <c r="A5008" t="s">
        <v>1138</v>
      </c>
      <c r="B5008" t="s">
        <v>2635</v>
      </c>
      <c r="C5008" t="s">
        <v>923</v>
      </c>
      <c r="D5008" t="s">
        <v>3063</v>
      </c>
      <c r="E5008" t="s">
        <v>3053</v>
      </c>
      <c r="F5008" t="s">
        <v>571</v>
      </c>
      <c r="G5008" t="s">
        <v>572</v>
      </c>
      <c r="H5008" t="s">
        <v>12176</v>
      </c>
      <c r="I5008">
        <v>4</v>
      </c>
      <c r="J5008">
        <v>0</v>
      </c>
      <c r="K5008">
        <v>0</v>
      </c>
      <c r="L5008">
        <v>4</v>
      </c>
      <c r="M5008">
        <v>0</v>
      </c>
      <c r="N5008">
        <v>0</v>
      </c>
      <c r="O5008">
        <v>0</v>
      </c>
    </row>
    <row r="5009" spans="1:15" x14ac:dyDescent="0.25">
      <c r="A5009" t="s">
        <v>1142</v>
      </c>
      <c r="B5009" t="s">
        <v>3003</v>
      </c>
      <c r="C5009" t="s">
        <v>927</v>
      </c>
      <c r="D5009" t="s">
        <v>3052</v>
      </c>
      <c r="E5009" t="s">
        <v>3053</v>
      </c>
      <c r="F5009" t="s">
        <v>571</v>
      </c>
      <c r="G5009" t="s">
        <v>572</v>
      </c>
      <c r="H5009" t="s">
        <v>6437</v>
      </c>
      <c r="I5009">
        <v>533</v>
      </c>
      <c r="J5009">
        <v>439</v>
      </c>
      <c r="K5009">
        <v>0</v>
      </c>
      <c r="L5009">
        <v>0</v>
      </c>
      <c r="M5009">
        <v>0</v>
      </c>
      <c r="N5009">
        <v>0</v>
      </c>
      <c r="O5009">
        <v>94</v>
      </c>
    </row>
    <row r="5010" spans="1:15" x14ac:dyDescent="0.25">
      <c r="A5010" t="s">
        <v>1146</v>
      </c>
      <c r="B5010" t="s">
        <v>2117</v>
      </c>
      <c r="C5010" t="s">
        <v>927</v>
      </c>
      <c r="D5010" t="s">
        <v>3052</v>
      </c>
      <c r="E5010" t="s">
        <v>3053</v>
      </c>
      <c r="F5010" t="s">
        <v>571</v>
      </c>
      <c r="G5010" t="s">
        <v>572</v>
      </c>
      <c r="H5010" t="s">
        <v>14890</v>
      </c>
      <c r="I5010">
        <v>1507</v>
      </c>
      <c r="J5010">
        <v>1308</v>
      </c>
      <c r="K5010">
        <v>0</v>
      </c>
      <c r="L5010">
        <v>64</v>
      </c>
      <c r="M5010">
        <v>28</v>
      </c>
      <c r="N5010">
        <v>1</v>
      </c>
      <c r="O5010">
        <v>107</v>
      </c>
    </row>
    <row r="5011" spans="1:15" x14ac:dyDescent="0.25">
      <c r="A5011" t="s">
        <v>951</v>
      </c>
      <c r="B5011" t="s">
        <v>2680</v>
      </c>
      <c r="C5011" t="s">
        <v>927</v>
      </c>
      <c r="D5011" t="s">
        <v>3052</v>
      </c>
      <c r="E5011" t="s">
        <v>3053</v>
      </c>
      <c r="F5011" t="s">
        <v>571</v>
      </c>
      <c r="G5011" t="s">
        <v>572</v>
      </c>
      <c r="H5011" t="s">
        <v>6438</v>
      </c>
      <c r="I5011">
        <v>56</v>
      </c>
      <c r="J5011">
        <v>46</v>
      </c>
      <c r="K5011">
        <v>0</v>
      </c>
      <c r="L5011">
        <v>0</v>
      </c>
      <c r="M5011">
        <v>0</v>
      </c>
      <c r="N5011">
        <v>0</v>
      </c>
      <c r="O5011">
        <v>10</v>
      </c>
    </row>
    <row r="5012" spans="1:15" x14ac:dyDescent="0.25">
      <c r="A5012" t="s">
        <v>1048</v>
      </c>
      <c r="B5012" t="s">
        <v>2989</v>
      </c>
      <c r="C5012" t="s">
        <v>927</v>
      </c>
      <c r="D5012" t="s">
        <v>3052</v>
      </c>
      <c r="E5012" t="s">
        <v>3053</v>
      </c>
      <c r="F5012" t="s">
        <v>571</v>
      </c>
      <c r="G5012" t="s">
        <v>572</v>
      </c>
      <c r="H5012" t="s">
        <v>6439</v>
      </c>
      <c r="I5012">
        <v>24</v>
      </c>
      <c r="J5012">
        <v>4</v>
      </c>
      <c r="K5012">
        <v>0</v>
      </c>
      <c r="L5012">
        <v>20</v>
      </c>
      <c r="M5012">
        <v>0</v>
      </c>
      <c r="N5012">
        <v>0</v>
      </c>
      <c r="O5012">
        <v>0</v>
      </c>
    </row>
    <row r="5013" spans="1:15" x14ac:dyDescent="0.25">
      <c r="A5013" t="s">
        <v>1151</v>
      </c>
      <c r="B5013" t="s">
        <v>2240</v>
      </c>
      <c r="C5013" t="s">
        <v>923</v>
      </c>
      <c r="D5013" t="s">
        <v>3063</v>
      </c>
      <c r="E5013" t="s">
        <v>3053</v>
      </c>
      <c r="F5013" t="s">
        <v>571</v>
      </c>
      <c r="G5013" t="s">
        <v>572</v>
      </c>
      <c r="H5013" t="s">
        <v>6440</v>
      </c>
      <c r="I5013">
        <v>24</v>
      </c>
      <c r="J5013">
        <v>0</v>
      </c>
      <c r="K5013">
        <v>0</v>
      </c>
      <c r="L5013">
        <v>0</v>
      </c>
      <c r="M5013">
        <v>24</v>
      </c>
      <c r="N5013">
        <v>0</v>
      </c>
      <c r="O5013">
        <v>0</v>
      </c>
    </row>
    <row r="5014" spans="1:15" x14ac:dyDescent="0.25">
      <c r="A5014" t="s">
        <v>11720</v>
      </c>
      <c r="B5014" t="s">
        <v>10718</v>
      </c>
      <c r="C5014" t="s">
        <v>927</v>
      </c>
      <c r="D5014" t="s">
        <v>3052</v>
      </c>
      <c r="E5014" t="s">
        <v>3053</v>
      </c>
      <c r="F5014" t="s">
        <v>571</v>
      </c>
      <c r="G5014" t="s">
        <v>572</v>
      </c>
      <c r="H5014" t="s">
        <v>14891</v>
      </c>
      <c r="I5014">
        <v>8</v>
      </c>
      <c r="J5014">
        <v>0</v>
      </c>
      <c r="K5014">
        <v>0</v>
      </c>
      <c r="L5014">
        <v>0</v>
      </c>
      <c r="M5014">
        <v>0</v>
      </c>
      <c r="N5014">
        <v>0</v>
      </c>
      <c r="O5014">
        <v>8</v>
      </c>
    </row>
    <row r="5015" spans="1:15" x14ac:dyDescent="0.25">
      <c r="A5015" t="s">
        <v>955</v>
      </c>
      <c r="B5015" t="s">
        <v>2660</v>
      </c>
      <c r="C5015" t="s">
        <v>927</v>
      </c>
      <c r="D5015" t="s">
        <v>3052</v>
      </c>
      <c r="E5015" t="s">
        <v>3053</v>
      </c>
      <c r="F5015" t="s">
        <v>571</v>
      </c>
      <c r="G5015" t="s">
        <v>572</v>
      </c>
      <c r="H5015" t="s">
        <v>6441</v>
      </c>
      <c r="I5015">
        <v>12</v>
      </c>
      <c r="J5015">
        <v>12</v>
      </c>
      <c r="K5015">
        <v>0</v>
      </c>
      <c r="L5015">
        <v>0</v>
      </c>
      <c r="M5015">
        <v>0</v>
      </c>
      <c r="N5015">
        <v>0</v>
      </c>
      <c r="O5015">
        <v>0</v>
      </c>
    </row>
    <row r="5016" spans="1:15" x14ac:dyDescent="0.25">
      <c r="A5016" t="s">
        <v>1154</v>
      </c>
      <c r="B5016" t="s">
        <v>2861</v>
      </c>
      <c r="C5016" t="s">
        <v>927</v>
      </c>
      <c r="D5016" t="s">
        <v>3052</v>
      </c>
      <c r="E5016" t="s">
        <v>3053</v>
      </c>
      <c r="F5016" t="s">
        <v>571</v>
      </c>
      <c r="G5016" t="s">
        <v>572</v>
      </c>
      <c r="H5016" t="s">
        <v>6442</v>
      </c>
      <c r="I5016">
        <v>28</v>
      </c>
      <c r="J5016">
        <v>24</v>
      </c>
      <c r="K5016">
        <v>0</v>
      </c>
      <c r="L5016">
        <v>0</v>
      </c>
      <c r="M5016">
        <v>0</v>
      </c>
      <c r="N5016">
        <v>0</v>
      </c>
      <c r="O5016">
        <v>4</v>
      </c>
    </row>
    <row r="5017" spans="1:15" x14ac:dyDescent="0.25">
      <c r="A5017" t="s">
        <v>1155</v>
      </c>
      <c r="B5017" t="s">
        <v>2912</v>
      </c>
      <c r="C5017" t="s">
        <v>927</v>
      </c>
      <c r="D5017" t="s">
        <v>3052</v>
      </c>
      <c r="E5017" t="s">
        <v>3053</v>
      </c>
      <c r="F5017" t="s">
        <v>571</v>
      </c>
      <c r="G5017" t="s">
        <v>572</v>
      </c>
      <c r="H5017" t="s">
        <v>6443</v>
      </c>
      <c r="I5017">
        <v>1</v>
      </c>
      <c r="J5017">
        <v>0</v>
      </c>
      <c r="K5017">
        <v>0</v>
      </c>
      <c r="L5017">
        <v>0</v>
      </c>
      <c r="M5017">
        <v>0</v>
      </c>
      <c r="N5017">
        <v>0</v>
      </c>
      <c r="O5017">
        <v>1</v>
      </c>
    </row>
    <row r="5018" spans="1:15" x14ac:dyDescent="0.25">
      <c r="A5018" t="s">
        <v>11663</v>
      </c>
      <c r="B5018" t="s">
        <v>11768</v>
      </c>
      <c r="C5018" t="s">
        <v>927</v>
      </c>
      <c r="D5018" t="s">
        <v>3052</v>
      </c>
      <c r="E5018" t="s">
        <v>3053</v>
      </c>
      <c r="F5018" t="s">
        <v>571</v>
      </c>
      <c r="G5018" t="s">
        <v>572</v>
      </c>
      <c r="H5018" t="s">
        <v>12177</v>
      </c>
      <c r="I5018">
        <v>246</v>
      </c>
      <c r="J5018">
        <v>71</v>
      </c>
      <c r="K5018">
        <v>175</v>
      </c>
      <c r="L5018">
        <v>0</v>
      </c>
      <c r="M5018">
        <v>0</v>
      </c>
      <c r="N5018">
        <v>0</v>
      </c>
      <c r="O5018">
        <v>0</v>
      </c>
    </row>
    <row r="5019" spans="1:15" x14ac:dyDescent="0.25">
      <c r="A5019" t="s">
        <v>962</v>
      </c>
      <c r="B5019" t="s">
        <v>2752</v>
      </c>
      <c r="C5019" t="s">
        <v>927</v>
      </c>
      <c r="D5019" t="s">
        <v>3052</v>
      </c>
      <c r="E5019" t="s">
        <v>3053</v>
      </c>
      <c r="F5019" t="s">
        <v>571</v>
      </c>
      <c r="G5019" t="s">
        <v>572</v>
      </c>
      <c r="H5019" t="s">
        <v>10443</v>
      </c>
      <c r="I5019">
        <v>478</v>
      </c>
      <c r="J5019">
        <v>472</v>
      </c>
      <c r="K5019">
        <v>0</v>
      </c>
      <c r="L5019">
        <v>0</v>
      </c>
      <c r="M5019">
        <v>0</v>
      </c>
      <c r="N5019">
        <v>0</v>
      </c>
      <c r="O5019">
        <v>6</v>
      </c>
    </row>
    <row r="5020" spans="1:15" x14ac:dyDescent="0.25">
      <c r="A5020" t="s">
        <v>1352</v>
      </c>
      <c r="B5020" t="s">
        <v>2085</v>
      </c>
      <c r="C5020" t="s">
        <v>923</v>
      </c>
      <c r="D5020" t="s">
        <v>3063</v>
      </c>
      <c r="E5020" t="s">
        <v>3053</v>
      </c>
      <c r="F5020" t="s">
        <v>571</v>
      </c>
      <c r="G5020" t="s">
        <v>572</v>
      </c>
      <c r="H5020" t="s">
        <v>11127</v>
      </c>
      <c r="I5020">
        <v>16</v>
      </c>
      <c r="J5020">
        <v>16</v>
      </c>
      <c r="K5020">
        <v>0</v>
      </c>
      <c r="L5020">
        <v>0</v>
      </c>
      <c r="M5020">
        <v>0</v>
      </c>
      <c r="N5020">
        <v>0</v>
      </c>
      <c r="O5020">
        <v>0</v>
      </c>
    </row>
    <row r="5021" spans="1:15" x14ac:dyDescent="0.25">
      <c r="A5021" t="s">
        <v>1176</v>
      </c>
      <c r="B5021" t="s">
        <v>2952</v>
      </c>
      <c r="C5021" t="s">
        <v>923</v>
      </c>
      <c r="D5021" t="s">
        <v>3063</v>
      </c>
      <c r="E5021" t="s">
        <v>3053</v>
      </c>
      <c r="F5021" t="s">
        <v>571</v>
      </c>
      <c r="G5021" t="s">
        <v>572</v>
      </c>
      <c r="H5021" t="s">
        <v>6444</v>
      </c>
      <c r="I5021">
        <v>18</v>
      </c>
      <c r="J5021">
        <v>0</v>
      </c>
      <c r="K5021">
        <v>0</v>
      </c>
      <c r="L5021">
        <v>18</v>
      </c>
      <c r="M5021">
        <v>0</v>
      </c>
      <c r="N5021">
        <v>0</v>
      </c>
      <c r="O5021">
        <v>0</v>
      </c>
    </row>
    <row r="5022" spans="1:15" x14ac:dyDescent="0.25">
      <c r="A5022" t="s">
        <v>981</v>
      </c>
      <c r="B5022" t="s">
        <v>2985</v>
      </c>
      <c r="C5022" t="s">
        <v>927</v>
      </c>
      <c r="D5022" t="s">
        <v>3052</v>
      </c>
      <c r="E5022" t="s">
        <v>3053</v>
      </c>
      <c r="F5022" t="s">
        <v>571</v>
      </c>
      <c r="G5022" t="s">
        <v>572</v>
      </c>
      <c r="H5022" t="s">
        <v>6426</v>
      </c>
      <c r="I5022">
        <v>255</v>
      </c>
      <c r="J5022">
        <v>118</v>
      </c>
      <c r="K5022">
        <v>0</v>
      </c>
      <c r="L5022">
        <v>6</v>
      </c>
      <c r="M5022">
        <v>107</v>
      </c>
      <c r="N5022">
        <v>0</v>
      </c>
      <c r="O5022">
        <v>24</v>
      </c>
    </row>
    <row r="5023" spans="1:15" x14ac:dyDescent="0.25">
      <c r="A5023" t="s">
        <v>1567</v>
      </c>
      <c r="B5023" t="s">
        <v>2062</v>
      </c>
      <c r="C5023" t="s">
        <v>923</v>
      </c>
      <c r="D5023" t="s">
        <v>3063</v>
      </c>
      <c r="E5023" t="s">
        <v>3053</v>
      </c>
      <c r="F5023" t="s">
        <v>573</v>
      </c>
      <c r="G5023" t="s">
        <v>574</v>
      </c>
      <c r="H5023" t="s">
        <v>6445</v>
      </c>
      <c r="I5023">
        <v>80</v>
      </c>
      <c r="J5023">
        <v>0</v>
      </c>
      <c r="K5023">
        <v>0</v>
      </c>
      <c r="L5023">
        <v>80</v>
      </c>
      <c r="M5023">
        <v>0</v>
      </c>
      <c r="N5023">
        <v>0</v>
      </c>
      <c r="O5023">
        <v>0</v>
      </c>
    </row>
    <row r="5024" spans="1:15" x14ac:dyDescent="0.25">
      <c r="A5024" t="s">
        <v>926</v>
      </c>
      <c r="B5024" t="s">
        <v>2923</v>
      </c>
      <c r="C5024" t="s">
        <v>927</v>
      </c>
      <c r="D5024" t="s">
        <v>3052</v>
      </c>
      <c r="E5024" t="s">
        <v>3053</v>
      </c>
      <c r="F5024" t="s">
        <v>573</v>
      </c>
      <c r="G5024" t="s">
        <v>574</v>
      </c>
      <c r="H5024" t="s">
        <v>6446</v>
      </c>
      <c r="I5024">
        <v>7</v>
      </c>
      <c r="J5024">
        <v>0</v>
      </c>
      <c r="K5024">
        <v>0</v>
      </c>
      <c r="L5024">
        <v>0</v>
      </c>
      <c r="M5024">
        <v>0</v>
      </c>
      <c r="N5024">
        <v>0</v>
      </c>
      <c r="O5024">
        <v>7</v>
      </c>
    </row>
    <row r="5025" spans="1:15" x14ac:dyDescent="0.25">
      <c r="A5025" t="s">
        <v>1569</v>
      </c>
      <c r="B5025" t="s">
        <v>2522</v>
      </c>
      <c r="C5025" t="s">
        <v>923</v>
      </c>
      <c r="D5025" t="s">
        <v>3063</v>
      </c>
      <c r="E5025" t="s">
        <v>3053</v>
      </c>
      <c r="F5025" t="s">
        <v>573</v>
      </c>
      <c r="G5025" t="s">
        <v>574</v>
      </c>
      <c r="H5025" t="s">
        <v>6447</v>
      </c>
      <c r="I5025">
        <v>46</v>
      </c>
      <c r="J5025">
        <v>46</v>
      </c>
      <c r="K5025">
        <v>0</v>
      </c>
      <c r="L5025">
        <v>0</v>
      </c>
      <c r="M5025">
        <v>0</v>
      </c>
      <c r="N5025">
        <v>0</v>
      </c>
      <c r="O5025">
        <v>0</v>
      </c>
    </row>
    <row r="5026" spans="1:15" x14ac:dyDescent="0.25">
      <c r="A5026" t="s">
        <v>929</v>
      </c>
      <c r="B5026" t="s">
        <v>2999</v>
      </c>
      <c r="C5026" t="s">
        <v>927</v>
      </c>
      <c r="D5026" t="s">
        <v>3052</v>
      </c>
      <c r="E5026" t="s">
        <v>3053</v>
      </c>
      <c r="F5026" t="s">
        <v>573</v>
      </c>
      <c r="G5026" t="s">
        <v>574</v>
      </c>
      <c r="H5026" t="s">
        <v>6448</v>
      </c>
      <c r="I5026">
        <v>31</v>
      </c>
      <c r="J5026">
        <v>0</v>
      </c>
      <c r="K5026">
        <v>0</v>
      </c>
      <c r="L5026">
        <v>0</v>
      </c>
      <c r="M5026">
        <v>31</v>
      </c>
      <c r="N5026">
        <v>0</v>
      </c>
      <c r="O5026">
        <v>0</v>
      </c>
    </row>
    <row r="5027" spans="1:15" x14ac:dyDescent="0.25">
      <c r="A5027" t="s">
        <v>9790</v>
      </c>
      <c r="B5027" t="s">
        <v>1977</v>
      </c>
      <c r="C5027" t="s">
        <v>923</v>
      </c>
      <c r="D5027" t="s">
        <v>3063</v>
      </c>
      <c r="E5027" t="s">
        <v>3053</v>
      </c>
      <c r="F5027" t="s">
        <v>573</v>
      </c>
      <c r="G5027" t="s">
        <v>574</v>
      </c>
      <c r="H5027" t="s">
        <v>12178</v>
      </c>
      <c r="I5027">
        <v>3</v>
      </c>
      <c r="J5027">
        <v>0</v>
      </c>
      <c r="K5027">
        <v>0</v>
      </c>
      <c r="L5027">
        <v>3</v>
      </c>
      <c r="M5027">
        <v>0</v>
      </c>
      <c r="N5027">
        <v>0</v>
      </c>
      <c r="O5027">
        <v>0</v>
      </c>
    </row>
    <row r="5028" spans="1:15" x14ac:dyDescent="0.25">
      <c r="A5028" t="s">
        <v>933</v>
      </c>
      <c r="B5028" t="s">
        <v>2106</v>
      </c>
      <c r="C5028" t="s">
        <v>927</v>
      </c>
      <c r="D5028" t="s">
        <v>3052</v>
      </c>
      <c r="E5028" t="s">
        <v>3053</v>
      </c>
      <c r="F5028" t="s">
        <v>573</v>
      </c>
      <c r="G5028" t="s">
        <v>574</v>
      </c>
      <c r="H5028" t="s">
        <v>6449</v>
      </c>
      <c r="I5028">
        <v>351</v>
      </c>
      <c r="J5028">
        <v>245</v>
      </c>
      <c r="K5028">
        <v>0</v>
      </c>
      <c r="L5028">
        <v>0</v>
      </c>
      <c r="M5028">
        <v>0</v>
      </c>
      <c r="N5028">
        <v>0</v>
      </c>
      <c r="O5028">
        <v>106</v>
      </c>
    </row>
    <row r="5029" spans="1:15" x14ac:dyDescent="0.25">
      <c r="A5029" t="s">
        <v>998</v>
      </c>
      <c r="B5029" t="s">
        <v>2820</v>
      </c>
      <c r="C5029" t="s">
        <v>927</v>
      </c>
      <c r="D5029" t="s">
        <v>3052</v>
      </c>
      <c r="E5029" t="s">
        <v>3053</v>
      </c>
      <c r="F5029" t="s">
        <v>573</v>
      </c>
      <c r="G5029" t="s">
        <v>574</v>
      </c>
      <c r="H5029" t="s">
        <v>6450</v>
      </c>
      <c r="I5029">
        <v>26</v>
      </c>
      <c r="J5029">
        <v>19</v>
      </c>
      <c r="K5029">
        <v>0</v>
      </c>
      <c r="L5029">
        <v>0</v>
      </c>
      <c r="M5029">
        <v>0</v>
      </c>
      <c r="N5029">
        <v>0</v>
      </c>
      <c r="O5029">
        <v>7</v>
      </c>
    </row>
    <row r="5030" spans="1:15" x14ac:dyDescent="0.25">
      <c r="A5030" t="s">
        <v>1416</v>
      </c>
      <c r="B5030" t="s">
        <v>2029</v>
      </c>
      <c r="C5030" t="s">
        <v>923</v>
      </c>
      <c r="D5030" t="s">
        <v>3063</v>
      </c>
      <c r="E5030" t="s">
        <v>3053</v>
      </c>
      <c r="F5030" t="s">
        <v>573</v>
      </c>
      <c r="G5030" t="s">
        <v>574</v>
      </c>
      <c r="H5030" t="s">
        <v>12179</v>
      </c>
      <c r="I5030">
        <v>19</v>
      </c>
      <c r="J5030">
        <v>0</v>
      </c>
      <c r="K5030">
        <v>0</v>
      </c>
      <c r="L5030">
        <v>19</v>
      </c>
      <c r="M5030">
        <v>0</v>
      </c>
      <c r="N5030">
        <v>0</v>
      </c>
      <c r="O5030">
        <v>0</v>
      </c>
    </row>
    <row r="5031" spans="1:15" x14ac:dyDescent="0.25">
      <c r="A5031" t="s">
        <v>10638</v>
      </c>
      <c r="B5031" t="s">
        <v>2057</v>
      </c>
      <c r="C5031" t="s">
        <v>927</v>
      </c>
      <c r="D5031" t="s">
        <v>3052</v>
      </c>
      <c r="E5031" t="s">
        <v>3053</v>
      </c>
      <c r="F5031" t="s">
        <v>573</v>
      </c>
      <c r="G5031" t="s">
        <v>574</v>
      </c>
      <c r="H5031" t="s">
        <v>11128</v>
      </c>
      <c r="I5031">
        <v>2</v>
      </c>
      <c r="J5031">
        <v>0</v>
      </c>
      <c r="K5031">
        <v>0</v>
      </c>
      <c r="L5031">
        <v>2</v>
      </c>
      <c r="M5031">
        <v>0</v>
      </c>
      <c r="N5031">
        <v>0</v>
      </c>
      <c r="O5031">
        <v>0</v>
      </c>
    </row>
    <row r="5032" spans="1:15" x14ac:dyDescent="0.25">
      <c r="A5032" t="s">
        <v>1249</v>
      </c>
      <c r="B5032" t="s">
        <v>3029</v>
      </c>
      <c r="C5032" t="s">
        <v>927</v>
      </c>
      <c r="D5032" t="s">
        <v>3052</v>
      </c>
      <c r="E5032" t="s">
        <v>3053</v>
      </c>
      <c r="F5032" t="s">
        <v>573</v>
      </c>
      <c r="G5032" t="s">
        <v>574</v>
      </c>
      <c r="H5032" t="s">
        <v>6451</v>
      </c>
      <c r="I5032">
        <v>6882</v>
      </c>
      <c r="J5032">
        <v>5653</v>
      </c>
      <c r="K5032">
        <v>0</v>
      </c>
      <c r="L5032">
        <v>0</v>
      </c>
      <c r="M5032">
        <v>975</v>
      </c>
      <c r="N5032">
        <v>2</v>
      </c>
      <c r="O5032">
        <v>254</v>
      </c>
    </row>
    <row r="5033" spans="1:15" x14ac:dyDescent="0.25">
      <c r="A5033" t="s">
        <v>1609</v>
      </c>
      <c r="B5033" t="s">
        <v>2935</v>
      </c>
      <c r="C5033" t="s">
        <v>923</v>
      </c>
      <c r="D5033" t="s">
        <v>3063</v>
      </c>
      <c r="E5033" t="s">
        <v>3053</v>
      </c>
      <c r="F5033" t="s">
        <v>573</v>
      </c>
      <c r="G5033" t="s">
        <v>574</v>
      </c>
      <c r="H5033" t="s">
        <v>6452</v>
      </c>
      <c r="I5033">
        <v>35</v>
      </c>
      <c r="J5033">
        <v>35</v>
      </c>
      <c r="K5033">
        <v>0</v>
      </c>
      <c r="L5033">
        <v>0</v>
      </c>
      <c r="M5033">
        <v>0</v>
      </c>
      <c r="N5033">
        <v>0</v>
      </c>
      <c r="O5033">
        <v>0</v>
      </c>
    </row>
    <row r="5034" spans="1:15" x14ac:dyDescent="0.25">
      <c r="A5034" t="s">
        <v>10651</v>
      </c>
      <c r="B5034" t="s">
        <v>1941</v>
      </c>
      <c r="C5034" t="s">
        <v>927</v>
      </c>
      <c r="D5034" t="s">
        <v>3052</v>
      </c>
      <c r="E5034" t="s">
        <v>3053</v>
      </c>
      <c r="F5034" t="s">
        <v>573</v>
      </c>
      <c r="G5034" t="s">
        <v>574</v>
      </c>
      <c r="H5034" t="s">
        <v>11129</v>
      </c>
      <c r="I5034">
        <v>347</v>
      </c>
      <c r="J5034">
        <v>243</v>
      </c>
      <c r="K5034">
        <v>0</v>
      </c>
      <c r="L5034">
        <v>0</v>
      </c>
      <c r="M5034">
        <v>0</v>
      </c>
      <c r="N5034">
        <v>0</v>
      </c>
      <c r="O5034">
        <v>104</v>
      </c>
    </row>
    <row r="5035" spans="1:15" x14ac:dyDescent="0.25">
      <c r="A5035" t="s">
        <v>1011</v>
      </c>
      <c r="B5035" t="s">
        <v>2020</v>
      </c>
      <c r="C5035" t="s">
        <v>927</v>
      </c>
      <c r="D5035" t="s">
        <v>3052</v>
      </c>
      <c r="E5035" t="s">
        <v>3053</v>
      </c>
      <c r="F5035" t="s">
        <v>573</v>
      </c>
      <c r="G5035" t="s">
        <v>574</v>
      </c>
      <c r="H5035" t="s">
        <v>6453</v>
      </c>
      <c r="I5035">
        <v>7</v>
      </c>
      <c r="J5035">
        <v>0</v>
      </c>
      <c r="K5035">
        <v>0</v>
      </c>
      <c r="L5035">
        <v>7</v>
      </c>
      <c r="M5035">
        <v>0</v>
      </c>
      <c r="N5035">
        <v>0</v>
      </c>
      <c r="O5035">
        <v>0</v>
      </c>
    </row>
    <row r="5036" spans="1:15" x14ac:dyDescent="0.25">
      <c r="A5036" t="s">
        <v>938</v>
      </c>
      <c r="B5036" t="s">
        <v>2791</v>
      </c>
      <c r="C5036" t="s">
        <v>927</v>
      </c>
      <c r="D5036" t="s">
        <v>3052</v>
      </c>
      <c r="E5036" t="s">
        <v>3053</v>
      </c>
      <c r="F5036" t="s">
        <v>573</v>
      </c>
      <c r="G5036" t="s">
        <v>574</v>
      </c>
      <c r="H5036" t="s">
        <v>6454</v>
      </c>
      <c r="I5036">
        <v>63</v>
      </c>
      <c r="J5036">
        <v>28</v>
      </c>
      <c r="K5036">
        <v>0</v>
      </c>
      <c r="L5036">
        <v>16</v>
      </c>
      <c r="M5036">
        <v>0</v>
      </c>
      <c r="N5036">
        <v>0</v>
      </c>
      <c r="O5036">
        <v>19</v>
      </c>
    </row>
    <row r="5037" spans="1:15" x14ac:dyDescent="0.25">
      <c r="A5037" t="s">
        <v>940</v>
      </c>
      <c r="B5037" t="s">
        <v>2647</v>
      </c>
      <c r="C5037" t="s">
        <v>927</v>
      </c>
      <c r="D5037" t="s">
        <v>3052</v>
      </c>
      <c r="E5037" t="s">
        <v>3053</v>
      </c>
      <c r="F5037" t="s">
        <v>573</v>
      </c>
      <c r="G5037" t="s">
        <v>574</v>
      </c>
      <c r="H5037" t="s">
        <v>6455</v>
      </c>
      <c r="I5037">
        <v>57</v>
      </c>
      <c r="J5037">
        <v>0</v>
      </c>
      <c r="K5037">
        <v>0</v>
      </c>
      <c r="L5037">
        <v>0</v>
      </c>
      <c r="M5037">
        <v>57</v>
      </c>
      <c r="N5037">
        <v>0</v>
      </c>
      <c r="O5037">
        <v>0</v>
      </c>
    </row>
    <row r="5038" spans="1:15" x14ac:dyDescent="0.25">
      <c r="A5038" t="s">
        <v>1012</v>
      </c>
      <c r="B5038" t="s">
        <v>2911</v>
      </c>
      <c r="C5038" t="s">
        <v>927</v>
      </c>
      <c r="D5038" t="s">
        <v>3052</v>
      </c>
      <c r="E5038" t="s">
        <v>3053</v>
      </c>
      <c r="F5038" t="s">
        <v>573</v>
      </c>
      <c r="G5038" t="s">
        <v>574</v>
      </c>
      <c r="H5038" t="s">
        <v>6456</v>
      </c>
      <c r="I5038">
        <v>868</v>
      </c>
      <c r="J5038">
        <v>610</v>
      </c>
      <c r="K5038">
        <v>0</v>
      </c>
      <c r="L5038">
        <v>46</v>
      </c>
      <c r="M5038">
        <v>22</v>
      </c>
      <c r="N5038">
        <v>16</v>
      </c>
      <c r="O5038">
        <v>190</v>
      </c>
    </row>
    <row r="5039" spans="1:15" x14ac:dyDescent="0.25">
      <c r="A5039" t="s">
        <v>1013</v>
      </c>
      <c r="B5039" t="s">
        <v>1959</v>
      </c>
      <c r="C5039" t="s">
        <v>927</v>
      </c>
      <c r="D5039" t="s">
        <v>3052</v>
      </c>
      <c r="E5039" t="s">
        <v>3053</v>
      </c>
      <c r="F5039" t="s">
        <v>573</v>
      </c>
      <c r="G5039" t="s">
        <v>574</v>
      </c>
      <c r="H5039" t="s">
        <v>6457</v>
      </c>
      <c r="I5039">
        <v>17</v>
      </c>
      <c r="J5039">
        <v>0</v>
      </c>
      <c r="K5039">
        <v>0</v>
      </c>
      <c r="L5039">
        <v>17</v>
      </c>
      <c r="M5039">
        <v>0</v>
      </c>
      <c r="N5039">
        <v>0</v>
      </c>
      <c r="O5039">
        <v>0</v>
      </c>
    </row>
    <row r="5040" spans="1:15" x14ac:dyDescent="0.25">
      <c r="A5040" t="s">
        <v>1622</v>
      </c>
      <c r="B5040" t="s">
        <v>2225</v>
      </c>
      <c r="C5040" t="s">
        <v>923</v>
      </c>
      <c r="D5040" t="s">
        <v>3063</v>
      </c>
      <c r="E5040" t="s">
        <v>3053</v>
      </c>
      <c r="F5040" t="s">
        <v>573</v>
      </c>
      <c r="G5040" t="s">
        <v>574</v>
      </c>
      <c r="H5040" t="s">
        <v>14892</v>
      </c>
      <c r="I5040">
        <v>12</v>
      </c>
      <c r="J5040">
        <v>0</v>
      </c>
      <c r="K5040">
        <v>0</v>
      </c>
      <c r="L5040">
        <v>0</v>
      </c>
      <c r="M5040">
        <v>12</v>
      </c>
      <c r="N5040">
        <v>0</v>
      </c>
      <c r="O5040">
        <v>0</v>
      </c>
    </row>
    <row r="5041" spans="1:15" x14ac:dyDescent="0.25">
      <c r="A5041" t="s">
        <v>1126</v>
      </c>
      <c r="B5041" t="s">
        <v>2130</v>
      </c>
      <c r="C5041" t="s">
        <v>927</v>
      </c>
      <c r="D5041" t="s">
        <v>3052</v>
      </c>
      <c r="E5041" t="s">
        <v>3053</v>
      </c>
      <c r="F5041" t="s">
        <v>573</v>
      </c>
      <c r="G5041" t="s">
        <v>574</v>
      </c>
      <c r="H5041" t="s">
        <v>14893</v>
      </c>
      <c r="I5041">
        <v>2</v>
      </c>
      <c r="J5041">
        <v>0</v>
      </c>
      <c r="K5041">
        <v>0</v>
      </c>
      <c r="L5041">
        <v>0</v>
      </c>
      <c r="M5041">
        <v>0</v>
      </c>
      <c r="N5041">
        <v>0</v>
      </c>
      <c r="O5041">
        <v>2</v>
      </c>
    </row>
    <row r="5042" spans="1:15" x14ac:dyDescent="0.25">
      <c r="A5042" t="s">
        <v>1025</v>
      </c>
      <c r="B5042" t="s">
        <v>2893</v>
      </c>
      <c r="C5042" t="s">
        <v>927</v>
      </c>
      <c r="D5042" t="s">
        <v>3052</v>
      </c>
      <c r="E5042" t="s">
        <v>3053</v>
      </c>
      <c r="F5042" t="s">
        <v>573</v>
      </c>
      <c r="G5042" t="s">
        <v>574</v>
      </c>
      <c r="H5042" t="s">
        <v>6458</v>
      </c>
      <c r="I5042">
        <v>16</v>
      </c>
      <c r="J5042">
        <v>0</v>
      </c>
      <c r="K5042">
        <v>0</v>
      </c>
      <c r="L5042">
        <v>0</v>
      </c>
      <c r="M5042">
        <v>0</v>
      </c>
      <c r="N5042">
        <v>0</v>
      </c>
      <c r="O5042">
        <v>16</v>
      </c>
    </row>
    <row r="5043" spans="1:15" x14ac:dyDescent="0.25">
      <c r="A5043" t="s">
        <v>10681</v>
      </c>
      <c r="B5043" t="s">
        <v>10680</v>
      </c>
      <c r="C5043" t="s">
        <v>927</v>
      </c>
      <c r="D5043" t="s">
        <v>3052</v>
      </c>
      <c r="E5043" t="s">
        <v>3053</v>
      </c>
      <c r="F5043" t="s">
        <v>573</v>
      </c>
      <c r="G5043" t="s">
        <v>574</v>
      </c>
      <c r="H5043" t="s">
        <v>14894</v>
      </c>
      <c r="I5043">
        <v>28</v>
      </c>
      <c r="J5043">
        <v>0</v>
      </c>
      <c r="K5043">
        <v>0</v>
      </c>
      <c r="L5043">
        <v>0</v>
      </c>
      <c r="M5043">
        <v>0</v>
      </c>
      <c r="N5043">
        <v>0</v>
      </c>
      <c r="O5043">
        <v>28</v>
      </c>
    </row>
    <row r="5044" spans="1:15" x14ac:dyDescent="0.25">
      <c r="A5044" t="s">
        <v>945</v>
      </c>
      <c r="B5044" t="s">
        <v>2668</v>
      </c>
      <c r="C5044" t="s">
        <v>927</v>
      </c>
      <c r="D5044" t="s">
        <v>3052</v>
      </c>
      <c r="E5044" t="s">
        <v>3053</v>
      </c>
      <c r="F5044" t="s">
        <v>573</v>
      </c>
      <c r="G5044" t="s">
        <v>574</v>
      </c>
      <c r="H5044" t="s">
        <v>6459</v>
      </c>
      <c r="I5044">
        <v>417</v>
      </c>
      <c r="J5044">
        <v>201</v>
      </c>
      <c r="K5044">
        <v>0</v>
      </c>
      <c r="L5044">
        <v>1</v>
      </c>
      <c r="M5044">
        <v>5</v>
      </c>
      <c r="N5044">
        <v>0</v>
      </c>
      <c r="O5044">
        <v>210</v>
      </c>
    </row>
    <row r="5045" spans="1:15" x14ac:dyDescent="0.25">
      <c r="A5045" t="s">
        <v>1135</v>
      </c>
      <c r="B5045" t="s">
        <v>1996</v>
      </c>
      <c r="C5045" t="s">
        <v>923</v>
      </c>
      <c r="D5045" t="s">
        <v>3063</v>
      </c>
      <c r="E5045" t="s">
        <v>3053</v>
      </c>
      <c r="F5045" t="s">
        <v>573</v>
      </c>
      <c r="G5045" t="s">
        <v>574</v>
      </c>
      <c r="H5045" t="s">
        <v>10220</v>
      </c>
      <c r="I5045">
        <v>1</v>
      </c>
      <c r="J5045">
        <v>1</v>
      </c>
      <c r="K5045">
        <v>0</v>
      </c>
      <c r="L5045">
        <v>0</v>
      </c>
      <c r="M5045">
        <v>0</v>
      </c>
      <c r="N5045">
        <v>0</v>
      </c>
      <c r="O5045">
        <v>0</v>
      </c>
    </row>
    <row r="5046" spans="1:15" x14ac:dyDescent="0.25">
      <c r="A5046" t="s">
        <v>1634</v>
      </c>
      <c r="B5046" t="s">
        <v>2519</v>
      </c>
      <c r="C5046" t="s">
        <v>923</v>
      </c>
      <c r="D5046" t="s">
        <v>3063</v>
      </c>
      <c r="E5046" t="s">
        <v>3053</v>
      </c>
      <c r="F5046" t="s">
        <v>573</v>
      </c>
      <c r="G5046" t="s">
        <v>574</v>
      </c>
      <c r="H5046" t="s">
        <v>6460</v>
      </c>
      <c r="I5046">
        <v>25</v>
      </c>
      <c r="J5046">
        <v>25</v>
      </c>
      <c r="K5046">
        <v>0</v>
      </c>
      <c r="L5046">
        <v>0</v>
      </c>
      <c r="M5046">
        <v>0</v>
      </c>
      <c r="N5046">
        <v>0</v>
      </c>
      <c r="O5046">
        <v>0</v>
      </c>
    </row>
    <row r="5047" spans="1:15" x14ac:dyDescent="0.25">
      <c r="A5047" t="s">
        <v>1635</v>
      </c>
      <c r="B5047" t="s">
        <v>2515</v>
      </c>
      <c r="C5047" t="s">
        <v>923</v>
      </c>
      <c r="D5047" t="s">
        <v>3063</v>
      </c>
      <c r="E5047" t="s">
        <v>3053</v>
      </c>
      <c r="F5047" t="s">
        <v>573</v>
      </c>
      <c r="G5047" t="s">
        <v>574</v>
      </c>
      <c r="H5047" t="s">
        <v>6461</v>
      </c>
      <c r="I5047">
        <v>36</v>
      </c>
      <c r="J5047">
        <v>36</v>
      </c>
      <c r="K5047">
        <v>0</v>
      </c>
      <c r="L5047">
        <v>0</v>
      </c>
      <c r="M5047">
        <v>0</v>
      </c>
      <c r="N5047">
        <v>0</v>
      </c>
      <c r="O5047">
        <v>0</v>
      </c>
    </row>
    <row r="5048" spans="1:15" x14ac:dyDescent="0.25">
      <c r="A5048" t="s">
        <v>1041</v>
      </c>
      <c r="B5048" t="s">
        <v>2826</v>
      </c>
      <c r="C5048" t="s">
        <v>927</v>
      </c>
      <c r="D5048" t="s">
        <v>3052</v>
      </c>
      <c r="E5048" t="s">
        <v>3053</v>
      </c>
      <c r="F5048" t="s">
        <v>573</v>
      </c>
      <c r="G5048" t="s">
        <v>574</v>
      </c>
      <c r="H5048" t="s">
        <v>6462</v>
      </c>
      <c r="I5048">
        <v>162</v>
      </c>
      <c r="J5048">
        <v>27</v>
      </c>
      <c r="K5048">
        <v>0</v>
      </c>
      <c r="L5048">
        <v>0</v>
      </c>
      <c r="M5048">
        <v>0</v>
      </c>
      <c r="N5048">
        <v>0</v>
      </c>
      <c r="O5048">
        <v>135</v>
      </c>
    </row>
    <row r="5049" spans="1:15" x14ac:dyDescent="0.25">
      <c r="A5049" t="s">
        <v>9787</v>
      </c>
      <c r="B5049" t="s">
        <v>2822</v>
      </c>
      <c r="C5049" t="s">
        <v>927</v>
      </c>
      <c r="D5049" t="s">
        <v>3052</v>
      </c>
      <c r="E5049" t="s">
        <v>3053</v>
      </c>
      <c r="F5049" t="s">
        <v>573</v>
      </c>
      <c r="G5049" t="s">
        <v>574</v>
      </c>
      <c r="H5049" t="s">
        <v>10264</v>
      </c>
      <c r="I5049">
        <v>244</v>
      </c>
      <c r="J5049">
        <v>244</v>
      </c>
      <c r="K5049">
        <v>0</v>
      </c>
      <c r="L5049">
        <v>0</v>
      </c>
      <c r="M5049">
        <v>0</v>
      </c>
      <c r="N5049">
        <v>0</v>
      </c>
      <c r="O5049">
        <v>0</v>
      </c>
    </row>
    <row r="5050" spans="1:15" x14ac:dyDescent="0.25">
      <c r="A5050" t="s">
        <v>1639</v>
      </c>
      <c r="B5050" t="s">
        <v>2300</v>
      </c>
      <c r="C5050" t="s">
        <v>923</v>
      </c>
      <c r="D5050" t="s">
        <v>3063</v>
      </c>
      <c r="E5050" t="s">
        <v>3053</v>
      </c>
      <c r="F5050" t="s">
        <v>573</v>
      </c>
      <c r="G5050" t="s">
        <v>574</v>
      </c>
      <c r="H5050" t="s">
        <v>6463</v>
      </c>
      <c r="I5050">
        <v>5</v>
      </c>
      <c r="J5050">
        <v>0</v>
      </c>
      <c r="K5050">
        <v>0</v>
      </c>
      <c r="L5050">
        <v>0</v>
      </c>
      <c r="M5050">
        <v>5</v>
      </c>
      <c r="N5050">
        <v>0</v>
      </c>
      <c r="O5050">
        <v>0</v>
      </c>
    </row>
    <row r="5051" spans="1:15" x14ac:dyDescent="0.25">
      <c r="A5051" t="s">
        <v>951</v>
      </c>
      <c r="B5051" t="s">
        <v>2680</v>
      </c>
      <c r="C5051" t="s">
        <v>927</v>
      </c>
      <c r="D5051" t="s">
        <v>3052</v>
      </c>
      <c r="E5051" t="s">
        <v>3053</v>
      </c>
      <c r="F5051" t="s">
        <v>573</v>
      </c>
      <c r="G5051" t="s">
        <v>574</v>
      </c>
      <c r="H5051" t="s">
        <v>6464</v>
      </c>
      <c r="I5051">
        <v>103</v>
      </c>
      <c r="J5051">
        <v>70</v>
      </c>
      <c r="K5051">
        <v>0</v>
      </c>
      <c r="L5051">
        <v>0</v>
      </c>
      <c r="M5051">
        <v>0</v>
      </c>
      <c r="N5051">
        <v>0</v>
      </c>
      <c r="O5051">
        <v>33</v>
      </c>
    </row>
    <row r="5052" spans="1:15" x14ac:dyDescent="0.25">
      <c r="A5052" t="s">
        <v>1048</v>
      </c>
      <c r="B5052" t="s">
        <v>2989</v>
      </c>
      <c r="C5052" t="s">
        <v>927</v>
      </c>
      <c r="D5052" t="s">
        <v>3052</v>
      </c>
      <c r="E5052" t="s">
        <v>3053</v>
      </c>
      <c r="F5052" t="s">
        <v>573</v>
      </c>
      <c r="G5052" t="s">
        <v>574</v>
      </c>
      <c r="H5052" t="s">
        <v>6465</v>
      </c>
      <c r="I5052">
        <v>5</v>
      </c>
      <c r="J5052">
        <v>0</v>
      </c>
      <c r="K5052">
        <v>0</v>
      </c>
      <c r="L5052">
        <v>5</v>
      </c>
      <c r="M5052">
        <v>0</v>
      </c>
      <c r="N5052">
        <v>0</v>
      </c>
      <c r="O5052">
        <v>0</v>
      </c>
    </row>
    <row r="5053" spans="1:15" x14ac:dyDescent="0.25">
      <c r="A5053" t="s">
        <v>953</v>
      </c>
      <c r="B5053" t="s">
        <v>2014</v>
      </c>
      <c r="C5053" t="s">
        <v>927</v>
      </c>
      <c r="D5053" t="s">
        <v>3052</v>
      </c>
      <c r="E5053" t="s">
        <v>3053</v>
      </c>
      <c r="F5053" t="s">
        <v>573</v>
      </c>
      <c r="G5053" t="s">
        <v>574</v>
      </c>
      <c r="H5053" t="s">
        <v>6466</v>
      </c>
      <c r="I5053">
        <v>9</v>
      </c>
      <c r="J5053">
        <v>0</v>
      </c>
      <c r="K5053">
        <v>0</v>
      </c>
      <c r="L5053">
        <v>9</v>
      </c>
      <c r="M5053">
        <v>0</v>
      </c>
      <c r="N5053">
        <v>0</v>
      </c>
      <c r="O5053">
        <v>0</v>
      </c>
    </row>
    <row r="5054" spans="1:15" x14ac:dyDescent="0.25">
      <c r="A5054" t="s">
        <v>11720</v>
      </c>
      <c r="B5054" t="s">
        <v>10718</v>
      </c>
      <c r="C5054" t="s">
        <v>927</v>
      </c>
      <c r="D5054" t="s">
        <v>3052</v>
      </c>
      <c r="E5054" t="s">
        <v>3053</v>
      </c>
      <c r="F5054" t="s">
        <v>573</v>
      </c>
      <c r="G5054" t="s">
        <v>574</v>
      </c>
      <c r="H5054" t="s">
        <v>14895</v>
      </c>
      <c r="I5054">
        <v>48</v>
      </c>
      <c r="J5054">
        <v>25</v>
      </c>
      <c r="K5054">
        <v>0</v>
      </c>
      <c r="L5054">
        <v>0</v>
      </c>
      <c r="M5054">
        <v>0</v>
      </c>
      <c r="N5054">
        <v>0</v>
      </c>
      <c r="O5054">
        <v>23</v>
      </c>
    </row>
    <row r="5055" spans="1:15" x14ac:dyDescent="0.25">
      <c r="A5055" t="s">
        <v>9788</v>
      </c>
      <c r="B5055" t="s">
        <v>9871</v>
      </c>
      <c r="C5055" t="s">
        <v>927</v>
      </c>
      <c r="D5055" t="s">
        <v>3052</v>
      </c>
      <c r="E5055" t="s">
        <v>3053</v>
      </c>
      <c r="F5055" t="s">
        <v>573</v>
      </c>
      <c r="G5055" t="s">
        <v>574</v>
      </c>
      <c r="H5055" t="s">
        <v>10363</v>
      </c>
      <c r="I5055">
        <v>110</v>
      </c>
      <c r="J5055">
        <v>110</v>
      </c>
      <c r="K5055">
        <v>0</v>
      </c>
      <c r="L5055">
        <v>0</v>
      </c>
      <c r="M5055">
        <v>0</v>
      </c>
      <c r="N5055">
        <v>0</v>
      </c>
      <c r="O5055">
        <v>0</v>
      </c>
    </row>
    <row r="5056" spans="1:15" x14ac:dyDescent="0.25">
      <c r="A5056" t="s">
        <v>955</v>
      </c>
      <c r="B5056" t="s">
        <v>2660</v>
      </c>
      <c r="C5056" t="s">
        <v>927</v>
      </c>
      <c r="D5056" t="s">
        <v>3052</v>
      </c>
      <c r="E5056" t="s">
        <v>3053</v>
      </c>
      <c r="F5056" t="s">
        <v>573</v>
      </c>
      <c r="G5056" t="s">
        <v>574</v>
      </c>
      <c r="H5056" t="s">
        <v>6467</v>
      </c>
      <c r="I5056">
        <v>155</v>
      </c>
      <c r="J5056">
        <v>122</v>
      </c>
      <c r="K5056">
        <v>0</v>
      </c>
      <c r="L5056">
        <v>20</v>
      </c>
      <c r="M5056">
        <v>13</v>
      </c>
      <c r="N5056">
        <v>0</v>
      </c>
      <c r="O5056">
        <v>0</v>
      </c>
    </row>
    <row r="5057" spans="1:15" x14ac:dyDescent="0.25">
      <c r="A5057" t="s">
        <v>1655</v>
      </c>
      <c r="B5057" t="s">
        <v>2463</v>
      </c>
      <c r="C5057" t="s">
        <v>923</v>
      </c>
      <c r="D5057" t="s">
        <v>3063</v>
      </c>
      <c r="E5057" t="s">
        <v>3053</v>
      </c>
      <c r="F5057" t="s">
        <v>573</v>
      </c>
      <c r="G5057" t="s">
        <v>574</v>
      </c>
      <c r="H5057" t="s">
        <v>6468</v>
      </c>
      <c r="I5057">
        <v>77</v>
      </c>
      <c r="J5057">
        <v>77</v>
      </c>
      <c r="K5057">
        <v>0</v>
      </c>
      <c r="L5057">
        <v>0</v>
      </c>
      <c r="M5057">
        <v>0</v>
      </c>
      <c r="N5057">
        <v>0</v>
      </c>
      <c r="O5057">
        <v>0</v>
      </c>
    </row>
    <row r="5058" spans="1:15" x14ac:dyDescent="0.25">
      <c r="A5058" t="s">
        <v>11663</v>
      </c>
      <c r="B5058" t="s">
        <v>11768</v>
      </c>
      <c r="C5058" t="s">
        <v>927</v>
      </c>
      <c r="D5058" t="s">
        <v>3052</v>
      </c>
      <c r="E5058" t="s">
        <v>3053</v>
      </c>
      <c r="F5058" t="s">
        <v>573</v>
      </c>
      <c r="G5058" t="s">
        <v>574</v>
      </c>
      <c r="H5058" t="s">
        <v>12180</v>
      </c>
      <c r="I5058">
        <v>128</v>
      </c>
      <c r="J5058">
        <v>87</v>
      </c>
      <c r="K5058">
        <v>0</v>
      </c>
      <c r="L5058">
        <v>0</v>
      </c>
      <c r="M5058">
        <v>0</v>
      </c>
      <c r="N5058">
        <v>0</v>
      </c>
      <c r="O5058">
        <v>41</v>
      </c>
    </row>
    <row r="5059" spans="1:15" x14ac:dyDescent="0.25">
      <c r="A5059" t="s">
        <v>14374</v>
      </c>
      <c r="B5059" t="s">
        <v>1943</v>
      </c>
      <c r="C5059" t="s">
        <v>927</v>
      </c>
      <c r="D5059" t="s">
        <v>3052</v>
      </c>
      <c r="E5059" t="s">
        <v>3053</v>
      </c>
      <c r="F5059" t="s">
        <v>573</v>
      </c>
      <c r="G5059" t="s">
        <v>574</v>
      </c>
      <c r="H5059" t="s">
        <v>14896</v>
      </c>
      <c r="I5059">
        <v>69</v>
      </c>
      <c r="J5059">
        <v>0</v>
      </c>
      <c r="K5059">
        <v>0</v>
      </c>
      <c r="L5059">
        <v>0</v>
      </c>
      <c r="M5059">
        <v>0</v>
      </c>
      <c r="N5059">
        <v>0</v>
      </c>
      <c r="O5059">
        <v>69</v>
      </c>
    </row>
    <row r="5060" spans="1:15" x14ac:dyDescent="0.25">
      <c r="A5060" t="s">
        <v>1678</v>
      </c>
      <c r="B5060" t="s">
        <v>2326</v>
      </c>
      <c r="C5060" t="s">
        <v>923</v>
      </c>
      <c r="D5060" t="s">
        <v>3063</v>
      </c>
      <c r="E5060" t="s">
        <v>3053</v>
      </c>
      <c r="F5060" t="s">
        <v>573</v>
      </c>
      <c r="G5060" t="s">
        <v>574</v>
      </c>
      <c r="H5060" t="s">
        <v>6469</v>
      </c>
      <c r="I5060">
        <v>29</v>
      </c>
      <c r="J5060">
        <v>29</v>
      </c>
      <c r="K5060">
        <v>0</v>
      </c>
      <c r="L5060">
        <v>0</v>
      </c>
      <c r="M5060">
        <v>0</v>
      </c>
      <c r="N5060">
        <v>0</v>
      </c>
      <c r="O5060">
        <v>0</v>
      </c>
    </row>
    <row r="5061" spans="1:15" x14ac:dyDescent="0.25">
      <c r="A5061" t="s">
        <v>1072</v>
      </c>
      <c r="B5061" t="s">
        <v>2907</v>
      </c>
      <c r="C5061" t="s">
        <v>927</v>
      </c>
      <c r="D5061" t="s">
        <v>3052</v>
      </c>
      <c r="E5061" t="s">
        <v>3053</v>
      </c>
      <c r="F5061" t="s">
        <v>573</v>
      </c>
      <c r="G5061" t="s">
        <v>574</v>
      </c>
      <c r="H5061" t="s">
        <v>6470</v>
      </c>
      <c r="I5061">
        <v>190</v>
      </c>
      <c r="J5061">
        <v>128</v>
      </c>
      <c r="K5061">
        <v>0</v>
      </c>
      <c r="L5061">
        <v>53</v>
      </c>
      <c r="M5061">
        <v>0</v>
      </c>
      <c r="N5061">
        <v>0</v>
      </c>
      <c r="O5061">
        <v>9</v>
      </c>
    </row>
    <row r="5062" spans="1:15" x14ac:dyDescent="0.25">
      <c r="A5062" t="s">
        <v>1684</v>
      </c>
      <c r="B5062" t="s">
        <v>2845</v>
      </c>
      <c r="C5062" t="s">
        <v>927</v>
      </c>
      <c r="D5062" t="s">
        <v>3052</v>
      </c>
      <c r="E5062" t="s">
        <v>3053</v>
      </c>
      <c r="F5062" t="s">
        <v>573</v>
      </c>
      <c r="G5062" t="s">
        <v>574</v>
      </c>
      <c r="H5062" t="s">
        <v>6471</v>
      </c>
      <c r="I5062">
        <v>506</v>
      </c>
      <c r="J5062">
        <v>374</v>
      </c>
      <c r="K5062">
        <v>0</v>
      </c>
      <c r="L5062">
        <v>9</v>
      </c>
      <c r="M5062">
        <v>22</v>
      </c>
      <c r="N5062">
        <v>0</v>
      </c>
      <c r="O5062">
        <v>101</v>
      </c>
    </row>
    <row r="5063" spans="1:15" x14ac:dyDescent="0.25">
      <c r="A5063" t="s">
        <v>1078</v>
      </c>
      <c r="B5063" t="s">
        <v>1950</v>
      </c>
      <c r="C5063" t="s">
        <v>923</v>
      </c>
      <c r="D5063" t="s">
        <v>3063</v>
      </c>
      <c r="E5063" t="s">
        <v>3053</v>
      </c>
      <c r="F5063" t="s">
        <v>573</v>
      </c>
      <c r="G5063" t="s">
        <v>574</v>
      </c>
      <c r="H5063" t="s">
        <v>6472</v>
      </c>
      <c r="I5063">
        <v>7</v>
      </c>
      <c r="J5063">
        <v>0</v>
      </c>
      <c r="K5063">
        <v>0</v>
      </c>
      <c r="L5063">
        <v>7</v>
      </c>
      <c r="M5063">
        <v>0</v>
      </c>
      <c r="N5063">
        <v>0</v>
      </c>
      <c r="O5063">
        <v>0</v>
      </c>
    </row>
    <row r="5064" spans="1:15" x14ac:dyDescent="0.25">
      <c r="A5064" t="s">
        <v>1691</v>
      </c>
      <c r="B5064" t="s">
        <v>2980</v>
      </c>
      <c r="C5064" t="s">
        <v>927</v>
      </c>
      <c r="D5064" t="s">
        <v>3052</v>
      </c>
      <c r="E5064" t="s">
        <v>3053</v>
      </c>
      <c r="F5064" t="s">
        <v>573</v>
      </c>
      <c r="G5064" t="s">
        <v>574</v>
      </c>
      <c r="H5064" t="s">
        <v>6473</v>
      </c>
      <c r="I5064">
        <v>506</v>
      </c>
      <c r="J5064">
        <v>319</v>
      </c>
      <c r="K5064">
        <v>0</v>
      </c>
      <c r="L5064">
        <v>11</v>
      </c>
      <c r="M5064">
        <v>0</v>
      </c>
      <c r="N5064">
        <v>0</v>
      </c>
      <c r="O5064">
        <v>176</v>
      </c>
    </row>
    <row r="5065" spans="1:15" x14ac:dyDescent="0.25">
      <c r="A5065" t="s">
        <v>1692</v>
      </c>
      <c r="B5065" t="s">
        <v>2528</v>
      </c>
      <c r="C5065" t="s">
        <v>923</v>
      </c>
      <c r="D5065" t="s">
        <v>3063</v>
      </c>
      <c r="E5065" t="s">
        <v>3053</v>
      </c>
      <c r="F5065" t="s">
        <v>573</v>
      </c>
      <c r="G5065" t="s">
        <v>574</v>
      </c>
      <c r="H5065" t="s">
        <v>6474</v>
      </c>
      <c r="I5065">
        <v>34</v>
      </c>
      <c r="J5065">
        <v>34</v>
      </c>
      <c r="K5065">
        <v>0</v>
      </c>
      <c r="L5065">
        <v>0</v>
      </c>
      <c r="M5065">
        <v>0</v>
      </c>
      <c r="N5065">
        <v>0</v>
      </c>
      <c r="O5065">
        <v>0</v>
      </c>
    </row>
    <row r="5066" spans="1:15" x14ac:dyDescent="0.25">
      <c r="A5066" t="s">
        <v>14377</v>
      </c>
      <c r="B5066" t="s">
        <v>14444</v>
      </c>
      <c r="C5066" t="s">
        <v>923</v>
      </c>
      <c r="D5066" t="s">
        <v>3063</v>
      </c>
      <c r="E5066" t="s">
        <v>3053</v>
      </c>
      <c r="F5066" t="s">
        <v>573</v>
      </c>
      <c r="G5066" t="s">
        <v>574</v>
      </c>
      <c r="H5066" t="s">
        <v>14897</v>
      </c>
      <c r="I5066">
        <v>6</v>
      </c>
      <c r="J5066">
        <v>0</v>
      </c>
      <c r="K5066">
        <v>0</v>
      </c>
      <c r="L5066">
        <v>6</v>
      </c>
      <c r="M5066">
        <v>0</v>
      </c>
      <c r="N5066">
        <v>0</v>
      </c>
      <c r="O5066">
        <v>0</v>
      </c>
    </row>
    <row r="5067" spans="1:15" x14ac:dyDescent="0.25">
      <c r="A5067" t="s">
        <v>1100</v>
      </c>
      <c r="B5067" t="s">
        <v>2855</v>
      </c>
      <c r="C5067" t="s">
        <v>927</v>
      </c>
      <c r="D5067" t="s">
        <v>3052</v>
      </c>
      <c r="E5067" t="s">
        <v>3053</v>
      </c>
      <c r="F5067" t="s">
        <v>575</v>
      </c>
      <c r="G5067" t="s">
        <v>576</v>
      </c>
      <c r="H5067" t="s">
        <v>6475</v>
      </c>
      <c r="I5067">
        <v>269</v>
      </c>
      <c r="J5067">
        <v>238</v>
      </c>
      <c r="K5067">
        <v>0</v>
      </c>
      <c r="L5067">
        <v>0</v>
      </c>
      <c r="M5067">
        <v>0</v>
      </c>
      <c r="N5067">
        <v>0</v>
      </c>
      <c r="O5067">
        <v>31</v>
      </c>
    </row>
    <row r="5068" spans="1:15" x14ac:dyDescent="0.25">
      <c r="A5068" t="s">
        <v>933</v>
      </c>
      <c r="B5068" t="s">
        <v>2106</v>
      </c>
      <c r="C5068" t="s">
        <v>927</v>
      </c>
      <c r="D5068" t="s">
        <v>3052</v>
      </c>
      <c r="E5068" t="s">
        <v>3053</v>
      </c>
      <c r="F5068" t="s">
        <v>575</v>
      </c>
      <c r="G5068" t="s">
        <v>576</v>
      </c>
      <c r="H5068" t="s">
        <v>6476</v>
      </c>
      <c r="I5068">
        <v>84</v>
      </c>
      <c r="J5068">
        <v>59</v>
      </c>
      <c r="K5068">
        <v>0</v>
      </c>
      <c r="L5068">
        <v>0</v>
      </c>
      <c r="M5068">
        <v>21</v>
      </c>
      <c r="N5068">
        <v>0</v>
      </c>
      <c r="O5068">
        <v>4</v>
      </c>
    </row>
    <row r="5069" spans="1:15" x14ac:dyDescent="0.25">
      <c r="A5069" t="s">
        <v>1110</v>
      </c>
      <c r="B5069" t="s">
        <v>2888</v>
      </c>
      <c r="C5069" t="s">
        <v>927</v>
      </c>
      <c r="D5069" t="s">
        <v>3052</v>
      </c>
      <c r="E5069" t="s">
        <v>3053</v>
      </c>
      <c r="F5069" t="s">
        <v>575</v>
      </c>
      <c r="G5069" t="s">
        <v>576</v>
      </c>
      <c r="H5069" t="s">
        <v>10058</v>
      </c>
      <c r="I5069">
        <v>398</v>
      </c>
      <c r="J5069">
        <v>323</v>
      </c>
      <c r="K5069">
        <v>0</v>
      </c>
      <c r="L5069">
        <v>12</v>
      </c>
      <c r="M5069">
        <v>42</v>
      </c>
      <c r="N5069">
        <v>0</v>
      </c>
      <c r="O5069">
        <v>21</v>
      </c>
    </row>
    <row r="5070" spans="1:15" x14ac:dyDescent="0.25">
      <c r="A5070" t="s">
        <v>998</v>
      </c>
      <c r="B5070" t="s">
        <v>2820</v>
      </c>
      <c r="C5070" t="s">
        <v>927</v>
      </c>
      <c r="D5070" t="s">
        <v>3052</v>
      </c>
      <c r="E5070" t="s">
        <v>3053</v>
      </c>
      <c r="F5070" t="s">
        <v>575</v>
      </c>
      <c r="G5070" t="s">
        <v>576</v>
      </c>
      <c r="H5070" t="s">
        <v>6477</v>
      </c>
      <c r="I5070">
        <v>10</v>
      </c>
      <c r="J5070">
        <v>8</v>
      </c>
      <c r="K5070">
        <v>0</v>
      </c>
      <c r="L5070">
        <v>0</v>
      </c>
      <c r="M5070">
        <v>0</v>
      </c>
      <c r="N5070">
        <v>0</v>
      </c>
      <c r="O5070">
        <v>2</v>
      </c>
    </row>
    <row r="5071" spans="1:15" x14ac:dyDescent="0.25">
      <c r="A5071" t="s">
        <v>1111</v>
      </c>
      <c r="B5071" t="s">
        <v>2795</v>
      </c>
      <c r="C5071" t="s">
        <v>927</v>
      </c>
      <c r="D5071" t="s">
        <v>3052</v>
      </c>
      <c r="E5071" t="s">
        <v>3053</v>
      </c>
      <c r="F5071" t="s">
        <v>575</v>
      </c>
      <c r="G5071" t="s">
        <v>576</v>
      </c>
      <c r="H5071" t="s">
        <v>6478</v>
      </c>
      <c r="I5071">
        <v>307</v>
      </c>
      <c r="J5071">
        <v>273</v>
      </c>
      <c r="K5071">
        <v>0</v>
      </c>
      <c r="L5071">
        <v>0</v>
      </c>
      <c r="M5071">
        <v>0</v>
      </c>
      <c r="N5071">
        <v>0</v>
      </c>
      <c r="O5071">
        <v>34</v>
      </c>
    </row>
    <row r="5072" spans="1:15" x14ac:dyDescent="0.25">
      <c r="A5072" t="s">
        <v>1010</v>
      </c>
      <c r="B5072" t="s">
        <v>2639</v>
      </c>
      <c r="C5072" t="s">
        <v>927</v>
      </c>
      <c r="D5072" t="s">
        <v>3052</v>
      </c>
      <c r="E5072" t="s">
        <v>3053</v>
      </c>
      <c r="F5072" t="s">
        <v>575</v>
      </c>
      <c r="G5072" t="s">
        <v>576</v>
      </c>
      <c r="H5072" t="s">
        <v>6479</v>
      </c>
      <c r="I5072">
        <v>13</v>
      </c>
      <c r="J5072">
        <v>10</v>
      </c>
      <c r="K5072">
        <v>0</v>
      </c>
      <c r="L5072">
        <v>0</v>
      </c>
      <c r="M5072">
        <v>0</v>
      </c>
      <c r="N5072">
        <v>0</v>
      </c>
      <c r="O5072">
        <v>3</v>
      </c>
    </row>
    <row r="5073" spans="1:15" x14ac:dyDescent="0.25">
      <c r="A5073" t="s">
        <v>937</v>
      </c>
      <c r="B5073" t="s">
        <v>1962</v>
      </c>
      <c r="C5073" t="s">
        <v>927</v>
      </c>
      <c r="D5073" t="s">
        <v>3052</v>
      </c>
      <c r="E5073" t="s">
        <v>3053</v>
      </c>
      <c r="F5073" t="s">
        <v>575</v>
      </c>
      <c r="G5073" t="s">
        <v>576</v>
      </c>
      <c r="H5073" t="s">
        <v>6480</v>
      </c>
      <c r="I5073">
        <v>21</v>
      </c>
      <c r="J5073">
        <v>0</v>
      </c>
      <c r="K5073">
        <v>0</v>
      </c>
      <c r="L5073">
        <v>0</v>
      </c>
      <c r="M5073">
        <v>0</v>
      </c>
      <c r="N5073">
        <v>0</v>
      </c>
      <c r="O5073">
        <v>21</v>
      </c>
    </row>
    <row r="5074" spans="1:15" x14ac:dyDescent="0.25">
      <c r="A5074" t="s">
        <v>10667</v>
      </c>
      <c r="B5074" t="s">
        <v>10666</v>
      </c>
      <c r="C5074" t="s">
        <v>927</v>
      </c>
      <c r="D5074" t="s">
        <v>3052</v>
      </c>
      <c r="E5074" t="s">
        <v>3053</v>
      </c>
      <c r="F5074" t="s">
        <v>575</v>
      </c>
      <c r="G5074" t="s">
        <v>576</v>
      </c>
      <c r="H5074" t="s">
        <v>11130</v>
      </c>
      <c r="I5074">
        <v>20</v>
      </c>
      <c r="J5074">
        <v>20</v>
      </c>
      <c r="K5074">
        <v>0</v>
      </c>
      <c r="L5074">
        <v>0</v>
      </c>
      <c r="M5074">
        <v>0</v>
      </c>
      <c r="N5074">
        <v>0</v>
      </c>
      <c r="O5074">
        <v>0</v>
      </c>
    </row>
    <row r="5075" spans="1:15" x14ac:dyDescent="0.25">
      <c r="A5075" t="s">
        <v>1126</v>
      </c>
      <c r="B5075" t="s">
        <v>2130</v>
      </c>
      <c r="C5075" t="s">
        <v>927</v>
      </c>
      <c r="D5075" t="s">
        <v>3052</v>
      </c>
      <c r="E5075" t="s">
        <v>3053</v>
      </c>
      <c r="F5075" t="s">
        <v>575</v>
      </c>
      <c r="G5075" t="s">
        <v>576</v>
      </c>
      <c r="H5075" t="s">
        <v>10165</v>
      </c>
      <c r="I5075">
        <v>57</v>
      </c>
      <c r="J5075">
        <v>7</v>
      </c>
      <c r="K5075">
        <v>0</v>
      </c>
      <c r="L5075">
        <v>0</v>
      </c>
      <c r="M5075">
        <v>0</v>
      </c>
      <c r="N5075">
        <v>0</v>
      </c>
      <c r="O5075">
        <v>50</v>
      </c>
    </row>
    <row r="5076" spans="1:15" x14ac:dyDescent="0.25">
      <c r="A5076" t="s">
        <v>1025</v>
      </c>
      <c r="B5076" t="s">
        <v>2893</v>
      </c>
      <c r="C5076" t="s">
        <v>927</v>
      </c>
      <c r="D5076" t="s">
        <v>3052</v>
      </c>
      <c r="E5076" t="s">
        <v>3053</v>
      </c>
      <c r="F5076" t="s">
        <v>575</v>
      </c>
      <c r="G5076" t="s">
        <v>576</v>
      </c>
      <c r="H5076" t="s">
        <v>6481</v>
      </c>
      <c r="I5076">
        <v>1</v>
      </c>
      <c r="J5076">
        <v>0</v>
      </c>
      <c r="K5076">
        <v>0</v>
      </c>
      <c r="L5076">
        <v>0</v>
      </c>
      <c r="M5076">
        <v>0</v>
      </c>
      <c r="N5076">
        <v>0</v>
      </c>
      <c r="O5076">
        <v>1</v>
      </c>
    </row>
    <row r="5077" spans="1:15" x14ac:dyDescent="0.25">
      <c r="A5077" t="s">
        <v>10681</v>
      </c>
      <c r="B5077" t="s">
        <v>10680</v>
      </c>
      <c r="C5077" t="s">
        <v>927</v>
      </c>
      <c r="D5077" t="s">
        <v>3052</v>
      </c>
      <c r="E5077" t="s">
        <v>3053</v>
      </c>
      <c r="F5077" t="s">
        <v>575</v>
      </c>
      <c r="G5077" t="s">
        <v>576</v>
      </c>
      <c r="H5077" t="s">
        <v>14898</v>
      </c>
      <c r="I5077">
        <v>38</v>
      </c>
      <c r="J5077">
        <v>0</v>
      </c>
      <c r="K5077">
        <v>0</v>
      </c>
      <c r="L5077">
        <v>0</v>
      </c>
      <c r="M5077">
        <v>0</v>
      </c>
      <c r="N5077">
        <v>0</v>
      </c>
      <c r="O5077">
        <v>38</v>
      </c>
    </row>
    <row r="5078" spans="1:15" x14ac:dyDescent="0.25">
      <c r="A5078" t="s">
        <v>1128</v>
      </c>
      <c r="B5078" t="s">
        <v>2751</v>
      </c>
      <c r="C5078" t="s">
        <v>923</v>
      </c>
      <c r="D5078" t="s">
        <v>3063</v>
      </c>
      <c r="E5078" t="s">
        <v>3053</v>
      </c>
      <c r="F5078" t="s">
        <v>575</v>
      </c>
      <c r="G5078" t="s">
        <v>576</v>
      </c>
      <c r="H5078" t="s">
        <v>6482</v>
      </c>
      <c r="I5078">
        <v>57</v>
      </c>
      <c r="J5078">
        <v>0</v>
      </c>
      <c r="K5078">
        <v>0</v>
      </c>
      <c r="L5078">
        <v>0</v>
      </c>
      <c r="M5078">
        <v>57</v>
      </c>
      <c r="N5078">
        <v>0</v>
      </c>
      <c r="O5078">
        <v>0</v>
      </c>
    </row>
    <row r="5079" spans="1:15" x14ac:dyDescent="0.25">
      <c r="A5079" t="s">
        <v>943</v>
      </c>
      <c r="B5079" t="s">
        <v>2694</v>
      </c>
      <c r="C5079" t="s">
        <v>927</v>
      </c>
      <c r="D5079" t="s">
        <v>3052</v>
      </c>
      <c r="E5079" t="s">
        <v>3053</v>
      </c>
      <c r="F5079" t="s">
        <v>575</v>
      </c>
      <c r="G5079" t="s">
        <v>576</v>
      </c>
      <c r="H5079" t="s">
        <v>6483</v>
      </c>
      <c r="I5079">
        <v>6</v>
      </c>
      <c r="J5079">
        <v>0</v>
      </c>
      <c r="K5079">
        <v>0</v>
      </c>
      <c r="L5079">
        <v>6</v>
      </c>
      <c r="M5079">
        <v>0</v>
      </c>
      <c r="N5079">
        <v>0</v>
      </c>
      <c r="O5079">
        <v>0</v>
      </c>
    </row>
    <row r="5080" spans="1:15" x14ac:dyDescent="0.25">
      <c r="A5080" t="s">
        <v>945</v>
      </c>
      <c r="B5080" t="s">
        <v>2668</v>
      </c>
      <c r="C5080" t="s">
        <v>927</v>
      </c>
      <c r="D5080" t="s">
        <v>3052</v>
      </c>
      <c r="E5080" t="s">
        <v>3053</v>
      </c>
      <c r="F5080" t="s">
        <v>575</v>
      </c>
      <c r="G5080" t="s">
        <v>576</v>
      </c>
      <c r="H5080" t="s">
        <v>6484</v>
      </c>
      <c r="I5080">
        <v>2072</v>
      </c>
      <c r="J5080">
        <v>1433</v>
      </c>
      <c r="K5080">
        <v>0</v>
      </c>
      <c r="L5080">
        <v>0</v>
      </c>
      <c r="M5080">
        <v>610</v>
      </c>
      <c r="N5080">
        <v>0</v>
      </c>
      <c r="O5080">
        <v>29</v>
      </c>
    </row>
    <row r="5081" spans="1:15" x14ac:dyDescent="0.25">
      <c r="A5081" t="s">
        <v>949</v>
      </c>
      <c r="B5081" t="s">
        <v>3035</v>
      </c>
      <c r="C5081" t="s">
        <v>927</v>
      </c>
      <c r="D5081" t="s">
        <v>3052</v>
      </c>
      <c r="E5081" t="s">
        <v>3053</v>
      </c>
      <c r="F5081" t="s">
        <v>575</v>
      </c>
      <c r="G5081" t="s">
        <v>576</v>
      </c>
      <c r="H5081" t="s">
        <v>6485</v>
      </c>
      <c r="I5081">
        <v>1</v>
      </c>
      <c r="J5081">
        <v>0</v>
      </c>
      <c r="K5081">
        <v>0</v>
      </c>
      <c r="L5081">
        <v>0</v>
      </c>
      <c r="M5081">
        <v>0</v>
      </c>
      <c r="N5081">
        <v>0</v>
      </c>
      <c r="O5081">
        <v>1</v>
      </c>
    </row>
    <row r="5082" spans="1:15" x14ac:dyDescent="0.25">
      <c r="A5082" t="s">
        <v>1146</v>
      </c>
      <c r="B5082" t="s">
        <v>2117</v>
      </c>
      <c r="C5082" t="s">
        <v>927</v>
      </c>
      <c r="D5082" t="s">
        <v>3052</v>
      </c>
      <c r="E5082" t="s">
        <v>3053</v>
      </c>
      <c r="F5082" t="s">
        <v>575</v>
      </c>
      <c r="G5082" t="s">
        <v>576</v>
      </c>
      <c r="H5082" t="s">
        <v>10303</v>
      </c>
      <c r="I5082">
        <v>106</v>
      </c>
      <c r="J5082">
        <v>82</v>
      </c>
      <c r="K5082">
        <v>0</v>
      </c>
      <c r="L5082">
        <v>0</v>
      </c>
      <c r="M5082">
        <v>0</v>
      </c>
      <c r="N5082">
        <v>0</v>
      </c>
      <c r="O5082">
        <v>24</v>
      </c>
    </row>
    <row r="5083" spans="1:15" x14ac:dyDescent="0.25">
      <c r="A5083" t="s">
        <v>951</v>
      </c>
      <c r="B5083" t="s">
        <v>2680</v>
      </c>
      <c r="C5083" t="s">
        <v>927</v>
      </c>
      <c r="D5083" t="s">
        <v>3052</v>
      </c>
      <c r="E5083" t="s">
        <v>3053</v>
      </c>
      <c r="F5083" t="s">
        <v>575</v>
      </c>
      <c r="G5083" t="s">
        <v>576</v>
      </c>
      <c r="H5083" t="s">
        <v>6486</v>
      </c>
      <c r="I5083">
        <v>40</v>
      </c>
      <c r="J5083">
        <v>40</v>
      </c>
      <c r="K5083">
        <v>0</v>
      </c>
      <c r="L5083">
        <v>0</v>
      </c>
      <c r="M5083">
        <v>0</v>
      </c>
      <c r="N5083">
        <v>0</v>
      </c>
      <c r="O5083">
        <v>0</v>
      </c>
    </row>
    <row r="5084" spans="1:15" x14ac:dyDescent="0.25">
      <c r="A5084" t="s">
        <v>953</v>
      </c>
      <c r="B5084" t="s">
        <v>2014</v>
      </c>
      <c r="C5084" t="s">
        <v>927</v>
      </c>
      <c r="D5084" t="s">
        <v>3052</v>
      </c>
      <c r="E5084" t="s">
        <v>3053</v>
      </c>
      <c r="F5084" t="s">
        <v>575</v>
      </c>
      <c r="G5084" t="s">
        <v>576</v>
      </c>
      <c r="H5084" t="s">
        <v>11131</v>
      </c>
      <c r="I5084">
        <v>3</v>
      </c>
      <c r="J5084">
        <v>0</v>
      </c>
      <c r="K5084">
        <v>0</v>
      </c>
      <c r="L5084">
        <v>3</v>
      </c>
      <c r="M5084">
        <v>0</v>
      </c>
      <c r="N5084">
        <v>0</v>
      </c>
      <c r="O5084">
        <v>0</v>
      </c>
    </row>
    <row r="5085" spans="1:15" x14ac:dyDescent="0.25">
      <c r="A5085" t="s">
        <v>11720</v>
      </c>
      <c r="B5085" t="s">
        <v>10718</v>
      </c>
      <c r="C5085" t="s">
        <v>927</v>
      </c>
      <c r="D5085" t="s">
        <v>3052</v>
      </c>
      <c r="E5085" t="s">
        <v>3053</v>
      </c>
      <c r="F5085" t="s">
        <v>575</v>
      </c>
      <c r="G5085" t="s">
        <v>576</v>
      </c>
      <c r="H5085" t="s">
        <v>14899</v>
      </c>
      <c r="I5085">
        <v>48</v>
      </c>
      <c r="J5085">
        <v>26</v>
      </c>
      <c r="K5085">
        <v>0</v>
      </c>
      <c r="L5085">
        <v>0</v>
      </c>
      <c r="M5085">
        <v>0</v>
      </c>
      <c r="N5085">
        <v>0</v>
      </c>
      <c r="O5085">
        <v>22</v>
      </c>
    </row>
    <row r="5086" spans="1:15" x14ac:dyDescent="0.25">
      <c r="A5086" t="s">
        <v>9788</v>
      </c>
      <c r="B5086" t="s">
        <v>9871</v>
      </c>
      <c r="C5086" t="s">
        <v>927</v>
      </c>
      <c r="D5086" t="s">
        <v>3052</v>
      </c>
      <c r="E5086" t="s">
        <v>3053</v>
      </c>
      <c r="F5086" t="s">
        <v>575</v>
      </c>
      <c r="G5086" t="s">
        <v>576</v>
      </c>
      <c r="H5086" t="s">
        <v>14900</v>
      </c>
      <c r="I5086">
        <v>35</v>
      </c>
      <c r="J5086">
        <v>35</v>
      </c>
      <c r="K5086">
        <v>0</v>
      </c>
      <c r="L5086">
        <v>0</v>
      </c>
      <c r="M5086">
        <v>0</v>
      </c>
      <c r="N5086">
        <v>0</v>
      </c>
      <c r="O5086">
        <v>0</v>
      </c>
    </row>
    <row r="5087" spans="1:15" x14ac:dyDescent="0.25">
      <c r="A5087" t="s">
        <v>1056</v>
      </c>
      <c r="B5087" t="s">
        <v>2966</v>
      </c>
      <c r="C5087" t="s">
        <v>927</v>
      </c>
      <c r="D5087" t="s">
        <v>3052</v>
      </c>
      <c r="E5087" t="s">
        <v>3053</v>
      </c>
      <c r="F5087" t="s">
        <v>575</v>
      </c>
      <c r="G5087" t="s">
        <v>576</v>
      </c>
      <c r="H5087" t="s">
        <v>6487</v>
      </c>
      <c r="I5087">
        <v>83</v>
      </c>
      <c r="J5087">
        <v>58</v>
      </c>
      <c r="K5087">
        <v>0</v>
      </c>
      <c r="L5087">
        <v>0</v>
      </c>
      <c r="M5087">
        <v>25</v>
      </c>
      <c r="N5087">
        <v>5</v>
      </c>
      <c r="O5087">
        <v>0</v>
      </c>
    </row>
    <row r="5088" spans="1:15" x14ac:dyDescent="0.25">
      <c r="A5088" t="s">
        <v>955</v>
      </c>
      <c r="B5088" t="s">
        <v>2660</v>
      </c>
      <c r="C5088" t="s">
        <v>927</v>
      </c>
      <c r="D5088" t="s">
        <v>3052</v>
      </c>
      <c r="E5088" t="s">
        <v>3053</v>
      </c>
      <c r="F5088" t="s">
        <v>575</v>
      </c>
      <c r="G5088" t="s">
        <v>576</v>
      </c>
      <c r="H5088" t="s">
        <v>6488</v>
      </c>
      <c r="I5088">
        <v>41</v>
      </c>
      <c r="J5088">
        <v>1</v>
      </c>
      <c r="K5088">
        <v>0</v>
      </c>
      <c r="L5088">
        <v>0</v>
      </c>
      <c r="M5088">
        <v>40</v>
      </c>
      <c r="N5088">
        <v>0</v>
      </c>
      <c r="O5088">
        <v>0</v>
      </c>
    </row>
    <row r="5089" spans="1:15" x14ac:dyDescent="0.25">
      <c r="A5089" t="s">
        <v>14374</v>
      </c>
      <c r="B5089" t="s">
        <v>1943</v>
      </c>
      <c r="C5089" t="s">
        <v>927</v>
      </c>
      <c r="D5089" t="s">
        <v>3052</v>
      </c>
      <c r="E5089" t="s">
        <v>3053</v>
      </c>
      <c r="F5089" t="s">
        <v>575</v>
      </c>
      <c r="G5089" t="s">
        <v>576</v>
      </c>
      <c r="H5089" t="s">
        <v>14901</v>
      </c>
      <c r="I5089">
        <v>4</v>
      </c>
      <c r="J5089">
        <v>0</v>
      </c>
      <c r="K5089">
        <v>0</v>
      </c>
      <c r="L5089">
        <v>0</v>
      </c>
      <c r="M5089">
        <v>0</v>
      </c>
      <c r="N5089">
        <v>0</v>
      </c>
      <c r="O5089">
        <v>4</v>
      </c>
    </row>
    <row r="5090" spans="1:15" x14ac:dyDescent="0.25">
      <c r="A5090" t="s">
        <v>1159</v>
      </c>
      <c r="B5090" t="s">
        <v>2829</v>
      </c>
      <c r="C5090" t="s">
        <v>927</v>
      </c>
      <c r="D5090" t="s">
        <v>3052</v>
      </c>
      <c r="E5090" t="s">
        <v>3053</v>
      </c>
      <c r="F5090" t="s">
        <v>575</v>
      </c>
      <c r="G5090" t="s">
        <v>576</v>
      </c>
      <c r="H5090" t="s">
        <v>6489</v>
      </c>
      <c r="I5090">
        <v>4</v>
      </c>
      <c r="J5090">
        <v>0</v>
      </c>
      <c r="K5090">
        <v>0</v>
      </c>
      <c r="L5090">
        <v>4</v>
      </c>
      <c r="M5090">
        <v>0</v>
      </c>
      <c r="N5090">
        <v>0</v>
      </c>
      <c r="O5090">
        <v>0</v>
      </c>
    </row>
    <row r="5091" spans="1:15" x14ac:dyDescent="0.25">
      <c r="A5091" t="s">
        <v>1173</v>
      </c>
      <c r="B5091" t="s">
        <v>11781</v>
      </c>
      <c r="C5091" t="s">
        <v>923</v>
      </c>
      <c r="D5091" t="s">
        <v>3063</v>
      </c>
      <c r="E5091" t="s">
        <v>3053</v>
      </c>
      <c r="F5091" t="s">
        <v>575</v>
      </c>
      <c r="G5091" t="s">
        <v>576</v>
      </c>
      <c r="H5091" t="s">
        <v>6490</v>
      </c>
      <c r="I5091">
        <v>16</v>
      </c>
      <c r="J5091">
        <v>16</v>
      </c>
      <c r="K5091">
        <v>0</v>
      </c>
      <c r="L5091">
        <v>0</v>
      </c>
      <c r="M5091">
        <v>0</v>
      </c>
      <c r="N5091">
        <v>0</v>
      </c>
      <c r="O5091">
        <v>0</v>
      </c>
    </row>
    <row r="5092" spans="1:15" x14ac:dyDescent="0.25">
      <c r="A5092" t="s">
        <v>926</v>
      </c>
      <c r="B5092" t="s">
        <v>2923</v>
      </c>
      <c r="C5092" t="s">
        <v>927</v>
      </c>
      <c r="D5092" t="s">
        <v>3052</v>
      </c>
      <c r="E5092" t="s">
        <v>3053</v>
      </c>
      <c r="F5092" t="s">
        <v>577</v>
      </c>
      <c r="G5092" t="s">
        <v>578</v>
      </c>
      <c r="H5092" t="s">
        <v>6491</v>
      </c>
      <c r="I5092">
        <v>9</v>
      </c>
      <c r="J5092">
        <v>0</v>
      </c>
      <c r="K5092">
        <v>0</v>
      </c>
      <c r="L5092">
        <v>7</v>
      </c>
      <c r="M5092">
        <v>0</v>
      </c>
      <c r="N5092">
        <v>0</v>
      </c>
      <c r="O5092">
        <v>2</v>
      </c>
    </row>
    <row r="5093" spans="1:15" x14ac:dyDescent="0.25">
      <c r="A5093" t="s">
        <v>929</v>
      </c>
      <c r="B5093" t="s">
        <v>2999</v>
      </c>
      <c r="C5093" t="s">
        <v>927</v>
      </c>
      <c r="D5093" t="s">
        <v>3052</v>
      </c>
      <c r="E5093" t="s">
        <v>3053</v>
      </c>
      <c r="F5093" t="s">
        <v>577</v>
      </c>
      <c r="G5093" t="s">
        <v>578</v>
      </c>
      <c r="H5093" t="s">
        <v>6492</v>
      </c>
      <c r="I5093">
        <v>35</v>
      </c>
      <c r="J5093">
        <v>0</v>
      </c>
      <c r="K5093">
        <v>0</v>
      </c>
      <c r="L5093">
        <v>0</v>
      </c>
      <c r="M5093">
        <v>35</v>
      </c>
      <c r="N5093">
        <v>0</v>
      </c>
      <c r="O5093">
        <v>0</v>
      </c>
    </row>
    <row r="5094" spans="1:15" x14ac:dyDescent="0.25">
      <c r="A5094" t="s">
        <v>982</v>
      </c>
      <c r="B5094" t="s">
        <v>2874</v>
      </c>
      <c r="C5094" t="s">
        <v>923</v>
      </c>
      <c r="D5094" t="s">
        <v>3063</v>
      </c>
      <c r="E5094" t="s">
        <v>3053</v>
      </c>
      <c r="F5094" t="s">
        <v>577</v>
      </c>
      <c r="G5094" t="s">
        <v>578</v>
      </c>
      <c r="H5094" t="s">
        <v>10019</v>
      </c>
      <c r="I5094">
        <v>49</v>
      </c>
      <c r="J5094">
        <v>49</v>
      </c>
      <c r="K5094">
        <v>0</v>
      </c>
      <c r="L5094">
        <v>0</v>
      </c>
      <c r="M5094">
        <v>0</v>
      </c>
      <c r="N5094">
        <v>0</v>
      </c>
      <c r="O5094">
        <v>0</v>
      </c>
    </row>
    <row r="5095" spans="1:15" x14ac:dyDescent="0.25">
      <c r="A5095" t="s">
        <v>983</v>
      </c>
      <c r="B5095" t="s">
        <v>2069</v>
      </c>
      <c r="C5095" t="s">
        <v>927</v>
      </c>
      <c r="D5095" t="s">
        <v>3052</v>
      </c>
      <c r="E5095" t="s">
        <v>3053</v>
      </c>
      <c r="F5095" t="s">
        <v>577</v>
      </c>
      <c r="G5095" t="s">
        <v>578</v>
      </c>
      <c r="H5095" t="s">
        <v>6493</v>
      </c>
      <c r="I5095">
        <v>183</v>
      </c>
      <c r="J5095">
        <v>162</v>
      </c>
      <c r="K5095">
        <v>0</v>
      </c>
      <c r="L5095">
        <v>0</v>
      </c>
      <c r="M5095">
        <v>0</v>
      </c>
      <c r="N5095">
        <v>0</v>
      </c>
      <c r="O5095">
        <v>21</v>
      </c>
    </row>
    <row r="5096" spans="1:15" x14ac:dyDescent="0.25">
      <c r="A5096" t="s">
        <v>1715</v>
      </c>
      <c r="B5096" t="s">
        <v>2136</v>
      </c>
      <c r="C5096" t="s">
        <v>927</v>
      </c>
      <c r="D5096" t="s">
        <v>3052</v>
      </c>
      <c r="E5096" t="s">
        <v>3053</v>
      </c>
      <c r="F5096" t="s">
        <v>577</v>
      </c>
      <c r="G5096" t="s">
        <v>578</v>
      </c>
      <c r="H5096" t="s">
        <v>6494</v>
      </c>
      <c r="I5096">
        <v>489</v>
      </c>
      <c r="J5096">
        <v>392</v>
      </c>
      <c r="K5096">
        <v>0</v>
      </c>
      <c r="L5096">
        <v>21</v>
      </c>
      <c r="M5096">
        <v>0</v>
      </c>
      <c r="N5096">
        <v>0</v>
      </c>
      <c r="O5096">
        <v>76</v>
      </c>
    </row>
    <row r="5097" spans="1:15" x14ac:dyDescent="0.25">
      <c r="A5097" t="s">
        <v>1416</v>
      </c>
      <c r="B5097" t="s">
        <v>2029</v>
      </c>
      <c r="C5097" t="s">
        <v>923</v>
      </c>
      <c r="D5097" t="s">
        <v>3063</v>
      </c>
      <c r="E5097" t="s">
        <v>3053</v>
      </c>
      <c r="F5097" t="s">
        <v>577</v>
      </c>
      <c r="G5097" t="s">
        <v>578</v>
      </c>
      <c r="H5097" t="s">
        <v>12181</v>
      </c>
      <c r="I5097">
        <v>4</v>
      </c>
      <c r="J5097">
        <v>0</v>
      </c>
      <c r="K5097">
        <v>0</v>
      </c>
      <c r="L5097">
        <v>4</v>
      </c>
      <c r="M5097">
        <v>0</v>
      </c>
      <c r="N5097">
        <v>0</v>
      </c>
      <c r="O5097">
        <v>0</v>
      </c>
    </row>
    <row r="5098" spans="1:15" x14ac:dyDescent="0.25">
      <c r="A5098" t="s">
        <v>10638</v>
      </c>
      <c r="B5098" t="s">
        <v>2057</v>
      </c>
      <c r="C5098" t="s">
        <v>927</v>
      </c>
      <c r="D5098" t="s">
        <v>3052</v>
      </c>
      <c r="E5098" t="s">
        <v>3053</v>
      </c>
      <c r="F5098" t="s">
        <v>577</v>
      </c>
      <c r="G5098" t="s">
        <v>578</v>
      </c>
      <c r="H5098" t="s">
        <v>11132</v>
      </c>
      <c r="I5098">
        <v>5</v>
      </c>
      <c r="J5098">
        <v>0</v>
      </c>
      <c r="K5098">
        <v>0</v>
      </c>
      <c r="L5098">
        <v>5</v>
      </c>
      <c r="M5098">
        <v>0</v>
      </c>
      <c r="N5098">
        <v>0</v>
      </c>
      <c r="O5098">
        <v>0</v>
      </c>
    </row>
    <row r="5099" spans="1:15" x14ac:dyDescent="0.25">
      <c r="A5099" t="s">
        <v>937</v>
      </c>
      <c r="B5099" t="s">
        <v>1962</v>
      </c>
      <c r="C5099" t="s">
        <v>927</v>
      </c>
      <c r="D5099" t="s">
        <v>3052</v>
      </c>
      <c r="E5099" t="s">
        <v>3053</v>
      </c>
      <c r="F5099" t="s">
        <v>577</v>
      </c>
      <c r="G5099" t="s">
        <v>578</v>
      </c>
      <c r="H5099" t="s">
        <v>6495</v>
      </c>
      <c r="I5099">
        <v>7</v>
      </c>
      <c r="J5099">
        <v>0</v>
      </c>
      <c r="K5099">
        <v>0</v>
      </c>
      <c r="L5099">
        <v>0</v>
      </c>
      <c r="M5099">
        <v>0</v>
      </c>
      <c r="N5099">
        <v>0</v>
      </c>
      <c r="O5099">
        <v>7</v>
      </c>
    </row>
    <row r="5100" spans="1:15" x14ac:dyDescent="0.25">
      <c r="A5100" t="s">
        <v>940</v>
      </c>
      <c r="B5100" t="s">
        <v>2647</v>
      </c>
      <c r="C5100" t="s">
        <v>927</v>
      </c>
      <c r="D5100" t="s">
        <v>3052</v>
      </c>
      <c r="E5100" t="s">
        <v>3053</v>
      </c>
      <c r="F5100" t="s">
        <v>577</v>
      </c>
      <c r="G5100" t="s">
        <v>578</v>
      </c>
      <c r="H5100" t="s">
        <v>6496</v>
      </c>
      <c r="I5100">
        <v>32</v>
      </c>
      <c r="J5100">
        <v>0</v>
      </c>
      <c r="K5100">
        <v>0</v>
      </c>
      <c r="L5100">
        <v>0</v>
      </c>
      <c r="M5100">
        <v>32</v>
      </c>
      <c r="N5100">
        <v>0</v>
      </c>
      <c r="O5100">
        <v>0</v>
      </c>
    </row>
    <row r="5101" spans="1:15" x14ac:dyDescent="0.25">
      <c r="A5101" t="s">
        <v>1126</v>
      </c>
      <c r="B5101" t="s">
        <v>2130</v>
      </c>
      <c r="C5101" t="s">
        <v>927</v>
      </c>
      <c r="D5101" t="s">
        <v>3052</v>
      </c>
      <c r="E5101" t="s">
        <v>3053</v>
      </c>
      <c r="F5101" t="s">
        <v>577</v>
      </c>
      <c r="G5101" t="s">
        <v>578</v>
      </c>
      <c r="H5101" t="s">
        <v>10166</v>
      </c>
      <c r="I5101">
        <v>21</v>
      </c>
      <c r="J5101">
        <v>18</v>
      </c>
      <c r="K5101">
        <v>0</v>
      </c>
      <c r="L5101">
        <v>0</v>
      </c>
      <c r="M5101">
        <v>0</v>
      </c>
      <c r="N5101">
        <v>0</v>
      </c>
      <c r="O5101">
        <v>3</v>
      </c>
    </row>
    <row r="5102" spans="1:15" x14ac:dyDescent="0.25">
      <c r="A5102" t="s">
        <v>1832</v>
      </c>
      <c r="B5102" t="s">
        <v>2045</v>
      </c>
      <c r="C5102" t="s">
        <v>923</v>
      </c>
      <c r="D5102" t="s">
        <v>3063</v>
      </c>
      <c r="E5102" t="s">
        <v>3053</v>
      </c>
      <c r="F5102" t="s">
        <v>577</v>
      </c>
      <c r="G5102" t="s">
        <v>578</v>
      </c>
      <c r="H5102" t="s">
        <v>6497</v>
      </c>
      <c r="I5102">
        <v>1</v>
      </c>
      <c r="J5102">
        <v>1</v>
      </c>
      <c r="K5102">
        <v>0</v>
      </c>
      <c r="L5102">
        <v>0</v>
      </c>
      <c r="M5102">
        <v>0</v>
      </c>
      <c r="N5102">
        <v>0</v>
      </c>
      <c r="O5102">
        <v>0</v>
      </c>
    </row>
    <row r="5103" spans="1:15" x14ac:dyDescent="0.25">
      <c r="A5103" t="s">
        <v>1049</v>
      </c>
      <c r="B5103" t="s">
        <v>2138</v>
      </c>
      <c r="C5103" t="s">
        <v>927</v>
      </c>
      <c r="D5103" t="s">
        <v>3052</v>
      </c>
      <c r="E5103" t="s">
        <v>3053</v>
      </c>
      <c r="F5103" t="s">
        <v>577</v>
      </c>
      <c r="G5103" t="s">
        <v>578</v>
      </c>
      <c r="H5103" t="s">
        <v>6498</v>
      </c>
      <c r="I5103">
        <v>4644</v>
      </c>
      <c r="J5103">
        <v>3687</v>
      </c>
      <c r="K5103">
        <v>0</v>
      </c>
      <c r="L5103">
        <v>109</v>
      </c>
      <c r="M5103">
        <v>431</v>
      </c>
      <c r="N5103">
        <v>0</v>
      </c>
      <c r="O5103">
        <v>417</v>
      </c>
    </row>
    <row r="5104" spans="1:15" x14ac:dyDescent="0.25">
      <c r="A5104" t="s">
        <v>1758</v>
      </c>
      <c r="B5104" t="s">
        <v>2997</v>
      </c>
      <c r="C5104" t="s">
        <v>927</v>
      </c>
      <c r="D5104" t="s">
        <v>3052</v>
      </c>
      <c r="E5104" t="s">
        <v>3053</v>
      </c>
      <c r="F5104" t="s">
        <v>577</v>
      </c>
      <c r="G5104" t="s">
        <v>578</v>
      </c>
      <c r="H5104" t="s">
        <v>6499</v>
      </c>
      <c r="I5104">
        <v>50</v>
      </c>
      <c r="J5104">
        <v>34</v>
      </c>
      <c r="K5104">
        <v>0</v>
      </c>
      <c r="L5104">
        <v>0</v>
      </c>
      <c r="M5104">
        <v>0</v>
      </c>
      <c r="N5104">
        <v>5</v>
      </c>
      <c r="O5104">
        <v>16</v>
      </c>
    </row>
    <row r="5105" spans="1:15" x14ac:dyDescent="0.25">
      <c r="A5105" t="s">
        <v>1057</v>
      </c>
      <c r="B5105" t="s">
        <v>1972</v>
      </c>
      <c r="C5105" t="s">
        <v>927</v>
      </c>
      <c r="D5105" t="s">
        <v>3052</v>
      </c>
      <c r="E5105" t="s">
        <v>3053</v>
      </c>
      <c r="F5105" t="s">
        <v>577</v>
      </c>
      <c r="G5105" t="s">
        <v>578</v>
      </c>
      <c r="H5105" t="s">
        <v>12182</v>
      </c>
      <c r="I5105">
        <v>49</v>
      </c>
      <c r="J5105">
        <v>21</v>
      </c>
      <c r="K5105">
        <v>0</v>
      </c>
      <c r="L5105">
        <v>0</v>
      </c>
      <c r="M5105">
        <v>0</v>
      </c>
      <c r="N5105">
        <v>0</v>
      </c>
      <c r="O5105">
        <v>28</v>
      </c>
    </row>
    <row r="5106" spans="1:15" x14ac:dyDescent="0.25">
      <c r="A5106" t="s">
        <v>955</v>
      </c>
      <c r="B5106" t="s">
        <v>2660</v>
      </c>
      <c r="C5106" t="s">
        <v>927</v>
      </c>
      <c r="D5106" t="s">
        <v>3052</v>
      </c>
      <c r="E5106" t="s">
        <v>3053</v>
      </c>
      <c r="F5106" t="s">
        <v>577</v>
      </c>
      <c r="G5106" t="s">
        <v>578</v>
      </c>
      <c r="H5106" t="s">
        <v>6500</v>
      </c>
      <c r="I5106">
        <v>145</v>
      </c>
      <c r="J5106">
        <v>113</v>
      </c>
      <c r="K5106">
        <v>0</v>
      </c>
      <c r="L5106">
        <v>13</v>
      </c>
      <c r="M5106">
        <v>14</v>
      </c>
      <c r="N5106">
        <v>0</v>
      </c>
      <c r="O5106">
        <v>5</v>
      </c>
    </row>
    <row r="5107" spans="1:15" x14ac:dyDescent="0.25">
      <c r="A5107" t="s">
        <v>962</v>
      </c>
      <c r="B5107" t="s">
        <v>2752</v>
      </c>
      <c r="C5107" t="s">
        <v>927</v>
      </c>
      <c r="D5107" t="s">
        <v>3052</v>
      </c>
      <c r="E5107" t="s">
        <v>3053</v>
      </c>
      <c r="F5107" t="s">
        <v>577</v>
      </c>
      <c r="G5107" t="s">
        <v>578</v>
      </c>
      <c r="H5107" t="s">
        <v>10444</v>
      </c>
      <c r="I5107">
        <v>375</v>
      </c>
      <c r="J5107">
        <v>354</v>
      </c>
      <c r="K5107">
        <v>0</v>
      </c>
      <c r="L5107">
        <v>1</v>
      </c>
      <c r="M5107">
        <v>0</v>
      </c>
      <c r="N5107">
        <v>0</v>
      </c>
      <c r="O5107">
        <v>20</v>
      </c>
    </row>
    <row r="5108" spans="1:15" x14ac:dyDescent="0.25">
      <c r="A5108" t="s">
        <v>1857</v>
      </c>
      <c r="B5108" t="s">
        <v>3016</v>
      </c>
      <c r="C5108" t="s">
        <v>927</v>
      </c>
      <c r="D5108" t="s">
        <v>3052</v>
      </c>
      <c r="E5108" t="s">
        <v>3053</v>
      </c>
      <c r="F5108" t="s">
        <v>577</v>
      </c>
      <c r="G5108" t="s">
        <v>578</v>
      </c>
      <c r="H5108" t="s">
        <v>6501</v>
      </c>
      <c r="I5108">
        <v>51</v>
      </c>
      <c r="J5108">
        <v>42</v>
      </c>
      <c r="K5108">
        <v>0</v>
      </c>
      <c r="L5108">
        <v>0</v>
      </c>
      <c r="M5108">
        <v>0</v>
      </c>
      <c r="N5108">
        <v>0</v>
      </c>
      <c r="O5108">
        <v>9</v>
      </c>
    </row>
    <row r="5109" spans="1:15" x14ac:dyDescent="0.25">
      <c r="A5109" t="s">
        <v>1865</v>
      </c>
      <c r="B5109" t="s">
        <v>2866</v>
      </c>
      <c r="C5109" t="s">
        <v>927</v>
      </c>
      <c r="D5109" t="s">
        <v>3052</v>
      </c>
      <c r="E5109" t="s">
        <v>3053</v>
      </c>
      <c r="F5109" t="s">
        <v>577</v>
      </c>
      <c r="G5109" t="s">
        <v>578</v>
      </c>
      <c r="H5109" t="s">
        <v>6502</v>
      </c>
      <c r="I5109">
        <v>14</v>
      </c>
      <c r="J5109">
        <v>10</v>
      </c>
      <c r="K5109">
        <v>0</v>
      </c>
      <c r="L5109">
        <v>0</v>
      </c>
      <c r="M5109">
        <v>0</v>
      </c>
      <c r="N5109">
        <v>0</v>
      </c>
      <c r="O5109">
        <v>4</v>
      </c>
    </row>
    <row r="5110" spans="1:15" x14ac:dyDescent="0.25">
      <c r="A5110" t="s">
        <v>1016</v>
      </c>
      <c r="B5110" t="s">
        <v>2725</v>
      </c>
      <c r="C5110" t="s">
        <v>927</v>
      </c>
      <c r="D5110" t="s">
        <v>3052</v>
      </c>
      <c r="E5110" t="s">
        <v>3053</v>
      </c>
      <c r="F5110" t="s">
        <v>579</v>
      </c>
      <c r="G5110" t="s">
        <v>580</v>
      </c>
      <c r="H5110" t="s">
        <v>6523</v>
      </c>
      <c r="I5110">
        <v>625</v>
      </c>
      <c r="J5110">
        <v>54</v>
      </c>
      <c r="K5110">
        <v>0</v>
      </c>
      <c r="L5110">
        <v>0</v>
      </c>
      <c r="M5110">
        <v>484</v>
      </c>
      <c r="N5110">
        <v>0</v>
      </c>
      <c r="O5110">
        <v>87</v>
      </c>
    </row>
    <row r="5111" spans="1:15" x14ac:dyDescent="0.25">
      <c r="A5111" t="s">
        <v>1201</v>
      </c>
      <c r="B5111" t="s">
        <v>2972</v>
      </c>
      <c r="C5111" t="s">
        <v>923</v>
      </c>
      <c r="D5111" t="s">
        <v>3063</v>
      </c>
      <c r="E5111" t="s">
        <v>3053</v>
      </c>
      <c r="F5111" t="s">
        <v>579</v>
      </c>
      <c r="G5111" t="s">
        <v>580</v>
      </c>
      <c r="H5111" t="s">
        <v>6503</v>
      </c>
      <c r="I5111">
        <v>2</v>
      </c>
      <c r="J5111">
        <v>2</v>
      </c>
      <c r="K5111">
        <v>0</v>
      </c>
      <c r="L5111">
        <v>0</v>
      </c>
      <c r="M5111">
        <v>0</v>
      </c>
      <c r="N5111">
        <v>0</v>
      </c>
      <c r="O5111">
        <v>0</v>
      </c>
    </row>
    <row r="5112" spans="1:15" x14ac:dyDescent="0.25">
      <c r="A5112" t="s">
        <v>929</v>
      </c>
      <c r="B5112" t="s">
        <v>2999</v>
      </c>
      <c r="C5112" t="s">
        <v>927</v>
      </c>
      <c r="D5112" t="s">
        <v>3052</v>
      </c>
      <c r="E5112" t="s">
        <v>3053</v>
      </c>
      <c r="F5112" t="s">
        <v>579</v>
      </c>
      <c r="G5112" t="s">
        <v>580</v>
      </c>
      <c r="H5112" t="s">
        <v>6504</v>
      </c>
      <c r="I5112">
        <v>475</v>
      </c>
      <c r="J5112">
        <v>0</v>
      </c>
      <c r="K5112">
        <v>0</v>
      </c>
      <c r="L5112">
        <v>0</v>
      </c>
      <c r="M5112">
        <v>446</v>
      </c>
      <c r="N5112">
        <v>0</v>
      </c>
      <c r="O5112">
        <v>29</v>
      </c>
    </row>
    <row r="5113" spans="1:15" x14ac:dyDescent="0.25">
      <c r="A5113" t="s">
        <v>1454</v>
      </c>
      <c r="B5113" t="s">
        <v>2805</v>
      </c>
      <c r="C5113" t="s">
        <v>927</v>
      </c>
      <c r="D5113" t="s">
        <v>3052</v>
      </c>
      <c r="E5113" t="s">
        <v>3053</v>
      </c>
      <c r="F5113" t="s">
        <v>579</v>
      </c>
      <c r="G5113" t="s">
        <v>580</v>
      </c>
      <c r="H5113" t="s">
        <v>6505</v>
      </c>
      <c r="I5113">
        <v>1023</v>
      </c>
      <c r="J5113">
        <v>874</v>
      </c>
      <c r="K5113">
        <v>0</v>
      </c>
      <c r="L5113">
        <v>0</v>
      </c>
      <c r="M5113">
        <v>147</v>
      </c>
      <c r="N5113">
        <v>0</v>
      </c>
      <c r="O5113">
        <v>2</v>
      </c>
    </row>
    <row r="5114" spans="1:15" x14ac:dyDescent="0.25">
      <c r="A5114" t="s">
        <v>978</v>
      </c>
      <c r="B5114" t="s">
        <v>1999</v>
      </c>
      <c r="C5114" t="s">
        <v>923</v>
      </c>
      <c r="D5114" t="s">
        <v>3063</v>
      </c>
      <c r="E5114" t="s">
        <v>3053</v>
      </c>
      <c r="F5114" t="s">
        <v>579</v>
      </c>
      <c r="G5114" t="s">
        <v>580</v>
      </c>
      <c r="H5114" t="s">
        <v>6506</v>
      </c>
      <c r="I5114">
        <v>2</v>
      </c>
      <c r="J5114">
        <v>2</v>
      </c>
      <c r="K5114">
        <v>0</v>
      </c>
      <c r="L5114">
        <v>0</v>
      </c>
      <c r="M5114">
        <v>0</v>
      </c>
      <c r="N5114">
        <v>0</v>
      </c>
      <c r="O5114">
        <v>0</v>
      </c>
    </row>
    <row r="5115" spans="1:15" x14ac:dyDescent="0.25">
      <c r="A5115" t="s">
        <v>1461</v>
      </c>
      <c r="B5115" t="s">
        <v>1927</v>
      </c>
      <c r="C5115" t="s">
        <v>927</v>
      </c>
      <c r="D5115" t="s">
        <v>3052</v>
      </c>
      <c r="E5115" t="s">
        <v>3053</v>
      </c>
      <c r="F5115" t="s">
        <v>579</v>
      </c>
      <c r="G5115" t="s">
        <v>580</v>
      </c>
      <c r="H5115" t="s">
        <v>14902</v>
      </c>
      <c r="I5115">
        <v>511</v>
      </c>
      <c r="J5115">
        <v>496</v>
      </c>
      <c r="K5115">
        <v>0</v>
      </c>
      <c r="L5115">
        <v>4</v>
      </c>
      <c r="M5115">
        <v>0</v>
      </c>
      <c r="N5115">
        <v>77</v>
      </c>
      <c r="O5115">
        <v>11</v>
      </c>
    </row>
    <row r="5116" spans="1:15" x14ac:dyDescent="0.25">
      <c r="A5116" t="s">
        <v>1463</v>
      </c>
      <c r="B5116" t="s">
        <v>2846</v>
      </c>
      <c r="C5116" t="s">
        <v>927</v>
      </c>
      <c r="D5116" t="s">
        <v>3052</v>
      </c>
      <c r="E5116" t="s">
        <v>3053</v>
      </c>
      <c r="F5116" t="s">
        <v>579</v>
      </c>
      <c r="G5116" t="s">
        <v>580</v>
      </c>
      <c r="H5116" t="s">
        <v>6507</v>
      </c>
      <c r="I5116">
        <v>21</v>
      </c>
      <c r="J5116">
        <v>0</v>
      </c>
      <c r="K5116">
        <v>0</v>
      </c>
      <c r="L5116">
        <v>21</v>
      </c>
      <c r="M5116">
        <v>0</v>
      </c>
      <c r="N5116">
        <v>0</v>
      </c>
      <c r="O5116">
        <v>0</v>
      </c>
    </row>
    <row r="5117" spans="1:15" x14ac:dyDescent="0.25">
      <c r="A5117" t="s">
        <v>985</v>
      </c>
      <c r="B5117" t="s">
        <v>1964</v>
      </c>
      <c r="C5117" t="s">
        <v>923</v>
      </c>
      <c r="D5117" t="s">
        <v>3063</v>
      </c>
      <c r="E5117" t="s">
        <v>3053</v>
      </c>
      <c r="F5117" t="s">
        <v>579</v>
      </c>
      <c r="G5117" t="s">
        <v>580</v>
      </c>
      <c r="H5117" t="s">
        <v>6508</v>
      </c>
      <c r="I5117">
        <v>1</v>
      </c>
      <c r="J5117">
        <v>0</v>
      </c>
      <c r="K5117">
        <v>0</v>
      </c>
      <c r="L5117">
        <v>1</v>
      </c>
      <c r="M5117">
        <v>0</v>
      </c>
      <c r="N5117">
        <v>0</v>
      </c>
      <c r="O5117">
        <v>0</v>
      </c>
    </row>
    <row r="5118" spans="1:15" x14ac:dyDescent="0.25">
      <c r="A5118" t="s">
        <v>1219</v>
      </c>
      <c r="B5118" t="s">
        <v>2569</v>
      </c>
      <c r="C5118" t="s">
        <v>923</v>
      </c>
      <c r="D5118" t="s">
        <v>3063</v>
      </c>
      <c r="E5118" t="s">
        <v>3053</v>
      </c>
      <c r="F5118" t="s">
        <v>579</v>
      </c>
      <c r="G5118" t="s">
        <v>580</v>
      </c>
      <c r="H5118" t="s">
        <v>6509</v>
      </c>
      <c r="I5118">
        <v>32</v>
      </c>
      <c r="J5118">
        <v>4</v>
      </c>
      <c r="K5118">
        <v>20</v>
      </c>
      <c r="L5118">
        <v>8</v>
      </c>
      <c r="M5118">
        <v>0</v>
      </c>
      <c r="N5118">
        <v>0</v>
      </c>
      <c r="O5118">
        <v>0</v>
      </c>
    </row>
    <row r="5119" spans="1:15" x14ac:dyDescent="0.25">
      <c r="A5119" t="s">
        <v>933</v>
      </c>
      <c r="B5119" t="s">
        <v>2106</v>
      </c>
      <c r="C5119" t="s">
        <v>927</v>
      </c>
      <c r="D5119" t="s">
        <v>3052</v>
      </c>
      <c r="E5119" t="s">
        <v>3053</v>
      </c>
      <c r="F5119" t="s">
        <v>579</v>
      </c>
      <c r="G5119" t="s">
        <v>580</v>
      </c>
      <c r="H5119" t="s">
        <v>6510</v>
      </c>
      <c r="I5119">
        <v>504</v>
      </c>
      <c r="J5119">
        <v>402</v>
      </c>
      <c r="K5119">
        <v>0</v>
      </c>
      <c r="L5119">
        <v>0</v>
      </c>
      <c r="M5119">
        <v>28</v>
      </c>
      <c r="N5119">
        <v>0</v>
      </c>
      <c r="O5119">
        <v>74</v>
      </c>
    </row>
    <row r="5120" spans="1:15" x14ac:dyDescent="0.25">
      <c r="A5120" t="s">
        <v>1472</v>
      </c>
      <c r="B5120" t="s">
        <v>2376</v>
      </c>
      <c r="C5120" t="s">
        <v>923</v>
      </c>
      <c r="D5120" t="s">
        <v>3063</v>
      </c>
      <c r="E5120" t="s">
        <v>3053</v>
      </c>
      <c r="F5120" t="s">
        <v>579</v>
      </c>
      <c r="G5120" t="s">
        <v>580</v>
      </c>
      <c r="H5120" t="s">
        <v>6511</v>
      </c>
      <c r="I5120">
        <v>16</v>
      </c>
      <c r="J5120">
        <v>1</v>
      </c>
      <c r="K5120">
        <v>15</v>
      </c>
      <c r="L5120">
        <v>0</v>
      </c>
      <c r="M5120">
        <v>0</v>
      </c>
      <c r="N5120">
        <v>0</v>
      </c>
      <c r="O5120">
        <v>0</v>
      </c>
    </row>
    <row r="5121" spans="1:15" x14ac:dyDescent="0.25">
      <c r="A5121" t="s">
        <v>991</v>
      </c>
      <c r="B5121" t="s">
        <v>1976</v>
      </c>
      <c r="C5121" t="s">
        <v>923</v>
      </c>
      <c r="D5121" t="s">
        <v>3063</v>
      </c>
      <c r="E5121" t="s">
        <v>3053</v>
      </c>
      <c r="F5121" t="s">
        <v>579</v>
      </c>
      <c r="G5121" t="s">
        <v>580</v>
      </c>
      <c r="H5121" t="s">
        <v>6512</v>
      </c>
      <c r="I5121">
        <v>92</v>
      </c>
      <c r="J5121">
        <v>0</v>
      </c>
      <c r="K5121">
        <v>0</v>
      </c>
      <c r="L5121">
        <v>92</v>
      </c>
      <c r="M5121">
        <v>0</v>
      </c>
      <c r="N5121">
        <v>0</v>
      </c>
      <c r="O5121">
        <v>0</v>
      </c>
    </row>
    <row r="5122" spans="1:15" x14ac:dyDescent="0.25">
      <c r="A5122" t="s">
        <v>1413</v>
      </c>
      <c r="B5122" t="s">
        <v>2048</v>
      </c>
      <c r="C5122" t="s">
        <v>923</v>
      </c>
      <c r="D5122" t="s">
        <v>3063</v>
      </c>
      <c r="E5122" t="s">
        <v>3053</v>
      </c>
      <c r="F5122" t="s">
        <v>579</v>
      </c>
      <c r="G5122" t="s">
        <v>580</v>
      </c>
      <c r="H5122" t="s">
        <v>6513</v>
      </c>
      <c r="I5122">
        <v>138</v>
      </c>
      <c r="J5122">
        <v>0</v>
      </c>
      <c r="K5122">
        <v>0</v>
      </c>
      <c r="L5122">
        <v>138</v>
      </c>
      <c r="M5122">
        <v>0</v>
      </c>
      <c r="N5122">
        <v>138</v>
      </c>
      <c r="O5122">
        <v>0</v>
      </c>
    </row>
    <row r="5123" spans="1:15" x14ac:dyDescent="0.25">
      <c r="A5123" t="s">
        <v>1485</v>
      </c>
      <c r="B5123" t="s">
        <v>2836</v>
      </c>
      <c r="C5123" t="s">
        <v>927</v>
      </c>
      <c r="D5123" t="s">
        <v>3052</v>
      </c>
      <c r="E5123" t="s">
        <v>3053</v>
      </c>
      <c r="F5123" t="s">
        <v>579</v>
      </c>
      <c r="G5123" t="s">
        <v>580</v>
      </c>
      <c r="H5123" t="s">
        <v>14903</v>
      </c>
      <c r="I5123">
        <v>145</v>
      </c>
      <c r="J5123">
        <v>40</v>
      </c>
      <c r="K5123">
        <v>105</v>
      </c>
      <c r="L5123">
        <v>0</v>
      </c>
      <c r="M5123">
        <v>0</v>
      </c>
      <c r="N5123">
        <v>0</v>
      </c>
      <c r="O5123">
        <v>0</v>
      </c>
    </row>
    <row r="5124" spans="1:15" x14ac:dyDescent="0.25">
      <c r="A5124" t="s">
        <v>10638</v>
      </c>
      <c r="B5124" t="s">
        <v>2057</v>
      </c>
      <c r="C5124" t="s">
        <v>927</v>
      </c>
      <c r="D5124" t="s">
        <v>3052</v>
      </c>
      <c r="E5124" t="s">
        <v>3053</v>
      </c>
      <c r="F5124" t="s">
        <v>579</v>
      </c>
      <c r="G5124" t="s">
        <v>580</v>
      </c>
      <c r="H5124" t="s">
        <v>11133</v>
      </c>
      <c r="I5124">
        <v>7</v>
      </c>
      <c r="J5124">
        <v>0</v>
      </c>
      <c r="K5124">
        <v>0</v>
      </c>
      <c r="L5124">
        <v>7</v>
      </c>
      <c r="M5124">
        <v>0</v>
      </c>
      <c r="N5124">
        <v>0</v>
      </c>
      <c r="O5124">
        <v>0</v>
      </c>
    </row>
    <row r="5125" spans="1:15" x14ac:dyDescent="0.25">
      <c r="A5125" t="s">
        <v>1006</v>
      </c>
      <c r="B5125" t="s">
        <v>2724</v>
      </c>
      <c r="C5125" t="s">
        <v>927</v>
      </c>
      <c r="D5125" t="s">
        <v>3052</v>
      </c>
      <c r="E5125" t="s">
        <v>3053</v>
      </c>
      <c r="F5125" t="s">
        <v>579</v>
      </c>
      <c r="G5125" t="s">
        <v>580</v>
      </c>
      <c r="H5125" t="s">
        <v>6514</v>
      </c>
      <c r="I5125">
        <v>2742</v>
      </c>
      <c r="J5125">
        <v>2188</v>
      </c>
      <c r="K5125">
        <v>0</v>
      </c>
      <c r="L5125">
        <v>318</v>
      </c>
      <c r="M5125">
        <v>35</v>
      </c>
      <c r="N5125">
        <v>4</v>
      </c>
      <c r="O5125">
        <v>201</v>
      </c>
    </row>
    <row r="5126" spans="1:15" x14ac:dyDescent="0.25">
      <c r="A5126" t="s">
        <v>1008</v>
      </c>
      <c r="B5126" t="s">
        <v>2928</v>
      </c>
      <c r="C5126" t="s">
        <v>927</v>
      </c>
      <c r="D5126" t="s">
        <v>3052</v>
      </c>
      <c r="E5126" t="s">
        <v>3053</v>
      </c>
      <c r="F5126" t="s">
        <v>579</v>
      </c>
      <c r="G5126" t="s">
        <v>580</v>
      </c>
      <c r="H5126" t="s">
        <v>6515</v>
      </c>
      <c r="I5126">
        <v>2</v>
      </c>
      <c r="J5126">
        <v>1</v>
      </c>
      <c r="K5126">
        <v>0</v>
      </c>
      <c r="L5126">
        <v>1</v>
      </c>
      <c r="M5126">
        <v>0</v>
      </c>
      <c r="N5126">
        <v>0</v>
      </c>
      <c r="O5126">
        <v>0</v>
      </c>
    </row>
    <row r="5127" spans="1:15" x14ac:dyDescent="0.25">
      <c r="A5127" t="s">
        <v>1009</v>
      </c>
      <c r="B5127" t="s">
        <v>1958</v>
      </c>
      <c r="C5127" t="s">
        <v>923</v>
      </c>
      <c r="D5127" t="s">
        <v>3063</v>
      </c>
      <c r="E5127" t="s">
        <v>3053</v>
      </c>
      <c r="F5127" t="s">
        <v>579</v>
      </c>
      <c r="G5127" t="s">
        <v>580</v>
      </c>
      <c r="H5127" t="s">
        <v>6516</v>
      </c>
      <c r="I5127">
        <v>17</v>
      </c>
      <c r="J5127">
        <v>0</v>
      </c>
      <c r="K5127">
        <v>0</v>
      </c>
      <c r="L5127">
        <v>17</v>
      </c>
      <c r="M5127">
        <v>0</v>
      </c>
      <c r="N5127">
        <v>0</v>
      </c>
      <c r="O5127">
        <v>0</v>
      </c>
    </row>
    <row r="5128" spans="1:15" x14ac:dyDescent="0.25">
      <c r="A5128" t="s">
        <v>937</v>
      </c>
      <c r="B5128" t="s">
        <v>1962</v>
      </c>
      <c r="C5128" t="s">
        <v>927</v>
      </c>
      <c r="D5128" t="s">
        <v>3052</v>
      </c>
      <c r="E5128" t="s">
        <v>3053</v>
      </c>
      <c r="F5128" t="s">
        <v>579</v>
      </c>
      <c r="G5128" t="s">
        <v>580</v>
      </c>
      <c r="H5128" t="s">
        <v>6517</v>
      </c>
      <c r="I5128">
        <v>3</v>
      </c>
      <c r="J5128">
        <v>0</v>
      </c>
      <c r="K5128">
        <v>0</v>
      </c>
      <c r="L5128">
        <v>0</v>
      </c>
      <c r="M5128">
        <v>0</v>
      </c>
      <c r="N5128">
        <v>0</v>
      </c>
      <c r="O5128">
        <v>3</v>
      </c>
    </row>
    <row r="5129" spans="1:15" x14ac:dyDescent="0.25">
      <c r="A5129" t="s">
        <v>1011</v>
      </c>
      <c r="B5129" t="s">
        <v>2020</v>
      </c>
      <c r="C5129" t="s">
        <v>927</v>
      </c>
      <c r="D5129" t="s">
        <v>3052</v>
      </c>
      <c r="E5129" t="s">
        <v>3053</v>
      </c>
      <c r="F5129" t="s">
        <v>579</v>
      </c>
      <c r="G5129" t="s">
        <v>580</v>
      </c>
      <c r="H5129" t="s">
        <v>6518</v>
      </c>
      <c r="I5129">
        <v>27</v>
      </c>
      <c r="J5129">
        <v>0</v>
      </c>
      <c r="K5129">
        <v>0</v>
      </c>
      <c r="L5129">
        <v>27</v>
      </c>
      <c r="M5129">
        <v>0</v>
      </c>
      <c r="N5129">
        <v>0</v>
      </c>
      <c r="O5129">
        <v>0</v>
      </c>
    </row>
    <row r="5130" spans="1:15" x14ac:dyDescent="0.25">
      <c r="A5130" t="s">
        <v>938</v>
      </c>
      <c r="B5130" t="s">
        <v>2791</v>
      </c>
      <c r="C5130" t="s">
        <v>927</v>
      </c>
      <c r="D5130" t="s">
        <v>3052</v>
      </c>
      <c r="E5130" t="s">
        <v>3053</v>
      </c>
      <c r="F5130" t="s">
        <v>579</v>
      </c>
      <c r="G5130" t="s">
        <v>580</v>
      </c>
      <c r="H5130" t="s">
        <v>6519</v>
      </c>
      <c r="I5130">
        <v>18</v>
      </c>
      <c r="J5130">
        <v>0</v>
      </c>
      <c r="K5130">
        <v>0</v>
      </c>
      <c r="L5130">
        <v>18</v>
      </c>
      <c r="M5130">
        <v>0</v>
      </c>
      <c r="N5130">
        <v>0</v>
      </c>
      <c r="O5130">
        <v>0</v>
      </c>
    </row>
    <row r="5131" spans="1:15" x14ac:dyDescent="0.25">
      <c r="A5131" t="s">
        <v>1492</v>
      </c>
      <c r="B5131" t="s">
        <v>2507</v>
      </c>
      <c r="C5131" t="s">
        <v>923</v>
      </c>
      <c r="D5131" t="s">
        <v>3063</v>
      </c>
      <c r="E5131" t="s">
        <v>3053</v>
      </c>
      <c r="F5131" t="s">
        <v>579</v>
      </c>
      <c r="G5131" t="s">
        <v>580</v>
      </c>
      <c r="H5131" t="s">
        <v>6520</v>
      </c>
      <c r="I5131">
        <v>75</v>
      </c>
      <c r="J5131">
        <v>75</v>
      </c>
      <c r="K5131">
        <v>0</v>
      </c>
      <c r="L5131">
        <v>0</v>
      </c>
      <c r="M5131">
        <v>0</v>
      </c>
      <c r="N5131">
        <v>0</v>
      </c>
      <c r="O5131">
        <v>0</v>
      </c>
    </row>
    <row r="5132" spans="1:15" x14ac:dyDescent="0.25">
      <c r="A5132" t="s">
        <v>940</v>
      </c>
      <c r="B5132" t="s">
        <v>2647</v>
      </c>
      <c r="C5132" t="s">
        <v>927</v>
      </c>
      <c r="D5132" t="s">
        <v>3052</v>
      </c>
      <c r="E5132" t="s">
        <v>3053</v>
      </c>
      <c r="F5132" t="s">
        <v>579</v>
      </c>
      <c r="G5132" t="s">
        <v>580</v>
      </c>
      <c r="H5132" t="s">
        <v>6521</v>
      </c>
      <c r="I5132">
        <v>77</v>
      </c>
      <c r="J5132">
        <v>0</v>
      </c>
      <c r="K5132">
        <v>0</v>
      </c>
      <c r="L5132">
        <v>0</v>
      </c>
      <c r="M5132">
        <v>77</v>
      </c>
      <c r="N5132">
        <v>0</v>
      </c>
      <c r="O5132">
        <v>0</v>
      </c>
    </row>
    <row r="5133" spans="1:15" x14ac:dyDescent="0.25">
      <c r="A5133" t="s">
        <v>1495</v>
      </c>
      <c r="B5133" t="s">
        <v>2648</v>
      </c>
      <c r="C5133" t="s">
        <v>927</v>
      </c>
      <c r="D5133" t="s">
        <v>3052</v>
      </c>
      <c r="E5133" t="s">
        <v>3053</v>
      </c>
      <c r="F5133" t="s">
        <v>579</v>
      </c>
      <c r="G5133" t="s">
        <v>580</v>
      </c>
      <c r="H5133" t="s">
        <v>6522</v>
      </c>
      <c r="I5133">
        <v>518</v>
      </c>
      <c r="J5133">
        <v>391</v>
      </c>
      <c r="K5133">
        <v>0</v>
      </c>
      <c r="L5133">
        <v>48</v>
      </c>
      <c r="M5133">
        <v>33</v>
      </c>
      <c r="N5133">
        <v>4</v>
      </c>
      <c r="O5133">
        <v>46</v>
      </c>
    </row>
    <row r="5134" spans="1:15" x14ac:dyDescent="0.25">
      <c r="A5134" t="s">
        <v>9819</v>
      </c>
      <c r="B5134" t="s">
        <v>2916</v>
      </c>
      <c r="C5134" t="s">
        <v>927</v>
      </c>
      <c r="D5134" t="s">
        <v>3052</v>
      </c>
      <c r="E5134" t="s">
        <v>3053</v>
      </c>
      <c r="F5134" t="s">
        <v>579</v>
      </c>
      <c r="G5134" t="s">
        <v>580</v>
      </c>
      <c r="H5134" t="s">
        <v>10140</v>
      </c>
      <c r="I5134">
        <v>3037</v>
      </c>
      <c r="J5134">
        <v>2307</v>
      </c>
      <c r="K5134">
        <v>0</v>
      </c>
      <c r="L5134">
        <v>74</v>
      </c>
      <c r="M5134">
        <v>495</v>
      </c>
      <c r="N5134">
        <v>24</v>
      </c>
      <c r="O5134">
        <v>161</v>
      </c>
    </row>
    <row r="5135" spans="1:15" x14ac:dyDescent="0.25">
      <c r="A5135" t="s">
        <v>1513</v>
      </c>
      <c r="B5135" t="s">
        <v>2758</v>
      </c>
      <c r="C5135" t="s">
        <v>923</v>
      </c>
      <c r="D5135" t="s">
        <v>3063</v>
      </c>
      <c r="E5135" t="s">
        <v>3053</v>
      </c>
      <c r="F5135" t="s">
        <v>579</v>
      </c>
      <c r="G5135" t="s">
        <v>580</v>
      </c>
      <c r="H5135" t="s">
        <v>6524</v>
      </c>
      <c r="I5135">
        <v>11</v>
      </c>
      <c r="J5135">
        <v>3</v>
      </c>
      <c r="K5135">
        <v>0</v>
      </c>
      <c r="L5135">
        <v>0</v>
      </c>
      <c r="M5135">
        <v>8</v>
      </c>
      <c r="N5135">
        <v>0</v>
      </c>
      <c r="O5135">
        <v>0</v>
      </c>
    </row>
    <row r="5136" spans="1:15" x14ac:dyDescent="0.25">
      <c r="A5136" t="s">
        <v>1516</v>
      </c>
      <c r="B5136" t="s">
        <v>2098</v>
      </c>
      <c r="C5136" t="s">
        <v>927</v>
      </c>
      <c r="D5136" t="s">
        <v>3052</v>
      </c>
      <c r="E5136" t="s">
        <v>3053</v>
      </c>
      <c r="F5136" t="s">
        <v>579</v>
      </c>
      <c r="G5136" t="s">
        <v>580</v>
      </c>
      <c r="H5136" t="s">
        <v>6525</v>
      </c>
      <c r="I5136">
        <v>4023</v>
      </c>
      <c r="J5136">
        <v>3243</v>
      </c>
      <c r="K5136">
        <v>17</v>
      </c>
      <c r="L5136">
        <v>324</v>
      </c>
      <c r="M5136">
        <v>278</v>
      </c>
      <c r="N5136">
        <v>3</v>
      </c>
      <c r="O5136">
        <v>161</v>
      </c>
    </row>
    <row r="5137" spans="1:15" x14ac:dyDescent="0.25">
      <c r="A5137" t="s">
        <v>1033</v>
      </c>
      <c r="B5137" t="s">
        <v>2039</v>
      </c>
      <c r="C5137" t="s">
        <v>923</v>
      </c>
      <c r="D5137" t="s">
        <v>3063</v>
      </c>
      <c r="E5137" t="s">
        <v>3053</v>
      </c>
      <c r="F5137" t="s">
        <v>579</v>
      </c>
      <c r="G5137" t="s">
        <v>580</v>
      </c>
      <c r="H5137" t="s">
        <v>6526</v>
      </c>
      <c r="I5137">
        <v>79</v>
      </c>
      <c r="J5137">
        <v>0</v>
      </c>
      <c r="K5137">
        <v>0</v>
      </c>
      <c r="L5137">
        <v>79</v>
      </c>
      <c r="M5137">
        <v>0</v>
      </c>
      <c r="N5137">
        <v>0</v>
      </c>
      <c r="O5137">
        <v>0</v>
      </c>
    </row>
    <row r="5138" spans="1:15" x14ac:dyDescent="0.25">
      <c r="A5138" t="s">
        <v>1517</v>
      </c>
      <c r="B5138" t="s">
        <v>2470</v>
      </c>
      <c r="C5138" t="s">
        <v>923</v>
      </c>
      <c r="D5138" t="s">
        <v>3063</v>
      </c>
      <c r="E5138" t="s">
        <v>3053</v>
      </c>
      <c r="F5138" t="s">
        <v>579</v>
      </c>
      <c r="G5138" t="s">
        <v>580</v>
      </c>
      <c r="H5138" t="s">
        <v>6527</v>
      </c>
      <c r="I5138">
        <v>85</v>
      </c>
      <c r="J5138">
        <v>0</v>
      </c>
      <c r="K5138">
        <v>85</v>
      </c>
      <c r="L5138">
        <v>0</v>
      </c>
      <c r="M5138">
        <v>0</v>
      </c>
      <c r="N5138">
        <v>0</v>
      </c>
      <c r="O5138">
        <v>0</v>
      </c>
    </row>
    <row r="5139" spans="1:15" x14ac:dyDescent="0.25">
      <c r="A5139" t="s">
        <v>1519</v>
      </c>
      <c r="B5139" t="s">
        <v>2060</v>
      </c>
      <c r="C5139" t="s">
        <v>927</v>
      </c>
      <c r="D5139" t="s">
        <v>3052</v>
      </c>
      <c r="E5139" t="s">
        <v>3053</v>
      </c>
      <c r="F5139" t="s">
        <v>579</v>
      </c>
      <c r="G5139" t="s">
        <v>580</v>
      </c>
      <c r="H5139" t="s">
        <v>6528</v>
      </c>
      <c r="I5139">
        <v>11917</v>
      </c>
      <c r="J5139">
        <v>11510</v>
      </c>
      <c r="K5139">
        <v>0</v>
      </c>
      <c r="L5139">
        <v>0</v>
      </c>
      <c r="M5139">
        <v>241</v>
      </c>
      <c r="N5139">
        <v>29</v>
      </c>
      <c r="O5139">
        <v>166</v>
      </c>
    </row>
    <row r="5140" spans="1:15" x14ac:dyDescent="0.25">
      <c r="A5140" t="s">
        <v>1521</v>
      </c>
      <c r="B5140" t="s">
        <v>2920</v>
      </c>
      <c r="C5140" t="s">
        <v>927</v>
      </c>
      <c r="D5140" t="s">
        <v>3052</v>
      </c>
      <c r="E5140" t="s">
        <v>3053</v>
      </c>
      <c r="F5140" t="s">
        <v>579</v>
      </c>
      <c r="G5140" t="s">
        <v>580</v>
      </c>
      <c r="H5140" t="s">
        <v>11134</v>
      </c>
      <c r="I5140">
        <v>536</v>
      </c>
      <c r="J5140">
        <v>400</v>
      </c>
      <c r="K5140">
        <v>0</v>
      </c>
      <c r="L5140">
        <v>50</v>
      </c>
      <c r="M5140">
        <v>62</v>
      </c>
      <c r="N5140">
        <v>1</v>
      </c>
      <c r="O5140">
        <v>24</v>
      </c>
    </row>
    <row r="5141" spans="1:15" x14ac:dyDescent="0.25">
      <c r="A5141" t="s">
        <v>1046</v>
      </c>
      <c r="B5141" t="s">
        <v>2027</v>
      </c>
      <c r="C5141" t="s">
        <v>923</v>
      </c>
      <c r="D5141" t="s">
        <v>3063</v>
      </c>
      <c r="E5141" t="s">
        <v>3053</v>
      </c>
      <c r="F5141" t="s">
        <v>579</v>
      </c>
      <c r="G5141" t="s">
        <v>580</v>
      </c>
      <c r="H5141" t="s">
        <v>6529</v>
      </c>
      <c r="I5141">
        <v>3</v>
      </c>
      <c r="J5141">
        <v>0</v>
      </c>
      <c r="K5141">
        <v>0</v>
      </c>
      <c r="L5141">
        <v>3</v>
      </c>
      <c r="M5141">
        <v>0</v>
      </c>
      <c r="N5141">
        <v>0</v>
      </c>
      <c r="O5141">
        <v>0</v>
      </c>
    </row>
    <row r="5142" spans="1:15" x14ac:dyDescent="0.25">
      <c r="A5142" t="s">
        <v>1522</v>
      </c>
      <c r="B5142" t="s">
        <v>2824</v>
      </c>
      <c r="C5142" t="s">
        <v>923</v>
      </c>
      <c r="D5142" t="s">
        <v>3063</v>
      </c>
      <c r="E5142" t="s">
        <v>3053</v>
      </c>
      <c r="F5142" t="s">
        <v>579</v>
      </c>
      <c r="G5142" t="s">
        <v>580</v>
      </c>
      <c r="H5142" t="s">
        <v>6530</v>
      </c>
      <c r="I5142">
        <v>275</v>
      </c>
      <c r="J5142">
        <v>275</v>
      </c>
      <c r="K5142">
        <v>0</v>
      </c>
      <c r="L5142">
        <v>0</v>
      </c>
      <c r="M5142">
        <v>0</v>
      </c>
      <c r="N5142">
        <v>0</v>
      </c>
      <c r="O5142">
        <v>0</v>
      </c>
    </row>
    <row r="5143" spans="1:15" x14ac:dyDescent="0.25">
      <c r="A5143" t="s">
        <v>951</v>
      </c>
      <c r="B5143" t="s">
        <v>2680</v>
      </c>
      <c r="C5143" t="s">
        <v>927</v>
      </c>
      <c r="D5143" t="s">
        <v>3052</v>
      </c>
      <c r="E5143" t="s">
        <v>3053</v>
      </c>
      <c r="F5143" t="s">
        <v>579</v>
      </c>
      <c r="G5143" t="s">
        <v>580</v>
      </c>
      <c r="H5143" t="s">
        <v>6531</v>
      </c>
      <c r="I5143">
        <v>1003</v>
      </c>
      <c r="J5143">
        <v>942</v>
      </c>
      <c r="K5143">
        <v>0</v>
      </c>
      <c r="L5143">
        <v>8</v>
      </c>
      <c r="M5143">
        <v>0</v>
      </c>
      <c r="N5143">
        <v>0</v>
      </c>
      <c r="O5143">
        <v>53</v>
      </c>
    </row>
    <row r="5144" spans="1:15" x14ac:dyDescent="0.25">
      <c r="A5144" t="s">
        <v>1048</v>
      </c>
      <c r="B5144" t="s">
        <v>2989</v>
      </c>
      <c r="C5144" t="s">
        <v>927</v>
      </c>
      <c r="D5144" t="s">
        <v>3052</v>
      </c>
      <c r="E5144" t="s">
        <v>3053</v>
      </c>
      <c r="F5144" t="s">
        <v>579</v>
      </c>
      <c r="G5144" t="s">
        <v>580</v>
      </c>
      <c r="H5144" t="s">
        <v>6532</v>
      </c>
      <c r="I5144">
        <v>165</v>
      </c>
      <c r="J5144">
        <v>38</v>
      </c>
      <c r="K5144">
        <v>0</v>
      </c>
      <c r="L5144">
        <v>102</v>
      </c>
      <c r="M5144">
        <v>25</v>
      </c>
      <c r="N5144">
        <v>0</v>
      </c>
      <c r="O5144">
        <v>0</v>
      </c>
    </row>
    <row r="5145" spans="1:15" x14ac:dyDescent="0.25">
      <c r="A5145" t="s">
        <v>1051</v>
      </c>
      <c r="B5145" t="s">
        <v>2995</v>
      </c>
      <c r="C5145" t="s">
        <v>927</v>
      </c>
      <c r="D5145" t="s">
        <v>3052</v>
      </c>
      <c r="E5145" t="s">
        <v>3053</v>
      </c>
      <c r="F5145" t="s">
        <v>579</v>
      </c>
      <c r="G5145" t="s">
        <v>580</v>
      </c>
      <c r="H5145" t="s">
        <v>6533</v>
      </c>
      <c r="I5145">
        <v>2</v>
      </c>
      <c r="J5145">
        <v>0</v>
      </c>
      <c r="K5145">
        <v>0</v>
      </c>
      <c r="L5145">
        <v>2</v>
      </c>
      <c r="M5145">
        <v>0</v>
      </c>
      <c r="N5145">
        <v>0</v>
      </c>
      <c r="O5145">
        <v>0</v>
      </c>
    </row>
    <row r="5146" spans="1:15" x14ac:dyDescent="0.25">
      <c r="A5146" t="s">
        <v>1529</v>
      </c>
      <c r="B5146" t="s">
        <v>1954</v>
      </c>
      <c r="C5146" t="s">
        <v>927</v>
      </c>
      <c r="D5146" t="s">
        <v>3052</v>
      </c>
      <c r="E5146" t="s">
        <v>3053</v>
      </c>
      <c r="F5146" t="s">
        <v>579</v>
      </c>
      <c r="G5146" t="s">
        <v>580</v>
      </c>
      <c r="H5146" t="s">
        <v>6534</v>
      </c>
      <c r="I5146">
        <v>27</v>
      </c>
      <c r="J5146">
        <v>0</v>
      </c>
      <c r="K5146">
        <v>0</v>
      </c>
      <c r="L5146">
        <v>27</v>
      </c>
      <c r="M5146">
        <v>0</v>
      </c>
      <c r="N5146">
        <v>0</v>
      </c>
      <c r="O5146">
        <v>0</v>
      </c>
    </row>
    <row r="5147" spans="1:15" x14ac:dyDescent="0.25">
      <c r="A5147" t="s">
        <v>1056</v>
      </c>
      <c r="B5147" t="s">
        <v>2966</v>
      </c>
      <c r="C5147" t="s">
        <v>927</v>
      </c>
      <c r="D5147" t="s">
        <v>3052</v>
      </c>
      <c r="E5147" t="s">
        <v>3053</v>
      </c>
      <c r="F5147" t="s">
        <v>579</v>
      </c>
      <c r="G5147" t="s">
        <v>580</v>
      </c>
      <c r="H5147" t="s">
        <v>6535</v>
      </c>
      <c r="I5147">
        <v>112</v>
      </c>
      <c r="J5147">
        <v>46</v>
      </c>
      <c r="K5147">
        <v>0</v>
      </c>
      <c r="L5147">
        <v>66</v>
      </c>
      <c r="M5147">
        <v>0</v>
      </c>
      <c r="N5147">
        <v>0</v>
      </c>
      <c r="O5147">
        <v>0</v>
      </c>
    </row>
    <row r="5148" spans="1:15" x14ac:dyDescent="0.25">
      <c r="A5148" t="s">
        <v>955</v>
      </c>
      <c r="B5148" t="s">
        <v>2660</v>
      </c>
      <c r="C5148" t="s">
        <v>927</v>
      </c>
      <c r="D5148" t="s">
        <v>3052</v>
      </c>
      <c r="E5148" t="s">
        <v>3053</v>
      </c>
      <c r="F5148" t="s">
        <v>579</v>
      </c>
      <c r="G5148" t="s">
        <v>580</v>
      </c>
      <c r="H5148" t="s">
        <v>6536</v>
      </c>
      <c r="I5148">
        <v>170</v>
      </c>
      <c r="J5148">
        <v>111</v>
      </c>
      <c r="K5148">
        <v>0</v>
      </c>
      <c r="L5148">
        <v>59</v>
      </c>
      <c r="M5148">
        <v>0</v>
      </c>
      <c r="N5148">
        <v>0</v>
      </c>
      <c r="O5148">
        <v>0</v>
      </c>
    </row>
    <row r="5149" spans="1:15" x14ac:dyDescent="0.25">
      <c r="A5149" t="s">
        <v>11698</v>
      </c>
      <c r="B5149" t="s">
        <v>11765</v>
      </c>
      <c r="C5149" t="s">
        <v>923</v>
      </c>
      <c r="D5149" t="s">
        <v>3063</v>
      </c>
      <c r="E5149" t="s">
        <v>3053</v>
      </c>
      <c r="F5149" t="s">
        <v>579</v>
      </c>
      <c r="G5149" t="s">
        <v>580</v>
      </c>
      <c r="H5149" t="s">
        <v>12183</v>
      </c>
      <c r="I5149">
        <v>33</v>
      </c>
      <c r="J5149">
        <v>5</v>
      </c>
      <c r="K5149">
        <v>6</v>
      </c>
      <c r="L5149">
        <v>22</v>
      </c>
      <c r="M5149">
        <v>0</v>
      </c>
      <c r="N5149">
        <v>0</v>
      </c>
      <c r="O5149">
        <v>0</v>
      </c>
    </row>
    <row r="5150" spans="1:15" x14ac:dyDescent="0.25">
      <c r="A5150" t="s">
        <v>1541</v>
      </c>
      <c r="B5150" t="s">
        <v>2890</v>
      </c>
      <c r="C5150" t="s">
        <v>927</v>
      </c>
      <c r="D5150" t="s">
        <v>3052</v>
      </c>
      <c r="E5150" t="s">
        <v>3053</v>
      </c>
      <c r="F5150" t="s">
        <v>579</v>
      </c>
      <c r="G5150" t="s">
        <v>580</v>
      </c>
      <c r="H5150" t="s">
        <v>6537</v>
      </c>
      <c r="I5150">
        <v>6005</v>
      </c>
      <c r="J5150">
        <v>5665</v>
      </c>
      <c r="K5150">
        <v>0</v>
      </c>
      <c r="L5150">
        <v>0</v>
      </c>
      <c r="M5150">
        <v>207</v>
      </c>
      <c r="N5150">
        <v>4</v>
      </c>
      <c r="O5150">
        <v>133</v>
      </c>
    </row>
    <row r="5151" spans="1:15" x14ac:dyDescent="0.25">
      <c r="A5151" t="s">
        <v>1159</v>
      </c>
      <c r="B5151" t="s">
        <v>2829</v>
      </c>
      <c r="C5151" t="s">
        <v>927</v>
      </c>
      <c r="D5151" t="s">
        <v>3052</v>
      </c>
      <c r="E5151" t="s">
        <v>3053</v>
      </c>
      <c r="F5151" t="s">
        <v>579</v>
      </c>
      <c r="G5151" t="s">
        <v>580</v>
      </c>
      <c r="H5151" t="s">
        <v>12184</v>
      </c>
      <c r="I5151">
        <v>1</v>
      </c>
      <c r="J5151">
        <v>0</v>
      </c>
      <c r="K5151">
        <v>0</v>
      </c>
      <c r="L5151">
        <v>0</v>
      </c>
      <c r="M5151">
        <v>0</v>
      </c>
      <c r="N5151">
        <v>0</v>
      </c>
      <c r="O5151">
        <v>1</v>
      </c>
    </row>
    <row r="5152" spans="1:15" x14ac:dyDescent="0.25">
      <c r="A5152" t="s">
        <v>1550</v>
      </c>
      <c r="B5152" t="s">
        <v>2026</v>
      </c>
      <c r="C5152" t="s">
        <v>923</v>
      </c>
      <c r="D5152" t="s">
        <v>3063</v>
      </c>
      <c r="E5152" t="s">
        <v>3053</v>
      </c>
      <c r="F5152" t="s">
        <v>579</v>
      </c>
      <c r="G5152" t="s">
        <v>580</v>
      </c>
      <c r="H5152" t="s">
        <v>6538</v>
      </c>
      <c r="I5152">
        <v>50</v>
      </c>
      <c r="J5152">
        <v>50</v>
      </c>
      <c r="K5152">
        <v>0</v>
      </c>
      <c r="L5152">
        <v>0</v>
      </c>
      <c r="M5152">
        <v>0</v>
      </c>
      <c r="N5152">
        <v>0</v>
      </c>
      <c r="O5152">
        <v>0</v>
      </c>
    </row>
    <row r="5153" spans="1:15" x14ac:dyDescent="0.25">
      <c r="A5153" t="s">
        <v>1069</v>
      </c>
      <c r="B5153" t="s">
        <v>2001</v>
      </c>
      <c r="C5153" t="s">
        <v>927</v>
      </c>
      <c r="D5153" t="s">
        <v>3052</v>
      </c>
      <c r="E5153" t="s">
        <v>3053</v>
      </c>
      <c r="F5153" t="s">
        <v>579</v>
      </c>
      <c r="G5153" t="s">
        <v>580</v>
      </c>
      <c r="H5153" t="s">
        <v>6539</v>
      </c>
      <c r="I5153">
        <v>3279</v>
      </c>
      <c r="J5153">
        <v>2716</v>
      </c>
      <c r="K5153">
        <v>3</v>
      </c>
      <c r="L5153">
        <v>50</v>
      </c>
      <c r="M5153">
        <v>248</v>
      </c>
      <c r="N5153">
        <v>2</v>
      </c>
      <c r="O5153">
        <v>262</v>
      </c>
    </row>
    <row r="5154" spans="1:15" x14ac:dyDescent="0.25">
      <c r="A5154" t="s">
        <v>1071</v>
      </c>
      <c r="B5154" t="s">
        <v>2571</v>
      </c>
      <c r="C5154" t="s">
        <v>923</v>
      </c>
      <c r="D5154" t="s">
        <v>3063</v>
      </c>
      <c r="E5154" t="s">
        <v>3053</v>
      </c>
      <c r="F5154" t="s">
        <v>579</v>
      </c>
      <c r="G5154" t="s">
        <v>580</v>
      </c>
      <c r="H5154" t="s">
        <v>6540</v>
      </c>
      <c r="I5154">
        <v>12</v>
      </c>
      <c r="J5154">
        <v>0</v>
      </c>
      <c r="K5154">
        <v>0</v>
      </c>
      <c r="L5154">
        <v>12</v>
      </c>
      <c r="M5154">
        <v>0</v>
      </c>
      <c r="N5154">
        <v>0</v>
      </c>
      <c r="O5154">
        <v>0</v>
      </c>
    </row>
    <row r="5155" spans="1:15" x14ac:dyDescent="0.25">
      <c r="A5155" t="s">
        <v>1072</v>
      </c>
      <c r="B5155" t="s">
        <v>2907</v>
      </c>
      <c r="C5155" t="s">
        <v>927</v>
      </c>
      <c r="D5155" t="s">
        <v>3052</v>
      </c>
      <c r="E5155" t="s">
        <v>3053</v>
      </c>
      <c r="F5155" t="s">
        <v>579</v>
      </c>
      <c r="G5155" t="s">
        <v>580</v>
      </c>
      <c r="H5155" t="s">
        <v>6541</v>
      </c>
      <c r="I5155">
        <v>612</v>
      </c>
      <c r="J5155">
        <v>163</v>
      </c>
      <c r="K5155">
        <v>0</v>
      </c>
      <c r="L5155">
        <v>198</v>
      </c>
      <c r="M5155">
        <v>200</v>
      </c>
      <c r="N5155">
        <v>5</v>
      </c>
      <c r="O5155">
        <v>51</v>
      </c>
    </row>
    <row r="5156" spans="1:15" x14ac:dyDescent="0.25">
      <c r="A5156" t="s">
        <v>1078</v>
      </c>
      <c r="B5156" t="s">
        <v>1950</v>
      </c>
      <c r="C5156" t="s">
        <v>923</v>
      </c>
      <c r="D5156" t="s">
        <v>3063</v>
      </c>
      <c r="E5156" t="s">
        <v>3053</v>
      </c>
      <c r="F5156" t="s">
        <v>579</v>
      </c>
      <c r="G5156" t="s">
        <v>580</v>
      </c>
      <c r="H5156" t="s">
        <v>6542</v>
      </c>
      <c r="I5156">
        <v>5</v>
      </c>
      <c r="J5156">
        <v>0</v>
      </c>
      <c r="K5156">
        <v>0</v>
      </c>
      <c r="L5156">
        <v>5</v>
      </c>
      <c r="M5156">
        <v>0</v>
      </c>
      <c r="N5156">
        <v>0</v>
      </c>
      <c r="O5156">
        <v>0</v>
      </c>
    </row>
    <row r="5157" spans="1:15" x14ac:dyDescent="0.25">
      <c r="A5157" t="s">
        <v>1182</v>
      </c>
      <c r="B5157" t="s">
        <v>2583</v>
      </c>
      <c r="C5157" t="s">
        <v>923</v>
      </c>
      <c r="D5157" t="s">
        <v>3063</v>
      </c>
      <c r="E5157" t="s">
        <v>3053</v>
      </c>
      <c r="F5157" t="s">
        <v>579</v>
      </c>
      <c r="G5157" t="s">
        <v>580</v>
      </c>
      <c r="H5157" t="s">
        <v>6543</v>
      </c>
      <c r="I5157">
        <v>11</v>
      </c>
      <c r="J5157">
        <v>0</v>
      </c>
      <c r="K5157">
        <v>0</v>
      </c>
      <c r="L5157">
        <v>11</v>
      </c>
      <c r="M5157">
        <v>0</v>
      </c>
      <c r="N5157">
        <v>0</v>
      </c>
      <c r="O5157">
        <v>0</v>
      </c>
    </row>
    <row r="5158" spans="1:15" x14ac:dyDescent="0.25">
      <c r="A5158" t="s">
        <v>11699</v>
      </c>
      <c r="B5158" t="s">
        <v>2840</v>
      </c>
      <c r="C5158" t="s">
        <v>927</v>
      </c>
      <c r="D5158" t="s">
        <v>3052</v>
      </c>
      <c r="E5158" t="s">
        <v>3053</v>
      </c>
      <c r="F5158" t="s">
        <v>579</v>
      </c>
      <c r="G5158" t="s">
        <v>580</v>
      </c>
      <c r="H5158" t="s">
        <v>12185</v>
      </c>
      <c r="I5158">
        <v>13631</v>
      </c>
      <c r="J5158">
        <v>13167</v>
      </c>
      <c r="K5158">
        <v>5</v>
      </c>
      <c r="L5158">
        <v>116</v>
      </c>
      <c r="M5158">
        <v>69</v>
      </c>
      <c r="N5158">
        <v>11</v>
      </c>
      <c r="O5158">
        <v>274</v>
      </c>
    </row>
    <row r="5159" spans="1:15" x14ac:dyDescent="0.25">
      <c r="A5159" t="s">
        <v>1083</v>
      </c>
      <c r="B5159" t="s">
        <v>2757</v>
      </c>
      <c r="C5159" t="s">
        <v>927</v>
      </c>
      <c r="D5159" t="s">
        <v>3052</v>
      </c>
      <c r="E5159" t="s">
        <v>3053</v>
      </c>
      <c r="F5159" t="s">
        <v>579</v>
      </c>
      <c r="G5159" t="s">
        <v>580</v>
      </c>
      <c r="H5159" t="s">
        <v>6544</v>
      </c>
      <c r="I5159">
        <v>1525</v>
      </c>
      <c r="J5159">
        <v>1114</v>
      </c>
      <c r="K5159">
        <v>0</v>
      </c>
      <c r="L5159">
        <v>1</v>
      </c>
      <c r="M5159">
        <v>293</v>
      </c>
      <c r="N5159">
        <v>0</v>
      </c>
      <c r="O5159">
        <v>117</v>
      </c>
    </row>
    <row r="5160" spans="1:15" x14ac:dyDescent="0.25">
      <c r="A5160" t="s">
        <v>11700</v>
      </c>
      <c r="B5160" t="s">
        <v>2447</v>
      </c>
      <c r="C5160" t="s">
        <v>923</v>
      </c>
      <c r="D5160" t="s">
        <v>3063</v>
      </c>
      <c r="E5160" t="s">
        <v>3053</v>
      </c>
      <c r="F5160" t="s">
        <v>579</v>
      </c>
      <c r="G5160" t="s">
        <v>580</v>
      </c>
      <c r="H5160" t="s">
        <v>12186</v>
      </c>
      <c r="I5160">
        <v>6</v>
      </c>
      <c r="J5160">
        <v>6</v>
      </c>
      <c r="K5160">
        <v>0</v>
      </c>
      <c r="L5160">
        <v>0</v>
      </c>
      <c r="M5160">
        <v>0</v>
      </c>
      <c r="N5160">
        <v>0</v>
      </c>
      <c r="O5160">
        <v>0</v>
      </c>
    </row>
    <row r="5161" spans="1:15" x14ac:dyDescent="0.25">
      <c r="A5161" t="s">
        <v>972</v>
      </c>
      <c r="B5161" t="s">
        <v>2842</v>
      </c>
      <c r="C5161" t="s">
        <v>927</v>
      </c>
      <c r="D5161" t="s">
        <v>3052</v>
      </c>
      <c r="E5161" t="s">
        <v>3053</v>
      </c>
      <c r="F5161" t="s">
        <v>581</v>
      </c>
      <c r="G5161" t="s">
        <v>582</v>
      </c>
      <c r="H5161" t="s">
        <v>6545</v>
      </c>
      <c r="I5161">
        <v>17</v>
      </c>
      <c r="J5161">
        <v>11</v>
      </c>
      <c r="K5161">
        <v>0</v>
      </c>
      <c r="L5161">
        <v>0</v>
      </c>
      <c r="M5161">
        <v>0</v>
      </c>
      <c r="N5161">
        <v>0</v>
      </c>
      <c r="O5161">
        <v>6</v>
      </c>
    </row>
    <row r="5162" spans="1:15" x14ac:dyDescent="0.25">
      <c r="A5162" t="s">
        <v>973</v>
      </c>
      <c r="B5162" t="s">
        <v>1957</v>
      </c>
      <c r="C5162" t="s">
        <v>923</v>
      </c>
      <c r="D5162" t="s">
        <v>3063</v>
      </c>
      <c r="E5162" t="s">
        <v>3053</v>
      </c>
      <c r="F5162" t="s">
        <v>581</v>
      </c>
      <c r="G5162" t="s">
        <v>582</v>
      </c>
      <c r="H5162" t="s">
        <v>9891</v>
      </c>
      <c r="I5162">
        <v>27</v>
      </c>
      <c r="J5162">
        <v>0</v>
      </c>
      <c r="K5162">
        <v>0</v>
      </c>
      <c r="L5162">
        <v>27</v>
      </c>
      <c r="M5162">
        <v>0</v>
      </c>
      <c r="N5162">
        <v>0</v>
      </c>
      <c r="O5162">
        <v>0</v>
      </c>
    </row>
    <row r="5163" spans="1:15" x14ac:dyDescent="0.25">
      <c r="A5163" t="s">
        <v>926</v>
      </c>
      <c r="B5163" t="s">
        <v>2923</v>
      </c>
      <c r="C5163" t="s">
        <v>927</v>
      </c>
      <c r="D5163" t="s">
        <v>3052</v>
      </c>
      <c r="E5163" t="s">
        <v>3053</v>
      </c>
      <c r="F5163" t="s">
        <v>581</v>
      </c>
      <c r="G5163" t="s">
        <v>582</v>
      </c>
      <c r="H5163" t="s">
        <v>6546</v>
      </c>
      <c r="I5163">
        <v>9</v>
      </c>
      <c r="J5163">
        <v>0</v>
      </c>
      <c r="K5163">
        <v>0</v>
      </c>
      <c r="L5163">
        <v>7</v>
      </c>
      <c r="M5163">
        <v>0</v>
      </c>
      <c r="N5163">
        <v>0</v>
      </c>
      <c r="O5163">
        <v>2</v>
      </c>
    </row>
    <row r="5164" spans="1:15" x14ac:dyDescent="0.25">
      <c r="A5164" t="s">
        <v>9784</v>
      </c>
      <c r="B5164" t="s">
        <v>1994</v>
      </c>
      <c r="C5164" t="s">
        <v>927</v>
      </c>
      <c r="D5164" t="s">
        <v>3052</v>
      </c>
      <c r="E5164" t="s">
        <v>3053</v>
      </c>
      <c r="F5164" t="s">
        <v>581</v>
      </c>
      <c r="G5164" t="s">
        <v>582</v>
      </c>
      <c r="H5164" t="s">
        <v>9959</v>
      </c>
      <c r="I5164">
        <v>6</v>
      </c>
      <c r="J5164">
        <v>0</v>
      </c>
      <c r="K5164">
        <v>0</v>
      </c>
      <c r="L5164">
        <v>6</v>
      </c>
      <c r="M5164">
        <v>0</v>
      </c>
      <c r="N5164">
        <v>0</v>
      </c>
      <c r="O5164">
        <v>0</v>
      </c>
    </row>
    <row r="5165" spans="1:15" x14ac:dyDescent="0.25">
      <c r="A5165" t="s">
        <v>984</v>
      </c>
      <c r="B5165" t="s">
        <v>2249</v>
      </c>
      <c r="C5165" t="s">
        <v>923</v>
      </c>
      <c r="D5165" t="s">
        <v>3063</v>
      </c>
      <c r="E5165" t="s">
        <v>3053</v>
      </c>
      <c r="F5165" t="s">
        <v>581</v>
      </c>
      <c r="G5165" t="s">
        <v>582</v>
      </c>
      <c r="H5165" t="s">
        <v>6547</v>
      </c>
      <c r="I5165">
        <v>153</v>
      </c>
      <c r="J5165">
        <v>0</v>
      </c>
      <c r="K5165">
        <v>0</v>
      </c>
      <c r="L5165">
        <v>0</v>
      </c>
      <c r="M5165">
        <v>153</v>
      </c>
      <c r="N5165">
        <v>0</v>
      </c>
      <c r="O5165">
        <v>0</v>
      </c>
    </row>
    <row r="5166" spans="1:15" x14ac:dyDescent="0.25">
      <c r="A5166" t="s">
        <v>997</v>
      </c>
      <c r="B5166" t="s">
        <v>2033</v>
      </c>
      <c r="C5166" t="s">
        <v>927</v>
      </c>
      <c r="D5166" t="s">
        <v>3052</v>
      </c>
      <c r="E5166" t="s">
        <v>3053</v>
      </c>
      <c r="F5166" t="s">
        <v>581</v>
      </c>
      <c r="G5166" t="s">
        <v>582</v>
      </c>
      <c r="H5166" t="s">
        <v>6548</v>
      </c>
      <c r="I5166">
        <v>194</v>
      </c>
      <c r="J5166">
        <v>169</v>
      </c>
      <c r="K5166">
        <v>0</v>
      </c>
      <c r="L5166">
        <v>0</v>
      </c>
      <c r="M5166">
        <v>0</v>
      </c>
      <c r="N5166">
        <v>0</v>
      </c>
      <c r="O5166">
        <v>25</v>
      </c>
    </row>
    <row r="5167" spans="1:15" x14ac:dyDescent="0.25">
      <c r="A5167" t="s">
        <v>11660</v>
      </c>
      <c r="B5167" t="s">
        <v>2041</v>
      </c>
      <c r="C5167" t="s">
        <v>923</v>
      </c>
      <c r="D5167" t="s">
        <v>3063</v>
      </c>
      <c r="E5167" t="s">
        <v>3053</v>
      </c>
      <c r="F5167" t="s">
        <v>581</v>
      </c>
      <c r="G5167" t="s">
        <v>582</v>
      </c>
      <c r="H5167" t="s">
        <v>14904</v>
      </c>
      <c r="I5167">
        <v>6</v>
      </c>
      <c r="J5167">
        <v>0</v>
      </c>
      <c r="K5167">
        <v>0</v>
      </c>
      <c r="L5167">
        <v>6</v>
      </c>
      <c r="M5167">
        <v>0</v>
      </c>
      <c r="N5167">
        <v>0</v>
      </c>
      <c r="O5167">
        <v>0</v>
      </c>
    </row>
    <row r="5168" spans="1:15" x14ac:dyDescent="0.25">
      <c r="A5168" t="s">
        <v>1001</v>
      </c>
      <c r="B5168" t="s">
        <v>3007</v>
      </c>
      <c r="C5168" t="s">
        <v>927</v>
      </c>
      <c r="D5168" t="s">
        <v>3052</v>
      </c>
      <c r="E5168" t="s">
        <v>3053</v>
      </c>
      <c r="F5168" t="s">
        <v>581</v>
      </c>
      <c r="G5168" t="s">
        <v>582</v>
      </c>
      <c r="H5168" t="s">
        <v>6549</v>
      </c>
      <c r="I5168">
        <v>79</v>
      </c>
      <c r="J5168">
        <v>0</v>
      </c>
      <c r="K5168">
        <v>0</v>
      </c>
      <c r="L5168">
        <v>79</v>
      </c>
      <c r="M5168">
        <v>0</v>
      </c>
      <c r="N5168">
        <v>0</v>
      </c>
      <c r="O5168">
        <v>0</v>
      </c>
    </row>
    <row r="5169" spans="1:15" x14ac:dyDescent="0.25">
      <c r="A5169" t="s">
        <v>10638</v>
      </c>
      <c r="B5169" t="s">
        <v>2057</v>
      </c>
      <c r="C5169" t="s">
        <v>927</v>
      </c>
      <c r="D5169" t="s">
        <v>3052</v>
      </c>
      <c r="E5169" t="s">
        <v>3053</v>
      </c>
      <c r="F5169" t="s">
        <v>581</v>
      </c>
      <c r="G5169" t="s">
        <v>582</v>
      </c>
      <c r="H5169" t="s">
        <v>11135</v>
      </c>
      <c r="I5169">
        <v>8</v>
      </c>
      <c r="J5169">
        <v>0</v>
      </c>
      <c r="K5169">
        <v>0</v>
      </c>
      <c r="L5169">
        <v>8</v>
      </c>
      <c r="M5169">
        <v>0</v>
      </c>
      <c r="N5169">
        <v>0</v>
      </c>
      <c r="O5169">
        <v>0</v>
      </c>
    </row>
    <row r="5170" spans="1:15" x14ac:dyDescent="0.25">
      <c r="A5170" t="s">
        <v>937</v>
      </c>
      <c r="B5170" t="s">
        <v>1962</v>
      </c>
      <c r="C5170" t="s">
        <v>927</v>
      </c>
      <c r="D5170" t="s">
        <v>3052</v>
      </c>
      <c r="E5170" t="s">
        <v>3053</v>
      </c>
      <c r="F5170" t="s">
        <v>581</v>
      </c>
      <c r="G5170" t="s">
        <v>582</v>
      </c>
      <c r="H5170" t="s">
        <v>12187</v>
      </c>
      <c r="I5170">
        <v>26</v>
      </c>
      <c r="J5170">
        <v>0</v>
      </c>
      <c r="K5170">
        <v>0</v>
      </c>
      <c r="L5170">
        <v>0</v>
      </c>
      <c r="M5170">
        <v>0</v>
      </c>
      <c r="N5170">
        <v>0</v>
      </c>
      <c r="O5170">
        <v>26</v>
      </c>
    </row>
    <row r="5171" spans="1:15" x14ac:dyDescent="0.25">
      <c r="A5171" t="s">
        <v>940</v>
      </c>
      <c r="B5171" t="s">
        <v>2647</v>
      </c>
      <c r="C5171" t="s">
        <v>927</v>
      </c>
      <c r="D5171" t="s">
        <v>3052</v>
      </c>
      <c r="E5171" t="s">
        <v>3053</v>
      </c>
      <c r="F5171" t="s">
        <v>581</v>
      </c>
      <c r="G5171" t="s">
        <v>582</v>
      </c>
      <c r="H5171" t="s">
        <v>6550</v>
      </c>
      <c r="I5171">
        <v>27</v>
      </c>
      <c r="J5171">
        <v>0</v>
      </c>
      <c r="K5171">
        <v>0</v>
      </c>
      <c r="L5171">
        <v>0</v>
      </c>
      <c r="M5171">
        <v>27</v>
      </c>
      <c r="N5171">
        <v>0</v>
      </c>
      <c r="O5171">
        <v>0</v>
      </c>
    </row>
    <row r="5172" spans="1:15" x14ac:dyDescent="0.25">
      <c r="A5172" t="s">
        <v>1013</v>
      </c>
      <c r="B5172" t="s">
        <v>1959</v>
      </c>
      <c r="C5172" t="s">
        <v>927</v>
      </c>
      <c r="D5172" t="s">
        <v>3052</v>
      </c>
      <c r="E5172" t="s">
        <v>3053</v>
      </c>
      <c r="F5172" t="s">
        <v>581</v>
      </c>
      <c r="G5172" t="s">
        <v>582</v>
      </c>
      <c r="H5172" t="s">
        <v>6551</v>
      </c>
      <c r="I5172">
        <v>23</v>
      </c>
      <c r="J5172">
        <v>0</v>
      </c>
      <c r="K5172">
        <v>0</v>
      </c>
      <c r="L5172">
        <v>23</v>
      </c>
      <c r="M5172">
        <v>0</v>
      </c>
      <c r="N5172">
        <v>0</v>
      </c>
      <c r="O5172">
        <v>0</v>
      </c>
    </row>
    <row r="5173" spans="1:15" x14ac:dyDescent="0.25">
      <c r="A5173" t="s">
        <v>1014</v>
      </c>
      <c r="B5173" t="s">
        <v>2898</v>
      </c>
      <c r="C5173" t="s">
        <v>927</v>
      </c>
      <c r="D5173" t="s">
        <v>3052</v>
      </c>
      <c r="E5173" t="s">
        <v>3053</v>
      </c>
      <c r="F5173" t="s">
        <v>581</v>
      </c>
      <c r="G5173" t="s">
        <v>582</v>
      </c>
      <c r="H5173" t="s">
        <v>14905</v>
      </c>
      <c r="I5173">
        <v>8</v>
      </c>
      <c r="J5173">
        <v>8</v>
      </c>
      <c r="K5173">
        <v>0</v>
      </c>
      <c r="L5173">
        <v>0</v>
      </c>
      <c r="M5173">
        <v>0</v>
      </c>
      <c r="N5173">
        <v>0</v>
      </c>
      <c r="O5173">
        <v>0</v>
      </c>
    </row>
    <row r="5174" spans="1:15" x14ac:dyDescent="0.25">
      <c r="A5174" t="s">
        <v>1126</v>
      </c>
      <c r="B5174" t="s">
        <v>2130</v>
      </c>
      <c r="C5174" t="s">
        <v>927</v>
      </c>
      <c r="D5174" t="s">
        <v>3052</v>
      </c>
      <c r="E5174" t="s">
        <v>3053</v>
      </c>
      <c r="F5174" t="s">
        <v>581</v>
      </c>
      <c r="G5174" t="s">
        <v>582</v>
      </c>
      <c r="H5174" t="s">
        <v>14906</v>
      </c>
      <c r="I5174">
        <v>7</v>
      </c>
      <c r="J5174">
        <v>5</v>
      </c>
      <c r="K5174">
        <v>0</v>
      </c>
      <c r="L5174">
        <v>0</v>
      </c>
      <c r="M5174">
        <v>0</v>
      </c>
      <c r="N5174">
        <v>0</v>
      </c>
      <c r="O5174">
        <v>2</v>
      </c>
    </row>
    <row r="5175" spans="1:15" x14ac:dyDescent="0.25">
      <c r="A5175" t="s">
        <v>1026</v>
      </c>
      <c r="B5175" t="s">
        <v>2848</v>
      </c>
      <c r="C5175" t="s">
        <v>927</v>
      </c>
      <c r="D5175" t="s">
        <v>3052</v>
      </c>
      <c r="E5175" t="s">
        <v>3053</v>
      </c>
      <c r="F5175" t="s">
        <v>581</v>
      </c>
      <c r="G5175" t="s">
        <v>582</v>
      </c>
      <c r="H5175" t="s">
        <v>6552</v>
      </c>
      <c r="I5175">
        <v>95</v>
      </c>
      <c r="J5175">
        <v>95</v>
      </c>
      <c r="K5175">
        <v>0</v>
      </c>
      <c r="L5175">
        <v>0</v>
      </c>
      <c r="M5175">
        <v>0</v>
      </c>
      <c r="N5175">
        <v>0</v>
      </c>
      <c r="O5175">
        <v>0</v>
      </c>
    </row>
    <row r="5176" spans="1:15" x14ac:dyDescent="0.25">
      <c r="A5176" t="s">
        <v>10681</v>
      </c>
      <c r="B5176" t="s">
        <v>10680</v>
      </c>
      <c r="C5176" t="s">
        <v>927</v>
      </c>
      <c r="D5176" t="s">
        <v>3052</v>
      </c>
      <c r="E5176" t="s">
        <v>3053</v>
      </c>
      <c r="F5176" t="s">
        <v>581</v>
      </c>
      <c r="G5176" t="s">
        <v>582</v>
      </c>
      <c r="H5176" t="s">
        <v>14907</v>
      </c>
      <c r="I5176">
        <v>22</v>
      </c>
      <c r="J5176">
        <v>0</v>
      </c>
      <c r="K5176">
        <v>0</v>
      </c>
      <c r="L5176">
        <v>0</v>
      </c>
      <c r="M5176">
        <v>0</v>
      </c>
      <c r="N5176">
        <v>0</v>
      </c>
      <c r="O5176">
        <v>22</v>
      </c>
    </row>
    <row r="5177" spans="1:15" x14ac:dyDescent="0.25">
      <c r="A5177" t="s">
        <v>943</v>
      </c>
      <c r="B5177" t="s">
        <v>2694</v>
      </c>
      <c r="C5177" t="s">
        <v>927</v>
      </c>
      <c r="D5177" t="s">
        <v>3052</v>
      </c>
      <c r="E5177" t="s">
        <v>3053</v>
      </c>
      <c r="F5177" t="s">
        <v>581</v>
      </c>
      <c r="G5177" t="s">
        <v>582</v>
      </c>
      <c r="H5177" t="s">
        <v>6553</v>
      </c>
      <c r="I5177">
        <v>134</v>
      </c>
      <c r="J5177">
        <v>110</v>
      </c>
      <c r="K5177">
        <v>0</v>
      </c>
      <c r="L5177">
        <v>22</v>
      </c>
      <c r="M5177">
        <v>0</v>
      </c>
      <c r="N5177">
        <v>0</v>
      </c>
      <c r="O5177">
        <v>2</v>
      </c>
    </row>
    <row r="5178" spans="1:15" x14ac:dyDescent="0.25">
      <c r="A5178" t="s">
        <v>1038</v>
      </c>
      <c r="B5178" t="s">
        <v>2068</v>
      </c>
      <c r="C5178" t="s">
        <v>927</v>
      </c>
      <c r="D5178" t="s">
        <v>3052</v>
      </c>
      <c r="E5178" t="s">
        <v>3053</v>
      </c>
      <c r="F5178" t="s">
        <v>581</v>
      </c>
      <c r="G5178" t="s">
        <v>582</v>
      </c>
      <c r="H5178" t="s">
        <v>6554</v>
      </c>
      <c r="I5178">
        <v>207</v>
      </c>
      <c r="J5178">
        <v>181</v>
      </c>
      <c r="K5178">
        <v>0</v>
      </c>
      <c r="L5178">
        <v>19</v>
      </c>
      <c r="M5178">
        <v>0</v>
      </c>
      <c r="N5178">
        <v>0</v>
      </c>
      <c r="O5178">
        <v>7</v>
      </c>
    </row>
    <row r="5179" spans="1:15" x14ac:dyDescent="0.25">
      <c r="A5179" t="s">
        <v>1039</v>
      </c>
      <c r="B5179" t="s">
        <v>2885</v>
      </c>
      <c r="C5179" t="s">
        <v>927</v>
      </c>
      <c r="D5179" t="s">
        <v>3052</v>
      </c>
      <c r="E5179" t="s">
        <v>3053</v>
      </c>
      <c r="F5179" t="s">
        <v>581</v>
      </c>
      <c r="G5179" t="s">
        <v>582</v>
      </c>
      <c r="H5179" t="s">
        <v>14908</v>
      </c>
      <c r="I5179">
        <v>28</v>
      </c>
      <c r="J5179">
        <v>28</v>
      </c>
      <c r="K5179">
        <v>0</v>
      </c>
      <c r="L5179">
        <v>0</v>
      </c>
      <c r="M5179">
        <v>0</v>
      </c>
      <c r="N5179">
        <v>0</v>
      </c>
      <c r="O5179">
        <v>0</v>
      </c>
    </row>
    <row r="5180" spans="1:15" x14ac:dyDescent="0.25">
      <c r="A5180" t="s">
        <v>1043</v>
      </c>
      <c r="B5180" t="s">
        <v>2090</v>
      </c>
      <c r="C5180" t="s">
        <v>927</v>
      </c>
      <c r="D5180" t="s">
        <v>3052</v>
      </c>
      <c r="E5180" t="s">
        <v>3053</v>
      </c>
      <c r="F5180" t="s">
        <v>581</v>
      </c>
      <c r="G5180" t="s">
        <v>582</v>
      </c>
      <c r="H5180" t="s">
        <v>6555</v>
      </c>
      <c r="I5180">
        <v>740</v>
      </c>
      <c r="J5180">
        <v>666</v>
      </c>
      <c r="K5180">
        <v>0</v>
      </c>
      <c r="L5180">
        <v>7</v>
      </c>
      <c r="M5180">
        <v>53</v>
      </c>
      <c r="N5180">
        <v>0</v>
      </c>
      <c r="O5180">
        <v>14</v>
      </c>
    </row>
    <row r="5181" spans="1:15" x14ac:dyDescent="0.25">
      <c r="A5181" t="s">
        <v>951</v>
      </c>
      <c r="B5181" t="s">
        <v>2680</v>
      </c>
      <c r="C5181" t="s">
        <v>927</v>
      </c>
      <c r="D5181" t="s">
        <v>3052</v>
      </c>
      <c r="E5181" t="s">
        <v>3053</v>
      </c>
      <c r="F5181" t="s">
        <v>581</v>
      </c>
      <c r="G5181" t="s">
        <v>582</v>
      </c>
      <c r="H5181" t="s">
        <v>6556</v>
      </c>
      <c r="I5181">
        <v>276</v>
      </c>
      <c r="J5181">
        <v>225</v>
      </c>
      <c r="K5181">
        <v>0</v>
      </c>
      <c r="L5181">
        <v>24</v>
      </c>
      <c r="M5181">
        <v>0</v>
      </c>
      <c r="N5181">
        <v>1</v>
      </c>
      <c r="O5181">
        <v>27</v>
      </c>
    </row>
    <row r="5182" spans="1:15" x14ac:dyDescent="0.25">
      <c r="A5182" t="s">
        <v>1048</v>
      </c>
      <c r="B5182" t="s">
        <v>2989</v>
      </c>
      <c r="C5182" t="s">
        <v>927</v>
      </c>
      <c r="D5182" t="s">
        <v>3052</v>
      </c>
      <c r="E5182" t="s">
        <v>3053</v>
      </c>
      <c r="F5182" t="s">
        <v>581</v>
      </c>
      <c r="G5182" t="s">
        <v>582</v>
      </c>
      <c r="H5182" t="s">
        <v>12188</v>
      </c>
      <c r="I5182">
        <v>116</v>
      </c>
      <c r="J5182">
        <v>110</v>
      </c>
      <c r="K5182">
        <v>0</v>
      </c>
      <c r="L5182">
        <v>0</v>
      </c>
      <c r="M5182">
        <v>4</v>
      </c>
      <c r="N5182">
        <v>0</v>
      </c>
      <c r="O5182">
        <v>2</v>
      </c>
    </row>
    <row r="5183" spans="1:15" x14ac:dyDescent="0.25">
      <c r="A5183" t="s">
        <v>1051</v>
      </c>
      <c r="B5183" t="s">
        <v>2995</v>
      </c>
      <c r="C5183" t="s">
        <v>927</v>
      </c>
      <c r="D5183" t="s">
        <v>3052</v>
      </c>
      <c r="E5183" t="s">
        <v>3053</v>
      </c>
      <c r="F5183" t="s">
        <v>581</v>
      </c>
      <c r="G5183" t="s">
        <v>582</v>
      </c>
      <c r="H5183" t="s">
        <v>6557</v>
      </c>
      <c r="I5183">
        <v>69</v>
      </c>
      <c r="J5183">
        <v>0</v>
      </c>
      <c r="K5183">
        <v>0</v>
      </c>
      <c r="L5183">
        <v>69</v>
      </c>
      <c r="M5183">
        <v>0</v>
      </c>
      <c r="N5183">
        <v>0</v>
      </c>
      <c r="O5183">
        <v>0</v>
      </c>
    </row>
    <row r="5184" spans="1:15" x14ac:dyDescent="0.25">
      <c r="A5184" t="s">
        <v>953</v>
      </c>
      <c r="B5184" t="s">
        <v>2014</v>
      </c>
      <c r="C5184" t="s">
        <v>927</v>
      </c>
      <c r="D5184" t="s">
        <v>3052</v>
      </c>
      <c r="E5184" t="s">
        <v>3053</v>
      </c>
      <c r="F5184" t="s">
        <v>581</v>
      </c>
      <c r="G5184" t="s">
        <v>582</v>
      </c>
      <c r="H5184" t="s">
        <v>6558</v>
      </c>
      <c r="I5184">
        <v>5</v>
      </c>
      <c r="J5184">
        <v>0</v>
      </c>
      <c r="K5184">
        <v>0</v>
      </c>
      <c r="L5184">
        <v>5</v>
      </c>
      <c r="M5184">
        <v>0</v>
      </c>
      <c r="N5184">
        <v>0</v>
      </c>
      <c r="O5184">
        <v>0</v>
      </c>
    </row>
    <row r="5185" spans="1:15" x14ac:dyDescent="0.25">
      <c r="A5185" t="s">
        <v>955</v>
      </c>
      <c r="B5185" t="s">
        <v>2660</v>
      </c>
      <c r="C5185" t="s">
        <v>927</v>
      </c>
      <c r="D5185" t="s">
        <v>3052</v>
      </c>
      <c r="E5185" t="s">
        <v>3053</v>
      </c>
      <c r="F5185" t="s">
        <v>581</v>
      </c>
      <c r="G5185" t="s">
        <v>582</v>
      </c>
      <c r="H5185" t="s">
        <v>6559</v>
      </c>
      <c r="I5185">
        <v>63</v>
      </c>
      <c r="J5185">
        <v>63</v>
      </c>
      <c r="K5185">
        <v>0</v>
      </c>
      <c r="L5185">
        <v>0</v>
      </c>
      <c r="M5185">
        <v>0</v>
      </c>
      <c r="N5185">
        <v>1</v>
      </c>
      <c r="O5185">
        <v>0</v>
      </c>
    </row>
    <row r="5186" spans="1:15" x14ac:dyDescent="0.25">
      <c r="A5186" t="s">
        <v>1060</v>
      </c>
      <c r="B5186" t="s">
        <v>2651</v>
      </c>
      <c r="C5186" t="s">
        <v>927</v>
      </c>
      <c r="D5186" t="s">
        <v>3052</v>
      </c>
      <c r="E5186" t="s">
        <v>3053</v>
      </c>
      <c r="F5186" t="s">
        <v>581</v>
      </c>
      <c r="G5186" t="s">
        <v>582</v>
      </c>
      <c r="H5186" t="s">
        <v>6560</v>
      </c>
      <c r="I5186">
        <v>4</v>
      </c>
      <c r="J5186">
        <v>4</v>
      </c>
      <c r="K5186">
        <v>0</v>
      </c>
      <c r="L5186">
        <v>0</v>
      </c>
      <c r="M5186">
        <v>0</v>
      </c>
      <c r="N5186">
        <v>0</v>
      </c>
      <c r="O5186">
        <v>0</v>
      </c>
    </row>
    <row r="5187" spans="1:15" x14ac:dyDescent="0.25">
      <c r="A5187" t="s">
        <v>1068</v>
      </c>
      <c r="B5187" t="s">
        <v>2081</v>
      </c>
      <c r="C5187" t="s">
        <v>923</v>
      </c>
      <c r="D5187" t="s">
        <v>3063</v>
      </c>
      <c r="E5187" t="s">
        <v>3053</v>
      </c>
      <c r="F5187" t="s">
        <v>581</v>
      </c>
      <c r="G5187" t="s">
        <v>582</v>
      </c>
      <c r="H5187" t="s">
        <v>11136</v>
      </c>
      <c r="I5187">
        <v>6</v>
      </c>
      <c r="J5187">
        <v>0</v>
      </c>
      <c r="K5187">
        <v>0</v>
      </c>
      <c r="L5187">
        <v>6</v>
      </c>
      <c r="M5187">
        <v>0</v>
      </c>
      <c r="N5187">
        <v>0</v>
      </c>
      <c r="O5187">
        <v>0</v>
      </c>
    </row>
    <row r="5188" spans="1:15" x14ac:dyDescent="0.25">
      <c r="A5188" t="s">
        <v>1079</v>
      </c>
      <c r="B5188" t="s">
        <v>2810</v>
      </c>
      <c r="C5188" t="s">
        <v>927</v>
      </c>
      <c r="D5188" t="s">
        <v>3052</v>
      </c>
      <c r="E5188" t="s">
        <v>3053</v>
      </c>
      <c r="F5188" t="s">
        <v>581</v>
      </c>
      <c r="G5188" t="s">
        <v>582</v>
      </c>
      <c r="H5188" t="s">
        <v>6561</v>
      </c>
      <c r="I5188">
        <v>92</v>
      </c>
      <c r="J5188">
        <v>76</v>
      </c>
      <c r="K5188">
        <v>0</v>
      </c>
      <c r="L5188">
        <v>0</v>
      </c>
      <c r="M5188">
        <v>0</v>
      </c>
      <c r="N5188">
        <v>0</v>
      </c>
      <c r="O5188">
        <v>16</v>
      </c>
    </row>
    <row r="5189" spans="1:15" x14ac:dyDescent="0.25">
      <c r="A5189" t="s">
        <v>10787</v>
      </c>
      <c r="B5189" t="s">
        <v>2599</v>
      </c>
      <c r="C5189" t="s">
        <v>923</v>
      </c>
      <c r="D5189" t="s">
        <v>3063</v>
      </c>
      <c r="E5189" t="s">
        <v>3053</v>
      </c>
      <c r="F5189" t="s">
        <v>581</v>
      </c>
      <c r="G5189" t="s">
        <v>582</v>
      </c>
      <c r="H5189" t="s">
        <v>11137</v>
      </c>
      <c r="I5189">
        <v>30</v>
      </c>
      <c r="J5189">
        <v>0</v>
      </c>
      <c r="K5189">
        <v>0</v>
      </c>
      <c r="L5189">
        <v>30</v>
      </c>
      <c r="M5189">
        <v>0</v>
      </c>
      <c r="N5189">
        <v>0</v>
      </c>
      <c r="O5189">
        <v>0</v>
      </c>
    </row>
    <row r="5190" spans="1:15" x14ac:dyDescent="0.25">
      <c r="A5190" t="s">
        <v>926</v>
      </c>
      <c r="B5190" t="s">
        <v>2923</v>
      </c>
      <c r="C5190" t="s">
        <v>927</v>
      </c>
      <c r="D5190" t="s">
        <v>3052</v>
      </c>
      <c r="E5190" t="s">
        <v>3053</v>
      </c>
      <c r="F5190" t="s">
        <v>583</v>
      </c>
      <c r="G5190" t="s">
        <v>584</v>
      </c>
      <c r="H5190" t="s">
        <v>6562</v>
      </c>
      <c r="I5190">
        <v>7</v>
      </c>
      <c r="J5190">
        <v>0</v>
      </c>
      <c r="K5190">
        <v>0</v>
      </c>
      <c r="L5190">
        <v>5</v>
      </c>
      <c r="M5190">
        <v>0</v>
      </c>
      <c r="N5190">
        <v>0</v>
      </c>
      <c r="O5190">
        <v>2</v>
      </c>
    </row>
    <row r="5191" spans="1:15" x14ac:dyDescent="0.25">
      <c r="A5191" t="s">
        <v>929</v>
      </c>
      <c r="B5191" t="s">
        <v>2999</v>
      </c>
      <c r="C5191" t="s">
        <v>927</v>
      </c>
      <c r="D5191" t="s">
        <v>3052</v>
      </c>
      <c r="E5191" t="s">
        <v>3053</v>
      </c>
      <c r="F5191" t="s">
        <v>583</v>
      </c>
      <c r="G5191" t="s">
        <v>584</v>
      </c>
      <c r="H5191" t="s">
        <v>6563</v>
      </c>
      <c r="I5191">
        <v>209</v>
      </c>
      <c r="J5191">
        <v>0</v>
      </c>
      <c r="K5191">
        <v>0</v>
      </c>
      <c r="L5191">
        <v>0</v>
      </c>
      <c r="M5191">
        <v>171</v>
      </c>
      <c r="N5191">
        <v>0</v>
      </c>
      <c r="O5191">
        <v>38</v>
      </c>
    </row>
    <row r="5192" spans="1:15" x14ac:dyDescent="0.25">
      <c r="A5192" t="s">
        <v>1572</v>
      </c>
      <c r="B5192" t="s">
        <v>1997</v>
      </c>
      <c r="C5192" t="s">
        <v>923</v>
      </c>
      <c r="D5192" t="s">
        <v>3063</v>
      </c>
      <c r="E5192" t="s">
        <v>3053</v>
      </c>
      <c r="F5192" t="s">
        <v>583</v>
      </c>
      <c r="G5192" t="s">
        <v>584</v>
      </c>
      <c r="H5192" t="s">
        <v>6564</v>
      </c>
      <c r="I5192">
        <v>102</v>
      </c>
      <c r="J5192">
        <v>0</v>
      </c>
      <c r="K5192">
        <v>0</v>
      </c>
      <c r="L5192">
        <v>102</v>
      </c>
      <c r="M5192">
        <v>0</v>
      </c>
      <c r="N5192">
        <v>0</v>
      </c>
      <c r="O5192">
        <v>0</v>
      </c>
    </row>
    <row r="5193" spans="1:15" x14ac:dyDescent="0.25">
      <c r="A5193" t="s">
        <v>933</v>
      </c>
      <c r="B5193" t="s">
        <v>2106</v>
      </c>
      <c r="C5193" t="s">
        <v>927</v>
      </c>
      <c r="D5193" t="s">
        <v>3052</v>
      </c>
      <c r="E5193" t="s">
        <v>3053</v>
      </c>
      <c r="F5193" t="s">
        <v>583</v>
      </c>
      <c r="G5193" t="s">
        <v>584</v>
      </c>
      <c r="H5193" t="s">
        <v>6565</v>
      </c>
      <c r="I5193">
        <v>256</v>
      </c>
      <c r="J5193">
        <v>197</v>
      </c>
      <c r="K5193">
        <v>0</v>
      </c>
      <c r="L5193">
        <v>0</v>
      </c>
      <c r="M5193">
        <v>0</v>
      </c>
      <c r="N5193">
        <v>0</v>
      </c>
      <c r="O5193">
        <v>59</v>
      </c>
    </row>
    <row r="5194" spans="1:15" x14ac:dyDescent="0.25">
      <c r="A5194" t="s">
        <v>1594</v>
      </c>
      <c r="B5194" t="s">
        <v>2518</v>
      </c>
      <c r="C5194" t="s">
        <v>923</v>
      </c>
      <c r="D5194" t="s">
        <v>3063</v>
      </c>
      <c r="E5194" t="s">
        <v>3053</v>
      </c>
      <c r="F5194" t="s">
        <v>583</v>
      </c>
      <c r="G5194" t="s">
        <v>584</v>
      </c>
      <c r="H5194" t="s">
        <v>6566</v>
      </c>
      <c r="I5194">
        <v>29</v>
      </c>
      <c r="J5194">
        <v>29</v>
      </c>
      <c r="K5194">
        <v>0</v>
      </c>
      <c r="L5194">
        <v>0</v>
      </c>
      <c r="M5194">
        <v>0</v>
      </c>
      <c r="N5194">
        <v>0</v>
      </c>
      <c r="O5194">
        <v>0</v>
      </c>
    </row>
    <row r="5195" spans="1:15" x14ac:dyDescent="0.25">
      <c r="A5195" t="s">
        <v>1249</v>
      </c>
      <c r="B5195" t="s">
        <v>3029</v>
      </c>
      <c r="C5195" t="s">
        <v>927</v>
      </c>
      <c r="D5195" t="s">
        <v>3052</v>
      </c>
      <c r="E5195" t="s">
        <v>3053</v>
      </c>
      <c r="F5195" t="s">
        <v>583</v>
      </c>
      <c r="G5195" t="s">
        <v>584</v>
      </c>
      <c r="H5195" t="s">
        <v>6567</v>
      </c>
      <c r="I5195">
        <v>182</v>
      </c>
      <c r="J5195">
        <v>135</v>
      </c>
      <c r="K5195">
        <v>0</v>
      </c>
      <c r="L5195">
        <v>0</v>
      </c>
      <c r="M5195">
        <v>0</v>
      </c>
      <c r="N5195">
        <v>0</v>
      </c>
      <c r="O5195">
        <v>47</v>
      </c>
    </row>
    <row r="5196" spans="1:15" x14ac:dyDescent="0.25">
      <c r="A5196" t="s">
        <v>1008</v>
      </c>
      <c r="B5196" t="s">
        <v>2928</v>
      </c>
      <c r="C5196" t="s">
        <v>927</v>
      </c>
      <c r="D5196" t="s">
        <v>3052</v>
      </c>
      <c r="E5196" t="s">
        <v>3053</v>
      </c>
      <c r="F5196" t="s">
        <v>583</v>
      </c>
      <c r="G5196" t="s">
        <v>584</v>
      </c>
      <c r="H5196" t="s">
        <v>6568</v>
      </c>
      <c r="I5196">
        <v>75</v>
      </c>
      <c r="J5196">
        <v>51</v>
      </c>
      <c r="K5196">
        <v>0</v>
      </c>
      <c r="L5196">
        <v>3</v>
      </c>
      <c r="M5196">
        <v>21</v>
      </c>
      <c r="N5196">
        <v>1</v>
      </c>
      <c r="O5196">
        <v>0</v>
      </c>
    </row>
    <row r="5197" spans="1:15" x14ac:dyDescent="0.25">
      <c r="A5197" t="s">
        <v>10651</v>
      </c>
      <c r="B5197" t="s">
        <v>1941</v>
      </c>
      <c r="C5197" t="s">
        <v>927</v>
      </c>
      <c r="D5197" t="s">
        <v>3052</v>
      </c>
      <c r="E5197" t="s">
        <v>3053</v>
      </c>
      <c r="F5197" t="s">
        <v>583</v>
      </c>
      <c r="G5197" t="s">
        <v>584</v>
      </c>
      <c r="H5197" t="s">
        <v>11138</v>
      </c>
      <c r="I5197">
        <v>595</v>
      </c>
      <c r="J5197">
        <v>379</v>
      </c>
      <c r="K5197">
        <v>0</v>
      </c>
      <c r="L5197">
        <v>36</v>
      </c>
      <c r="M5197">
        <v>54</v>
      </c>
      <c r="N5197">
        <v>0</v>
      </c>
      <c r="O5197">
        <v>126</v>
      </c>
    </row>
    <row r="5198" spans="1:15" x14ac:dyDescent="0.25">
      <c r="A5198" t="s">
        <v>937</v>
      </c>
      <c r="B5198" t="s">
        <v>1962</v>
      </c>
      <c r="C5198" t="s">
        <v>927</v>
      </c>
      <c r="D5198" t="s">
        <v>3052</v>
      </c>
      <c r="E5198" t="s">
        <v>3053</v>
      </c>
      <c r="F5198" t="s">
        <v>583</v>
      </c>
      <c r="G5198" t="s">
        <v>584</v>
      </c>
      <c r="H5198" t="s">
        <v>6569</v>
      </c>
      <c r="I5198">
        <v>5</v>
      </c>
      <c r="J5198">
        <v>0</v>
      </c>
      <c r="K5198">
        <v>0</v>
      </c>
      <c r="L5198">
        <v>0</v>
      </c>
      <c r="M5198">
        <v>0</v>
      </c>
      <c r="N5198">
        <v>0</v>
      </c>
      <c r="O5198">
        <v>5</v>
      </c>
    </row>
    <row r="5199" spans="1:15" x14ac:dyDescent="0.25">
      <c r="A5199" t="s">
        <v>938</v>
      </c>
      <c r="B5199" t="s">
        <v>2791</v>
      </c>
      <c r="C5199" t="s">
        <v>927</v>
      </c>
      <c r="D5199" t="s">
        <v>3052</v>
      </c>
      <c r="E5199" t="s">
        <v>3053</v>
      </c>
      <c r="F5199" t="s">
        <v>583</v>
      </c>
      <c r="G5199" t="s">
        <v>584</v>
      </c>
      <c r="H5199" t="s">
        <v>6570</v>
      </c>
      <c r="I5199">
        <v>17</v>
      </c>
      <c r="J5199">
        <v>0</v>
      </c>
      <c r="K5199">
        <v>0</v>
      </c>
      <c r="L5199">
        <v>4</v>
      </c>
      <c r="M5199">
        <v>0</v>
      </c>
      <c r="N5199">
        <v>0</v>
      </c>
      <c r="O5199">
        <v>13</v>
      </c>
    </row>
    <row r="5200" spans="1:15" x14ac:dyDescent="0.25">
      <c r="A5200" t="s">
        <v>940</v>
      </c>
      <c r="B5200" t="s">
        <v>2647</v>
      </c>
      <c r="C5200" t="s">
        <v>927</v>
      </c>
      <c r="D5200" t="s">
        <v>3052</v>
      </c>
      <c r="E5200" t="s">
        <v>3053</v>
      </c>
      <c r="F5200" t="s">
        <v>583</v>
      </c>
      <c r="G5200" t="s">
        <v>584</v>
      </c>
      <c r="H5200" t="s">
        <v>6571</v>
      </c>
      <c r="I5200">
        <v>223</v>
      </c>
      <c r="J5200">
        <v>0</v>
      </c>
      <c r="K5200">
        <v>0</v>
      </c>
      <c r="L5200">
        <v>0</v>
      </c>
      <c r="M5200">
        <v>223</v>
      </c>
      <c r="N5200">
        <v>0</v>
      </c>
      <c r="O5200">
        <v>0</v>
      </c>
    </row>
    <row r="5201" spans="1:15" x14ac:dyDescent="0.25">
      <c r="A5201" t="s">
        <v>1012</v>
      </c>
      <c r="B5201" t="s">
        <v>2911</v>
      </c>
      <c r="C5201" t="s">
        <v>927</v>
      </c>
      <c r="D5201" t="s">
        <v>3052</v>
      </c>
      <c r="E5201" t="s">
        <v>3053</v>
      </c>
      <c r="F5201" t="s">
        <v>583</v>
      </c>
      <c r="G5201" t="s">
        <v>584</v>
      </c>
      <c r="H5201" t="s">
        <v>6572</v>
      </c>
      <c r="I5201">
        <v>551</v>
      </c>
      <c r="J5201">
        <v>393</v>
      </c>
      <c r="K5201">
        <v>0</v>
      </c>
      <c r="L5201">
        <v>26</v>
      </c>
      <c r="M5201">
        <v>0</v>
      </c>
      <c r="N5201">
        <v>5</v>
      </c>
      <c r="O5201">
        <v>132</v>
      </c>
    </row>
    <row r="5202" spans="1:15" x14ac:dyDescent="0.25">
      <c r="A5202" t="s">
        <v>1013</v>
      </c>
      <c r="B5202" t="s">
        <v>1959</v>
      </c>
      <c r="C5202" t="s">
        <v>927</v>
      </c>
      <c r="D5202" t="s">
        <v>3052</v>
      </c>
      <c r="E5202" t="s">
        <v>3053</v>
      </c>
      <c r="F5202" t="s">
        <v>583</v>
      </c>
      <c r="G5202" t="s">
        <v>584</v>
      </c>
      <c r="H5202" t="s">
        <v>6573</v>
      </c>
      <c r="I5202">
        <v>12</v>
      </c>
      <c r="J5202">
        <v>0</v>
      </c>
      <c r="K5202">
        <v>0</v>
      </c>
      <c r="L5202">
        <v>12</v>
      </c>
      <c r="M5202">
        <v>0</v>
      </c>
      <c r="N5202">
        <v>0</v>
      </c>
      <c r="O5202">
        <v>0</v>
      </c>
    </row>
    <row r="5203" spans="1:15" x14ac:dyDescent="0.25">
      <c r="A5203" t="s">
        <v>1018</v>
      </c>
      <c r="B5203" t="s">
        <v>1980</v>
      </c>
      <c r="C5203" t="s">
        <v>923</v>
      </c>
      <c r="D5203" t="s">
        <v>3063</v>
      </c>
      <c r="E5203" t="s">
        <v>3053</v>
      </c>
      <c r="F5203" t="s">
        <v>583</v>
      </c>
      <c r="G5203" t="s">
        <v>584</v>
      </c>
      <c r="H5203" t="s">
        <v>6574</v>
      </c>
      <c r="I5203">
        <v>49</v>
      </c>
      <c r="J5203">
        <v>0</v>
      </c>
      <c r="K5203">
        <v>0</v>
      </c>
      <c r="L5203">
        <v>49</v>
      </c>
      <c r="M5203">
        <v>0</v>
      </c>
      <c r="N5203">
        <v>0</v>
      </c>
      <c r="O5203">
        <v>0</v>
      </c>
    </row>
    <row r="5204" spans="1:15" x14ac:dyDescent="0.25">
      <c r="A5204" t="s">
        <v>1126</v>
      </c>
      <c r="B5204" t="s">
        <v>2130</v>
      </c>
      <c r="C5204" t="s">
        <v>927</v>
      </c>
      <c r="D5204" t="s">
        <v>3052</v>
      </c>
      <c r="E5204" t="s">
        <v>3053</v>
      </c>
      <c r="F5204" t="s">
        <v>583</v>
      </c>
      <c r="G5204" t="s">
        <v>584</v>
      </c>
      <c r="H5204" t="s">
        <v>14909</v>
      </c>
      <c r="I5204">
        <v>108</v>
      </c>
      <c r="J5204">
        <v>0</v>
      </c>
      <c r="K5204">
        <v>0</v>
      </c>
      <c r="L5204">
        <v>0</v>
      </c>
      <c r="M5204">
        <v>0</v>
      </c>
      <c r="N5204">
        <v>0</v>
      </c>
      <c r="O5204">
        <v>108</v>
      </c>
    </row>
    <row r="5205" spans="1:15" x14ac:dyDescent="0.25">
      <c r="A5205" t="s">
        <v>1025</v>
      </c>
      <c r="B5205" t="s">
        <v>2893</v>
      </c>
      <c r="C5205" t="s">
        <v>927</v>
      </c>
      <c r="D5205" t="s">
        <v>3052</v>
      </c>
      <c r="E5205" t="s">
        <v>3053</v>
      </c>
      <c r="F5205" t="s">
        <v>583</v>
      </c>
      <c r="G5205" t="s">
        <v>584</v>
      </c>
      <c r="H5205" t="s">
        <v>6575</v>
      </c>
      <c r="I5205">
        <v>753</v>
      </c>
      <c r="J5205">
        <v>586</v>
      </c>
      <c r="K5205">
        <v>0</v>
      </c>
      <c r="L5205">
        <v>0</v>
      </c>
      <c r="M5205">
        <v>38</v>
      </c>
      <c r="N5205">
        <v>21</v>
      </c>
      <c r="O5205">
        <v>129</v>
      </c>
    </row>
    <row r="5206" spans="1:15" x14ac:dyDescent="0.25">
      <c r="A5206" t="s">
        <v>10681</v>
      </c>
      <c r="B5206" t="s">
        <v>10680</v>
      </c>
      <c r="C5206" t="s">
        <v>927</v>
      </c>
      <c r="D5206" t="s">
        <v>3052</v>
      </c>
      <c r="E5206" t="s">
        <v>3053</v>
      </c>
      <c r="F5206" t="s">
        <v>583</v>
      </c>
      <c r="G5206" t="s">
        <v>584</v>
      </c>
      <c r="H5206" t="s">
        <v>14910</v>
      </c>
      <c r="I5206">
        <v>57</v>
      </c>
      <c r="J5206">
        <v>0</v>
      </c>
      <c r="K5206">
        <v>0</v>
      </c>
      <c r="L5206">
        <v>0</v>
      </c>
      <c r="M5206">
        <v>0</v>
      </c>
      <c r="N5206">
        <v>0</v>
      </c>
      <c r="O5206">
        <v>57</v>
      </c>
    </row>
    <row r="5207" spans="1:15" x14ac:dyDescent="0.25">
      <c r="A5207" t="s">
        <v>945</v>
      </c>
      <c r="B5207" t="s">
        <v>2668</v>
      </c>
      <c r="C5207" t="s">
        <v>927</v>
      </c>
      <c r="D5207" t="s">
        <v>3052</v>
      </c>
      <c r="E5207" t="s">
        <v>3053</v>
      </c>
      <c r="F5207" t="s">
        <v>583</v>
      </c>
      <c r="G5207" t="s">
        <v>584</v>
      </c>
      <c r="H5207" t="s">
        <v>6576</v>
      </c>
      <c r="I5207">
        <v>1180</v>
      </c>
      <c r="J5207">
        <v>705</v>
      </c>
      <c r="K5207">
        <v>0</v>
      </c>
      <c r="L5207">
        <v>13</v>
      </c>
      <c r="M5207">
        <v>72</v>
      </c>
      <c r="N5207">
        <v>0</v>
      </c>
      <c r="O5207">
        <v>390</v>
      </c>
    </row>
    <row r="5208" spans="1:15" x14ac:dyDescent="0.25">
      <c r="A5208" t="s">
        <v>949</v>
      </c>
      <c r="B5208" t="s">
        <v>3035</v>
      </c>
      <c r="C5208" t="s">
        <v>927</v>
      </c>
      <c r="D5208" t="s">
        <v>3052</v>
      </c>
      <c r="E5208" t="s">
        <v>3053</v>
      </c>
      <c r="F5208" t="s">
        <v>583</v>
      </c>
      <c r="G5208" t="s">
        <v>584</v>
      </c>
      <c r="H5208" t="s">
        <v>6577</v>
      </c>
      <c r="I5208">
        <v>1</v>
      </c>
      <c r="J5208">
        <v>0</v>
      </c>
      <c r="K5208">
        <v>0</v>
      </c>
      <c r="L5208">
        <v>0</v>
      </c>
      <c r="M5208">
        <v>0</v>
      </c>
      <c r="N5208">
        <v>0</v>
      </c>
      <c r="O5208">
        <v>1</v>
      </c>
    </row>
    <row r="5209" spans="1:15" x14ac:dyDescent="0.25">
      <c r="A5209" t="s">
        <v>1135</v>
      </c>
      <c r="B5209" t="s">
        <v>1996</v>
      </c>
      <c r="C5209" t="s">
        <v>923</v>
      </c>
      <c r="D5209" t="s">
        <v>3063</v>
      </c>
      <c r="E5209" t="s">
        <v>3053</v>
      </c>
      <c r="F5209" t="s">
        <v>583</v>
      </c>
      <c r="G5209" t="s">
        <v>584</v>
      </c>
      <c r="H5209" t="s">
        <v>10221</v>
      </c>
      <c r="I5209">
        <v>2</v>
      </c>
      <c r="J5209">
        <v>2</v>
      </c>
      <c r="K5209">
        <v>0</v>
      </c>
      <c r="L5209">
        <v>0</v>
      </c>
      <c r="M5209">
        <v>0</v>
      </c>
      <c r="N5209">
        <v>0</v>
      </c>
      <c r="O5209">
        <v>0</v>
      </c>
    </row>
    <row r="5210" spans="1:15" x14ac:dyDescent="0.25">
      <c r="A5210" t="s">
        <v>1041</v>
      </c>
      <c r="B5210" t="s">
        <v>2826</v>
      </c>
      <c r="C5210" t="s">
        <v>927</v>
      </c>
      <c r="D5210" t="s">
        <v>3052</v>
      </c>
      <c r="E5210" t="s">
        <v>3053</v>
      </c>
      <c r="F5210" t="s">
        <v>583</v>
      </c>
      <c r="G5210" t="s">
        <v>584</v>
      </c>
      <c r="H5210" t="s">
        <v>6578</v>
      </c>
      <c r="I5210">
        <v>295</v>
      </c>
      <c r="J5210">
        <v>0</v>
      </c>
      <c r="K5210">
        <v>0</v>
      </c>
      <c r="L5210">
        <v>0</v>
      </c>
      <c r="M5210">
        <v>0</v>
      </c>
      <c r="N5210">
        <v>0</v>
      </c>
      <c r="O5210">
        <v>295</v>
      </c>
    </row>
    <row r="5211" spans="1:15" x14ac:dyDescent="0.25">
      <c r="A5211" t="s">
        <v>9787</v>
      </c>
      <c r="B5211" t="s">
        <v>2822</v>
      </c>
      <c r="C5211" t="s">
        <v>927</v>
      </c>
      <c r="D5211" t="s">
        <v>3052</v>
      </c>
      <c r="E5211" t="s">
        <v>3053</v>
      </c>
      <c r="F5211" t="s">
        <v>583</v>
      </c>
      <c r="G5211" t="s">
        <v>584</v>
      </c>
      <c r="H5211" t="s">
        <v>10265</v>
      </c>
      <c r="I5211">
        <v>724</v>
      </c>
      <c r="J5211">
        <v>630</v>
      </c>
      <c r="K5211">
        <v>0</v>
      </c>
      <c r="L5211">
        <v>12</v>
      </c>
      <c r="M5211">
        <v>82</v>
      </c>
      <c r="N5211">
        <v>3</v>
      </c>
      <c r="O5211">
        <v>0</v>
      </c>
    </row>
    <row r="5212" spans="1:15" x14ac:dyDescent="0.25">
      <c r="A5212" t="s">
        <v>951</v>
      </c>
      <c r="B5212" t="s">
        <v>2680</v>
      </c>
      <c r="C5212" t="s">
        <v>927</v>
      </c>
      <c r="D5212" t="s">
        <v>3052</v>
      </c>
      <c r="E5212" t="s">
        <v>3053</v>
      </c>
      <c r="F5212" t="s">
        <v>583</v>
      </c>
      <c r="G5212" t="s">
        <v>584</v>
      </c>
      <c r="H5212" t="s">
        <v>6579</v>
      </c>
      <c r="I5212">
        <v>2</v>
      </c>
      <c r="J5212">
        <v>2</v>
      </c>
      <c r="K5212">
        <v>0</v>
      </c>
      <c r="L5212">
        <v>0</v>
      </c>
      <c r="M5212">
        <v>0</v>
      </c>
      <c r="N5212">
        <v>0</v>
      </c>
      <c r="O5212">
        <v>0</v>
      </c>
    </row>
    <row r="5213" spans="1:15" x14ac:dyDescent="0.25">
      <c r="A5213" t="s">
        <v>953</v>
      </c>
      <c r="B5213" t="s">
        <v>2014</v>
      </c>
      <c r="C5213" t="s">
        <v>927</v>
      </c>
      <c r="D5213" t="s">
        <v>3052</v>
      </c>
      <c r="E5213" t="s">
        <v>3053</v>
      </c>
      <c r="F5213" t="s">
        <v>583</v>
      </c>
      <c r="G5213" t="s">
        <v>584</v>
      </c>
      <c r="H5213" t="s">
        <v>6580</v>
      </c>
      <c r="I5213">
        <v>20</v>
      </c>
      <c r="J5213">
        <v>0</v>
      </c>
      <c r="K5213">
        <v>0</v>
      </c>
      <c r="L5213">
        <v>20</v>
      </c>
      <c r="M5213">
        <v>0</v>
      </c>
      <c r="N5213">
        <v>0</v>
      </c>
      <c r="O5213">
        <v>0</v>
      </c>
    </row>
    <row r="5214" spans="1:15" x14ac:dyDescent="0.25">
      <c r="A5214" t="s">
        <v>11720</v>
      </c>
      <c r="B5214" t="s">
        <v>10718</v>
      </c>
      <c r="C5214" t="s">
        <v>927</v>
      </c>
      <c r="D5214" t="s">
        <v>3052</v>
      </c>
      <c r="E5214" t="s">
        <v>3053</v>
      </c>
      <c r="F5214" t="s">
        <v>583</v>
      </c>
      <c r="G5214" t="s">
        <v>584</v>
      </c>
      <c r="H5214" t="s">
        <v>14911</v>
      </c>
      <c r="I5214">
        <v>44</v>
      </c>
      <c r="J5214">
        <v>13</v>
      </c>
      <c r="K5214">
        <v>0</v>
      </c>
      <c r="L5214">
        <v>0</v>
      </c>
      <c r="M5214">
        <v>0</v>
      </c>
      <c r="N5214">
        <v>0</v>
      </c>
      <c r="O5214">
        <v>31</v>
      </c>
    </row>
    <row r="5215" spans="1:15" x14ac:dyDescent="0.25">
      <c r="A5215" t="s">
        <v>9788</v>
      </c>
      <c r="B5215" t="s">
        <v>9871</v>
      </c>
      <c r="C5215" t="s">
        <v>927</v>
      </c>
      <c r="D5215" t="s">
        <v>3052</v>
      </c>
      <c r="E5215" t="s">
        <v>3053</v>
      </c>
      <c r="F5215" t="s">
        <v>583</v>
      </c>
      <c r="G5215" t="s">
        <v>584</v>
      </c>
      <c r="H5215" t="s">
        <v>14912</v>
      </c>
      <c r="I5215">
        <v>36</v>
      </c>
      <c r="J5215">
        <v>36</v>
      </c>
      <c r="K5215">
        <v>0</v>
      </c>
      <c r="L5215">
        <v>0</v>
      </c>
      <c r="M5215">
        <v>0</v>
      </c>
      <c r="N5215">
        <v>0</v>
      </c>
      <c r="O5215">
        <v>0</v>
      </c>
    </row>
    <row r="5216" spans="1:15" x14ac:dyDescent="0.25">
      <c r="A5216" t="s">
        <v>955</v>
      </c>
      <c r="B5216" t="s">
        <v>2660</v>
      </c>
      <c r="C5216" t="s">
        <v>927</v>
      </c>
      <c r="D5216" t="s">
        <v>3052</v>
      </c>
      <c r="E5216" t="s">
        <v>3053</v>
      </c>
      <c r="F5216" t="s">
        <v>583</v>
      </c>
      <c r="G5216" t="s">
        <v>584</v>
      </c>
      <c r="H5216" t="s">
        <v>6581</v>
      </c>
      <c r="I5216">
        <v>131</v>
      </c>
      <c r="J5216">
        <v>101</v>
      </c>
      <c r="K5216">
        <v>0</v>
      </c>
      <c r="L5216">
        <v>9</v>
      </c>
      <c r="M5216">
        <v>21</v>
      </c>
      <c r="N5216">
        <v>0</v>
      </c>
      <c r="O5216">
        <v>0</v>
      </c>
    </row>
    <row r="5217" spans="1:15" x14ac:dyDescent="0.25">
      <c r="A5217" t="s">
        <v>11663</v>
      </c>
      <c r="B5217" t="s">
        <v>11768</v>
      </c>
      <c r="C5217" t="s">
        <v>927</v>
      </c>
      <c r="D5217" t="s">
        <v>3052</v>
      </c>
      <c r="E5217" t="s">
        <v>3053</v>
      </c>
      <c r="F5217" t="s">
        <v>583</v>
      </c>
      <c r="G5217" t="s">
        <v>584</v>
      </c>
      <c r="H5217" t="s">
        <v>12189</v>
      </c>
      <c r="I5217">
        <v>637</v>
      </c>
      <c r="J5217">
        <v>307</v>
      </c>
      <c r="K5217">
        <v>0</v>
      </c>
      <c r="L5217">
        <v>22</v>
      </c>
      <c r="M5217">
        <v>181</v>
      </c>
      <c r="N5217">
        <v>3</v>
      </c>
      <c r="O5217">
        <v>127</v>
      </c>
    </row>
    <row r="5218" spans="1:15" x14ac:dyDescent="0.25">
      <c r="A5218" t="s">
        <v>1072</v>
      </c>
      <c r="B5218" t="s">
        <v>2907</v>
      </c>
      <c r="C5218" t="s">
        <v>927</v>
      </c>
      <c r="D5218" t="s">
        <v>3052</v>
      </c>
      <c r="E5218" t="s">
        <v>3053</v>
      </c>
      <c r="F5218" t="s">
        <v>583</v>
      </c>
      <c r="G5218" t="s">
        <v>584</v>
      </c>
      <c r="H5218" t="s">
        <v>6582</v>
      </c>
      <c r="I5218">
        <v>184</v>
      </c>
      <c r="J5218">
        <v>111</v>
      </c>
      <c r="K5218">
        <v>0</v>
      </c>
      <c r="L5218">
        <v>57</v>
      </c>
      <c r="M5218">
        <v>12</v>
      </c>
      <c r="N5218">
        <v>0</v>
      </c>
      <c r="O5218">
        <v>4</v>
      </c>
    </row>
    <row r="5219" spans="1:15" x14ac:dyDescent="0.25">
      <c r="A5219" t="s">
        <v>1684</v>
      </c>
      <c r="B5219" t="s">
        <v>2845</v>
      </c>
      <c r="C5219" t="s">
        <v>927</v>
      </c>
      <c r="D5219" t="s">
        <v>3052</v>
      </c>
      <c r="E5219" t="s">
        <v>3053</v>
      </c>
      <c r="F5219" t="s">
        <v>583</v>
      </c>
      <c r="G5219" t="s">
        <v>584</v>
      </c>
      <c r="H5219" t="s">
        <v>6583</v>
      </c>
      <c r="I5219">
        <v>314</v>
      </c>
      <c r="J5219">
        <v>247</v>
      </c>
      <c r="K5219">
        <v>0</v>
      </c>
      <c r="L5219">
        <v>0</v>
      </c>
      <c r="M5219">
        <v>0</v>
      </c>
      <c r="N5219">
        <v>0</v>
      </c>
      <c r="O5219">
        <v>67</v>
      </c>
    </row>
    <row r="5220" spans="1:15" x14ac:dyDescent="0.25">
      <c r="A5220" t="s">
        <v>1691</v>
      </c>
      <c r="B5220" t="s">
        <v>2980</v>
      </c>
      <c r="C5220" t="s">
        <v>927</v>
      </c>
      <c r="D5220" t="s">
        <v>3052</v>
      </c>
      <c r="E5220" t="s">
        <v>3053</v>
      </c>
      <c r="F5220" t="s">
        <v>583</v>
      </c>
      <c r="G5220" t="s">
        <v>584</v>
      </c>
      <c r="H5220" t="s">
        <v>6584</v>
      </c>
      <c r="I5220">
        <v>508</v>
      </c>
      <c r="J5220">
        <v>303</v>
      </c>
      <c r="K5220">
        <v>0</v>
      </c>
      <c r="L5220">
        <v>0</v>
      </c>
      <c r="M5220">
        <v>62</v>
      </c>
      <c r="N5220">
        <v>0</v>
      </c>
      <c r="O5220">
        <v>143</v>
      </c>
    </row>
    <row r="5221" spans="1:15" x14ac:dyDescent="0.25">
      <c r="A5221" t="s">
        <v>926</v>
      </c>
      <c r="B5221" t="s">
        <v>2923</v>
      </c>
      <c r="C5221" t="s">
        <v>927</v>
      </c>
      <c r="D5221" t="s">
        <v>3052</v>
      </c>
      <c r="E5221" t="s">
        <v>3053</v>
      </c>
      <c r="F5221" t="s">
        <v>585</v>
      </c>
      <c r="G5221" t="s">
        <v>586</v>
      </c>
      <c r="H5221" t="s">
        <v>6585</v>
      </c>
      <c r="I5221">
        <v>7</v>
      </c>
      <c r="J5221">
        <v>0</v>
      </c>
      <c r="K5221">
        <v>0</v>
      </c>
      <c r="L5221">
        <v>7</v>
      </c>
      <c r="M5221">
        <v>0</v>
      </c>
      <c r="N5221">
        <v>0</v>
      </c>
      <c r="O5221">
        <v>0</v>
      </c>
    </row>
    <row r="5222" spans="1:15" x14ac:dyDescent="0.25">
      <c r="A5222" t="s">
        <v>997</v>
      </c>
      <c r="B5222" t="s">
        <v>2033</v>
      </c>
      <c r="C5222" t="s">
        <v>927</v>
      </c>
      <c r="D5222" t="s">
        <v>3052</v>
      </c>
      <c r="E5222" t="s">
        <v>3053</v>
      </c>
      <c r="F5222" t="s">
        <v>585</v>
      </c>
      <c r="G5222" t="s">
        <v>586</v>
      </c>
      <c r="H5222" t="s">
        <v>6586</v>
      </c>
      <c r="I5222">
        <v>305</v>
      </c>
      <c r="J5222">
        <v>190</v>
      </c>
      <c r="K5222">
        <v>0</v>
      </c>
      <c r="L5222">
        <v>27</v>
      </c>
      <c r="M5222">
        <v>0</v>
      </c>
      <c r="N5222">
        <v>0</v>
      </c>
      <c r="O5222">
        <v>88</v>
      </c>
    </row>
    <row r="5223" spans="1:15" x14ac:dyDescent="0.25">
      <c r="A5223" t="s">
        <v>998</v>
      </c>
      <c r="B5223" t="s">
        <v>2820</v>
      </c>
      <c r="C5223" t="s">
        <v>927</v>
      </c>
      <c r="D5223" t="s">
        <v>3052</v>
      </c>
      <c r="E5223" t="s">
        <v>3053</v>
      </c>
      <c r="F5223" t="s">
        <v>585</v>
      </c>
      <c r="G5223" t="s">
        <v>586</v>
      </c>
      <c r="H5223" t="s">
        <v>6587</v>
      </c>
      <c r="I5223">
        <v>12</v>
      </c>
      <c r="J5223">
        <v>12</v>
      </c>
      <c r="K5223">
        <v>0</v>
      </c>
      <c r="L5223">
        <v>0</v>
      </c>
      <c r="M5223">
        <v>0</v>
      </c>
      <c r="N5223">
        <v>0</v>
      </c>
      <c r="O5223">
        <v>0</v>
      </c>
    </row>
    <row r="5224" spans="1:15" x14ac:dyDescent="0.25">
      <c r="A5224" t="s">
        <v>1416</v>
      </c>
      <c r="B5224" t="s">
        <v>2029</v>
      </c>
      <c r="C5224" t="s">
        <v>923</v>
      </c>
      <c r="D5224" t="s">
        <v>3063</v>
      </c>
      <c r="E5224" t="s">
        <v>3053</v>
      </c>
      <c r="F5224" t="s">
        <v>585</v>
      </c>
      <c r="G5224" t="s">
        <v>586</v>
      </c>
      <c r="H5224" t="s">
        <v>12190</v>
      </c>
      <c r="I5224">
        <v>13</v>
      </c>
      <c r="J5224">
        <v>0</v>
      </c>
      <c r="K5224">
        <v>0</v>
      </c>
      <c r="L5224">
        <v>13</v>
      </c>
      <c r="M5224">
        <v>0</v>
      </c>
      <c r="N5224">
        <v>0</v>
      </c>
      <c r="O5224">
        <v>0</v>
      </c>
    </row>
    <row r="5225" spans="1:15" x14ac:dyDescent="0.25">
      <c r="A5225" t="s">
        <v>10638</v>
      </c>
      <c r="B5225" t="s">
        <v>2057</v>
      </c>
      <c r="C5225" t="s">
        <v>927</v>
      </c>
      <c r="D5225" t="s">
        <v>3052</v>
      </c>
      <c r="E5225" t="s">
        <v>3053</v>
      </c>
      <c r="F5225" t="s">
        <v>585</v>
      </c>
      <c r="G5225" t="s">
        <v>586</v>
      </c>
      <c r="H5225" t="s">
        <v>11139</v>
      </c>
      <c r="I5225">
        <v>1</v>
      </c>
      <c r="J5225">
        <v>0</v>
      </c>
      <c r="K5225">
        <v>0</v>
      </c>
      <c r="L5225">
        <v>1</v>
      </c>
      <c r="M5225">
        <v>0</v>
      </c>
      <c r="N5225">
        <v>0</v>
      </c>
      <c r="O5225">
        <v>0</v>
      </c>
    </row>
    <row r="5226" spans="1:15" x14ac:dyDescent="0.25">
      <c r="A5226" t="s">
        <v>937</v>
      </c>
      <c r="B5226" t="s">
        <v>1962</v>
      </c>
      <c r="C5226" t="s">
        <v>927</v>
      </c>
      <c r="D5226" t="s">
        <v>3052</v>
      </c>
      <c r="E5226" t="s">
        <v>3053</v>
      </c>
      <c r="F5226" t="s">
        <v>585</v>
      </c>
      <c r="G5226" t="s">
        <v>586</v>
      </c>
      <c r="H5226" t="s">
        <v>6588</v>
      </c>
      <c r="I5226">
        <v>2</v>
      </c>
      <c r="J5226">
        <v>0</v>
      </c>
      <c r="K5226">
        <v>0</v>
      </c>
      <c r="L5226">
        <v>0</v>
      </c>
      <c r="M5226">
        <v>0</v>
      </c>
      <c r="N5226">
        <v>0</v>
      </c>
      <c r="O5226">
        <v>2</v>
      </c>
    </row>
    <row r="5227" spans="1:15" x14ac:dyDescent="0.25">
      <c r="A5227" t="s">
        <v>940</v>
      </c>
      <c r="B5227" t="s">
        <v>2647</v>
      </c>
      <c r="C5227" t="s">
        <v>927</v>
      </c>
      <c r="D5227" t="s">
        <v>3052</v>
      </c>
      <c r="E5227" t="s">
        <v>3053</v>
      </c>
      <c r="F5227" t="s">
        <v>585</v>
      </c>
      <c r="G5227" t="s">
        <v>586</v>
      </c>
      <c r="H5227" t="s">
        <v>6589</v>
      </c>
      <c r="I5227">
        <v>46</v>
      </c>
      <c r="J5227">
        <v>0</v>
      </c>
      <c r="K5227">
        <v>0</v>
      </c>
      <c r="L5227">
        <v>0</v>
      </c>
      <c r="M5227">
        <v>46</v>
      </c>
      <c r="N5227">
        <v>0</v>
      </c>
      <c r="O5227">
        <v>0</v>
      </c>
    </row>
    <row r="5228" spans="1:15" x14ac:dyDescent="0.25">
      <c r="A5228" t="s">
        <v>1126</v>
      </c>
      <c r="B5228" t="s">
        <v>2130</v>
      </c>
      <c r="C5228" t="s">
        <v>927</v>
      </c>
      <c r="D5228" t="s">
        <v>3052</v>
      </c>
      <c r="E5228" t="s">
        <v>3053</v>
      </c>
      <c r="F5228" t="s">
        <v>585</v>
      </c>
      <c r="G5228" t="s">
        <v>586</v>
      </c>
      <c r="H5228" t="s">
        <v>14913</v>
      </c>
      <c r="I5228">
        <v>20</v>
      </c>
      <c r="J5228">
        <v>9</v>
      </c>
      <c r="K5228">
        <v>0</v>
      </c>
      <c r="L5228">
        <v>0</v>
      </c>
      <c r="M5228">
        <v>0</v>
      </c>
      <c r="N5228">
        <v>0</v>
      </c>
      <c r="O5228">
        <v>11</v>
      </c>
    </row>
    <row r="5229" spans="1:15" x14ac:dyDescent="0.25">
      <c r="A5229" t="s">
        <v>1026</v>
      </c>
      <c r="B5229" t="s">
        <v>2848</v>
      </c>
      <c r="C5229" t="s">
        <v>927</v>
      </c>
      <c r="D5229" t="s">
        <v>3052</v>
      </c>
      <c r="E5229" t="s">
        <v>3053</v>
      </c>
      <c r="F5229" t="s">
        <v>585</v>
      </c>
      <c r="G5229" t="s">
        <v>586</v>
      </c>
      <c r="H5229" t="s">
        <v>6590</v>
      </c>
      <c r="I5229">
        <v>41</v>
      </c>
      <c r="J5229">
        <v>20</v>
      </c>
      <c r="K5229">
        <v>0</v>
      </c>
      <c r="L5229">
        <v>0</v>
      </c>
      <c r="M5229">
        <v>0</v>
      </c>
      <c r="N5229">
        <v>1</v>
      </c>
      <c r="O5229">
        <v>21</v>
      </c>
    </row>
    <row r="5230" spans="1:15" x14ac:dyDescent="0.25">
      <c r="A5230" t="s">
        <v>10681</v>
      </c>
      <c r="B5230" t="s">
        <v>10680</v>
      </c>
      <c r="C5230" t="s">
        <v>927</v>
      </c>
      <c r="D5230" t="s">
        <v>3052</v>
      </c>
      <c r="E5230" t="s">
        <v>3053</v>
      </c>
      <c r="F5230" t="s">
        <v>585</v>
      </c>
      <c r="G5230" t="s">
        <v>586</v>
      </c>
      <c r="H5230" t="s">
        <v>14914</v>
      </c>
      <c r="I5230">
        <v>8</v>
      </c>
      <c r="J5230">
        <v>0</v>
      </c>
      <c r="K5230">
        <v>0</v>
      </c>
      <c r="L5230">
        <v>0</v>
      </c>
      <c r="M5230">
        <v>0</v>
      </c>
      <c r="N5230">
        <v>0</v>
      </c>
      <c r="O5230">
        <v>8</v>
      </c>
    </row>
    <row r="5231" spans="1:15" x14ac:dyDescent="0.25">
      <c r="A5231" t="s">
        <v>1031</v>
      </c>
      <c r="B5231" t="s">
        <v>2779</v>
      </c>
      <c r="C5231" t="s">
        <v>927</v>
      </c>
      <c r="D5231" t="s">
        <v>3052</v>
      </c>
      <c r="E5231" t="s">
        <v>3053</v>
      </c>
      <c r="F5231" t="s">
        <v>585</v>
      </c>
      <c r="G5231" t="s">
        <v>586</v>
      </c>
      <c r="H5231" t="s">
        <v>6591</v>
      </c>
      <c r="I5231">
        <v>61</v>
      </c>
      <c r="J5231">
        <v>61</v>
      </c>
      <c r="K5231">
        <v>0</v>
      </c>
      <c r="L5231">
        <v>0</v>
      </c>
      <c r="M5231">
        <v>0</v>
      </c>
      <c r="N5231">
        <v>0</v>
      </c>
      <c r="O5231">
        <v>0</v>
      </c>
    </row>
    <row r="5232" spans="1:15" x14ac:dyDescent="0.25">
      <c r="A5232" t="s">
        <v>1038</v>
      </c>
      <c r="B5232" t="s">
        <v>2068</v>
      </c>
      <c r="C5232" t="s">
        <v>927</v>
      </c>
      <c r="D5232" t="s">
        <v>3052</v>
      </c>
      <c r="E5232" t="s">
        <v>3053</v>
      </c>
      <c r="F5232" t="s">
        <v>585</v>
      </c>
      <c r="G5232" t="s">
        <v>586</v>
      </c>
      <c r="H5232" t="s">
        <v>6592</v>
      </c>
      <c r="I5232">
        <v>219</v>
      </c>
      <c r="J5232">
        <v>162</v>
      </c>
      <c r="K5232">
        <v>0</v>
      </c>
      <c r="L5232">
        <v>0</v>
      </c>
      <c r="M5232">
        <v>22</v>
      </c>
      <c r="N5232">
        <v>0</v>
      </c>
      <c r="O5232">
        <v>35</v>
      </c>
    </row>
    <row r="5233" spans="1:15" x14ac:dyDescent="0.25">
      <c r="A5233" t="s">
        <v>1043</v>
      </c>
      <c r="B5233" t="s">
        <v>2090</v>
      </c>
      <c r="C5233" t="s">
        <v>927</v>
      </c>
      <c r="D5233" t="s">
        <v>3052</v>
      </c>
      <c r="E5233" t="s">
        <v>3053</v>
      </c>
      <c r="F5233" t="s">
        <v>585</v>
      </c>
      <c r="G5233" t="s">
        <v>586</v>
      </c>
      <c r="H5233" t="s">
        <v>6593</v>
      </c>
      <c r="I5233">
        <v>122</v>
      </c>
      <c r="J5233">
        <v>54</v>
      </c>
      <c r="K5233">
        <v>0</v>
      </c>
      <c r="L5233">
        <v>30</v>
      </c>
      <c r="M5233">
        <v>9</v>
      </c>
      <c r="N5233">
        <v>0</v>
      </c>
      <c r="O5233">
        <v>29</v>
      </c>
    </row>
    <row r="5234" spans="1:15" x14ac:dyDescent="0.25">
      <c r="A5234" t="s">
        <v>1048</v>
      </c>
      <c r="B5234" t="s">
        <v>2989</v>
      </c>
      <c r="C5234" t="s">
        <v>927</v>
      </c>
      <c r="D5234" t="s">
        <v>3052</v>
      </c>
      <c r="E5234" t="s">
        <v>3053</v>
      </c>
      <c r="F5234" t="s">
        <v>585</v>
      </c>
      <c r="G5234" t="s">
        <v>586</v>
      </c>
      <c r="H5234" t="s">
        <v>12191</v>
      </c>
      <c r="I5234">
        <v>11</v>
      </c>
      <c r="J5234">
        <v>11</v>
      </c>
      <c r="K5234">
        <v>0</v>
      </c>
      <c r="L5234">
        <v>0</v>
      </c>
      <c r="M5234">
        <v>0</v>
      </c>
      <c r="N5234">
        <v>0</v>
      </c>
      <c r="O5234">
        <v>0</v>
      </c>
    </row>
    <row r="5235" spans="1:15" x14ac:dyDescent="0.25">
      <c r="A5235" t="s">
        <v>1049</v>
      </c>
      <c r="B5235" t="s">
        <v>2138</v>
      </c>
      <c r="C5235" t="s">
        <v>927</v>
      </c>
      <c r="D5235" t="s">
        <v>3052</v>
      </c>
      <c r="E5235" t="s">
        <v>3053</v>
      </c>
      <c r="F5235" t="s">
        <v>585</v>
      </c>
      <c r="G5235" t="s">
        <v>586</v>
      </c>
      <c r="H5235" t="s">
        <v>6594</v>
      </c>
      <c r="I5235">
        <v>228</v>
      </c>
      <c r="J5235">
        <v>151</v>
      </c>
      <c r="K5235">
        <v>0</v>
      </c>
      <c r="L5235">
        <v>0</v>
      </c>
      <c r="M5235">
        <v>0</v>
      </c>
      <c r="N5235">
        <v>0</v>
      </c>
      <c r="O5235">
        <v>77</v>
      </c>
    </row>
    <row r="5236" spans="1:15" x14ac:dyDescent="0.25">
      <c r="A5236" t="s">
        <v>1051</v>
      </c>
      <c r="B5236" t="s">
        <v>2995</v>
      </c>
      <c r="C5236" t="s">
        <v>927</v>
      </c>
      <c r="D5236" t="s">
        <v>3052</v>
      </c>
      <c r="E5236" t="s">
        <v>3053</v>
      </c>
      <c r="F5236" t="s">
        <v>585</v>
      </c>
      <c r="G5236" t="s">
        <v>586</v>
      </c>
      <c r="H5236" t="s">
        <v>6595</v>
      </c>
      <c r="I5236">
        <v>4</v>
      </c>
      <c r="J5236">
        <v>0</v>
      </c>
      <c r="K5236">
        <v>0</v>
      </c>
      <c r="L5236">
        <v>4</v>
      </c>
      <c r="M5236">
        <v>0</v>
      </c>
      <c r="N5236">
        <v>0</v>
      </c>
      <c r="O5236">
        <v>0</v>
      </c>
    </row>
    <row r="5237" spans="1:15" x14ac:dyDescent="0.25">
      <c r="A5237" t="s">
        <v>962</v>
      </c>
      <c r="B5237" t="s">
        <v>2752</v>
      </c>
      <c r="C5237" t="s">
        <v>927</v>
      </c>
      <c r="D5237" t="s">
        <v>3052</v>
      </c>
      <c r="E5237" t="s">
        <v>3053</v>
      </c>
      <c r="F5237" t="s">
        <v>585</v>
      </c>
      <c r="G5237" t="s">
        <v>586</v>
      </c>
      <c r="H5237" t="s">
        <v>10445</v>
      </c>
      <c r="I5237">
        <v>54</v>
      </c>
      <c r="J5237">
        <v>54</v>
      </c>
      <c r="K5237">
        <v>0</v>
      </c>
      <c r="L5237">
        <v>0</v>
      </c>
      <c r="M5237">
        <v>0</v>
      </c>
      <c r="N5237">
        <v>0</v>
      </c>
      <c r="O5237">
        <v>0</v>
      </c>
    </row>
    <row r="5238" spans="1:15" x14ac:dyDescent="0.25">
      <c r="A5238" t="s">
        <v>1072</v>
      </c>
      <c r="B5238" t="s">
        <v>2907</v>
      </c>
      <c r="C5238" t="s">
        <v>927</v>
      </c>
      <c r="D5238" t="s">
        <v>3052</v>
      </c>
      <c r="E5238" t="s">
        <v>3053</v>
      </c>
      <c r="F5238" t="s">
        <v>585</v>
      </c>
      <c r="G5238" t="s">
        <v>586</v>
      </c>
      <c r="H5238" t="s">
        <v>6596</v>
      </c>
      <c r="I5238">
        <v>75</v>
      </c>
      <c r="J5238">
        <v>48</v>
      </c>
      <c r="K5238">
        <v>0</v>
      </c>
      <c r="L5238">
        <v>0</v>
      </c>
      <c r="M5238">
        <v>0</v>
      </c>
      <c r="N5238">
        <v>0</v>
      </c>
      <c r="O5238">
        <v>27</v>
      </c>
    </row>
    <row r="5239" spans="1:15" x14ac:dyDescent="0.25">
      <c r="A5239" t="s">
        <v>924</v>
      </c>
      <c r="B5239" t="s">
        <v>2963</v>
      </c>
      <c r="C5239" t="s">
        <v>923</v>
      </c>
      <c r="D5239" t="s">
        <v>3063</v>
      </c>
      <c r="E5239" t="s">
        <v>3053</v>
      </c>
      <c r="F5239" t="s">
        <v>587</v>
      </c>
      <c r="G5239" t="s">
        <v>588</v>
      </c>
      <c r="H5239" t="s">
        <v>6597</v>
      </c>
      <c r="I5239">
        <v>78</v>
      </c>
      <c r="J5239">
        <v>0</v>
      </c>
      <c r="K5239">
        <v>0</v>
      </c>
      <c r="L5239">
        <v>78</v>
      </c>
      <c r="M5239">
        <v>0</v>
      </c>
      <c r="N5239">
        <v>0</v>
      </c>
      <c r="O5239">
        <v>0</v>
      </c>
    </row>
    <row r="5240" spans="1:15" x14ac:dyDescent="0.25">
      <c r="A5240" t="s">
        <v>926</v>
      </c>
      <c r="B5240" t="s">
        <v>2923</v>
      </c>
      <c r="C5240" t="s">
        <v>927</v>
      </c>
      <c r="D5240" t="s">
        <v>3052</v>
      </c>
      <c r="E5240" t="s">
        <v>3053</v>
      </c>
      <c r="F5240" t="s">
        <v>587</v>
      </c>
      <c r="G5240" t="s">
        <v>588</v>
      </c>
      <c r="H5240" t="s">
        <v>6598</v>
      </c>
      <c r="I5240">
        <v>6</v>
      </c>
      <c r="J5240">
        <v>0</v>
      </c>
      <c r="K5240">
        <v>0</v>
      </c>
      <c r="L5240">
        <v>6</v>
      </c>
      <c r="M5240">
        <v>0</v>
      </c>
      <c r="N5240">
        <v>0</v>
      </c>
      <c r="O5240">
        <v>0</v>
      </c>
    </row>
    <row r="5241" spans="1:15" x14ac:dyDescent="0.25">
      <c r="A5241" t="s">
        <v>929</v>
      </c>
      <c r="B5241" t="s">
        <v>2999</v>
      </c>
      <c r="C5241" t="s">
        <v>927</v>
      </c>
      <c r="D5241" t="s">
        <v>3052</v>
      </c>
      <c r="E5241" t="s">
        <v>3053</v>
      </c>
      <c r="F5241" t="s">
        <v>587</v>
      </c>
      <c r="G5241" t="s">
        <v>588</v>
      </c>
      <c r="H5241" t="s">
        <v>6599</v>
      </c>
      <c r="I5241">
        <v>323</v>
      </c>
      <c r="J5241">
        <v>0</v>
      </c>
      <c r="K5241">
        <v>0</v>
      </c>
      <c r="L5241">
        <v>0</v>
      </c>
      <c r="M5241">
        <v>323</v>
      </c>
      <c r="N5241">
        <v>0</v>
      </c>
      <c r="O5241">
        <v>0</v>
      </c>
    </row>
    <row r="5242" spans="1:15" x14ac:dyDescent="0.25">
      <c r="A5242" t="s">
        <v>1218</v>
      </c>
      <c r="B5242" t="s">
        <v>2565</v>
      </c>
      <c r="C5242" t="s">
        <v>927</v>
      </c>
      <c r="D5242" t="s">
        <v>3052</v>
      </c>
      <c r="E5242" t="s">
        <v>3053</v>
      </c>
      <c r="F5242" t="s">
        <v>587</v>
      </c>
      <c r="G5242" t="s">
        <v>588</v>
      </c>
      <c r="H5242" t="s">
        <v>6600</v>
      </c>
      <c r="I5242">
        <v>71</v>
      </c>
      <c r="J5242">
        <v>4</v>
      </c>
      <c r="K5242">
        <v>0</v>
      </c>
      <c r="L5242">
        <v>0</v>
      </c>
      <c r="M5242">
        <v>47</v>
      </c>
      <c r="N5242">
        <v>0</v>
      </c>
      <c r="O5242">
        <v>20</v>
      </c>
    </row>
    <row r="5243" spans="1:15" x14ac:dyDescent="0.25">
      <c r="A5243" t="s">
        <v>1220</v>
      </c>
      <c r="B5243" t="s">
        <v>1948</v>
      </c>
      <c r="C5243" t="s">
        <v>923</v>
      </c>
      <c r="D5243" t="s">
        <v>3063</v>
      </c>
      <c r="E5243" t="s">
        <v>3053</v>
      </c>
      <c r="F5243" t="s">
        <v>587</v>
      </c>
      <c r="G5243" t="s">
        <v>588</v>
      </c>
      <c r="H5243" t="s">
        <v>6601</v>
      </c>
      <c r="I5243">
        <v>22</v>
      </c>
      <c r="J5243">
        <v>0</v>
      </c>
      <c r="K5243">
        <v>22</v>
      </c>
      <c r="L5243">
        <v>0</v>
      </c>
      <c r="M5243">
        <v>0</v>
      </c>
      <c r="N5243">
        <v>0</v>
      </c>
      <c r="O5243">
        <v>0</v>
      </c>
    </row>
    <row r="5244" spans="1:15" x14ac:dyDescent="0.25">
      <c r="A5244" t="s">
        <v>933</v>
      </c>
      <c r="B5244" t="s">
        <v>2106</v>
      </c>
      <c r="C5244" t="s">
        <v>927</v>
      </c>
      <c r="D5244" t="s">
        <v>3052</v>
      </c>
      <c r="E5244" t="s">
        <v>3053</v>
      </c>
      <c r="F5244" t="s">
        <v>587</v>
      </c>
      <c r="G5244" t="s">
        <v>588</v>
      </c>
      <c r="H5244" t="s">
        <v>6602</v>
      </c>
      <c r="I5244">
        <v>6206</v>
      </c>
      <c r="J5244">
        <v>5853</v>
      </c>
      <c r="K5244">
        <v>0</v>
      </c>
      <c r="L5244">
        <v>39</v>
      </c>
      <c r="M5244">
        <v>200</v>
      </c>
      <c r="N5244">
        <v>46</v>
      </c>
      <c r="O5244">
        <v>114</v>
      </c>
    </row>
    <row r="5245" spans="1:15" x14ac:dyDescent="0.25">
      <c r="A5245" t="s">
        <v>1227</v>
      </c>
      <c r="B5245" t="s">
        <v>2023</v>
      </c>
      <c r="C5245" t="s">
        <v>923</v>
      </c>
      <c r="D5245" t="s">
        <v>3063</v>
      </c>
      <c r="E5245" t="s">
        <v>3053</v>
      </c>
      <c r="F5245" t="s">
        <v>587</v>
      </c>
      <c r="G5245" t="s">
        <v>588</v>
      </c>
      <c r="H5245" t="s">
        <v>12192</v>
      </c>
      <c r="I5245">
        <v>4</v>
      </c>
      <c r="J5245">
        <v>1</v>
      </c>
      <c r="K5245">
        <v>3</v>
      </c>
      <c r="L5245">
        <v>0</v>
      </c>
      <c r="M5245">
        <v>0</v>
      </c>
      <c r="N5245">
        <v>0</v>
      </c>
      <c r="O5245">
        <v>0</v>
      </c>
    </row>
    <row r="5246" spans="1:15" x14ac:dyDescent="0.25">
      <c r="A5246" t="s">
        <v>9804</v>
      </c>
      <c r="B5246" t="s">
        <v>2043</v>
      </c>
      <c r="C5246" t="s">
        <v>923</v>
      </c>
      <c r="D5246" t="s">
        <v>3063</v>
      </c>
      <c r="E5246" t="s">
        <v>3053</v>
      </c>
      <c r="F5246" t="s">
        <v>587</v>
      </c>
      <c r="G5246" t="s">
        <v>588</v>
      </c>
      <c r="H5246" t="s">
        <v>10051</v>
      </c>
      <c r="I5246">
        <v>1</v>
      </c>
      <c r="J5246">
        <v>1</v>
      </c>
      <c r="K5246">
        <v>0</v>
      </c>
      <c r="L5246">
        <v>0</v>
      </c>
      <c r="M5246">
        <v>0</v>
      </c>
      <c r="N5246">
        <v>0</v>
      </c>
      <c r="O5246">
        <v>0</v>
      </c>
    </row>
    <row r="5247" spans="1:15" x14ac:dyDescent="0.25">
      <c r="A5247" t="s">
        <v>1239</v>
      </c>
      <c r="B5247" t="s">
        <v>2990</v>
      </c>
      <c r="C5247" t="s">
        <v>923</v>
      </c>
      <c r="D5247" t="s">
        <v>3063</v>
      </c>
      <c r="E5247" t="s">
        <v>3053</v>
      </c>
      <c r="F5247" t="s">
        <v>587</v>
      </c>
      <c r="G5247" t="s">
        <v>588</v>
      </c>
      <c r="H5247" t="s">
        <v>6603</v>
      </c>
      <c r="I5247">
        <v>1</v>
      </c>
      <c r="J5247">
        <v>1</v>
      </c>
      <c r="K5247">
        <v>0</v>
      </c>
      <c r="L5247">
        <v>0</v>
      </c>
      <c r="M5247">
        <v>0</v>
      </c>
      <c r="N5247">
        <v>0</v>
      </c>
      <c r="O5247">
        <v>0</v>
      </c>
    </row>
    <row r="5248" spans="1:15" x14ac:dyDescent="0.25">
      <c r="A5248" t="s">
        <v>1416</v>
      </c>
      <c r="B5248" t="s">
        <v>2029</v>
      </c>
      <c r="C5248" t="s">
        <v>923</v>
      </c>
      <c r="D5248" t="s">
        <v>3063</v>
      </c>
      <c r="E5248" t="s">
        <v>3053</v>
      </c>
      <c r="F5248" t="s">
        <v>587</v>
      </c>
      <c r="G5248" t="s">
        <v>588</v>
      </c>
      <c r="H5248" t="s">
        <v>12193</v>
      </c>
      <c r="I5248">
        <v>5</v>
      </c>
      <c r="J5248">
        <v>0</v>
      </c>
      <c r="K5248">
        <v>0</v>
      </c>
      <c r="L5248">
        <v>5</v>
      </c>
      <c r="M5248">
        <v>0</v>
      </c>
      <c r="N5248">
        <v>0</v>
      </c>
      <c r="O5248">
        <v>0</v>
      </c>
    </row>
    <row r="5249" spans="1:15" x14ac:dyDescent="0.25">
      <c r="A5249" t="s">
        <v>938</v>
      </c>
      <c r="B5249" t="s">
        <v>2791</v>
      </c>
      <c r="C5249" t="s">
        <v>927</v>
      </c>
      <c r="D5249" t="s">
        <v>3052</v>
      </c>
      <c r="E5249" t="s">
        <v>3053</v>
      </c>
      <c r="F5249" t="s">
        <v>587</v>
      </c>
      <c r="G5249" t="s">
        <v>588</v>
      </c>
      <c r="H5249" t="s">
        <v>6604</v>
      </c>
      <c r="I5249">
        <v>16</v>
      </c>
      <c r="J5249">
        <v>16</v>
      </c>
      <c r="K5249">
        <v>0</v>
      </c>
      <c r="L5249">
        <v>0</v>
      </c>
      <c r="M5249">
        <v>0</v>
      </c>
      <c r="N5249">
        <v>0</v>
      </c>
      <c r="O5249">
        <v>0</v>
      </c>
    </row>
    <row r="5250" spans="1:15" x14ac:dyDescent="0.25">
      <c r="A5250" t="s">
        <v>940</v>
      </c>
      <c r="B5250" t="s">
        <v>2647</v>
      </c>
      <c r="C5250" t="s">
        <v>927</v>
      </c>
      <c r="D5250" t="s">
        <v>3052</v>
      </c>
      <c r="E5250" t="s">
        <v>3053</v>
      </c>
      <c r="F5250" t="s">
        <v>587</v>
      </c>
      <c r="G5250" t="s">
        <v>588</v>
      </c>
      <c r="H5250" t="s">
        <v>6605</v>
      </c>
      <c r="I5250">
        <v>33</v>
      </c>
      <c r="J5250">
        <v>0</v>
      </c>
      <c r="K5250">
        <v>0</v>
      </c>
      <c r="L5250">
        <v>0</v>
      </c>
      <c r="M5250">
        <v>23</v>
      </c>
      <c r="N5250">
        <v>0</v>
      </c>
      <c r="O5250">
        <v>10</v>
      </c>
    </row>
    <row r="5251" spans="1:15" x14ac:dyDescent="0.25">
      <c r="A5251" t="s">
        <v>1012</v>
      </c>
      <c r="B5251" t="s">
        <v>2911</v>
      </c>
      <c r="C5251" t="s">
        <v>927</v>
      </c>
      <c r="D5251" t="s">
        <v>3052</v>
      </c>
      <c r="E5251" t="s">
        <v>3053</v>
      </c>
      <c r="F5251" t="s">
        <v>587</v>
      </c>
      <c r="G5251" t="s">
        <v>588</v>
      </c>
      <c r="H5251" t="s">
        <v>6606</v>
      </c>
      <c r="I5251">
        <v>5</v>
      </c>
      <c r="J5251">
        <v>5</v>
      </c>
      <c r="K5251">
        <v>0</v>
      </c>
      <c r="L5251">
        <v>0</v>
      </c>
      <c r="M5251">
        <v>0</v>
      </c>
      <c r="N5251">
        <v>0</v>
      </c>
      <c r="O5251">
        <v>0</v>
      </c>
    </row>
    <row r="5252" spans="1:15" x14ac:dyDescent="0.25">
      <c r="A5252" t="s">
        <v>1284</v>
      </c>
      <c r="B5252" t="s">
        <v>2700</v>
      </c>
      <c r="C5252" t="s">
        <v>923</v>
      </c>
      <c r="D5252" t="s">
        <v>3063</v>
      </c>
      <c r="E5252" t="s">
        <v>3053</v>
      </c>
      <c r="F5252" t="s">
        <v>587</v>
      </c>
      <c r="G5252" t="s">
        <v>588</v>
      </c>
      <c r="H5252" t="s">
        <v>14915</v>
      </c>
      <c r="I5252">
        <v>60</v>
      </c>
      <c r="J5252">
        <v>0</v>
      </c>
      <c r="K5252">
        <v>0</v>
      </c>
      <c r="L5252">
        <v>0</v>
      </c>
      <c r="M5252">
        <v>60</v>
      </c>
      <c r="N5252">
        <v>0</v>
      </c>
      <c r="O5252">
        <v>0</v>
      </c>
    </row>
    <row r="5253" spans="1:15" x14ac:dyDescent="0.25">
      <c r="A5253" t="s">
        <v>1025</v>
      </c>
      <c r="B5253" t="s">
        <v>2893</v>
      </c>
      <c r="C5253" t="s">
        <v>927</v>
      </c>
      <c r="D5253" t="s">
        <v>3052</v>
      </c>
      <c r="E5253" t="s">
        <v>3053</v>
      </c>
      <c r="F5253" t="s">
        <v>587</v>
      </c>
      <c r="G5253" t="s">
        <v>588</v>
      </c>
      <c r="H5253" t="s">
        <v>6607</v>
      </c>
      <c r="I5253">
        <v>1089</v>
      </c>
      <c r="J5253">
        <v>857</v>
      </c>
      <c r="K5253">
        <v>10</v>
      </c>
      <c r="L5253">
        <v>0</v>
      </c>
      <c r="M5253">
        <v>0</v>
      </c>
      <c r="N5253">
        <v>9</v>
      </c>
      <c r="O5253">
        <v>222</v>
      </c>
    </row>
    <row r="5254" spans="1:15" x14ac:dyDescent="0.25">
      <c r="A5254" t="s">
        <v>10687</v>
      </c>
      <c r="B5254" t="s">
        <v>10686</v>
      </c>
      <c r="C5254" t="s">
        <v>923</v>
      </c>
      <c r="D5254" t="s">
        <v>3063</v>
      </c>
      <c r="E5254" t="s">
        <v>3053</v>
      </c>
      <c r="F5254" t="s">
        <v>587</v>
      </c>
      <c r="G5254" t="s">
        <v>588</v>
      </c>
      <c r="H5254" t="s">
        <v>14916</v>
      </c>
      <c r="I5254">
        <v>34</v>
      </c>
      <c r="J5254">
        <v>34</v>
      </c>
      <c r="K5254">
        <v>0</v>
      </c>
      <c r="L5254">
        <v>0</v>
      </c>
      <c r="M5254">
        <v>0</v>
      </c>
      <c r="N5254">
        <v>0</v>
      </c>
      <c r="O5254">
        <v>0</v>
      </c>
    </row>
    <row r="5255" spans="1:15" x14ac:dyDescent="0.25">
      <c r="A5255" t="s">
        <v>943</v>
      </c>
      <c r="B5255" t="s">
        <v>2694</v>
      </c>
      <c r="C5255" t="s">
        <v>927</v>
      </c>
      <c r="D5255" t="s">
        <v>3052</v>
      </c>
      <c r="E5255" t="s">
        <v>3053</v>
      </c>
      <c r="F5255" t="s">
        <v>587</v>
      </c>
      <c r="G5255" t="s">
        <v>588</v>
      </c>
      <c r="H5255" t="s">
        <v>6608</v>
      </c>
      <c r="I5255">
        <v>185</v>
      </c>
      <c r="J5255">
        <v>89</v>
      </c>
      <c r="K5255">
        <v>0</v>
      </c>
      <c r="L5255">
        <v>16</v>
      </c>
      <c r="M5255">
        <v>0</v>
      </c>
      <c r="N5255">
        <v>0</v>
      </c>
      <c r="O5255">
        <v>80</v>
      </c>
    </row>
    <row r="5256" spans="1:15" x14ac:dyDescent="0.25">
      <c r="A5256" t="s">
        <v>1297</v>
      </c>
      <c r="B5256" t="s">
        <v>2818</v>
      </c>
      <c r="C5256" t="s">
        <v>923</v>
      </c>
      <c r="D5256" t="s">
        <v>3063</v>
      </c>
      <c r="E5256" t="s">
        <v>3053</v>
      </c>
      <c r="F5256" t="s">
        <v>587</v>
      </c>
      <c r="G5256" t="s">
        <v>588</v>
      </c>
      <c r="H5256" t="s">
        <v>6609</v>
      </c>
      <c r="I5256">
        <v>51</v>
      </c>
      <c r="J5256">
        <v>35</v>
      </c>
      <c r="K5256">
        <v>0</v>
      </c>
      <c r="L5256">
        <v>0</v>
      </c>
      <c r="M5256">
        <v>16</v>
      </c>
      <c r="N5256">
        <v>0</v>
      </c>
      <c r="O5256">
        <v>0</v>
      </c>
    </row>
    <row r="5257" spans="1:15" x14ac:dyDescent="0.25">
      <c r="A5257" t="s">
        <v>945</v>
      </c>
      <c r="B5257" t="s">
        <v>2668</v>
      </c>
      <c r="C5257" t="s">
        <v>927</v>
      </c>
      <c r="D5257" t="s">
        <v>3052</v>
      </c>
      <c r="E5257" t="s">
        <v>3053</v>
      </c>
      <c r="F5257" t="s">
        <v>587</v>
      </c>
      <c r="G5257" t="s">
        <v>588</v>
      </c>
      <c r="H5257" t="s">
        <v>6610</v>
      </c>
      <c r="I5257">
        <v>939</v>
      </c>
      <c r="J5257">
        <v>924</v>
      </c>
      <c r="K5257">
        <v>0</v>
      </c>
      <c r="L5257">
        <v>0</v>
      </c>
      <c r="M5257">
        <v>0</v>
      </c>
      <c r="N5257">
        <v>0</v>
      </c>
      <c r="O5257">
        <v>15</v>
      </c>
    </row>
    <row r="5258" spans="1:15" x14ac:dyDescent="0.25">
      <c r="A5258" t="s">
        <v>1134</v>
      </c>
      <c r="B5258" t="s">
        <v>2118</v>
      </c>
      <c r="C5258" t="s">
        <v>927</v>
      </c>
      <c r="D5258" t="s">
        <v>3052</v>
      </c>
      <c r="E5258" t="s">
        <v>3053</v>
      </c>
      <c r="F5258" t="s">
        <v>587</v>
      </c>
      <c r="G5258" t="s">
        <v>588</v>
      </c>
      <c r="H5258" t="s">
        <v>6611</v>
      </c>
      <c r="I5258">
        <v>285</v>
      </c>
      <c r="J5258">
        <v>254</v>
      </c>
      <c r="K5258">
        <v>0</v>
      </c>
      <c r="L5258">
        <v>12</v>
      </c>
      <c r="M5258">
        <v>13</v>
      </c>
      <c r="N5258">
        <v>0</v>
      </c>
      <c r="O5258">
        <v>6</v>
      </c>
    </row>
    <row r="5259" spans="1:15" x14ac:dyDescent="0.25">
      <c r="A5259" t="s">
        <v>949</v>
      </c>
      <c r="B5259" t="s">
        <v>3035</v>
      </c>
      <c r="C5259" t="s">
        <v>927</v>
      </c>
      <c r="D5259" t="s">
        <v>3052</v>
      </c>
      <c r="E5259" t="s">
        <v>3053</v>
      </c>
      <c r="F5259" t="s">
        <v>587</v>
      </c>
      <c r="G5259" t="s">
        <v>588</v>
      </c>
      <c r="H5259" t="s">
        <v>6612</v>
      </c>
      <c r="I5259">
        <v>124</v>
      </c>
      <c r="J5259">
        <v>0</v>
      </c>
      <c r="K5259">
        <v>0</v>
      </c>
      <c r="L5259">
        <v>0</v>
      </c>
      <c r="M5259">
        <v>0</v>
      </c>
      <c r="N5259">
        <v>0</v>
      </c>
      <c r="O5259">
        <v>124</v>
      </c>
    </row>
    <row r="5260" spans="1:15" x14ac:dyDescent="0.25">
      <c r="A5260" t="s">
        <v>1041</v>
      </c>
      <c r="B5260" t="s">
        <v>2826</v>
      </c>
      <c r="C5260" t="s">
        <v>927</v>
      </c>
      <c r="D5260" t="s">
        <v>3052</v>
      </c>
      <c r="E5260" t="s">
        <v>3053</v>
      </c>
      <c r="F5260" t="s">
        <v>587</v>
      </c>
      <c r="G5260" t="s">
        <v>588</v>
      </c>
      <c r="H5260" t="s">
        <v>6613</v>
      </c>
      <c r="I5260">
        <v>2</v>
      </c>
      <c r="J5260">
        <v>0</v>
      </c>
      <c r="K5260">
        <v>0</v>
      </c>
      <c r="L5260">
        <v>0</v>
      </c>
      <c r="M5260">
        <v>0</v>
      </c>
      <c r="N5260">
        <v>0</v>
      </c>
      <c r="O5260">
        <v>2</v>
      </c>
    </row>
    <row r="5261" spans="1:15" x14ac:dyDescent="0.25">
      <c r="A5261" t="s">
        <v>1140</v>
      </c>
      <c r="B5261" t="s">
        <v>2697</v>
      </c>
      <c r="C5261" t="s">
        <v>927</v>
      </c>
      <c r="D5261" t="s">
        <v>3052</v>
      </c>
      <c r="E5261" t="s">
        <v>3053</v>
      </c>
      <c r="F5261" t="s">
        <v>587</v>
      </c>
      <c r="G5261" t="s">
        <v>588</v>
      </c>
      <c r="H5261" t="s">
        <v>6614</v>
      </c>
      <c r="I5261">
        <v>1</v>
      </c>
      <c r="J5261">
        <v>0</v>
      </c>
      <c r="K5261">
        <v>0</v>
      </c>
      <c r="L5261">
        <v>0</v>
      </c>
      <c r="M5261">
        <v>0</v>
      </c>
      <c r="N5261">
        <v>0</v>
      </c>
      <c r="O5261">
        <v>1</v>
      </c>
    </row>
    <row r="5262" spans="1:15" x14ac:dyDescent="0.25">
      <c r="A5262" t="s">
        <v>1043</v>
      </c>
      <c r="B5262" t="s">
        <v>2090</v>
      </c>
      <c r="C5262" t="s">
        <v>927</v>
      </c>
      <c r="D5262" t="s">
        <v>3052</v>
      </c>
      <c r="E5262" t="s">
        <v>3053</v>
      </c>
      <c r="F5262" t="s">
        <v>587</v>
      </c>
      <c r="G5262" t="s">
        <v>588</v>
      </c>
      <c r="H5262" t="s">
        <v>6615</v>
      </c>
      <c r="I5262">
        <v>95</v>
      </c>
      <c r="J5262">
        <v>38</v>
      </c>
      <c r="K5262">
        <v>0</v>
      </c>
      <c r="L5262">
        <v>0</v>
      </c>
      <c r="M5262">
        <v>0</v>
      </c>
      <c r="N5262">
        <v>0</v>
      </c>
      <c r="O5262">
        <v>57</v>
      </c>
    </row>
    <row r="5263" spans="1:15" x14ac:dyDescent="0.25">
      <c r="A5263" t="s">
        <v>1146</v>
      </c>
      <c r="B5263" t="s">
        <v>2117</v>
      </c>
      <c r="C5263" t="s">
        <v>927</v>
      </c>
      <c r="D5263" t="s">
        <v>3052</v>
      </c>
      <c r="E5263" t="s">
        <v>3053</v>
      </c>
      <c r="F5263" t="s">
        <v>587</v>
      </c>
      <c r="G5263" t="s">
        <v>588</v>
      </c>
      <c r="H5263" t="s">
        <v>6616</v>
      </c>
      <c r="I5263">
        <v>425</v>
      </c>
      <c r="J5263">
        <v>240</v>
      </c>
      <c r="K5263">
        <v>0</v>
      </c>
      <c r="L5263">
        <v>0</v>
      </c>
      <c r="M5263">
        <v>0</v>
      </c>
      <c r="N5263">
        <v>0</v>
      </c>
      <c r="O5263">
        <v>185</v>
      </c>
    </row>
    <row r="5264" spans="1:15" x14ac:dyDescent="0.25">
      <c r="A5264" t="s">
        <v>951</v>
      </c>
      <c r="B5264" t="s">
        <v>2680</v>
      </c>
      <c r="C5264" t="s">
        <v>927</v>
      </c>
      <c r="D5264" t="s">
        <v>3052</v>
      </c>
      <c r="E5264" t="s">
        <v>3053</v>
      </c>
      <c r="F5264" t="s">
        <v>587</v>
      </c>
      <c r="G5264" t="s">
        <v>588</v>
      </c>
      <c r="H5264" t="s">
        <v>6617</v>
      </c>
      <c r="I5264">
        <v>1</v>
      </c>
      <c r="J5264">
        <v>1</v>
      </c>
      <c r="K5264">
        <v>0</v>
      </c>
      <c r="L5264">
        <v>0</v>
      </c>
      <c r="M5264">
        <v>0</v>
      </c>
      <c r="N5264">
        <v>0</v>
      </c>
      <c r="O5264">
        <v>0</v>
      </c>
    </row>
    <row r="5265" spans="1:15" x14ac:dyDescent="0.25">
      <c r="A5265" t="s">
        <v>955</v>
      </c>
      <c r="B5265" t="s">
        <v>2660</v>
      </c>
      <c r="C5265" t="s">
        <v>927</v>
      </c>
      <c r="D5265" t="s">
        <v>3052</v>
      </c>
      <c r="E5265" t="s">
        <v>3053</v>
      </c>
      <c r="F5265" t="s">
        <v>587</v>
      </c>
      <c r="G5265" t="s">
        <v>588</v>
      </c>
      <c r="H5265" t="s">
        <v>6618</v>
      </c>
      <c r="I5265">
        <v>111</v>
      </c>
      <c r="J5265">
        <v>36</v>
      </c>
      <c r="K5265">
        <v>0</v>
      </c>
      <c r="L5265">
        <v>0</v>
      </c>
      <c r="M5265">
        <v>75</v>
      </c>
      <c r="N5265">
        <v>0</v>
      </c>
      <c r="O5265">
        <v>0</v>
      </c>
    </row>
    <row r="5266" spans="1:15" x14ac:dyDescent="0.25">
      <c r="A5266" t="s">
        <v>1155</v>
      </c>
      <c r="B5266" t="s">
        <v>2912</v>
      </c>
      <c r="C5266" t="s">
        <v>927</v>
      </c>
      <c r="D5266" t="s">
        <v>3052</v>
      </c>
      <c r="E5266" t="s">
        <v>3053</v>
      </c>
      <c r="F5266" t="s">
        <v>587</v>
      </c>
      <c r="G5266" t="s">
        <v>588</v>
      </c>
      <c r="H5266" t="s">
        <v>6619</v>
      </c>
      <c r="I5266">
        <v>1</v>
      </c>
      <c r="J5266">
        <v>0</v>
      </c>
      <c r="K5266">
        <v>0</v>
      </c>
      <c r="L5266">
        <v>0</v>
      </c>
      <c r="M5266">
        <v>0</v>
      </c>
      <c r="N5266">
        <v>0</v>
      </c>
      <c r="O5266">
        <v>1</v>
      </c>
    </row>
    <row r="5267" spans="1:15" x14ac:dyDescent="0.25">
      <c r="A5267" t="s">
        <v>11663</v>
      </c>
      <c r="B5267" t="s">
        <v>11768</v>
      </c>
      <c r="C5267" t="s">
        <v>927</v>
      </c>
      <c r="D5267" t="s">
        <v>3052</v>
      </c>
      <c r="E5267" t="s">
        <v>3053</v>
      </c>
      <c r="F5267" t="s">
        <v>587</v>
      </c>
      <c r="G5267" t="s">
        <v>588</v>
      </c>
      <c r="H5267" t="s">
        <v>12194</v>
      </c>
      <c r="I5267">
        <v>575</v>
      </c>
      <c r="J5267">
        <v>464</v>
      </c>
      <c r="K5267">
        <v>0</v>
      </c>
      <c r="L5267">
        <v>25</v>
      </c>
      <c r="M5267">
        <v>0</v>
      </c>
      <c r="N5267">
        <v>5</v>
      </c>
      <c r="O5267">
        <v>86</v>
      </c>
    </row>
    <row r="5268" spans="1:15" x14ac:dyDescent="0.25">
      <c r="A5268" t="s">
        <v>1344</v>
      </c>
      <c r="B5268" t="s">
        <v>2957</v>
      </c>
      <c r="C5268" t="s">
        <v>923</v>
      </c>
      <c r="D5268" t="s">
        <v>3063</v>
      </c>
      <c r="E5268" t="s">
        <v>3053</v>
      </c>
      <c r="F5268" t="s">
        <v>587</v>
      </c>
      <c r="G5268" t="s">
        <v>588</v>
      </c>
      <c r="H5268" t="s">
        <v>6620</v>
      </c>
      <c r="I5268">
        <v>4</v>
      </c>
      <c r="J5268">
        <v>4</v>
      </c>
      <c r="K5268">
        <v>0</v>
      </c>
      <c r="L5268">
        <v>0</v>
      </c>
      <c r="M5268">
        <v>0</v>
      </c>
      <c r="N5268">
        <v>0</v>
      </c>
      <c r="O5268">
        <v>0</v>
      </c>
    </row>
    <row r="5269" spans="1:15" x14ac:dyDescent="0.25">
      <c r="A5269" t="s">
        <v>1354</v>
      </c>
      <c r="B5269" t="s">
        <v>2676</v>
      </c>
      <c r="C5269" t="s">
        <v>927</v>
      </c>
      <c r="D5269" t="s">
        <v>3052</v>
      </c>
      <c r="E5269" t="s">
        <v>3053</v>
      </c>
      <c r="F5269" t="s">
        <v>587</v>
      </c>
      <c r="G5269" t="s">
        <v>588</v>
      </c>
      <c r="H5269" t="s">
        <v>6621</v>
      </c>
      <c r="I5269">
        <v>114</v>
      </c>
      <c r="J5269">
        <v>82</v>
      </c>
      <c r="K5269">
        <v>0</v>
      </c>
      <c r="L5269">
        <v>0</v>
      </c>
      <c r="M5269">
        <v>0</v>
      </c>
      <c r="N5269">
        <v>0</v>
      </c>
      <c r="O5269">
        <v>32</v>
      </c>
    </row>
    <row r="5270" spans="1:15" x14ac:dyDescent="0.25">
      <c r="A5270" t="s">
        <v>1361</v>
      </c>
      <c r="B5270" t="s">
        <v>2305</v>
      </c>
      <c r="C5270" t="s">
        <v>923</v>
      </c>
      <c r="D5270" t="s">
        <v>3063</v>
      </c>
      <c r="E5270" t="s">
        <v>3053</v>
      </c>
      <c r="F5270" t="s">
        <v>587</v>
      </c>
      <c r="G5270" t="s">
        <v>588</v>
      </c>
      <c r="H5270" t="s">
        <v>6622</v>
      </c>
      <c r="I5270">
        <v>8</v>
      </c>
      <c r="J5270">
        <v>8</v>
      </c>
      <c r="K5270">
        <v>0</v>
      </c>
      <c r="L5270">
        <v>0</v>
      </c>
      <c r="M5270">
        <v>0</v>
      </c>
      <c r="N5270">
        <v>0</v>
      </c>
      <c r="O5270">
        <v>0</v>
      </c>
    </row>
    <row r="5271" spans="1:15" x14ac:dyDescent="0.25">
      <c r="A5271" t="s">
        <v>1072</v>
      </c>
      <c r="B5271" t="s">
        <v>2907</v>
      </c>
      <c r="C5271" t="s">
        <v>927</v>
      </c>
      <c r="D5271" t="s">
        <v>3052</v>
      </c>
      <c r="E5271" t="s">
        <v>3053</v>
      </c>
      <c r="F5271" t="s">
        <v>587</v>
      </c>
      <c r="G5271" t="s">
        <v>588</v>
      </c>
      <c r="H5271" t="s">
        <v>6623</v>
      </c>
      <c r="I5271">
        <v>104</v>
      </c>
      <c r="J5271">
        <v>103</v>
      </c>
      <c r="K5271">
        <v>0</v>
      </c>
      <c r="L5271">
        <v>1</v>
      </c>
      <c r="M5271">
        <v>0</v>
      </c>
      <c r="N5271">
        <v>0</v>
      </c>
      <c r="O5271">
        <v>0</v>
      </c>
    </row>
    <row r="5272" spans="1:15" x14ac:dyDescent="0.25">
      <c r="A5272" t="s">
        <v>1380</v>
      </c>
      <c r="B5272" t="s">
        <v>2664</v>
      </c>
      <c r="C5272" t="s">
        <v>927</v>
      </c>
      <c r="D5272" t="s">
        <v>3052</v>
      </c>
      <c r="E5272" t="s">
        <v>3053</v>
      </c>
      <c r="F5272" t="s">
        <v>587</v>
      </c>
      <c r="G5272" t="s">
        <v>588</v>
      </c>
      <c r="H5272" t="s">
        <v>6624</v>
      </c>
      <c r="I5272">
        <v>1318</v>
      </c>
      <c r="J5272">
        <v>1115</v>
      </c>
      <c r="K5272">
        <v>0</v>
      </c>
      <c r="L5272">
        <v>89</v>
      </c>
      <c r="M5272">
        <v>0</v>
      </c>
      <c r="N5272">
        <v>17</v>
      </c>
      <c r="O5272">
        <v>114</v>
      </c>
    </row>
    <row r="5273" spans="1:15" x14ac:dyDescent="0.25">
      <c r="A5273" t="s">
        <v>1398</v>
      </c>
      <c r="B5273" t="s">
        <v>2998</v>
      </c>
      <c r="C5273" t="s">
        <v>927</v>
      </c>
      <c r="D5273" t="s">
        <v>3052</v>
      </c>
      <c r="E5273" t="s">
        <v>3053</v>
      </c>
      <c r="F5273" t="s">
        <v>587</v>
      </c>
      <c r="G5273" t="s">
        <v>588</v>
      </c>
      <c r="H5273" t="s">
        <v>6625</v>
      </c>
      <c r="I5273">
        <v>157</v>
      </c>
      <c r="J5273">
        <v>36</v>
      </c>
      <c r="K5273">
        <v>0</v>
      </c>
      <c r="L5273">
        <v>121</v>
      </c>
      <c r="M5273">
        <v>0</v>
      </c>
      <c r="N5273">
        <v>1</v>
      </c>
      <c r="O5273">
        <v>0</v>
      </c>
    </row>
    <row r="5274" spans="1:15" x14ac:dyDescent="0.25">
      <c r="A5274" t="s">
        <v>10568</v>
      </c>
      <c r="B5274" t="s">
        <v>10567</v>
      </c>
      <c r="C5274" t="s">
        <v>927</v>
      </c>
      <c r="D5274" t="s">
        <v>3052</v>
      </c>
      <c r="E5274" t="s">
        <v>3053</v>
      </c>
      <c r="F5274" t="s">
        <v>589</v>
      </c>
      <c r="G5274" t="s">
        <v>590</v>
      </c>
      <c r="H5274" t="s">
        <v>11140</v>
      </c>
      <c r="I5274">
        <v>135</v>
      </c>
      <c r="J5274">
        <v>84</v>
      </c>
      <c r="K5274">
        <v>0</v>
      </c>
      <c r="L5274">
        <v>0</v>
      </c>
      <c r="M5274">
        <v>0</v>
      </c>
      <c r="N5274">
        <v>0</v>
      </c>
      <c r="O5274">
        <v>51</v>
      </c>
    </row>
    <row r="5275" spans="1:15" x14ac:dyDescent="0.25">
      <c r="A5275" t="s">
        <v>926</v>
      </c>
      <c r="B5275" t="s">
        <v>2923</v>
      </c>
      <c r="C5275" t="s">
        <v>927</v>
      </c>
      <c r="D5275" t="s">
        <v>3052</v>
      </c>
      <c r="E5275" t="s">
        <v>3053</v>
      </c>
      <c r="F5275" t="s">
        <v>589</v>
      </c>
      <c r="G5275" t="s">
        <v>590</v>
      </c>
      <c r="H5275" t="s">
        <v>6626</v>
      </c>
      <c r="I5275">
        <v>3</v>
      </c>
      <c r="J5275">
        <v>0</v>
      </c>
      <c r="K5275">
        <v>0</v>
      </c>
      <c r="L5275">
        <v>0</v>
      </c>
      <c r="M5275">
        <v>0</v>
      </c>
      <c r="N5275">
        <v>0</v>
      </c>
      <c r="O5275">
        <v>3</v>
      </c>
    </row>
    <row r="5276" spans="1:15" x14ac:dyDescent="0.25">
      <c r="A5276" t="s">
        <v>931</v>
      </c>
      <c r="B5276" t="s">
        <v>1978</v>
      </c>
      <c r="C5276" t="s">
        <v>927</v>
      </c>
      <c r="D5276" t="s">
        <v>3052</v>
      </c>
      <c r="E5276" t="s">
        <v>3053</v>
      </c>
      <c r="F5276" t="s">
        <v>589</v>
      </c>
      <c r="G5276" t="s">
        <v>590</v>
      </c>
      <c r="H5276" t="s">
        <v>6627</v>
      </c>
      <c r="I5276">
        <v>11</v>
      </c>
      <c r="J5276">
        <v>6</v>
      </c>
      <c r="K5276">
        <v>0</v>
      </c>
      <c r="L5276">
        <v>0</v>
      </c>
      <c r="M5276">
        <v>0</v>
      </c>
      <c r="N5276">
        <v>0</v>
      </c>
      <c r="O5276">
        <v>5</v>
      </c>
    </row>
    <row r="5277" spans="1:15" x14ac:dyDescent="0.25">
      <c r="A5277" t="s">
        <v>9835</v>
      </c>
      <c r="B5277" t="s">
        <v>2628</v>
      </c>
      <c r="C5277" t="s">
        <v>923</v>
      </c>
      <c r="D5277" t="s">
        <v>3063</v>
      </c>
      <c r="E5277" t="s">
        <v>3053</v>
      </c>
      <c r="F5277" t="s">
        <v>589</v>
      </c>
      <c r="G5277" t="s">
        <v>590</v>
      </c>
      <c r="H5277" t="s">
        <v>12195</v>
      </c>
      <c r="I5277">
        <v>20</v>
      </c>
      <c r="J5277">
        <v>0</v>
      </c>
      <c r="K5277">
        <v>0</v>
      </c>
      <c r="L5277">
        <v>20</v>
      </c>
      <c r="M5277">
        <v>0</v>
      </c>
      <c r="N5277">
        <v>0</v>
      </c>
      <c r="O5277">
        <v>0</v>
      </c>
    </row>
    <row r="5278" spans="1:15" x14ac:dyDescent="0.25">
      <c r="A5278" t="s">
        <v>933</v>
      </c>
      <c r="B5278" t="s">
        <v>2106</v>
      </c>
      <c r="C5278" t="s">
        <v>927</v>
      </c>
      <c r="D5278" t="s">
        <v>3052</v>
      </c>
      <c r="E5278" t="s">
        <v>3053</v>
      </c>
      <c r="F5278" t="s">
        <v>589</v>
      </c>
      <c r="G5278" t="s">
        <v>590</v>
      </c>
      <c r="H5278" t="s">
        <v>6628</v>
      </c>
      <c r="I5278">
        <v>20</v>
      </c>
      <c r="J5278">
        <v>20</v>
      </c>
      <c r="K5278">
        <v>0</v>
      </c>
      <c r="L5278">
        <v>0</v>
      </c>
      <c r="M5278">
        <v>0</v>
      </c>
      <c r="N5278">
        <v>0</v>
      </c>
      <c r="O5278">
        <v>0</v>
      </c>
    </row>
    <row r="5279" spans="1:15" x14ac:dyDescent="0.25">
      <c r="A5279" t="s">
        <v>1720</v>
      </c>
      <c r="B5279" t="s">
        <v>2655</v>
      </c>
      <c r="C5279" t="s">
        <v>927</v>
      </c>
      <c r="D5279" t="s">
        <v>3052</v>
      </c>
      <c r="E5279" t="s">
        <v>3053</v>
      </c>
      <c r="F5279" t="s">
        <v>589</v>
      </c>
      <c r="G5279" t="s">
        <v>590</v>
      </c>
      <c r="H5279" t="s">
        <v>6629</v>
      </c>
      <c r="I5279">
        <v>25</v>
      </c>
      <c r="J5279">
        <v>24</v>
      </c>
      <c r="K5279">
        <v>0</v>
      </c>
      <c r="L5279">
        <v>0</v>
      </c>
      <c r="M5279">
        <v>0</v>
      </c>
      <c r="N5279">
        <v>0</v>
      </c>
      <c r="O5279">
        <v>1</v>
      </c>
    </row>
    <row r="5280" spans="1:15" x14ac:dyDescent="0.25">
      <c r="A5280" t="s">
        <v>1729</v>
      </c>
      <c r="B5280" t="s">
        <v>2943</v>
      </c>
      <c r="C5280" t="s">
        <v>923</v>
      </c>
      <c r="D5280" t="s">
        <v>3063</v>
      </c>
      <c r="E5280" t="s">
        <v>3053</v>
      </c>
      <c r="F5280" t="s">
        <v>589</v>
      </c>
      <c r="G5280" t="s">
        <v>590</v>
      </c>
      <c r="H5280" t="s">
        <v>14917</v>
      </c>
      <c r="I5280">
        <v>11</v>
      </c>
      <c r="J5280">
        <v>11</v>
      </c>
      <c r="K5280">
        <v>0</v>
      </c>
      <c r="L5280">
        <v>0</v>
      </c>
      <c r="M5280">
        <v>0</v>
      </c>
      <c r="N5280">
        <v>0</v>
      </c>
      <c r="O5280">
        <v>0</v>
      </c>
    </row>
    <row r="5281" spans="1:15" x14ac:dyDescent="0.25">
      <c r="A5281" t="s">
        <v>1416</v>
      </c>
      <c r="B5281" t="s">
        <v>2029</v>
      </c>
      <c r="C5281" t="s">
        <v>923</v>
      </c>
      <c r="D5281" t="s">
        <v>3063</v>
      </c>
      <c r="E5281" t="s">
        <v>3053</v>
      </c>
      <c r="F5281" t="s">
        <v>589</v>
      </c>
      <c r="G5281" t="s">
        <v>590</v>
      </c>
      <c r="H5281" t="s">
        <v>12196</v>
      </c>
      <c r="I5281">
        <v>11</v>
      </c>
      <c r="J5281">
        <v>0</v>
      </c>
      <c r="K5281">
        <v>0</v>
      </c>
      <c r="L5281">
        <v>11</v>
      </c>
      <c r="M5281">
        <v>0</v>
      </c>
      <c r="N5281">
        <v>0</v>
      </c>
      <c r="O5281">
        <v>0</v>
      </c>
    </row>
    <row r="5282" spans="1:15" x14ac:dyDescent="0.25">
      <c r="A5282" t="s">
        <v>1732</v>
      </c>
      <c r="B5282" t="s">
        <v>2800</v>
      </c>
      <c r="C5282" t="s">
        <v>923</v>
      </c>
      <c r="D5282" t="s">
        <v>3063</v>
      </c>
      <c r="E5282" t="s">
        <v>3053</v>
      </c>
      <c r="F5282" t="s">
        <v>589</v>
      </c>
      <c r="G5282" t="s">
        <v>590</v>
      </c>
      <c r="H5282" t="s">
        <v>6630</v>
      </c>
      <c r="I5282">
        <v>32</v>
      </c>
      <c r="J5282">
        <v>32</v>
      </c>
      <c r="K5282">
        <v>0</v>
      </c>
      <c r="L5282">
        <v>0</v>
      </c>
      <c r="M5282">
        <v>0</v>
      </c>
      <c r="N5282">
        <v>0</v>
      </c>
      <c r="O5282">
        <v>0</v>
      </c>
    </row>
    <row r="5283" spans="1:15" x14ac:dyDescent="0.25">
      <c r="A5283" t="s">
        <v>1010</v>
      </c>
      <c r="B5283" t="s">
        <v>2639</v>
      </c>
      <c r="C5283" t="s">
        <v>927</v>
      </c>
      <c r="D5283" t="s">
        <v>3052</v>
      </c>
      <c r="E5283" t="s">
        <v>3053</v>
      </c>
      <c r="F5283" t="s">
        <v>589</v>
      </c>
      <c r="G5283" t="s">
        <v>590</v>
      </c>
      <c r="H5283" t="s">
        <v>6631</v>
      </c>
      <c r="I5283">
        <v>127</v>
      </c>
      <c r="J5283">
        <v>87</v>
      </c>
      <c r="K5283">
        <v>0</v>
      </c>
      <c r="L5283">
        <v>0</v>
      </c>
      <c r="M5283">
        <v>0</v>
      </c>
      <c r="N5283">
        <v>0</v>
      </c>
      <c r="O5283">
        <v>40</v>
      </c>
    </row>
    <row r="5284" spans="1:15" x14ac:dyDescent="0.25">
      <c r="A5284" t="s">
        <v>940</v>
      </c>
      <c r="B5284" t="s">
        <v>2647</v>
      </c>
      <c r="C5284" t="s">
        <v>927</v>
      </c>
      <c r="D5284" t="s">
        <v>3052</v>
      </c>
      <c r="E5284" t="s">
        <v>3053</v>
      </c>
      <c r="F5284" t="s">
        <v>589</v>
      </c>
      <c r="G5284" t="s">
        <v>590</v>
      </c>
      <c r="H5284" t="s">
        <v>6632</v>
      </c>
      <c r="I5284">
        <v>39</v>
      </c>
      <c r="J5284">
        <v>0</v>
      </c>
      <c r="K5284">
        <v>0</v>
      </c>
      <c r="L5284">
        <v>0</v>
      </c>
      <c r="M5284">
        <v>39</v>
      </c>
      <c r="N5284">
        <v>0</v>
      </c>
      <c r="O5284">
        <v>0</v>
      </c>
    </row>
    <row r="5285" spans="1:15" x14ac:dyDescent="0.25">
      <c r="A5285" t="s">
        <v>942</v>
      </c>
      <c r="B5285" t="s">
        <v>2113</v>
      </c>
      <c r="C5285" t="s">
        <v>927</v>
      </c>
      <c r="D5285" t="s">
        <v>3052</v>
      </c>
      <c r="E5285" t="s">
        <v>3053</v>
      </c>
      <c r="F5285" t="s">
        <v>589</v>
      </c>
      <c r="G5285" t="s">
        <v>590</v>
      </c>
      <c r="H5285" t="s">
        <v>6633</v>
      </c>
      <c r="I5285">
        <v>445</v>
      </c>
      <c r="J5285">
        <v>342</v>
      </c>
      <c r="K5285">
        <v>0</v>
      </c>
      <c r="L5285">
        <v>0</v>
      </c>
      <c r="M5285">
        <v>0</v>
      </c>
      <c r="N5285">
        <v>0</v>
      </c>
      <c r="O5285">
        <v>103</v>
      </c>
    </row>
    <row r="5286" spans="1:15" x14ac:dyDescent="0.25">
      <c r="A5286" t="s">
        <v>1051</v>
      </c>
      <c r="B5286" t="s">
        <v>2995</v>
      </c>
      <c r="C5286" t="s">
        <v>927</v>
      </c>
      <c r="D5286" t="s">
        <v>3052</v>
      </c>
      <c r="E5286" t="s">
        <v>3053</v>
      </c>
      <c r="F5286" t="s">
        <v>589</v>
      </c>
      <c r="G5286" t="s">
        <v>590</v>
      </c>
      <c r="H5286" t="s">
        <v>6634</v>
      </c>
      <c r="I5286">
        <v>3</v>
      </c>
      <c r="J5286">
        <v>0</v>
      </c>
      <c r="K5286">
        <v>0</v>
      </c>
      <c r="L5286">
        <v>3</v>
      </c>
      <c r="M5286">
        <v>0</v>
      </c>
      <c r="N5286">
        <v>0</v>
      </c>
      <c r="O5286">
        <v>0</v>
      </c>
    </row>
    <row r="5287" spans="1:15" x14ac:dyDescent="0.25">
      <c r="A5287" t="s">
        <v>11720</v>
      </c>
      <c r="B5287" t="s">
        <v>10718</v>
      </c>
      <c r="C5287" t="s">
        <v>927</v>
      </c>
      <c r="D5287" t="s">
        <v>3052</v>
      </c>
      <c r="E5287" t="s">
        <v>3053</v>
      </c>
      <c r="F5287" t="s">
        <v>589</v>
      </c>
      <c r="G5287" t="s">
        <v>590</v>
      </c>
      <c r="H5287" t="s">
        <v>14918</v>
      </c>
      <c r="I5287">
        <v>1</v>
      </c>
      <c r="J5287">
        <v>0</v>
      </c>
      <c r="K5287">
        <v>0</v>
      </c>
      <c r="L5287">
        <v>0</v>
      </c>
      <c r="M5287">
        <v>0</v>
      </c>
      <c r="N5287">
        <v>0</v>
      </c>
      <c r="O5287">
        <v>1</v>
      </c>
    </row>
    <row r="5288" spans="1:15" x14ac:dyDescent="0.25">
      <c r="A5288" t="s">
        <v>955</v>
      </c>
      <c r="B5288" t="s">
        <v>2660</v>
      </c>
      <c r="C5288" t="s">
        <v>927</v>
      </c>
      <c r="D5288" t="s">
        <v>3052</v>
      </c>
      <c r="E5288" t="s">
        <v>3053</v>
      </c>
      <c r="F5288" t="s">
        <v>589</v>
      </c>
      <c r="G5288" t="s">
        <v>590</v>
      </c>
      <c r="H5288" t="s">
        <v>6635</v>
      </c>
      <c r="I5288">
        <v>61</v>
      </c>
      <c r="J5288">
        <v>33</v>
      </c>
      <c r="K5288">
        <v>0</v>
      </c>
      <c r="L5288">
        <v>0</v>
      </c>
      <c r="M5288">
        <v>27</v>
      </c>
      <c r="N5288">
        <v>0</v>
      </c>
      <c r="O5288">
        <v>1</v>
      </c>
    </row>
    <row r="5289" spans="1:15" x14ac:dyDescent="0.25">
      <c r="A5289" t="s">
        <v>1765</v>
      </c>
      <c r="B5289" t="s">
        <v>2940</v>
      </c>
      <c r="C5289" t="s">
        <v>923</v>
      </c>
      <c r="D5289" t="s">
        <v>3063</v>
      </c>
      <c r="E5289" t="s">
        <v>3053</v>
      </c>
      <c r="F5289" t="s">
        <v>589</v>
      </c>
      <c r="G5289" t="s">
        <v>590</v>
      </c>
      <c r="H5289" t="s">
        <v>12197</v>
      </c>
      <c r="I5289">
        <v>2</v>
      </c>
      <c r="J5289">
        <v>2</v>
      </c>
      <c r="K5289">
        <v>0</v>
      </c>
      <c r="L5289">
        <v>0</v>
      </c>
      <c r="M5289">
        <v>0</v>
      </c>
      <c r="N5289">
        <v>0</v>
      </c>
      <c r="O5289">
        <v>0</v>
      </c>
    </row>
    <row r="5290" spans="1:15" x14ac:dyDescent="0.25">
      <c r="A5290" t="s">
        <v>960</v>
      </c>
      <c r="B5290" t="s">
        <v>2080</v>
      </c>
      <c r="C5290" t="s">
        <v>927</v>
      </c>
      <c r="D5290" t="s">
        <v>3052</v>
      </c>
      <c r="E5290" t="s">
        <v>3053</v>
      </c>
      <c r="F5290" t="s">
        <v>589</v>
      </c>
      <c r="G5290" t="s">
        <v>590</v>
      </c>
      <c r="H5290" t="s">
        <v>6636</v>
      </c>
      <c r="I5290">
        <v>316</v>
      </c>
      <c r="J5290">
        <v>242</v>
      </c>
      <c r="K5290">
        <v>0</v>
      </c>
      <c r="L5290">
        <v>0</v>
      </c>
      <c r="M5290">
        <v>0</v>
      </c>
      <c r="N5290">
        <v>0</v>
      </c>
      <c r="O5290">
        <v>74</v>
      </c>
    </row>
    <row r="5291" spans="1:15" x14ac:dyDescent="0.25">
      <c r="A5291" t="s">
        <v>1062</v>
      </c>
      <c r="B5291" t="s">
        <v>1993</v>
      </c>
      <c r="C5291" t="s">
        <v>927</v>
      </c>
      <c r="D5291" t="s">
        <v>3052</v>
      </c>
      <c r="E5291" t="s">
        <v>3053</v>
      </c>
      <c r="F5291" t="s">
        <v>589</v>
      </c>
      <c r="G5291" t="s">
        <v>590</v>
      </c>
      <c r="H5291" t="s">
        <v>6637</v>
      </c>
      <c r="I5291">
        <v>30</v>
      </c>
      <c r="J5291">
        <v>30</v>
      </c>
      <c r="K5291">
        <v>0</v>
      </c>
      <c r="L5291">
        <v>0</v>
      </c>
      <c r="M5291">
        <v>0</v>
      </c>
      <c r="N5291">
        <v>0</v>
      </c>
      <c r="O5291">
        <v>0</v>
      </c>
    </row>
    <row r="5292" spans="1:15" x14ac:dyDescent="0.25">
      <c r="A5292" t="s">
        <v>962</v>
      </c>
      <c r="B5292" t="s">
        <v>2752</v>
      </c>
      <c r="C5292" t="s">
        <v>927</v>
      </c>
      <c r="D5292" t="s">
        <v>3052</v>
      </c>
      <c r="E5292" t="s">
        <v>3053</v>
      </c>
      <c r="F5292" t="s">
        <v>589</v>
      </c>
      <c r="G5292" t="s">
        <v>590</v>
      </c>
      <c r="H5292" t="s">
        <v>6638</v>
      </c>
      <c r="I5292">
        <v>21</v>
      </c>
      <c r="J5292">
        <v>18</v>
      </c>
      <c r="K5292">
        <v>0</v>
      </c>
      <c r="L5292">
        <v>0</v>
      </c>
      <c r="M5292">
        <v>0</v>
      </c>
      <c r="N5292">
        <v>0</v>
      </c>
      <c r="O5292">
        <v>3</v>
      </c>
    </row>
    <row r="5293" spans="1:15" x14ac:dyDescent="0.25">
      <c r="A5293" t="s">
        <v>1770</v>
      </c>
      <c r="B5293" t="s">
        <v>3030</v>
      </c>
      <c r="C5293" t="s">
        <v>927</v>
      </c>
      <c r="D5293" t="s">
        <v>3052</v>
      </c>
      <c r="E5293" t="s">
        <v>3053</v>
      </c>
      <c r="F5293" t="s">
        <v>589</v>
      </c>
      <c r="G5293" t="s">
        <v>590</v>
      </c>
      <c r="H5293" t="s">
        <v>14919</v>
      </c>
      <c r="I5293">
        <v>26</v>
      </c>
      <c r="J5293">
        <v>22</v>
      </c>
      <c r="K5293">
        <v>0</v>
      </c>
      <c r="L5293">
        <v>0</v>
      </c>
      <c r="M5293">
        <v>0</v>
      </c>
      <c r="N5293">
        <v>0</v>
      </c>
      <c r="O5293">
        <v>4</v>
      </c>
    </row>
    <row r="5294" spans="1:15" x14ac:dyDescent="0.25">
      <c r="A5294" t="s">
        <v>1779</v>
      </c>
      <c r="B5294" t="s">
        <v>2549</v>
      </c>
      <c r="C5294" t="s">
        <v>923</v>
      </c>
      <c r="D5294" t="s">
        <v>3063</v>
      </c>
      <c r="E5294" t="s">
        <v>3053</v>
      </c>
      <c r="F5294" t="s">
        <v>589</v>
      </c>
      <c r="G5294" t="s">
        <v>590</v>
      </c>
      <c r="H5294" t="s">
        <v>6639</v>
      </c>
      <c r="I5294">
        <v>10</v>
      </c>
      <c r="J5294">
        <v>0</v>
      </c>
      <c r="K5294">
        <v>0</v>
      </c>
      <c r="L5294">
        <v>0</v>
      </c>
      <c r="M5294">
        <v>10</v>
      </c>
      <c r="N5294">
        <v>0</v>
      </c>
      <c r="O5294">
        <v>0</v>
      </c>
    </row>
    <row r="5295" spans="1:15" x14ac:dyDescent="0.25">
      <c r="A5295" t="s">
        <v>1069</v>
      </c>
      <c r="B5295" t="s">
        <v>2001</v>
      </c>
      <c r="C5295" t="s">
        <v>927</v>
      </c>
      <c r="D5295" t="s">
        <v>3052</v>
      </c>
      <c r="E5295" t="s">
        <v>3053</v>
      </c>
      <c r="F5295" t="s">
        <v>589</v>
      </c>
      <c r="G5295" t="s">
        <v>590</v>
      </c>
      <c r="H5295" t="s">
        <v>6640</v>
      </c>
      <c r="I5295">
        <v>98</v>
      </c>
      <c r="J5295">
        <v>25</v>
      </c>
      <c r="K5295">
        <v>0</v>
      </c>
      <c r="L5295">
        <v>21</v>
      </c>
      <c r="M5295">
        <v>52</v>
      </c>
      <c r="N5295">
        <v>0</v>
      </c>
      <c r="O5295">
        <v>0</v>
      </c>
    </row>
    <row r="5296" spans="1:15" x14ac:dyDescent="0.25">
      <c r="A5296" t="s">
        <v>1788</v>
      </c>
      <c r="B5296" t="s">
        <v>2188</v>
      </c>
      <c r="C5296" t="s">
        <v>923</v>
      </c>
      <c r="D5296" t="s">
        <v>3063</v>
      </c>
      <c r="E5296" t="s">
        <v>3053</v>
      </c>
      <c r="F5296" t="s">
        <v>589</v>
      </c>
      <c r="G5296" t="s">
        <v>590</v>
      </c>
      <c r="H5296" t="s">
        <v>6641</v>
      </c>
      <c r="I5296">
        <v>85</v>
      </c>
      <c r="J5296">
        <v>0</v>
      </c>
      <c r="K5296">
        <v>0</v>
      </c>
      <c r="L5296">
        <v>0</v>
      </c>
      <c r="M5296">
        <v>85</v>
      </c>
      <c r="N5296">
        <v>0</v>
      </c>
      <c r="O5296">
        <v>0</v>
      </c>
    </row>
    <row r="5297" spans="1:15" x14ac:dyDescent="0.25">
      <c r="A5297" t="s">
        <v>1791</v>
      </c>
      <c r="B5297" t="s">
        <v>2102</v>
      </c>
      <c r="C5297" t="s">
        <v>923</v>
      </c>
      <c r="D5297" t="s">
        <v>3063</v>
      </c>
      <c r="E5297" t="s">
        <v>3053</v>
      </c>
      <c r="F5297" t="s">
        <v>589</v>
      </c>
      <c r="G5297" t="s">
        <v>590</v>
      </c>
      <c r="H5297" t="s">
        <v>6642</v>
      </c>
      <c r="I5297">
        <v>4</v>
      </c>
      <c r="J5297">
        <v>4</v>
      </c>
      <c r="K5297">
        <v>0</v>
      </c>
      <c r="L5297">
        <v>0</v>
      </c>
      <c r="M5297">
        <v>0</v>
      </c>
      <c r="N5297">
        <v>0</v>
      </c>
      <c r="O5297">
        <v>0</v>
      </c>
    </row>
    <row r="5298" spans="1:15" x14ac:dyDescent="0.25">
      <c r="A5298" t="s">
        <v>1080</v>
      </c>
      <c r="B5298" t="s">
        <v>2030</v>
      </c>
      <c r="C5298" t="s">
        <v>923</v>
      </c>
      <c r="D5298" t="s">
        <v>3063</v>
      </c>
      <c r="E5298" t="s">
        <v>3053</v>
      </c>
      <c r="F5298" t="s">
        <v>589</v>
      </c>
      <c r="G5298" t="s">
        <v>590</v>
      </c>
      <c r="H5298" t="s">
        <v>6643</v>
      </c>
      <c r="I5298">
        <v>20</v>
      </c>
      <c r="J5298">
        <v>0</v>
      </c>
      <c r="K5298">
        <v>0</v>
      </c>
      <c r="L5298">
        <v>20</v>
      </c>
      <c r="M5298">
        <v>0</v>
      </c>
      <c r="N5298">
        <v>0</v>
      </c>
      <c r="O5298">
        <v>0</v>
      </c>
    </row>
    <row r="5299" spans="1:15" x14ac:dyDescent="0.25">
      <c r="A5299" t="s">
        <v>1793</v>
      </c>
      <c r="B5299" t="s">
        <v>2075</v>
      </c>
      <c r="C5299" t="s">
        <v>927</v>
      </c>
      <c r="D5299" t="s">
        <v>3052</v>
      </c>
      <c r="E5299" t="s">
        <v>3053</v>
      </c>
      <c r="F5299" t="s">
        <v>589</v>
      </c>
      <c r="G5299" t="s">
        <v>590</v>
      </c>
      <c r="H5299" t="s">
        <v>6644</v>
      </c>
      <c r="I5299">
        <v>316</v>
      </c>
      <c r="J5299">
        <v>221</v>
      </c>
      <c r="K5299">
        <v>0</v>
      </c>
      <c r="L5299">
        <v>0</v>
      </c>
      <c r="M5299">
        <v>71</v>
      </c>
      <c r="N5299">
        <v>0</v>
      </c>
      <c r="O5299">
        <v>24</v>
      </c>
    </row>
    <row r="5300" spans="1:15" x14ac:dyDescent="0.25">
      <c r="A5300" t="s">
        <v>11715</v>
      </c>
      <c r="B5300" t="s">
        <v>2784</v>
      </c>
      <c r="C5300" t="s">
        <v>927</v>
      </c>
      <c r="D5300" t="s">
        <v>3052</v>
      </c>
      <c r="E5300" t="s">
        <v>3053</v>
      </c>
      <c r="F5300" t="s">
        <v>589</v>
      </c>
      <c r="G5300" t="s">
        <v>590</v>
      </c>
      <c r="H5300" t="s">
        <v>12198</v>
      </c>
      <c r="I5300">
        <v>95</v>
      </c>
      <c r="J5300">
        <v>85</v>
      </c>
      <c r="K5300">
        <v>0</v>
      </c>
      <c r="L5300">
        <v>0</v>
      </c>
      <c r="M5300">
        <v>0</v>
      </c>
      <c r="N5300">
        <v>0</v>
      </c>
      <c r="O5300">
        <v>10</v>
      </c>
    </row>
    <row r="5301" spans="1:15" x14ac:dyDescent="0.25">
      <c r="A5301" t="s">
        <v>929</v>
      </c>
      <c r="B5301" t="s">
        <v>2999</v>
      </c>
      <c r="C5301" t="s">
        <v>927</v>
      </c>
      <c r="D5301" t="s">
        <v>3052</v>
      </c>
      <c r="E5301" t="s">
        <v>3053</v>
      </c>
      <c r="F5301" t="s">
        <v>591</v>
      </c>
      <c r="G5301" t="s">
        <v>592</v>
      </c>
      <c r="H5301" t="s">
        <v>6645</v>
      </c>
      <c r="I5301">
        <v>31</v>
      </c>
      <c r="J5301">
        <v>0</v>
      </c>
      <c r="K5301">
        <v>0</v>
      </c>
      <c r="L5301">
        <v>0</v>
      </c>
      <c r="M5301">
        <v>31</v>
      </c>
      <c r="N5301">
        <v>0</v>
      </c>
      <c r="O5301">
        <v>0</v>
      </c>
    </row>
    <row r="5302" spans="1:15" x14ac:dyDescent="0.25">
      <c r="A5302" t="s">
        <v>933</v>
      </c>
      <c r="B5302" t="s">
        <v>2106</v>
      </c>
      <c r="C5302" t="s">
        <v>927</v>
      </c>
      <c r="D5302" t="s">
        <v>3052</v>
      </c>
      <c r="E5302" t="s">
        <v>3053</v>
      </c>
      <c r="F5302" t="s">
        <v>591</v>
      </c>
      <c r="G5302" t="s">
        <v>592</v>
      </c>
      <c r="H5302" t="s">
        <v>6646</v>
      </c>
      <c r="I5302">
        <v>202</v>
      </c>
      <c r="J5302">
        <v>91</v>
      </c>
      <c r="K5302">
        <v>0</v>
      </c>
      <c r="L5302">
        <v>0</v>
      </c>
      <c r="M5302">
        <v>0</v>
      </c>
      <c r="N5302">
        <v>0</v>
      </c>
      <c r="O5302">
        <v>111</v>
      </c>
    </row>
    <row r="5303" spans="1:15" x14ac:dyDescent="0.25">
      <c r="A5303" t="s">
        <v>1110</v>
      </c>
      <c r="B5303" t="s">
        <v>2888</v>
      </c>
      <c r="C5303" t="s">
        <v>927</v>
      </c>
      <c r="D5303" t="s">
        <v>3052</v>
      </c>
      <c r="E5303" t="s">
        <v>3053</v>
      </c>
      <c r="F5303" t="s">
        <v>591</v>
      </c>
      <c r="G5303" t="s">
        <v>592</v>
      </c>
      <c r="H5303" t="s">
        <v>11141</v>
      </c>
      <c r="I5303">
        <v>15</v>
      </c>
      <c r="J5303">
        <v>11</v>
      </c>
      <c r="K5303">
        <v>0</v>
      </c>
      <c r="L5303">
        <v>0</v>
      </c>
      <c r="M5303">
        <v>0</v>
      </c>
      <c r="N5303">
        <v>0</v>
      </c>
      <c r="O5303">
        <v>4</v>
      </c>
    </row>
    <row r="5304" spans="1:15" x14ac:dyDescent="0.25">
      <c r="A5304" t="s">
        <v>1113</v>
      </c>
      <c r="B5304" t="s">
        <v>1953</v>
      </c>
      <c r="C5304" t="s">
        <v>927</v>
      </c>
      <c r="D5304" t="s">
        <v>3052</v>
      </c>
      <c r="E5304" t="s">
        <v>3053</v>
      </c>
      <c r="F5304" t="s">
        <v>591</v>
      </c>
      <c r="G5304" t="s">
        <v>592</v>
      </c>
      <c r="H5304" t="s">
        <v>6647</v>
      </c>
      <c r="I5304">
        <v>970</v>
      </c>
      <c r="J5304">
        <v>749</v>
      </c>
      <c r="K5304">
        <v>0</v>
      </c>
      <c r="L5304">
        <v>0</v>
      </c>
      <c r="M5304">
        <v>13</v>
      </c>
      <c r="N5304">
        <v>18</v>
      </c>
      <c r="O5304">
        <v>208</v>
      </c>
    </row>
    <row r="5305" spans="1:15" x14ac:dyDescent="0.25">
      <c r="A5305" t="s">
        <v>10638</v>
      </c>
      <c r="B5305" t="s">
        <v>2057</v>
      </c>
      <c r="C5305" t="s">
        <v>927</v>
      </c>
      <c r="D5305" t="s">
        <v>3052</v>
      </c>
      <c r="E5305" t="s">
        <v>3053</v>
      </c>
      <c r="F5305" t="s">
        <v>591</v>
      </c>
      <c r="G5305" t="s">
        <v>592</v>
      </c>
      <c r="H5305" t="s">
        <v>11142</v>
      </c>
      <c r="I5305">
        <v>1</v>
      </c>
      <c r="J5305">
        <v>0</v>
      </c>
      <c r="K5305">
        <v>0</v>
      </c>
      <c r="L5305">
        <v>1</v>
      </c>
      <c r="M5305">
        <v>0</v>
      </c>
      <c r="N5305">
        <v>0</v>
      </c>
      <c r="O5305">
        <v>0</v>
      </c>
    </row>
    <row r="5306" spans="1:15" x14ac:dyDescent="0.25">
      <c r="A5306" t="s">
        <v>1010</v>
      </c>
      <c r="B5306" t="s">
        <v>2639</v>
      </c>
      <c r="C5306" t="s">
        <v>927</v>
      </c>
      <c r="D5306" t="s">
        <v>3052</v>
      </c>
      <c r="E5306" t="s">
        <v>3053</v>
      </c>
      <c r="F5306" t="s">
        <v>591</v>
      </c>
      <c r="G5306" t="s">
        <v>592</v>
      </c>
      <c r="H5306" t="s">
        <v>6648</v>
      </c>
      <c r="I5306">
        <v>77</v>
      </c>
      <c r="J5306">
        <v>35</v>
      </c>
      <c r="K5306">
        <v>0</v>
      </c>
      <c r="L5306">
        <v>0</v>
      </c>
      <c r="M5306">
        <v>0</v>
      </c>
      <c r="N5306">
        <v>0</v>
      </c>
      <c r="O5306">
        <v>42</v>
      </c>
    </row>
    <row r="5307" spans="1:15" x14ac:dyDescent="0.25">
      <c r="A5307" t="s">
        <v>937</v>
      </c>
      <c r="B5307" t="s">
        <v>1962</v>
      </c>
      <c r="C5307" t="s">
        <v>927</v>
      </c>
      <c r="D5307" t="s">
        <v>3052</v>
      </c>
      <c r="E5307" t="s">
        <v>3053</v>
      </c>
      <c r="F5307" t="s">
        <v>591</v>
      </c>
      <c r="G5307" t="s">
        <v>592</v>
      </c>
      <c r="H5307" t="s">
        <v>6649</v>
      </c>
      <c r="I5307">
        <v>52</v>
      </c>
      <c r="J5307">
        <v>0</v>
      </c>
      <c r="K5307">
        <v>0</v>
      </c>
      <c r="L5307">
        <v>0</v>
      </c>
      <c r="M5307">
        <v>0</v>
      </c>
      <c r="N5307">
        <v>0</v>
      </c>
      <c r="O5307">
        <v>52</v>
      </c>
    </row>
    <row r="5308" spans="1:15" x14ac:dyDescent="0.25">
      <c r="A5308" t="s">
        <v>940</v>
      </c>
      <c r="B5308" t="s">
        <v>2647</v>
      </c>
      <c r="C5308" t="s">
        <v>927</v>
      </c>
      <c r="D5308" t="s">
        <v>3052</v>
      </c>
      <c r="E5308" t="s">
        <v>3053</v>
      </c>
      <c r="F5308" t="s">
        <v>591</v>
      </c>
      <c r="G5308" t="s">
        <v>592</v>
      </c>
      <c r="H5308" t="s">
        <v>6650</v>
      </c>
      <c r="I5308">
        <v>65</v>
      </c>
      <c r="J5308">
        <v>0</v>
      </c>
      <c r="K5308">
        <v>0</v>
      </c>
      <c r="L5308">
        <v>0</v>
      </c>
      <c r="M5308">
        <v>33</v>
      </c>
      <c r="N5308">
        <v>0</v>
      </c>
      <c r="O5308">
        <v>32</v>
      </c>
    </row>
    <row r="5309" spans="1:15" x14ac:dyDescent="0.25">
      <c r="A5309" t="s">
        <v>10667</v>
      </c>
      <c r="B5309" t="s">
        <v>10666</v>
      </c>
      <c r="C5309" t="s">
        <v>927</v>
      </c>
      <c r="D5309" t="s">
        <v>3052</v>
      </c>
      <c r="E5309" t="s">
        <v>3053</v>
      </c>
      <c r="F5309" t="s">
        <v>591</v>
      </c>
      <c r="G5309" t="s">
        <v>592</v>
      </c>
      <c r="H5309" t="s">
        <v>12199</v>
      </c>
      <c r="I5309">
        <v>22</v>
      </c>
      <c r="J5309">
        <v>22</v>
      </c>
      <c r="K5309">
        <v>0</v>
      </c>
      <c r="L5309">
        <v>0</v>
      </c>
      <c r="M5309">
        <v>0</v>
      </c>
      <c r="N5309">
        <v>0</v>
      </c>
      <c r="O5309">
        <v>0</v>
      </c>
    </row>
    <row r="5310" spans="1:15" x14ac:dyDescent="0.25">
      <c r="A5310" t="s">
        <v>1126</v>
      </c>
      <c r="B5310" t="s">
        <v>2130</v>
      </c>
      <c r="C5310" t="s">
        <v>927</v>
      </c>
      <c r="D5310" t="s">
        <v>3052</v>
      </c>
      <c r="E5310" t="s">
        <v>3053</v>
      </c>
      <c r="F5310" t="s">
        <v>591</v>
      </c>
      <c r="G5310" t="s">
        <v>592</v>
      </c>
      <c r="H5310" t="s">
        <v>11143</v>
      </c>
      <c r="I5310">
        <v>17</v>
      </c>
      <c r="J5310">
        <v>2</v>
      </c>
      <c r="K5310">
        <v>0</v>
      </c>
      <c r="L5310">
        <v>0</v>
      </c>
      <c r="M5310">
        <v>0</v>
      </c>
      <c r="N5310">
        <v>0</v>
      </c>
      <c r="O5310">
        <v>15</v>
      </c>
    </row>
    <row r="5311" spans="1:15" x14ac:dyDescent="0.25">
      <c r="A5311" t="s">
        <v>1041</v>
      </c>
      <c r="B5311" t="s">
        <v>2826</v>
      </c>
      <c r="C5311" t="s">
        <v>927</v>
      </c>
      <c r="D5311" t="s">
        <v>3052</v>
      </c>
      <c r="E5311" t="s">
        <v>3053</v>
      </c>
      <c r="F5311" t="s">
        <v>591</v>
      </c>
      <c r="G5311" t="s">
        <v>592</v>
      </c>
      <c r="H5311" t="s">
        <v>6651</v>
      </c>
      <c r="I5311">
        <v>83</v>
      </c>
      <c r="J5311">
        <v>0</v>
      </c>
      <c r="K5311">
        <v>0</v>
      </c>
      <c r="L5311">
        <v>0</v>
      </c>
      <c r="M5311">
        <v>0</v>
      </c>
      <c r="N5311">
        <v>0</v>
      </c>
      <c r="O5311">
        <v>83</v>
      </c>
    </row>
    <row r="5312" spans="1:15" x14ac:dyDescent="0.25">
      <c r="A5312" t="s">
        <v>9787</v>
      </c>
      <c r="B5312" t="s">
        <v>2822</v>
      </c>
      <c r="C5312" t="s">
        <v>927</v>
      </c>
      <c r="D5312" t="s">
        <v>3052</v>
      </c>
      <c r="E5312" t="s">
        <v>3053</v>
      </c>
      <c r="F5312" t="s">
        <v>591</v>
      </c>
      <c r="G5312" t="s">
        <v>592</v>
      </c>
      <c r="H5312" t="s">
        <v>10266</v>
      </c>
      <c r="I5312">
        <v>384</v>
      </c>
      <c r="J5312">
        <v>361</v>
      </c>
      <c r="K5312">
        <v>0</v>
      </c>
      <c r="L5312">
        <v>23</v>
      </c>
      <c r="M5312">
        <v>0</v>
      </c>
      <c r="N5312">
        <v>0</v>
      </c>
      <c r="O5312">
        <v>0</v>
      </c>
    </row>
    <row r="5313" spans="1:15" x14ac:dyDescent="0.25">
      <c r="A5313" t="s">
        <v>1141</v>
      </c>
      <c r="B5313" t="s">
        <v>2642</v>
      </c>
      <c r="C5313" t="s">
        <v>927</v>
      </c>
      <c r="D5313" t="s">
        <v>3052</v>
      </c>
      <c r="E5313" t="s">
        <v>3053</v>
      </c>
      <c r="F5313" t="s">
        <v>591</v>
      </c>
      <c r="G5313" t="s">
        <v>592</v>
      </c>
      <c r="H5313" t="s">
        <v>6652</v>
      </c>
      <c r="I5313">
        <v>377</v>
      </c>
      <c r="J5313">
        <v>266</v>
      </c>
      <c r="K5313">
        <v>0</v>
      </c>
      <c r="L5313">
        <v>16</v>
      </c>
      <c r="M5313">
        <v>72</v>
      </c>
      <c r="N5313">
        <v>0</v>
      </c>
      <c r="O5313">
        <v>23</v>
      </c>
    </row>
    <row r="5314" spans="1:15" x14ac:dyDescent="0.25">
      <c r="A5314" t="s">
        <v>951</v>
      </c>
      <c r="B5314" t="s">
        <v>2680</v>
      </c>
      <c r="C5314" t="s">
        <v>927</v>
      </c>
      <c r="D5314" t="s">
        <v>3052</v>
      </c>
      <c r="E5314" t="s">
        <v>3053</v>
      </c>
      <c r="F5314" t="s">
        <v>591</v>
      </c>
      <c r="G5314" t="s">
        <v>592</v>
      </c>
      <c r="H5314" t="s">
        <v>6653</v>
      </c>
      <c r="I5314">
        <v>39</v>
      </c>
      <c r="J5314">
        <v>39</v>
      </c>
      <c r="K5314">
        <v>0</v>
      </c>
      <c r="L5314">
        <v>0</v>
      </c>
      <c r="M5314">
        <v>0</v>
      </c>
      <c r="N5314">
        <v>0</v>
      </c>
      <c r="O5314">
        <v>0</v>
      </c>
    </row>
    <row r="5315" spans="1:15" x14ac:dyDescent="0.25">
      <c r="A5315" t="s">
        <v>1051</v>
      </c>
      <c r="B5315" t="s">
        <v>2995</v>
      </c>
      <c r="C5315" t="s">
        <v>927</v>
      </c>
      <c r="D5315" t="s">
        <v>3052</v>
      </c>
      <c r="E5315" t="s">
        <v>3053</v>
      </c>
      <c r="F5315" t="s">
        <v>591</v>
      </c>
      <c r="G5315" t="s">
        <v>592</v>
      </c>
      <c r="H5315" t="s">
        <v>6654</v>
      </c>
      <c r="I5315">
        <v>3</v>
      </c>
      <c r="J5315">
        <v>0</v>
      </c>
      <c r="K5315">
        <v>0</v>
      </c>
      <c r="L5315">
        <v>3</v>
      </c>
      <c r="M5315">
        <v>0</v>
      </c>
      <c r="N5315">
        <v>0</v>
      </c>
      <c r="O5315">
        <v>0</v>
      </c>
    </row>
    <row r="5316" spans="1:15" x14ac:dyDescent="0.25">
      <c r="A5316" t="s">
        <v>10809</v>
      </c>
      <c r="B5316" t="s">
        <v>10808</v>
      </c>
      <c r="C5316" t="s">
        <v>923</v>
      </c>
      <c r="D5316" t="s">
        <v>3063</v>
      </c>
      <c r="E5316" t="s">
        <v>3053</v>
      </c>
      <c r="F5316" t="s">
        <v>591</v>
      </c>
      <c r="G5316" t="s">
        <v>592</v>
      </c>
      <c r="H5316" t="s">
        <v>14920</v>
      </c>
      <c r="I5316">
        <v>1</v>
      </c>
      <c r="J5316">
        <v>1</v>
      </c>
      <c r="K5316">
        <v>0</v>
      </c>
      <c r="L5316">
        <v>0</v>
      </c>
      <c r="M5316">
        <v>0</v>
      </c>
      <c r="N5316">
        <v>0</v>
      </c>
      <c r="O5316">
        <v>0</v>
      </c>
    </row>
    <row r="5317" spans="1:15" x14ac:dyDescent="0.25">
      <c r="A5317" t="s">
        <v>1152</v>
      </c>
      <c r="B5317" t="s">
        <v>3031</v>
      </c>
      <c r="C5317" t="s">
        <v>927</v>
      </c>
      <c r="D5317" t="s">
        <v>3052</v>
      </c>
      <c r="E5317" t="s">
        <v>3053</v>
      </c>
      <c r="F5317" t="s">
        <v>591</v>
      </c>
      <c r="G5317" t="s">
        <v>592</v>
      </c>
      <c r="H5317" t="s">
        <v>6655</v>
      </c>
      <c r="I5317">
        <v>44</v>
      </c>
      <c r="J5317">
        <v>13</v>
      </c>
      <c r="K5317">
        <v>0</v>
      </c>
      <c r="L5317">
        <v>5</v>
      </c>
      <c r="M5317">
        <v>0</v>
      </c>
      <c r="N5317">
        <v>0</v>
      </c>
      <c r="O5317">
        <v>26</v>
      </c>
    </row>
    <row r="5318" spans="1:15" x14ac:dyDescent="0.25">
      <c r="A5318" t="s">
        <v>11720</v>
      </c>
      <c r="B5318" t="s">
        <v>10718</v>
      </c>
      <c r="C5318" t="s">
        <v>927</v>
      </c>
      <c r="D5318" t="s">
        <v>3052</v>
      </c>
      <c r="E5318" t="s">
        <v>3053</v>
      </c>
      <c r="F5318" t="s">
        <v>591</v>
      </c>
      <c r="G5318" t="s">
        <v>592</v>
      </c>
      <c r="H5318" t="s">
        <v>14921</v>
      </c>
      <c r="I5318">
        <v>71</v>
      </c>
      <c r="J5318">
        <v>12</v>
      </c>
      <c r="K5318">
        <v>0</v>
      </c>
      <c r="L5318">
        <v>0</v>
      </c>
      <c r="M5318">
        <v>0</v>
      </c>
      <c r="N5318">
        <v>0</v>
      </c>
      <c r="O5318">
        <v>59</v>
      </c>
    </row>
    <row r="5319" spans="1:15" x14ac:dyDescent="0.25">
      <c r="A5319" t="s">
        <v>9788</v>
      </c>
      <c r="B5319" t="s">
        <v>9871</v>
      </c>
      <c r="C5319" t="s">
        <v>927</v>
      </c>
      <c r="D5319" t="s">
        <v>3052</v>
      </c>
      <c r="E5319" t="s">
        <v>3053</v>
      </c>
      <c r="F5319" t="s">
        <v>591</v>
      </c>
      <c r="G5319" t="s">
        <v>592</v>
      </c>
      <c r="H5319" t="s">
        <v>11144</v>
      </c>
      <c r="I5319">
        <v>86</v>
      </c>
      <c r="J5319">
        <v>86</v>
      </c>
      <c r="K5319">
        <v>0</v>
      </c>
      <c r="L5319">
        <v>0</v>
      </c>
      <c r="M5319">
        <v>0</v>
      </c>
      <c r="N5319">
        <v>0</v>
      </c>
      <c r="O5319">
        <v>0</v>
      </c>
    </row>
    <row r="5320" spans="1:15" x14ac:dyDescent="0.25">
      <c r="A5320" t="s">
        <v>1057</v>
      </c>
      <c r="B5320" t="s">
        <v>1972</v>
      </c>
      <c r="C5320" t="s">
        <v>927</v>
      </c>
      <c r="D5320" t="s">
        <v>3052</v>
      </c>
      <c r="E5320" t="s">
        <v>3053</v>
      </c>
      <c r="F5320" t="s">
        <v>591</v>
      </c>
      <c r="G5320" t="s">
        <v>592</v>
      </c>
      <c r="H5320" t="s">
        <v>6656</v>
      </c>
      <c r="I5320">
        <v>9</v>
      </c>
      <c r="J5320">
        <v>0</v>
      </c>
      <c r="K5320">
        <v>0</v>
      </c>
      <c r="L5320">
        <v>0</v>
      </c>
      <c r="M5320">
        <v>0</v>
      </c>
      <c r="N5320">
        <v>0</v>
      </c>
      <c r="O5320">
        <v>9</v>
      </c>
    </row>
    <row r="5321" spans="1:15" x14ac:dyDescent="0.25">
      <c r="A5321" t="s">
        <v>955</v>
      </c>
      <c r="B5321" t="s">
        <v>2660</v>
      </c>
      <c r="C5321" t="s">
        <v>927</v>
      </c>
      <c r="D5321" t="s">
        <v>3052</v>
      </c>
      <c r="E5321" t="s">
        <v>3053</v>
      </c>
      <c r="F5321" t="s">
        <v>591</v>
      </c>
      <c r="G5321" t="s">
        <v>592</v>
      </c>
      <c r="H5321" t="s">
        <v>6657</v>
      </c>
      <c r="I5321">
        <v>162</v>
      </c>
      <c r="J5321">
        <v>99</v>
      </c>
      <c r="K5321">
        <v>0</v>
      </c>
      <c r="L5321">
        <v>23</v>
      </c>
      <c r="M5321">
        <v>34</v>
      </c>
      <c r="N5321">
        <v>0</v>
      </c>
      <c r="O5321">
        <v>6</v>
      </c>
    </row>
    <row r="5322" spans="1:15" x14ac:dyDescent="0.25">
      <c r="A5322" t="s">
        <v>9795</v>
      </c>
      <c r="B5322" t="s">
        <v>1982</v>
      </c>
      <c r="C5322" t="s">
        <v>923</v>
      </c>
      <c r="D5322" t="s">
        <v>3063</v>
      </c>
      <c r="E5322" t="s">
        <v>3053</v>
      </c>
      <c r="F5322" t="s">
        <v>591</v>
      </c>
      <c r="G5322" t="s">
        <v>592</v>
      </c>
      <c r="H5322" t="s">
        <v>10417</v>
      </c>
      <c r="I5322">
        <v>14</v>
      </c>
      <c r="J5322">
        <v>0</v>
      </c>
      <c r="K5322">
        <v>0</v>
      </c>
      <c r="L5322">
        <v>14</v>
      </c>
      <c r="M5322">
        <v>0</v>
      </c>
      <c r="N5322">
        <v>3</v>
      </c>
      <c r="O5322">
        <v>0</v>
      </c>
    </row>
    <row r="5323" spans="1:15" x14ac:dyDescent="0.25">
      <c r="A5323" t="s">
        <v>14374</v>
      </c>
      <c r="B5323" t="s">
        <v>1943</v>
      </c>
      <c r="C5323" t="s">
        <v>927</v>
      </c>
      <c r="D5323" t="s">
        <v>3052</v>
      </c>
      <c r="E5323" t="s">
        <v>3053</v>
      </c>
      <c r="F5323" t="s">
        <v>591</v>
      </c>
      <c r="G5323" t="s">
        <v>592</v>
      </c>
      <c r="H5323" t="s">
        <v>14922</v>
      </c>
      <c r="I5323">
        <v>35</v>
      </c>
      <c r="J5323">
        <v>0</v>
      </c>
      <c r="K5323">
        <v>0</v>
      </c>
      <c r="L5323">
        <v>0</v>
      </c>
      <c r="M5323">
        <v>0</v>
      </c>
      <c r="N5323">
        <v>0</v>
      </c>
      <c r="O5323">
        <v>35</v>
      </c>
    </row>
    <row r="5324" spans="1:15" x14ac:dyDescent="0.25">
      <c r="A5324" t="s">
        <v>1172</v>
      </c>
      <c r="B5324" t="s">
        <v>3023</v>
      </c>
      <c r="C5324" t="s">
        <v>927</v>
      </c>
      <c r="D5324" t="s">
        <v>3052</v>
      </c>
      <c r="E5324" t="s">
        <v>3053</v>
      </c>
      <c r="F5324" t="s">
        <v>591</v>
      </c>
      <c r="G5324" t="s">
        <v>592</v>
      </c>
      <c r="H5324" t="s">
        <v>6658</v>
      </c>
      <c r="I5324">
        <v>342</v>
      </c>
      <c r="J5324">
        <v>271</v>
      </c>
      <c r="K5324">
        <v>0</v>
      </c>
      <c r="L5324">
        <v>0</v>
      </c>
      <c r="M5324">
        <v>0</v>
      </c>
      <c r="N5324">
        <v>0</v>
      </c>
      <c r="O5324">
        <v>71</v>
      </c>
    </row>
    <row r="5325" spans="1:15" x14ac:dyDescent="0.25">
      <c r="A5325" t="s">
        <v>1176</v>
      </c>
      <c r="B5325" t="s">
        <v>2952</v>
      </c>
      <c r="C5325" t="s">
        <v>923</v>
      </c>
      <c r="D5325" t="s">
        <v>3063</v>
      </c>
      <c r="E5325" t="s">
        <v>3053</v>
      </c>
      <c r="F5325" t="s">
        <v>591</v>
      </c>
      <c r="G5325" t="s">
        <v>592</v>
      </c>
      <c r="H5325" t="s">
        <v>6659</v>
      </c>
      <c r="I5325">
        <v>9</v>
      </c>
      <c r="J5325">
        <v>0</v>
      </c>
      <c r="K5325">
        <v>0</v>
      </c>
      <c r="L5325">
        <v>9</v>
      </c>
      <c r="M5325">
        <v>0</v>
      </c>
      <c r="N5325">
        <v>0</v>
      </c>
      <c r="O5325">
        <v>0</v>
      </c>
    </row>
    <row r="5326" spans="1:15" x14ac:dyDescent="0.25">
      <c r="A5326" t="s">
        <v>1072</v>
      </c>
      <c r="B5326" t="s">
        <v>2907</v>
      </c>
      <c r="C5326" t="s">
        <v>927</v>
      </c>
      <c r="D5326" t="s">
        <v>3052</v>
      </c>
      <c r="E5326" t="s">
        <v>3053</v>
      </c>
      <c r="F5326" t="s">
        <v>591</v>
      </c>
      <c r="G5326" t="s">
        <v>592</v>
      </c>
      <c r="H5326" t="s">
        <v>6660</v>
      </c>
      <c r="I5326">
        <v>19</v>
      </c>
      <c r="J5326">
        <v>0</v>
      </c>
      <c r="K5326">
        <v>0</v>
      </c>
      <c r="L5326">
        <v>0</v>
      </c>
      <c r="M5326">
        <v>19</v>
      </c>
      <c r="N5326">
        <v>0</v>
      </c>
      <c r="O5326">
        <v>0</v>
      </c>
    </row>
    <row r="5327" spans="1:15" x14ac:dyDescent="0.25">
      <c r="A5327" t="s">
        <v>1183</v>
      </c>
      <c r="B5327" t="s">
        <v>2108</v>
      </c>
      <c r="C5327" t="s">
        <v>923</v>
      </c>
      <c r="D5327" t="s">
        <v>3063</v>
      </c>
      <c r="E5327" t="s">
        <v>3053</v>
      </c>
      <c r="F5327" t="s">
        <v>591</v>
      </c>
      <c r="G5327" t="s">
        <v>592</v>
      </c>
      <c r="H5327" t="s">
        <v>11145</v>
      </c>
      <c r="I5327">
        <v>3</v>
      </c>
      <c r="J5327">
        <v>3</v>
      </c>
      <c r="K5327">
        <v>0</v>
      </c>
      <c r="L5327">
        <v>0</v>
      </c>
      <c r="M5327">
        <v>0</v>
      </c>
      <c r="N5327">
        <v>0</v>
      </c>
      <c r="O5327">
        <v>0</v>
      </c>
    </row>
    <row r="5328" spans="1:15" x14ac:dyDescent="0.25">
      <c r="A5328" t="s">
        <v>10568</v>
      </c>
      <c r="B5328" t="s">
        <v>10567</v>
      </c>
      <c r="C5328" t="s">
        <v>927</v>
      </c>
      <c r="D5328" t="s">
        <v>3052</v>
      </c>
      <c r="E5328" t="s">
        <v>3053</v>
      </c>
      <c r="F5328" t="s">
        <v>593</v>
      </c>
      <c r="G5328" t="s">
        <v>594</v>
      </c>
      <c r="H5328" t="s">
        <v>11146</v>
      </c>
      <c r="I5328">
        <v>68</v>
      </c>
      <c r="J5328">
        <v>42</v>
      </c>
      <c r="K5328">
        <v>0</v>
      </c>
      <c r="L5328">
        <v>0</v>
      </c>
      <c r="M5328">
        <v>0</v>
      </c>
      <c r="N5328">
        <v>0</v>
      </c>
      <c r="O5328">
        <v>26</v>
      </c>
    </row>
    <row r="5329" spans="1:15" x14ac:dyDescent="0.25">
      <c r="A5329" t="s">
        <v>971</v>
      </c>
      <c r="B5329" t="s">
        <v>2956</v>
      </c>
      <c r="C5329" t="s">
        <v>927</v>
      </c>
      <c r="D5329" t="s">
        <v>3052</v>
      </c>
      <c r="E5329" t="s">
        <v>3053</v>
      </c>
      <c r="F5329" t="s">
        <v>593</v>
      </c>
      <c r="G5329" t="s">
        <v>594</v>
      </c>
      <c r="H5329" t="s">
        <v>6661</v>
      </c>
      <c r="I5329">
        <v>114</v>
      </c>
      <c r="J5329">
        <v>104</v>
      </c>
      <c r="K5329">
        <v>0</v>
      </c>
      <c r="L5329">
        <v>0</v>
      </c>
      <c r="M5329">
        <v>0</v>
      </c>
      <c r="N5329">
        <v>0</v>
      </c>
      <c r="O5329">
        <v>10</v>
      </c>
    </row>
    <row r="5330" spans="1:15" x14ac:dyDescent="0.25">
      <c r="A5330" t="s">
        <v>929</v>
      </c>
      <c r="B5330" t="s">
        <v>2999</v>
      </c>
      <c r="C5330" t="s">
        <v>927</v>
      </c>
      <c r="D5330" t="s">
        <v>3052</v>
      </c>
      <c r="E5330" t="s">
        <v>3053</v>
      </c>
      <c r="F5330" t="s">
        <v>593</v>
      </c>
      <c r="G5330" t="s">
        <v>594</v>
      </c>
      <c r="H5330" t="s">
        <v>6662</v>
      </c>
      <c r="I5330">
        <v>140</v>
      </c>
      <c r="J5330">
        <v>0</v>
      </c>
      <c r="K5330">
        <v>0</v>
      </c>
      <c r="L5330">
        <v>0</v>
      </c>
      <c r="M5330">
        <v>140</v>
      </c>
      <c r="N5330">
        <v>0</v>
      </c>
      <c r="O5330">
        <v>0</v>
      </c>
    </row>
    <row r="5331" spans="1:15" x14ac:dyDescent="0.25">
      <c r="A5331" t="s">
        <v>10520</v>
      </c>
      <c r="B5331" t="s">
        <v>2567</v>
      </c>
      <c r="C5331" t="s">
        <v>923</v>
      </c>
      <c r="D5331" t="s">
        <v>3063</v>
      </c>
      <c r="E5331" t="s">
        <v>3053</v>
      </c>
      <c r="F5331" t="s">
        <v>593</v>
      </c>
      <c r="G5331" t="s">
        <v>594</v>
      </c>
      <c r="H5331" t="s">
        <v>11147</v>
      </c>
      <c r="I5331">
        <v>8</v>
      </c>
      <c r="J5331">
        <v>0</v>
      </c>
      <c r="K5331">
        <v>0</v>
      </c>
      <c r="L5331">
        <v>8</v>
      </c>
      <c r="M5331">
        <v>0</v>
      </c>
      <c r="N5331">
        <v>0</v>
      </c>
      <c r="O5331">
        <v>0</v>
      </c>
    </row>
    <row r="5332" spans="1:15" x14ac:dyDescent="0.25">
      <c r="A5332" t="s">
        <v>933</v>
      </c>
      <c r="B5332" t="s">
        <v>2106</v>
      </c>
      <c r="C5332" t="s">
        <v>927</v>
      </c>
      <c r="D5332" t="s">
        <v>3052</v>
      </c>
      <c r="E5332" t="s">
        <v>3053</v>
      </c>
      <c r="F5332" t="s">
        <v>593</v>
      </c>
      <c r="G5332" t="s">
        <v>594</v>
      </c>
      <c r="H5332" t="s">
        <v>6663</v>
      </c>
      <c r="I5332">
        <v>4598</v>
      </c>
      <c r="J5332">
        <v>4074</v>
      </c>
      <c r="K5332">
        <v>3</v>
      </c>
      <c r="L5332">
        <v>24</v>
      </c>
      <c r="M5332">
        <v>339</v>
      </c>
      <c r="N5332">
        <v>38</v>
      </c>
      <c r="O5332">
        <v>158</v>
      </c>
    </row>
    <row r="5333" spans="1:15" x14ac:dyDescent="0.25">
      <c r="A5333" t="s">
        <v>1240</v>
      </c>
      <c r="B5333" t="s">
        <v>2792</v>
      </c>
      <c r="C5333" t="s">
        <v>923</v>
      </c>
      <c r="D5333" t="s">
        <v>3063</v>
      </c>
      <c r="E5333" t="s">
        <v>3053</v>
      </c>
      <c r="F5333" t="s">
        <v>593</v>
      </c>
      <c r="G5333" t="s">
        <v>594</v>
      </c>
      <c r="H5333" t="s">
        <v>6664</v>
      </c>
      <c r="I5333">
        <v>73</v>
      </c>
      <c r="J5333">
        <v>0</v>
      </c>
      <c r="K5333">
        <v>0</v>
      </c>
      <c r="L5333">
        <v>0</v>
      </c>
      <c r="M5333">
        <v>73</v>
      </c>
      <c r="N5333">
        <v>0</v>
      </c>
      <c r="O5333">
        <v>0</v>
      </c>
    </row>
    <row r="5334" spans="1:15" x14ac:dyDescent="0.25">
      <c r="A5334" t="s">
        <v>998</v>
      </c>
      <c r="B5334" t="s">
        <v>2820</v>
      </c>
      <c r="C5334" t="s">
        <v>927</v>
      </c>
      <c r="D5334" t="s">
        <v>3052</v>
      </c>
      <c r="E5334" t="s">
        <v>3053</v>
      </c>
      <c r="F5334" t="s">
        <v>593</v>
      </c>
      <c r="G5334" t="s">
        <v>594</v>
      </c>
      <c r="H5334" t="s">
        <v>6665</v>
      </c>
      <c r="I5334">
        <v>30</v>
      </c>
      <c r="J5334">
        <v>28</v>
      </c>
      <c r="K5334">
        <v>0</v>
      </c>
      <c r="L5334">
        <v>0</v>
      </c>
      <c r="M5334">
        <v>0</v>
      </c>
      <c r="N5334">
        <v>0</v>
      </c>
      <c r="O5334">
        <v>2</v>
      </c>
    </row>
    <row r="5335" spans="1:15" x14ac:dyDescent="0.25">
      <c r="A5335" t="s">
        <v>1606</v>
      </c>
      <c r="B5335" t="s">
        <v>2755</v>
      </c>
      <c r="C5335" t="s">
        <v>923</v>
      </c>
      <c r="D5335" t="s">
        <v>3063</v>
      </c>
      <c r="E5335" t="s">
        <v>3053</v>
      </c>
      <c r="F5335" t="s">
        <v>593</v>
      </c>
      <c r="G5335" t="s">
        <v>594</v>
      </c>
      <c r="H5335" t="s">
        <v>6666</v>
      </c>
      <c r="I5335">
        <v>283</v>
      </c>
      <c r="J5335">
        <v>283</v>
      </c>
      <c r="K5335">
        <v>0</v>
      </c>
      <c r="L5335">
        <v>0</v>
      </c>
      <c r="M5335">
        <v>0</v>
      </c>
      <c r="N5335">
        <v>0</v>
      </c>
      <c r="O5335">
        <v>0</v>
      </c>
    </row>
    <row r="5336" spans="1:15" x14ac:dyDescent="0.25">
      <c r="A5336" t="s">
        <v>10638</v>
      </c>
      <c r="B5336" t="s">
        <v>2057</v>
      </c>
      <c r="C5336" t="s">
        <v>927</v>
      </c>
      <c r="D5336" t="s">
        <v>3052</v>
      </c>
      <c r="E5336" t="s">
        <v>3053</v>
      </c>
      <c r="F5336" t="s">
        <v>593</v>
      </c>
      <c r="G5336" t="s">
        <v>594</v>
      </c>
      <c r="H5336" t="s">
        <v>11148</v>
      </c>
      <c r="I5336">
        <v>5</v>
      </c>
      <c r="J5336">
        <v>0</v>
      </c>
      <c r="K5336">
        <v>0</v>
      </c>
      <c r="L5336">
        <v>5</v>
      </c>
      <c r="M5336">
        <v>0</v>
      </c>
      <c r="N5336">
        <v>0</v>
      </c>
      <c r="O5336">
        <v>0</v>
      </c>
    </row>
    <row r="5337" spans="1:15" x14ac:dyDescent="0.25">
      <c r="A5337" t="s">
        <v>1610</v>
      </c>
      <c r="B5337" t="s">
        <v>2736</v>
      </c>
      <c r="C5337" t="s">
        <v>923</v>
      </c>
      <c r="D5337" t="s">
        <v>3063</v>
      </c>
      <c r="E5337" t="s">
        <v>3053</v>
      </c>
      <c r="F5337" t="s">
        <v>593</v>
      </c>
      <c r="G5337" t="s">
        <v>594</v>
      </c>
      <c r="H5337" t="s">
        <v>6667</v>
      </c>
      <c r="I5337">
        <v>14</v>
      </c>
      <c r="J5337">
        <v>14</v>
      </c>
      <c r="K5337">
        <v>0</v>
      </c>
      <c r="L5337">
        <v>0</v>
      </c>
      <c r="M5337">
        <v>0</v>
      </c>
      <c r="N5337">
        <v>0</v>
      </c>
      <c r="O5337">
        <v>0</v>
      </c>
    </row>
    <row r="5338" spans="1:15" x14ac:dyDescent="0.25">
      <c r="A5338" t="s">
        <v>1010</v>
      </c>
      <c r="B5338" t="s">
        <v>2639</v>
      </c>
      <c r="C5338" t="s">
        <v>927</v>
      </c>
      <c r="D5338" t="s">
        <v>3052</v>
      </c>
      <c r="E5338" t="s">
        <v>3053</v>
      </c>
      <c r="F5338" t="s">
        <v>593</v>
      </c>
      <c r="G5338" t="s">
        <v>594</v>
      </c>
      <c r="H5338" t="s">
        <v>6668</v>
      </c>
      <c r="I5338">
        <v>83</v>
      </c>
      <c r="J5338">
        <v>68</v>
      </c>
      <c r="K5338">
        <v>0</v>
      </c>
      <c r="L5338">
        <v>0</v>
      </c>
      <c r="M5338">
        <v>0</v>
      </c>
      <c r="N5338">
        <v>0</v>
      </c>
      <c r="O5338">
        <v>15</v>
      </c>
    </row>
    <row r="5339" spans="1:15" x14ac:dyDescent="0.25">
      <c r="A5339" t="s">
        <v>937</v>
      </c>
      <c r="B5339" t="s">
        <v>1962</v>
      </c>
      <c r="C5339" t="s">
        <v>927</v>
      </c>
      <c r="D5339" t="s">
        <v>3052</v>
      </c>
      <c r="E5339" t="s">
        <v>3053</v>
      </c>
      <c r="F5339" t="s">
        <v>593</v>
      </c>
      <c r="G5339" t="s">
        <v>594</v>
      </c>
      <c r="H5339" t="s">
        <v>6669</v>
      </c>
      <c r="I5339">
        <v>26</v>
      </c>
      <c r="J5339">
        <v>0</v>
      </c>
      <c r="K5339">
        <v>0</v>
      </c>
      <c r="L5339">
        <v>0</v>
      </c>
      <c r="M5339">
        <v>0</v>
      </c>
      <c r="N5339">
        <v>0</v>
      </c>
      <c r="O5339">
        <v>26</v>
      </c>
    </row>
    <row r="5340" spans="1:15" x14ac:dyDescent="0.25">
      <c r="A5340" t="s">
        <v>938</v>
      </c>
      <c r="B5340" t="s">
        <v>2791</v>
      </c>
      <c r="C5340" t="s">
        <v>927</v>
      </c>
      <c r="D5340" t="s">
        <v>3052</v>
      </c>
      <c r="E5340" t="s">
        <v>3053</v>
      </c>
      <c r="F5340" t="s">
        <v>593</v>
      </c>
      <c r="G5340" t="s">
        <v>594</v>
      </c>
      <c r="H5340" t="s">
        <v>6670</v>
      </c>
      <c r="I5340">
        <v>46</v>
      </c>
      <c r="J5340">
        <v>17</v>
      </c>
      <c r="K5340">
        <v>0</v>
      </c>
      <c r="L5340">
        <v>0</v>
      </c>
      <c r="M5340">
        <v>29</v>
      </c>
      <c r="N5340">
        <v>0</v>
      </c>
      <c r="O5340">
        <v>0</v>
      </c>
    </row>
    <row r="5341" spans="1:15" x14ac:dyDescent="0.25">
      <c r="A5341" t="s">
        <v>940</v>
      </c>
      <c r="B5341" t="s">
        <v>2647</v>
      </c>
      <c r="C5341" t="s">
        <v>927</v>
      </c>
      <c r="D5341" t="s">
        <v>3052</v>
      </c>
      <c r="E5341" t="s">
        <v>3053</v>
      </c>
      <c r="F5341" t="s">
        <v>593</v>
      </c>
      <c r="G5341" t="s">
        <v>594</v>
      </c>
      <c r="H5341" t="s">
        <v>6671</v>
      </c>
      <c r="I5341">
        <v>63</v>
      </c>
      <c r="J5341">
        <v>0</v>
      </c>
      <c r="K5341">
        <v>0</v>
      </c>
      <c r="L5341">
        <v>0</v>
      </c>
      <c r="M5341">
        <v>63</v>
      </c>
      <c r="N5341">
        <v>0</v>
      </c>
      <c r="O5341">
        <v>0</v>
      </c>
    </row>
    <row r="5342" spans="1:15" x14ac:dyDescent="0.25">
      <c r="A5342" t="s">
        <v>1012</v>
      </c>
      <c r="B5342" t="s">
        <v>2911</v>
      </c>
      <c r="C5342" t="s">
        <v>927</v>
      </c>
      <c r="D5342" t="s">
        <v>3052</v>
      </c>
      <c r="E5342" t="s">
        <v>3053</v>
      </c>
      <c r="F5342" t="s">
        <v>593</v>
      </c>
      <c r="G5342" t="s">
        <v>594</v>
      </c>
      <c r="H5342" t="s">
        <v>6672</v>
      </c>
      <c r="I5342">
        <v>589</v>
      </c>
      <c r="J5342">
        <v>467</v>
      </c>
      <c r="K5342">
        <v>0</v>
      </c>
      <c r="L5342">
        <v>10</v>
      </c>
      <c r="M5342">
        <v>30</v>
      </c>
      <c r="N5342">
        <v>0</v>
      </c>
      <c r="O5342">
        <v>82</v>
      </c>
    </row>
    <row r="5343" spans="1:15" x14ac:dyDescent="0.25">
      <c r="A5343" t="s">
        <v>1620</v>
      </c>
      <c r="B5343" t="s">
        <v>2265</v>
      </c>
      <c r="C5343" t="s">
        <v>923</v>
      </c>
      <c r="D5343" t="s">
        <v>3063</v>
      </c>
      <c r="E5343" t="s">
        <v>3053</v>
      </c>
      <c r="F5343" t="s">
        <v>593</v>
      </c>
      <c r="G5343" t="s">
        <v>594</v>
      </c>
      <c r="H5343" t="s">
        <v>6673</v>
      </c>
      <c r="I5343">
        <v>6</v>
      </c>
      <c r="J5343">
        <v>6</v>
      </c>
      <c r="K5343">
        <v>0</v>
      </c>
      <c r="L5343">
        <v>0</v>
      </c>
      <c r="M5343">
        <v>0</v>
      </c>
      <c r="N5343">
        <v>0</v>
      </c>
      <c r="O5343">
        <v>0</v>
      </c>
    </row>
    <row r="5344" spans="1:15" x14ac:dyDescent="0.25">
      <c r="A5344" t="s">
        <v>10667</v>
      </c>
      <c r="B5344" t="s">
        <v>10666</v>
      </c>
      <c r="C5344" t="s">
        <v>927</v>
      </c>
      <c r="D5344" t="s">
        <v>3052</v>
      </c>
      <c r="E5344" t="s">
        <v>3053</v>
      </c>
      <c r="F5344" t="s">
        <v>593</v>
      </c>
      <c r="G5344" t="s">
        <v>594</v>
      </c>
      <c r="H5344" t="s">
        <v>12200</v>
      </c>
      <c r="I5344">
        <v>32</v>
      </c>
      <c r="J5344">
        <v>32</v>
      </c>
      <c r="K5344">
        <v>0</v>
      </c>
      <c r="L5344">
        <v>0</v>
      </c>
      <c r="M5344">
        <v>0</v>
      </c>
      <c r="N5344">
        <v>0</v>
      </c>
      <c r="O5344">
        <v>0</v>
      </c>
    </row>
    <row r="5345" spans="1:15" x14ac:dyDescent="0.25">
      <c r="A5345" t="s">
        <v>1126</v>
      </c>
      <c r="B5345" t="s">
        <v>2130</v>
      </c>
      <c r="C5345" t="s">
        <v>927</v>
      </c>
      <c r="D5345" t="s">
        <v>3052</v>
      </c>
      <c r="E5345" t="s">
        <v>3053</v>
      </c>
      <c r="F5345" t="s">
        <v>593</v>
      </c>
      <c r="G5345" t="s">
        <v>594</v>
      </c>
      <c r="H5345" t="s">
        <v>11149</v>
      </c>
      <c r="I5345">
        <v>18</v>
      </c>
      <c r="J5345">
        <v>9</v>
      </c>
      <c r="K5345">
        <v>0</v>
      </c>
      <c r="L5345">
        <v>0</v>
      </c>
      <c r="M5345">
        <v>0</v>
      </c>
      <c r="N5345">
        <v>0</v>
      </c>
      <c r="O5345">
        <v>9</v>
      </c>
    </row>
    <row r="5346" spans="1:15" x14ac:dyDescent="0.25">
      <c r="A5346" t="s">
        <v>1025</v>
      </c>
      <c r="B5346" t="s">
        <v>2893</v>
      </c>
      <c r="C5346" t="s">
        <v>927</v>
      </c>
      <c r="D5346" t="s">
        <v>3052</v>
      </c>
      <c r="E5346" t="s">
        <v>3053</v>
      </c>
      <c r="F5346" t="s">
        <v>593</v>
      </c>
      <c r="G5346" t="s">
        <v>594</v>
      </c>
      <c r="H5346" t="s">
        <v>10187</v>
      </c>
      <c r="I5346">
        <v>1</v>
      </c>
      <c r="J5346">
        <v>0</v>
      </c>
      <c r="K5346">
        <v>0</v>
      </c>
      <c r="L5346">
        <v>0</v>
      </c>
      <c r="M5346">
        <v>0</v>
      </c>
      <c r="N5346">
        <v>0</v>
      </c>
      <c r="O5346">
        <v>1</v>
      </c>
    </row>
    <row r="5347" spans="1:15" x14ac:dyDescent="0.25">
      <c r="A5347" t="s">
        <v>943</v>
      </c>
      <c r="B5347" t="s">
        <v>2694</v>
      </c>
      <c r="C5347" t="s">
        <v>927</v>
      </c>
      <c r="D5347" t="s">
        <v>3052</v>
      </c>
      <c r="E5347" t="s">
        <v>3053</v>
      </c>
      <c r="F5347" t="s">
        <v>593</v>
      </c>
      <c r="G5347" t="s">
        <v>594</v>
      </c>
      <c r="H5347" t="s">
        <v>6674</v>
      </c>
      <c r="I5347">
        <v>49</v>
      </c>
      <c r="J5347">
        <v>48</v>
      </c>
      <c r="K5347">
        <v>0</v>
      </c>
      <c r="L5347">
        <v>0</v>
      </c>
      <c r="M5347">
        <v>0</v>
      </c>
      <c r="N5347">
        <v>0</v>
      </c>
      <c r="O5347">
        <v>1</v>
      </c>
    </row>
    <row r="5348" spans="1:15" x14ac:dyDescent="0.25">
      <c r="A5348" t="s">
        <v>945</v>
      </c>
      <c r="B5348" t="s">
        <v>2668</v>
      </c>
      <c r="C5348" t="s">
        <v>927</v>
      </c>
      <c r="D5348" t="s">
        <v>3052</v>
      </c>
      <c r="E5348" t="s">
        <v>3053</v>
      </c>
      <c r="F5348" t="s">
        <v>593</v>
      </c>
      <c r="G5348" t="s">
        <v>594</v>
      </c>
      <c r="H5348" t="s">
        <v>6675</v>
      </c>
      <c r="I5348">
        <v>675</v>
      </c>
      <c r="J5348">
        <v>361</v>
      </c>
      <c r="K5348">
        <v>0</v>
      </c>
      <c r="L5348">
        <v>18</v>
      </c>
      <c r="M5348">
        <v>35</v>
      </c>
      <c r="N5348">
        <v>0</v>
      </c>
      <c r="O5348">
        <v>261</v>
      </c>
    </row>
    <row r="5349" spans="1:15" x14ac:dyDescent="0.25">
      <c r="A5349" t="s">
        <v>1041</v>
      </c>
      <c r="B5349" t="s">
        <v>2826</v>
      </c>
      <c r="C5349" t="s">
        <v>927</v>
      </c>
      <c r="D5349" t="s">
        <v>3052</v>
      </c>
      <c r="E5349" t="s">
        <v>3053</v>
      </c>
      <c r="F5349" t="s">
        <v>593</v>
      </c>
      <c r="G5349" t="s">
        <v>594</v>
      </c>
      <c r="H5349" t="s">
        <v>6676</v>
      </c>
      <c r="I5349">
        <v>12</v>
      </c>
      <c r="J5349">
        <v>0</v>
      </c>
      <c r="K5349">
        <v>0</v>
      </c>
      <c r="L5349">
        <v>0</v>
      </c>
      <c r="M5349">
        <v>0</v>
      </c>
      <c r="N5349">
        <v>0</v>
      </c>
      <c r="O5349">
        <v>12</v>
      </c>
    </row>
    <row r="5350" spans="1:15" x14ac:dyDescent="0.25">
      <c r="A5350" t="s">
        <v>9787</v>
      </c>
      <c r="B5350" t="s">
        <v>2822</v>
      </c>
      <c r="C5350" t="s">
        <v>927</v>
      </c>
      <c r="D5350" t="s">
        <v>3052</v>
      </c>
      <c r="E5350" t="s">
        <v>3053</v>
      </c>
      <c r="F5350" t="s">
        <v>593</v>
      </c>
      <c r="G5350" t="s">
        <v>594</v>
      </c>
      <c r="H5350" t="s">
        <v>11150</v>
      </c>
      <c r="I5350">
        <v>10</v>
      </c>
      <c r="J5350">
        <v>10</v>
      </c>
      <c r="K5350">
        <v>0</v>
      </c>
      <c r="L5350">
        <v>0</v>
      </c>
      <c r="M5350">
        <v>0</v>
      </c>
      <c r="N5350">
        <v>0</v>
      </c>
      <c r="O5350">
        <v>0</v>
      </c>
    </row>
    <row r="5351" spans="1:15" x14ac:dyDescent="0.25">
      <c r="A5351" t="s">
        <v>1146</v>
      </c>
      <c r="B5351" t="s">
        <v>2117</v>
      </c>
      <c r="C5351" t="s">
        <v>927</v>
      </c>
      <c r="D5351" t="s">
        <v>3052</v>
      </c>
      <c r="E5351" t="s">
        <v>3053</v>
      </c>
      <c r="F5351" t="s">
        <v>593</v>
      </c>
      <c r="G5351" t="s">
        <v>594</v>
      </c>
      <c r="H5351" t="s">
        <v>11151</v>
      </c>
      <c r="I5351">
        <v>60</v>
      </c>
      <c r="J5351">
        <v>0</v>
      </c>
      <c r="K5351">
        <v>0</v>
      </c>
      <c r="L5351">
        <v>10</v>
      </c>
      <c r="M5351">
        <v>50</v>
      </c>
      <c r="N5351">
        <v>0</v>
      </c>
      <c r="O5351">
        <v>0</v>
      </c>
    </row>
    <row r="5352" spans="1:15" x14ac:dyDescent="0.25">
      <c r="A5352" t="s">
        <v>951</v>
      </c>
      <c r="B5352" t="s">
        <v>2680</v>
      </c>
      <c r="C5352" t="s">
        <v>927</v>
      </c>
      <c r="D5352" t="s">
        <v>3052</v>
      </c>
      <c r="E5352" t="s">
        <v>3053</v>
      </c>
      <c r="F5352" t="s">
        <v>593</v>
      </c>
      <c r="G5352" t="s">
        <v>594</v>
      </c>
      <c r="H5352" t="s">
        <v>12201</v>
      </c>
      <c r="I5352">
        <v>35</v>
      </c>
      <c r="J5352">
        <v>25</v>
      </c>
      <c r="K5352">
        <v>0</v>
      </c>
      <c r="L5352">
        <v>0</v>
      </c>
      <c r="M5352">
        <v>0</v>
      </c>
      <c r="N5352">
        <v>0</v>
      </c>
      <c r="O5352">
        <v>10</v>
      </c>
    </row>
    <row r="5353" spans="1:15" x14ac:dyDescent="0.25">
      <c r="A5353" t="s">
        <v>1331</v>
      </c>
      <c r="B5353" t="s">
        <v>2856</v>
      </c>
      <c r="C5353" t="s">
        <v>927</v>
      </c>
      <c r="D5353" t="s">
        <v>3052</v>
      </c>
      <c r="E5353" t="s">
        <v>3053</v>
      </c>
      <c r="F5353" t="s">
        <v>593</v>
      </c>
      <c r="G5353" t="s">
        <v>594</v>
      </c>
      <c r="H5353" t="s">
        <v>6677</v>
      </c>
      <c r="I5353">
        <v>560</v>
      </c>
      <c r="J5353">
        <v>432</v>
      </c>
      <c r="K5353">
        <v>0</v>
      </c>
      <c r="L5353">
        <v>0</v>
      </c>
      <c r="M5353">
        <v>0</v>
      </c>
      <c r="N5353">
        <v>2</v>
      </c>
      <c r="O5353">
        <v>128</v>
      </c>
    </row>
    <row r="5354" spans="1:15" x14ac:dyDescent="0.25">
      <c r="A5354" t="s">
        <v>11720</v>
      </c>
      <c r="B5354" t="s">
        <v>10718</v>
      </c>
      <c r="C5354" t="s">
        <v>927</v>
      </c>
      <c r="D5354" t="s">
        <v>3052</v>
      </c>
      <c r="E5354" t="s">
        <v>3053</v>
      </c>
      <c r="F5354" t="s">
        <v>593</v>
      </c>
      <c r="G5354" t="s">
        <v>594</v>
      </c>
      <c r="H5354" t="s">
        <v>14923</v>
      </c>
      <c r="I5354">
        <v>250</v>
      </c>
      <c r="J5354">
        <v>174</v>
      </c>
      <c r="K5354">
        <v>0</v>
      </c>
      <c r="L5354">
        <v>0</v>
      </c>
      <c r="M5354">
        <v>0</v>
      </c>
      <c r="N5354">
        <v>0</v>
      </c>
      <c r="O5354">
        <v>76</v>
      </c>
    </row>
    <row r="5355" spans="1:15" x14ac:dyDescent="0.25">
      <c r="A5355" t="s">
        <v>9788</v>
      </c>
      <c r="B5355" t="s">
        <v>9871</v>
      </c>
      <c r="C5355" t="s">
        <v>927</v>
      </c>
      <c r="D5355" t="s">
        <v>3052</v>
      </c>
      <c r="E5355" t="s">
        <v>3053</v>
      </c>
      <c r="F5355" t="s">
        <v>593</v>
      </c>
      <c r="G5355" t="s">
        <v>594</v>
      </c>
      <c r="H5355" t="s">
        <v>10364</v>
      </c>
      <c r="I5355">
        <v>170</v>
      </c>
      <c r="J5355">
        <v>170</v>
      </c>
      <c r="K5355">
        <v>0</v>
      </c>
      <c r="L5355">
        <v>0</v>
      </c>
      <c r="M5355">
        <v>0</v>
      </c>
      <c r="N5355">
        <v>0</v>
      </c>
      <c r="O5355">
        <v>0</v>
      </c>
    </row>
    <row r="5356" spans="1:15" x14ac:dyDescent="0.25">
      <c r="A5356" t="s">
        <v>1654</v>
      </c>
      <c r="B5356" t="s">
        <v>2850</v>
      </c>
      <c r="C5356" t="s">
        <v>927</v>
      </c>
      <c r="D5356" t="s">
        <v>3052</v>
      </c>
      <c r="E5356" t="s">
        <v>3053</v>
      </c>
      <c r="F5356" t="s">
        <v>593</v>
      </c>
      <c r="G5356" t="s">
        <v>594</v>
      </c>
      <c r="H5356" t="s">
        <v>6678</v>
      </c>
      <c r="I5356">
        <v>176</v>
      </c>
      <c r="J5356">
        <v>128</v>
      </c>
      <c r="K5356">
        <v>0</v>
      </c>
      <c r="L5356">
        <v>0</v>
      </c>
      <c r="M5356">
        <v>0</v>
      </c>
      <c r="N5356">
        <v>0</v>
      </c>
      <c r="O5356">
        <v>48</v>
      </c>
    </row>
    <row r="5357" spans="1:15" x14ac:dyDescent="0.25">
      <c r="A5357" t="s">
        <v>1661</v>
      </c>
      <c r="B5357" t="s">
        <v>2764</v>
      </c>
      <c r="C5357" t="s">
        <v>923</v>
      </c>
      <c r="D5357" t="s">
        <v>3063</v>
      </c>
      <c r="E5357" t="s">
        <v>3053</v>
      </c>
      <c r="F5357" t="s">
        <v>593</v>
      </c>
      <c r="G5357" t="s">
        <v>594</v>
      </c>
      <c r="H5357" t="s">
        <v>6679</v>
      </c>
      <c r="I5357">
        <v>5</v>
      </c>
      <c r="J5357">
        <v>0</v>
      </c>
      <c r="K5357">
        <v>0</v>
      </c>
      <c r="L5357">
        <v>5</v>
      </c>
      <c r="M5357">
        <v>0</v>
      </c>
      <c r="N5357">
        <v>0</v>
      </c>
      <c r="O5357">
        <v>0</v>
      </c>
    </row>
    <row r="5358" spans="1:15" x14ac:dyDescent="0.25">
      <c r="A5358" t="s">
        <v>11663</v>
      </c>
      <c r="B5358" t="s">
        <v>11768</v>
      </c>
      <c r="C5358" t="s">
        <v>927</v>
      </c>
      <c r="D5358" t="s">
        <v>3052</v>
      </c>
      <c r="E5358" t="s">
        <v>3053</v>
      </c>
      <c r="F5358" t="s">
        <v>593</v>
      </c>
      <c r="G5358" t="s">
        <v>594</v>
      </c>
      <c r="H5358" t="s">
        <v>12202</v>
      </c>
      <c r="I5358">
        <v>227</v>
      </c>
      <c r="J5358">
        <v>200</v>
      </c>
      <c r="K5358">
        <v>0</v>
      </c>
      <c r="L5358">
        <v>0</v>
      </c>
      <c r="M5358">
        <v>20</v>
      </c>
      <c r="N5358">
        <v>1</v>
      </c>
      <c r="O5358">
        <v>7</v>
      </c>
    </row>
    <row r="5359" spans="1:15" x14ac:dyDescent="0.25">
      <c r="A5359" t="s">
        <v>960</v>
      </c>
      <c r="B5359" t="s">
        <v>2080</v>
      </c>
      <c r="C5359" t="s">
        <v>927</v>
      </c>
      <c r="D5359" t="s">
        <v>3052</v>
      </c>
      <c r="E5359" t="s">
        <v>3053</v>
      </c>
      <c r="F5359" t="s">
        <v>593</v>
      </c>
      <c r="G5359" t="s">
        <v>594</v>
      </c>
      <c r="H5359" t="s">
        <v>14924</v>
      </c>
      <c r="I5359">
        <v>48</v>
      </c>
      <c r="J5359">
        <v>30</v>
      </c>
      <c r="K5359">
        <v>0</v>
      </c>
      <c r="L5359">
        <v>0</v>
      </c>
      <c r="M5359">
        <v>0</v>
      </c>
      <c r="N5359">
        <v>0</v>
      </c>
      <c r="O5359">
        <v>18</v>
      </c>
    </row>
    <row r="5360" spans="1:15" x14ac:dyDescent="0.25">
      <c r="A5360" t="s">
        <v>14374</v>
      </c>
      <c r="B5360" t="s">
        <v>1943</v>
      </c>
      <c r="C5360" t="s">
        <v>927</v>
      </c>
      <c r="D5360" t="s">
        <v>3052</v>
      </c>
      <c r="E5360" t="s">
        <v>3053</v>
      </c>
      <c r="F5360" t="s">
        <v>593</v>
      </c>
      <c r="G5360" t="s">
        <v>594</v>
      </c>
      <c r="H5360" t="s">
        <v>14925</v>
      </c>
      <c r="I5360">
        <v>36</v>
      </c>
      <c r="J5360">
        <v>0</v>
      </c>
      <c r="K5360">
        <v>0</v>
      </c>
      <c r="L5360">
        <v>0</v>
      </c>
      <c r="M5360">
        <v>0</v>
      </c>
      <c r="N5360">
        <v>0</v>
      </c>
      <c r="O5360">
        <v>36</v>
      </c>
    </row>
    <row r="5361" spans="1:15" x14ac:dyDescent="0.25">
      <c r="A5361" t="s">
        <v>962</v>
      </c>
      <c r="B5361" t="s">
        <v>2752</v>
      </c>
      <c r="C5361" t="s">
        <v>927</v>
      </c>
      <c r="D5361" t="s">
        <v>3052</v>
      </c>
      <c r="E5361" t="s">
        <v>3053</v>
      </c>
      <c r="F5361" t="s">
        <v>593</v>
      </c>
      <c r="G5361" t="s">
        <v>594</v>
      </c>
      <c r="H5361" t="s">
        <v>6680</v>
      </c>
      <c r="I5361">
        <v>50</v>
      </c>
      <c r="J5361">
        <v>50</v>
      </c>
      <c r="K5361">
        <v>0</v>
      </c>
      <c r="L5361">
        <v>0</v>
      </c>
      <c r="M5361">
        <v>0</v>
      </c>
      <c r="N5361">
        <v>0</v>
      </c>
      <c r="O5361">
        <v>0</v>
      </c>
    </row>
    <row r="5362" spans="1:15" x14ac:dyDescent="0.25">
      <c r="A5362" t="s">
        <v>10810</v>
      </c>
      <c r="B5362" t="s">
        <v>2015</v>
      </c>
      <c r="C5362" t="s">
        <v>923</v>
      </c>
      <c r="D5362" t="s">
        <v>3063</v>
      </c>
      <c r="E5362" t="s">
        <v>3053</v>
      </c>
      <c r="F5362" t="s">
        <v>593</v>
      </c>
      <c r="G5362" t="s">
        <v>594</v>
      </c>
      <c r="H5362" t="s">
        <v>11152</v>
      </c>
      <c r="I5362">
        <v>4</v>
      </c>
      <c r="J5362">
        <v>0</v>
      </c>
      <c r="K5362">
        <v>0</v>
      </c>
      <c r="L5362">
        <v>4</v>
      </c>
      <c r="M5362">
        <v>0</v>
      </c>
      <c r="N5362">
        <v>0</v>
      </c>
      <c r="O5362">
        <v>0</v>
      </c>
    </row>
    <row r="5363" spans="1:15" x14ac:dyDescent="0.25">
      <c r="A5363" t="s">
        <v>11709</v>
      </c>
      <c r="B5363" t="s">
        <v>2913</v>
      </c>
      <c r="C5363" t="s">
        <v>923</v>
      </c>
      <c r="D5363" t="s">
        <v>3063</v>
      </c>
      <c r="E5363" t="s">
        <v>3053</v>
      </c>
      <c r="F5363" t="s">
        <v>593</v>
      </c>
      <c r="G5363" t="s">
        <v>594</v>
      </c>
      <c r="H5363" t="s">
        <v>12203</v>
      </c>
      <c r="I5363">
        <v>76</v>
      </c>
      <c r="J5363">
        <v>0</v>
      </c>
      <c r="K5363">
        <v>0</v>
      </c>
      <c r="L5363">
        <v>0</v>
      </c>
      <c r="M5363">
        <v>76</v>
      </c>
      <c r="N5363">
        <v>0</v>
      </c>
      <c r="O5363">
        <v>0</v>
      </c>
    </row>
    <row r="5364" spans="1:15" x14ac:dyDescent="0.25">
      <c r="A5364" t="s">
        <v>1069</v>
      </c>
      <c r="B5364" t="s">
        <v>2001</v>
      </c>
      <c r="C5364" t="s">
        <v>927</v>
      </c>
      <c r="D5364" t="s">
        <v>3052</v>
      </c>
      <c r="E5364" t="s">
        <v>3053</v>
      </c>
      <c r="F5364" t="s">
        <v>593</v>
      </c>
      <c r="G5364" t="s">
        <v>594</v>
      </c>
      <c r="H5364" t="s">
        <v>6681</v>
      </c>
      <c r="I5364">
        <v>71</v>
      </c>
      <c r="J5364">
        <v>59</v>
      </c>
      <c r="K5364">
        <v>0</v>
      </c>
      <c r="L5364">
        <v>0</v>
      </c>
      <c r="M5364">
        <v>0</v>
      </c>
      <c r="N5364">
        <v>0</v>
      </c>
      <c r="O5364">
        <v>12</v>
      </c>
    </row>
    <row r="5365" spans="1:15" x14ac:dyDescent="0.25">
      <c r="A5365" t="s">
        <v>966</v>
      </c>
      <c r="B5365" t="s">
        <v>2684</v>
      </c>
      <c r="C5365" t="s">
        <v>927</v>
      </c>
      <c r="D5365" t="s">
        <v>3052</v>
      </c>
      <c r="E5365" t="s">
        <v>3053</v>
      </c>
      <c r="F5365" t="s">
        <v>593</v>
      </c>
      <c r="G5365" t="s">
        <v>594</v>
      </c>
      <c r="H5365" t="s">
        <v>10495</v>
      </c>
      <c r="I5365">
        <v>90</v>
      </c>
      <c r="J5365">
        <v>66</v>
      </c>
      <c r="K5365">
        <v>0</v>
      </c>
      <c r="L5365">
        <v>0</v>
      </c>
      <c r="M5365">
        <v>0</v>
      </c>
      <c r="N5365">
        <v>0</v>
      </c>
      <c r="O5365">
        <v>24</v>
      </c>
    </row>
    <row r="5366" spans="1:15" x14ac:dyDescent="0.25">
      <c r="A5366" t="s">
        <v>1684</v>
      </c>
      <c r="B5366" t="s">
        <v>2845</v>
      </c>
      <c r="C5366" t="s">
        <v>927</v>
      </c>
      <c r="D5366" t="s">
        <v>3052</v>
      </c>
      <c r="E5366" t="s">
        <v>3053</v>
      </c>
      <c r="F5366" t="s">
        <v>593</v>
      </c>
      <c r="G5366" t="s">
        <v>594</v>
      </c>
      <c r="H5366" t="s">
        <v>14926</v>
      </c>
      <c r="I5366">
        <v>11</v>
      </c>
      <c r="J5366">
        <v>11</v>
      </c>
      <c r="K5366">
        <v>0</v>
      </c>
      <c r="L5366">
        <v>0</v>
      </c>
      <c r="M5366">
        <v>0</v>
      </c>
      <c r="N5366">
        <v>0</v>
      </c>
      <c r="O5366">
        <v>0</v>
      </c>
    </row>
    <row r="5367" spans="1:15" x14ac:dyDescent="0.25">
      <c r="A5367" t="s">
        <v>1374</v>
      </c>
      <c r="B5367" t="s">
        <v>2580</v>
      </c>
      <c r="C5367" t="s">
        <v>923</v>
      </c>
      <c r="D5367" t="s">
        <v>3063</v>
      </c>
      <c r="E5367" t="s">
        <v>3053</v>
      </c>
      <c r="F5367" t="s">
        <v>593</v>
      </c>
      <c r="G5367" t="s">
        <v>594</v>
      </c>
      <c r="H5367" t="s">
        <v>10502</v>
      </c>
      <c r="I5367">
        <v>16</v>
      </c>
      <c r="J5367">
        <v>0</v>
      </c>
      <c r="K5367">
        <v>0</v>
      </c>
      <c r="L5367">
        <v>0</v>
      </c>
      <c r="M5367">
        <v>16</v>
      </c>
      <c r="N5367">
        <v>16</v>
      </c>
      <c r="O5367">
        <v>0</v>
      </c>
    </row>
    <row r="5368" spans="1:15" x14ac:dyDescent="0.25">
      <c r="A5368" t="s">
        <v>1697</v>
      </c>
      <c r="B5368" t="s">
        <v>3009</v>
      </c>
      <c r="C5368" t="s">
        <v>927</v>
      </c>
      <c r="D5368" t="s">
        <v>3052</v>
      </c>
      <c r="E5368" t="s">
        <v>3053</v>
      </c>
      <c r="F5368" t="s">
        <v>593</v>
      </c>
      <c r="G5368" t="s">
        <v>594</v>
      </c>
      <c r="H5368" t="s">
        <v>10515</v>
      </c>
      <c r="I5368">
        <v>50</v>
      </c>
      <c r="J5368">
        <v>23</v>
      </c>
      <c r="K5368">
        <v>0</v>
      </c>
      <c r="L5368">
        <v>6</v>
      </c>
      <c r="M5368">
        <v>14</v>
      </c>
      <c r="N5368">
        <v>0</v>
      </c>
      <c r="O5368">
        <v>7</v>
      </c>
    </row>
    <row r="5369" spans="1:15" x14ac:dyDescent="0.25">
      <c r="A5369" t="s">
        <v>971</v>
      </c>
      <c r="B5369" t="s">
        <v>2956</v>
      </c>
      <c r="C5369" t="s">
        <v>927</v>
      </c>
      <c r="D5369" t="s">
        <v>3052</v>
      </c>
      <c r="E5369" t="s">
        <v>3053</v>
      </c>
      <c r="F5369" t="s">
        <v>595</v>
      </c>
      <c r="G5369" t="s">
        <v>596</v>
      </c>
      <c r="H5369" t="s">
        <v>6682</v>
      </c>
      <c r="I5369">
        <v>492</v>
      </c>
      <c r="J5369">
        <v>423</v>
      </c>
      <c r="K5369">
        <v>0</v>
      </c>
      <c r="L5369">
        <v>0</v>
      </c>
      <c r="M5369">
        <v>54</v>
      </c>
      <c r="N5369">
        <v>0</v>
      </c>
      <c r="O5369">
        <v>15</v>
      </c>
    </row>
    <row r="5370" spans="1:15" x14ac:dyDescent="0.25">
      <c r="A5370" t="s">
        <v>929</v>
      </c>
      <c r="B5370" t="s">
        <v>2999</v>
      </c>
      <c r="C5370" t="s">
        <v>927</v>
      </c>
      <c r="D5370" t="s">
        <v>3052</v>
      </c>
      <c r="E5370" t="s">
        <v>3053</v>
      </c>
      <c r="F5370" t="s">
        <v>595</v>
      </c>
      <c r="G5370" t="s">
        <v>596</v>
      </c>
      <c r="H5370" t="s">
        <v>6683</v>
      </c>
      <c r="I5370">
        <v>167</v>
      </c>
      <c r="J5370">
        <v>0</v>
      </c>
      <c r="K5370">
        <v>0</v>
      </c>
      <c r="L5370">
        <v>0</v>
      </c>
      <c r="M5370">
        <v>167</v>
      </c>
      <c r="N5370">
        <v>0</v>
      </c>
      <c r="O5370">
        <v>0</v>
      </c>
    </row>
    <row r="5371" spans="1:15" x14ac:dyDescent="0.25">
      <c r="A5371" t="s">
        <v>978</v>
      </c>
      <c r="B5371" t="s">
        <v>1999</v>
      </c>
      <c r="C5371" t="s">
        <v>923</v>
      </c>
      <c r="D5371" t="s">
        <v>3063</v>
      </c>
      <c r="E5371" t="s">
        <v>3053</v>
      </c>
      <c r="F5371" t="s">
        <v>595</v>
      </c>
      <c r="G5371" t="s">
        <v>596</v>
      </c>
      <c r="H5371" t="s">
        <v>6684</v>
      </c>
      <c r="I5371">
        <v>1</v>
      </c>
      <c r="J5371">
        <v>1</v>
      </c>
      <c r="K5371">
        <v>0</v>
      </c>
      <c r="L5371">
        <v>0</v>
      </c>
      <c r="M5371">
        <v>0</v>
      </c>
      <c r="N5371">
        <v>0</v>
      </c>
      <c r="O5371">
        <v>0</v>
      </c>
    </row>
    <row r="5372" spans="1:15" x14ac:dyDescent="0.25">
      <c r="A5372" t="s">
        <v>1407</v>
      </c>
      <c r="B5372" t="s">
        <v>2109</v>
      </c>
      <c r="C5372" t="s">
        <v>927</v>
      </c>
      <c r="D5372" t="s">
        <v>3052</v>
      </c>
      <c r="E5372" t="s">
        <v>3053</v>
      </c>
      <c r="F5372" t="s">
        <v>595</v>
      </c>
      <c r="G5372" t="s">
        <v>596</v>
      </c>
      <c r="H5372" t="s">
        <v>6685</v>
      </c>
      <c r="I5372">
        <v>15</v>
      </c>
      <c r="J5372">
        <v>0</v>
      </c>
      <c r="K5372">
        <v>0</v>
      </c>
      <c r="L5372">
        <v>15</v>
      </c>
      <c r="M5372">
        <v>0</v>
      </c>
      <c r="N5372">
        <v>0</v>
      </c>
      <c r="O5372">
        <v>0</v>
      </c>
    </row>
    <row r="5373" spans="1:15" x14ac:dyDescent="0.25">
      <c r="A5373" t="s">
        <v>1408</v>
      </c>
      <c r="B5373" t="s">
        <v>3028</v>
      </c>
      <c r="C5373" t="s">
        <v>927</v>
      </c>
      <c r="D5373" t="s">
        <v>3052</v>
      </c>
      <c r="E5373" t="s">
        <v>3053</v>
      </c>
      <c r="F5373" t="s">
        <v>595</v>
      </c>
      <c r="G5373" t="s">
        <v>596</v>
      </c>
      <c r="H5373" t="s">
        <v>6686</v>
      </c>
      <c r="I5373">
        <v>110</v>
      </c>
      <c r="J5373">
        <v>97</v>
      </c>
      <c r="K5373">
        <v>0</v>
      </c>
      <c r="L5373">
        <v>0</v>
      </c>
      <c r="M5373">
        <v>0</v>
      </c>
      <c r="N5373">
        <v>0</v>
      </c>
      <c r="O5373">
        <v>13</v>
      </c>
    </row>
    <row r="5374" spans="1:15" x14ac:dyDescent="0.25">
      <c r="A5374" t="s">
        <v>991</v>
      </c>
      <c r="B5374" t="s">
        <v>1976</v>
      </c>
      <c r="C5374" t="s">
        <v>923</v>
      </c>
      <c r="D5374" t="s">
        <v>3063</v>
      </c>
      <c r="E5374" t="s">
        <v>3053</v>
      </c>
      <c r="F5374" t="s">
        <v>595</v>
      </c>
      <c r="G5374" t="s">
        <v>596</v>
      </c>
      <c r="H5374" t="s">
        <v>6687</v>
      </c>
      <c r="I5374">
        <v>7</v>
      </c>
      <c r="J5374">
        <v>0</v>
      </c>
      <c r="K5374">
        <v>0</v>
      </c>
      <c r="L5374">
        <v>7</v>
      </c>
      <c r="M5374">
        <v>0</v>
      </c>
      <c r="N5374">
        <v>0</v>
      </c>
      <c r="O5374">
        <v>0</v>
      </c>
    </row>
    <row r="5375" spans="1:15" x14ac:dyDescent="0.25">
      <c r="A5375" t="s">
        <v>1413</v>
      </c>
      <c r="B5375" t="s">
        <v>2048</v>
      </c>
      <c r="C5375" t="s">
        <v>923</v>
      </c>
      <c r="D5375" t="s">
        <v>3063</v>
      </c>
      <c r="E5375" t="s">
        <v>3053</v>
      </c>
      <c r="F5375" t="s">
        <v>595</v>
      </c>
      <c r="G5375" t="s">
        <v>596</v>
      </c>
      <c r="H5375" t="s">
        <v>12204</v>
      </c>
      <c r="I5375">
        <v>9</v>
      </c>
      <c r="J5375">
        <v>0</v>
      </c>
      <c r="K5375">
        <v>0</v>
      </c>
      <c r="L5375">
        <v>9</v>
      </c>
      <c r="M5375">
        <v>0</v>
      </c>
      <c r="N5375">
        <v>9</v>
      </c>
      <c r="O5375">
        <v>0</v>
      </c>
    </row>
    <row r="5376" spans="1:15" x14ac:dyDescent="0.25">
      <c r="A5376" t="s">
        <v>996</v>
      </c>
      <c r="B5376" t="s">
        <v>1952</v>
      </c>
      <c r="C5376" t="s">
        <v>923</v>
      </c>
      <c r="D5376" t="s">
        <v>3063</v>
      </c>
      <c r="E5376" t="s">
        <v>3053</v>
      </c>
      <c r="F5376" t="s">
        <v>595</v>
      </c>
      <c r="G5376" t="s">
        <v>596</v>
      </c>
      <c r="H5376" t="s">
        <v>6688</v>
      </c>
      <c r="I5376">
        <v>10</v>
      </c>
      <c r="J5376">
        <v>0</v>
      </c>
      <c r="K5376">
        <v>0</v>
      </c>
      <c r="L5376">
        <v>10</v>
      </c>
      <c r="M5376">
        <v>0</v>
      </c>
      <c r="N5376">
        <v>0</v>
      </c>
      <c r="O5376">
        <v>0</v>
      </c>
    </row>
    <row r="5377" spans="1:15" x14ac:dyDescent="0.25">
      <c r="A5377" t="s">
        <v>11660</v>
      </c>
      <c r="B5377" t="s">
        <v>2041</v>
      </c>
      <c r="C5377" t="s">
        <v>923</v>
      </c>
      <c r="D5377" t="s">
        <v>3063</v>
      </c>
      <c r="E5377" t="s">
        <v>3053</v>
      </c>
      <c r="F5377" t="s">
        <v>595</v>
      </c>
      <c r="G5377" t="s">
        <v>596</v>
      </c>
      <c r="H5377" t="s">
        <v>12205</v>
      </c>
      <c r="I5377">
        <v>9</v>
      </c>
      <c r="J5377">
        <v>0</v>
      </c>
      <c r="K5377">
        <v>0</v>
      </c>
      <c r="L5377">
        <v>9</v>
      </c>
      <c r="M5377">
        <v>0</v>
      </c>
      <c r="N5377">
        <v>0</v>
      </c>
      <c r="O5377">
        <v>0</v>
      </c>
    </row>
    <row r="5378" spans="1:15" x14ac:dyDescent="0.25">
      <c r="A5378" t="s">
        <v>10638</v>
      </c>
      <c r="B5378" t="s">
        <v>2057</v>
      </c>
      <c r="C5378" t="s">
        <v>927</v>
      </c>
      <c r="D5378" t="s">
        <v>3052</v>
      </c>
      <c r="E5378" t="s">
        <v>3053</v>
      </c>
      <c r="F5378" t="s">
        <v>595</v>
      </c>
      <c r="G5378" t="s">
        <v>596</v>
      </c>
      <c r="H5378" t="s">
        <v>11153</v>
      </c>
      <c r="I5378">
        <v>10</v>
      </c>
      <c r="J5378">
        <v>0</v>
      </c>
      <c r="K5378">
        <v>0</v>
      </c>
      <c r="L5378">
        <v>10</v>
      </c>
      <c r="M5378">
        <v>0</v>
      </c>
      <c r="N5378">
        <v>0</v>
      </c>
      <c r="O5378">
        <v>0</v>
      </c>
    </row>
    <row r="5379" spans="1:15" x14ac:dyDescent="0.25">
      <c r="A5379" t="s">
        <v>1008</v>
      </c>
      <c r="B5379" t="s">
        <v>2928</v>
      </c>
      <c r="C5379" t="s">
        <v>927</v>
      </c>
      <c r="D5379" t="s">
        <v>3052</v>
      </c>
      <c r="E5379" t="s">
        <v>3053</v>
      </c>
      <c r="F5379" t="s">
        <v>595</v>
      </c>
      <c r="G5379" t="s">
        <v>596</v>
      </c>
      <c r="H5379" t="s">
        <v>6689</v>
      </c>
      <c r="I5379">
        <v>237</v>
      </c>
      <c r="J5379">
        <v>197</v>
      </c>
      <c r="K5379">
        <v>0</v>
      </c>
      <c r="L5379">
        <v>29</v>
      </c>
      <c r="M5379">
        <v>11</v>
      </c>
      <c r="N5379">
        <v>1</v>
      </c>
      <c r="O5379">
        <v>0</v>
      </c>
    </row>
    <row r="5380" spans="1:15" x14ac:dyDescent="0.25">
      <c r="A5380" t="s">
        <v>937</v>
      </c>
      <c r="B5380" t="s">
        <v>1962</v>
      </c>
      <c r="C5380" t="s">
        <v>927</v>
      </c>
      <c r="D5380" t="s">
        <v>3052</v>
      </c>
      <c r="E5380" t="s">
        <v>3053</v>
      </c>
      <c r="F5380" t="s">
        <v>595</v>
      </c>
      <c r="G5380" t="s">
        <v>596</v>
      </c>
      <c r="H5380" t="s">
        <v>10097</v>
      </c>
      <c r="I5380">
        <v>25</v>
      </c>
      <c r="J5380">
        <v>0</v>
      </c>
      <c r="K5380">
        <v>0</v>
      </c>
      <c r="L5380">
        <v>0</v>
      </c>
      <c r="M5380">
        <v>0</v>
      </c>
      <c r="N5380">
        <v>0</v>
      </c>
      <c r="O5380">
        <v>25</v>
      </c>
    </row>
    <row r="5381" spans="1:15" x14ac:dyDescent="0.25">
      <c r="A5381" t="s">
        <v>938</v>
      </c>
      <c r="B5381" t="s">
        <v>2791</v>
      </c>
      <c r="C5381" t="s">
        <v>927</v>
      </c>
      <c r="D5381" t="s">
        <v>3052</v>
      </c>
      <c r="E5381" t="s">
        <v>3053</v>
      </c>
      <c r="F5381" t="s">
        <v>595</v>
      </c>
      <c r="G5381" t="s">
        <v>596</v>
      </c>
      <c r="H5381" t="s">
        <v>6690</v>
      </c>
      <c r="I5381">
        <v>885</v>
      </c>
      <c r="J5381">
        <v>690</v>
      </c>
      <c r="K5381">
        <v>0</v>
      </c>
      <c r="L5381">
        <v>64</v>
      </c>
      <c r="M5381">
        <v>98</v>
      </c>
      <c r="N5381">
        <v>0</v>
      </c>
      <c r="O5381">
        <v>33</v>
      </c>
    </row>
    <row r="5382" spans="1:15" x14ac:dyDescent="0.25">
      <c r="A5382" t="s">
        <v>940</v>
      </c>
      <c r="B5382" t="s">
        <v>2647</v>
      </c>
      <c r="C5382" t="s">
        <v>927</v>
      </c>
      <c r="D5382" t="s">
        <v>3052</v>
      </c>
      <c r="E5382" t="s">
        <v>3053</v>
      </c>
      <c r="F5382" t="s">
        <v>595</v>
      </c>
      <c r="G5382" t="s">
        <v>596</v>
      </c>
      <c r="H5382" t="s">
        <v>6691</v>
      </c>
      <c r="I5382">
        <v>71</v>
      </c>
      <c r="J5382">
        <v>0</v>
      </c>
      <c r="K5382">
        <v>0</v>
      </c>
      <c r="L5382">
        <v>0</v>
      </c>
      <c r="M5382">
        <v>71</v>
      </c>
      <c r="N5382">
        <v>0</v>
      </c>
      <c r="O5382">
        <v>0</v>
      </c>
    </row>
    <row r="5383" spans="1:15" x14ac:dyDescent="0.25">
      <c r="A5383" t="s">
        <v>1013</v>
      </c>
      <c r="B5383" t="s">
        <v>1959</v>
      </c>
      <c r="C5383" t="s">
        <v>927</v>
      </c>
      <c r="D5383" t="s">
        <v>3052</v>
      </c>
      <c r="E5383" t="s">
        <v>3053</v>
      </c>
      <c r="F5383" t="s">
        <v>595</v>
      </c>
      <c r="G5383" t="s">
        <v>596</v>
      </c>
      <c r="H5383" t="s">
        <v>12206</v>
      </c>
      <c r="I5383">
        <v>2</v>
      </c>
      <c r="J5383">
        <v>0</v>
      </c>
      <c r="K5383">
        <v>0</v>
      </c>
      <c r="L5383">
        <v>2</v>
      </c>
      <c r="M5383">
        <v>0</v>
      </c>
      <c r="N5383">
        <v>0</v>
      </c>
      <c r="O5383">
        <v>0</v>
      </c>
    </row>
    <row r="5384" spans="1:15" x14ac:dyDescent="0.25">
      <c r="A5384" t="s">
        <v>1427</v>
      </c>
      <c r="B5384" t="s">
        <v>2087</v>
      </c>
      <c r="C5384" t="s">
        <v>927</v>
      </c>
      <c r="D5384" t="s">
        <v>3052</v>
      </c>
      <c r="E5384" t="s">
        <v>3053</v>
      </c>
      <c r="F5384" t="s">
        <v>595</v>
      </c>
      <c r="G5384" t="s">
        <v>596</v>
      </c>
      <c r="H5384" t="s">
        <v>6692</v>
      </c>
      <c r="I5384">
        <v>212</v>
      </c>
      <c r="J5384">
        <v>153</v>
      </c>
      <c r="K5384">
        <v>0</v>
      </c>
      <c r="L5384">
        <v>0</v>
      </c>
      <c r="M5384">
        <v>42</v>
      </c>
      <c r="N5384">
        <v>0</v>
      </c>
      <c r="O5384">
        <v>17</v>
      </c>
    </row>
    <row r="5385" spans="1:15" x14ac:dyDescent="0.25">
      <c r="A5385" t="s">
        <v>1432</v>
      </c>
      <c r="B5385" t="s">
        <v>2022</v>
      </c>
      <c r="C5385" t="s">
        <v>923</v>
      </c>
      <c r="D5385" t="s">
        <v>3063</v>
      </c>
      <c r="E5385" t="s">
        <v>3053</v>
      </c>
      <c r="F5385" t="s">
        <v>595</v>
      </c>
      <c r="G5385" t="s">
        <v>596</v>
      </c>
      <c r="H5385" t="s">
        <v>10211</v>
      </c>
      <c r="I5385">
        <v>20</v>
      </c>
      <c r="J5385">
        <v>0</v>
      </c>
      <c r="K5385">
        <v>0</v>
      </c>
      <c r="L5385">
        <v>20</v>
      </c>
      <c r="M5385">
        <v>0</v>
      </c>
      <c r="N5385">
        <v>0</v>
      </c>
      <c r="O5385">
        <v>0</v>
      </c>
    </row>
    <row r="5386" spans="1:15" x14ac:dyDescent="0.25">
      <c r="A5386" t="s">
        <v>1433</v>
      </c>
      <c r="B5386" t="s">
        <v>2914</v>
      </c>
      <c r="C5386" t="s">
        <v>927</v>
      </c>
      <c r="D5386" t="s">
        <v>3052</v>
      </c>
      <c r="E5386" t="s">
        <v>3053</v>
      </c>
      <c r="F5386" t="s">
        <v>595</v>
      </c>
      <c r="G5386" t="s">
        <v>596</v>
      </c>
      <c r="H5386" t="s">
        <v>6693</v>
      </c>
      <c r="I5386">
        <v>942</v>
      </c>
      <c r="J5386">
        <v>711</v>
      </c>
      <c r="K5386">
        <v>0</v>
      </c>
      <c r="L5386">
        <v>152</v>
      </c>
      <c r="M5386">
        <v>60</v>
      </c>
      <c r="N5386">
        <v>0</v>
      </c>
      <c r="O5386">
        <v>19</v>
      </c>
    </row>
    <row r="5387" spans="1:15" x14ac:dyDescent="0.25">
      <c r="A5387" t="s">
        <v>1434</v>
      </c>
      <c r="B5387" t="s">
        <v>2436</v>
      </c>
      <c r="C5387" t="s">
        <v>923</v>
      </c>
      <c r="D5387" t="s">
        <v>3063</v>
      </c>
      <c r="E5387" t="s">
        <v>3053</v>
      </c>
      <c r="F5387" t="s">
        <v>595</v>
      </c>
      <c r="G5387" t="s">
        <v>596</v>
      </c>
      <c r="H5387" t="s">
        <v>6694</v>
      </c>
      <c r="I5387">
        <v>29</v>
      </c>
      <c r="J5387">
        <v>29</v>
      </c>
      <c r="K5387">
        <v>0</v>
      </c>
      <c r="L5387">
        <v>0</v>
      </c>
      <c r="M5387">
        <v>0</v>
      </c>
      <c r="N5387">
        <v>0</v>
      </c>
      <c r="O5387">
        <v>0</v>
      </c>
    </row>
    <row r="5388" spans="1:15" x14ac:dyDescent="0.25">
      <c r="A5388" t="s">
        <v>1043</v>
      </c>
      <c r="B5388" t="s">
        <v>2090</v>
      </c>
      <c r="C5388" t="s">
        <v>927</v>
      </c>
      <c r="D5388" t="s">
        <v>3052</v>
      </c>
      <c r="E5388" t="s">
        <v>3053</v>
      </c>
      <c r="F5388" t="s">
        <v>595</v>
      </c>
      <c r="G5388" t="s">
        <v>596</v>
      </c>
      <c r="H5388" t="s">
        <v>6695</v>
      </c>
      <c r="I5388">
        <v>1</v>
      </c>
      <c r="J5388">
        <v>0</v>
      </c>
      <c r="K5388">
        <v>0</v>
      </c>
      <c r="L5388">
        <v>0</v>
      </c>
      <c r="M5388">
        <v>0</v>
      </c>
      <c r="N5388">
        <v>0</v>
      </c>
      <c r="O5388">
        <v>1</v>
      </c>
    </row>
    <row r="5389" spans="1:15" x14ac:dyDescent="0.25">
      <c r="A5389" t="s">
        <v>951</v>
      </c>
      <c r="B5389" t="s">
        <v>2680</v>
      </c>
      <c r="C5389" t="s">
        <v>927</v>
      </c>
      <c r="D5389" t="s">
        <v>3052</v>
      </c>
      <c r="E5389" t="s">
        <v>3053</v>
      </c>
      <c r="F5389" t="s">
        <v>595</v>
      </c>
      <c r="G5389" t="s">
        <v>596</v>
      </c>
      <c r="H5389" t="s">
        <v>6696</v>
      </c>
      <c r="I5389">
        <v>249</v>
      </c>
      <c r="J5389">
        <v>242</v>
      </c>
      <c r="K5389">
        <v>0</v>
      </c>
      <c r="L5389">
        <v>0</v>
      </c>
      <c r="M5389">
        <v>0</v>
      </c>
      <c r="N5389">
        <v>0</v>
      </c>
      <c r="O5389">
        <v>7</v>
      </c>
    </row>
    <row r="5390" spans="1:15" x14ac:dyDescent="0.25">
      <c r="A5390" t="s">
        <v>1048</v>
      </c>
      <c r="B5390" t="s">
        <v>2989</v>
      </c>
      <c r="C5390" t="s">
        <v>927</v>
      </c>
      <c r="D5390" t="s">
        <v>3052</v>
      </c>
      <c r="E5390" t="s">
        <v>3053</v>
      </c>
      <c r="F5390" t="s">
        <v>595</v>
      </c>
      <c r="G5390" t="s">
        <v>596</v>
      </c>
      <c r="H5390" t="s">
        <v>14927</v>
      </c>
      <c r="I5390">
        <v>1</v>
      </c>
      <c r="J5390">
        <v>0</v>
      </c>
      <c r="K5390">
        <v>0</v>
      </c>
      <c r="L5390">
        <v>1</v>
      </c>
      <c r="M5390">
        <v>0</v>
      </c>
      <c r="N5390">
        <v>0</v>
      </c>
      <c r="O5390">
        <v>0</v>
      </c>
    </row>
    <row r="5391" spans="1:15" x14ac:dyDescent="0.25">
      <c r="A5391" t="s">
        <v>1051</v>
      </c>
      <c r="B5391" t="s">
        <v>2995</v>
      </c>
      <c r="C5391" t="s">
        <v>927</v>
      </c>
      <c r="D5391" t="s">
        <v>3052</v>
      </c>
      <c r="E5391" t="s">
        <v>3053</v>
      </c>
      <c r="F5391" t="s">
        <v>595</v>
      </c>
      <c r="G5391" t="s">
        <v>596</v>
      </c>
      <c r="H5391" t="s">
        <v>6697</v>
      </c>
      <c r="I5391">
        <v>8</v>
      </c>
      <c r="J5391">
        <v>0</v>
      </c>
      <c r="K5391">
        <v>0</v>
      </c>
      <c r="L5391">
        <v>8</v>
      </c>
      <c r="M5391">
        <v>0</v>
      </c>
      <c r="N5391">
        <v>0</v>
      </c>
      <c r="O5391">
        <v>0</v>
      </c>
    </row>
    <row r="5392" spans="1:15" x14ac:dyDescent="0.25">
      <c r="A5392" t="s">
        <v>1436</v>
      </c>
      <c r="B5392" t="s">
        <v>2209</v>
      </c>
      <c r="C5392" t="s">
        <v>927</v>
      </c>
      <c r="D5392" t="s">
        <v>3052</v>
      </c>
      <c r="E5392" t="s">
        <v>3053</v>
      </c>
      <c r="F5392" t="s">
        <v>595</v>
      </c>
      <c r="G5392" t="s">
        <v>596</v>
      </c>
      <c r="H5392" t="s">
        <v>6698</v>
      </c>
      <c r="I5392">
        <v>16</v>
      </c>
      <c r="J5392">
        <v>0</v>
      </c>
      <c r="K5392">
        <v>0</v>
      </c>
      <c r="L5392">
        <v>0</v>
      </c>
      <c r="M5392">
        <v>16</v>
      </c>
      <c r="N5392">
        <v>1</v>
      </c>
      <c r="O5392">
        <v>0</v>
      </c>
    </row>
    <row r="5393" spans="1:15" x14ac:dyDescent="0.25">
      <c r="A5393" t="s">
        <v>11720</v>
      </c>
      <c r="B5393" t="s">
        <v>10718</v>
      </c>
      <c r="C5393" t="s">
        <v>927</v>
      </c>
      <c r="D5393" t="s">
        <v>3052</v>
      </c>
      <c r="E5393" t="s">
        <v>3053</v>
      </c>
      <c r="F5393" t="s">
        <v>595</v>
      </c>
      <c r="G5393" t="s">
        <v>596</v>
      </c>
      <c r="H5393" t="s">
        <v>14928</v>
      </c>
      <c r="I5393">
        <v>8</v>
      </c>
      <c r="J5393">
        <v>0</v>
      </c>
      <c r="K5393">
        <v>0</v>
      </c>
      <c r="L5393">
        <v>0</v>
      </c>
      <c r="M5393">
        <v>0</v>
      </c>
      <c r="N5393">
        <v>0</v>
      </c>
      <c r="O5393">
        <v>8</v>
      </c>
    </row>
    <row r="5394" spans="1:15" x14ac:dyDescent="0.25">
      <c r="A5394" t="s">
        <v>1056</v>
      </c>
      <c r="B5394" t="s">
        <v>2966</v>
      </c>
      <c r="C5394" t="s">
        <v>927</v>
      </c>
      <c r="D5394" t="s">
        <v>3052</v>
      </c>
      <c r="E5394" t="s">
        <v>3053</v>
      </c>
      <c r="F5394" t="s">
        <v>595</v>
      </c>
      <c r="G5394" t="s">
        <v>596</v>
      </c>
      <c r="H5394" t="s">
        <v>6699</v>
      </c>
      <c r="I5394">
        <v>13</v>
      </c>
      <c r="J5394">
        <v>0</v>
      </c>
      <c r="K5394">
        <v>0</v>
      </c>
      <c r="L5394">
        <v>13</v>
      </c>
      <c r="M5394">
        <v>0</v>
      </c>
      <c r="N5394">
        <v>0</v>
      </c>
      <c r="O5394">
        <v>0</v>
      </c>
    </row>
    <row r="5395" spans="1:15" x14ac:dyDescent="0.25">
      <c r="A5395" t="s">
        <v>955</v>
      </c>
      <c r="B5395" t="s">
        <v>2660</v>
      </c>
      <c r="C5395" t="s">
        <v>927</v>
      </c>
      <c r="D5395" t="s">
        <v>3052</v>
      </c>
      <c r="E5395" t="s">
        <v>3053</v>
      </c>
      <c r="F5395" t="s">
        <v>595</v>
      </c>
      <c r="G5395" t="s">
        <v>596</v>
      </c>
      <c r="H5395" t="s">
        <v>6700</v>
      </c>
      <c r="I5395">
        <v>13</v>
      </c>
      <c r="J5395">
        <v>0</v>
      </c>
      <c r="K5395">
        <v>0</v>
      </c>
      <c r="L5395">
        <v>13</v>
      </c>
      <c r="M5395">
        <v>0</v>
      </c>
      <c r="N5395">
        <v>0</v>
      </c>
      <c r="O5395">
        <v>0</v>
      </c>
    </row>
    <row r="5396" spans="1:15" x14ac:dyDescent="0.25">
      <c r="A5396" t="s">
        <v>1442</v>
      </c>
      <c r="B5396" t="s">
        <v>2017</v>
      </c>
      <c r="C5396" t="s">
        <v>923</v>
      </c>
      <c r="D5396" t="s">
        <v>3063</v>
      </c>
      <c r="E5396" t="s">
        <v>3053</v>
      </c>
      <c r="F5396" t="s">
        <v>595</v>
      </c>
      <c r="G5396" t="s">
        <v>596</v>
      </c>
      <c r="H5396" t="s">
        <v>11154</v>
      </c>
      <c r="I5396">
        <v>30</v>
      </c>
      <c r="J5396">
        <v>0</v>
      </c>
      <c r="K5396">
        <v>0</v>
      </c>
      <c r="L5396">
        <v>30</v>
      </c>
      <c r="M5396">
        <v>0</v>
      </c>
      <c r="N5396">
        <v>0</v>
      </c>
      <c r="O5396">
        <v>0</v>
      </c>
    </row>
    <row r="5397" spans="1:15" x14ac:dyDescent="0.25">
      <c r="A5397" t="s">
        <v>1072</v>
      </c>
      <c r="B5397" t="s">
        <v>2907</v>
      </c>
      <c r="C5397" t="s">
        <v>927</v>
      </c>
      <c r="D5397" t="s">
        <v>3052</v>
      </c>
      <c r="E5397" t="s">
        <v>3053</v>
      </c>
      <c r="F5397" t="s">
        <v>595</v>
      </c>
      <c r="G5397" t="s">
        <v>596</v>
      </c>
      <c r="H5397" t="s">
        <v>6701</v>
      </c>
      <c r="I5397">
        <v>79</v>
      </c>
      <c r="J5397">
        <v>0</v>
      </c>
      <c r="K5397">
        <v>0</v>
      </c>
      <c r="L5397">
        <v>79</v>
      </c>
      <c r="M5397">
        <v>0</v>
      </c>
      <c r="N5397">
        <v>0</v>
      </c>
      <c r="O5397">
        <v>0</v>
      </c>
    </row>
    <row r="5398" spans="1:15" x14ac:dyDescent="0.25">
      <c r="A5398" t="s">
        <v>1180</v>
      </c>
      <c r="B5398" t="s">
        <v>2896</v>
      </c>
      <c r="C5398" t="s">
        <v>927</v>
      </c>
      <c r="D5398" t="s">
        <v>3052</v>
      </c>
      <c r="E5398" t="s">
        <v>3053</v>
      </c>
      <c r="F5398" t="s">
        <v>595</v>
      </c>
      <c r="G5398" t="s">
        <v>596</v>
      </c>
      <c r="H5398" t="s">
        <v>6702</v>
      </c>
      <c r="I5398">
        <v>11832</v>
      </c>
      <c r="J5398">
        <v>10656</v>
      </c>
      <c r="K5398">
        <v>2</v>
      </c>
      <c r="L5398">
        <v>97</v>
      </c>
      <c r="M5398">
        <v>850</v>
      </c>
      <c r="N5398">
        <v>14</v>
      </c>
      <c r="O5398">
        <v>227</v>
      </c>
    </row>
    <row r="5399" spans="1:15" x14ac:dyDescent="0.25">
      <c r="A5399" t="s">
        <v>1075</v>
      </c>
      <c r="B5399" t="s">
        <v>2830</v>
      </c>
      <c r="C5399" t="s">
        <v>927</v>
      </c>
      <c r="D5399" t="s">
        <v>3052</v>
      </c>
      <c r="E5399" t="s">
        <v>3053</v>
      </c>
      <c r="F5399" t="s">
        <v>595</v>
      </c>
      <c r="G5399" t="s">
        <v>596</v>
      </c>
      <c r="H5399" t="s">
        <v>14929</v>
      </c>
      <c r="I5399">
        <v>26</v>
      </c>
      <c r="J5399">
        <v>0</v>
      </c>
      <c r="K5399">
        <v>0</v>
      </c>
      <c r="L5399">
        <v>0</v>
      </c>
      <c r="M5399">
        <v>0</v>
      </c>
      <c r="N5399">
        <v>0</v>
      </c>
      <c r="O5399">
        <v>26</v>
      </c>
    </row>
    <row r="5400" spans="1:15" x14ac:dyDescent="0.25">
      <c r="A5400" t="s">
        <v>1400</v>
      </c>
      <c r="B5400" t="s">
        <v>2019</v>
      </c>
      <c r="C5400" t="s">
        <v>923</v>
      </c>
      <c r="D5400" t="s">
        <v>3063</v>
      </c>
      <c r="E5400" t="s">
        <v>3053</v>
      </c>
      <c r="F5400" t="s">
        <v>597</v>
      </c>
      <c r="G5400" t="s">
        <v>598</v>
      </c>
      <c r="H5400" t="s">
        <v>9887</v>
      </c>
      <c r="I5400">
        <v>7</v>
      </c>
      <c r="J5400">
        <v>7</v>
      </c>
      <c r="K5400">
        <v>0</v>
      </c>
      <c r="L5400">
        <v>0</v>
      </c>
      <c r="M5400">
        <v>0</v>
      </c>
      <c r="N5400">
        <v>0</v>
      </c>
      <c r="O5400">
        <v>0</v>
      </c>
    </row>
    <row r="5401" spans="1:15" x14ac:dyDescent="0.25">
      <c r="A5401" t="s">
        <v>1195</v>
      </c>
      <c r="B5401" t="s">
        <v>2924</v>
      </c>
      <c r="C5401" t="s">
        <v>927</v>
      </c>
      <c r="D5401" t="s">
        <v>3052</v>
      </c>
      <c r="E5401" t="s">
        <v>3053</v>
      </c>
      <c r="F5401" t="s">
        <v>597</v>
      </c>
      <c r="G5401" t="s">
        <v>598</v>
      </c>
      <c r="H5401" t="s">
        <v>6703</v>
      </c>
      <c r="I5401">
        <v>23</v>
      </c>
      <c r="J5401">
        <v>6</v>
      </c>
      <c r="K5401">
        <v>0</v>
      </c>
      <c r="L5401">
        <v>0</v>
      </c>
      <c r="M5401">
        <v>0</v>
      </c>
      <c r="N5401">
        <v>0</v>
      </c>
      <c r="O5401">
        <v>17</v>
      </c>
    </row>
    <row r="5402" spans="1:15" x14ac:dyDescent="0.25">
      <c r="A5402" t="s">
        <v>971</v>
      </c>
      <c r="B5402" t="s">
        <v>2956</v>
      </c>
      <c r="C5402" t="s">
        <v>927</v>
      </c>
      <c r="D5402" t="s">
        <v>3052</v>
      </c>
      <c r="E5402" t="s">
        <v>3053</v>
      </c>
      <c r="F5402" t="s">
        <v>597</v>
      </c>
      <c r="G5402" t="s">
        <v>598</v>
      </c>
      <c r="H5402" t="s">
        <v>6704</v>
      </c>
      <c r="I5402">
        <v>183</v>
      </c>
      <c r="J5402">
        <v>128</v>
      </c>
      <c r="K5402">
        <v>0</v>
      </c>
      <c r="L5402">
        <v>0</v>
      </c>
      <c r="M5402">
        <v>0</v>
      </c>
      <c r="N5402">
        <v>0</v>
      </c>
      <c r="O5402">
        <v>55</v>
      </c>
    </row>
    <row r="5403" spans="1:15" x14ac:dyDescent="0.25">
      <c r="A5403" t="s">
        <v>926</v>
      </c>
      <c r="B5403" t="s">
        <v>2923</v>
      </c>
      <c r="C5403" t="s">
        <v>927</v>
      </c>
      <c r="D5403" t="s">
        <v>3052</v>
      </c>
      <c r="E5403" t="s">
        <v>3053</v>
      </c>
      <c r="F5403" t="s">
        <v>597</v>
      </c>
      <c r="G5403" t="s">
        <v>598</v>
      </c>
      <c r="H5403" t="s">
        <v>6705</v>
      </c>
      <c r="I5403">
        <v>3</v>
      </c>
      <c r="J5403">
        <v>0</v>
      </c>
      <c r="K5403">
        <v>0</v>
      </c>
      <c r="L5403">
        <v>0</v>
      </c>
      <c r="M5403">
        <v>0</v>
      </c>
      <c r="N5403">
        <v>0</v>
      </c>
      <c r="O5403">
        <v>3</v>
      </c>
    </row>
    <row r="5404" spans="1:15" x14ac:dyDescent="0.25">
      <c r="A5404" t="s">
        <v>1571</v>
      </c>
      <c r="B5404" t="s">
        <v>2264</v>
      </c>
      <c r="C5404" t="s">
        <v>923</v>
      </c>
      <c r="D5404" t="s">
        <v>3063</v>
      </c>
      <c r="E5404" t="s">
        <v>3053</v>
      </c>
      <c r="F5404" t="s">
        <v>597</v>
      </c>
      <c r="G5404" t="s">
        <v>598</v>
      </c>
      <c r="H5404" t="s">
        <v>6706</v>
      </c>
      <c r="I5404">
        <v>12</v>
      </c>
      <c r="J5404">
        <v>12</v>
      </c>
      <c r="K5404">
        <v>0</v>
      </c>
      <c r="L5404">
        <v>0</v>
      </c>
      <c r="M5404">
        <v>0</v>
      </c>
      <c r="N5404">
        <v>0</v>
      </c>
      <c r="O5404">
        <v>0</v>
      </c>
    </row>
    <row r="5405" spans="1:15" x14ac:dyDescent="0.25">
      <c r="A5405" t="s">
        <v>929</v>
      </c>
      <c r="B5405" t="s">
        <v>2999</v>
      </c>
      <c r="C5405" t="s">
        <v>927</v>
      </c>
      <c r="D5405" t="s">
        <v>3052</v>
      </c>
      <c r="E5405" t="s">
        <v>3053</v>
      </c>
      <c r="F5405" t="s">
        <v>597</v>
      </c>
      <c r="G5405" t="s">
        <v>598</v>
      </c>
      <c r="H5405" t="s">
        <v>6707</v>
      </c>
      <c r="I5405">
        <v>153</v>
      </c>
      <c r="J5405">
        <v>0</v>
      </c>
      <c r="K5405">
        <v>0</v>
      </c>
      <c r="L5405">
        <v>0</v>
      </c>
      <c r="M5405">
        <v>153</v>
      </c>
      <c r="N5405">
        <v>0</v>
      </c>
      <c r="O5405">
        <v>0</v>
      </c>
    </row>
    <row r="5406" spans="1:15" x14ac:dyDescent="0.25">
      <c r="A5406" t="s">
        <v>9790</v>
      </c>
      <c r="B5406" t="s">
        <v>1977</v>
      </c>
      <c r="C5406" t="s">
        <v>923</v>
      </c>
      <c r="D5406" t="s">
        <v>3063</v>
      </c>
      <c r="E5406" t="s">
        <v>3053</v>
      </c>
      <c r="F5406" t="s">
        <v>597</v>
      </c>
      <c r="G5406" t="s">
        <v>598</v>
      </c>
      <c r="H5406" t="s">
        <v>12207</v>
      </c>
      <c r="I5406">
        <v>1</v>
      </c>
      <c r="J5406">
        <v>0</v>
      </c>
      <c r="K5406">
        <v>0</v>
      </c>
      <c r="L5406">
        <v>1</v>
      </c>
      <c r="M5406">
        <v>0</v>
      </c>
      <c r="N5406">
        <v>0</v>
      </c>
      <c r="O5406">
        <v>0</v>
      </c>
    </row>
    <row r="5407" spans="1:15" x14ac:dyDescent="0.25">
      <c r="A5407" t="s">
        <v>9784</v>
      </c>
      <c r="B5407" t="s">
        <v>1994</v>
      </c>
      <c r="C5407" t="s">
        <v>927</v>
      </c>
      <c r="D5407" t="s">
        <v>3052</v>
      </c>
      <c r="E5407" t="s">
        <v>3053</v>
      </c>
      <c r="F5407" t="s">
        <v>597</v>
      </c>
      <c r="G5407" t="s">
        <v>598</v>
      </c>
      <c r="H5407" t="s">
        <v>9960</v>
      </c>
      <c r="I5407">
        <v>9</v>
      </c>
      <c r="J5407">
        <v>0</v>
      </c>
      <c r="K5407">
        <v>0</v>
      </c>
      <c r="L5407">
        <v>9</v>
      </c>
      <c r="M5407">
        <v>0</v>
      </c>
      <c r="N5407">
        <v>5</v>
      </c>
      <c r="O5407">
        <v>0</v>
      </c>
    </row>
    <row r="5408" spans="1:15" x14ac:dyDescent="0.25">
      <c r="A5408" t="s">
        <v>933</v>
      </c>
      <c r="B5408" t="s">
        <v>2106</v>
      </c>
      <c r="C5408" t="s">
        <v>927</v>
      </c>
      <c r="D5408" t="s">
        <v>3052</v>
      </c>
      <c r="E5408" t="s">
        <v>3053</v>
      </c>
      <c r="F5408" t="s">
        <v>597</v>
      </c>
      <c r="G5408" t="s">
        <v>598</v>
      </c>
      <c r="H5408" t="s">
        <v>6709</v>
      </c>
      <c r="I5408">
        <v>815</v>
      </c>
      <c r="J5408">
        <v>617</v>
      </c>
      <c r="K5408">
        <v>0</v>
      </c>
      <c r="L5408">
        <v>0</v>
      </c>
      <c r="M5408">
        <v>92</v>
      </c>
      <c r="N5408">
        <v>41</v>
      </c>
      <c r="O5408">
        <v>106</v>
      </c>
    </row>
    <row r="5409" spans="1:15" x14ac:dyDescent="0.25">
      <c r="A5409" t="s">
        <v>1105</v>
      </c>
      <c r="B5409" t="s">
        <v>2918</v>
      </c>
      <c r="C5409" t="s">
        <v>923</v>
      </c>
      <c r="D5409" t="s">
        <v>3063</v>
      </c>
      <c r="E5409" t="s">
        <v>3053</v>
      </c>
      <c r="F5409" t="s">
        <v>597</v>
      </c>
      <c r="G5409" t="s">
        <v>598</v>
      </c>
      <c r="H5409" t="s">
        <v>6710</v>
      </c>
      <c r="I5409">
        <v>130</v>
      </c>
      <c r="J5409">
        <v>130</v>
      </c>
      <c r="K5409">
        <v>0</v>
      </c>
      <c r="L5409">
        <v>0</v>
      </c>
      <c r="M5409">
        <v>0</v>
      </c>
      <c r="N5409">
        <v>0</v>
      </c>
      <c r="O5409">
        <v>0</v>
      </c>
    </row>
    <row r="5410" spans="1:15" x14ac:dyDescent="0.25">
      <c r="A5410" t="s">
        <v>992</v>
      </c>
      <c r="B5410" t="s">
        <v>3033</v>
      </c>
      <c r="C5410" t="s">
        <v>927</v>
      </c>
      <c r="D5410" t="s">
        <v>3052</v>
      </c>
      <c r="E5410" t="s">
        <v>3053</v>
      </c>
      <c r="F5410" t="s">
        <v>597</v>
      </c>
      <c r="G5410" t="s">
        <v>598</v>
      </c>
      <c r="H5410" t="s">
        <v>6711</v>
      </c>
      <c r="I5410">
        <v>299</v>
      </c>
      <c r="J5410">
        <v>72</v>
      </c>
      <c r="K5410">
        <v>0</v>
      </c>
      <c r="L5410">
        <v>0</v>
      </c>
      <c r="M5410">
        <v>0</v>
      </c>
      <c r="N5410">
        <v>0</v>
      </c>
      <c r="O5410">
        <v>227</v>
      </c>
    </row>
    <row r="5411" spans="1:15" x14ac:dyDescent="0.25">
      <c r="A5411" t="s">
        <v>996</v>
      </c>
      <c r="B5411" t="s">
        <v>1952</v>
      </c>
      <c r="C5411" t="s">
        <v>923</v>
      </c>
      <c r="D5411" t="s">
        <v>3063</v>
      </c>
      <c r="E5411" t="s">
        <v>3053</v>
      </c>
      <c r="F5411" t="s">
        <v>597</v>
      </c>
      <c r="G5411" t="s">
        <v>598</v>
      </c>
      <c r="H5411" t="s">
        <v>6712</v>
      </c>
      <c r="I5411">
        <v>21</v>
      </c>
      <c r="J5411">
        <v>0</v>
      </c>
      <c r="K5411">
        <v>0</v>
      </c>
      <c r="L5411">
        <v>21</v>
      </c>
      <c r="M5411">
        <v>0</v>
      </c>
      <c r="N5411">
        <v>0</v>
      </c>
      <c r="O5411">
        <v>0</v>
      </c>
    </row>
    <row r="5412" spans="1:15" x14ac:dyDescent="0.25">
      <c r="A5412" t="s">
        <v>10624</v>
      </c>
      <c r="B5412" t="s">
        <v>2882</v>
      </c>
      <c r="C5412" t="s">
        <v>927</v>
      </c>
      <c r="D5412" t="s">
        <v>3052</v>
      </c>
      <c r="E5412" t="s">
        <v>3053</v>
      </c>
      <c r="F5412" t="s">
        <v>597</v>
      </c>
      <c r="G5412" t="s">
        <v>598</v>
      </c>
      <c r="H5412" t="s">
        <v>14930</v>
      </c>
      <c r="I5412">
        <v>70</v>
      </c>
      <c r="J5412">
        <v>36</v>
      </c>
      <c r="K5412">
        <v>0</v>
      </c>
      <c r="L5412">
        <v>0</v>
      </c>
      <c r="M5412">
        <v>0</v>
      </c>
      <c r="N5412">
        <v>0</v>
      </c>
      <c r="O5412">
        <v>34</v>
      </c>
    </row>
    <row r="5413" spans="1:15" x14ac:dyDescent="0.25">
      <c r="A5413" t="s">
        <v>10638</v>
      </c>
      <c r="B5413" t="s">
        <v>2057</v>
      </c>
      <c r="C5413" t="s">
        <v>927</v>
      </c>
      <c r="D5413" t="s">
        <v>3052</v>
      </c>
      <c r="E5413" t="s">
        <v>3053</v>
      </c>
      <c r="F5413" t="s">
        <v>597</v>
      </c>
      <c r="G5413" t="s">
        <v>598</v>
      </c>
      <c r="H5413" t="s">
        <v>11155</v>
      </c>
      <c r="I5413">
        <v>30</v>
      </c>
      <c r="J5413">
        <v>0</v>
      </c>
      <c r="K5413">
        <v>0</v>
      </c>
      <c r="L5413">
        <v>30</v>
      </c>
      <c r="M5413">
        <v>0</v>
      </c>
      <c r="N5413">
        <v>0</v>
      </c>
      <c r="O5413">
        <v>0</v>
      </c>
    </row>
    <row r="5414" spans="1:15" x14ac:dyDescent="0.25">
      <c r="A5414" t="s">
        <v>1005</v>
      </c>
      <c r="B5414" t="s">
        <v>2128</v>
      </c>
      <c r="C5414" t="s">
        <v>927</v>
      </c>
      <c r="D5414" t="s">
        <v>3052</v>
      </c>
      <c r="E5414" t="s">
        <v>3053</v>
      </c>
      <c r="F5414" t="s">
        <v>597</v>
      </c>
      <c r="G5414" t="s">
        <v>598</v>
      </c>
      <c r="H5414" t="s">
        <v>6713</v>
      </c>
      <c r="I5414">
        <v>487</v>
      </c>
      <c r="J5414">
        <v>203</v>
      </c>
      <c r="K5414">
        <v>0</v>
      </c>
      <c r="L5414">
        <v>114</v>
      </c>
      <c r="M5414">
        <v>0</v>
      </c>
      <c r="N5414">
        <v>0</v>
      </c>
      <c r="O5414">
        <v>170</v>
      </c>
    </row>
    <row r="5415" spans="1:15" x14ac:dyDescent="0.25">
      <c r="A5415" t="s">
        <v>1008</v>
      </c>
      <c r="B5415" t="s">
        <v>2928</v>
      </c>
      <c r="C5415" t="s">
        <v>927</v>
      </c>
      <c r="D5415" t="s">
        <v>3052</v>
      </c>
      <c r="E5415" t="s">
        <v>3053</v>
      </c>
      <c r="F5415" t="s">
        <v>597</v>
      </c>
      <c r="G5415" t="s">
        <v>598</v>
      </c>
      <c r="H5415" t="s">
        <v>6714</v>
      </c>
      <c r="I5415">
        <v>140</v>
      </c>
      <c r="J5415">
        <v>139</v>
      </c>
      <c r="K5415">
        <v>0</v>
      </c>
      <c r="L5415">
        <v>1</v>
      </c>
      <c r="M5415">
        <v>0</v>
      </c>
      <c r="N5415">
        <v>3</v>
      </c>
      <c r="O5415">
        <v>0</v>
      </c>
    </row>
    <row r="5416" spans="1:15" x14ac:dyDescent="0.25">
      <c r="A5416" t="s">
        <v>10647</v>
      </c>
      <c r="B5416" t="s">
        <v>10646</v>
      </c>
      <c r="C5416" t="s">
        <v>923</v>
      </c>
      <c r="D5416" t="s">
        <v>3063</v>
      </c>
      <c r="E5416" t="s">
        <v>3053</v>
      </c>
      <c r="F5416" t="s">
        <v>597</v>
      </c>
      <c r="G5416" t="s">
        <v>598</v>
      </c>
      <c r="H5416" t="s">
        <v>12208</v>
      </c>
      <c r="I5416">
        <v>83</v>
      </c>
      <c r="J5416">
        <v>83</v>
      </c>
      <c r="K5416">
        <v>0</v>
      </c>
      <c r="L5416">
        <v>0</v>
      </c>
      <c r="M5416">
        <v>0</v>
      </c>
      <c r="N5416">
        <v>0</v>
      </c>
      <c r="O5416">
        <v>0</v>
      </c>
    </row>
    <row r="5417" spans="1:15" x14ac:dyDescent="0.25">
      <c r="A5417" t="s">
        <v>1010</v>
      </c>
      <c r="B5417" t="s">
        <v>2639</v>
      </c>
      <c r="C5417" t="s">
        <v>927</v>
      </c>
      <c r="D5417" t="s">
        <v>3052</v>
      </c>
      <c r="E5417" t="s">
        <v>3053</v>
      </c>
      <c r="F5417" t="s">
        <v>597</v>
      </c>
      <c r="G5417" t="s">
        <v>598</v>
      </c>
      <c r="H5417" t="s">
        <v>6715</v>
      </c>
      <c r="I5417">
        <v>262</v>
      </c>
      <c r="J5417">
        <v>239</v>
      </c>
      <c r="K5417">
        <v>0</v>
      </c>
      <c r="L5417">
        <v>0</v>
      </c>
      <c r="M5417">
        <v>0</v>
      </c>
      <c r="N5417">
        <v>0</v>
      </c>
      <c r="O5417">
        <v>23</v>
      </c>
    </row>
    <row r="5418" spans="1:15" x14ac:dyDescent="0.25">
      <c r="A5418" t="s">
        <v>937</v>
      </c>
      <c r="B5418" t="s">
        <v>1962</v>
      </c>
      <c r="C5418" t="s">
        <v>927</v>
      </c>
      <c r="D5418" t="s">
        <v>3052</v>
      </c>
      <c r="E5418" t="s">
        <v>3053</v>
      </c>
      <c r="F5418" t="s">
        <v>597</v>
      </c>
      <c r="G5418" t="s">
        <v>598</v>
      </c>
      <c r="H5418" t="s">
        <v>6716</v>
      </c>
      <c r="I5418">
        <v>78</v>
      </c>
      <c r="J5418">
        <v>0</v>
      </c>
      <c r="K5418">
        <v>0</v>
      </c>
      <c r="L5418">
        <v>0</v>
      </c>
      <c r="M5418">
        <v>0</v>
      </c>
      <c r="N5418">
        <v>0</v>
      </c>
      <c r="O5418">
        <v>78</v>
      </c>
    </row>
    <row r="5419" spans="1:15" x14ac:dyDescent="0.25">
      <c r="A5419" t="s">
        <v>1119</v>
      </c>
      <c r="B5419" t="s">
        <v>2777</v>
      </c>
      <c r="C5419" t="s">
        <v>927</v>
      </c>
      <c r="D5419" t="s">
        <v>3052</v>
      </c>
      <c r="E5419" t="s">
        <v>3053</v>
      </c>
      <c r="F5419" t="s">
        <v>597</v>
      </c>
      <c r="G5419" t="s">
        <v>598</v>
      </c>
      <c r="H5419" t="s">
        <v>6717</v>
      </c>
      <c r="I5419">
        <v>197</v>
      </c>
      <c r="J5419">
        <v>161</v>
      </c>
      <c r="K5419">
        <v>0</v>
      </c>
      <c r="L5419">
        <v>0</v>
      </c>
      <c r="M5419">
        <v>0</v>
      </c>
      <c r="N5419">
        <v>0</v>
      </c>
      <c r="O5419">
        <v>36</v>
      </c>
    </row>
    <row r="5420" spans="1:15" x14ac:dyDescent="0.25">
      <c r="A5420" t="s">
        <v>938</v>
      </c>
      <c r="B5420" t="s">
        <v>2791</v>
      </c>
      <c r="C5420" t="s">
        <v>927</v>
      </c>
      <c r="D5420" t="s">
        <v>3052</v>
      </c>
      <c r="E5420" t="s">
        <v>3053</v>
      </c>
      <c r="F5420" t="s">
        <v>597</v>
      </c>
      <c r="G5420" t="s">
        <v>598</v>
      </c>
      <c r="H5420" t="s">
        <v>6718</v>
      </c>
      <c r="I5420">
        <v>533</v>
      </c>
      <c r="J5420">
        <v>518</v>
      </c>
      <c r="K5420">
        <v>0</v>
      </c>
      <c r="L5420">
        <v>15</v>
      </c>
      <c r="M5420">
        <v>0</v>
      </c>
      <c r="N5420">
        <v>0</v>
      </c>
      <c r="O5420">
        <v>0</v>
      </c>
    </row>
    <row r="5421" spans="1:15" x14ac:dyDescent="0.25">
      <c r="A5421" t="s">
        <v>940</v>
      </c>
      <c r="B5421" t="s">
        <v>2647</v>
      </c>
      <c r="C5421" t="s">
        <v>927</v>
      </c>
      <c r="D5421" t="s">
        <v>3052</v>
      </c>
      <c r="E5421" t="s">
        <v>3053</v>
      </c>
      <c r="F5421" t="s">
        <v>597</v>
      </c>
      <c r="G5421" t="s">
        <v>598</v>
      </c>
      <c r="H5421" t="s">
        <v>6719</v>
      </c>
      <c r="I5421">
        <v>64</v>
      </c>
      <c r="J5421">
        <v>0</v>
      </c>
      <c r="K5421">
        <v>0</v>
      </c>
      <c r="L5421">
        <v>0</v>
      </c>
      <c r="M5421">
        <v>64</v>
      </c>
      <c r="N5421">
        <v>0</v>
      </c>
      <c r="O5421">
        <v>0</v>
      </c>
    </row>
    <row r="5422" spans="1:15" x14ac:dyDescent="0.25">
      <c r="A5422" t="s">
        <v>1012</v>
      </c>
      <c r="B5422" t="s">
        <v>2911</v>
      </c>
      <c r="C5422" t="s">
        <v>927</v>
      </c>
      <c r="D5422" t="s">
        <v>3052</v>
      </c>
      <c r="E5422" t="s">
        <v>3053</v>
      </c>
      <c r="F5422" t="s">
        <v>597</v>
      </c>
      <c r="G5422" t="s">
        <v>598</v>
      </c>
      <c r="H5422" t="s">
        <v>6720</v>
      </c>
      <c r="I5422">
        <v>114</v>
      </c>
      <c r="J5422">
        <v>82</v>
      </c>
      <c r="K5422">
        <v>0</v>
      </c>
      <c r="L5422">
        <v>0</v>
      </c>
      <c r="M5422">
        <v>0</v>
      </c>
      <c r="N5422">
        <v>1</v>
      </c>
      <c r="O5422">
        <v>32</v>
      </c>
    </row>
    <row r="5423" spans="1:15" x14ac:dyDescent="0.25">
      <c r="A5423" t="s">
        <v>10667</v>
      </c>
      <c r="B5423" t="s">
        <v>10666</v>
      </c>
      <c r="C5423" t="s">
        <v>927</v>
      </c>
      <c r="D5423" t="s">
        <v>3052</v>
      </c>
      <c r="E5423" t="s">
        <v>3053</v>
      </c>
      <c r="F5423" t="s">
        <v>597</v>
      </c>
      <c r="G5423" t="s">
        <v>598</v>
      </c>
      <c r="H5423" t="s">
        <v>11156</v>
      </c>
      <c r="I5423">
        <v>75</v>
      </c>
      <c r="J5423">
        <v>75</v>
      </c>
      <c r="K5423">
        <v>0</v>
      </c>
      <c r="L5423">
        <v>0</v>
      </c>
      <c r="M5423">
        <v>0</v>
      </c>
      <c r="N5423">
        <v>0</v>
      </c>
      <c r="O5423">
        <v>0</v>
      </c>
    </row>
    <row r="5424" spans="1:15" x14ac:dyDescent="0.25">
      <c r="A5424" t="s">
        <v>1126</v>
      </c>
      <c r="B5424" t="s">
        <v>2130</v>
      </c>
      <c r="C5424" t="s">
        <v>927</v>
      </c>
      <c r="D5424" t="s">
        <v>3052</v>
      </c>
      <c r="E5424" t="s">
        <v>3053</v>
      </c>
      <c r="F5424" t="s">
        <v>597</v>
      </c>
      <c r="G5424" t="s">
        <v>598</v>
      </c>
      <c r="H5424" t="s">
        <v>11157</v>
      </c>
      <c r="I5424">
        <v>35</v>
      </c>
      <c r="J5424">
        <v>10</v>
      </c>
      <c r="K5424">
        <v>0</v>
      </c>
      <c r="L5424">
        <v>0</v>
      </c>
      <c r="M5424">
        <v>0</v>
      </c>
      <c r="N5424">
        <v>0</v>
      </c>
      <c r="O5424">
        <v>25</v>
      </c>
    </row>
    <row r="5425" spans="1:15" x14ac:dyDescent="0.25">
      <c r="A5425" t="s">
        <v>1025</v>
      </c>
      <c r="B5425" t="s">
        <v>2893</v>
      </c>
      <c r="C5425" t="s">
        <v>927</v>
      </c>
      <c r="D5425" t="s">
        <v>3052</v>
      </c>
      <c r="E5425" t="s">
        <v>3053</v>
      </c>
      <c r="F5425" t="s">
        <v>597</v>
      </c>
      <c r="G5425" t="s">
        <v>598</v>
      </c>
      <c r="H5425" t="s">
        <v>10188</v>
      </c>
      <c r="I5425">
        <v>423</v>
      </c>
      <c r="J5425">
        <v>282</v>
      </c>
      <c r="K5425">
        <v>0</v>
      </c>
      <c r="L5425">
        <v>0</v>
      </c>
      <c r="M5425">
        <v>0</v>
      </c>
      <c r="N5425">
        <v>0</v>
      </c>
      <c r="O5425">
        <v>141</v>
      </c>
    </row>
    <row r="5426" spans="1:15" x14ac:dyDescent="0.25">
      <c r="A5426" t="s">
        <v>10681</v>
      </c>
      <c r="B5426" t="s">
        <v>10680</v>
      </c>
      <c r="C5426" t="s">
        <v>927</v>
      </c>
      <c r="D5426" t="s">
        <v>3052</v>
      </c>
      <c r="E5426" t="s">
        <v>3053</v>
      </c>
      <c r="F5426" t="s">
        <v>597</v>
      </c>
      <c r="G5426" t="s">
        <v>598</v>
      </c>
      <c r="H5426" t="s">
        <v>14931</v>
      </c>
      <c r="I5426">
        <v>47</v>
      </c>
      <c r="J5426">
        <v>0</v>
      </c>
      <c r="K5426">
        <v>0</v>
      </c>
      <c r="L5426">
        <v>0</v>
      </c>
      <c r="M5426">
        <v>0</v>
      </c>
      <c r="N5426">
        <v>0</v>
      </c>
      <c r="O5426">
        <v>47</v>
      </c>
    </row>
    <row r="5427" spans="1:15" x14ac:dyDescent="0.25">
      <c r="A5427" t="s">
        <v>943</v>
      </c>
      <c r="B5427" t="s">
        <v>2694</v>
      </c>
      <c r="C5427" t="s">
        <v>927</v>
      </c>
      <c r="D5427" t="s">
        <v>3052</v>
      </c>
      <c r="E5427" t="s">
        <v>3053</v>
      </c>
      <c r="F5427" t="s">
        <v>597</v>
      </c>
      <c r="G5427" t="s">
        <v>598</v>
      </c>
      <c r="H5427" t="s">
        <v>6721</v>
      </c>
      <c r="I5427">
        <v>3</v>
      </c>
      <c r="J5427">
        <v>0</v>
      </c>
      <c r="K5427">
        <v>0</v>
      </c>
      <c r="L5427">
        <v>0</v>
      </c>
      <c r="M5427">
        <v>0</v>
      </c>
      <c r="N5427">
        <v>0</v>
      </c>
      <c r="O5427">
        <v>3</v>
      </c>
    </row>
    <row r="5428" spans="1:15" x14ac:dyDescent="0.25">
      <c r="A5428" t="s">
        <v>1030</v>
      </c>
      <c r="B5428" t="s">
        <v>2880</v>
      </c>
      <c r="C5428" t="s">
        <v>927</v>
      </c>
      <c r="D5428" t="s">
        <v>3052</v>
      </c>
      <c r="E5428" t="s">
        <v>3053</v>
      </c>
      <c r="F5428" t="s">
        <v>597</v>
      </c>
      <c r="G5428" t="s">
        <v>598</v>
      </c>
      <c r="H5428" t="s">
        <v>6722</v>
      </c>
      <c r="I5428">
        <v>100</v>
      </c>
      <c r="J5428">
        <v>0</v>
      </c>
      <c r="K5428">
        <v>0</v>
      </c>
      <c r="L5428">
        <v>0</v>
      </c>
      <c r="M5428">
        <v>100</v>
      </c>
      <c r="N5428">
        <v>0</v>
      </c>
      <c r="O5428">
        <v>0</v>
      </c>
    </row>
    <row r="5429" spans="1:15" x14ac:dyDescent="0.25">
      <c r="A5429" t="s">
        <v>1630</v>
      </c>
      <c r="B5429" t="s">
        <v>2110</v>
      </c>
      <c r="C5429" t="s">
        <v>923</v>
      </c>
      <c r="D5429" t="s">
        <v>3063</v>
      </c>
      <c r="E5429" t="s">
        <v>3053</v>
      </c>
      <c r="F5429" t="s">
        <v>597</v>
      </c>
      <c r="G5429" t="s">
        <v>598</v>
      </c>
      <c r="H5429" t="s">
        <v>6723</v>
      </c>
      <c r="I5429">
        <v>206</v>
      </c>
      <c r="J5429">
        <v>0</v>
      </c>
      <c r="K5429">
        <v>0</v>
      </c>
      <c r="L5429">
        <v>206</v>
      </c>
      <c r="M5429">
        <v>0</v>
      </c>
      <c r="N5429">
        <v>0</v>
      </c>
      <c r="O5429">
        <v>0</v>
      </c>
    </row>
    <row r="5430" spans="1:15" x14ac:dyDescent="0.25">
      <c r="A5430" t="s">
        <v>1134</v>
      </c>
      <c r="B5430" t="s">
        <v>2118</v>
      </c>
      <c r="C5430" t="s">
        <v>927</v>
      </c>
      <c r="D5430" t="s">
        <v>3052</v>
      </c>
      <c r="E5430" t="s">
        <v>3053</v>
      </c>
      <c r="F5430" t="s">
        <v>597</v>
      </c>
      <c r="G5430" t="s">
        <v>598</v>
      </c>
      <c r="H5430" t="s">
        <v>6724</v>
      </c>
      <c r="I5430">
        <v>97</v>
      </c>
      <c r="J5430">
        <v>22</v>
      </c>
      <c r="K5430">
        <v>0</v>
      </c>
      <c r="L5430">
        <v>0</v>
      </c>
      <c r="M5430">
        <v>0</v>
      </c>
      <c r="N5430">
        <v>0</v>
      </c>
      <c r="O5430">
        <v>75</v>
      </c>
    </row>
    <row r="5431" spans="1:15" x14ac:dyDescent="0.25">
      <c r="A5431" t="s">
        <v>949</v>
      </c>
      <c r="B5431" t="s">
        <v>3035</v>
      </c>
      <c r="C5431" t="s">
        <v>927</v>
      </c>
      <c r="D5431" t="s">
        <v>3052</v>
      </c>
      <c r="E5431" t="s">
        <v>3053</v>
      </c>
      <c r="F5431" t="s">
        <v>597</v>
      </c>
      <c r="G5431" t="s">
        <v>598</v>
      </c>
      <c r="H5431" t="s">
        <v>6725</v>
      </c>
      <c r="I5431">
        <v>2</v>
      </c>
      <c r="J5431">
        <v>0</v>
      </c>
      <c r="K5431">
        <v>0</v>
      </c>
      <c r="L5431">
        <v>0</v>
      </c>
      <c r="M5431">
        <v>0</v>
      </c>
      <c r="N5431">
        <v>0</v>
      </c>
      <c r="O5431">
        <v>2</v>
      </c>
    </row>
    <row r="5432" spans="1:15" x14ac:dyDescent="0.25">
      <c r="A5432" t="s">
        <v>1637</v>
      </c>
      <c r="B5432" t="s">
        <v>2512</v>
      </c>
      <c r="C5432" t="s">
        <v>923</v>
      </c>
      <c r="D5432" t="s">
        <v>3063</v>
      </c>
      <c r="E5432" t="s">
        <v>3053</v>
      </c>
      <c r="F5432" t="s">
        <v>597</v>
      </c>
      <c r="G5432" t="s">
        <v>598</v>
      </c>
      <c r="H5432" t="s">
        <v>6726</v>
      </c>
      <c r="I5432">
        <v>42</v>
      </c>
      <c r="J5432">
        <v>42</v>
      </c>
      <c r="K5432">
        <v>0</v>
      </c>
      <c r="L5432">
        <v>0</v>
      </c>
      <c r="M5432">
        <v>0</v>
      </c>
      <c r="N5432">
        <v>0</v>
      </c>
      <c r="O5432">
        <v>0</v>
      </c>
    </row>
    <row r="5433" spans="1:15" x14ac:dyDescent="0.25">
      <c r="A5433" t="s">
        <v>1041</v>
      </c>
      <c r="B5433" t="s">
        <v>2826</v>
      </c>
      <c r="C5433" t="s">
        <v>927</v>
      </c>
      <c r="D5433" t="s">
        <v>3052</v>
      </c>
      <c r="E5433" t="s">
        <v>3053</v>
      </c>
      <c r="F5433" t="s">
        <v>597</v>
      </c>
      <c r="G5433" t="s">
        <v>598</v>
      </c>
      <c r="H5433" t="s">
        <v>6727</v>
      </c>
      <c r="I5433">
        <v>223</v>
      </c>
      <c r="J5433">
        <v>0</v>
      </c>
      <c r="K5433">
        <v>0</v>
      </c>
      <c r="L5433">
        <v>0</v>
      </c>
      <c r="M5433">
        <v>0</v>
      </c>
      <c r="N5433">
        <v>0</v>
      </c>
      <c r="O5433">
        <v>223</v>
      </c>
    </row>
    <row r="5434" spans="1:15" x14ac:dyDescent="0.25">
      <c r="A5434" t="s">
        <v>9787</v>
      </c>
      <c r="B5434" t="s">
        <v>2822</v>
      </c>
      <c r="C5434" t="s">
        <v>927</v>
      </c>
      <c r="D5434" t="s">
        <v>3052</v>
      </c>
      <c r="E5434" t="s">
        <v>3053</v>
      </c>
      <c r="F5434" t="s">
        <v>597</v>
      </c>
      <c r="G5434" t="s">
        <v>598</v>
      </c>
      <c r="H5434" t="s">
        <v>10267</v>
      </c>
      <c r="I5434">
        <v>447</v>
      </c>
      <c r="J5434">
        <v>395</v>
      </c>
      <c r="K5434">
        <v>0</v>
      </c>
      <c r="L5434">
        <v>52</v>
      </c>
      <c r="M5434">
        <v>0</v>
      </c>
      <c r="N5434">
        <v>0</v>
      </c>
      <c r="O5434">
        <v>0</v>
      </c>
    </row>
    <row r="5435" spans="1:15" x14ac:dyDescent="0.25">
      <c r="A5435" t="s">
        <v>1142</v>
      </c>
      <c r="B5435" t="s">
        <v>3003</v>
      </c>
      <c r="C5435" t="s">
        <v>927</v>
      </c>
      <c r="D5435" t="s">
        <v>3052</v>
      </c>
      <c r="E5435" t="s">
        <v>3053</v>
      </c>
      <c r="F5435" t="s">
        <v>597</v>
      </c>
      <c r="G5435" t="s">
        <v>598</v>
      </c>
      <c r="H5435" t="s">
        <v>6728</v>
      </c>
      <c r="I5435">
        <v>2122</v>
      </c>
      <c r="J5435">
        <v>862</v>
      </c>
      <c r="K5435">
        <v>0</v>
      </c>
      <c r="L5435">
        <v>0</v>
      </c>
      <c r="M5435">
        <v>0</v>
      </c>
      <c r="N5435">
        <v>3</v>
      </c>
      <c r="O5435">
        <v>1260</v>
      </c>
    </row>
    <row r="5436" spans="1:15" x14ac:dyDescent="0.25">
      <c r="A5436" t="s">
        <v>1146</v>
      </c>
      <c r="B5436" t="s">
        <v>2117</v>
      </c>
      <c r="C5436" t="s">
        <v>927</v>
      </c>
      <c r="D5436" t="s">
        <v>3052</v>
      </c>
      <c r="E5436" t="s">
        <v>3053</v>
      </c>
      <c r="F5436" t="s">
        <v>597</v>
      </c>
      <c r="G5436" t="s">
        <v>598</v>
      </c>
      <c r="H5436" t="s">
        <v>14932</v>
      </c>
      <c r="I5436">
        <v>607</v>
      </c>
      <c r="J5436">
        <v>454</v>
      </c>
      <c r="K5436">
        <v>0</v>
      </c>
      <c r="L5436">
        <v>23</v>
      </c>
      <c r="M5436">
        <v>0</v>
      </c>
      <c r="N5436">
        <v>4</v>
      </c>
      <c r="O5436">
        <v>130</v>
      </c>
    </row>
    <row r="5437" spans="1:15" x14ac:dyDescent="0.25">
      <c r="A5437" t="s">
        <v>951</v>
      </c>
      <c r="B5437" t="s">
        <v>2680</v>
      </c>
      <c r="C5437" t="s">
        <v>927</v>
      </c>
      <c r="D5437" t="s">
        <v>3052</v>
      </c>
      <c r="E5437" t="s">
        <v>3053</v>
      </c>
      <c r="F5437" t="s">
        <v>597</v>
      </c>
      <c r="G5437" t="s">
        <v>598</v>
      </c>
      <c r="H5437" t="s">
        <v>6729</v>
      </c>
      <c r="I5437">
        <v>1359</v>
      </c>
      <c r="J5437">
        <v>1096</v>
      </c>
      <c r="K5437">
        <v>0</v>
      </c>
      <c r="L5437">
        <v>0</v>
      </c>
      <c r="M5437">
        <v>0</v>
      </c>
      <c r="N5437">
        <v>2</v>
      </c>
      <c r="O5437">
        <v>263</v>
      </c>
    </row>
    <row r="5438" spans="1:15" x14ac:dyDescent="0.25">
      <c r="A5438" t="s">
        <v>1048</v>
      </c>
      <c r="B5438" t="s">
        <v>2989</v>
      </c>
      <c r="C5438" t="s">
        <v>927</v>
      </c>
      <c r="D5438" t="s">
        <v>3052</v>
      </c>
      <c r="E5438" t="s">
        <v>3053</v>
      </c>
      <c r="F5438" t="s">
        <v>597</v>
      </c>
      <c r="G5438" t="s">
        <v>598</v>
      </c>
      <c r="H5438" t="s">
        <v>6730</v>
      </c>
      <c r="I5438">
        <v>106</v>
      </c>
      <c r="J5438">
        <v>44</v>
      </c>
      <c r="K5438">
        <v>0</v>
      </c>
      <c r="L5438">
        <v>2</v>
      </c>
      <c r="M5438">
        <v>0</v>
      </c>
      <c r="N5438">
        <v>0</v>
      </c>
      <c r="O5438">
        <v>60</v>
      </c>
    </row>
    <row r="5439" spans="1:15" x14ac:dyDescent="0.25">
      <c r="A5439" t="s">
        <v>953</v>
      </c>
      <c r="B5439" t="s">
        <v>2014</v>
      </c>
      <c r="C5439" t="s">
        <v>927</v>
      </c>
      <c r="D5439" t="s">
        <v>3052</v>
      </c>
      <c r="E5439" t="s">
        <v>3053</v>
      </c>
      <c r="F5439" t="s">
        <v>597</v>
      </c>
      <c r="G5439" t="s">
        <v>598</v>
      </c>
      <c r="H5439" t="s">
        <v>6731</v>
      </c>
      <c r="I5439">
        <v>1</v>
      </c>
      <c r="J5439">
        <v>0</v>
      </c>
      <c r="K5439">
        <v>0</v>
      </c>
      <c r="L5439">
        <v>1</v>
      </c>
      <c r="M5439">
        <v>0</v>
      </c>
      <c r="N5439">
        <v>0</v>
      </c>
      <c r="O5439">
        <v>0</v>
      </c>
    </row>
    <row r="5440" spans="1:15" x14ac:dyDescent="0.25">
      <c r="A5440" t="s">
        <v>11720</v>
      </c>
      <c r="B5440" t="s">
        <v>10718</v>
      </c>
      <c r="C5440" t="s">
        <v>927</v>
      </c>
      <c r="D5440" t="s">
        <v>3052</v>
      </c>
      <c r="E5440" t="s">
        <v>3053</v>
      </c>
      <c r="F5440" t="s">
        <v>597</v>
      </c>
      <c r="G5440" t="s">
        <v>598</v>
      </c>
      <c r="H5440" t="s">
        <v>14933</v>
      </c>
      <c r="I5440">
        <v>323</v>
      </c>
      <c r="J5440">
        <v>204</v>
      </c>
      <c r="K5440">
        <v>0</v>
      </c>
      <c r="L5440">
        <v>0</v>
      </c>
      <c r="M5440">
        <v>0</v>
      </c>
      <c r="N5440">
        <v>0</v>
      </c>
      <c r="O5440">
        <v>119</v>
      </c>
    </row>
    <row r="5441" spans="1:15" x14ac:dyDescent="0.25">
      <c r="A5441" t="s">
        <v>9788</v>
      </c>
      <c r="B5441" t="s">
        <v>9871</v>
      </c>
      <c r="C5441" t="s">
        <v>927</v>
      </c>
      <c r="D5441" t="s">
        <v>3052</v>
      </c>
      <c r="E5441" t="s">
        <v>3053</v>
      </c>
      <c r="F5441" t="s">
        <v>597</v>
      </c>
      <c r="G5441" t="s">
        <v>598</v>
      </c>
      <c r="H5441" t="s">
        <v>11158</v>
      </c>
      <c r="I5441">
        <v>261</v>
      </c>
      <c r="J5441">
        <v>261</v>
      </c>
      <c r="K5441">
        <v>0</v>
      </c>
      <c r="L5441">
        <v>0</v>
      </c>
      <c r="M5441">
        <v>0</v>
      </c>
      <c r="N5441">
        <v>0</v>
      </c>
      <c r="O5441">
        <v>0</v>
      </c>
    </row>
    <row r="5442" spans="1:15" x14ac:dyDescent="0.25">
      <c r="A5442" t="s">
        <v>955</v>
      </c>
      <c r="B5442" t="s">
        <v>2660</v>
      </c>
      <c r="C5442" t="s">
        <v>927</v>
      </c>
      <c r="D5442" t="s">
        <v>3052</v>
      </c>
      <c r="E5442" t="s">
        <v>3053</v>
      </c>
      <c r="F5442" t="s">
        <v>597</v>
      </c>
      <c r="G5442" t="s">
        <v>598</v>
      </c>
      <c r="H5442" t="s">
        <v>6732</v>
      </c>
      <c r="I5442">
        <v>13</v>
      </c>
      <c r="J5442">
        <v>0</v>
      </c>
      <c r="K5442">
        <v>0</v>
      </c>
      <c r="L5442">
        <v>13</v>
      </c>
      <c r="M5442">
        <v>0</v>
      </c>
      <c r="N5442">
        <v>0</v>
      </c>
      <c r="O5442">
        <v>0</v>
      </c>
    </row>
    <row r="5443" spans="1:15" x14ac:dyDescent="0.25">
      <c r="A5443" t="s">
        <v>1154</v>
      </c>
      <c r="B5443" t="s">
        <v>2861</v>
      </c>
      <c r="C5443" t="s">
        <v>927</v>
      </c>
      <c r="D5443" t="s">
        <v>3052</v>
      </c>
      <c r="E5443" t="s">
        <v>3053</v>
      </c>
      <c r="F5443" t="s">
        <v>597</v>
      </c>
      <c r="G5443" t="s">
        <v>598</v>
      </c>
      <c r="H5443" t="s">
        <v>6733</v>
      </c>
      <c r="I5443">
        <v>6</v>
      </c>
      <c r="J5443">
        <v>0</v>
      </c>
      <c r="K5443">
        <v>0</v>
      </c>
      <c r="L5443">
        <v>0</v>
      </c>
      <c r="M5443">
        <v>0</v>
      </c>
      <c r="N5443">
        <v>0</v>
      </c>
      <c r="O5443">
        <v>6</v>
      </c>
    </row>
    <row r="5444" spans="1:15" x14ac:dyDescent="0.25">
      <c r="A5444" t="s">
        <v>11663</v>
      </c>
      <c r="B5444" t="s">
        <v>11768</v>
      </c>
      <c r="C5444" t="s">
        <v>927</v>
      </c>
      <c r="D5444" t="s">
        <v>3052</v>
      </c>
      <c r="E5444" t="s">
        <v>3053</v>
      </c>
      <c r="F5444" t="s">
        <v>597</v>
      </c>
      <c r="G5444" t="s">
        <v>598</v>
      </c>
      <c r="H5444" t="s">
        <v>12209</v>
      </c>
      <c r="I5444">
        <v>413</v>
      </c>
      <c r="J5444">
        <v>291</v>
      </c>
      <c r="K5444">
        <v>14</v>
      </c>
      <c r="L5444">
        <v>0</v>
      </c>
      <c r="M5444">
        <v>0</v>
      </c>
      <c r="N5444">
        <v>0</v>
      </c>
      <c r="O5444">
        <v>108</v>
      </c>
    </row>
    <row r="5445" spans="1:15" x14ac:dyDescent="0.25">
      <c r="A5445" t="s">
        <v>14380</v>
      </c>
      <c r="B5445" t="s">
        <v>2074</v>
      </c>
      <c r="C5445" t="s">
        <v>927</v>
      </c>
      <c r="D5445" t="s">
        <v>3052</v>
      </c>
      <c r="E5445" t="s">
        <v>3053</v>
      </c>
      <c r="F5445" t="s">
        <v>597</v>
      </c>
      <c r="G5445" t="s">
        <v>598</v>
      </c>
      <c r="H5445" t="s">
        <v>14934</v>
      </c>
      <c r="I5445">
        <v>145</v>
      </c>
      <c r="J5445">
        <v>72</v>
      </c>
      <c r="K5445">
        <v>0</v>
      </c>
      <c r="L5445">
        <v>0</v>
      </c>
      <c r="M5445">
        <v>0</v>
      </c>
      <c r="N5445">
        <v>0</v>
      </c>
      <c r="O5445">
        <v>73</v>
      </c>
    </row>
    <row r="5446" spans="1:15" x14ac:dyDescent="0.25">
      <c r="A5446" t="s">
        <v>14374</v>
      </c>
      <c r="B5446" t="s">
        <v>1943</v>
      </c>
      <c r="C5446" t="s">
        <v>927</v>
      </c>
      <c r="D5446" t="s">
        <v>3052</v>
      </c>
      <c r="E5446" t="s">
        <v>3053</v>
      </c>
      <c r="F5446" t="s">
        <v>597</v>
      </c>
      <c r="G5446" t="s">
        <v>598</v>
      </c>
      <c r="H5446" t="s">
        <v>14935</v>
      </c>
      <c r="I5446">
        <v>101</v>
      </c>
      <c r="J5446">
        <v>0</v>
      </c>
      <c r="K5446">
        <v>0</v>
      </c>
      <c r="L5446">
        <v>0</v>
      </c>
      <c r="M5446">
        <v>0</v>
      </c>
      <c r="N5446">
        <v>0</v>
      </c>
      <c r="O5446">
        <v>101</v>
      </c>
    </row>
    <row r="5447" spans="1:15" x14ac:dyDescent="0.25">
      <c r="A5447" t="s">
        <v>962</v>
      </c>
      <c r="B5447" t="s">
        <v>2752</v>
      </c>
      <c r="C5447" t="s">
        <v>927</v>
      </c>
      <c r="D5447" t="s">
        <v>3052</v>
      </c>
      <c r="E5447" t="s">
        <v>3053</v>
      </c>
      <c r="F5447" t="s">
        <v>597</v>
      </c>
      <c r="G5447" t="s">
        <v>598</v>
      </c>
      <c r="H5447" t="s">
        <v>6734</v>
      </c>
      <c r="I5447">
        <v>916</v>
      </c>
      <c r="J5447">
        <v>776</v>
      </c>
      <c r="K5447">
        <v>0</v>
      </c>
      <c r="L5447">
        <v>0</v>
      </c>
      <c r="M5447">
        <v>31</v>
      </c>
      <c r="N5447">
        <v>0</v>
      </c>
      <c r="O5447">
        <v>109</v>
      </c>
    </row>
    <row r="5448" spans="1:15" x14ac:dyDescent="0.25">
      <c r="A5448" t="s">
        <v>11667</v>
      </c>
      <c r="B5448" t="s">
        <v>1986</v>
      </c>
      <c r="C5448" t="s">
        <v>923</v>
      </c>
      <c r="D5448" t="s">
        <v>3063</v>
      </c>
      <c r="E5448" t="s">
        <v>3053</v>
      </c>
      <c r="F5448" t="s">
        <v>597</v>
      </c>
      <c r="G5448" t="s">
        <v>598</v>
      </c>
      <c r="H5448" t="s">
        <v>12210</v>
      </c>
      <c r="I5448">
        <v>75</v>
      </c>
      <c r="J5448">
        <v>0</v>
      </c>
      <c r="K5448">
        <v>0</v>
      </c>
      <c r="L5448">
        <v>0</v>
      </c>
      <c r="M5448">
        <v>75</v>
      </c>
      <c r="N5448">
        <v>0</v>
      </c>
      <c r="O5448">
        <v>0</v>
      </c>
    </row>
    <row r="5449" spans="1:15" x14ac:dyDescent="0.25">
      <c r="A5449" t="s">
        <v>1069</v>
      </c>
      <c r="B5449" t="s">
        <v>2001</v>
      </c>
      <c r="C5449" t="s">
        <v>927</v>
      </c>
      <c r="D5449" t="s">
        <v>3052</v>
      </c>
      <c r="E5449" t="s">
        <v>3053</v>
      </c>
      <c r="F5449" t="s">
        <v>597</v>
      </c>
      <c r="G5449" t="s">
        <v>598</v>
      </c>
      <c r="H5449" t="s">
        <v>6735</v>
      </c>
      <c r="I5449">
        <v>4285</v>
      </c>
      <c r="J5449">
        <v>1819</v>
      </c>
      <c r="K5449">
        <v>0</v>
      </c>
      <c r="L5449">
        <v>25</v>
      </c>
      <c r="M5449">
        <v>71</v>
      </c>
      <c r="N5449">
        <v>0</v>
      </c>
      <c r="O5449">
        <v>2370</v>
      </c>
    </row>
    <row r="5450" spans="1:15" x14ac:dyDescent="0.25">
      <c r="A5450" t="s">
        <v>1071</v>
      </c>
      <c r="B5450" t="s">
        <v>2571</v>
      </c>
      <c r="C5450" t="s">
        <v>923</v>
      </c>
      <c r="D5450" t="s">
        <v>3063</v>
      </c>
      <c r="E5450" t="s">
        <v>3053</v>
      </c>
      <c r="F5450" t="s">
        <v>597</v>
      </c>
      <c r="G5450" t="s">
        <v>598</v>
      </c>
      <c r="H5450" t="s">
        <v>6736</v>
      </c>
      <c r="I5450">
        <v>11</v>
      </c>
      <c r="J5450">
        <v>0</v>
      </c>
      <c r="K5450">
        <v>0</v>
      </c>
      <c r="L5450">
        <v>11</v>
      </c>
      <c r="M5450">
        <v>0</v>
      </c>
      <c r="N5450">
        <v>0</v>
      </c>
      <c r="O5450">
        <v>0</v>
      </c>
    </row>
    <row r="5451" spans="1:15" x14ac:dyDescent="0.25">
      <c r="A5451" t="s">
        <v>1181</v>
      </c>
      <c r="B5451" t="s">
        <v>2894</v>
      </c>
      <c r="C5451" t="s">
        <v>927</v>
      </c>
      <c r="D5451" t="s">
        <v>3052</v>
      </c>
      <c r="E5451" t="s">
        <v>3053</v>
      </c>
      <c r="F5451" t="s">
        <v>597</v>
      </c>
      <c r="G5451" t="s">
        <v>598</v>
      </c>
      <c r="H5451" t="s">
        <v>6737</v>
      </c>
      <c r="I5451">
        <v>83</v>
      </c>
      <c r="J5451">
        <v>57</v>
      </c>
      <c r="K5451">
        <v>0</v>
      </c>
      <c r="L5451">
        <v>0</v>
      </c>
      <c r="M5451">
        <v>0</v>
      </c>
      <c r="N5451">
        <v>0</v>
      </c>
      <c r="O5451">
        <v>26</v>
      </c>
    </row>
    <row r="5452" spans="1:15" x14ac:dyDescent="0.25">
      <c r="A5452" t="s">
        <v>981</v>
      </c>
      <c r="B5452" t="s">
        <v>2985</v>
      </c>
      <c r="C5452" t="s">
        <v>927</v>
      </c>
      <c r="D5452" t="s">
        <v>3052</v>
      </c>
      <c r="E5452" t="s">
        <v>3053</v>
      </c>
      <c r="F5452" t="s">
        <v>597</v>
      </c>
      <c r="G5452" t="s">
        <v>598</v>
      </c>
      <c r="H5452" t="s">
        <v>6708</v>
      </c>
      <c r="I5452">
        <v>1289</v>
      </c>
      <c r="J5452">
        <v>683</v>
      </c>
      <c r="K5452">
        <v>100</v>
      </c>
      <c r="L5452">
        <v>28</v>
      </c>
      <c r="M5452">
        <v>0</v>
      </c>
      <c r="N5452">
        <v>0</v>
      </c>
      <c r="O5452">
        <v>478</v>
      </c>
    </row>
    <row r="5453" spans="1:15" x14ac:dyDescent="0.25">
      <c r="A5453" t="s">
        <v>1195</v>
      </c>
      <c r="B5453" t="s">
        <v>2924</v>
      </c>
      <c r="C5453" t="s">
        <v>927</v>
      </c>
      <c r="D5453" t="s">
        <v>3052</v>
      </c>
      <c r="E5453" t="s">
        <v>3053</v>
      </c>
      <c r="F5453" t="s">
        <v>599</v>
      </c>
      <c r="G5453" t="s">
        <v>600</v>
      </c>
      <c r="H5453" t="s">
        <v>6738</v>
      </c>
      <c r="I5453">
        <v>14</v>
      </c>
      <c r="J5453">
        <v>11</v>
      </c>
      <c r="K5453">
        <v>0</v>
      </c>
      <c r="L5453">
        <v>0</v>
      </c>
      <c r="M5453">
        <v>0</v>
      </c>
      <c r="N5453">
        <v>0</v>
      </c>
      <c r="O5453">
        <v>3</v>
      </c>
    </row>
    <row r="5454" spans="1:15" x14ac:dyDescent="0.25">
      <c r="A5454" t="s">
        <v>1564</v>
      </c>
      <c r="B5454" t="s">
        <v>3039</v>
      </c>
      <c r="C5454" t="s">
        <v>927</v>
      </c>
      <c r="D5454" t="s">
        <v>3052</v>
      </c>
      <c r="E5454" t="s">
        <v>3053</v>
      </c>
      <c r="F5454" t="s">
        <v>599</v>
      </c>
      <c r="G5454" t="s">
        <v>600</v>
      </c>
      <c r="H5454" t="s">
        <v>12211</v>
      </c>
      <c r="I5454">
        <v>25</v>
      </c>
      <c r="J5454">
        <v>0</v>
      </c>
      <c r="K5454">
        <v>0</v>
      </c>
      <c r="L5454">
        <v>0</v>
      </c>
      <c r="M5454">
        <v>0</v>
      </c>
      <c r="N5454">
        <v>0</v>
      </c>
      <c r="O5454">
        <v>25</v>
      </c>
    </row>
    <row r="5455" spans="1:15" x14ac:dyDescent="0.25">
      <c r="A5455" t="s">
        <v>1196</v>
      </c>
      <c r="B5455" t="s">
        <v>3004</v>
      </c>
      <c r="C5455" t="s">
        <v>927</v>
      </c>
      <c r="D5455" t="s">
        <v>3052</v>
      </c>
      <c r="E5455" t="s">
        <v>3053</v>
      </c>
      <c r="F5455" t="s">
        <v>599</v>
      </c>
      <c r="G5455" t="s">
        <v>600</v>
      </c>
      <c r="H5455" t="s">
        <v>6739</v>
      </c>
      <c r="I5455">
        <v>64</v>
      </c>
      <c r="J5455">
        <v>35</v>
      </c>
      <c r="K5455">
        <v>0</v>
      </c>
      <c r="L5455">
        <v>0</v>
      </c>
      <c r="M5455">
        <v>0</v>
      </c>
      <c r="N5455">
        <v>0</v>
      </c>
      <c r="O5455">
        <v>29</v>
      </c>
    </row>
    <row r="5456" spans="1:15" x14ac:dyDescent="0.25">
      <c r="A5456" t="s">
        <v>924</v>
      </c>
      <c r="B5456" t="s">
        <v>2963</v>
      </c>
      <c r="C5456" t="s">
        <v>923</v>
      </c>
      <c r="D5456" t="s">
        <v>3063</v>
      </c>
      <c r="E5456" t="s">
        <v>3053</v>
      </c>
      <c r="F5456" t="s">
        <v>599</v>
      </c>
      <c r="G5456" t="s">
        <v>600</v>
      </c>
      <c r="H5456" t="s">
        <v>6740</v>
      </c>
      <c r="I5456">
        <v>21</v>
      </c>
      <c r="J5456">
        <v>0</v>
      </c>
      <c r="K5456">
        <v>0</v>
      </c>
      <c r="L5456">
        <v>21</v>
      </c>
      <c r="M5456">
        <v>0</v>
      </c>
      <c r="N5456">
        <v>0</v>
      </c>
      <c r="O5456">
        <v>0</v>
      </c>
    </row>
    <row r="5457" spans="1:15" x14ac:dyDescent="0.25">
      <c r="A5457" t="s">
        <v>926</v>
      </c>
      <c r="B5457" t="s">
        <v>2923</v>
      </c>
      <c r="C5457" t="s">
        <v>927</v>
      </c>
      <c r="D5457" t="s">
        <v>3052</v>
      </c>
      <c r="E5457" t="s">
        <v>3053</v>
      </c>
      <c r="F5457" t="s">
        <v>599</v>
      </c>
      <c r="G5457" t="s">
        <v>600</v>
      </c>
      <c r="H5457" t="s">
        <v>6741</v>
      </c>
      <c r="I5457">
        <v>4</v>
      </c>
      <c r="J5457">
        <v>0</v>
      </c>
      <c r="K5457">
        <v>0</v>
      </c>
      <c r="L5457">
        <v>0</v>
      </c>
      <c r="M5457">
        <v>0</v>
      </c>
      <c r="N5457">
        <v>0</v>
      </c>
      <c r="O5457">
        <v>4</v>
      </c>
    </row>
    <row r="5458" spans="1:15" x14ac:dyDescent="0.25">
      <c r="A5458" t="s">
        <v>929</v>
      </c>
      <c r="B5458" t="s">
        <v>2999</v>
      </c>
      <c r="C5458" t="s">
        <v>927</v>
      </c>
      <c r="D5458" t="s">
        <v>3052</v>
      </c>
      <c r="E5458" t="s">
        <v>3053</v>
      </c>
      <c r="F5458" t="s">
        <v>599</v>
      </c>
      <c r="G5458" t="s">
        <v>600</v>
      </c>
      <c r="H5458" t="s">
        <v>6742</v>
      </c>
      <c r="I5458">
        <v>21</v>
      </c>
      <c r="J5458">
        <v>0</v>
      </c>
      <c r="K5458">
        <v>0</v>
      </c>
      <c r="L5458">
        <v>0</v>
      </c>
      <c r="M5458">
        <v>21</v>
      </c>
      <c r="N5458">
        <v>0</v>
      </c>
      <c r="O5458">
        <v>0</v>
      </c>
    </row>
    <row r="5459" spans="1:15" x14ac:dyDescent="0.25">
      <c r="A5459" t="s">
        <v>9784</v>
      </c>
      <c r="B5459" t="s">
        <v>1994</v>
      </c>
      <c r="C5459" t="s">
        <v>927</v>
      </c>
      <c r="D5459" t="s">
        <v>3052</v>
      </c>
      <c r="E5459" t="s">
        <v>3053</v>
      </c>
      <c r="F5459" t="s">
        <v>599</v>
      </c>
      <c r="G5459" t="s">
        <v>600</v>
      </c>
      <c r="H5459" t="s">
        <v>9961</v>
      </c>
      <c r="I5459">
        <v>8</v>
      </c>
      <c r="J5459">
        <v>0</v>
      </c>
      <c r="K5459">
        <v>0</v>
      </c>
      <c r="L5459">
        <v>8</v>
      </c>
      <c r="M5459">
        <v>0</v>
      </c>
      <c r="N5459">
        <v>0</v>
      </c>
      <c r="O5459">
        <v>0</v>
      </c>
    </row>
    <row r="5460" spans="1:15" x14ac:dyDescent="0.25">
      <c r="A5460" t="s">
        <v>933</v>
      </c>
      <c r="B5460" t="s">
        <v>2106</v>
      </c>
      <c r="C5460" t="s">
        <v>927</v>
      </c>
      <c r="D5460" t="s">
        <v>3052</v>
      </c>
      <c r="E5460" t="s">
        <v>3053</v>
      </c>
      <c r="F5460" t="s">
        <v>599</v>
      </c>
      <c r="G5460" t="s">
        <v>600</v>
      </c>
      <c r="H5460" t="s">
        <v>6743</v>
      </c>
      <c r="I5460">
        <v>3588</v>
      </c>
      <c r="J5460">
        <v>2956</v>
      </c>
      <c r="K5460">
        <v>0</v>
      </c>
      <c r="L5460">
        <v>0</v>
      </c>
      <c r="M5460">
        <v>533</v>
      </c>
      <c r="N5460">
        <v>80</v>
      </c>
      <c r="O5460">
        <v>99</v>
      </c>
    </row>
    <row r="5461" spans="1:15" x14ac:dyDescent="0.25">
      <c r="A5461" t="s">
        <v>1595</v>
      </c>
      <c r="B5461" t="s">
        <v>2226</v>
      </c>
      <c r="C5461" t="s">
        <v>923</v>
      </c>
      <c r="D5461" t="s">
        <v>3063</v>
      </c>
      <c r="E5461" t="s">
        <v>3053</v>
      </c>
      <c r="F5461" t="s">
        <v>599</v>
      </c>
      <c r="G5461" t="s">
        <v>600</v>
      </c>
      <c r="H5461" t="s">
        <v>6744</v>
      </c>
      <c r="I5461">
        <v>20</v>
      </c>
      <c r="J5461">
        <v>0</v>
      </c>
      <c r="K5461">
        <v>0</v>
      </c>
      <c r="L5461">
        <v>20</v>
      </c>
      <c r="M5461">
        <v>0</v>
      </c>
      <c r="N5461">
        <v>0</v>
      </c>
      <c r="O5461">
        <v>0</v>
      </c>
    </row>
    <row r="5462" spans="1:15" x14ac:dyDescent="0.25">
      <c r="A5462" t="s">
        <v>998</v>
      </c>
      <c r="B5462" t="s">
        <v>2820</v>
      </c>
      <c r="C5462" t="s">
        <v>927</v>
      </c>
      <c r="D5462" t="s">
        <v>3052</v>
      </c>
      <c r="E5462" t="s">
        <v>3053</v>
      </c>
      <c r="F5462" t="s">
        <v>599</v>
      </c>
      <c r="G5462" t="s">
        <v>600</v>
      </c>
      <c r="H5462" t="s">
        <v>6745</v>
      </c>
      <c r="I5462">
        <v>18</v>
      </c>
      <c r="J5462">
        <v>11</v>
      </c>
      <c r="K5462">
        <v>0</v>
      </c>
      <c r="L5462">
        <v>0</v>
      </c>
      <c r="M5462">
        <v>0</v>
      </c>
      <c r="N5462">
        <v>0</v>
      </c>
      <c r="O5462">
        <v>7</v>
      </c>
    </row>
    <row r="5463" spans="1:15" x14ac:dyDescent="0.25">
      <c r="A5463" t="s">
        <v>1000</v>
      </c>
      <c r="B5463" t="s">
        <v>1984</v>
      </c>
      <c r="C5463" t="s">
        <v>923</v>
      </c>
      <c r="D5463" t="s">
        <v>3063</v>
      </c>
      <c r="E5463" t="s">
        <v>3053</v>
      </c>
      <c r="F5463" t="s">
        <v>599</v>
      </c>
      <c r="G5463" t="s">
        <v>600</v>
      </c>
      <c r="H5463" t="s">
        <v>6746</v>
      </c>
      <c r="I5463">
        <v>6</v>
      </c>
      <c r="J5463">
        <v>0</v>
      </c>
      <c r="K5463">
        <v>0</v>
      </c>
      <c r="L5463">
        <v>6</v>
      </c>
      <c r="M5463">
        <v>0</v>
      </c>
      <c r="N5463">
        <v>0</v>
      </c>
      <c r="O5463">
        <v>0</v>
      </c>
    </row>
    <row r="5464" spans="1:15" x14ac:dyDescent="0.25">
      <c r="A5464" t="s">
        <v>937</v>
      </c>
      <c r="B5464" t="s">
        <v>1962</v>
      </c>
      <c r="C5464" t="s">
        <v>927</v>
      </c>
      <c r="D5464" t="s">
        <v>3052</v>
      </c>
      <c r="E5464" t="s">
        <v>3053</v>
      </c>
      <c r="F5464" t="s">
        <v>599</v>
      </c>
      <c r="G5464" t="s">
        <v>600</v>
      </c>
      <c r="H5464" t="s">
        <v>6747</v>
      </c>
      <c r="I5464">
        <v>6</v>
      </c>
      <c r="J5464">
        <v>0</v>
      </c>
      <c r="K5464">
        <v>0</v>
      </c>
      <c r="L5464">
        <v>0</v>
      </c>
      <c r="M5464">
        <v>0</v>
      </c>
      <c r="N5464">
        <v>0</v>
      </c>
      <c r="O5464">
        <v>6</v>
      </c>
    </row>
    <row r="5465" spans="1:15" x14ac:dyDescent="0.25">
      <c r="A5465" t="s">
        <v>938</v>
      </c>
      <c r="B5465" t="s">
        <v>2791</v>
      </c>
      <c r="C5465" t="s">
        <v>927</v>
      </c>
      <c r="D5465" t="s">
        <v>3052</v>
      </c>
      <c r="E5465" t="s">
        <v>3053</v>
      </c>
      <c r="F5465" t="s">
        <v>599</v>
      </c>
      <c r="G5465" t="s">
        <v>600</v>
      </c>
      <c r="H5465" t="s">
        <v>6748</v>
      </c>
      <c r="I5465">
        <v>27</v>
      </c>
      <c r="J5465">
        <v>0</v>
      </c>
      <c r="K5465">
        <v>0</v>
      </c>
      <c r="L5465">
        <v>27</v>
      </c>
      <c r="M5465">
        <v>0</v>
      </c>
      <c r="N5465">
        <v>0</v>
      </c>
      <c r="O5465">
        <v>0</v>
      </c>
    </row>
    <row r="5466" spans="1:15" x14ac:dyDescent="0.25">
      <c r="A5466" t="s">
        <v>1025</v>
      </c>
      <c r="B5466" t="s">
        <v>2893</v>
      </c>
      <c r="C5466" t="s">
        <v>927</v>
      </c>
      <c r="D5466" t="s">
        <v>3052</v>
      </c>
      <c r="E5466" t="s">
        <v>3053</v>
      </c>
      <c r="F5466" t="s">
        <v>599</v>
      </c>
      <c r="G5466" t="s">
        <v>600</v>
      </c>
      <c r="H5466" t="s">
        <v>6749</v>
      </c>
      <c r="I5466">
        <v>6</v>
      </c>
      <c r="J5466">
        <v>0</v>
      </c>
      <c r="K5466">
        <v>0</v>
      </c>
      <c r="L5466">
        <v>0</v>
      </c>
      <c r="M5466">
        <v>0</v>
      </c>
      <c r="N5466">
        <v>0</v>
      </c>
      <c r="O5466">
        <v>6</v>
      </c>
    </row>
    <row r="5467" spans="1:15" x14ac:dyDescent="0.25">
      <c r="A5467" t="s">
        <v>943</v>
      </c>
      <c r="B5467" t="s">
        <v>2694</v>
      </c>
      <c r="C5467" t="s">
        <v>927</v>
      </c>
      <c r="D5467" t="s">
        <v>3052</v>
      </c>
      <c r="E5467" t="s">
        <v>3053</v>
      </c>
      <c r="F5467" t="s">
        <v>599</v>
      </c>
      <c r="G5467" t="s">
        <v>600</v>
      </c>
      <c r="H5467" t="s">
        <v>6750</v>
      </c>
      <c r="I5467">
        <v>71</v>
      </c>
      <c r="J5467">
        <v>17</v>
      </c>
      <c r="K5467">
        <v>0</v>
      </c>
      <c r="L5467">
        <v>0</v>
      </c>
      <c r="M5467">
        <v>0</v>
      </c>
      <c r="N5467">
        <v>0</v>
      </c>
      <c r="O5467">
        <v>54</v>
      </c>
    </row>
    <row r="5468" spans="1:15" x14ac:dyDescent="0.25">
      <c r="A5468" t="s">
        <v>1300</v>
      </c>
      <c r="B5468" t="s">
        <v>2644</v>
      </c>
      <c r="C5468" t="s">
        <v>927</v>
      </c>
      <c r="D5468" t="s">
        <v>3052</v>
      </c>
      <c r="E5468" t="s">
        <v>3053</v>
      </c>
      <c r="F5468" t="s">
        <v>599</v>
      </c>
      <c r="G5468" t="s">
        <v>600</v>
      </c>
      <c r="H5468" t="s">
        <v>6751</v>
      </c>
      <c r="I5468">
        <v>450</v>
      </c>
      <c r="J5468">
        <v>340</v>
      </c>
      <c r="K5468">
        <v>0</v>
      </c>
      <c r="L5468">
        <v>19</v>
      </c>
      <c r="M5468">
        <v>45</v>
      </c>
      <c r="N5468">
        <v>4</v>
      </c>
      <c r="O5468">
        <v>46</v>
      </c>
    </row>
    <row r="5469" spans="1:15" x14ac:dyDescent="0.25">
      <c r="A5469" t="s">
        <v>949</v>
      </c>
      <c r="B5469" t="s">
        <v>3035</v>
      </c>
      <c r="C5469" t="s">
        <v>927</v>
      </c>
      <c r="D5469" t="s">
        <v>3052</v>
      </c>
      <c r="E5469" t="s">
        <v>3053</v>
      </c>
      <c r="F5469" t="s">
        <v>599</v>
      </c>
      <c r="G5469" t="s">
        <v>600</v>
      </c>
      <c r="H5469" t="s">
        <v>6752</v>
      </c>
      <c r="I5469">
        <v>5</v>
      </c>
      <c r="J5469">
        <v>0</v>
      </c>
      <c r="K5469">
        <v>0</v>
      </c>
      <c r="L5469">
        <v>0</v>
      </c>
      <c r="M5469">
        <v>0</v>
      </c>
      <c r="N5469">
        <v>0</v>
      </c>
      <c r="O5469">
        <v>5</v>
      </c>
    </row>
    <row r="5470" spans="1:15" x14ac:dyDescent="0.25">
      <c r="A5470" t="s">
        <v>1636</v>
      </c>
      <c r="B5470" t="s">
        <v>2650</v>
      </c>
      <c r="C5470" t="s">
        <v>923</v>
      </c>
      <c r="D5470" t="s">
        <v>3063</v>
      </c>
      <c r="E5470" t="s">
        <v>3053</v>
      </c>
      <c r="F5470" t="s">
        <v>599</v>
      </c>
      <c r="G5470" t="s">
        <v>600</v>
      </c>
      <c r="H5470" t="s">
        <v>6753</v>
      </c>
      <c r="I5470">
        <v>15</v>
      </c>
      <c r="J5470">
        <v>3</v>
      </c>
      <c r="K5470">
        <v>0</v>
      </c>
      <c r="L5470">
        <v>0</v>
      </c>
      <c r="M5470">
        <v>12</v>
      </c>
      <c r="N5470">
        <v>0</v>
      </c>
      <c r="O5470">
        <v>0</v>
      </c>
    </row>
    <row r="5471" spans="1:15" x14ac:dyDescent="0.25">
      <c r="A5471" t="s">
        <v>1043</v>
      </c>
      <c r="B5471" t="s">
        <v>2090</v>
      </c>
      <c r="C5471" t="s">
        <v>927</v>
      </c>
      <c r="D5471" t="s">
        <v>3052</v>
      </c>
      <c r="E5471" t="s">
        <v>3053</v>
      </c>
      <c r="F5471" t="s">
        <v>599</v>
      </c>
      <c r="G5471" t="s">
        <v>600</v>
      </c>
      <c r="H5471" t="s">
        <v>6754</v>
      </c>
      <c r="I5471">
        <v>20</v>
      </c>
      <c r="J5471">
        <v>20</v>
      </c>
      <c r="K5471">
        <v>0</v>
      </c>
      <c r="L5471">
        <v>0</v>
      </c>
      <c r="M5471">
        <v>0</v>
      </c>
      <c r="N5471">
        <v>0</v>
      </c>
      <c r="O5471">
        <v>0</v>
      </c>
    </row>
    <row r="5472" spans="1:15" x14ac:dyDescent="0.25">
      <c r="A5472" t="s">
        <v>1331</v>
      </c>
      <c r="B5472" t="s">
        <v>2856</v>
      </c>
      <c r="C5472" t="s">
        <v>927</v>
      </c>
      <c r="D5472" t="s">
        <v>3052</v>
      </c>
      <c r="E5472" t="s">
        <v>3053</v>
      </c>
      <c r="F5472" t="s">
        <v>599</v>
      </c>
      <c r="G5472" t="s">
        <v>600</v>
      </c>
      <c r="H5472" t="s">
        <v>6755</v>
      </c>
      <c r="I5472">
        <v>41</v>
      </c>
      <c r="J5472">
        <v>33</v>
      </c>
      <c r="K5472">
        <v>0</v>
      </c>
      <c r="L5472">
        <v>0</v>
      </c>
      <c r="M5472">
        <v>0</v>
      </c>
      <c r="N5472">
        <v>0</v>
      </c>
      <c r="O5472">
        <v>8</v>
      </c>
    </row>
    <row r="5473" spans="1:15" x14ac:dyDescent="0.25">
      <c r="A5473" t="s">
        <v>953</v>
      </c>
      <c r="B5473" t="s">
        <v>2014</v>
      </c>
      <c r="C5473" t="s">
        <v>927</v>
      </c>
      <c r="D5473" t="s">
        <v>3052</v>
      </c>
      <c r="E5473" t="s">
        <v>3053</v>
      </c>
      <c r="F5473" t="s">
        <v>599</v>
      </c>
      <c r="G5473" t="s">
        <v>600</v>
      </c>
      <c r="H5473" t="s">
        <v>6756</v>
      </c>
      <c r="I5473">
        <v>6</v>
      </c>
      <c r="J5473">
        <v>0</v>
      </c>
      <c r="K5473">
        <v>0</v>
      </c>
      <c r="L5473">
        <v>6</v>
      </c>
      <c r="M5473">
        <v>0</v>
      </c>
      <c r="N5473">
        <v>0</v>
      </c>
      <c r="O5473">
        <v>0</v>
      </c>
    </row>
    <row r="5474" spans="1:15" x14ac:dyDescent="0.25">
      <c r="A5474" t="s">
        <v>11663</v>
      </c>
      <c r="B5474" t="s">
        <v>11768</v>
      </c>
      <c r="C5474" t="s">
        <v>927</v>
      </c>
      <c r="D5474" t="s">
        <v>3052</v>
      </c>
      <c r="E5474" t="s">
        <v>3053</v>
      </c>
      <c r="F5474" t="s">
        <v>599</v>
      </c>
      <c r="G5474" t="s">
        <v>600</v>
      </c>
      <c r="H5474" t="s">
        <v>12212</v>
      </c>
      <c r="I5474">
        <v>104</v>
      </c>
      <c r="J5474">
        <v>71</v>
      </c>
      <c r="K5474">
        <v>0</v>
      </c>
      <c r="L5474">
        <v>0</v>
      </c>
      <c r="M5474">
        <v>17</v>
      </c>
      <c r="N5474">
        <v>0</v>
      </c>
      <c r="O5474">
        <v>16</v>
      </c>
    </row>
    <row r="5475" spans="1:15" x14ac:dyDescent="0.25">
      <c r="A5475" t="s">
        <v>960</v>
      </c>
      <c r="B5475" t="s">
        <v>2080</v>
      </c>
      <c r="C5475" t="s">
        <v>927</v>
      </c>
      <c r="D5475" t="s">
        <v>3052</v>
      </c>
      <c r="E5475" t="s">
        <v>3053</v>
      </c>
      <c r="F5475" t="s">
        <v>599</v>
      </c>
      <c r="G5475" t="s">
        <v>600</v>
      </c>
      <c r="H5475" t="s">
        <v>6757</v>
      </c>
      <c r="I5475">
        <v>1</v>
      </c>
      <c r="J5475">
        <v>0</v>
      </c>
      <c r="K5475">
        <v>0</v>
      </c>
      <c r="L5475">
        <v>0</v>
      </c>
      <c r="M5475">
        <v>0</v>
      </c>
      <c r="N5475">
        <v>0</v>
      </c>
      <c r="O5475">
        <v>1</v>
      </c>
    </row>
    <row r="5476" spans="1:15" x14ac:dyDescent="0.25">
      <c r="A5476" t="s">
        <v>1170</v>
      </c>
      <c r="B5476" t="s">
        <v>2968</v>
      </c>
      <c r="C5476" t="s">
        <v>923</v>
      </c>
      <c r="D5476" t="s">
        <v>3063</v>
      </c>
      <c r="E5476" t="s">
        <v>3053</v>
      </c>
      <c r="F5476" t="s">
        <v>599</v>
      </c>
      <c r="G5476" t="s">
        <v>600</v>
      </c>
      <c r="H5476" t="s">
        <v>6758</v>
      </c>
      <c r="I5476">
        <v>5</v>
      </c>
      <c r="J5476">
        <v>0</v>
      </c>
      <c r="K5476">
        <v>0</v>
      </c>
      <c r="L5476">
        <v>5</v>
      </c>
      <c r="M5476">
        <v>0</v>
      </c>
      <c r="N5476">
        <v>0</v>
      </c>
      <c r="O5476">
        <v>0</v>
      </c>
    </row>
    <row r="5477" spans="1:15" x14ac:dyDescent="0.25">
      <c r="A5477" t="s">
        <v>1677</v>
      </c>
      <c r="B5477" t="s">
        <v>2608</v>
      </c>
      <c r="C5477" t="s">
        <v>923</v>
      </c>
      <c r="D5477" t="s">
        <v>3063</v>
      </c>
      <c r="E5477" t="s">
        <v>3053</v>
      </c>
      <c r="F5477" t="s">
        <v>599</v>
      </c>
      <c r="G5477" t="s">
        <v>600</v>
      </c>
      <c r="H5477" t="s">
        <v>6759</v>
      </c>
      <c r="I5477">
        <v>62</v>
      </c>
      <c r="J5477">
        <v>0</v>
      </c>
      <c r="K5477">
        <v>0</v>
      </c>
      <c r="L5477">
        <v>62</v>
      </c>
      <c r="M5477">
        <v>0</v>
      </c>
      <c r="N5477">
        <v>0</v>
      </c>
      <c r="O5477">
        <v>0</v>
      </c>
    </row>
    <row r="5478" spans="1:15" x14ac:dyDescent="0.25">
      <c r="A5478" t="s">
        <v>1072</v>
      </c>
      <c r="B5478" t="s">
        <v>2907</v>
      </c>
      <c r="C5478" t="s">
        <v>927</v>
      </c>
      <c r="D5478" t="s">
        <v>3052</v>
      </c>
      <c r="E5478" t="s">
        <v>3053</v>
      </c>
      <c r="F5478" t="s">
        <v>599</v>
      </c>
      <c r="G5478" t="s">
        <v>600</v>
      </c>
      <c r="H5478" t="s">
        <v>6760</v>
      </c>
      <c r="I5478">
        <v>9</v>
      </c>
      <c r="J5478">
        <v>0</v>
      </c>
      <c r="K5478">
        <v>0</v>
      </c>
      <c r="L5478">
        <v>9</v>
      </c>
      <c r="M5478">
        <v>0</v>
      </c>
      <c r="N5478">
        <v>0</v>
      </c>
      <c r="O5478">
        <v>0</v>
      </c>
    </row>
    <row r="5479" spans="1:15" x14ac:dyDescent="0.25">
      <c r="A5479" t="s">
        <v>1684</v>
      </c>
      <c r="B5479" t="s">
        <v>2845</v>
      </c>
      <c r="C5479" t="s">
        <v>927</v>
      </c>
      <c r="D5479" t="s">
        <v>3052</v>
      </c>
      <c r="E5479" t="s">
        <v>3053</v>
      </c>
      <c r="F5479" t="s">
        <v>599</v>
      </c>
      <c r="G5479" t="s">
        <v>600</v>
      </c>
      <c r="H5479" t="s">
        <v>6761</v>
      </c>
      <c r="I5479">
        <v>7</v>
      </c>
      <c r="J5479">
        <v>2</v>
      </c>
      <c r="K5479">
        <v>0</v>
      </c>
      <c r="L5479">
        <v>0</v>
      </c>
      <c r="M5479">
        <v>0</v>
      </c>
      <c r="N5479">
        <v>0</v>
      </c>
      <c r="O5479">
        <v>5</v>
      </c>
    </row>
    <row r="5480" spans="1:15" x14ac:dyDescent="0.25">
      <c r="A5480" t="s">
        <v>1374</v>
      </c>
      <c r="B5480" t="s">
        <v>2580</v>
      </c>
      <c r="C5480" t="s">
        <v>923</v>
      </c>
      <c r="D5480" t="s">
        <v>3063</v>
      </c>
      <c r="E5480" t="s">
        <v>3053</v>
      </c>
      <c r="F5480" t="s">
        <v>599</v>
      </c>
      <c r="G5480" t="s">
        <v>600</v>
      </c>
      <c r="H5480" t="s">
        <v>6762</v>
      </c>
      <c r="I5480">
        <v>61</v>
      </c>
      <c r="J5480">
        <v>1</v>
      </c>
      <c r="K5480">
        <v>0</v>
      </c>
      <c r="L5480">
        <v>60</v>
      </c>
      <c r="M5480">
        <v>0</v>
      </c>
      <c r="N5480">
        <v>0</v>
      </c>
      <c r="O5480">
        <v>0</v>
      </c>
    </row>
    <row r="5481" spans="1:15" x14ac:dyDescent="0.25">
      <c r="A5481" t="s">
        <v>924</v>
      </c>
      <c r="B5481" t="s">
        <v>2963</v>
      </c>
      <c r="C5481" t="s">
        <v>923</v>
      </c>
      <c r="D5481" t="s">
        <v>3063</v>
      </c>
      <c r="E5481" t="s">
        <v>3053</v>
      </c>
      <c r="F5481" t="s">
        <v>1</v>
      </c>
      <c r="G5481" t="s">
        <v>601</v>
      </c>
      <c r="H5481" t="s">
        <v>925</v>
      </c>
      <c r="I5481">
        <v>11</v>
      </c>
      <c r="J5481">
        <v>0</v>
      </c>
      <c r="K5481">
        <v>0</v>
      </c>
      <c r="L5481">
        <v>11</v>
      </c>
      <c r="M5481">
        <v>0</v>
      </c>
      <c r="N5481">
        <v>0</v>
      </c>
      <c r="O5481">
        <v>0</v>
      </c>
    </row>
    <row r="5482" spans="1:15" x14ac:dyDescent="0.25">
      <c r="A5482" t="s">
        <v>10568</v>
      </c>
      <c r="B5482" t="s">
        <v>10567</v>
      </c>
      <c r="C5482" t="s">
        <v>927</v>
      </c>
      <c r="D5482" t="s">
        <v>3052</v>
      </c>
      <c r="E5482" t="s">
        <v>3053</v>
      </c>
      <c r="F5482" t="s">
        <v>1</v>
      </c>
      <c r="G5482" t="s">
        <v>601</v>
      </c>
      <c r="H5482" t="s">
        <v>11159</v>
      </c>
      <c r="I5482">
        <v>373</v>
      </c>
      <c r="J5482">
        <v>371</v>
      </c>
      <c r="K5482">
        <v>0</v>
      </c>
      <c r="L5482">
        <v>0</v>
      </c>
      <c r="M5482">
        <v>0</v>
      </c>
      <c r="N5482">
        <v>0</v>
      </c>
      <c r="O5482">
        <v>2</v>
      </c>
    </row>
    <row r="5483" spans="1:15" x14ac:dyDescent="0.25">
      <c r="A5483" t="s">
        <v>926</v>
      </c>
      <c r="B5483" t="s">
        <v>2923</v>
      </c>
      <c r="C5483" t="s">
        <v>927</v>
      </c>
      <c r="D5483" t="s">
        <v>3052</v>
      </c>
      <c r="E5483" t="s">
        <v>3053</v>
      </c>
      <c r="F5483" t="s">
        <v>1</v>
      </c>
      <c r="G5483" t="s">
        <v>601</v>
      </c>
      <c r="H5483" t="s">
        <v>928</v>
      </c>
      <c r="I5483">
        <v>16</v>
      </c>
      <c r="J5483">
        <v>0</v>
      </c>
      <c r="K5483">
        <v>0</v>
      </c>
      <c r="L5483">
        <v>1</v>
      </c>
      <c r="M5483">
        <v>0</v>
      </c>
      <c r="N5483">
        <v>0</v>
      </c>
      <c r="O5483">
        <v>15</v>
      </c>
    </row>
    <row r="5484" spans="1:15" x14ac:dyDescent="0.25">
      <c r="A5484" t="s">
        <v>929</v>
      </c>
      <c r="B5484" t="s">
        <v>2999</v>
      </c>
      <c r="C5484" t="s">
        <v>927</v>
      </c>
      <c r="D5484" t="s">
        <v>3052</v>
      </c>
      <c r="E5484" t="s">
        <v>3053</v>
      </c>
      <c r="F5484" t="s">
        <v>1</v>
      </c>
      <c r="G5484" t="s">
        <v>601</v>
      </c>
      <c r="H5484" t="s">
        <v>930</v>
      </c>
      <c r="I5484">
        <v>72</v>
      </c>
      <c r="J5484">
        <v>0</v>
      </c>
      <c r="K5484">
        <v>0</v>
      </c>
      <c r="L5484">
        <v>0</v>
      </c>
      <c r="M5484">
        <v>72</v>
      </c>
      <c r="N5484">
        <v>0</v>
      </c>
      <c r="O5484">
        <v>0</v>
      </c>
    </row>
    <row r="5485" spans="1:15" x14ac:dyDescent="0.25">
      <c r="A5485" t="s">
        <v>931</v>
      </c>
      <c r="B5485" t="s">
        <v>1978</v>
      </c>
      <c r="C5485" t="s">
        <v>927</v>
      </c>
      <c r="D5485" t="s">
        <v>3052</v>
      </c>
      <c r="E5485" t="s">
        <v>3053</v>
      </c>
      <c r="F5485" t="s">
        <v>1</v>
      </c>
      <c r="G5485" t="s">
        <v>601</v>
      </c>
      <c r="H5485" t="s">
        <v>932</v>
      </c>
      <c r="I5485">
        <v>99</v>
      </c>
      <c r="J5485">
        <v>46</v>
      </c>
      <c r="K5485">
        <v>0</v>
      </c>
      <c r="L5485">
        <v>0</v>
      </c>
      <c r="M5485">
        <v>0</v>
      </c>
      <c r="N5485">
        <v>0</v>
      </c>
      <c r="O5485">
        <v>53</v>
      </c>
    </row>
    <row r="5486" spans="1:15" x14ac:dyDescent="0.25">
      <c r="A5486" t="s">
        <v>933</v>
      </c>
      <c r="B5486" t="s">
        <v>2106</v>
      </c>
      <c r="C5486" t="s">
        <v>927</v>
      </c>
      <c r="D5486" t="s">
        <v>3052</v>
      </c>
      <c r="E5486" t="s">
        <v>3053</v>
      </c>
      <c r="F5486" t="s">
        <v>1</v>
      </c>
      <c r="G5486" t="s">
        <v>601</v>
      </c>
      <c r="H5486" t="s">
        <v>934</v>
      </c>
      <c r="I5486">
        <v>11</v>
      </c>
      <c r="J5486">
        <v>0</v>
      </c>
      <c r="K5486">
        <v>0</v>
      </c>
      <c r="L5486">
        <v>11</v>
      </c>
      <c r="M5486">
        <v>0</v>
      </c>
      <c r="N5486">
        <v>0</v>
      </c>
      <c r="O5486">
        <v>0</v>
      </c>
    </row>
    <row r="5487" spans="1:15" x14ac:dyDescent="0.25">
      <c r="A5487" t="s">
        <v>935</v>
      </c>
      <c r="B5487" t="s">
        <v>1960</v>
      </c>
      <c r="C5487" t="s">
        <v>923</v>
      </c>
      <c r="D5487" t="s">
        <v>3063</v>
      </c>
      <c r="E5487" t="s">
        <v>3053</v>
      </c>
      <c r="F5487" t="s">
        <v>1</v>
      </c>
      <c r="G5487" t="s">
        <v>601</v>
      </c>
      <c r="H5487" t="s">
        <v>936</v>
      </c>
      <c r="I5487">
        <v>1</v>
      </c>
      <c r="J5487">
        <v>0</v>
      </c>
      <c r="K5487">
        <v>0</v>
      </c>
      <c r="L5487">
        <v>1</v>
      </c>
      <c r="M5487">
        <v>0</v>
      </c>
      <c r="N5487">
        <v>0</v>
      </c>
      <c r="O5487">
        <v>0</v>
      </c>
    </row>
    <row r="5488" spans="1:15" x14ac:dyDescent="0.25">
      <c r="A5488" t="s">
        <v>998</v>
      </c>
      <c r="B5488" t="s">
        <v>2820</v>
      </c>
      <c r="C5488" t="s">
        <v>927</v>
      </c>
      <c r="D5488" t="s">
        <v>3052</v>
      </c>
      <c r="E5488" t="s">
        <v>3053</v>
      </c>
      <c r="F5488" t="s">
        <v>1</v>
      </c>
      <c r="G5488" t="s">
        <v>601</v>
      </c>
      <c r="H5488" t="s">
        <v>12213</v>
      </c>
      <c r="I5488">
        <v>47</v>
      </c>
      <c r="J5488">
        <v>47</v>
      </c>
      <c r="K5488">
        <v>0</v>
      </c>
      <c r="L5488">
        <v>0</v>
      </c>
      <c r="M5488">
        <v>0</v>
      </c>
      <c r="N5488">
        <v>0</v>
      </c>
      <c r="O5488">
        <v>0</v>
      </c>
    </row>
    <row r="5489" spans="1:15" x14ac:dyDescent="0.25">
      <c r="A5489" t="s">
        <v>10638</v>
      </c>
      <c r="B5489" t="s">
        <v>2057</v>
      </c>
      <c r="C5489" t="s">
        <v>927</v>
      </c>
      <c r="D5489" t="s">
        <v>3052</v>
      </c>
      <c r="E5489" t="s">
        <v>3053</v>
      </c>
      <c r="F5489" t="s">
        <v>1</v>
      </c>
      <c r="G5489" t="s">
        <v>601</v>
      </c>
      <c r="H5489" t="s">
        <v>11160</v>
      </c>
      <c r="I5489">
        <v>27</v>
      </c>
      <c r="J5489">
        <v>0</v>
      </c>
      <c r="K5489">
        <v>0</v>
      </c>
      <c r="L5489">
        <v>27</v>
      </c>
      <c r="M5489">
        <v>0</v>
      </c>
      <c r="N5489">
        <v>0</v>
      </c>
      <c r="O5489">
        <v>0</v>
      </c>
    </row>
    <row r="5490" spans="1:15" x14ac:dyDescent="0.25">
      <c r="A5490" t="s">
        <v>938</v>
      </c>
      <c r="B5490" t="s">
        <v>2791</v>
      </c>
      <c r="C5490" t="s">
        <v>927</v>
      </c>
      <c r="D5490" t="s">
        <v>3052</v>
      </c>
      <c r="E5490" t="s">
        <v>3053</v>
      </c>
      <c r="F5490" t="s">
        <v>1</v>
      </c>
      <c r="G5490" t="s">
        <v>601</v>
      </c>
      <c r="H5490" t="s">
        <v>939</v>
      </c>
      <c r="I5490">
        <v>32</v>
      </c>
      <c r="J5490">
        <v>0</v>
      </c>
      <c r="K5490">
        <v>0</v>
      </c>
      <c r="L5490">
        <v>32</v>
      </c>
      <c r="M5490">
        <v>0</v>
      </c>
      <c r="N5490">
        <v>0</v>
      </c>
      <c r="O5490">
        <v>0</v>
      </c>
    </row>
    <row r="5491" spans="1:15" x14ac:dyDescent="0.25">
      <c r="A5491" t="s">
        <v>940</v>
      </c>
      <c r="B5491" t="s">
        <v>2647</v>
      </c>
      <c r="C5491" t="s">
        <v>927</v>
      </c>
      <c r="D5491" t="s">
        <v>3052</v>
      </c>
      <c r="E5491" t="s">
        <v>3053</v>
      </c>
      <c r="F5491" t="s">
        <v>1</v>
      </c>
      <c r="G5491" t="s">
        <v>601</v>
      </c>
      <c r="H5491" t="s">
        <v>941</v>
      </c>
      <c r="I5491">
        <v>63</v>
      </c>
      <c r="J5491">
        <v>0</v>
      </c>
      <c r="K5491">
        <v>0</v>
      </c>
      <c r="L5491">
        <v>0</v>
      </c>
      <c r="M5491">
        <v>63</v>
      </c>
      <c r="N5491">
        <v>0</v>
      </c>
      <c r="O5491">
        <v>0</v>
      </c>
    </row>
    <row r="5492" spans="1:15" x14ac:dyDescent="0.25">
      <c r="A5492" t="s">
        <v>943</v>
      </c>
      <c r="B5492" t="s">
        <v>2694</v>
      </c>
      <c r="C5492" t="s">
        <v>927</v>
      </c>
      <c r="D5492" t="s">
        <v>3052</v>
      </c>
      <c r="E5492" t="s">
        <v>3053</v>
      </c>
      <c r="F5492" t="s">
        <v>1</v>
      </c>
      <c r="G5492" t="s">
        <v>601</v>
      </c>
      <c r="H5492" t="s">
        <v>944</v>
      </c>
      <c r="I5492">
        <v>2</v>
      </c>
      <c r="J5492">
        <v>0</v>
      </c>
      <c r="K5492">
        <v>0</v>
      </c>
      <c r="L5492">
        <v>0</v>
      </c>
      <c r="M5492">
        <v>0</v>
      </c>
      <c r="N5492">
        <v>0</v>
      </c>
      <c r="O5492">
        <v>2</v>
      </c>
    </row>
    <row r="5493" spans="1:15" x14ac:dyDescent="0.25">
      <c r="A5493" t="s">
        <v>945</v>
      </c>
      <c r="B5493" t="s">
        <v>2668</v>
      </c>
      <c r="C5493" t="s">
        <v>927</v>
      </c>
      <c r="D5493" t="s">
        <v>3052</v>
      </c>
      <c r="E5493" t="s">
        <v>3053</v>
      </c>
      <c r="F5493" t="s">
        <v>1</v>
      </c>
      <c r="G5493" t="s">
        <v>601</v>
      </c>
      <c r="H5493" t="s">
        <v>946</v>
      </c>
      <c r="I5493">
        <v>1</v>
      </c>
      <c r="J5493">
        <v>0</v>
      </c>
      <c r="K5493">
        <v>0</v>
      </c>
      <c r="L5493">
        <v>0</v>
      </c>
      <c r="M5493">
        <v>0</v>
      </c>
      <c r="N5493">
        <v>0</v>
      </c>
      <c r="O5493">
        <v>1</v>
      </c>
    </row>
    <row r="5494" spans="1:15" x14ac:dyDescent="0.25">
      <c r="A5494" t="s">
        <v>947</v>
      </c>
      <c r="B5494" t="s">
        <v>2728</v>
      </c>
      <c r="C5494" t="s">
        <v>923</v>
      </c>
      <c r="D5494" t="s">
        <v>3063</v>
      </c>
      <c r="E5494" t="s">
        <v>3053</v>
      </c>
      <c r="F5494" t="s">
        <v>1</v>
      </c>
      <c r="G5494" t="s">
        <v>601</v>
      </c>
      <c r="H5494" t="s">
        <v>948</v>
      </c>
      <c r="I5494">
        <v>102</v>
      </c>
      <c r="J5494">
        <v>0</v>
      </c>
      <c r="K5494">
        <v>0</v>
      </c>
      <c r="L5494">
        <v>0</v>
      </c>
      <c r="M5494">
        <v>102</v>
      </c>
      <c r="N5494">
        <v>0</v>
      </c>
      <c r="O5494">
        <v>0</v>
      </c>
    </row>
    <row r="5495" spans="1:15" x14ac:dyDescent="0.25">
      <c r="A5495" t="s">
        <v>949</v>
      </c>
      <c r="B5495" t="s">
        <v>3035</v>
      </c>
      <c r="C5495" t="s">
        <v>927</v>
      </c>
      <c r="D5495" t="s">
        <v>3052</v>
      </c>
      <c r="E5495" t="s">
        <v>3053</v>
      </c>
      <c r="F5495" t="s">
        <v>1</v>
      </c>
      <c r="G5495" t="s">
        <v>601</v>
      </c>
      <c r="H5495" t="s">
        <v>950</v>
      </c>
      <c r="I5495">
        <v>1</v>
      </c>
      <c r="J5495">
        <v>0</v>
      </c>
      <c r="K5495">
        <v>0</v>
      </c>
      <c r="L5495">
        <v>0</v>
      </c>
      <c r="M5495">
        <v>0</v>
      </c>
      <c r="N5495">
        <v>0</v>
      </c>
      <c r="O5495">
        <v>1</v>
      </c>
    </row>
    <row r="5496" spans="1:15" x14ac:dyDescent="0.25">
      <c r="A5496" t="s">
        <v>951</v>
      </c>
      <c r="B5496" t="s">
        <v>2680</v>
      </c>
      <c r="C5496" t="s">
        <v>927</v>
      </c>
      <c r="D5496" t="s">
        <v>3052</v>
      </c>
      <c r="E5496" t="s">
        <v>3053</v>
      </c>
      <c r="F5496" t="s">
        <v>1</v>
      </c>
      <c r="G5496" t="s">
        <v>601</v>
      </c>
      <c r="H5496" t="s">
        <v>952</v>
      </c>
      <c r="I5496">
        <v>61</v>
      </c>
      <c r="J5496">
        <v>61</v>
      </c>
      <c r="K5496">
        <v>0</v>
      </c>
      <c r="L5496">
        <v>0</v>
      </c>
      <c r="M5496">
        <v>0</v>
      </c>
      <c r="N5496">
        <v>0</v>
      </c>
      <c r="O5496">
        <v>0</v>
      </c>
    </row>
    <row r="5497" spans="1:15" x14ac:dyDescent="0.25">
      <c r="A5497" t="s">
        <v>1048</v>
      </c>
      <c r="B5497" t="s">
        <v>2989</v>
      </c>
      <c r="C5497" t="s">
        <v>927</v>
      </c>
      <c r="D5497" t="s">
        <v>3052</v>
      </c>
      <c r="E5497" t="s">
        <v>3053</v>
      </c>
      <c r="F5497" t="s">
        <v>1</v>
      </c>
      <c r="G5497" t="s">
        <v>601</v>
      </c>
      <c r="H5497" t="s">
        <v>14936</v>
      </c>
      <c r="I5497">
        <v>50</v>
      </c>
      <c r="J5497">
        <v>0</v>
      </c>
      <c r="K5497">
        <v>0</v>
      </c>
      <c r="L5497">
        <v>50</v>
      </c>
      <c r="M5497">
        <v>0</v>
      </c>
      <c r="N5497">
        <v>0</v>
      </c>
      <c r="O5497">
        <v>0</v>
      </c>
    </row>
    <row r="5498" spans="1:15" x14ac:dyDescent="0.25">
      <c r="A5498" t="s">
        <v>953</v>
      </c>
      <c r="B5498" t="s">
        <v>2014</v>
      </c>
      <c r="C5498" t="s">
        <v>927</v>
      </c>
      <c r="D5498" t="s">
        <v>3052</v>
      </c>
      <c r="E5498" t="s">
        <v>3053</v>
      </c>
      <c r="F5498" t="s">
        <v>1</v>
      </c>
      <c r="G5498" t="s">
        <v>601</v>
      </c>
      <c r="H5498" t="s">
        <v>954</v>
      </c>
      <c r="I5498">
        <v>4</v>
      </c>
      <c r="J5498">
        <v>0</v>
      </c>
      <c r="K5498">
        <v>0</v>
      </c>
      <c r="L5498">
        <v>4</v>
      </c>
      <c r="M5498">
        <v>0</v>
      </c>
      <c r="N5498">
        <v>0</v>
      </c>
      <c r="O5498">
        <v>0</v>
      </c>
    </row>
    <row r="5499" spans="1:15" x14ac:dyDescent="0.25">
      <c r="A5499" t="s">
        <v>955</v>
      </c>
      <c r="B5499" t="s">
        <v>2660</v>
      </c>
      <c r="C5499" t="s">
        <v>927</v>
      </c>
      <c r="D5499" t="s">
        <v>3052</v>
      </c>
      <c r="E5499" t="s">
        <v>3053</v>
      </c>
      <c r="F5499" t="s">
        <v>1</v>
      </c>
      <c r="G5499" t="s">
        <v>601</v>
      </c>
      <c r="H5499" t="s">
        <v>956</v>
      </c>
      <c r="I5499">
        <v>15</v>
      </c>
      <c r="J5499">
        <v>0</v>
      </c>
      <c r="K5499">
        <v>0</v>
      </c>
      <c r="L5499">
        <v>15</v>
      </c>
      <c r="M5499">
        <v>0</v>
      </c>
      <c r="N5499">
        <v>0</v>
      </c>
      <c r="O5499">
        <v>0</v>
      </c>
    </row>
    <row r="5500" spans="1:15" x14ac:dyDescent="0.25">
      <c r="A5500" t="s">
        <v>957</v>
      </c>
      <c r="B5500" t="s">
        <v>2925</v>
      </c>
      <c r="C5500" t="s">
        <v>923</v>
      </c>
      <c r="D5500" t="s">
        <v>3063</v>
      </c>
      <c r="E5500" t="s">
        <v>3053</v>
      </c>
      <c r="F5500" t="s">
        <v>1</v>
      </c>
      <c r="G5500" t="s">
        <v>601</v>
      </c>
      <c r="H5500" t="s">
        <v>958</v>
      </c>
      <c r="I5500">
        <v>45</v>
      </c>
      <c r="J5500">
        <v>45</v>
      </c>
      <c r="K5500">
        <v>0</v>
      </c>
      <c r="L5500">
        <v>0</v>
      </c>
      <c r="M5500">
        <v>0</v>
      </c>
      <c r="N5500">
        <v>0</v>
      </c>
      <c r="O5500">
        <v>0</v>
      </c>
    </row>
    <row r="5501" spans="1:15" x14ac:dyDescent="0.25">
      <c r="A5501" t="s">
        <v>11663</v>
      </c>
      <c r="B5501" t="s">
        <v>11768</v>
      </c>
      <c r="C5501" t="s">
        <v>927</v>
      </c>
      <c r="D5501" t="s">
        <v>3052</v>
      </c>
      <c r="E5501" t="s">
        <v>3053</v>
      </c>
      <c r="F5501" t="s">
        <v>1</v>
      </c>
      <c r="G5501" t="s">
        <v>601</v>
      </c>
      <c r="H5501" t="s">
        <v>12214</v>
      </c>
      <c r="I5501">
        <v>4</v>
      </c>
      <c r="J5501">
        <v>4</v>
      </c>
      <c r="K5501">
        <v>0</v>
      </c>
      <c r="L5501">
        <v>0</v>
      </c>
      <c r="M5501">
        <v>0</v>
      </c>
      <c r="N5501">
        <v>0</v>
      </c>
      <c r="O5501">
        <v>0</v>
      </c>
    </row>
    <row r="5502" spans="1:15" x14ac:dyDescent="0.25">
      <c r="A5502" t="s">
        <v>960</v>
      </c>
      <c r="B5502" t="s">
        <v>2080</v>
      </c>
      <c r="C5502" t="s">
        <v>927</v>
      </c>
      <c r="D5502" t="s">
        <v>3052</v>
      </c>
      <c r="E5502" t="s">
        <v>3053</v>
      </c>
      <c r="F5502" t="s">
        <v>1</v>
      </c>
      <c r="G5502" t="s">
        <v>601</v>
      </c>
      <c r="H5502" t="s">
        <v>961</v>
      </c>
      <c r="I5502">
        <v>1896</v>
      </c>
      <c r="J5502">
        <v>1562</v>
      </c>
      <c r="K5502">
        <v>0</v>
      </c>
      <c r="L5502">
        <v>35</v>
      </c>
      <c r="M5502">
        <v>157</v>
      </c>
      <c r="N5502">
        <v>9</v>
      </c>
      <c r="O5502">
        <v>142</v>
      </c>
    </row>
    <row r="5503" spans="1:15" x14ac:dyDescent="0.25">
      <c r="A5503" t="s">
        <v>962</v>
      </c>
      <c r="B5503" t="s">
        <v>2752</v>
      </c>
      <c r="C5503" t="s">
        <v>927</v>
      </c>
      <c r="D5503" t="s">
        <v>3052</v>
      </c>
      <c r="E5503" t="s">
        <v>3053</v>
      </c>
      <c r="F5503" t="s">
        <v>1</v>
      </c>
      <c r="G5503" t="s">
        <v>601</v>
      </c>
      <c r="H5503" t="s">
        <v>963</v>
      </c>
      <c r="I5503">
        <v>191</v>
      </c>
      <c r="J5503">
        <v>178</v>
      </c>
      <c r="K5503">
        <v>8</v>
      </c>
      <c r="L5503">
        <v>1</v>
      </c>
      <c r="M5503">
        <v>0</v>
      </c>
      <c r="N5503">
        <v>0</v>
      </c>
      <c r="O5503">
        <v>4</v>
      </c>
    </row>
    <row r="5504" spans="1:15" x14ac:dyDescent="0.25">
      <c r="A5504" t="s">
        <v>964</v>
      </c>
      <c r="B5504" t="s">
        <v>1969</v>
      </c>
      <c r="C5504" t="s">
        <v>927</v>
      </c>
      <c r="D5504" t="s">
        <v>3052</v>
      </c>
      <c r="E5504" t="s">
        <v>3053</v>
      </c>
      <c r="F5504" t="s">
        <v>1</v>
      </c>
      <c r="G5504" t="s">
        <v>601</v>
      </c>
      <c r="H5504" t="s">
        <v>965</v>
      </c>
      <c r="I5504">
        <v>124</v>
      </c>
      <c r="J5504">
        <v>54</v>
      </c>
      <c r="K5504">
        <v>0</v>
      </c>
      <c r="L5504">
        <v>27</v>
      </c>
      <c r="M5504">
        <v>0</v>
      </c>
      <c r="N5504">
        <v>0</v>
      </c>
      <c r="O5504">
        <v>43</v>
      </c>
    </row>
    <row r="5505" spans="1:15" x14ac:dyDescent="0.25">
      <c r="A5505" t="s">
        <v>966</v>
      </c>
      <c r="B5505" t="s">
        <v>2684</v>
      </c>
      <c r="C5505" t="s">
        <v>927</v>
      </c>
      <c r="D5505" t="s">
        <v>3052</v>
      </c>
      <c r="E5505" t="s">
        <v>3053</v>
      </c>
      <c r="F5505" t="s">
        <v>1</v>
      </c>
      <c r="G5505" t="s">
        <v>601</v>
      </c>
      <c r="H5505" t="s">
        <v>967</v>
      </c>
      <c r="I5505">
        <v>526</v>
      </c>
      <c r="J5505">
        <v>393</v>
      </c>
      <c r="K5505">
        <v>0</v>
      </c>
      <c r="L5505">
        <v>0</v>
      </c>
      <c r="M5505">
        <v>0</v>
      </c>
      <c r="N5505">
        <v>0</v>
      </c>
      <c r="O5505">
        <v>133</v>
      </c>
    </row>
    <row r="5506" spans="1:15" x14ac:dyDescent="0.25">
      <c r="A5506" t="s">
        <v>968</v>
      </c>
      <c r="B5506" t="s">
        <v>2091</v>
      </c>
      <c r="C5506" t="s">
        <v>927</v>
      </c>
      <c r="D5506" t="s">
        <v>3052</v>
      </c>
      <c r="E5506" t="s">
        <v>3053</v>
      </c>
      <c r="F5506" t="s">
        <v>1</v>
      </c>
      <c r="G5506" t="s">
        <v>601</v>
      </c>
      <c r="H5506" t="s">
        <v>969</v>
      </c>
      <c r="I5506">
        <v>190</v>
      </c>
      <c r="J5506">
        <v>143</v>
      </c>
      <c r="K5506">
        <v>0</v>
      </c>
      <c r="L5506">
        <v>9</v>
      </c>
      <c r="M5506">
        <v>0</v>
      </c>
      <c r="N5506">
        <v>0</v>
      </c>
      <c r="O5506">
        <v>38</v>
      </c>
    </row>
    <row r="5507" spans="1:15" x14ac:dyDescent="0.25">
      <c r="A5507" t="s">
        <v>1016</v>
      </c>
      <c r="B5507" t="s">
        <v>2725</v>
      </c>
      <c r="C5507" t="s">
        <v>927</v>
      </c>
      <c r="D5507" t="s">
        <v>3052</v>
      </c>
      <c r="E5507" t="s">
        <v>3053</v>
      </c>
      <c r="F5507" t="s">
        <v>602</v>
      </c>
      <c r="G5507" t="s">
        <v>603</v>
      </c>
      <c r="H5507" t="s">
        <v>6772</v>
      </c>
      <c r="I5507">
        <v>7</v>
      </c>
      <c r="J5507">
        <v>0</v>
      </c>
      <c r="K5507">
        <v>0</v>
      </c>
      <c r="L5507">
        <v>0</v>
      </c>
      <c r="M5507">
        <v>0</v>
      </c>
      <c r="N5507">
        <v>0</v>
      </c>
      <c r="O5507">
        <v>7</v>
      </c>
    </row>
    <row r="5508" spans="1:15" x14ac:dyDescent="0.25">
      <c r="A5508" t="s">
        <v>971</v>
      </c>
      <c r="B5508" t="s">
        <v>2956</v>
      </c>
      <c r="C5508" t="s">
        <v>927</v>
      </c>
      <c r="D5508" t="s">
        <v>3052</v>
      </c>
      <c r="E5508" t="s">
        <v>3053</v>
      </c>
      <c r="F5508" t="s">
        <v>602</v>
      </c>
      <c r="G5508" t="s">
        <v>603</v>
      </c>
      <c r="H5508" t="s">
        <v>6763</v>
      </c>
      <c r="I5508">
        <v>6</v>
      </c>
      <c r="J5508">
        <v>4</v>
      </c>
      <c r="K5508">
        <v>0</v>
      </c>
      <c r="L5508">
        <v>0</v>
      </c>
      <c r="M5508">
        <v>0</v>
      </c>
      <c r="N5508">
        <v>0</v>
      </c>
      <c r="O5508">
        <v>2</v>
      </c>
    </row>
    <row r="5509" spans="1:15" x14ac:dyDescent="0.25">
      <c r="A5509" t="s">
        <v>972</v>
      </c>
      <c r="B5509" t="s">
        <v>2842</v>
      </c>
      <c r="C5509" t="s">
        <v>927</v>
      </c>
      <c r="D5509" t="s">
        <v>3052</v>
      </c>
      <c r="E5509" t="s">
        <v>3053</v>
      </c>
      <c r="F5509" t="s">
        <v>602</v>
      </c>
      <c r="G5509" t="s">
        <v>603</v>
      </c>
      <c r="H5509" t="s">
        <v>6764</v>
      </c>
      <c r="I5509">
        <v>208</v>
      </c>
      <c r="J5509">
        <v>189</v>
      </c>
      <c r="K5509">
        <v>0</v>
      </c>
      <c r="L5509">
        <v>0</v>
      </c>
      <c r="M5509">
        <v>16</v>
      </c>
      <c r="N5509">
        <v>0</v>
      </c>
      <c r="O5509">
        <v>3</v>
      </c>
    </row>
    <row r="5510" spans="1:15" x14ac:dyDescent="0.25">
      <c r="A5510" t="s">
        <v>926</v>
      </c>
      <c r="B5510" t="s">
        <v>2923</v>
      </c>
      <c r="C5510" t="s">
        <v>927</v>
      </c>
      <c r="D5510" t="s">
        <v>3052</v>
      </c>
      <c r="E5510" t="s">
        <v>3053</v>
      </c>
      <c r="F5510" t="s">
        <v>602</v>
      </c>
      <c r="G5510" t="s">
        <v>603</v>
      </c>
      <c r="H5510" t="s">
        <v>6765</v>
      </c>
      <c r="I5510">
        <v>27</v>
      </c>
      <c r="J5510">
        <v>0</v>
      </c>
      <c r="K5510">
        <v>0</v>
      </c>
      <c r="L5510">
        <v>22</v>
      </c>
      <c r="M5510">
        <v>0</v>
      </c>
      <c r="N5510">
        <v>0</v>
      </c>
      <c r="O5510">
        <v>5</v>
      </c>
    </row>
    <row r="5511" spans="1:15" x14ac:dyDescent="0.25">
      <c r="A5511" t="s">
        <v>929</v>
      </c>
      <c r="B5511" t="s">
        <v>2999</v>
      </c>
      <c r="C5511" t="s">
        <v>927</v>
      </c>
      <c r="D5511" t="s">
        <v>3052</v>
      </c>
      <c r="E5511" t="s">
        <v>3053</v>
      </c>
      <c r="F5511" t="s">
        <v>602</v>
      </c>
      <c r="G5511" t="s">
        <v>603</v>
      </c>
      <c r="H5511" t="s">
        <v>6766</v>
      </c>
      <c r="I5511">
        <v>72</v>
      </c>
      <c r="J5511">
        <v>0</v>
      </c>
      <c r="K5511">
        <v>0</v>
      </c>
      <c r="L5511">
        <v>0</v>
      </c>
      <c r="M5511">
        <v>72</v>
      </c>
      <c r="N5511">
        <v>0</v>
      </c>
      <c r="O5511">
        <v>0</v>
      </c>
    </row>
    <row r="5512" spans="1:15" x14ac:dyDescent="0.25">
      <c r="A5512" t="s">
        <v>9784</v>
      </c>
      <c r="B5512" t="s">
        <v>1994</v>
      </c>
      <c r="C5512" t="s">
        <v>927</v>
      </c>
      <c r="D5512" t="s">
        <v>3052</v>
      </c>
      <c r="E5512" t="s">
        <v>3053</v>
      </c>
      <c r="F5512" t="s">
        <v>602</v>
      </c>
      <c r="G5512" t="s">
        <v>603</v>
      </c>
      <c r="H5512" t="s">
        <v>9962</v>
      </c>
      <c r="I5512">
        <v>6</v>
      </c>
      <c r="J5512">
        <v>0</v>
      </c>
      <c r="K5512">
        <v>0</v>
      </c>
      <c r="L5512">
        <v>6</v>
      </c>
      <c r="M5512">
        <v>0</v>
      </c>
      <c r="N5512">
        <v>0</v>
      </c>
      <c r="O5512">
        <v>0</v>
      </c>
    </row>
    <row r="5513" spans="1:15" x14ac:dyDescent="0.25">
      <c r="A5513" t="s">
        <v>997</v>
      </c>
      <c r="B5513" t="s">
        <v>2033</v>
      </c>
      <c r="C5513" t="s">
        <v>927</v>
      </c>
      <c r="D5513" t="s">
        <v>3052</v>
      </c>
      <c r="E5513" t="s">
        <v>3053</v>
      </c>
      <c r="F5513" t="s">
        <v>602</v>
      </c>
      <c r="G5513" t="s">
        <v>603</v>
      </c>
      <c r="H5513" t="s">
        <v>6767</v>
      </c>
      <c r="I5513">
        <v>34</v>
      </c>
      <c r="J5513">
        <v>28</v>
      </c>
      <c r="K5513">
        <v>0</v>
      </c>
      <c r="L5513">
        <v>0</v>
      </c>
      <c r="M5513">
        <v>0</v>
      </c>
      <c r="N5513">
        <v>0</v>
      </c>
      <c r="O5513">
        <v>6</v>
      </c>
    </row>
    <row r="5514" spans="1:15" x14ac:dyDescent="0.25">
      <c r="A5514" t="s">
        <v>935</v>
      </c>
      <c r="B5514" t="s">
        <v>1960</v>
      </c>
      <c r="C5514" t="s">
        <v>923</v>
      </c>
      <c r="D5514" t="s">
        <v>3063</v>
      </c>
      <c r="E5514" t="s">
        <v>3053</v>
      </c>
      <c r="F5514" t="s">
        <v>602</v>
      </c>
      <c r="G5514" t="s">
        <v>603</v>
      </c>
      <c r="H5514" t="s">
        <v>6768</v>
      </c>
      <c r="I5514">
        <v>1</v>
      </c>
      <c r="J5514">
        <v>0</v>
      </c>
      <c r="K5514">
        <v>0</v>
      </c>
      <c r="L5514">
        <v>1</v>
      </c>
      <c r="M5514">
        <v>0</v>
      </c>
      <c r="N5514">
        <v>0</v>
      </c>
      <c r="O5514">
        <v>0</v>
      </c>
    </row>
    <row r="5515" spans="1:15" x14ac:dyDescent="0.25">
      <c r="A5515" t="s">
        <v>1001</v>
      </c>
      <c r="B5515" t="s">
        <v>3007</v>
      </c>
      <c r="C5515" t="s">
        <v>927</v>
      </c>
      <c r="D5515" t="s">
        <v>3052</v>
      </c>
      <c r="E5515" t="s">
        <v>3053</v>
      </c>
      <c r="F5515" t="s">
        <v>602</v>
      </c>
      <c r="G5515" t="s">
        <v>603</v>
      </c>
      <c r="H5515" t="s">
        <v>6769</v>
      </c>
      <c r="I5515">
        <v>49</v>
      </c>
      <c r="J5515">
        <v>0</v>
      </c>
      <c r="K5515">
        <v>0</v>
      </c>
      <c r="L5515">
        <v>49</v>
      </c>
      <c r="M5515">
        <v>0</v>
      </c>
      <c r="N5515">
        <v>0</v>
      </c>
      <c r="O5515">
        <v>0</v>
      </c>
    </row>
    <row r="5516" spans="1:15" x14ac:dyDescent="0.25">
      <c r="A5516" t="s">
        <v>10638</v>
      </c>
      <c r="B5516" t="s">
        <v>2057</v>
      </c>
      <c r="C5516" t="s">
        <v>927</v>
      </c>
      <c r="D5516" t="s">
        <v>3052</v>
      </c>
      <c r="E5516" t="s">
        <v>3053</v>
      </c>
      <c r="F5516" t="s">
        <v>602</v>
      </c>
      <c r="G5516" t="s">
        <v>603</v>
      </c>
      <c r="H5516" t="s">
        <v>11161</v>
      </c>
      <c r="I5516">
        <v>61</v>
      </c>
      <c r="J5516">
        <v>0</v>
      </c>
      <c r="K5516">
        <v>0</v>
      </c>
      <c r="L5516">
        <v>61</v>
      </c>
      <c r="M5516">
        <v>0</v>
      </c>
      <c r="N5516">
        <v>0</v>
      </c>
      <c r="O5516">
        <v>0</v>
      </c>
    </row>
    <row r="5517" spans="1:15" x14ac:dyDescent="0.25">
      <c r="A5517" t="s">
        <v>937</v>
      </c>
      <c r="B5517" t="s">
        <v>1962</v>
      </c>
      <c r="C5517" t="s">
        <v>927</v>
      </c>
      <c r="D5517" t="s">
        <v>3052</v>
      </c>
      <c r="E5517" t="s">
        <v>3053</v>
      </c>
      <c r="F5517" t="s">
        <v>602</v>
      </c>
      <c r="G5517" t="s">
        <v>603</v>
      </c>
      <c r="H5517" t="s">
        <v>6770</v>
      </c>
      <c r="I5517">
        <v>60</v>
      </c>
      <c r="J5517">
        <v>0</v>
      </c>
      <c r="K5517">
        <v>0</v>
      </c>
      <c r="L5517">
        <v>0</v>
      </c>
      <c r="M5517">
        <v>0</v>
      </c>
      <c r="N5517">
        <v>0</v>
      </c>
      <c r="O5517">
        <v>60</v>
      </c>
    </row>
    <row r="5518" spans="1:15" x14ac:dyDescent="0.25">
      <c r="A5518" t="s">
        <v>938</v>
      </c>
      <c r="B5518" t="s">
        <v>2791</v>
      </c>
      <c r="C5518" t="s">
        <v>927</v>
      </c>
      <c r="D5518" t="s">
        <v>3052</v>
      </c>
      <c r="E5518" t="s">
        <v>3053</v>
      </c>
      <c r="F5518" t="s">
        <v>602</v>
      </c>
      <c r="G5518" t="s">
        <v>603</v>
      </c>
      <c r="H5518" t="s">
        <v>6771</v>
      </c>
      <c r="I5518">
        <v>19</v>
      </c>
      <c r="J5518">
        <v>19</v>
      </c>
      <c r="K5518">
        <v>0</v>
      </c>
      <c r="L5518">
        <v>0</v>
      </c>
      <c r="M5518">
        <v>0</v>
      </c>
      <c r="N5518">
        <v>0</v>
      </c>
      <c r="O5518">
        <v>0</v>
      </c>
    </row>
    <row r="5519" spans="1:15" x14ac:dyDescent="0.25">
      <c r="A5519" t="s">
        <v>1013</v>
      </c>
      <c r="B5519" t="s">
        <v>1959</v>
      </c>
      <c r="C5519" t="s">
        <v>927</v>
      </c>
      <c r="D5519" t="s">
        <v>3052</v>
      </c>
      <c r="E5519" t="s">
        <v>3053</v>
      </c>
      <c r="F5519" t="s">
        <v>602</v>
      </c>
      <c r="G5519" t="s">
        <v>603</v>
      </c>
      <c r="H5519" t="s">
        <v>14937</v>
      </c>
      <c r="I5519">
        <v>16</v>
      </c>
      <c r="J5519">
        <v>0</v>
      </c>
      <c r="K5519">
        <v>0</v>
      </c>
      <c r="L5519">
        <v>16</v>
      </c>
      <c r="M5519">
        <v>0</v>
      </c>
      <c r="N5519">
        <v>0</v>
      </c>
      <c r="O5519">
        <v>0</v>
      </c>
    </row>
    <row r="5520" spans="1:15" x14ac:dyDescent="0.25">
      <c r="A5520" t="s">
        <v>1014</v>
      </c>
      <c r="B5520" t="s">
        <v>2898</v>
      </c>
      <c r="C5520" t="s">
        <v>927</v>
      </c>
      <c r="D5520" t="s">
        <v>3052</v>
      </c>
      <c r="E5520" t="s">
        <v>3053</v>
      </c>
      <c r="F5520" t="s">
        <v>602</v>
      </c>
      <c r="G5520" t="s">
        <v>603</v>
      </c>
      <c r="H5520" t="s">
        <v>10133</v>
      </c>
      <c r="I5520">
        <v>17</v>
      </c>
      <c r="J5520">
        <v>13</v>
      </c>
      <c r="K5520">
        <v>0</v>
      </c>
      <c r="L5520">
        <v>0</v>
      </c>
      <c r="M5520">
        <v>0</v>
      </c>
      <c r="N5520">
        <v>0</v>
      </c>
      <c r="O5520">
        <v>4</v>
      </c>
    </row>
    <row r="5521" spans="1:15" x14ac:dyDescent="0.25">
      <c r="A5521" t="s">
        <v>1026</v>
      </c>
      <c r="B5521" t="s">
        <v>2848</v>
      </c>
      <c r="C5521" t="s">
        <v>927</v>
      </c>
      <c r="D5521" t="s">
        <v>3052</v>
      </c>
      <c r="E5521" t="s">
        <v>3053</v>
      </c>
      <c r="F5521" t="s">
        <v>602</v>
      </c>
      <c r="G5521" t="s">
        <v>603</v>
      </c>
      <c r="H5521" t="s">
        <v>6773</v>
      </c>
      <c r="I5521">
        <v>65</v>
      </c>
      <c r="J5521">
        <v>46</v>
      </c>
      <c r="K5521">
        <v>0</v>
      </c>
      <c r="L5521">
        <v>0</v>
      </c>
      <c r="M5521">
        <v>0</v>
      </c>
      <c r="N5521">
        <v>0</v>
      </c>
      <c r="O5521">
        <v>19</v>
      </c>
    </row>
    <row r="5522" spans="1:15" x14ac:dyDescent="0.25">
      <c r="A5522" t="s">
        <v>10681</v>
      </c>
      <c r="B5522" t="s">
        <v>10680</v>
      </c>
      <c r="C5522" t="s">
        <v>927</v>
      </c>
      <c r="D5522" t="s">
        <v>3052</v>
      </c>
      <c r="E5522" t="s">
        <v>3053</v>
      </c>
      <c r="F5522" t="s">
        <v>602</v>
      </c>
      <c r="G5522" t="s">
        <v>603</v>
      </c>
      <c r="H5522" t="s">
        <v>14938</v>
      </c>
      <c r="I5522">
        <v>35</v>
      </c>
      <c r="J5522">
        <v>0</v>
      </c>
      <c r="K5522">
        <v>0</v>
      </c>
      <c r="L5522">
        <v>0</v>
      </c>
      <c r="M5522">
        <v>0</v>
      </c>
      <c r="N5522">
        <v>0</v>
      </c>
      <c r="O5522">
        <v>35</v>
      </c>
    </row>
    <row r="5523" spans="1:15" x14ac:dyDescent="0.25">
      <c r="A5523" t="s">
        <v>943</v>
      </c>
      <c r="B5523" t="s">
        <v>2694</v>
      </c>
      <c r="C5523" t="s">
        <v>927</v>
      </c>
      <c r="D5523" t="s">
        <v>3052</v>
      </c>
      <c r="E5523" t="s">
        <v>3053</v>
      </c>
      <c r="F5523" t="s">
        <v>602</v>
      </c>
      <c r="G5523" t="s">
        <v>603</v>
      </c>
      <c r="H5523" t="s">
        <v>6774</v>
      </c>
      <c r="I5523">
        <v>2</v>
      </c>
      <c r="J5523">
        <v>0</v>
      </c>
      <c r="K5523">
        <v>0</v>
      </c>
      <c r="L5523">
        <v>0</v>
      </c>
      <c r="M5523">
        <v>0</v>
      </c>
      <c r="N5523">
        <v>0</v>
      </c>
      <c r="O5523">
        <v>2</v>
      </c>
    </row>
    <row r="5524" spans="1:15" x14ac:dyDescent="0.25">
      <c r="A5524" t="s">
        <v>1034</v>
      </c>
      <c r="B5524" t="s">
        <v>2708</v>
      </c>
      <c r="C5524" t="s">
        <v>923</v>
      </c>
      <c r="D5524" t="s">
        <v>3063</v>
      </c>
      <c r="E5524" t="s">
        <v>3053</v>
      </c>
      <c r="F5524" t="s">
        <v>602</v>
      </c>
      <c r="G5524" t="s">
        <v>603</v>
      </c>
      <c r="H5524" t="s">
        <v>6775</v>
      </c>
      <c r="I5524">
        <v>28</v>
      </c>
      <c r="J5524">
        <v>0</v>
      </c>
      <c r="K5524">
        <v>0</v>
      </c>
      <c r="L5524">
        <v>0</v>
      </c>
      <c r="M5524">
        <v>28</v>
      </c>
      <c r="N5524">
        <v>0</v>
      </c>
      <c r="O5524">
        <v>0</v>
      </c>
    </row>
    <row r="5525" spans="1:15" x14ac:dyDescent="0.25">
      <c r="A5525" t="s">
        <v>1038</v>
      </c>
      <c r="B5525" t="s">
        <v>2068</v>
      </c>
      <c r="C5525" t="s">
        <v>927</v>
      </c>
      <c r="D5525" t="s">
        <v>3052</v>
      </c>
      <c r="E5525" t="s">
        <v>3053</v>
      </c>
      <c r="F5525" t="s">
        <v>602</v>
      </c>
      <c r="G5525" t="s">
        <v>603</v>
      </c>
      <c r="H5525" t="s">
        <v>6776</v>
      </c>
      <c r="I5525">
        <v>1752</v>
      </c>
      <c r="J5525">
        <v>1400</v>
      </c>
      <c r="K5525">
        <v>0</v>
      </c>
      <c r="L5525">
        <v>52</v>
      </c>
      <c r="M5525">
        <v>83</v>
      </c>
      <c r="N5525">
        <v>0</v>
      </c>
      <c r="O5525">
        <v>217</v>
      </c>
    </row>
    <row r="5526" spans="1:15" x14ac:dyDescent="0.25">
      <c r="A5526" t="s">
        <v>1039</v>
      </c>
      <c r="B5526" t="s">
        <v>2885</v>
      </c>
      <c r="C5526" t="s">
        <v>927</v>
      </c>
      <c r="D5526" t="s">
        <v>3052</v>
      </c>
      <c r="E5526" t="s">
        <v>3053</v>
      </c>
      <c r="F5526" t="s">
        <v>602</v>
      </c>
      <c r="G5526" t="s">
        <v>603</v>
      </c>
      <c r="H5526" t="s">
        <v>14939</v>
      </c>
      <c r="I5526">
        <v>9</v>
      </c>
      <c r="J5526">
        <v>9</v>
      </c>
      <c r="K5526">
        <v>0</v>
      </c>
      <c r="L5526">
        <v>0</v>
      </c>
      <c r="M5526">
        <v>0</v>
      </c>
      <c r="N5526">
        <v>0</v>
      </c>
      <c r="O5526">
        <v>0</v>
      </c>
    </row>
    <row r="5527" spans="1:15" x14ac:dyDescent="0.25">
      <c r="A5527" t="s">
        <v>1043</v>
      </c>
      <c r="B5527" t="s">
        <v>2090</v>
      </c>
      <c r="C5527" t="s">
        <v>927</v>
      </c>
      <c r="D5527" t="s">
        <v>3052</v>
      </c>
      <c r="E5527" t="s">
        <v>3053</v>
      </c>
      <c r="F5527" t="s">
        <v>602</v>
      </c>
      <c r="G5527" t="s">
        <v>603</v>
      </c>
      <c r="H5527" t="s">
        <v>6777</v>
      </c>
      <c r="I5527">
        <v>4</v>
      </c>
      <c r="J5527">
        <v>4</v>
      </c>
      <c r="K5527">
        <v>0</v>
      </c>
      <c r="L5527">
        <v>0</v>
      </c>
      <c r="M5527">
        <v>0</v>
      </c>
      <c r="N5527">
        <v>0</v>
      </c>
      <c r="O5527">
        <v>0</v>
      </c>
    </row>
    <row r="5528" spans="1:15" x14ac:dyDescent="0.25">
      <c r="A5528" t="s">
        <v>951</v>
      </c>
      <c r="B5528" t="s">
        <v>2680</v>
      </c>
      <c r="C5528" t="s">
        <v>927</v>
      </c>
      <c r="D5528" t="s">
        <v>3052</v>
      </c>
      <c r="E5528" t="s">
        <v>3053</v>
      </c>
      <c r="F5528" t="s">
        <v>602</v>
      </c>
      <c r="G5528" t="s">
        <v>603</v>
      </c>
      <c r="H5528" t="s">
        <v>6778</v>
      </c>
      <c r="I5528">
        <v>33</v>
      </c>
      <c r="J5528">
        <v>15</v>
      </c>
      <c r="K5528">
        <v>0</v>
      </c>
      <c r="L5528">
        <v>12</v>
      </c>
      <c r="M5528">
        <v>0</v>
      </c>
      <c r="N5528">
        <v>0</v>
      </c>
      <c r="O5528">
        <v>6</v>
      </c>
    </row>
    <row r="5529" spans="1:15" x14ac:dyDescent="0.25">
      <c r="A5529" t="s">
        <v>1048</v>
      </c>
      <c r="B5529" t="s">
        <v>2989</v>
      </c>
      <c r="C5529" t="s">
        <v>927</v>
      </c>
      <c r="D5529" t="s">
        <v>3052</v>
      </c>
      <c r="E5529" t="s">
        <v>3053</v>
      </c>
      <c r="F5529" t="s">
        <v>602</v>
      </c>
      <c r="G5529" t="s">
        <v>603</v>
      </c>
      <c r="H5529" t="s">
        <v>6779</v>
      </c>
      <c r="I5529">
        <v>168</v>
      </c>
      <c r="J5529">
        <v>139</v>
      </c>
      <c r="K5529">
        <v>0</v>
      </c>
      <c r="L5529">
        <v>18</v>
      </c>
      <c r="M5529">
        <v>0</v>
      </c>
      <c r="N5529">
        <v>0</v>
      </c>
      <c r="O5529">
        <v>11</v>
      </c>
    </row>
    <row r="5530" spans="1:15" x14ac:dyDescent="0.25">
      <c r="A5530" t="s">
        <v>1049</v>
      </c>
      <c r="B5530" t="s">
        <v>2138</v>
      </c>
      <c r="C5530" t="s">
        <v>927</v>
      </c>
      <c r="D5530" t="s">
        <v>3052</v>
      </c>
      <c r="E5530" t="s">
        <v>3053</v>
      </c>
      <c r="F5530" t="s">
        <v>602</v>
      </c>
      <c r="G5530" t="s">
        <v>603</v>
      </c>
      <c r="H5530" t="s">
        <v>6780</v>
      </c>
      <c r="I5530">
        <v>279</v>
      </c>
      <c r="J5530">
        <v>196</v>
      </c>
      <c r="K5530">
        <v>0</v>
      </c>
      <c r="L5530">
        <v>0</v>
      </c>
      <c r="M5530">
        <v>0</v>
      </c>
      <c r="N5530">
        <v>0</v>
      </c>
      <c r="O5530">
        <v>83</v>
      </c>
    </row>
    <row r="5531" spans="1:15" x14ac:dyDescent="0.25">
      <c r="A5531" t="s">
        <v>1051</v>
      </c>
      <c r="B5531" t="s">
        <v>2995</v>
      </c>
      <c r="C5531" t="s">
        <v>927</v>
      </c>
      <c r="D5531" t="s">
        <v>3052</v>
      </c>
      <c r="E5531" t="s">
        <v>3053</v>
      </c>
      <c r="F5531" t="s">
        <v>602</v>
      </c>
      <c r="G5531" t="s">
        <v>603</v>
      </c>
      <c r="H5531" t="s">
        <v>6781</v>
      </c>
      <c r="I5531">
        <v>71</v>
      </c>
      <c r="J5531">
        <v>0</v>
      </c>
      <c r="K5531">
        <v>0</v>
      </c>
      <c r="L5531">
        <v>71</v>
      </c>
      <c r="M5531">
        <v>0</v>
      </c>
      <c r="N5531">
        <v>0</v>
      </c>
      <c r="O5531">
        <v>0</v>
      </c>
    </row>
    <row r="5532" spans="1:15" x14ac:dyDescent="0.25">
      <c r="A5532" t="s">
        <v>11720</v>
      </c>
      <c r="B5532" t="s">
        <v>10718</v>
      </c>
      <c r="C5532" t="s">
        <v>927</v>
      </c>
      <c r="D5532" t="s">
        <v>3052</v>
      </c>
      <c r="E5532" t="s">
        <v>3053</v>
      </c>
      <c r="F5532" t="s">
        <v>602</v>
      </c>
      <c r="G5532" t="s">
        <v>603</v>
      </c>
      <c r="H5532" t="s">
        <v>14940</v>
      </c>
      <c r="I5532">
        <v>2</v>
      </c>
      <c r="J5532">
        <v>0</v>
      </c>
      <c r="K5532">
        <v>0</v>
      </c>
      <c r="L5532">
        <v>0</v>
      </c>
      <c r="M5532">
        <v>0</v>
      </c>
      <c r="N5532">
        <v>0</v>
      </c>
      <c r="O5532">
        <v>2</v>
      </c>
    </row>
    <row r="5533" spans="1:15" x14ac:dyDescent="0.25">
      <c r="A5533" t="s">
        <v>1062</v>
      </c>
      <c r="B5533" t="s">
        <v>1993</v>
      </c>
      <c r="C5533" t="s">
        <v>927</v>
      </c>
      <c r="D5533" t="s">
        <v>3052</v>
      </c>
      <c r="E5533" t="s">
        <v>3053</v>
      </c>
      <c r="F5533" t="s">
        <v>602</v>
      </c>
      <c r="G5533" t="s">
        <v>603</v>
      </c>
      <c r="H5533" t="s">
        <v>6782</v>
      </c>
      <c r="I5533">
        <v>24</v>
      </c>
      <c r="J5533">
        <v>24</v>
      </c>
      <c r="K5533">
        <v>0</v>
      </c>
      <c r="L5533">
        <v>0</v>
      </c>
      <c r="M5533">
        <v>0</v>
      </c>
      <c r="N5533">
        <v>0</v>
      </c>
      <c r="O5533">
        <v>0</v>
      </c>
    </row>
    <row r="5534" spans="1:15" x14ac:dyDescent="0.25">
      <c r="A5534" t="s">
        <v>1067</v>
      </c>
      <c r="B5534" t="s">
        <v>2222</v>
      </c>
      <c r="C5534" t="s">
        <v>923</v>
      </c>
      <c r="D5534" t="s">
        <v>3063</v>
      </c>
      <c r="E5534" t="s">
        <v>3053</v>
      </c>
      <c r="F5534" t="s">
        <v>602</v>
      </c>
      <c r="G5534" t="s">
        <v>603</v>
      </c>
      <c r="H5534" t="s">
        <v>6783</v>
      </c>
      <c r="I5534">
        <v>69</v>
      </c>
      <c r="J5534">
        <v>0</v>
      </c>
      <c r="K5534">
        <v>0</v>
      </c>
      <c r="L5534">
        <v>0</v>
      </c>
      <c r="M5534">
        <v>69</v>
      </c>
      <c r="N5534">
        <v>0</v>
      </c>
      <c r="O5534">
        <v>0</v>
      </c>
    </row>
    <row r="5535" spans="1:15" x14ac:dyDescent="0.25">
      <c r="A5535" t="s">
        <v>14375</v>
      </c>
      <c r="B5535" t="s">
        <v>1947</v>
      </c>
      <c r="C5535" t="s">
        <v>923</v>
      </c>
      <c r="D5535" t="s">
        <v>3063</v>
      </c>
      <c r="E5535" t="s">
        <v>3053</v>
      </c>
      <c r="F5535" t="s">
        <v>602</v>
      </c>
      <c r="G5535" t="s">
        <v>603</v>
      </c>
      <c r="H5535" t="s">
        <v>14941</v>
      </c>
      <c r="I5535">
        <v>37</v>
      </c>
      <c r="J5535">
        <v>0</v>
      </c>
      <c r="K5535">
        <v>0</v>
      </c>
      <c r="L5535">
        <v>37</v>
      </c>
      <c r="M5535">
        <v>0</v>
      </c>
      <c r="N5535">
        <v>0</v>
      </c>
      <c r="O5535">
        <v>0</v>
      </c>
    </row>
    <row r="5536" spans="1:15" x14ac:dyDescent="0.25">
      <c r="A5536" t="s">
        <v>1072</v>
      </c>
      <c r="B5536" t="s">
        <v>2907</v>
      </c>
      <c r="C5536" t="s">
        <v>927</v>
      </c>
      <c r="D5536" t="s">
        <v>3052</v>
      </c>
      <c r="E5536" t="s">
        <v>3053</v>
      </c>
      <c r="F5536" t="s">
        <v>602</v>
      </c>
      <c r="G5536" t="s">
        <v>603</v>
      </c>
      <c r="H5536" t="s">
        <v>6784</v>
      </c>
      <c r="I5536">
        <v>11</v>
      </c>
      <c r="J5536">
        <v>0</v>
      </c>
      <c r="K5536">
        <v>0</v>
      </c>
      <c r="L5536">
        <v>0</v>
      </c>
      <c r="M5536">
        <v>0</v>
      </c>
      <c r="N5536">
        <v>0</v>
      </c>
      <c r="O5536">
        <v>11</v>
      </c>
    </row>
    <row r="5537" spans="1:15" x14ac:dyDescent="0.25">
      <c r="A5537" t="s">
        <v>1078</v>
      </c>
      <c r="B5537" t="s">
        <v>1950</v>
      </c>
      <c r="C5537" t="s">
        <v>923</v>
      </c>
      <c r="D5537" t="s">
        <v>3063</v>
      </c>
      <c r="E5537" t="s">
        <v>3053</v>
      </c>
      <c r="F5537" t="s">
        <v>602</v>
      </c>
      <c r="G5537" t="s">
        <v>603</v>
      </c>
      <c r="H5537" t="s">
        <v>6785</v>
      </c>
      <c r="I5537">
        <v>12</v>
      </c>
      <c r="J5537">
        <v>0</v>
      </c>
      <c r="K5537">
        <v>0</v>
      </c>
      <c r="L5537">
        <v>12</v>
      </c>
      <c r="M5537">
        <v>0</v>
      </c>
      <c r="N5537">
        <v>0</v>
      </c>
      <c r="O5537">
        <v>0</v>
      </c>
    </row>
    <row r="5538" spans="1:15" x14ac:dyDescent="0.25">
      <c r="A5538" t="s">
        <v>1016</v>
      </c>
      <c r="B5538" t="s">
        <v>2725</v>
      </c>
      <c r="C5538" t="s">
        <v>927</v>
      </c>
      <c r="D5538" t="s">
        <v>3052</v>
      </c>
      <c r="E5538" t="s">
        <v>3053</v>
      </c>
      <c r="F5538" t="s">
        <v>604</v>
      </c>
      <c r="G5538" t="s">
        <v>605</v>
      </c>
      <c r="H5538" t="s">
        <v>6798</v>
      </c>
      <c r="I5538">
        <v>45</v>
      </c>
      <c r="J5538">
        <v>45</v>
      </c>
      <c r="K5538">
        <v>0</v>
      </c>
      <c r="L5538">
        <v>0</v>
      </c>
      <c r="M5538">
        <v>0</v>
      </c>
      <c r="N5538">
        <v>0</v>
      </c>
      <c r="O5538">
        <v>0</v>
      </c>
    </row>
    <row r="5539" spans="1:15" x14ac:dyDescent="0.25">
      <c r="A5539" t="s">
        <v>1404</v>
      </c>
      <c r="B5539" t="s">
        <v>2490</v>
      </c>
      <c r="C5539" t="s">
        <v>923</v>
      </c>
      <c r="D5539" t="s">
        <v>3063</v>
      </c>
      <c r="E5539" t="s">
        <v>3053</v>
      </c>
      <c r="F5539" t="s">
        <v>604</v>
      </c>
      <c r="G5539" t="s">
        <v>605</v>
      </c>
      <c r="H5539" t="s">
        <v>6786</v>
      </c>
      <c r="I5539">
        <v>12</v>
      </c>
      <c r="J5539">
        <v>12</v>
      </c>
      <c r="K5539">
        <v>0</v>
      </c>
      <c r="L5539">
        <v>0</v>
      </c>
      <c r="M5539">
        <v>0</v>
      </c>
      <c r="N5539">
        <v>0</v>
      </c>
      <c r="O5539">
        <v>0</v>
      </c>
    </row>
    <row r="5540" spans="1:15" x14ac:dyDescent="0.25">
      <c r="A5540" t="s">
        <v>929</v>
      </c>
      <c r="B5540" t="s">
        <v>2999</v>
      </c>
      <c r="C5540" t="s">
        <v>927</v>
      </c>
      <c r="D5540" t="s">
        <v>3052</v>
      </c>
      <c r="E5540" t="s">
        <v>3053</v>
      </c>
      <c r="F5540" t="s">
        <v>604</v>
      </c>
      <c r="G5540" t="s">
        <v>605</v>
      </c>
      <c r="H5540" t="s">
        <v>6787</v>
      </c>
      <c r="I5540">
        <v>578</v>
      </c>
      <c r="J5540">
        <v>0</v>
      </c>
      <c r="K5540">
        <v>0</v>
      </c>
      <c r="L5540">
        <v>0</v>
      </c>
      <c r="M5540">
        <v>568</v>
      </c>
      <c r="N5540">
        <v>0</v>
      </c>
      <c r="O5540">
        <v>10</v>
      </c>
    </row>
    <row r="5541" spans="1:15" x14ac:dyDescent="0.25">
      <c r="A5541" t="s">
        <v>978</v>
      </c>
      <c r="B5541" t="s">
        <v>1999</v>
      </c>
      <c r="C5541" t="s">
        <v>923</v>
      </c>
      <c r="D5541" t="s">
        <v>3063</v>
      </c>
      <c r="E5541" t="s">
        <v>3053</v>
      </c>
      <c r="F5541" t="s">
        <v>604</v>
      </c>
      <c r="G5541" t="s">
        <v>605</v>
      </c>
      <c r="H5541" t="s">
        <v>6788</v>
      </c>
      <c r="I5541">
        <v>2</v>
      </c>
      <c r="J5541">
        <v>2</v>
      </c>
      <c r="K5541">
        <v>0</v>
      </c>
      <c r="L5541">
        <v>0</v>
      </c>
      <c r="M5541">
        <v>0</v>
      </c>
      <c r="N5541">
        <v>0</v>
      </c>
      <c r="O5541">
        <v>0</v>
      </c>
    </row>
    <row r="5542" spans="1:15" x14ac:dyDescent="0.25">
      <c r="A5542" t="s">
        <v>1407</v>
      </c>
      <c r="B5542" t="s">
        <v>2109</v>
      </c>
      <c r="C5542" t="s">
        <v>927</v>
      </c>
      <c r="D5542" t="s">
        <v>3052</v>
      </c>
      <c r="E5542" t="s">
        <v>3053</v>
      </c>
      <c r="F5542" t="s">
        <v>604</v>
      </c>
      <c r="G5542" t="s">
        <v>605</v>
      </c>
      <c r="H5542" t="s">
        <v>6789</v>
      </c>
      <c r="I5542">
        <v>658</v>
      </c>
      <c r="J5542">
        <v>392</v>
      </c>
      <c r="K5542">
        <v>0</v>
      </c>
      <c r="L5542">
        <v>36</v>
      </c>
      <c r="M5542">
        <v>181</v>
      </c>
      <c r="N5542">
        <v>0</v>
      </c>
      <c r="O5542">
        <v>49</v>
      </c>
    </row>
    <row r="5543" spans="1:15" x14ac:dyDescent="0.25">
      <c r="A5543" t="s">
        <v>1412</v>
      </c>
      <c r="B5543" t="s">
        <v>2099</v>
      </c>
      <c r="C5543" t="s">
        <v>927</v>
      </c>
      <c r="D5543" t="s">
        <v>3052</v>
      </c>
      <c r="E5543" t="s">
        <v>3053</v>
      </c>
      <c r="F5543" t="s">
        <v>604</v>
      </c>
      <c r="G5543" t="s">
        <v>605</v>
      </c>
      <c r="H5543" t="s">
        <v>6790</v>
      </c>
      <c r="I5543">
        <v>103</v>
      </c>
      <c r="J5543">
        <v>78</v>
      </c>
      <c r="K5543">
        <v>0</v>
      </c>
      <c r="L5543">
        <v>23</v>
      </c>
      <c r="M5543">
        <v>0</v>
      </c>
      <c r="N5543">
        <v>0</v>
      </c>
      <c r="O5543">
        <v>2</v>
      </c>
    </row>
    <row r="5544" spans="1:15" x14ac:dyDescent="0.25">
      <c r="A5544" t="s">
        <v>996</v>
      </c>
      <c r="B5544" t="s">
        <v>1952</v>
      </c>
      <c r="C5544" t="s">
        <v>923</v>
      </c>
      <c r="D5544" t="s">
        <v>3063</v>
      </c>
      <c r="E5544" t="s">
        <v>3053</v>
      </c>
      <c r="F5544" t="s">
        <v>604</v>
      </c>
      <c r="G5544" t="s">
        <v>605</v>
      </c>
      <c r="H5544" t="s">
        <v>6791</v>
      </c>
      <c r="I5544">
        <v>12</v>
      </c>
      <c r="J5544">
        <v>0</v>
      </c>
      <c r="K5544">
        <v>0</v>
      </c>
      <c r="L5544">
        <v>12</v>
      </c>
      <c r="M5544">
        <v>0</v>
      </c>
      <c r="N5544">
        <v>0</v>
      </c>
      <c r="O5544">
        <v>0</v>
      </c>
    </row>
    <row r="5545" spans="1:15" x14ac:dyDescent="0.25">
      <c r="A5545" t="s">
        <v>1417</v>
      </c>
      <c r="B5545" t="s">
        <v>2396</v>
      </c>
      <c r="C5545" t="s">
        <v>923</v>
      </c>
      <c r="D5545" t="s">
        <v>3063</v>
      </c>
      <c r="E5545" t="s">
        <v>3053</v>
      </c>
      <c r="F5545" t="s">
        <v>604</v>
      </c>
      <c r="G5545" t="s">
        <v>605</v>
      </c>
      <c r="H5545" t="s">
        <v>6792</v>
      </c>
      <c r="I5545">
        <v>29</v>
      </c>
      <c r="J5545">
        <v>29</v>
      </c>
      <c r="K5545">
        <v>0</v>
      </c>
      <c r="L5545">
        <v>0</v>
      </c>
      <c r="M5545">
        <v>0</v>
      </c>
      <c r="N5545">
        <v>0</v>
      </c>
      <c r="O5545">
        <v>0</v>
      </c>
    </row>
    <row r="5546" spans="1:15" x14ac:dyDescent="0.25">
      <c r="A5546" t="s">
        <v>937</v>
      </c>
      <c r="B5546" t="s">
        <v>1962</v>
      </c>
      <c r="C5546" t="s">
        <v>927</v>
      </c>
      <c r="D5546" t="s">
        <v>3052</v>
      </c>
      <c r="E5546" t="s">
        <v>3053</v>
      </c>
      <c r="F5546" t="s">
        <v>604</v>
      </c>
      <c r="G5546" t="s">
        <v>605</v>
      </c>
      <c r="H5546" t="s">
        <v>6793</v>
      </c>
      <c r="I5546">
        <v>9</v>
      </c>
      <c r="J5546">
        <v>0</v>
      </c>
      <c r="K5546">
        <v>0</v>
      </c>
      <c r="L5546">
        <v>0</v>
      </c>
      <c r="M5546">
        <v>0</v>
      </c>
      <c r="N5546">
        <v>0</v>
      </c>
      <c r="O5546">
        <v>9</v>
      </c>
    </row>
    <row r="5547" spans="1:15" x14ac:dyDescent="0.25">
      <c r="A5547" t="s">
        <v>938</v>
      </c>
      <c r="B5547" t="s">
        <v>2791</v>
      </c>
      <c r="C5547" t="s">
        <v>927</v>
      </c>
      <c r="D5547" t="s">
        <v>3052</v>
      </c>
      <c r="E5547" t="s">
        <v>3053</v>
      </c>
      <c r="F5547" t="s">
        <v>604</v>
      </c>
      <c r="G5547" t="s">
        <v>605</v>
      </c>
      <c r="H5547" t="s">
        <v>6794</v>
      </c>
      <c r="I5547">
        <v>1729</v>
      </c>
      <c r="J5547">
        <v>1018</v>
      </c>
      <c r="K5547">
        <v>0</v>
      </c>
      <c r="L5547">
        <v>385</v>
      </c>
      <c r="M5547">
        <v>186</v>
      </c>
      <c r="N5547">
        <v>0</v>
      </c>
      <c r="O5547">
        <v>140</v>
      </c>
    </row>
    <row r="5548" spans="1:15" x14ac:dyDescent="0.25">
      <c r="A5548" t="s">
        <v>1421</v>
      </c>
      <c r="B5548" t="s">
        <v>2195</v>
      </c>
      <c r="C5548" t="s">
        <v>923</v>
      </c>
      <c r="D5548" t="s">
        <v>3063</v>
      </c>
      <c r="E5548" t="s">
        <v>3053</v>
      </c>
      <c r="F5548" t="s">
        <v>604</v>
      </c>
      <c r="G5548" t="s">
        <v>605</v>
      </c>
      <c r="H5548" t="s">
        <v>6795</v>
      </c>
      <c r="I5548">
        <v>59</v>
      </c>
      <c r="J5548">
        <v>59</v>
      </c>
      <c r="K5548">
        <v>0</v>
      </c>
      <c r="L5548">
        <v>0</v>
      </c>
      <c r="M5548">
        <v>0</v>
      </c>
      <c r="N5548">
        <v>0</v>
      </c>
      <c r="O5548">
        <v>0</v>
      </c>
    </row>
    <row r="5549" spans="1:15" x14ac:dyDescent="0.25">
      <c r="A5549" t="s">
        <v>940</v>
      </c>
      <c r="B5549" t="s">
        <v>2647</v>
      </c>
      <c r="C5549" t="s">
        <v>927</v>
      </c>
      <c r="D5549" t="s">
        <v>3052</v>
      </c>
      <c r="E5549" t="s">
        <v>3053</v>
      </c>
      <c r="F5549" t="s">
        <v>604</v>
      </c>
      <c r="G5549" t="s">
        <v>605</v>
      </c>
      <c r="H5549" t="s">
        <v>6796</v>
      </c>
      <c r="I5549">
        <v>22</v>
      </c>
      <c r="J5549">
        <v>0</v>
      </c>
      <c r="K5549">
        <v>0</v>
      </c>
      <c r="L5549">
        <v>0</v>
      </c>
      <c r="M5549">
        <v>22</v>
      </c>
      <c r="N5549">
        <v>0</v>
      </c>
      <c r="O5549">
        <v>0</v>
      </c>
    </row>
    <row r="5550" spans="1:15" x14ac:dyDescent="0.25">
      <c r="A5550" t="s">
        <v>1013</v>
      </c>
      <c r="B5550" t="s">
        <v>1959</v>
      </c>
      <c r="C5550" t="s">
        <v>927</v>
      </c>
      <c r="D5550" t="s">
        <v>3052</v>
      </c>
      <c r="E5550" t="s">
        <v>3053</v>
      </c>
      <c r="F5550" t="s">
        <v>604</v>
      </c>
      <c r="G5550" t="s">
        <v>605</v>
      </c>
      <c r="H5550" t="s">
        <v>6797</v>
      </c>
      <c r="I5550">
        <v>16</v>
      </c>
      <c r="J5550">
        <v>0</v>
      </c>
      <c r="K5550">
        <v>0</v>
      </c>
      <c r="L5550">
        <v>16</v>
      </c>
      <c r="M5550">
        <v>0</v>
      </c>
      <c r="N5550">
        <v>0</v>
      </c>
      <c r="O5550">
        <v>0</v>
      </c>
    </row>
    <row r="5551" spans="1:15" x14ac:dyDescent="0.25">
      <c r="A5551" t="s">
        <v>1427</v>
      </c>
      <c r="B5551" t="s">
        <v>2087</v>
      </c>
      <c r="C5551" t="s">
        <v>927</v>
      </c>
      <c r="D5551" t="s">
        <v>3052</v>
      </c>
      <c r="E5551" t="s">
        <v>3053</v>
      </c>
      <c r="F5551" t="s">
        <v>604</v>
      </c>
      <c r="G5551" t="s">
        <v>605</v>
      </c>
      <c r="H5551" t="s">
        <v>6799</v>
      </c>
      <c r="I5551">
        <v>3639</v>
      </c>
      <c r="J5551">
        <v>3116</v>
      </c>
      <c r="K5551">
        <v>0</v>
      </c>
      <c r="L5551">
        <v>195</v>
      </c>
      <c r="M5551">
        <v>208</v>
      </c>
      <c r="N5551">
        <v>0</v>
      </c>
      <c r="O5551">
        <v>120</v>
      </c>
    </row>
    <row r="5552" spans="1:15" x14ac:dyDescent="0.25">
      <c r="A5552" t="s">
        <v>1429</v>
      </c>
      <c r="B5552" t="s">
        <v>1940</v>
      </c>
      <c r="C5552" t="s">
        <v>923</v>
      </c>
      <c r="D5552" t="s">
        <v>3063</v>
      </c>
      <c r="E5552" t="s">
        <v>3053</v>
      </c>
      <c r="F5552" t="s">
        <v>604</v>
      </c>
      <c r="G5552" t="s">
        <v>605</v>
      </c>
      <c r="H5552" t="s">
        <v>6800</v>
      </c>
      <c r="I5552">
        <v>761</v>
      </c>
      <c r="J5552">
        <v>413</v>
      </c>
      <c r="K5552">
        <v>0</v>
      </c>
      <c r="L5552">
        <v>296</v>
      </c>
      <c r="M5552">
        <v>52</v>
      </c>
      <c r="N5552">
        <v>0</v>
      </c>
      <c r="O5552">
        <v>0</v>
      </c>
    </row>
    <row r="5553" spans="1:15" x14ac:dyDescent="0.25">
      <c r="A5553" t="s">
        <v>10681</v>
      </c>
      <c r="B5553" t="s">
        <v>10680</v>
      </c>
      <c r="C5553" t="s">
        <v>927</v>
      </c>
      <c r="D5553" t="s">
        <v>3052</v>
      </c>
      <c r="E5553" t="s">
        <v>3053</v>
      </c>
      <c r="F5553" t="s">
        <v>604</v>
      </c>
      <c r="G5553" t="s">
        <v>605</v>
      </c>
      <c r="H5553" t="s">
        <v>14942</v>
      </c>
      <c r="I5553">
        <v>3</v>
      </c>
      <c r="J5553">
        <v>0</v>
      </c>
      <c r="K5553">
        <v>0</v>
      </c>
      <c r="L5553">
        <v>0</v>
      </c>
      <c r="M5553">
        <v>0</v>
      </c>
      <c r="N5553">
        <v>0</v>
      </c>
      <c r="O5553">
        <v>3</v>
      </c>
    </row>
    <row r="5554" spans="1:15" x14ac:dyDescent="0.25">
      <c r="A5554" t="s">
        <v>1296</v>
      </c>
      <c r="B5554" t="s">
        <v>2965</v>
      </c>
      <c r="C5554" t="s">
        <v>923</v>
      </c>
      <c r="D5554" t="s">
        <v>3063</v>
      </c>
      <c r="E5554" t="s">
        <v>3053</v>
      </c>
      <c r="F5554" t="s">
        <v>604</v>
      </c>
      <c r="G5554" t="s">
        <v>605</v>
      </c>
      <c r="H5554" t="s">
        <v>6801</v>
      </c>
      <c r="I5554">
        <v>41</v>
      </c>
      <c r="J5554">
        <v>0</v>
      </c>
      <c r="K5554">
        <v>0</v>
      </c>
      <c r="L5554">
        <v>0</v>
      </c>
      <c r="M5554">
        <v>41</v>
      </c>
      <c r="N5554">
        <v>0</v>
      </c>
      <c r="O5554">
        <v>0</v>
      </c>
    </row>
    <row r="5555" spans="1:15" x14ac:dyDescent="0.25">
      <c r="A5555" t="s">
        <v>1302</v>
      </c>
      <c r="B5555" t="s">
        <v>1961</v>
      </c>
      <c r="C5555" t="s">
        <v>923</v>
      </c>
      <c r="D5555" t="s">
        <v>3063</v>
      </c>
      <c r="E5555" t="s">
        <v>3053</v>
      </c>
      <c r="F5555" t="s">
        <v>604</v>
      </c>
      <c r="G5555" t="s">
        <v>605</v>
      </c>
      <c r="H5555" t="s">
        <v>14943</v>
      </c>
      <c r="I5555">
        <v>2</v>
      </c>
      <c r="J5555">
        <v>0</v>
      </c>
      <c r="K5555">
        <v>0</v>
      </c>
      <c r="L5555">
        <v>2</v>
      </c>
      <c r="M5555">
        <v>0</v>
      </c>
      <c r="N5555">
        <v>0</v>
      </c>
      <c r="O5555">
        <v>0</v>
      </c>
    </row>
    <row r="5556" spans="1:15" x14ac:dyDescent="0.25">
      <c r="A5556" t="s">
        <v>1431</v>
      </c>
      <c r="B5556" t="s">
        <v>2475</v>
      </c>
      <c r="C5556" t="s">
        <v>923</v>
      </c>
      <c r="D5556" t="s">
        <v>3063</v>
      </c>
      <c r="E5556" t="s">
        <v>3053</v>
      </c>
      <c r="F5556" t="s">
        <v>604</v>
      </c>
      <c r="G5556" t="s">
        <v>605</v>
      </c>
      <c r="H5556" t="s">
        <v>6802</v>
      </c>
      <c r="I5556">
        <v>8</v>
      </c>
      <c r="J5556">
        <v>8</v>
      </c>
      <c r="K5556">
        <v>0</v>
      </c>
      <c r="L5556">
        <v>0</v>
      </c>
      <c r="M5556">
        <v>0</v>
      </c>
      <c r="N5556">
        <v>0</v>
      </c>
      <c r="O5556">
        <v>0</v>
      </c>
    </row>
    <row r="5557" spans="1:15" x14ac:dyDescent="0.25">
      <c r="A5557" t="s">
        <v>10799</v>
      </c>
      <c r="B5557" t="s">
        <v>2574</v>
      </c>
      <c r="C5557" t="s">
        <v>923</v>
      </c>
      <c r="D5557" t="s">
        <v>3063</v>
      </c>
      <c r="E5557" t="s">
        <v>3053</v>
      </c>
      <c r="F5557" t="s">
        <v>604</v>
      </c>
      <c r="G5557" t="s">
        <v>605</v>
      </c>
      <c r="H5557" t="s">
        <v>11162</v>
      </c>
      <c r="I5557">
        <v>226</v>
      </c>
      <c r="J5557">
        <v>17</v>
      </c>
      <c r="K5557">
        <v>125</v>
      </c>
      <c r="L5557">
        <v>84</v>
      </c>
      <c r="M5557">
        <v>0</v>
      </c>
      <c r="N5557">
        <v>0</v>
      </c>
      <c r="O5557">
        <v>0</v>
      </c>
    </row>
    <row r="5558" spans="1:15" x14ac:dyDescent="0.25">
      <c r="A5558" t="s">
        <v>1323</v>
      </c>
      <c r="B5558" t="s">
        <v>2612</v>
      </c>
      <c r="C5558" t="s">
        <v>923</v>
      </c>
      <c r="D5558" t="s">
        <v>3063</v>
      </c>
      <c r="E5558" t="s">
        <v>3053</v>
      </c>
      <c r="F5558" t="s">
        <v>604</v>
      </c>
      <c r="G5558" t="s">
        <v>605</v>
      </c>
      <c r="H5558" t="s">
        <v>6803</v>
      </c>
      <c r="I5558">
        <v>4</v>
      </c>
      <c r="J5558">
        <v>0</v>
      </c>
      <c r="K5558">
        <v>0</v>
      </c>
      <c r="L5558">
        <v>4</v>
      </c>
      <c r="M5558">
        <v>0</v>
      </c>
      <c r="N5558">
        <v>0</v>
      </c>
      <c r="O5558">
        <v>0</v>
      </c>
    </row>
    <row r="5559" spans="1:15" x14ac:dyDescent="0.25">
      <c r="A5559" t="s">
        <v>951</v>
      </c>
      <c r="B5559" t="s">
        <v>2680</v>
      </c>
      <c r="C5559" t="s">
        <v>927</v>
      </c>
      <c r="D5559" t="s">
        <v>3052</v>
      </c>
      <c r="E5559" t="s">
        <v>3053</v>
      </c>
      <c r="F5559" t="s">
        <v>604</v>
      </c>
      <c r="G5559" t="s">
        <v>605</v>
      </c>
      <c r="H5559" t="s">
        <v>6804</v>
      </c>
      <c r="I5559">
        <v>1470</v>
      </c>
      <c r="J5559">
        <v>1318</v>
      </c>
      <c r="K5559">
        <v>0</v>
      </c>
      <c r="L5559">
        <v>12</v>
      </c>
      <c r="M5559">
        <v>125</v>
      </c>
      <c r="N5559">
        <v>1</v>
      </c>
      <c r="O5559">
        <v>15</v>
      </c>
    </row>
    <row r="5560" spans="1:15" x14ac:dyDescent="0.25">
      <c r="A5560" t="s">
        <v>1048</v>
      </c>
      <c r="B5560" t="s">
        <v>2989</v>
      </c>
      <c r="C5560" t="s">
        <v>927</v>
      </c>
      <c r="D5560" t="s">
        <v>3052</v>
      </c>
      <c r="E5560" t="s">
        <v>3053</v>
      </c>
      <c r="F5560" t="s">
        <v>604</v>
      </c>
      <c r="G5560" t="s">
        <v>605</v>
      </c>
      <c r="H5560" t="s">
        <v>6805</v>
      </c>
      <c r="I5560">
        <v>30</v>
      </c>
      <c r="J5560">
        <v>0</v>
      </c>
      <c r="K5560">
        <v>0</v>
      </c>
      <c r="L5560">
        <v>30</v>
      </c>
      <c r="M5560">
        <v>0</v>
      </c>
      <c r="N5560">
        <v>0</v>
      </c>
      <c r="O5560">
        <v>0</v>
      </c>
    </row>
    <row r="5561" spans="1:15" x14ac:dyDescent="0.25">
      <c r="A5561" t="s">
        <v>1051</v>
      </c>
      <c r="B5561" t="s">
        <v>2995</v>
      </c>
      <c r="C5561" t="s">
        <v>927</v>
      </c>
      <c r="D5561" t="s">
        <v>3052</v>
      </c>
      <c r="E5561" t="s">
        <v>3053</v>
      </c>
      <c r="F5561" t="s">
        <v>604</v>
      </c>
      <c r="G5561" t="s">
        <v>605</v>
      </c>
      <c r="H5561" t="s">
        <v>6806</v>
      </c>
      <c r="I5561">
        <v>9</v>
      </c>
      <c r="J5561">
        <v>0</v>
      </c>
      <c r="K5561">
        <v>0</v>
      </c>
      <c r="L5561">
        <v>9</v>
      </c>
      <c r="M5561">
        <v>0</v>
      </c>
      <c r="N5561">
        <v>0</v>
      </c>
      <c r="O5561">
        <v>0</v>
      </c>
    </row>
    <row r="5562" spans="1:15" x14ac:dyDescent="0.25">
      <c r="A5562" t="s">
        <v>1436</v>
      </c>
      <c r="B5562" t="s">
        <v>2209</v>
      </c>
      <c r="C5562" t="s">
        <v>927</v>
      </c>
      <c r="D5562" t="s">
        <v>3052</v>
      </c>
      <c r="E5562" t="s">
        <v>3053</v>
      </c>
      <c r="F5562" t="s">
        <v>604</v>
      </c>
      <c r="G5562" t="s">
        <v>605</v>
      </c>
      <c r="H5562" t="s">
        <v>6807</v>
      </c>
      <c r="I5562">
        <v>78</v>
      </c>
      <c r="J5562">
        <v>15</v>
      </c>
      <c r="K5562">
        <v>0</v>
      </c>
      <c r="L5562">
        <v>33</v>
      </c>
      <c r="M5562">
        <v>30</v>
      </c>
      <c r="N5562">
        <v>40</v>
      </c>
      <c r="O5562">
        <v>0</v>
      </c>
    </row>
    <row r="5563" spans="1:15" x14ac:dyDescent="0.25">
      <c r="A5563" t="s">
        <v>9815</v>
      </c>
      <c r="B5563" t="s">
        <v>2424</v>
      </c>
      <c r="C5563" t="s">
        <v>923</v>
      </c>
      <c r="D5563" t="s">
        <v>3063</v>
      </c>
      <c r="E5563" t="s">
        <v>3053</v>
      </c>
      <c r="F5563" t="s">
        <v>604</v>
      </c>
      <c r="G5563" t="s">
        <v>605</v>
      </c>
      <c r="H5563" t="s">
        <v>10464</v>
      </c>
      <c r="I5563">
        <v>12</v>
      </c>
      <c r="J5563">
        <v>12</v>
      </c>
      <c r="K5563">
        <v>0</v>
      </c>
      <c r="L5563">
        <v>0</v>
      </c>
      <c r="M5563">
        <v>0</v>
      </c>
      <c r="N5563">
        <v>0</v>
      </c>
      <c r="O5563">
        <v>0</v>
      </c>
    </row>
    <row r="5564" spans="1:15" x14ac:dyDescent="0.25">
      <c r="A5564" t="s">
        <v>1442</v>
      </c>
      <c r="B5564" t="s">
        <v>2017</v>
      </c>
      <c r="C5564" t="s">
        <v>923</v>
      </c>
      <c r="D5564" t="s">
        <v>3063</v>
      </c>
      <c r="E5564" t="s">
        <v>3053</v>
      </c>
      <c r="F5564" t="s">
        <v>604</v>
      </c>
      <c r="G5564" t="s">
        <v>605</v>
      </c>
      <c r="H5564" t="s">
        <v>6808</v>
      </c>
      <c r="I5564">
        <v>59</v>
      </c>
      <c r="J5564">
        <v>20</v>
      </c>
      <c r="K5564">
        <v>0</v>
      </c>
      <c r="L5564">
        <v>39</v>
      </c>
      <c r="M5564">
        <v>0</v>
      </c>
      <c r="N5564">
        <v>0</v>
      </c>
      <c r="O5564">
        <v>0</v>
      </c>
    </row>
    <row r="5565" spans="1:15" x14ac:dyDescent="0.25">
      <c r="A5565" t="s">
        <v>1072</v>
      </c>
      <c r="B5565" t="s">
        <v>2907</v>
      </c>
      <c r="C5565" t="s">
        <v>927</v>
      </c>
      <c r="D5565" t="s">
        <v>3052</v>
      </c>
      <c r="E5565" t="s">
        <v>3053</v>
      </c>
      <c r="F5565" t="s">
        <v>604</v>
      </c>
      <c r="G5565" t="s">
        <v>605</v>
      </c>
      <c r="H5565" t="s">
        <v>6809</v>
      </c>
      <c r="I5565">
        <v>1158</v>
      </c>
      <c r="J5565">
        <v>766</v>
      </c>
      <c r="K5565">
        <v>0</v>
      </c>
      <c r="L5565">
        <v>99</v>
      </c>
      <c r="M5565">
        <v>173</v>
      </c>
      <c r="N5565">
        <v>0</v>
      </c>
      <c r="O5565">
        <v>120</v>
      </c>
    </row>
    <row r="5566" spans="1:15" x14ac:dyDescent="0.25">
      <c r="A5566" t="s">
        <v>1180</v>
      </c>
      <c r="B5566" t="s">
        <v>2896</v>
      </c>
      <c r="C5566" t="s">
        <v>927</v>
      </c>
      <c r="D5566" t="s">
        <v>3052</v>
      </c>
      <c r="E5566" t="s">
        <v>3053</v>
      </c>
      <c r="F5566" t="s">
        <v>604</v>
      </c>
      <c r="G5566" t="s">
        <v>605</v>
      </c>
      <c r="H5566" t="s">
        <v>6810</v>
      </c>
      <c r="I5566">
        <v>111</v>
      </c>
      <c r="J5566">
        <v>59</v>
      </c>
      <c r="K5566">
        <v>0</v>
      </c>
      <c r="L5566">
        <v>5</v>
      </c>
      <c r="M5566">
        <v>29</v>
      </c>
      <c r="N5566">
        <v>0</v>
      </c>
      <c r="O5566">
        <v>18</v>
      </c>
    </row>
    <row r="5567" spans="1:15" x14ac:dyDescent="0.25">
      <c r="A5567" t="s">
        <v>1447</v>
      </c>
      <c r="B5567" t="s">
        <v>3018</v>
      </c>
      <c r="C5567" t="s">
        <v>923</v>
      </c>
      <c r="D5567" t="s">
        <v>3063</v>
      </c>
      <c r="E5567" t="s">
        <v>3053</v>
      </c>
      <c r="F5567" t="s">
        <v>604</v>
      </c>
      <c r="G5567" t="s">
        <v>605</v>
      </c>
      <c r="H5567" t="s">
        <v>6811</v>
      </c>
      <c r="I5567">
        <v>221</v>
      </c>
      <c r="J5567">
        <v>2</v>
      </c>
      <c r="K5567">
        <v>0</v>
      </c>
      <c r="L5567">
        <v>219</v>
      </c>
      <c r="M5567">
        <v>0</v>
      </c>
      <c r="N5567">
        <v>0</v>
      </c>
      <c r="O5567">
        <v>0</v>
      </c>
    </row>
    <row r="5568" spans="1:15" x14ac:dyDescent="0.25">
      <c r="A5568" t="s">
        <v>1449</v>
      </c>
      <c r="B5568" t="s">
        <v>2406</v>
      </c>
      <c r="C5568" t="s">
        <v>923</v>
      </c>
      <c r="D5568" t="s">
        <v>3063</v>
      </c>
      <c r="E5568" t="s">
        <v>3053</v>
      </c>
      <c r="F5568" t="s">
        <v>604</v>
      </c>
      <c r="G5568" t="s">
        <v>605</v>
      </c>
      <c r="H5568" t="s">
        <v>6812</v>
      </c>
      <c r="I5568">
        <v>12</v>
      </c>
      <c r="J5568">
        <v>12</v>
      </c>
      <c r="K5568">
        <v>0</v>
      </c>
      <c r="L5568">
        <v>0</v>
      </c>
      <c r="M5568">
        <v>0</v>
      </c>
      <c r="N5568">
        <v>0</v>
      </c>
      <c r="O5568">
        <v>0</v>
      </c>
    </row>
    <row r="5569" spans="1:15" x14ac:dyDescent="0.25">
      <c r="A5569" t="s">
        <v>1452</v>
      </c>
      <c r="B5569" t="s">
        <v>2721</v>
      </c>
      <c r="C5569" t="s">
        <v>923</v>
      </c>
      <c r="D5569" t="s">
        <v>3063</v>
      </c>
      <c r="E5569" t="s">
        <v>3053</v>
      </c>
      <c r="F5569" t="s">
        <v>606</v>
      </c>
      <c r="G5569" t="s">
        <v>607</v>
      </c>
      <c r="H5569" t="s">
        <v>6813</v>
      </c>
      <c r="I5569">
        <v>71</v>
      </c>
      <c r="J5569">
        <v>0</v>
      </c>
      <c r="K5569">
        <v>0</v>
      </c>
      <c r="L5569">
        <v>0</v>
      </c>
      <c r="M5569">
        <v>71</v>
      </c>
      <c r="N5569">
        <v>0</v>
      </c>
      <c r="O5569">
        <v>0</v>
      </c>
    </row>
    <row r="5570" spans="1:15" x14ac:dyDescent="0.25">
      <c r="A5570" t="s">
        <v>929</v>
      </c>
      <c r="B5570" t="s">
        <v>2999</v>
      </c>
      <c r="C5570" t="s">
        <v>927</v>
      </c>
      <c r="D5570" t="s">
        <v>3052</v>
      </c>
      <c r="E5570" t="s">
        <v>3053</v>
      </c>
      <c r="F5570" t="s">
        <v>606</v>
      </c>
      <c r="G5570" t="s">
        <v>607</v>
      </c>
      <c r="H5570" t="s">
        <v>6814</v>
      </c>
      <c r="I5570">
        <v>41</v>
      </c>
      <c r="J5570">
        <v>0</v>
      </c>
      <c r="K5570">
        <v>0</v>
      </c>
      <c r="L5570">
        <v>0</v>
      </c>
      <c r="M5570">
        <v>41</v>
      </c>
      <c r="N5570">
        <v>0</v>
      </c>
      <c r="O5570">
        <v>0</v>
      </c>
    </row>
    <row r="5571" spans="1:15" x14ac:dyDescent="0.25">
      <c r="A5571" t="s">
        <v>1456</v>
      </c>
      <c r="B5571" t="s">
        <v>2844</v>
      </c>
      <c r="C5571" t="s">
        <v>927</v>
      </c>
      <c r="D5571" t="s">
        <v>3052</v>
      </c>
      <c r="E5571" t="s">
        <v>3053</v>
      </c>
      <c r="F5571" t="s">
        <v>606</v>
      </c>
      <c r="G5571" t="s">
        <v>607</v>
      </c>
      <c r="H5571" t="s">
        <v>6815</v>
      </c>
      <c r="I5571">
        <v>8152</v>
      </c>
      <c r="J5571">
        <v>7412</v>
      </c>
      <c r="K5571">
        <v>0</v>
      </c>
      <c r="L5571">
        <v>6</v>
      </c>
      <c r="M5571">
        <v>582</v>
      </c>
      <c r="N5571">
        <v>24</v>
      </c>
      <c r="O5571">
        <v>152</v>
      </c>
    </row>
    <row r="5572" spans="1:15" x14ac:dyDescent="0.25">
      <c r="A5572" t="s">
        <v>1458</v>
      </c>
      <c r="B5572" t="s">
        <v>2024</v>
      </c>
      <c r="C5572" t="s">
        <v>923</v>
      </c>
      <c r="D5572" t="s">
        <v>3063</v>
      </c>
      <c r="E5572" t="s">
        <v>3053</v>
      </c>
      <c r="F5572" t="s">
        <v>606</v>
      </c>
      <c r="G5572" t="s">
        <v>607</v>
      </c>
      <c r="H5572" t="s">
        <v>14944</v>
      </c>
      <c r="I5572">
        <v>15</v>
      </c>
      <c r="J5572">
        <v>15</v>
      </c>
      <c r="K5572">
        <v>0</v>
      </c>
      <c r="L5572">
        <v>0</v>
      </c>
      <c r="M5572">
        <v>0</v>
      </c>
      <c r="N5572">
        <v>0</v>
      </c>
      <c r="O5572">
        <v>0</v>
      </c>
    </row>
    <row r="5573" spans="1:15" x14ac:dyDescent="0.25">
      <c r="A5573" t="s">
        <v>1806</v>
      </c>
      <c r="B5573" t="s">
        <v>2633</v>
      </c>
      <c r="C5573" t="s">
        <v>923</v>
      </c>
      <c r="D5573" t="s">
        <v>3063</v>
      </c>
      <c r="E5573" t="s">
        <v>3053</v>
      </c>
      <c r="F5573" t="s">
        <v>606</v>
      </c>
      <c r="G5573" t="s">
        <v>607</v>
      </c>
      <c r="H5573" t="s">
        <v>6816</v>
      </c>
      <c r="I5573">
        <v>6</v>
      </c>
      <c r="J5573">
        <v>0</v>
      </c>
      <c r="K5573">
        <v>0</v>
      </c>
      <c r="L5573">
        <v>6</v>
      </c>
      <c r="M5573">
        <v>0</v>
      </c>
      <c r="N5573">
        <v>0</v>
      </c>
      <c r="O5573">
        <v>0</v>
      </c>
    </row>
    <row r="5574" spans="1:15" x14ac:dyDescent="0.25">
      <c r="A5574" t="s">
        <v>1812</v>
      </c>
      <c r="B5574" t="s">
        <v>2833</v>
      </c>
      <c r="C5574" t="s">
        <v>923</v>
      </c>
      <c r="D5574" t="s">
        <v>3063</v>
      </c>
      <c r="E5574" t="s">
        <v>3053</v>
      </c>
      <c r="F5574" t="s">
        <v>606</v>
      </c>
      <c r="G5574" t="s">
        <v>607</v>
      </c>
      <c r="H5574" t="s">
        <v>6817</v>
      </c>
      <c r="I5574">
        <v>8</v>
      </c>
      <c r="J5574">
        <v>0</v>
      </c>
      <c r="K5574">
        <v>0</v>
      </c>
      <c r="L5574">
        <v>8</v>
      </c>
      <c r="M5574">
        <v>0</v>
      </c>
      <c r="N5574">
        <v>0</v>
      </c>
      <c r="O5574">
        <v>0</v>
      </c>
    </row>
    <row r="5575" spans="1:15" x14ac:dyDescent="0.25">
      <c r="A5575" t="s">
        <v>933</v>
      </c>
      <c r="B5575" t="s">
        <v>2106</v>
      </c>
      <c r="C5575" t="s">
        <v>927</v>
      </c>
      <c r="D5575" t="s">
        <v>3052</v>
      </c>
      <c r="E5575" t="s">
        <v>3053</v>
      </c>
      <c r="F5575" t="s">
        <v>606</v>
      </c>
      <c r="G5575" t="s">
        <v>607</v>
      </c>
      <c r="H5575" t="s">
        <v>6818</v>
      </c>
      <c r="I5575">
        <v>79</v>
      </c>
      <c r="J5575">
        <v>79</v>
      </c>
      <c r="K5575">
        <v>0</v>
      </c>
      <c r="L5575">
        <v>0</v>
      </c>
      <c r="M5575">
        <v>0</v>
      </c>
      <c r="N5575">
        <v>0</v>
      </c>
      <c r="O5575">
        <v>0</v>
      </c>
    </row>
    <row r="5576" spans="1:15" x14ac:dyDescent="0.25">
      <c r="A5576" t="s">
        <v>1817</v>
      </c>
      <c r="B5576" t="s">
        <v>2831</v>
      </c>
      <c r="C5576" t="s">
        <v>927</v>
      </c>
      <c r="D5576" t="s">
        <v>3052</v>
      </c>
      <c r="E5576" t="s">
        <v>3053</v>
      </c>
      <c r="F5576" t="s">
        <v>606</v>
      </c>
      <c r="G5576" t="s">
        <v>607</v>
      </c>
      <c r="H5576" t="s">
        <v>6819</v>
      </c>
      <c r="I5576">
        <v>35</v>
      </c>
      <c r="J5576">
        <v>35</v>
      </c>
      <c r="K5576">
        <v>0</v>
      </c>
      <c r="L5576">
        <v>0</v>
      </c>
      <c r="M5576">
        <v>0</v>
      </c>
      <c r="N5576">
        <v>0</v>
      </c>
      <c r="O5576">
        <v>0</v>
      </c>
    </row>
    <row r="5577" spans="1:15" x14ac:dyDescent="0.25">
      <c r="A5577" t="s">
        <v>10638</v>
      </c>
      <c r="B5577" t="s">
        <v>2057</v>
      </c>
      <c r="C5577" t="s">
        <v>927</v>
      </c>
      <c r="D5577" t="s">
        <v>3052</v>
      </c>
      <c r="E5577" t="s">
        <v>3053</v>
      </c>
      <c r="F5577" t="s">
        <v>606</v>
      </c>
      <c r="G5577" t="s">
        <v>607</v>
      </c>
      <c r="H5577" t="s">
        <v>11163</v>
      </c>
      <c r="I5577">
        <v>6</v>
      </c>
      <c r="J5577">
        <v>0</v>
      </c>
      <c r="K5577">
        <v>0</v>
      </c>
      <c r="L5577">
        <v>6</v>
      </c>
      <c r="M5577">
        <v>0</v>
      </c>
      <c r="N5577">
        <v>0</v>
      </c>
      <c r="O5577">
        <v>0</v>
      </c>
    </row>
    <row r="5578" spans="1:15" x14ac:dyDescent="0.25">
      <c r="A5578" t="s">
        <v>10643</v>
      </c>
      <c r="B5578" t="s">
        <v>2987</v>
      </c>
      <c r="C5578" t="s">
        <v>927</v>
      </c>
      <c r="D5578" t="s">
        <v>3052</v>
      </c>
      <c r="E5578" t="s">
        <v>3053</v>
      </c>
      <c r="F5578" t="s">
        <v>606</v>
      </c>
      <c r="G5578" t="s">
        <v>607</v>
      </c>
      <c r="H5578" t="s">
        <v>11164</v>
      </c>
      <c r="I5578">
        <v>2</v>
      </c>
      <c r="J5578">
        <v>2</v>
      </c>
      <c r="K5578">
        <v>0</v>
      </c>
      <c r="L5578">
        <v>0</v>
      </c>
      <c r="M5578">
        <v>0</v>
      </c>
      <c r="N5578">
        <v>0</v>
      </c>
      <c r="O5578">
        <v>0</v>
      </c>
    </row>
    <row r="5579" spans="1:15" x14ac:dyDescent="0.25">
      <c r="A5579" t="s">
        <v>1009</v>
      </c>
      <c r="B5579" t="s">
        <v>1958</v>
      </c>
      <c r="C5579" t="s">
        <v>923</v>
      </c>
      <c r="D5579" t="s">
        <v>3063</v>
      </c>
      <c r="E5579" t="s">
        <v>3053</v>
      </c>
      <c r="F5579" t="s">
        <v>606</v>
      </c>
      <c r="G5579" t="s">
        <v>607</v>
      </c>
      <c r="H5579" t="s">
        <v>12215</v>
      </c>
      <c r="I5579">
        <v>1</v>
      </c>
      <c r="J5579">
        <v>0</v>
      </c>
      <c r="K5579">
        <v>0</v>
      </c>
      <c r="L5579">
        <v>1</v>
      </c>
      <c r="M5579">
        <v>0</v>
      </c>
      <c r="N5579">
        <v>0</v>
      </c>
      <c r="O5579">
        <v>0</v>
      </c>
    </row>
    <row r="5580" spans="1:15" x14ac:dyDescent="0.25">
      <c r="A5580" t="s">
        <v>1493</v>
      </c>
      <c r="B5580" t="s">
        <v>2962</v>
      </c>
      <c r="C5580" t="s">
        <v>927</v>
      </c>
      <c r="D5580" t="s">
        <v>3052</v>
      </c>
      <c r="E5580" t="s">
        <v>3053</v>
      </c>
      <c r="F5580" t="s">
        <v>606</v>
      </c>
      <c r="G5580" t="s">
        <v>607</v>
      </c>
      <c r="H5580" t="s">
        <v>6820</v>
      </c>
      <c r="I5580">
        <v>519</v>
      </c>
      <c r="J5580">
        <v>497</v>
      </c>
      <c r="K5580">
        <v>10</v>
      </c>
      <c r="L5580">
        <v>3</v>
      </c>
      <c r="M5580">
        <v>0</v>
      </c>
      <c r="N5580">
        <v>9</v>
      </c>
      <c r="O5580">
        <v>9</v>
      </c>
    </row>
    <row r="5581" spans="1:15" x14ac:dyDescent="0.25">
      <c r="A5581" t="s">
        <v>940</v>
      </c>
      <c r="B5581" t="s">
        <v>2647</v>
      </c>
      <c r="C5581" t="s">
        <v>927</v>
      </c>
      <c r="D5581" t="s">
        <v>3052</v>
      </c>
      <c r="E5581" t="s">
        <v>3053</v>
      </c>
      <c r="F5581" t="s">
        <v>606</v>
      </c>
      <c r="G5581" t="s">
        <v>607</v>
      </c>
      <c r="H5581" t="s">
        <v>6821</v>
      </c>
      <c r="I5581">
        <v>63</v>
      </c>
      <c r="J5581">
        <v>0</v>
      </c>
      <c r="K5581">
        <v>0</v>
      </c>
      <c r="L5581">
        <v>0</v>
      </c>
      <c r="M5581">
        <v>50</v>
      </c>
      <c r="N5581">
        <v>0</v>
      </c>
      <c r="O5581">
        <v>13</v>
      </c>
    </row>
    <row r="5582" spans="1:15" x14ac:dyDescent="0.25">
      <c r="A5582" t="s">
        <v>1030</v>
      </c>
      <c r="B5582" t="s">
        <v>2880</v>
      </c>
      <c r="C5582" t="s">
        <v>927</v>
      </c>
      <c r="D5582" t="s">
        <v>3052</v>
      </c>
      <c r="E5582" t="s">
        <v>3053</v>
      </c>
      <c r="F5582" t="s">
        <v>606</v>
      </c>
      <c r="G5582" t="s">
        <v>607</v>
      </c>
      <c r="H5582" t="s">
        <v>6822</v>
      </c>
      <c r="I5582">
        <v>23</v>
      </c>
      <c r="J5582">
        <v>2</v>
      </c>
      <c r="K5582">
        <v>0</v>
      </c>
      <c r="L5582">
        <v>9</v>
      </c>
      <c r="M5582">
        <v>8</v>
      </c>
      <c r="N5582">
        <v>0</v>
      </c>
      <c r="O5582">
        <v>4</v>
      </c>
    </row>
    <row r="5583" spans="1:15" x14ac:dyDescent="0.25">
      <c r="A5583" t="s">
        <v>1031</v>
      </c>
      <c r="B5583" t="s">
        <v>2779</v>
      </c>
      <c r="C5583" t="s">
        <v>927</v>
      </c>
      <c r="D5583" t="s">
        <v>3052</v>
      </c>
      <c r="E5583" t="s">
        <v>3053</v>
      </c>
      <c r="F5583" t="s">
        <v>606</v>
      </c>
      <c r="G5583" t="s">
        <v>607</v>
      </c>
      <c r="H5583" t="s">
        <v>14945</v>
      </c>
      <c r="I5583">
        <v>8</v>
      </c>
      <c r="J5583">
        <v>5</v>
      </c>
      <c r="K5583">
        <v>0</v>
      </c>
      <c r="L5583">
        <v>0</v>
      </c>
      <c r="M5583">
        <v>0</v>
      </c>
      <c r="N5583">
        <v>0</v>
      </c>
      <c r="O5583">
        <v>3</v>
      </c>
    </row>
    <row r="5584" spans="1:15" x14ac:dyDescent="0.25">
      <c r="A5584" t="s">
        <v>1525</v>
      </c>
      <c r="B5584" t="s">
        <v>2908</v>
      </c>
      <c r="C5584" t="s">
        <v>927</v>
      </c>
      <c r="D5584" t="s">
        <v>3052</v>
      </c>
      <c r="E5584" t="s">
        <v>3053</v>
      </c>
      <c r="F5584" t="s">
        <v>606</v>
      </c>
      <c r="G5584" t="s">
        <v>607</v>
      </c>
      <c r="H5584" t="s">
        <v>6823</v>
      </c>
      <c r="I5584">
        <v>4</v>
      </c>
      <c r="J5584">
        <v>0</v>
      </c>
      <c r="K5584">
        <v>0</v>
      </c>
      <c r="L5584">
        <v>4</v>
      </c>
      <c r="M5584">
        <v>0</v>
      </c>
      <c r="N5584">
        <v>0</v>
      </c>
      <c r="O5584">
        <v>0</v>
      </c>
    </row>
    <row r="5585" spans="1:15" x14ac:dyDescent="0.25">
      <c r="A5585" t="s">
        <v>11720</v>
      </c>
      <c r="B5585" t="s">
        <v>10718</v>
      </c>
      <c r="C5585" t="s">
        <v>927</v>
      </c>
      <c r="D5585" t="s">
        <v>3052</v>
      </c>
      <c r="E5585" t="s">
        <v>3053</v>
      </c>
      <c r="F5585" t="s">
        <v>606</v>
      </c>
      <c r="G5585" t="s">
        <v>607</v>
      </c>
      <c r="H5585" t="s">
        <v>14946</v>
      </c>
      <c r="I5585">
        <v>6</v>
      </c>
      <c r="J5585">
        <v>0</v>
      </c>
      <c r="K5585">
        <v>0</v>
      </c>
      <c r="L5585">
        <v>0</v>
      </c>
      <c r="M5585">
        <v>0</v>
      </c>
      <c r="N5585">
        <v>0</v>
      </c>
      <c r="O5585">
        <v>6</v>
      </c>
    </row>
    <row r="5586" spans="1:15" x14ac:dyDescent="0.25">
      <c r="A5586" t="s">
        <v>9788</v>
      </c>
      <c r="B5586" t="s">
        <v>9871</v>
      </c>
      <c r="C5586" t="s">
        <v>927</v>
      </c>
      <c r="D5586" t="s">
        <v>3052</v>
      </c>
      <c r="E5586" t="s">
        <v>3053</v>
      </c>
      <c r="F5586" t="s">
        <v>606</v>
      </c>
      <c r="G5586" t="s">
        <v>607</v>
      </c>
      <c r="H5586" t="s">
        <v>14947</v>
      </c>
      <c r="I5586">
        <v>12</v>
      </c>
      <c r="J5586">
        <v>12</v>
      </c>
      <c r="K5586">
        <v>0</v>
      </c>
      <c r="L5586">
        <v>0</v>
      </c>
      <c r="M5586">
        <v>0</v>
      </c>
      <c r="N5586">
        <v>0</v>
      </c>
      <c r="O5586">
        <v>0</v>
      </c>
    </row>
    <row r="5587" spans="1:15" x14ac:dyDescent="0.25">
      <c r="A5587" t="s">
        <v>955</v>
      </c>
      <c r="B5587" t="s">
        <v>2660</v>
      </c>
      <c r="C5587" t="s">
        <v>927</v>
      </c>
      <c r="D5587" t="s">
        <v>3052</v>
      </c>
      <c r="E5587" t="s">
        <v>3053</v>
      </c>
      <c r="F5587" t="s">
        <v>606</v>
      </c>
      <c r="G5587" t="s">
        <v>607</v>
      </c>
      <c r="H5587" t="s">
        <v>6824</v>
      </c>
      <c r="I5587">
        <v>771</v>
      </c>
      <c r="J5587">
        <v>597</v>
      </c>
      <c r="K5587">
        <v>0</v>
      </c>
      <c r="L5587">
        <v>6</v>
      </c>
      <c r="M5587">
        <v>111</v>
      </c>
      <c r="N5587">
        <v>1</v>
      </c>
      <c r="O5587">
        <v>57</v>
      </c>
    </row>
    <row r="5588" spans="1:15" x14ac:dyDescent="0.25">
      <c r="A5588" t="s">
        <v>14374</v>
      </c>
      <c r="B5588" t="s">
        <v>1943</v>
      </c>
      <c r="C5588" t="s">
        <v>927</v>
      </c>
      <c r="D5588" t="s">
        <v>3052</v>
      </c>
      <c r="E5588" t="s">
        <v>3053</v>
      </c>
      <c r="F5588" t="s">
        <v>606</v>
      </c>
      <c r="G5588" t="s">
        <v>607</v>
      </c>
      <c r="H5588" t="s">
        <v>14948</v>
      </c>
      <c r="I5588">
        <v>36</v>
      </c>
      <c r="J5588">
        <v>0</v>
      </c>
      <c r="K5588">
        <v>0</v>
      </c>
      <c r="L5588">
        <v>0</v>
      </c>
      <c r="M5588">
        <v>0</v>
      </c>
      <c r="N5588">
        <v>0</v>
      </c>
      <c r="O5588">
        <v>36</v>
      </c>
    </row>
    <row r="5589" spans="1:15" x14ac:dyDescent="0.25">
      <c r="A5589" t="s">
        <v>1069</v>
      </c>
      <c r="B5589" t="s">
        <v>2001</v>
      </c>
      <c r="C5589" t="s">
        <v>927</v>
      </c>
      <c r="D5589" t="s">
        <v>3052</v>
      </c>
      <c r="E5589" t="s">
        <v>3053</v>
      </c>
      <c r="F5589" t="s">
        <v>606</v>
      </c>
      <c r="G5589" t="s">
        <v>607</v>
      </c>
      <c r="H5589" t="s">
        <v>6825</v>
      </c>
      <c r="I5589">
        <v>5</v>
      </c>
      <c r="J5589">
        <v>2</v>
      </c>
      <c r="K5589">
        <v>0</v>
      </c>
      <c r="L5589">
        <v>0</v>
      </c>
      <c r="M5589">
        <v>0</v>
      </c>
      <c r="N5589">
        <v>0</v>
      </c>
      <c r="O5589">
        <v>3</v>
      </c>
    </row>
    <row r="5590" spans="1:15" x14ac:dyDescent="0.25">
      <c r="A5590" t="s">
        <v>1072</v>
      </c>
      <c r="B5590" t="s">
        <v>2907</v>
      </c>
      <c r="C5590" t="s">
        <v>927</v>
      </c>
      <c r="D5590" t="s">
        <v>3052</v>
      </c>
      <c r="E5590" t="s">
        <v>3053</v>
      </c>
      <c r="F5590" t="s">
        <v>606</v>
      </c>
      <c r="G5590" t="s">
        <v>607</v>
      </c>
      <c r="H5590" t="s">
        <v>6826</v>
      </c>
      <c r="I5590">
        <v>5</v>
      </c>
      <c r="J5590">
        <v>0</v>
      </c>
      <c r="K5590">
        <v>0</v>
      </c>
      <c r="L5590">
        <v>5</v>
      </c>
      <c r="M5590">
        <v>0</v>
      </c>
      <c r="N5590">
        <v>0</v>
      </c>
      <c r="O5590">
        <v>0</v>
      </c>
    </row>
    <row r="5591" spans="1:15" x14ac:dyDescent="0.25">
      <c r="A5591" t="s">
        <v>1861</v>
      </c>
      <c r="B5591" t="s">
        <v>3011</v>
      </c>
      <c r="C5591" t="s">
        <v>927</v>
      </c>
      <c r="D5591" t="s">
        <v>3052</v>
      </c>
      <c r="E5591" t="s">
        <v>3053</v>
      </c>
      <c r="F5591" t="s">
        <v>606</v>
      </c>
      <c r="G5591" t="s">
        <v>607</v>
      </c>
      <c r="H5591" t="s">
        <v>6827</v>
      </c>
      <c r="I5591">
        <v>117</v>
      </c>
      <c r="J5591">
        <v>51</v>
      </c>
      <c r="K5591">
        <v>0</v>
      </c>
      <c r="L5591">
        <v>65</v>
      </c>
      <c r="M5591">
        <v>0</v>
      </c>
      <c r="N5591">
        <v>0</v>
      </c>
      <c r="O5591">
        <v>1</v>
      </c>
    </row>
    <row r="5592" spans="1:15" x14ac:dyDescent="0.25">
      <c r="A5592" t="s">
        <v>1195</v>
      </c>
      <c r="B5592" t="s">
        <v>2924</v>
      </c>
      <c r="C5592" t="s">
        <v>927</v>
      </c>
      <c r="D5592" t="s">
        <v>3052</v>
      </c>
      <c r="E5592" t="s">
        <v>3053</v>
      </c>
      <c r="F5592" t="s">
        <v>608</v>
      </c>
      <c r="G5592" t="s">
        <v>609</v>
      </c>
      <c r="H5592" t="s">
        <v>6828</v>
      </c>
      <c r="I5592">
        <v>124</v>
      </c>
      <c r="J5592">
        <v>44</v>
      </c>
      <c r="K5592">
        <v>0</v>
      </c>
      <c r="L5592">
        <v>0</v>
      </c>
      <c r="M5592">
        <v>0</v>
      </c>
      <c r="N5592">
        <v>0</v>
      </c>
      <c r="O5592">
        <v>80</v>
      </c>
    </row>
    <row r="5593" spans="1:15" x14ac:dyDescent="0.25">
      <c r="A5593" t="s">
        <v>929</v>
      </c>
      <c r="B5593" t="s">
        <v>2999</v>
      </c>
      <c r="C5593" t="s">
        <v>927</v>
      </c>
      <c r="D5593" t="s">
        <v>3052</v>
      </c>
      <c r="E5593" t="s">
        <v>3053</v>
      </c>
      <c r="F5593" t="s">
        <v>608</v>
      </c>
      <c r="G5593" t="s">
        <v>609</v>
      </c>
      <c r="H5593" t="s">
        <v>6829</v>
      </c>
      <c r="I5593">
        <v>214</v>
      </c>
      <c r="J5593">
        <v>0</v>
      </c>
      <c r="K5593">
        <v>0</v>
      </c>
      <c r="L5593">
        <v>0</v>
      </c>
      <c r="M5593">
        <v>206</v>
      </c>
      <c r="N5593">
        <v>0</v>
      </c>
      <c r="O5593">
        <v>8</v>
      </c>
    </row>
    <row r="5594" spans="1:15" x14ac:dyDescent="0.25">
      <c r="A5594" t="s">
        <v>1087</v>
      </c>
      <c r="B5594" t="s">
        <v>2979</v>
      </c>
      <c r="C5594" t="s">
        <v>923</v>
      </c>
      <c r="D5594" t="s">
        <v>3063</v>
      </c>
      <c r="E5594" t="s">
        <v>3053</v>
      </c>
      <c r="F5594" t="s">
        <v>608</v>
      </c>
      <c r="G5594" t="s">
        <v>609</v>
      </c>
      <c r="H5594" t="s">
        <v>6830</v>
      </c>
      <c r="I5594">
        <v>231</v>
      </c>
      <c r="J5594">
        <v>218</v>
      </c>
      <c r="K5594">
        <v>0</v>
      </c>
      <c r="L5594">
        <v>13</v>
      </c>
      <c r="M5594">
        <v>0</v>
      </c>
      <c r="N5594">
        <v>55</v>
      </c>
      <c r="O5594">
        <v>0</v>
      </c>
    </row>
    <row r="5595" spans="1:15" x14ac:dyDescent="0.25">
      <c r="A5595" t="s">
        <v>1206</v>
      </c>
      <c r="B5595" t="s">
        <v>2950</v>
      </c>
      <c r="C5595" t="s">
        <v>923</v>
      </c>
      <c r="D5595" t="s">
        <v>3063</v>
      </c>
      <c r="E5595" t="s">
        <v>3053</v>
      </c>
      <c r="F5595" t="s">
        <v>608</v>
      </c>
      <c r="G5595" t="s">
        <v>609</v>
      </c>
      <c r="H5595" t="s">
        <v>6831</v>
      </c>
      <c r="I5595">
        <v>26</v>
      </c>
      <c r="J5595">
        <v>19</v>
      </c>
      <c r="K5595">
        <v>7</v>
      </c>
      <c r="L5595">
        <v>0</v>
      </c>
      <c r="M5595">
        <v>0</v>
      </c>
      <c r="N5595">
        <v>26</v>
      </c>
      <c r="O5595">
        <v>0</v>
      </c>
    </row>
    <row r="5596" spans="1:15" x14ac:dyDescent="0.25">
      <c r="A5596" t="s">
        <v>1207</v>
      </c>
      <c r="B5596" t="s">
        <v>2031</v>
      </c>
      <c r="C5596" t="s">
        <v>923</v>
      </c>
      <c r="D5596" t="s">
        <v>3063</v>
      </c>
      <c r="E5596" t="s">
        <v>3053</v>
      </c>
      <c r="F5596" t="s">
        <v>608</v>
      </c>
      <c r="G5596" t="s">
        <v>609</v>
      </c>
      <c r="H5596" t="s">
        <v>6832</v>
      </c>
      <c r="I5596">
        <v>2</v>
      </c>
      <c r="J5596">
        <v>2</v>
      </c>
      <c r="K5596">
        <v>0</v>
      </c>
      <c r="L5596">
        <v>0</v>
      </c>
      <c r="M5596">
        <v>0</v>
      </c>
      <c r="N5596">
        <v>0</v>
      </c>
      <c r="O5596">
        <v>0</v>
      </c>
    </row>
    <row r="5597" spans="1:15" x14ac:dyDescent="0.25">
      <c r="A5597" t="s">
        <v>1219</v>
      </c>
      <c r="B5597" t="s">
        <v>2569</v>
      </c>
      <c r="C5597" t="s">
        <v>923</v>
      </c>
      <c r="D5597" t="s">
        <v>3063</v>
      </c>
      <c r="E5597" t="s">
        <v>3053</v>
      </c>
      <c r="F5597" t="s">
        <v>608</v>
      </c>
      <c r="G5597" t="s">
        <v>609</v>
      </c>
      <c r="H5597" t="s">
        <v>6833</v>
      </c>
      <c r="I5597">
        <v>6</v>
      </c>
      <c r="J5597">
        <v>6</v>
      </c>
      <c r="K5597">
        <v>0</v>
      </c>
      <c r="L5597">
        <v>0</v>
      </c>
      <c r="M5597">
        <v>0</v>
      </c>
      <c r="N5597">
        <v>0</v>
      </c>
      <c r="O5597">
        <v>0</v>
      </c>
    </row>
    <row r="5598" spans="1:15" x14ac:dyDescent="0.25">
      <c r="A5598" t="s">
        <v>933</v>
      </c>
      <c r="B5598" t="s">
        <v>2106</v>
      </c>
      <c r="C5598" t="s">
        <v>927</v>
      </c>
      <c r="D5598" t="s">
        <v>3052</v>
      </c>
      <c r="E5598" t="s">
        <v>3053</v>
      </c>
      <c r="F5598" t="s">
        <v>608</v>
      </c>
      <c r="G5598" t="s">
        <v>609</v>
      </c>
      <c r="H5598" t="s">
        <v>6834</v>
      </c>
      <c r="I5598">
        <v>431</v>
      </c>
      <c r="J5598">
        <v>283</v>
      </c>
      <c r="K5598">
        <v>0</v>
      </c>
      <c r="L5598">
        <v>0</v>
      </c>
      <c r="M5598">
        <v>0</v>
      </c>
      <c r="N5598">
        <v>7</v>
      </c>
      <c r="O5598">
        <v>148</v>
      </c>
    </row>
    <row r="5599" spans="1:15" x14ac:dyDescent="0.25">
      <c r="A5599" t="s">
        <v>1227</v>
      </c>
      <c r="B5599" t="s">
        <v>2023</v>
      </c>
      <c r="C5599" t="s">
        <v>923</v>
      </c>
      <c r="D5599" t="s">
        <v>3063</v>
      </c>
      <c r="E5599" t="s">
        <v>3053</v>
      </c>
      <c r="F5599" t="s">
        <v>608</v>
      </c>
      <c r="G5599" t="s">
        <v>609</v>
      </c>
      <c r="H5599" t="s">
        <v>12216</v>
      </c>
      <c r="I5599">
        <v>5</v>
      </c>
      <c r="J5599">
        <v>3</v>
      </c>
      <c r="K5599">
        <v>2</v>
      </c>
      <c r="L5599">
        <v>0</v>
      </c>
      <c r="M5599">
        <v>0</v>
      </c>
      <c r="N5599">
        <v>0</v>
      </c>
      <c r="O5599">
        <v>0</v>
      </c>
    </row>
    <row r="5600" spans="1:15" x14ac:dyDescent="0.25">
      <c r="A5600" t="s">
        <v>1115</v>
      </c>
      <c r="B5600" t="s">
        <v>2677</v>
      </c>
      <c r="C5600" t="s">
        <v>927</v>
      </c>
      <c r="D5600" t="s">
        <v>3052</v>
      </c>
      <c r="E5600" t="s">
        <v>3053</v>
      </c>
      <c r="F5600" t="s">
        <v>608</v>
      </c>
      <c r="G5600" t="s">
        <v>609</v>
      </c>
      <c r="H5600" t="s">
        <v>6835</v>
      </c>
      <c r="I5600">
        <v>155</v>
      </c>
      <c r="J5600">
        <v>53</v>
      </c>
      <c r="K5600">
        <v>1</v>
      </c>
      <c r="L5600">
        <v>0</v>
      </c>
      <c r="M5600">
        <v>0</v>
      </c>
      <c r="N5600">
        <v>0</v>
      </c>
      <c r="O5600">
        <v>101</v>
      </c>
    </row>
    <row r="5601" spans="1:15" x14ac:dyDescent="0.25">
      <c r="A5601" t="s">
        <v>10638</v>
      </c>
      <c r="B5601" t="s">
        <v>2057</v>
      </c>
      <c r="C5601" t="s">
        <v>927</v>
      </c>
      <c r="D5601" t="s">
        <v>3052</v>
      </c>
      <c r="E5601" t="s">
        <v>3053</v>
      </c>
      <c r="F5601" t="s">
        <v>608</v>
      </c>
      <c r="G5601" t="s">
        <v>609</v>
      </c>
      <c r="H5601" t="s">
        <v>11165</v>
      </c>
      <c r="I5601">
        <v>11</v>
      </c>
      <c r="J5601">
        <v>0</v>
      </c>
      <c r="K5601">
        <v>0</v>
      </c>
      <c r="L5601">
        <v>11</v>
      </c>
      <c r="M5601">
        <v>0</v>
      </c>
      <c r="N5601">
        <v>0</v>
      </c>
      <c r="O5601">
        <v>0</v>
      </c>
    </row>
    <row r="5602" spans="1:15" x14ac:dyDescent="0.25">
      <c r="A5602" t="s">
        <v>1250</v>
      </c>
      <c r="B5602" t="s">
        <v>2012</v>
      </c>
      <c r="C5602" t="s">
        <v>923</v>
      </c>
      <c r="D5602" t="s">
        <v>3063</v>
      </c>
      <c r="E5602" t="s">
        <v>3053</v>
      </c>
      <c r="F5602" t="s">
        <v>608</v>
      </c>
      <c r="G5602" t="s">
        <v>609</v>
      </c>
      <c r="H5602" t="s">
        <v>6836</v>
      </c>
      <c r="I5602">
        <v>82</v>
      </c>
      <c r="J5602">
        <v>82</v>
      </c>
      <c r="K5602">
        <v>0</v>
      </c>
      <c r="L5602">
        <v>0</v>
      </c>
      <c r="M5602">
        <v>0</v>
      </c>
      <c r="N5602">
        <v>0</v>
      </c>
      <c r="O5602">
        <v>0</v>
      </c>
    </row>
    <row r="5603" spans="1:15" x14ac:dyDescent="0.25">
      <c r="A5603" t="s">
        <v>1008</v>
      </c>
      <c r="B5603" t="s">
        <v>2928</v>
      </c>
      <c r="C5603" t="s">
        <v>927</v>
      </c>
      <c r="D5603" t="s">
        <v>3052</v>
      </c>
      <c r="E5603" t="s">
        <v>3053</v>
      </c>
      <c r="F5603" t="s">
        <v>608</v>
      </c>
      <c r="G5603" t="s">
        <v>609</v>
      </c>
      <c r="H5603" t="s">
        <v>6837</v>
      </c>
      <c r="I5603">
        <v>25</v>
      </c>
      <c r="J5603">
        <v>24</v>
      </c>
      <c r="K5603">
        <v>0</v>
      </c>
      <c r="L5603">
        <v>1</v>
      </c>
      <c r="M5603">
        <v>0</v>
      </c>
      <c r="N5603">
        <v>0</v>
      </c>
      <c r="O5603">
        <v>0</v>
      </c>
    </row>
    <row r="5604" spans="1:15" x14ac:dyDescent="0.25">
      <c r="A5604" t="s">
        <v>937</v>
      </c>
      <c r="B5604" t="s">
        <v>1962</v>
      </c>
      <c r="C5604" t="s">
        <v>927</v>
      </c>
      <c r="D5604" t="s">
        <v>3052</v>
      </c>
      <c r="E5604" t="s">
        <v>3053</v>
      </c>
      <c r="F5604" t="s">
        <v>608</v>
      </c>
      <c r="G5604" t="s">
        <v>609</v>
      </c>
      <c r="H5604" t="s">
        <v>6838</v>
      </c>
      <c r="I5604">
        <v>13</v>
      </c>
      <c r="J5604">
        <v>0</v>
      </c>
      <c r="K5604">
        <v>0</v>
      </c>
      <c r="L5604">
        <v>0</v>
      </c>
      <c r="M5604">
        <v>0</v>
      </c>
      <c r="N5604">
        <v>0</v>
      </c>
      <c r="O5604">
        <v>13</v>
      </c>
    </row>
    <row r="5605" spans="1:15" x14ac:dyDescent="0.25">
      <c r="A5605" t="s">
        <v>938</v>
      </c>
      <c r="B5605" t="s">
        <v>2791</v>
      </c>
      <c r="C5605" t="s">
        <v>927</v>
      </c>
      <c r="D5605" t="s">
        <v>3052</v>
      </c>
      <c r="E5605" t="s">
        <v>3053</v>
      </c>
      <c r="F5605" t="s">
        <v>608</v>
      </c>
      <c r="G5605" t="s">
        <v>609</v>
      </c>
      <c r="H5605" t="s">
        <v>6840</v>
      </c>
      <c r="I5605">
        <v>12</v>
      </c>
      <c r="J5605">
        <v>12</v>
      </c>
      <c r="K5605">
        <v>0</v>
      </c>
      <c r="L5605">
        <v>0</v>
      </c>
      <c r="M5605">
        <v>0</v>
      </c>
      <c r="N5605">
        <v>1</v>
      </c>
      <c r="O5605">
        <v>0</v>
      </c>
    </row>
    <row r="5606" spans="1:15" x14ac:dyDescent="0.25">
      <c r="A5606" t="s">
        <v>1269</v>
      </c>
      <c r="B5606" t="s">
        <v>2499</v>
      </c>
      <c r="C5606" t="s">
        <v>923</v>
      </c>
      <c r="D5606" t="s">
        <v>3063</v>
      </c>
      <c r="E5606" t="s">
        <v>3053</v>
      </c>
      <c r="F5606" t="s">
        <v>608</v>
      </c>
      <c r="G5606" t="s">
        <v>609</v>
      </c>
      <c r="H5606" t="s">
        <v>6839</v>
      </c>
      <c r="I5606">
        <v>39</v>
      </c>
      <c r="J5606">
        <v>24</v>
      </c>
      <c r="K5606">
        <v>0</v>
      </c>
      <c r="L5606">
        <v>15</v>
      </c>
      <c r="M5606">
        <v>0</v>
      </c>
      <c r="N5606">
        <v>0</v>
      </c>
      <c r="O5606">
        <v>0</v>
      </c>
    </row>
    <row r="5607" spans="1:15" x14ac:dyDescent="0.25">
      <c r="A5607" t="s">
        <v>1274</v>
      </c>
      <c r="B5607" t="s">
        <v>2159</v>
      </c>
      <c r="C5607" t="s">
        <v>923</v>
      </c>
      <c r="D5607" t="s">
        <v>3063</v>
      </c>
      <c r="E5607" t="s">
        <v>3053</v>
      </c>
      <c r="F5607" t="s">
        <v>608</v>
      </c>
      <c r="G5607" t="s">
        <v>609</v>
      </c>
      <c r="H5607" t="s">
        <v>12217</v>
      </c>
      <c r="I5607">
        <v>8</v>
      </c>
      <c r="J5607">
        <v>0</v>
      </c>
      <c r="K5607">
        <v>0</v>
      </c>
      <c r="L5607">
        <v>0</v>
      </c>
      <c r="M5607">
        <v>8</v>
      </c>
      <c r="N5607">
        <v>0</v>
      </c>
      <c r="O5607">
        <v>0</v>
      </c>
    </row>
    <row r="5608" spans="1:15" x14ac:dyDescent="0.25">
      <c r="A5608" t="s">
        <v>1282</v>
      </c>
      <c r="B5608" t="s">
        <v>2028</v>
      </c>
      <c r="C5608" t="s">
        <v>923</v>
      </c>
      <c r="D5608" t="s">
        <v>3063</v>
      </c>
      <c r="E5608" t="s">
        <v>3053</v>
      </c>
      <c r="F5608" t="s">
        <v>608</v>
      </c>
      <c r="G5608" t="s">
        <v>609</v>
      </c>
      <c r="H5608" t="s">
        <v>6841</v>
      </c>
      <c r="I5608">
        <v>11</v>
      </c>
      <c r="J5608">
        <v>11</v>
      </c>
      <c r="K5608">
        <v>0</v>
      </c>
      <c r="L5608">
        <v>0</v>
      </c>
      <c r="M5608">
        <v>0</v>
      </c>
      <c r="N5608">
        <v>0</v>
      </c>
      <c r="O5608">
        <v>0</v>
      </c>
    </row>
    <row r="5609" spans="1:15" x14ac:dyDescent="0.25">
      <c r="A5609" t="s">
        <v>1126</v>
      </c>
      <c r="B5609" t="s">
        <v>2130</v>
      </c>
      <c r="C5609" t="s">
        <v>927</v>
      </c>
      <c r="D5609" t="s">
        <v>3052</v>
      </c>
      <c r="E5609" t="s">
        <v>3053</v>
      </c>
      <c r="F5609" t="s">
        <v>608</v>
      </c>
      <c r="G5609" t="s">
        <v>609</v>
      </c>
      <c r="H5609" t="s">
        <v>14949</v>
      </c>
      <c r="I5609">
        <v>207</v>
      </c>
      <c r="J5609">
        <v>120</v>
      </c>
      <c r="K5609">
        <v>0</v>
      </c>
      <c r="L5609">
        <v>0</v>
      </c>
      <c r="M5609">
        <v>0</v>
      </c>
      <c r="N5609">
        <v>0</v>
      </c>
      <c r="O5609">
        <v>87</v>
      </c>
    </row>
    <row r="5610" spans="1:15" x14ac:dyDescent="0.25">
      <c r="A5610" t="s">
        <v>1127</v>
      </c>
      <c r="B5610" t="s">
        <v>3034</v>
      </c>
      <c r="C5610" t="s">
        <v>927</v>
      </c>
      <c r="D5610" t="s">
        <v>3052</v>
      </c>
      <c r="E5610" t="s">
        <v>3053</v>
      </c>
      <c r="F5610" t="s">
        <v>608</v>
      </c>
      <c r="G5610" t="s">
        <v>609</v>
      </c>
      <c r="H5610" t="s">
        <v>6842</v>
      </c>
      <c r="I5610">
        <v>597</v>
      </c>
      <c r="J5610">
        <v>567</v>
      </c>
      <c r="K5610">
        <v>0</v>
      </c>
      <c r="L5610">
        <v>30</v>
      </c>
      <c r="M5610">
        <v>0</v>
      </c>
      <c r="N5610">
        <v>1</v>
      </c>
      <c r="O5610">
        <v>0</v>
      </c>
    </row>
    <row r="5611" spans="1:15" x14ac:dyDescent="0.25">
      <c r="A5611" t="s">
        <v>1025</v>
      </c>
      <c r="B5611" t="s">
        <v>2893</v>
      </c>
      <c r="C5611" t="s">
        <v>927</v>
      </c>
      <c r="D5611" t="s">
        <v>3052</v>
      </c>
      <c r="E5611" t="s">
        <v>3053</v>
      </c>
      <c r="F5611" t="s">
        <v>608</v>
      </c>
      <c r="G5611" t="s">
        <v>609</v>
      </c>
      <c r="H5611" t="s">
        <v>6843</v>
      </c>
      <c r="I5611">
        <v>7936</v>
      </c>
      <c r="J5611">
        <v>6538</v>
      </c>
      <c r="K5611">
        <v>0</v>
      </c>
      <c r="L5611">
        <v>288</v>
      </c>
      <c r="M5611">
        <v>160</v>
      </c>
      <c r="N5611">
        <v>51</v>
      </c>
      <c r="O5611">
        <v>950</v>
      </c>
    </row>
    <row r="5612" spans="1:15" x14ac:dyDescent="0.25">
      <c r="A5612" t="s">
        <v>1292</v>
      </c>
      <c r="B5612" t="s">
        <v>2434</v>
      </c>
      <c r="C5612" t="s">
        <v>923</v>
      </c>
      <c r="D5612" t="s">
        <v>3063</v>
      </c>
      <c r="E5612" t="s">
        <v>3053</v>
      </c>
      <c r="F5612" t="s">
        <v>608</v>
      </c>
      <c r="G5612" t="s">
        <v>609</v>
      </c>
      <c r="H5612" t="s">
        <v>6844</v>
      </c>
      <c r="I5612">
        <v>64</v>
      </c>
      <c r="J5612">
        <v>64</v>
      </c>
      <c r="K5612">
        <v>0</v>
      </c>
      <c r="L5612">
        <v>0</v>
      </c>
      <c r="M5612">
        <v>0</v>
      </c>
      <c r="N5612">
        <v>0</v>
      </c>
      <c r="O5612">
        <v>0</v>
      </c>
    </row>
    <row r="5613" spans="1:15" x14ac:dyDescent="0.25">
      <c r="A5613" t="s">
        <v>1293</v>
      </c>
      <c r="B5613" t="s">
        <v>2910</v>
      </c>
      <c r="C5613" t="s">
        <v>927</v>
      </c>
      <c r="D5613" t="s">
        <v>3052</v>
      </c>
      <c r="E5613" t="s">
        <v>3053</v>
      </c>
      <c r="F5613" t="s">
        <v>608</v>
      </c>
      <c r="G5613" t="s">
        <v>609</v>
      </c>
      <c r="H5613" t="s">
        <v>6845</v>
      </c>
      <c r="I5613">
        <v>186</v>
      </c>
      <c r="J5613">
        <v>26</v>
      </c>
      <c r="K5613">
        <v>0</v>
      </c>
      <c r="L5613">
        <v>160</v>
      </c>
      <c r="M5613">
        <v>0</v>
      </c>
      <c r="N5613">
        <v>3</v>
      </c>
      <c r="O5613">
        <v>0</v>
      </c>
    </row>
    <row r="5614" spans="1:15" x14ac:dyDescent="0.25">
      <c r="A5614" t="s">
        <v>943</v>
      </c>
      <c r="B5614" t="s">
        <v>2694</v>
      </c>
      <c r="C5614" t="s">
        <v>927</v>
      </c>
      <c r="D5614" t="s">
        <v>3052</v>
      </c>
      <c r="E5614" t="s">
        <v>3053</v>
      </c>
      <c r="F5614" t="s">
        <v>608</v>
      </c>
      <c r="G5614" t="s">
        <v>609</v>
      </c>
      <c r="H5614" t="s">
        <v>6846</v>
      </c>
      <c r="I5614">
        <v>149</v>
      </c>
      <c r="J5614">
        <v>145</v>
      </c>
      <c r="K5614">
        <v>0</v>
      </c>
      <c r="L5614">
        <v>0</v>
      </c>
      <c r="M5614">
        <v>0</v>
      </c>
      <c r="N5614">
        <v>0</v>
      </c>
      <c r="O5614">
        <v>4</v>
      </c>
    </row>
    <row r="5615" spans="1:15" x14ac:dyDescent="0.25">
      <c r="A5615" t="s">
        <v>1131</v>
      </c>
      <c r="B5615" t="s">
        <v>2637</v>
      </c>
      <c r="C5615" t="s">
        <v>927</v>
      </c>
      <c r="D5615" t="s">
        <v>3052</v>
      </c>
      <c r="E5615" t="s">
        <v>3053</v>
      </c>
      <c r="F5615" t="s">
        <v>608</v>
      </c>
      <c r="G5615" t="s">
        <v>609</v>
      </c>
      <c r="H5615" t="s">
        <v>12218</v>
      </c>
      <c r="I5615">
        <v>6</v>
      </c>
      <c r="J5615">
        <v>0</v>
      </c>
      <c r="K5615">
        <v>0</v>
      </c>
      <c r="L5615">
        <v>5</v>
      </c>
      <c r="M5615">
        <v>0</v>
      </c>
      <c r="N5615">
        <v>0</v>
      </c>
      <c r="O5615">
        <v>1</v>
      </c>
    </row>
    <row r="5616" spans="1:15" x14ac:dyDescent="0.25">
      <c r="A5616" t="s">
        <v>1307</v>
      </c>
      <c r="B5616" t="s">
        <v>2982</v>
      </c>
      <c r="C5616" t="s">
        <v>927</v>
      </c>
      <c r="D5616" t="s">
        <v>3052</v>
      </c>
      <c r="E5616" t="s">
        <v>3053</v>
      </c>
      <c r="F5616" t="s">
        <v>608</v>
      </c>
      <c r="G5616" t="s">
        <v>609</v>
      </c>
      <c r="H5616" t="s">
        <v>6847</v>
      </c>
      <c r="I5616">
        <v>54</v>
      </c>
      <c r="J5616">
        <v>54</v>
      </c>
      <c r="K5616">
        <v>0</v>
      </c>
      <c r="L5616">
        <v>0</v>
      </c>
      <c r="M5616">
        <v>0</v>
      </c>
      <c r="N5616">
        <v>0</v>
      </c>
      <c r="O5616">
        <v>0</v>
      </c>
    </row>
    <row r="5617" spans="1:15" x14ac:dyDescent="0.25">
      <c r="A5617" t="s">
        <v>1134</v>
      </c>
      <c r="B5617" t="s">
        <v>2118</v>
      </c>
      <c r="C5617" t="s">
        <v>927</v>
      </c>
      <c r="D5617" t="s">
        <v>3052</v>
      </c>
      <c r="E5617" t="s">
        <v>3053</v>
      </c>
      <c r="F5617" t="s">
        <v>608</v>
      </c>
      <c r="G5617" t="s">
        <v>609</v>
      </c>
      <c r="H5617" t="s">
        <v>6848</v>
      </c>
      <c r="I5617">
        <v>1975</v>
      </c>
      <c r="J5617">
        <v>1499</v>
      </c>
      <c r="K5617">
        <v>0</v>
      </c>
      <c r="L5617">
        <v>116</v>
      </c>
      <c r="M5617">
        <v>194</v>
      </c>
      <c r="N5617">
        <v>1</v>
      </c>
      <c r="O5617">
        <v>166</v>
      </c>
    </row>
    <row r="5618" spans="1:15" x14ac:dyDescent="0.25">
      <c r="A5618" t="s">
        <v>949</v>
      </c>
      <c r="B5618" t="s">
        <v>3035</v>
      </c>
      <c r="C5618" t="s">
        <v>927</v>
      </c>
      <c r="D5618" t="s">
        <v>3052</v>
      </c>
      <c r="E5618" t="s">
        <v>3053</v>
      </c>
      <c r="F5618" t="s">
        <v>608</v>
      </c>
      <c r="G5618" t="s">
        <v>609</v>
      </c>
      <c r="H5618" t="s">
        <v>6849</v>
      </c>
      <c r="I5618">
        <v>701</v>
      </c>
      <c r="J5618">
        <v>0</v>
      </c>
      <c r="K5618">
        <v>0</v>
      </c>
      <c r="L5618">
        <v>0</v>
      </c>
      <c r="M5618">
        <v>0</v>
      </c>
      <c r="N5618">
        <v>0</v>
      </c>
      <c r="O5618">
        <v>701</v>
      </c>
    </row>
    <row r="5619" spans="1:15" x14ac:dyDescent="0.25">
      <c r="A5619" t="s">
        <v>1136</v>
      </c>
      <c r="B5619" t="s">
        <v>1942</v>
      </c>
      <c r="C5619" t="s">
        <v>923</v>
      </c>
      <c r="D5619" t="s">
        <v>3063</v>
      </c>
      <c r="E5619" t="s">
        <v>3053</v>
      </c>
      <c r="F5619" t="s">
        <v>608</v>
      </c>
      <c r="G5619" t="s">
        <v>609</v>
      </c>
      <c r="H5619" t="s">
        <v>6850</v>
      </c>
      <c r="I5619">
        <v>3</v>
      </c>
      <c r="J5619">
        <v>3</v>
      </c>
      <c r="K5619">
        <v>0</v>
      </c>
      <c r="L5619">
        <v>0</v>
      </c>
      <c r="M5619">
        <v>0</v>
      </c>
      <c r="N5619">
        <v>0</v>
      </c>
      <c r="O5619">
        <v>0</v>
      </c>
    </row>
    <row r="5620" spans="1:15" x14ac:dyDescent="0.25">
      <c r="A5620" t="s">
        <v>1041</v>
      </c>
      <c r="B5620" t="s">
        <v>2826</v>
      </c>
      <c r="C5620" t="s">
        <v>927</v>
      </c>
      <c r="D5620" t="s">
        <v>3052</v>
      </c>
      <c r="E5620" t="s">
        <v>3053</v>
      </c>
      <c r="F5620" t="s">
        <v>608</v>
      </c>
      <c r="G5620" t="s">
        <v>609</v>
      </c>
      <c r="H5620" t="s">
        <v>11166</v>
      </c>
      <c r="I5620">
        <v>2</v>
      </c>
      <c r="J5620">
        <v>0</v>
      </c>
      <c r="K5620">
        <v>0</v>
      </c>
      <c r="L5620">
        <v>0</v>
      </c>
      <c r="M5620">
        <v>0</v>
      </c>
      <c r="N5620">
        <v>0</v>
      </c>
      <c r="O5620">
        <v>2</v>
      </c>
    </row>
    <row r="5621" spans="1:15" x14ac:dyDescent="0.25">
      <c r="A5621" t="s">
        <v>1043</v>
      </c>
      <c r="B5621" t="s">
        <v>2090</v>
      </c>
      <c r="C5621" t="s">
        <v>927</v>
      </c>
      <c r="D5621" t="s">
        <v>3052</v>
      </c>
      <c r="E5621" t="s">
        <v>3053</v>
      </c>
      <c r="F5621" t="s">
        <v>608</v>
      </c>
      <c r="G5621" t="s">
        <v>609</v>
      </c>
      <c r="H5621" t="s">
        <v>6851</v>
      </c>
      <c r="I5621">
        <v>248</v>
      </c>
      <c r="J5621">
        <v>187</v>
      </c>
      <c r="K5621">
        <v>0</v>
      </c>
      <c r="L5621">
        <v>3</v>
      </c>
      <c r="M5621">
        <v>49</v>
      </c>
      <c r="N5621">
        <v>0</v>
      </c>
      <c r="O5621">
        <v>9</v>
      </c>
    </row>
    <row r="5622" spans="1:15" x14ac:dyDescent="0.25">
      <c r="A5622" t="s">
        <v>1146</v>
      </c>
      <c r="B5622" t="s">
        <v>2117</v>
      </c>
      <c r="C5622" t="s">
        <v>927</v>
      </c>
      <c r="D5622" t="s">
        <v>3052</v>
      </c>
      <c r="E5622" t="s">
        <v>3053</v>
      </c>
      <c r="F5622" t="s">
        <v>608</v>
      </c>
      <c r="G5622" t="s">
        <v>609</v>
      </c>
      <c r="H5622" t="s">
        <v>6852</v>
      </c>
      <c r="I5622">
        <v>1585</v>
      </c>
      <c r="J5622">
        <v>1235</v>
      </c>
      <c r="K5622">
        <v>0</v>
      </c>
      <c r="L5622">
        <v>48</v>
      </c>
      <c r="M5622">
        <v>55</v>
      </c>
      <c r="N5622">
        <v>0</v>
      </c>
      <c r="O5622">
        <v>247</v>
      </c>
    </row>
    <row r="5623" spans="1:15" x14ac:dyDescent="0.25">
      <c r="A5623" t="s">
        <v>1320</v>
      </c>
      <c r="B5623" t="s">
        <v>2937</v>
      </c>
      <c r="C5623" t="s">
        <v>923</v>
      </c>
      <c r="D5623" t="s">
        <v>3063</v>
      </c>
      <c r="E5623" t="s">
        <v>3053</v>
      </c>
      <c r="F5623" t="s">
        <v>608</v>
      </c>
      <c r="G5623" t="s">
        <v>609</v>
      </c>
      <c r="H5623" t="s">
        <v>12219</v>
      </c>
      <c r="I5623">
        <v>21</v>
      </c>
      <c r="J5623">
        <v>0</v>
      </c>
      <c r="K5623">
        <v>0</v>
      </c>
      <c r="L5623">
        <v>21</v>
      </c>
      <c r="M5623">
        <v>0</v>
      </c>
      <c r="N5623">
        <v>0</v>
      </c>
      <c r="O5623">
        <v>0</v>
      </c>
    </row>
    <row r="5624" spans="1:15" x14ac:dyDescent="0.25">
      <c r="A5624" t="s">
        <v>1322</v>
      </c>
      <c r="B5624" t="s">
        <v>2466</v>
      </c>
      <c r="C5624" t="s">
        <v>923</v>
      </c>
      <c r="D5624" t="s">
        <v>3063</v>
      </c>
      <c r="E5624" t="s">
        <v>3053</v>
      </c>
      <c r="F5624" t="s">
        <v>608</v>
      </c>
      <c r="G5624" t="s">
        <v>609</v>
      </c>
      <c r="H5624" t="s">
        <v>6853</v>
      </c>
      <c r="I5624">
        <v>5</v>
      </c>
      <c r="J5624">
        <v>0</v>
      </c>
      <c r="K5624">
        <v>5</v>
      </c>
      <c r="L5624">
        <v>0</v>
      </c>
      <c r="M5624">
        <v>0</v>
      </c>
      <c r="N5624">
        <v>0</v>
      </c>
      <c r="O5624">
        <v>0</v>
      </c>
    </row>
    <row r="5625" spans="1:15" x14ac:dyDescent="0.25">
      <c r="A5625" t="s">
        <v>951</v>
      </c>
      <c r="B5625" t="s">
        <v>2680</v>
      </c>
      <c r="C5625" t="s">
        <v>927</v>
      </c>
      <c r="D5625" t="s">
        <v>3052</v>
      </c>
      <c r="E5625" t="s">
        <v>3053</v>
      </c>
      <c r="F5625" t="s">
        <v>608</v>
      </c>
      <c r="G5625" t="s">
        <v>609</v>
      </c>
      <c r="H5625" t="s">
        <v>6854</v>
      </c>
      <c r="I5625">
        <v>26</v>
      </c>
      <c r="J5625">
        <v>0</v>
      </c>
      <c r="K5625">
        <v>0</v>
      </c>
      <c r="L5625">
        <v>0</v>
      </c>
      <c r="M5625">
        <v>0</v>
      </c>
      <c r="N5625">
        <v>0</v>
      </c>
      <c r="O5625">
        <v>26</v>
      </c>
    </row>
    <row r="5626" spans="1:15" x14ac:dyDescent="0.25">
      <c r="A5626" t="s">
        <v>1048</v>
      </c>
      <c r="B5626" t="s">
        <v>2989</v>
      </c>
      <c r="C5626" t="s">
        <v>927</v>
      </c>
      <c r="D5626" t="s">
        <v>3052</v>
      </c>
      <c r="E5626" t="s">
        <v>3053</v>
      </c>
      <c r="F5626" t="s">
        <v>608</v>
      </c>
      <c r="G5626" t="s">
        <v>609</v>
      </c>
      <c r="H5626" t="s">
        <v>6855</v>
      </c>
      <c r="I5626">
        <v>37</v>
      </c>
      <c r="J5626">
        <v>37</v>
      </c>
      <c r="K5626">
        <v>0</v>
      </c>
      <c r="L5626">
        <v>0</v>
      </c>
      <c r="M5626">
        <v>0</v>
      </c>
      <c r="N5626">
        <v>0</v>
      </c>
      <c r="O5626">
        <v>0</v>
      </c>
    </row>
    <row r="5627" spans="1:15" x14ac:dyDescent="0.25">
      <c r="A5627" t="s">
        <v>9809</v>
      </c>
      <c r="B5627" t="s">
        <v>9869</v>
      </c>
      <c r="C5627" t="s">
        <v>923</v>
      </c>
      <c r="D5627" t="s">
        <v>3063</v>
      </c>
      <c r="E5627" t="s">
        <v>3053</v>
      </c>
      <c r="F5627" t="s">
        <v>608</v>
      </c>
      <c r="G5627" t="s">
        <v>609</v>
      </c>
      <c r="H5627" t="s">
        <v>10316</v>
      </c>
      <c r="I5627">
        <v>235</v>
      </c>
      <c r="J5627">
        <v>235</v>
      </c>
      <c r="K5627">
        <v>0</v>
      </c>
      <c r="L5627">
        <v>0</v>
      </c>
      <c r="M5627">
        <v>0</v>
      </c>
      <c r="N5627">
        <v>0</v>
      </c>
      <c r="O5627">
        <v>0</v>
      </c>
    </row>
    <row r="5628" spans="1:15" x14ac:dyDescent="0.25">
      <c r="A5628" t="s">
        <v>9788</v>
      </c>
      <c r="B5628" t="s">
        <v>9871</v>
      </c>
      <c r="C5628" t="s">
        <v>927</v>
      </c>
      <c r="D5628" t="s">
        <v>3052</v>
      </c>
      <c r="E5628" t="s">
        <v>3053</v>
      </c>
      <c r="F5628" t="s">
        <v>608</v>
      </c>
      <c r="G5628" t="s">
        <v>609</v>
      </c>
      <c r="H5628" t="s">
        <v>10365</v>
      </c>
      <c r="I5628">
        <v>11</v>
      </c>
      <c r="J5628">
        <v>11</v>
      </c>
      <c r="K5628">
        <v>0</v>
      </c>
      <c r="L5628">
        <v>0</v>
      </c>
      <c r="M5628">
        <v>0</v>
      </c>
      <c r="N5628">
        <v>0</v>
      </c>
      <c r="O5628">
        <v>0</v>
      </c>
    </row>
    <row r="5629" spans="1:15" x14ac:dyDescent="0.25">
      <c r="A5629" t="s">
        <v>1057</v>
      </c>
      <c r="B5629" t="s">
        <v>1972</v>
      </c>
      <c r="C5629" t="s">
        <v>927</v>
      </c>
      <c r="D5629" t="s">
        <v>3052</v>
      </c>
      <c r="E5629" t="s">
        <v>3053</v>
      </c>
      <c r="F5629" t="s">
        <v>608</v>
      </c>
      <c r="G5629" t="s">
        <v>609</v>
      </c>
      <c r="H5629" t="s">
        <v>6856</v>
      </c>
      <c r="I5629">
        <v>40</v>
      </c>
      <c r="J5629">
        <v>33</v>
      </c>
      <c r="K5629">
        <v>0</v>
      </c>
      <c r="L5629">
        <v>0</v>
      </c>
      <c r="M5629">
        <v>0</v>
      </c>
      <c r="N5629">
        <v>0</v>
      </c>
      <c r="O5629">
        <v>7</v>
      </c>
    </row>
    <row r="5630" spans="1:15" x14ac:dyDescent="0.25">
      <c r="A5630" t="s">
        <v>955</v>
      </c>
      <c r="B5630" t="s">
        <v>2660</v>
      </c>
      <c r="C5630" t="s">
        <v>927</v>
      </c>
      <c r="D5630" t="s">
        <v>3052</v>
      </c>
      <c r="E5630" t="s">
        <v>3053</v>
      </c>
      <c r="F5630" t="s">
        <v>608</v>
      </c>
      <c r="G5630" t="s">
        <v>609</v>
      </c>
      <c r="H5630" t="s">
        <v>6857</v>
      </c>
      <c r="I5630">
        <v>131</v>
      </c>
      <c r="J5630">
        <v>44</v>
      </c>
      <c r="K5630">
        <v>0</v>
      </c>
      <c r="L5630">
        <v>12</v>
      </c>
      <c r="M5630">
        <v>74</v>
      </c>
      <c r="N5630">
        <v>0</v>
      </c>
      <c r="O5630">
        <v>1</v>
      </c>
    </row>
    <row r="5631" spans="1:15" x14ac:dyDescent="0.25">
      <c r="A5631" t="s">
        <v>11663</v>
      </c>
      <c r="B5631" t="s">
        <v>11768</v>
      </c>
      <c r="C5631" t="s">
        <v>927</v>
      </c>
      <c r="D5631" t="s">
        <v>3052</v>
      </c>
      <c r="E5631" t="s">
        <v>3053</v>
      </c>
      <c r="F5631" t="s">
        <v>608</v>
      </c>
      <c r="G5631" t="s">
        <v>609</v>
      </c>
      <c r="H5631" t="s">
        <v>12220</v>
      </c>
      <c r="I5631">
        <v>569</v>
      </c>
      <c r="J5631">
        <v>412</v>
      </c>
      <c r="K5631">
        <v>0</v>
      </c>
      <c r="L5631">
        <v>0</v>
      </c>
      <c r="M5631">
        <v>101</v>
      </c>
      <c r="N5631">
        <v>2</v>
      </c>
      <c r="O5631">
        <v>56</v>
      </c>
    </row>
    <row r="5632" spans="1:15" x14ac:dyDescent="0.25">
      <c r="A5632" t="s">
        <v>14380</v>
      </c>
      <c r="B5632" t="s">
        <v>2074</v>
      </c>
      <c r="C5632" t="s">
        <v>927</v>
      </c>
      <c r="D5632" t="s">
        <v>3052</v>
      </c>
      <c r="E5632" t="s">
        <v>3053</v>
      </c>
      <c r="F5632" t="s">
        <v>608</v>
      </c>
      <c r="G5632" t="s">
        <v>609</v>
      </c>
      <c r="H5632" t="s">
        <v>14950</v>
      </c>
      <c r="I5632">
        <v>318</v>
      </c>
      <c r="J5632">
        <v>298</v>
      </c>
      <c r="K5632">
        <v>0</v>
      </c>
      <c r="L5632">
        <v>0</v>
      </c>
      <c r="M5632">
        <v>0</v>
      </c>
      <c r="N5632">
        <v>10</v>
      </c>
      <c r="O5632">
        <v>20</v>
      </c>
    </row>
    <row r="5633" spans="1:15" x14ac:dyDescent="0.25">
      <c r="A5633" t="s">
        <v>14374</v>
      </c>
      <c r="B5633" t="s">
        <v>1943</v>
      </c>
      <c r="C5633" t="s">
        <v>927</v>
      </c>
      <c r="D5633" t="s">
        <v>3052</v>
      </c>
      <c r="E5633" t="s">
        <v>3053</v>
      </c>
      <c r="F5633" t="s">
        <v>608</v>
      </c>
      <c r="G5633" t="s">
        <v>609</v>
      </c>
      <c r="H5633" t="s">
        <v>14951</v>
      </c>
      <c r="I5633">
        <v>11</v>
      </c>
      <c r="J5633">
        <v>0</v>
      </c>
      <c r="K5633">
        <v>0</v>
      </c>
      <c r="L5633">
        <v>0</v>
      </c>
      <c r="M5633">
        <v>0</v>
      </c>
      <c r="N5633">
        <v>0</v>
      </c>
      <c r="O5633">
        <v>11</v>
      </c>
    </row>
    <row r="5634" spans="1:15" x14ac:dyDescent="0.25">
      <c r="A5634" t="s">
        <v>1159</v>
      </c>
      <c r="B5634" t="s">
        <v>2829</v>
      </c>
      <c r="C5634" t="s">
        <v>927</v>
      </c>
      <c r="D5634" t="s">
        <v>3052</v>
      </c>
      <c r="E5634" t="s">
        <v>3053</v>
      </c>
      <c r="F5634" t="s">
        <v>608</v>
      </c>
      <c r="G5634" t="s">
        <v>609</v>
      </c>
      <c r="H5634" t="s">
        <v>6858</v>
      </c>
      <c r="I5634">
        <v>4</v>
      </c>
      <c r="J5634">
        <v>4</v>
      </c>
      <c r="K5634">
        <v>0</v>
      </c>
      <c r="L5634">
        <v>0</v>
      </c>
      <c r="M5634">
        <v>0</v>
      </c>
      <c r="N5634">
        <v>0</v>
      </c>
      <c r="O5634">
        <v>0</v>
      </c>
    </row>
    <row r="5635" spans="1:15" x14ac:dyDescent="0.25">
      <c r="A5635" t="s">
        <v>1352</v>
      </c>
      <c r="B5635" t="s">
        <v>2085</v>
      </c>
      <c r="C5635" t="s">
        <v>923</v>
      </c>
      <c r="D5635" t="s">
        <v>3063</v>
      </c>
      <c r="E5635" t="s">
        <v>3053</v>
      </c>
      <c r="F5635" t="s">
        <v>608</v>
      </c>
      <c r="G5635" t="s">
        <v>609</v>
      </c>
      <c r="H5635" t="s">
        <v>11167</v>
      </c>
      <c r="I5635">
        <v>1</v>
      </c>
      <c r="J5635">
        <v>1</v>
      </c>
      <c r="K5635">
        <v>0</v>
      </c>
      <c r="L5635">
        <v>0</v>
      </c>
      <c r="M5635">
        <v>0</v>
      </c>
      <c r="N5635">
        <v>0</v>
      </c>
      <c r="O5635">
        <v>0</v>
      </c>
    </row>
    <row r="5636" spans="1:15" x14ac:dyDescent="0.25">
      <c r="A5636" t="s">
        <v>1160</v>
      </c>
      <c r="B5636" t="s">
        <v>2863</v>
      </c>
      <c r="C5636" t="s">
        <v>923</v>
      </c>
      <c r="D5636" t="s">
        <v>3063</v>
      </c>
      <c r="E5636" t="s">
        <v>3053</v>
      </c>
      <c r="F5636" t="s">
        <v>608</v>
      </c>
      <c r="G5636" t="s">
        <v>609</v>
      </c>
      <c r="H5636" t="s">
        <v>6859</v>
      </c>
      <c r="I5636">
        <v>39</v>
      </c>
      <c r="J5636">
        <v>39</v>
      </c>
      <c r="K5636">
        <v>0</v>
      </c>
      <c r="L5636">
        <v>0</v>
      </c>
      <c r="M5636">
        <v>0</v>
      </c>
      <c r="N5636">
        <v>0</v>
      </c>
      <c r="O5636">
        <v>0</v>
      </c>
    </row>
    <row r="5637" spans="1:15" x14ac:dyDescent="0.25">
      <c r="A5637" t="s">
        <v>1069</v>
      </c>
      <c r="B5637" t="s">
        <v>2001</v>
      </c>
      <c r="C5637" t="s">
        <v>927</v>
      </c>
      <c r="D5637" t="s">
        <v>3052</v>
      </c>
      <c r="E5637" t="s">
        <v>3053</v>
      </c>
      <c r="F5637" t="s">
        <v>608</v>
      </c>
      <c r="G5637" t="s">
        <v>609</v>
      </c>
      <c r="H5637" t="s">
        <v>6860</v>
      </c>
      <c r="I5637">
        <v>6</v>
      </c>
      <c r="J5637">
        <v>6</v>
      </c>
      <c r="K5637">
        <v>0</v>
      </c>
      <c r="L5637">
        <v>0</v>
      </c>
      <c r="M5637">
        <v>0</v>
      </c>
      <c r="N5637">
        <v>0</v>
      </c>
      <c r="O5637">
        <v>0</v>
      </c>
    </row>
    <row r="5638" spans="1:15" x14ac:dyDescent="0.25">
      <c r="A5638" t="s">
        <v>1072</v>
      </c>
      <c r="B5638" t="s">
        <v>2907</v>
      </c>
      <c r="C5638" t="s">
        <v>927</v>
      </c>
      <c r="D5638" t="s">
        <v>3052</v>
      </c>
      <c r="E5638" t="s">
        <v>3053</v>
      </c>
      <c r="F5638" t="s">
        <v>608</v>
      </c>
      <c r="G5638" t="s">
        <v>609</v>
      </c>
      <c r="H5638" t="s">
        <v>6861</v>
      </c>
      <c r="I5638">
        <v>2302</v>
      </c>
      <c r="J5638">
        <v>1406</v>
      </c>
      <c r="K5638">
        <v>0</v>
      </c>
      <c r="L5638">
        <v>87</v>
      </c>
      <c r="M5638">
        <v>96</v>
      </c>
      <c r="N5638">
        <v>2</v>
      </c>
      <c r="O5638">
        <v>713</v>
      </c>
    </row>
    <row r="5639" spans="1:15" x14ac:dyDescent="0.25">
      <c r="A5639" t="s">
        <v>1385</v>
      </c>
      <c r="B5639" t="s">
        <v>2276</v>
      </c>
      <c r="C5639" t="s">
        <v>923</v>
      </c>
      <c r="D5639" t="s">
        <v>3063</v>
      </c>
      <c r="E5639" t="s">
        <v>3053</v>
      </c>
      <c r="F5639" t="s">
        <v>608</v>
      </c>
      <c r="G5639" t="s">
        <v>609</v>
      </c>
      <c r="H5639" t="s">
        <v>6862</v>
      </c>
      <c r="I5639">
        <v>18</v>
      </c>
      <c r="J5639">
        <v>18</v>
      </c>
      <c r="K5639">
        <v>0</v>
      </c>
      <c r="L5639">
        <v>0</v>
      </c>
      <c r="M5639">
        <v>0</v>
      </c>
      <c r="N5639">
        <v>0</v>
      </c>
      <c r="O5639">
        <v>0</v>
      </c>
    </row>
    <row r="5640" spans="1:15" x14ac:dyDescent="0.25">
      <c r="A5640" t="s">
        <v>1394</v>
      </c>
      <c r="B5640" t="s">
        <v>2488</v>
      </c>
      <c r="C5640" t="s">
        <v>923</v>
      </c>
      <c r="D5640" t="s">
        <v>3063</v>
      </c>
      <c r="E5640" t="s">
        <v>3053</v>
      </c>
      <c r="F5640" t="s">
        <v>608</v>
      </c>
      <c r="G5640" t="s">
        <v>609</v>
      </c>
      <c r="H5640" t="s">
        <v>6863</v>
      </c>
      <c r="I5640">
        <v>24</v>
      </c>
      <c r="J5640">
        <v>24</v>
      </c>
      <c r="K5640">
        <v>0</v>
      </c>
      <c r="L5640">
        <v>0</v>
      </c>
      <c r="M5640">
        <v>0</v>
      </c>
      <c r="N5640">
        <v>0</v>
      </c>
      <c r="O5640">
        <v>0</v>
      </c>
    </row>
    <row r="5641" spans="1:15" x14ac:dyDescent="0.25">
      <c r="A5641" t="s">
        <v>11686</v>
      </c>
      <c r="B5641" t="s">
        <v>2084</v>
      </c>
      <c r="C5641" t="s">
        <v>923</v>
      </c>
      <c r="D5641" t="s">
        <v>3063</v>
      </c>
      <c r="E5641" t="s">
        <v>3053</v>
      </c>
      <c r="F5641" t="s">
        <v>608</v>
      </c>
      <c r="G5641" t="s">
        <v>609</v>
      </c>
      <c r="H5641" t="s">
        <v>12221</v>
      </c>
      <c r="I5641">
        <v>155</v>
      </c>
      <c r="J5641">
        <v>0</v>
      </c>
      <c r="K5641">
        <v>0</v>
      </c>
      <c r="L5641">
        <v>155</v>
      </c>
      <c r="M5641">
        <v>0</v>
      </c>
      <c r="N5641">
        <v>0</v>
      </c>
      <c r="O5641">
        <v>0</v>
      </c>
    </row>
    <row r="5642" spans="1:15" x14ac:dyDescent="0.25">
      <c r="A5642" t="s">
        <v>926</v>
      </c>
      <c r="B5642" t="s">
        <v>2923</v>
      </c>
      <c r="C5642" t="s">
        <v>927</v>
      </c>
      <c r="D5642" t="s">
        <v>3052</v>
      </c>
      <c r="E5642" t="s">
        <v>3053</v>
      </c>
      <c r="F5642" t="s">
        <v>610</v>
      </c>
      <c r="G5642" t="s">
        <v>611</v>
      </c>
      <c r="H5642" t="s">
        <v>6864</v>
      </c>
      <c r="I5642">
        <v>7</v>
      </c>
      <c r="J5642">
        <v>0</v>
      </c>
      <c r="K5642">
        <v>0</v>
      </c>
      <c r="L5642">
        <v>0</v>
      </c>
      <c r="M5642">
        <v>0</v>
      </c>
      <c r="N5642">
        <v>0</v>
      </c>
      <c r="O5642">
        <v>7</v>
      </c>
    </row>
    <row r="5643" spans="1:15" x14ac:dyDescent="0.25">
      <c r="A5643" t="s">
        <v>929</v>
      </c>
      <c r="B5643" t="s">
        <v>2999</v>
      </c>
      <c r="C5643" t="s">
        <v>927</v>
      </c>
      <c r="D5643" t="s">
        <v>3052</v>
      </c>
      <c r="E5643" t="s">
        <v>3053</v>
      </c>
      <c r="F5643" t="s">
        <v>610</v>
      </c>
      <c r="G5643" t="s">
        <v>611</v>
      </c>
      <c r="H5643" t="s">
        <v>6865</v>
      </c>
      <c r="I5643">
        <v>28</v>
      </c>
      <c r="J5643">
        <v>0</v>
      </c>
      <c r="K5643">
        <v>0</v>
      </c>
      <c r="L5643">
        <v>0</v>
      </c>
      <c r="M5643">
        <v>28</v>
      </c>
      <c r="N5643">
        <v>13</v>
      </c>
      <c r="O5643">
        <v>0</v>
      </c>
    </row>
    <row r="5644" spans="1:15" x14ac:dyDescent="0.25">
      <c r="A5644" t="s">
        <v>978</v>
      </c>
      <c r="B5644" t="s">
        <v>1999</v>
      </c>
      <c r="C5644" t="s">
        <v>923</v>
      </c>
      <c r="D5644" t="s">
        <v>3063</v>
      </c>
      <c r="E5644" t="s">
        <v>3053</v>
      </c>
      <c r="F5644" t="s">
        <v>610</v>
      </c>
      <c r="G5644" t="s">
        <v>611</v>
      </c>
      <c r="H5644" t="s">
        <v>11168</v>
      </c>
      <c r="I5644">
        <v>1</v>
      </c>
      <c r="J5644">
        <v>0</v>
      </c>
      <c r="K5644">
        <v>0</v>
      </c>
      <c r="L5644">
        <v>1</v>
      </c>
      <c r="M5644">
        <v>0</v>
      </c>
      <c r="N5644">
        <v>0</v>
      </c>
      <c r="O5644">
        <v>0</v>
      </c>
    </row>
    <row r="5645" spans="1:15" x14ac:dyDescent="0.25">
      <c r="A5645" t="s">
        <v>1575</v>
      </c>
      <c r="B5645" t="s">
        <v>2112</v>
      </c>
      <c r="C5645" t="s">
        <v>927</v>
      </c>
      <c r="D5645" t="s">
        <v>3052</v>
      </c>
      <c r="E5645" t="s">
        <v>3053</v>
      </c>
      <c r="F5645" t="s">
        <v>610</v>
      </c>
      <c r="G5645" t="s">
        <v>611</v>
      </c>
      <c r="H5645" t="s">
        <v>11169</v>
      </c>
      <c r="I5645">
        <v>17</v>
      </c>
      <c r="J5645">
        <v>13</v>
      </c>
      <c r="K5645">
        <v>0</v>
      </c>
      <c r="L5645">
        <v>0</v>
      </c>
      <c r="M5645">
        <v>0</v>
      </c>
      <c r="N5645">
        <v>0</v>
      </c>
      <c r="O5645">
        <v>4</v>
      </c>
    </row>
    <row r="5646" spans="1:15" x14ac:dyDescent="0.25">
      <c r="A5646" t="s">
        <v>931</v>
      </c>
      <c r="B5646" t="s">
        <v>1978</v>
      </c>
      <c r="C5646" t="s">
        <v>927</v>
      </c>
      <c r="D5646" t="s">
        <v>3052</v>
      </c>
      <c r="E5646" t="s">
        <v>3053</v>
      </c>
      <c r="F5646" t="s">
        <v>610</v>
      </c>
      <c r="G5646" t="s">
        <v>611</v>
      </c>
      <c r="H5646" t="s">
        <v>6866</v>
      </c>
      <c r="I5646">
        <v>138</v>
      </c>
      <c r="J5646">
        <v>105</v>
      </c>
      <c r="K5646">
        <v>0</v>
      </c>
      <c r="L5646">
        <v>0</v>
      </c>
      <c r="M5646">
        <v>0</v>
      </c>
      <c r="N5646">
        <v>0</v>
      </c>
      <c r="O5646">
        <v>33</v>
      </c>
    </row>
    <row r="5647" spans="1:15" x14ac:dyDescent="0.25">
      <c r="A5647" t="s">
        <v>9790</v>
      </c>
      <c r="B5647" t="s">
        <v>1977</v>
      </c>
      <c r="C5647" t="s">
        <v>923</v>
      </c>
      <c r="D5647" t="s">
        <v>3063</v>
      </c>
      <c r="E5647" t="s">
        <v>3053</v>
      </c>
      <c r="F5647" t="s">
        <v>610</v>
      </c>
      <c r="G5647" t="s">
        <v>611</v>
      </c>
      <c r="H5647" t="s">
        <v>12222</v>
      </c>
      <c r="I5647">
        <v>4</v>
      </c>
      <c r="J5647">
        <v>0</v>
      </c>
      <c r="K5647">
        <v>0</v>
      </c>
      <c r="L5647">
        <v>4</v>
      </c>
      <c r="M5647">
        <v>0</v>
      </c>
      <c r="N5647">
        <v>0</v>
      </c>
      <c r="O5647">
        <v>0</v>
      </c>
    </row>
    <row r="5648" spans="1:15" x14ac:dyDescent="0.25">
      <c r="A5648" t="s">
        <v>1416</v>
      </c>
      <c r="B5648" t="s">
        <v>2029</v>
      </c>
      <c r="C5648" t="s">
        <v>923</v>
      </c>
      <c r="D5648" t="s">
        <v>3063</v>
      </c>
      <c r="E5648" t="s">
        <v>3053</v>
      </c>
      <c r="F5648" t="s">
        <v>610</v>
      </c>
      <c r="G5648" t="s">
        <v>611</v>
      </c>
      <c r="H5648" t="s">
        <v>12223</v>
      </c>
      <c r="I5648">
        <v>27</v>
      </c>
      <c r="J5648">
        <v>0</v>
      </c>
      <c r="K5648">
        <v>0</v>
      </c>
      <c r="L5648">
        <v>27</v>
      </c>
      <c r="M5648">
        <v>0</v>
      </c>
      <c r="N5648">
        <v>0</v>
      </c>
      <c r="O5648">
        <v>0</v>
      </c>
    </row>
    <row r="5649" spans="1:15" x14ac:dyDescent="0.25">
      <c r="A5649" t="s">
        <v>1485</v>
      </c>
      <c r="B5649" t="s">
        <v>2836</v>
      </c>
      <c r="C5649" t="s">
        <v>927</v>
      </c>
      <c r="D5649" t="s">
        <v>3052</v>
      </c>
      <c r="E5649" t="s">
        <v>3053</v>
      </c>
      <c r="F5649" t="s">
        <v>610</v>
      </c>
      <c r="G5649" t="s">
        <v>611</v>
      </c>
      <c r="H5649" t="s">
        <v>6867</v>
      </c>
      <c r="I5649">
        <v>8</v>
      </c>
      <c r="J5649">
        <v>0</v>
      </c>
      <c r="K5649">
        <v>0</v>
      </c>
      <c r="L5649">
        <v>0</v>
      </c>
      <c r="M5649">
        <v>0</v>
      </c>
      <c r="N5649">
        <v>0</v>
      </c>
      <c r="O5649">
        <v>8</v>
      </c>
    </row>
    <row r="5650" spans="1:15" x14ac:dyDescent="0.25">
      <c r="A5650" t="s">
        <v>10638</v>
      </c>
      <c r="B5650" t="s">
        <v>2057</v>
      </c>
      <c r="C5650" t="s">
        <v>927</v>
      </c>
      <c r="D5650" t="s">
        <v>3052</v>
      </c>
      <c r="E5650" t="s">
        <v>3053</v>
      </c>
      <c r="F5650" t="s">
        <v>610</v>
      </c>
      <c r="G5650" t="s">
        <v>611</v>
      </c>
      <c r="H5650" t="s">
        <v>11170</v>
      </c>
      <c r="I5650">
        <v>1</v>
      </c>
      <c r="J5650">
        <v>0</v>
      </c>
      <c r="K5650">
        <v>0</v>
      </c>
      <c r="L5650">
        <v>1</v>
      </c>
      <c r="M5650">
        <v>0</v>
      </c>
      <c r="N5650">
        <v>0</v>
      </c>
      <c r="O5650">
        <v>0</v>
      </c>
    </row>
    <row r="5651" spans="1:15" x14ac:dyDescent="0.25">
      <c r="A5651" t="s">
        <v>1010</v>
      </c>
      <c r="B5651" t="s">
        <v>2639</v>
      </c>
      <c r="C5651" t="s">
        <v>927</v>
      </c>
      <c r="D5651" t="s">
        <v>3052</v>
      </c>
      <c r="E5651" t="s">
        <v>3053</v>
      </c>
      <c r="F5651" t="s">
        <v>610</v>
      </c>
      <c r="G5651" t="s">
        <v>611</v>
      </c>
      <c r="H5651" t="s">
        <v>6868</v>
      </c>
      <c r="I5651">
        <v>116</v>
      </c>
      <c r="J5651">
        <v>113</v>
      </c>
      <c r="K5651">
        <v>0</v>
      </c>
      <c r="L5651">
        <v>0</v>
      </c>
      <c r="M5651">
        <v>0</v>
      </c>
      <c r="N5651">
        <v>0</v>
      </c>
      <c r="O5651">
        <v>3</v>
      </c>
    </row>
    <row r="5652" spans="1:15" x14ac:dyDescent="0.25">
      <c r="A5652" t="s">
        <v>937</v>
      </c>
      <c r="B5652" t="s">
        <v>1962</v>
      </c>
      <c r="C5652" t="s">
        <v>927</v>
      </c>
      <c r="D5652" t="s">
        <v>3052</v>
      </c>
      <c r="E5652" t="s">
        <v>3053</v>
      </c>
      <c r="F5652" t="s">
        <v>610</v>
      </c>
      <c r="G5652" t="s">
        <v>611</v>
      </c>
      <c r="H5652" t="s">
        <v>6869</v>
      </c>
      <c r="I5652">
        <v>87</v>
      </c>
      <c r="J5652">
        <v>0</v>
      </c>
      <c r="K5652">
        <v>0</v>
      </c>
      <c r="L5652">
        <v>0</v>
      </c>
      <c r="M5652">
        <v>0</v>
      </c>
      <c r="N5652">
        <v>0</v>
      </c>
      <c r="O5652">
        <v>87</v>
      </c>
    </row>
    <row r="5653" spans="1:15" x14ac:dyDescent="0.25">
      <c r="A5653" t="s">
        <v>940</v>
      </c>
      <c r="B5653" t="s">
        <v>2647</v>
      </c>
      <c r="C5653" t="s">
        <v>927</v>
      </c>
      <c r="D5653" t="s">
        <v>3052</v>
      </c>
      <c r="E5653" t="s">
        <v>3053</v>
      </c>
      <c r="F5653" t="s">
        <v>610</v>
      </c>
      <c r="G5653" t="s">
        <v>611</v>
      </c>
      <c r="H5653" t="s">
        <v>6870</v>
      </c>
      <c r="I5653">
        <v>29</v>
      </c>
      <c r="J5653">
        <v>0</v>
      </c>
      <c r="K5653">
        <v>0</v>
      </c>
      <c r="L5653">
        <v>0</v>
      </c>
      <c r="M5653">
        <v>29</v>
      </c>
      <c r="N5653">
        <v>0</v>
      </c>
      <c r="O5653">
        <v>0</v>
      </c>
    </row>
    <row r="5654" spans="1:15" x14ac:dyDescent="0.25">
      <c r="A5654" t="s">
        <v>10667</v>
      </c>
      <c r="B5654" t="s">
        <v>10666</v>
      </c>
      <c r="C5654" t="s">
        <v>927</v>
      </c>
      <c r="D5654" t="s">
        <v>3052</v>
      </c>
      <c r="E5654" t="s">
        <v>3053</v>
      </c>
      <c r="F5654" t="s">
        <v>610</v>
      </c>
      <c r="G5654" t="s">
        <v>611</v>
      </c>
      <c r="H5654" t="s">
        <v>11171</v>
      </c>
      <c r="I5654">
        <v>41</v>
      </c>
      <c r="J5654">
        <v>41</v>
      </c>
      <c r="K5654">
        <v>0</v>
      </c>
      <c r="L5654">
        <v>0</v>
      </c>
      <c r="M5654">
        <v>0</v>
      </c>
      <c r="N5654">
        <v>0</v>
      </c>
      <c r="O5654">
        <v>0</v>
      </c>
    </row>
    <row r="5655" spans="1:15" x14ac:dyDescent="0.25">
      <c r="A5655" t="s">
        <v>1126</v>
      </c>
      <c r="B5655" t="s">
        <v>2130</v>
      </c>
      <c r="C5655" t="s">
        <v>927</v>
      </c>
      <c r="D5655" t="s">
        <v>3052</v>
      </c>
      <c r="E5655" t="s">
        <v>3053</v>
      </c>
      <c r="F5655" t="s">
        <v>610</v>
      </c>
      <c r="G5655" t="s">
        <v>611</v>
      </c>
      <c r="H5655" t="s">
        <v>10167</v>
      </c>
      <c r="I5655">
        <v>13</v>
      </c>
      <c r="J5655">
        <v>0</v>
      </c>
      <c r="K5655">
        <v>0</v>
      </c>
      <c r="L5655">
        <v>0</v>
      </c>
      <c r="M5655">
        <v>0</v>
      </c>
      <c r="N5655">
        <v>0</v>
      </c>
      <c r="O5655">
        <v>13</v>
      </c>
    </row>
    <row r="5656" spans="1:15" x14ac:dyDescent="0.25">
      <c r="A5656" t="s">
        <v>942</v>
      </c>
      <c r="B5656" t="s">
        <v>2113</v>
      </c>
      <c r="C5656" t="s">
        <v>927</v>
      </c>
      <c r="D5656" t="s">
        <v>3052</v>
      </c>
      <c r="E5656" t="s">
        <v>3053</v>
      </c>
      <c r="F5656" t="s">
        <v>610</v>
      </c>
      <c r="G5656" t="s">
        <v>611</v>
      </c>
      <c r="H5656" t="s">
        <v>6871</v>
      </c>
      <c r="I5656">
        <v>1042</v>
      </c>
      <c r="J5656">
        <v>889</v>
      </c>
      <c r="K5656">
        <v>0</v>
      </c>
      <c r="L5656">
        <v>21</v>
      </c>
      <c r="M5656">
        <v>0</v>
      </c>
      <c r="N5656">
        <v>0</v>
      </c>
      <c r="O5656">
        <v>132</v>
      </c>
    </row>
    <row r="5657" spans="1:15" x14ac:dyDescent="0.25">
      <c r="A5657" t="s">
        <v>1296</v>
      </c>
      <c r="B5657" t="s">
        <v>2965</v>
      </c>
      <c r="C5657" t="s">
        <v>923</v>
      </c>
      <c r="D5657" t="s">
        <v>3063</v>
      </c>
      <c r="E5657" t="s">
        <v>3053</v>
      </c>
      <c r="F5657" t="s">
        <v>610</v>
      </c>
      <c r="G5657" t="s">
        <v>611</v>
      </c>
      <c r="H5657" t="s">
        <v>6872</v>
      </c>
      <c r="I5657">
        <v>46</v>
      </c>
      <c r="J5657">
        <v>0</v>
      </c>
      <c r="K5657">
        <v>0</v>
      </c>
      <c r="L5657">
        <v>0</v>
      </c>
      <c r="M5657">
        <v>46</v>
      </c>
      <c r="N5657">
        <v>0</v>
      </c>
      <c r="O5657">
        <v>0</v>
      </c>
    </row>
    <row r="5658" spans="1:15" x14ac:dyDescent="0.25">
      <c r="A5658" t="s">
        <v>945</v>
      </c>
      <c r="B5658" t="s">
        <v>2668</v>
      </c>
      <c r="C5658" t="s">
        <v>927</v>
      </c>
      <c r="D5658" t="s">
        <v>3052</v>
      </c>
      <c r="E5658" t="s">
        <v>3053</v>
      </c>
      <c r="F5658" t="s">
        <v>610</v>
      </c>
      <c r="G5658" t="s">
        <v>611</v>
      </c>
      <c r="H5658" t="s">
        <v>6873</v>
      </c>
      <c r="I5658">
        <v>2</v>
      </c>
      <c r="J5658">
        <v>0</v>
      </c>
      <c r="K5658">
        <v>0</v>
      </c>
      <c r="L5658">
        <v>0</v>
      </c>
      <c r="M5658">
        <v>0</v>
      </c>
      <c r="N5658">
        <v>0</v>
      </c>
      <c r="O5658">
        <v>2</v>
      </c>
    </row>
    <row r="5659" spans="1:15" x14ac:dyDescent="0.25">
      <c r="A5659" t="s">
        <v>1748</v>
      </c>
      <c r="B5659" t="s">
        <v>3013</v>
      </c>
      <c r="C5659" t="s">
        <v>927</v>
      </c>
      <c r="D5659" t="s">
        <v>3052</v>
      </c>
      <c r="E5659" t="s">
        <v>3053</v>
      </c>
      <c r="F5659" t="s">
        <v>610</v>
      </c>
      <c r="G5659" t="s">
        <v>611</v>
      </c>
      <c r="H5659" t="s">
        <v>6874</v>
      </c>
      <c r="I5659">
        <v>3332</v>
      </c>
      <c r="J5659">
        <v>2710</v>
      </c>
      <c r="K5659">
        <v>0</v>
      </c>
      <c r="L5659">
        <v>0</v>
      </c>
      <c r="M5659">
        <v>541</v>
      </c>
      <c r="N5659">
        <v>0</v>
      </c>
      <c r="O5659">
        <v>81</v>
      </c>
    </row>
    <row r="5660" spans="1:15" x14ac:dyDescent="0.25">
      <c r="A5660" t="s">
        <v>1051</v>
      </c>
      <c r="B5660" t="s">
        <v>2995</v>
      </c>
      <c r="C5660" t="s">
        <v>927</v>
      </c>
      <c r="D5660" t="s">
        <v>3052</v>
      </c>
      <c r="E5660" t="s">
        <v>3053</v>
      </c>
      <c r="F5660" t="s">
        <v>610</v>
      </c>
      <c r="G5660" t="s">
        <v>611</v>
      </c>
      <c r="H5660" t="s">
        <v>6875</v>
      </c>
      <c r="I5660">
        <v>3</v>
      </c>
      <c r="J5660">
        <v>0</v>
      </c>
      <c r="K5660">
        <v>0</v>
      </c>
      <c r="L5660">
        <v>3</v>
      </c>
      <c r="M5660">
        <v>0</v>
      </c>
      <c r="N5660">
        <v>0</v>
      </c>
      <c r="O5660">
        <v>0</v>
      </c>
    </row>
    <row r="5661" spans="1:15" x14ac:dyDescent="0.25">
      <c r="A5661" t="s">
        <v>11720</v>
      </c>
      <c r="B5661" t="s">
        <v>10718</v>
      </c>
      <c r="C5661" t="s">
        <v>927</v>
      </c>
      <c r="D5661" t="s">
        <v>3052</v>
      </c>
      <c r="E5661" t="s">
        <v>3053</v>
      </c>
      <c r="F5661" t="s">
        <v>610</v>
      </c>
      <c r="G5661" t="s">
        <v>611</v>
      </c>
      <c r="H5661" t="s">
        <v>14952</v>
      </c>
      <c r="I5661">
        <v>4</v>
      </c>
      <c r="J5661">
        <v>0</v>
      </c>
      <c r="K5661">
        <v>0</v>
      </c>
      <c r="L5661">
        <v>0</v>
      </c>
      <c r="M5661">
        <v>0</v>
      </c>
      <c r="N5661">
        <v>0</v>
      </c>
      <c r="O5661">
        <v>4</v>
      </c>
    </row>
    <row r="5662" spans="1:15" x14ac:dyDescent="0.25">
      <c r="A5662" t="s">
        <v>1057</v>
      </c>
      <c r="B5662" t="s">
        <v>1972</v>
      </c>
      <c r="C5662" t="s">
        <v>927</v>
      </c>
      <c r="D5662" t="s">
        <v>3052</v>
      </c>
      <c r="E5662" t="s">
        <v>3053</v>
      </c>
      <c r="F5662" t="s">
        <v>610</v>
      </c>
      <c r="G5662" t="s">
        <v>611</v>
      </c>
      <c r="H5662" t="s">
        <v>6876</v>
      </c>
      <c r="I5662">
        <v>13</v>
      </c>
      <c r="J5662">
        <v>7</v>
      </c>
      <c r="K5662">
        <v>0</v>
      </c>
      <c r="L5662">
        <v>0</v>
      </c>
      <c r="M5662">
        <v>0</v>
      </c>
      <c r="N5662">
        <v>0</v>
      </c>
      <c r="O5662">
        <v>6</v>
      </c>
    </row>
    <row r="5663" spans="1:15" x14ac:dyDescent="0.25">
      <c r="A5663" t="s">
        <v>955</v>
      </c>
      <c r="B5663" t="s">
        <v>2660</v>
      </c>
      <c r="C5663" t="s">
        <v>927</v>
      </c>
      <c r="D5663" t="s">
        <v>3052</v>
      </c>
      <c r="E5663" t="s">
        <v>3053</v>
      </c>
      <c r="F5663" t="s">
        <v>610</v>
      </c>
      <c r="G5663" t="s">
        <v>611</v>
      </c>
      <c r="H5663" t="s">
        <v>6877</v>
      </c>
      <c r="I5663">
        <v>368</v>
      </c>
      <c r="J5663">
        <v>180</v>
      </c>
      <c r="K5663">
        <v>0</v>
      </c>
      <c r="L5663">
        <v>15</v>
      </c>
      <c r="M5663">
        <v>142</v>
      </c>
      <c r="N5663">
        <v>0</v>
      </c>
      <c r="O5663">
        <v>31</v>
      </c>
    </row>
    <row r="5664" spans="1:15" x14ac:dyDescent="0.25">
      <c r="A5664" t="s">
        <v>964</v>
      </c>
      <c r="B5664" t="s">
        <v>1969</v>
      </c>
      <c r="C5664" t="s">
        <v>927</v>
      </c>
      <c r="D5664" t="s">
        <v>3052</v>
      </c>
      <c r="E5664" t="s">
        <v>3053</v>
      </c>
      <c r="F5664" t="s">
        <v>610</v>
      </c>
      <c r="G5664" t="s">
        <v>611</v>
      </c>
      <c r="H5664" t="s">
        <v>6878</v>
      </c>
      <c r="I5664">
        <v>109</v>
      </c>
      <c r="J5664">
        <v>83</v>
      </c>
      <c r="K5664">
        <v>0</v>
      </c>
      <c r="L5664">
        <v>0</v>
      </c>
      <c r="M5664">
        <v>0</v>
      </c>
      <c r="N5664">
        <v>0</v>
      </c>
      <c r="O5664">
        <v>26</v>
      </c>
    </row>
    <row r="5665" spans="1:15" x14ac:dyDescent="0.25">
      <c r="A5665" t="s">
        <v>1777</v>
      </c>
      <c r="B5665" t="s">
        <v>2598</v>
      </c>
      <c r="C5665" t="s">
        <v>923</v>
      </c>
      <c r="D5665" t="s">
        <v>3063</v>
      </c>
      <c r="E5665" t="s">
        <v>3053</v>
      </c>
      <c r="F5665" t="s">
        <v>610</v>
      </c>
      <c r="G5665" t="s">
        <v>611</v>
      </c>
      <c r="H5665" t="s">
        <v>6879</v>
      </c>
      <c r="I5665">
        <v>9</v>
      </c>
      <c r="J5665">
        <v>0</v>
      </c>
      <c r="K5665">
        <v>0</v>
      </c>
      <c r="L5665">
        <v>0</v>
      </c>
      <c r="M5665">
        <v>9</v>
      </c>
      <c r="N5665">
        <v>0</v>
      </c>
      <c r="O5665">
        <v>0</v>
      </c>
    </row>
    <row r="5666" spans="1:15" x14ac:dyDescent="0.25">
      <c r="A5666" t="s">
        <v>1078</v>
      </c>
      <c r="B5666" t="s">
        <v>1950</v>
      </c>
      <c r="C5666" t="s">
        <v>923</v>
      </c>
      <c r="D5666" t="s">
        <v>3063</v>
      </c>
      <c r="E5666" t="s">
        <v>3053</v>
      </c>
      <c r="F5666" t="s">
        <v>610</v>
      </c>
      <c r="G5666" t="s">
        <v>611</v>
      </c>
      <c r="H5666" t="s">
        <v>6880</v>
      </c>
      <c r="I5666">
        <v>12</v>
      </c>
      <c r="J5666">
        <v>0</v>
      </c>
      <c r="K5666">
        <v>0</v>
      </c>
      <c r="L5666">
        <v>12</v>
      </c>
      <c r="M5666">
        <v>0</v>
      </c>
      <c r="N5666">
        <v>0</v>
      </c>
      <c r="O5666">
        <v>0</v>
      </c>
    </row>
    <row r="5667" spans="1:15" x14ac:dyDescent="0.25">
      <c r="A5667" t="s">
        <v>1793</v>
      </c>
      <c r="B5667" t="s">
        <v>2075</v>
      </c>
      <c r="C5667" t="s">
        <v>927</v>
      </c>
      <c r="D5667" t="s">
        <v>3052</v>
      </c>
      <c r="E5667" t="s">
        <v>3053</v>
      </c>
      <c r="F5667" t="s">
        <v>610</v>
      </c>
      <c r="G5667" t="s">
        <v>611</v>
      </c>
      <c r="H5667" t="s">
        <v>6881</v>
      </c>
      <c r="I5667">
        <v>37</v>
      </c>
      <c r="J5667">
        <v>4</v>
      </c>
      <c r="K5667">
        <v>0</v>
      </c>
      <c r="L5667">
        <v>9</v>
      </c>
      <c r="M5667">
        <v>0</v>
      </c>
      <c r="N5667">
        <v>0</v>
      </c>
      <c r="O5667">
        <v>24</v>
      </c>
    </row>
    <row r="5668" spans="1:15" x14ac:dyDescent="0.25">
      <c r="A5668" t="s">
        <v>972</v>
      </c>
      <c r="B5668" t="s">
        <v>2842</v>
      </c>
      <c r="C5668" t="s">
        <v>927</v>
      </c>
      <c r="D5668" t="s">
        <v>3052</v>
      </c>
      <c r="E5668" t="s">
        <v>3053</v>
      </c>
      <c r="F5668" t="s">
        <v>612</v>
      </c>
      <c r="G5668" t="s">
        <v>613</v>
      </c>
      <c r="H5668" t="s">
        <v>6882</v>
      </c>
      <c r="I5668">
        <v>104</v>
      </c>
      <c r="J5668">
        <v>87</v>
      </c>
      <c r="K5668">
        <v>1</v>
      </c>
      <c r="L5668">
        <v>3</v>
      </c>
      <c r="M5668">
        <v>0</v>
      </c>
      <c r="N5668">
        <v>0</v>
      </c>
      <c r="O5668">
        <v>13</v>
      </c>
    </row>
    <row r="5669" spans="1:15" x14ac:dyDescent="0.25">
      <c r="A5669" t="s">
        <v>973</v>
      </c>
      <c r="B5669" t="s">
        <v>1957</v>
      </c>
      <c r="C5669" t="s">
        <v>923</v>
      </c>
      <c r="D5669" t="s">
        <v>3063</v>
      </c>
      <c r="E5669" t="s">
        <v>3053</v>
      </c>
      <c r="F5669" t="s">
        <v>612</v>
      </c>
      <c r="G5669" t="s">
        <v>613</v>
      </c>
      <c r="H5669" t="s">
        <v>6883</v>
      </c>
      <c r="I5669">
        <v>5</v>
      </c>
      <c r="J5669">
        <v>5</v>
      </c>
      <c r="K5669">
        <v>0</v>
      </c>
      <c r="L5669">
        <v>0</v>
      </c>
      <c r="M5669">
        <v>0</v>
      </c>
      <c r="N5669">
        <v>0</v>
      </c>
      <c r="O5669">
        <v>0</v>
      </c>
    </row>
    <row r="5670" spans="1:15" x14ac:dyDescent="0.25">
      <c r="A5670" t="s">
        <v>974</v>
      </c>
      <c r="B5670" t="s">
        <v>2949</v>
      </c>
      <c r="C5670" t="s">
        <v>923</v>
      </c>
      <c r="D5670" t="s">
        <v>3063</v>
      </c>
      <c r="E5670" t="s">
        <v>3053</v>
      </c>
      <c r="F5670" t="s">
        <v>612</v>
      </c>
      <c r="G5670" t="s">
        <v>613</v>
      </c>
      <c r="H5670" t="s">
        <v>6884</v>
      </c>
      <c r="I5670">
        <v>2</v>
      </c>
      <c r="J5670">
        <v>0</v>
      </c>
      <c r="K5670">
        <v>0</v>
      </c>
      <c r="L5670">
        <v>2</v>
      </c>
      <c r="M5670">
        <v>0</v>
      </c>
      <c r="N5670">
        <v>0</v>
      </c>
      <c r="O5670">
        <v>0</v>
      </c>
    </row>
    <row r="5671" spans="1:15" x14ac:dyDescent="0.25">
      <c r="A5671" t="s">
        <v>975</v>
      </c>
      <c r="B5671" t="s">
        <v>2010</v>
      </c>
      <c r="C5671" t="s">
        <v>923</v>
      </c>
      <c r="D5671" t="s">
        <v>3063</v>
      </c>
      <c r="E5671" t="s">
        <v>3053</v>
      </c>
      <c r="F5671" t="s">
        <v>612</v>
      </c>
      <c r="G5671" t="s">
        <v>613</v>
      </c>
      <c r="H5671" t="s">
        <v>14953</v>
      </c>
      <c r="I5671">
        <v>3</v>
      </c>
      <c r="J5671">
        <v>3</v>
      </c>
      <c r="K5671">
        <v>0</v>
      </c>
      <c r="L5671">
        <v>0</v>
      </c>
      <c r="M5671">
        <v>0</v>
      </c>
      <c r="N5671">
        <v>0</v>
      </c>
      <c r="O5671">
        <v>0</v>
      </c>
    </row>
    <row r="5672" spans="1:15" x14ac:dyDescent="0.25">
      <c r="A5672" t="s">
        <v>976</v>
      </c>
      <c r="B5672" t="s">
        <v>2936</v>
      </c>
      <c r="C5672" t="s">
        <v>927</v>
      </c>
      <c r="D5672" t="s">
        <v>3052</v>
      </c>
      <c r="E5672" t="s">
        <v>3053</v>
      </c>
      <c r="F5672" t="s">
        <v>612</v>
      </c>
      <c r="G5672" t="s">
        <v>613</v>
      </c>
      <c r="H5672" t="s">
        <v>6885</v>
      </c>
      <c r="I5672">
        <v>9</v>
      </c>
      <c r="J5672">
        <v>0</v>
      </c>
      <c r="K5672">
        <v>0</v>
      </c>
      <c r="L5672">
        <v>0</v>
      </c>
      <c r="M5672">
        <v>0</v>
      </c>
      <c r="N5672">
        <v>0</v>
      </c>
      <c r="O5672">
        <v>9</v>
      </c>
    </row>
    <row r="5673" spans="1:15" x14ac:dyDescent="0.25">
      <c r="A5673" t="s">
        <v>997</v>
      </c>
      <c r="B5673" t="s">
        <v>2033</v>
      </c>
      <c r="C5673" t="s">
        <v>927</v>
      </c>
      <c r="D5673" t="s">
        <v>3052</v>
      </c>
      <c r="E5673" t="s">
        <v>3053</v>
      </c>
      <c r="F5673" t="s">
        <v>612</v>
      </c>
      <c r="G5673" t="s">
        <v>613</v>
      </c>
      <c r="H5673" t="s">
        <v>6886</v>
      </c>
      <c r="I5673">
        <v>148</v>
      </c>
      <c r="J5673">
        <v>63</v>
      </c>
      <c r="K5673">
        <v>0</v>
      </c>
      <c r="L5673">
        <v>22</v>
      </c>
      <c r="M5673">
        <v>0</v>
      </c>
      <c r="N5673">
        <v>0</v>
      </c>
      <c r="O5673">
        <v>63</v>
      </c>
    </row>
    <row r="5674" spans="1:15" x14ac:dyDescent="0.25">
      <c r="A5674" t="s">
        <v>1001</v>
      </c>
      <c r="B5674" t="s">
        <v>3007</v>
      </c>
      <c r="C5674" t="s">
        <v>927</v>
      </c>
      <c r="D5674" t="s">
        <v>3052</v>
      </c>
      <c r="E5674" t="s">
        <v>3053</v>
      </c>
      <c r="F5674" t="s">
        <v>612</v>
      </c>
      <c r="G5674" t="s">
        <v>613</v>
      </c>
      <c r="H5674" t="s">
        <v>11172</v>
      </c>
      <c r="I5674">
        <v>2</v>
      </c>
      <c r="J5674">
        <v>0</v>
      </c>
      <c r="K5674">
        <v>0</v>
      </c>
      <c r="L5674">
        <v>2</v>
      </c>
      <c r="M5674">
        <v>0</v>
      </c>
      <c r="N5674">
        <v>0</v>
      </c>
      <c r="O5674">
        <v>0</v>
      </c>
    </row>
    <row r="5675" spans="1:15" x14ac:dyDescent="0.25">
      <c r="A5675" t="s">
        <v>1003</v>
      </c>
      <c r="B5675" t="s">
        <v>2862</v>
      </c>
      <c r="C5675" t="s">
        <v>927</v>
      </c>
      <c r="D5675" t="s">
        <v>3052</v>
      </c>
      <c r="E5675" t="s">
        <v>3053</v>
      </c>
      <c r="F5675" t="s">
        <v>612</v>
      </c>
      <c r="G5675" t="s">
        <v>613</v>
      </c>
      <c r="H5675" t="s">
        <v>6887</v>
      </c>
      <c r="I5675">
        <v>30</v>
      </c>
      <c r="J5675">
        <v>24</v>
      </c>
      <c r="K5675">
        <v>0</v>
      </c>
      <c r="L5675">
        <v>6</v>
      </c>
      <c r="M5675">
        <v>0</v>
      </c>
      <c r="N5675">
        <v>0</v>
      </c>
      <c r="O5675">
        <v>0</v>
      </c>
    </row>
    <row r="5676" spans="1:15" x14ac:dyDescent="0.25">
      <c r="A5676" t="s">
        <v>10638</v>
      </c>
      <c r="B5676" t="s">
        <v>2057</v>
      </c>
      <c r="C5676" t="s">
        <v>927</v>
      </c>
      <c r="D5676" t="s">
        <v>3052</v>
      </c>
      <c r="E5676" t="s">
        <v>3053</v>
      </c>
      <c r="F5676" t="s">
        <v>612</v>
      </c>
      <c r="G5676" t="s">
        <v>613</v>
      </c>
      <c r="H5676" t="s">
        <v>11173</v>
      </c>
      <c r="I5676">
        <v>16</v>
      </c>
      <c r="J5676">
        <v>0</v>
      </c>
      <c r="K5676">
        <v>0</v>
      </c>
      <c r="L5676">
        <v>16</v>
      </c>
      <c r="M5676">
        <v>0</v>
      </c>
      <c r="N5676">
        <v>0</v>
      </c>
      <c r="O5676">
        <v>0</v>
      </c>
    </row>
    <row r="5677" spans="1:15" x14ac:dyDescent="0.25">
      <c r="A5677" t="s">
        <v>1006</v>
      </c>
      <c r="B5677" t="s">
        <v>2724</v>
      </c>
      <c r="C5677" t="s">
        <v>927</v>
      </c>
      <c r="D5677" t="s">
        <v>3052</v>
      </c>
      <c r="E5677" t="s">
        <v>3053</v>
      </c>
      <c r="F5677" t="s">
        <v>612</v>
      </c>
      <c r="G5677" t="s">
        <v>613</v>
      </c>
      <c r="H5677" t="s">
        <v>10078</v>
      </c>
      <c r="I5677">
        <v>13</v>
      </c>
      <c r="J5677">
        <v>4</v>
      </c>
      <c r="K5677">
        <v>0</v>
      </c>
      <c r="L5677">
        <v>0</v>
      </c>
      <c r="M5677">
        <v>0</v>
      </c>
      <c r="N5677">
        <v>0</v>
      </c>
      <c r="O5677">
        <v>9</v>
      </c>
    </row>
    <row r="5678" spans="1:15" x14ac:dyDescent="0.25">
      <c r="A5678" t="s">
        <v>937</v>
      </c>
      <c r="B5678" t="s">
        <v>1962</v>
      </c>
      <c r="C5678" t="s">
        <v>927</v>
      </c>
      <c r="D5678" t="s">
        <v>3052</v>
      </c>
      <c r="E5678" t="s">
        <v>3053</v>
      </c>
      <c r="F5678" t="s">
        <v>612</v>
      </c>
      <c r="G5678" t="s">
        <v>613</v>
      </c>
      <c r="H5678" t="s">
        <v>6888</v>
      </c>
      <c r="I5678">
        <v>12</v>
      </c>
      <c r="J5678">
        <v>0</v>
      </c>
      <c r="K5678">
        <v>0</v>
      </c>
      <c r="L5678">
        <v>0</v>
      </c>
      <c r="M5678">
        <v>0</v>
      </c>
      <c r="N5678">
        <v>0</v>
      </c>
      <c r="O5678">
        <v>12</v>
      </c>
    </row>
    <row r="5679" spans="1:15" x14ac:dyDescent="0.25">
      <c r="A5679" t="s">
        <v>940</v>
      </c>
      <c r="B5679" t="s">
        <v>2647</v>
      </c>
      <c r="C5679" t="s">
        <v>927</v>
      </c>
      <c r="D5679" t="s">
        <v>3052</v>
      </c>
      <c r="E5679" t="s">
        <v>3053</v>
      </c>
      <c r="F5679" t="s">
        <v>612</v>
      </c>
      <c r="G5679" t="s">
        <v>613</v>
      </c>
      <c r="H5679" t="s">
        <v>6889</v>
      </c>
      <c r="I5679">
        <v>41</v>
      </c>
      <c r="J5679">
        <v>0</v>
      </c>
      <c r="K5679">
        <v>0</v>
      </c>
      <c r="L5679">
        <v>0</v>
      </c>
      <c r="M5679">
        <v>41</v>
      </c>
      <c r="N5679">
        <v>0</v>
      </c>
      <c r="O5679">
        <v>0</v>
      </c>
    </row>
    <row r="5680" spans="1:15" x14ac:dyDescent="0.25">
      <c r="A5680" t="s">
        <v>1013</v>
      </c>
      <c r="B5680" t="s">
        <v>1959</v>
      </c>
      <c r="C5680" t="s">
        <v>927</v>
      </c>
      <c r="D5680" t="s">
        <v>3052</v>
      </c>
      <c r="E5680" t="s">
        <v>3053</v>
      </c>
      <c r="F5680" t="s">
        <v>612</v>
      </c>
      <c r="G5680" t="s">
        <v>613</v>
      </c>
      <c r="H5680" t="s">
        <v>6890</v>
      </c>
      <c r="I5680">
        <v>3</v>
      </c>
      <c r="J5680">
        <v>0</v>
      </c>
      <c r="K5680">
        <v>0</v>
      </c>
      <c r="L5680">
        <v>3</v>
      </c>
      <c r="M5680">
        <v>0</v>
      </c>
      <c r="N5680">
        <v>0</v>
      </c>
      <c r="O5680">
        <v>0</v>
      </c>
    </row>
    <row r="5681" spans="1:15" x14ac:dyDescent="0.25">
      <c r="A5681" t="s">
        <v>10681</v>
      </c>
      <c r="B5681" t="s">
        <v>10680</v>
      </c>
      <c r="C5681" t="s">
        <v>927</v>
      </c>
      <c r="D5681" t="s">
        <v>3052</v>
      </c>
      <c r="E5681" t="s">
        <v>3053</v>
      </c>
      <c r="F5681" t="s">
        <v>612</v>
      </c>
      <c r="G5681" t="s">
        <v>613</v>
      </c>
      <c r="H5681" t="s">
        <v>14954</v>
      </c>
      <c r="I5681">
        <v>22</v>
      </c>
      <c r="J5681">
        <v>0</v>
      </c>
      <c r="K5681">
        <v>0</v>
      </c>
      <c r="L5681">
        <v>0</v>
      </c>
      <c r="M5681">
        <v>0</v>
      </c>
      <c r="N5681">
        <v>0</v>
      </c>
      <c r="O5681">
        <v>22</v>
      </c>
    </row>
    <row r="5682" spans="1:15" x14ac:dyDescent="0.25">
      <c r="A5682" t="s">
        <v>943</v>
      </c>
      <c r="B5682" t="s">
        <v>2694</v>
      </c>
      <c r="C5682" t="s">
        <v>927</v>
      </c>
      <c r="D5682" t="s">
        <v>3052</v>
      </c>
      <c r="E5682" t="s">
        <v>3053</v>
      </c>
      <c r="F5682" t="s">
        <v>612</v>
      </c>
      <c r="G5682" t="s">
        <v>613</v>
      </c>
      <c r="H5682" t="s">
        <v>6891</v>
      </c>
      <c r="I5682">
        <v>134</v>
      </c>
      <c r="J5682">
        <v>124</v>
      </c>
      <c r="K5682">
        <v>0</v>
      </c>
      <c r="L5682">
        <v>0</v>
      </c>
      <c r="M5682">
        <v>10</v>
      </c>
      <c r="N5682">
        <v>0</v>
      </c>
      <c r="O5682">
        <v>0</v>
      </c>
    </row>
    <row r="5683" spans="1:15" x14ac:dyDescent="0.25">
      <c r="A5683" t="s">
        <v>1038</v>
      </c>
      <c r="B5683" t="s">
        <v>2068</v>
      </c>
      <c r="C5683" t="s">
        <v>927</v>
      </c>
      <c r="D5683" t="s">
        <v>3052</v>
      </c>
      <c r="E5683" t="s">
        <v>3053</v>
      </c>
      <c r="F5683" t="s">
        <v>612</v>
      </c>
      <c r="G5683" t="s">
        <v>613</v>
      </c>
      <c r="H5683" t="s">
        <v>14955</v>
      </c>
      <c r="I5683">
        <v>17</v>
      </c>
      <c r="J5683">
        <v>11</v>
      </c>
      <c r="K5683">
        <v>0</v>
      </c>
      <c r="L5683">
        <v>0</v>
      </c>
      <c r="M5683">
        <v>0</v>
      </c>
      <c r="N5683">
        <v>0</v>
      </c>
      <c r="O5683">
        <v>6</v>
      </c>
    </row>
    <row r="5684" spans="1:15" x14ac:dyDescent="0.25">
      <c r="A5684" t="s">
        <v>1144</v>
      </c>
      <c r="B5684" t="s">
        <v>2124</v>
      </c>
      <c r="C5684" t="s">
        <v>923</v>
      </c>
      <c r="D5684" t="s">
        <v>3063</v>
      </c>
      <c r="E5684" t="s">
        <v>3053</v>
      </c>
      <c r="F5684" t="s">
        <v>612</v>
      </c>
      <c r="G5684" t="s">
        <v>613</v>
      </c>
      <c r="H5684" t="s">
        <v>14956</v>
      </c>
      <c r="I5684">
        <v>10</v>
      </c>
      <c r="J5684">
        <v>10</v>
      </c>
      <c r="K5684">
        <v>0</v>
      </c>
      <c r="L5684">
        <v>0</v>
      </c>
      <c r="M5684">
        <v>0</v>
      </c>
      <c r="N5684">
        <v>0</v>
      </c>
      <c r="O5684">
        <v>0</v>
      </c>
    </row>
    <row r="5685" spans="1:15" x14ac:dyDescent="0.25">
      <c r="A5685" t="s">
        <v>1047</v>
      </c>
      <c r="B5685" t="s">
        <v>2815</v>
      </c>
      <c r="C5685" t="s">
        <v>923</v>
      </c>
      <c r="D5685" t="s">
        <v>3063</v>
      </c>
      <c r="E5685" t="s">
        <v>3053</v>
      </c>
      <c r="F5685" t="s">
        <v>612</v>
      </c>
      <c r="G5685" t="s">
        <v>613</v>
      </c>
      <c r="H5685" t="s">
        <v>6892</v>
      </c>
      <c r="I5685">
        <v>14</v>
      </c>
      <c r="J5685">
        <v>14</v>
      </c>
      <c r="K5685">
        <v>0</v>
      </c>
      <c r="L5685">
        <v>0</v>
      </c>
      <c r="M5685">
        <v>0</v>
      </c>
      <c r="N5685">
        <v>1</v>
      </c>
      <c r="O5685">
        <v>0</v>
      </c>
    </row>
    <row r="5686" spans="1:15" x14ac:dyDescent="0.25">
      <c r="A5686" t="s">
        <v>1048</v>
      </c>
      <c r="B5686" t="s">
        <v>2989</v>
      </c>
      <c r="C5686" t="s">
        <v>927</v>
      </c>
      <c r="D5686" t="s">
        <v>3052</v>
      </c>
      <c r="E5686" t="s">
        <v>3053</v>
      </c>
      <c r="F5686" t="s">
        <v>612</v>
      </c>
      <c r="G5686" t="s">
        <v>613</v>
      </c>
      <c r="H5686" t="s">
        <v>6893</v>
      </c>
      <c r="I5686">
        <v>139</v>
      </c>
      <c r="J5686">
        <v>119</v>
      </c>
      <c r="K5686">
        <v>0</v>
      </c>
      <c r="L5686">
        <v>16</v>
      </c>
      <c r="M5686">
        <v>3</v>
      </c>
      <c r="N5686">
        <v>0</v>
      </c>
      <c r="O5686">
        <v>1</v>
      </c>
    </row>
    <row r="5687" spans="1:15" x14ac:dyDescent="0.25">
      <c r="A5687" t="s">
        <v>1049</v>
      </c>
      <c r="B5687" t="s">
        <v>2138</v>
      </c>
      <c r="C5687" t="s">
        <v>927</v>
      </c>
      <c r="D5687" t="s">
        <v>3052</v>
      </c>
      <c r="E5687" t="s">
        <v>3053</v>
      </c>
      <c r="F5687" t="s">
        <v>612</v>
      </c>
      <c r="G5687" t="s">
        <v>613</v>
      </c>
      <c r="H5687" t="s">
        <v>6894</v>
      </c>
      <c r="I5687">
        <v>66</v>
      </c>
      <c r="J5687">
        <v>44</v>
      </c>
      <c r="K5687">
        <v>0</v>
      </c>
      <c r="L5687">
        <v>0</v>
      </c>
      <c r="M5687">
        <v>0</v>
      </c>
      <c r="N5687">
        <v>0</v>
      </c>
      <c r="O5687">
        <v>22</v>
      </c>
    </row>
    <row r="5688" spans="1:15" x14ac:dyDescent="0.25">
      <c r="A5688" t="s">
        <v>953</v>
      </c>
      <c r="B5688" t="s">
        <v>2014</v>
      </c>
      <c r="C5688" t="s">
        <v>927</v>
      </c>
      <c r="D5688" t="s">
        <v>3052</v>
      </c>
      <c r="E5688" t="s">
        <v>3053</v>
      </c>
      <c r="F5688" t="s">
        <v>612</v>
      </c>
      <c r="G5688" t="s">
        <v>613</v>
      </c>
      <c r="H5688" t="s">
        <v>6895</v>
      </c>
      <c r="I5688">
        <v>4</v>
      </c>
      <c r="J5688">
        <v>0</v>
      </c>
      <c r="K5688">
        <v>0</v>
      </c>
      <c r="L5688">
        <v>4</v>
      </c>
      <c r="M5688">
        <v>0</v>
      </c>
      <c r="N5688">
        <v>0</v>
      </c>
      <c r="O5688">
        <v>0</v>
      </c>
    </row>
    <row r="5689" spans="1:15" x14ac:dyDescent="0.25">
      <c r="A5689" t="s">
        <v>1055</v>
      </c>
      <c r="B5689" t="s">
        <v>1935</v>
      </c>
      <c r="C5689" t="s">
        <v>923</v>
      </c>
      <c r="D5689" t="s">
        <v>3063</v>
      </c>
      <c r="E5689" t="s">
        <v>3053</v>
      </c>
      <c r="F5689" t="s">
        <v>612</v>
      </c>
      <c r="G5689" t="s">
        <v>613</v>
      </c>
      <c r="H5689" t="s">
        <v>6896</v>
      </c>
      <c r="I5689">
        <v>132</v>
      </c>
      <c r="J5689">
        <v>132</v>
      </c>
      <c r="K5689">
        <v>0</v>
      </c>
      <c r="L5689">
        <v>0</v>
      </c>
      <c r="M5689">
        <v>0</v>
      </c>
      <c r="N5689">
        <v>1</v>
      </c>
      <c r="O5689">
        <v>0</v>
      </c>
    </row>
    <row r="5690" spans="1:15" x14ac:dyDescent="0.25">
      <c r="A5690" t="s">
        <v>11720</v>
      </c>
      <c r="B5690" t="s">
        <v>10718</v>
      </c>
      <c r="C5690" t="s">
        <v>927</v>
      </c>
      <c r="D5690" t="s">
        <v>3052</v>
      </c>
      <c r="E5690" t="s">
        <v>3053</v>
      </c>
      <c r="F5690" t="s">
        <v>612</v>
      </c>
      <c r="G5690" t="s">
        <v>613</v>
      </c>
      <c r="H5690" t="s">
        <v>14957</v>
      </c>
      <c r="I5690">
        <v>17</v>
      </c>
      <c r="J5690">
        <v>3</v>
      </c>
      <c r="K5690">
        <v>0</v>
      </c>
      <c r="L5690">
        <v>0</v>
      </c>
      <c r="M5690">
        <v>0</v>
      </c>
      <c r="N5690">
        <v>0</v>
      </c>
      <c r="O5690">
        <v>14</v>
      </c>
    </row>
    <row r="5691" spans="1:15" x14ac:dyDescent="0.25">
      <c r="A5691" t="s">
        <v>9788</v>
      </c>
      <c r="B5691" t="s">
        <v>9871</v>
      </c>
      <c r="C5691" t="s">
        <v>927</v>
      </c>
      <c r="D5691" t="s">
        <v>3052</v>
      </c>
      <c r="E5691" t="s">
        <v>3053</v>
      </c>
      <c r="F5691" t="s">
        <v>612</v>
      </c>
      <c r="G5691" t="s">
        <v>613</v>
      </c>
      <c r="H5691" t="s">
        <v>10366</v>
      </c>
      <c r="I5691">
        <v>29</v>
      </c>
      <c r="J5691">
        <v>29</v>
      </c>
      <c r="K5691">
        <v>0</v>
      </c>
      <c r="L5691">
        <v>0</v>
      </c>
      <c r="M5691">
        <v>0</v>
      </c>
      <c r="N5691">
        <v>0</v>
      </c>
      <c r="O5691">
        <v>0</v>
      </c>
    </row>
    <row r="5692" spans="1:15" x14ac:dyDescent="0.25">
      <c r="A5692" t="s">
        <v>1057</v>
      </c>
      <c r="B5692" t="s">
        <v>1972</v>
      </c>
      <c r="C5692" t="s">
        <v>927</v>
      </c>
      <c r="D5692" t="s">
        <v>3052</v>
      </c>
      <c r="E5692" t="s">
        <v>3053</v>
      </c>
      <c r="F5692" t="s">
        <v>612</v>
      </c>
      <c r="G5692" t="s">
        <v>613</v>
      </c>
      <c r="H5692" t="s">
        <v>6897</v>
      </c>
      <c r="I5692">
        <v>7</v>
      </c>
      <c r="J5692">
        <v>7</v>
      </c>
      <c r="K5692">
        <v>0</v>
      </c>
      <c r="L5692">
        <v>0</v>
      </c>
      <c r="M5692">
        <v>0</v>
      </c>
      <c r="N5692">
        <v>0</v>
      </c>
      <c r="O5692">
        <v>0</v>
      </c>
    </row>
    <row r="5693" spans="1:15" x14ac:dyDescent="0.25">
      <c r="A5693" t="s">
        <v>955</v>
      </c>
      <c r="B5693" t="s">
        <v>2660</v>
      </c>
      <c r="C5693" t="s">
        <v>927</v>
      </c>
      <c r="D5693" t="s">
        <v>3052</v>
      </c>
      <c r="E5693" t="s">
        <v>3053</v>
      </c>
      <c r="F5693" t="s">
        <v>612</v>
      </c>
      <c r="G5693" t="s">
        <v>613</v>
      </c>
      <c r="H5693" t="s">
        <v>6898</v>
      </c>
      <c r="I5693">
        <v>16</v>
      </c>
      <c r="J5693">
        <v>0</v>
      </c>
      <c r="K5693">
        <v>0</v>
      </c>
      <c r="L5693">
        <v>16</v>
      </c>
      <c r="M5693">
        <v>0</v>
      </c>
      <c r="N5693">
        <v>0</v>
      </c>
      <c r="O5693">
        <v>0</v>
      </c>
    </row>
    <row r="5694" spans="1:15" x14ac:dyDescent="0.25">
      <c r="A5694" t="s">
        <v>1060</v>
      </c>
      <c r="B5694" t="s">
        <v>2651</v>
      </c>
      <c r="C5694" t="s">
        <v>927</v>
      </c>
      <c r="D5694" t="s">
        <v>3052</v>
      </c>
      <c r="E5694" t="s">
        <v>3053</v>
      </c>
      <c r="F5694" t="s">
        <v>612</v>
      </c>
      <c r="G5694" t="s">
        <v>613</v>
      </c>
      <c r="H5694" t="s">
        <v>6899</v>
      </c>
      <c r="I5694">
        <v>293</v>
      </c>
      <c r="J5694">
        <v>219</v>
      </c>
      <c r="K5694">
        <v>0</v>
      </c>
      <c r="L5694">
        <v>0</v>
      </c>
      <c r="M5694">
        <v>22</v>
      </c>
      <c r="N5694">
        <v>0</v>
      </c>
      <c r="O5694">
        <v>52</v>
      </c>
    </row>
    <row r="5695" spans="1:15" x14ac:dyDescent="0.25">
      <c r="A5695" t="s">
        <v>14374</v>
      </c>
      <c r="B5695" t="s">
        <v>1943</v>
      </c>
      <c r="C5695" t="s">
        <v>927</v>
      </c>
      <c r="D5695" t="s">
        <v>3052</v>
      </c>
      <c r="E5695" t="s">
        <v>3053</v>
      </c>
      <c r="F5695" t="s">
        <v>612</v>
      </c>
      <c r="G5695" t="s">
        <v>613</v>
      </c>
      <c r="H5695" t="s">
        <v>14958</v>
      </c>
      <c r="I5695">
        <v>55</v>
      </c>
      <c r="J5695">
        <v>0</v>
      </c>
      <c r="K5695">
        <v>0</v>
      </c>
      <c r="L5695">
        <v>0</v>
      </c>
      <c r="M5695">
        <v>0</v>
      </c>
      <c r="N5695">
        <v>0</v>
      </c>
      <c r="O5695">
        <v>55</v>
      </c>
    </row>
    <row r="5696" spans="1:15" x14ac:dyDescent="0.25">
      <c r="A5696" t="s">
        <v>1069</v>
      </c>
      <c r="B5696" t="s">
        <v>2001</v>
      </c>
      <c r="C5696" t="s">
        <v>927</v>
      </c>
      <c r="D5696" t="s">
        <v>3052</v>
      </c>
      <c r="E5696" t="s">
        <v>3053</v>
      </c>
      <c r="F5696" t="s">
        <v>612</v>
      </c>
      <c r="G5696" t="s">
        <v>613</v>
      </c>
      <c r="H5696" t="s">
        <v>6900</v>
      </c>
      <c r="I5696">
        <v>171</v>
      </c>
      <c r="J5696">
        <v>126</v>
      </c>
      <c r="K5696">
        <v>0</v>
      </c>
      <c r="L5696">
        <v>0</v>
      </c>
      <c r="M5696">
        <v>27</v>
      </c>
      <c r="N5696">
        <v>0</v>
      </c>
      <c r="O5696">
        <v>18</v>
      </c>
    </row>
    <row r="5697" spans="1:15" x14ac:dyDescent="0.25">
      <c r="A5697" t="s">
        <v>1075</v>
      </c>
      <c r="B5697" t="s">
        <v>2830</v>
      </c>
      <c r="C5697" t="s">
        <v>927</v>
      </c>
      <c r="D5697" t="s">
        <v>3052</v>
      </c>
      <c r="E5697" t="s">
        <v>3053</v>
      </c>
      <c r="F5697" t="s">
        <v>612</v>
      </c>
      <c r="G5697" t="s">
        <v>613</v>
      </c>
      <c r="H5697" t="s">
        <v>6901</v>
      </c>
      <c r="I5697">
        <v>70</v>
      </c>
      <c r="J5697">
        <v>33</v>
      </c>
      <c r="K5697">
        <v>0</v>
      </c>
      <c r="L5697">
        <v>0</v>
      </c>
      <c r="M5697">
        <v>0</v>
      </c>
      <c r="N5697">
        <v>0</v>
      </c>
      <c r="O5697">
        <v>37</v>
      </c>
    </row>
    <row r="5698" spans="1:15" x14ac:dyDescent="0.25">
      <c r="A5698" t="s">
        <v>972</v>
      </c>
      <c r="B5698" t="s">
        <v>2842</v>
      </c>
      <c r="C5698" t="s">
        <v>927</v>
      </c>
      <c r="D5698" t="s">
        <v>3052</v>
      </c>
      <c r="E5698" t="s">
        <v>3053</v>
      </c>
      <c r="F5698" t="s">
        <v>614</v>
      </c>
      <c r="G5698" t="s">
        <v>615</v>
      </c>
      <c r="H5698" t="s">
        <v>6902</v>
      </c>
      <c r="I5698">
        <v>128</v>
      </c>
      <c r="J5698">
        <v>93</v>
      </c>
      <c r="K5698">
        <v>0</v>
      </c>
      <c r="L5698">
        <v>0</v>
      </c>
      <c r="M5698">
        <v>0</v>
      </c>
      <c r="N5698">
        <v>0</v>
      </c>
      <c r="O5698">
        <v>35</v>
      </c>
    </row>
    <row r="5699" spans="1:15" x14ac:dyDescent="0.25">
      <c r="A5699" t="s">
        <v>929</v>
      </c>
      <c r="B5699" t="s">
        <v>2999</v>
      </c>
      <c r="C5699" t="s">
        <v>927</v>
      </c>
      <c r="D5699" t="s">
        <v>3052</v>
      </c>
      <c r="E5699" t="s">
        <v>3053</v>
      </c>
      <c r="F5699" t="s">
        <v>614</v>
      </c>
      <c r="G5699" t="s">
        <v>615</v>
      </c>
      <c r="H5699" t="s">
        <v>6903</v>
      </c>
      <c r="I5699">
        <v>53</v>
      </c>
      <c r="J5699">
        <v>0</v>
      </c>
      <c r="K5699">
        <v>0</v>
      </c>
      <c r="L5699">
        <v>0</v>
      </c>
      <c r="M5699">
        <v>53</v>
      </c>
      <c r="N5699">
        <v>0</v>
      </c>
      <c r="O5699">
        <v>0</v>
      </c>
    </row>
    <row r="5700" spans="1:15" x14ac:dyDescent="0.25">
      <c r="A5700" t="s">
        <v>978</v>
      </c>
      <c r="B5700" t="s">
        <v>1999</v>
      </c>
      <c r="C5700" t="s">
        <v>923</v>
      </c>
      <c r="D5700" t="s">
        <v>3063</v>
      </c>
      <c r="E5700" t="s">
        <v>3053</v>
      </c>
      <c r="F5700" t="s">
        <v>614</v>
      </c>
      <c r="G5700" t="s">
        <v>615</v>
      </c>
      <c r="H5700" t="s">
        <v>6904</v>
      </c>
      <c r="I5700">
        <v>2</v>
      </c>
      <c r="J5700">
        <v>2</v>
      </c>
      <c r="K5700">
        <v>0</v>
      </c>
      <c r="L5700">
        <v>0</v>
      </c>
      <c r="M5700">
        <v>0</v>
      </c>
      <c r="N5700">
        <v>0</v>
      </c>
      <c r="O5700">
        <v>0</v>
      </c>
    </row>
    <row r="5701" spans="1:15" x14ac:dyDescent="0.25">
      <c r="A5701" t="s">
        <v>9790</v>
      </c>
      <c r="B5701" t="s">
        <v>1977</v>
      </c>
      <c r="C5701" t="s">
        <v>923</v>
      </c>
      <c r="D5701" t="s">
        <v>3063</v>
      </c>
      <c r="E5701" t="s">
        <v>3053</v>
      </c>
      <c r="F5701" t="s">
        <v>614</v>
      </c>
      <c r="G5701" t="s">
        <v>615</v>
      </c>
      <c r="H5701" t="s">
        <v>12224</v>
      </c>
      <c r="I5701">
        <v>4</v>
      </c>
      <c r="J5701">
        <v>0</v>
      </c>
      <c r="K5701">
        <v>0</v>
      </c>
      <c r="L5701">
        <v>4</v>
      </c>
      <c r="M5701">
        <v>0</v>
      </c>
      <c r="N5701">
        <v>0</v>
      </c>
      <c r="O5701">
        <v>0</v>
      </c>
    </row>
    <row r="5702" spans="1:15" x14ac:dyDescent="0.25">
      <c r="A5702" t="s">
        <v>9784</v>
      </c>
      <c r="B5702" t="s">
        <v>1994</v>
      </c>
      <c r="C5702" t="s">
        <v>927</v>
      </c>
      <c r="D5702" t="s">
        <v>3052</v>
      </c>
      <c r="E5702" t="s">
        <v>3053</v>
      </c>
      <c r="F5702" t="s">
        <v>614</v>
      </c>
      <c r="G5702" t="s">
        <v>615</v>
      </c>
      <c r="H5702" t="s">
        <v>11174</v>
      </c>
      <c r="I5702">
        <v>36</v>
      </c>
      <c r="J5702">
        <v>0</v>
      </c>
      <c r="K5702">
        <v>0</v>
      </c>
      <c r="L5702">
        <v>36</v>
      </c>
      <c r="M5702">
        <v>0</v>
      </c>
      <c r="N5702">
        <v>5</v>
      </c>
      <c r="O5702">
        <v>0</v>
      </c>
    </row>
    <row r="5703" spans="1:15" x14ac:dyDescent="0.25">
      <c r="A5703" t="s">
        <v>989</v>
      </c>
      <c r="B5703" t="s">
        <v>2016</v>
      </c>
      <c r="C5703" t="s">
        <v>923</v>
      </c>
      <c r="D5703" t="s">
        <v>3063</v>
      </c>
      <c r="E5703" t="s">
        <v>3053</v>
      </c>
      <c r="F5703" t="s">
        <v>614</v>
      </c>
      <c r="G5703" t="s">
        <v>615</v>
      </c>
      <c r="H5703" t="s">
        <v>6905</v>
      </c>
      <c r="I5703">
        <v>5</v>
      </c>
      <c r="J5703">
        <v>0</v>
      </c>
      <c r="K5703">
        <v>0</v>
      </c>
      <c r="L5703">
        <v>5</v>
      </c>
      <c r="M5703">
        <v>0</v>
      </c>
      <c r="N5703">
        <v>0</v>
      </c>
      <c r="O5703">
        <v>0</v>
      </c>
    </row>
    <row r="5704" spans="1:15" x14ac:dyDescent="0.25">
      <c r="A5704" t="s">
        <v>10638</v>
      </c>
      <c r="B5704" t="s">
        <v>2057</v>
      </c>
      <c r="C5704" t="s">
        <v>927</v>
      </c>
      <c r="D5704" t="s">
        <v>3052</v>
      </c>
      <c r="E5704" t="s">
        <v>3053</v>
      </c>
      <c r="F5704" t="s">
        <v>614</v>
      </c>
      <c r="G5704" t="s">
        <v>615</v>
      </c>
      <c r="H5704" t="s">
        <v>11175</v>
      </c>
      <c r="I5704">
        <v>56</v>
      </c>
      <c r="J5704">
        <v>0</v>
      </c>
      <c r="K5704">
        <v>0</v>
      </c>
      <c r="L5704">
        <v>56</v>
      </c>
      <c r="M5704">
        <v>0</v>
      </c>
      <c r="N5704">
        <v>0</v>
      </c>
      <c r="O5704">
        <v>0</v>
      </c>
    </row>
    <row r="5705" spans="1:15" x14ac:dyDescent="0.25">
      <c r="A5705" t="s">
        <v>1887</v>
      </c>
      <c r="B5705" t="s">
        <v>2295</v>
      </c>
      <c r="C5705" t="s">
        <v>923</v>
      </c>
      <c r="D5705" t="s">
        <v>3063</v>
      </c>
      <c r="E5705" t="s">
        <v>3053</v>
      </c>
      <c r="F5705" t="s">
        <v>614</v>
      </c>
      <c r="G5705" t="s">
        <v>615</v>
      </c>
      <c r="H5705" t="s">
        <v>6906</v>
      </c>
      <c r="I5705">
        <v>6</v>
      </c>
      <c r="J5705">
        <v>0</v>
      </c>
      <c r="K5705">
        <v>0</v>
      </c>
      <c r="L5705">
        <v>0</v>
      </c>
      <c r="M5705">
        <v>6</v>
      </c>
      <c r="N5705">
        <v>0</v>
      </c>
      <c r="O5705">
        <v>0</v>
      </c>
    </row>
    <row r="5706" spans="1:15" x14ac:dyDescent="0.25">
      <c r="A5706" t="s">
        <v>11725</v>
      </c>
      <c r="B5706" t="s">
        <v>3005</v>
      </c>
      <c r="C5706" t="s">
        <v>923</v>
      </c>
      <c r="D5706" t="s">
        <v>3063</v>
      </c>
      <c r="E5706" t="s">
        <v>3053</v>
      </c>
      <c r="F5706" t="s">
        <v>614</v>
      </c>
      <c r="G5706" t="s">
        <v>615</v>
      </c>
      <c r="H5706" t="s">
        <v>12225</v>
      </c>
      <c r="I5706">
        <v>106</v>
      </c>
      <c r="J5706">
        <v>0</v>
      </c>
      <c r="K5706">
        <v>0</v>
      </c>
      <c r="L5706">
        <v>106</v>
      </c>
      <c r="M5706">
        <v>0</v>
      </c>
      <c r="N5706">
        <v>0</v>
      </c>
      <c r="O5706">
        <v>0</v>
      </c>
    </row>
    <row r="5707" spans="1:15" x14ac:dyDescent="0.25">
      <c r="A5707" t="s">
        <v>937</v>
      </c>
      <c r="B5707" t="s">
        <v>1962</v>
      </c>
      <c r="C5707" t="s">
        <v>927</v>
      </c>
      <c r="D5707" t="s">
        <v>3052</v>
      </c>
      <c r="E5707" t="s">
        <v>3053</v>
      </c>
      <c r="F5707" t="s">
        <v>614</v>
      </c>
      <c r="G5707" t="s">
        <v>615</v>
      </c>
      <c r="H5707" t="s">
        <v>12226</v>
      </c>
      <c r="I5707">
        <v>1</v>
      </c>
      <c r="J5707">
        <v>0</v>
      </c>
      <c r="K5707">
        <v>0</v>
      </c>
      <c r="L5707">
        <v>0</v>
      </c>
      <c r="M5707">
        <v>0</v>
      </c>
      <c r="N5707">
        <v>0</v>
      </c>
      <c r="O5707">
        <v>1</v>
      </c>
    </row>
    <row r="5708" spans="1:15" x14ac:dyDescent="0.25">
      <c r="A5708" t="s">
        <v>940</v>
      </c>
      <c r="B5708" t="s">
        <v>2647</v>
      </c>
      <c r="C5708" t="s">
        <v>927</v>
      </c>
      <c r="D5708" t="s">
        <v>3052</v>
      </c>
      <c r="E5708" t="s">
        <v>3053</v>
      </c>
      <c r="F5708" t="s">
        <v>614</v>
      </c>
      <c r="G5708" t="s">
        <v>615</v>
      </c>
      <c r="H5708" t="s">
        <v>6907</v>
      </c>
      <c r="I5708">
        <v>67</v>
      </c>
      <c r="J5708">
        <v>0</v>
      </c>
      <c r="K5708">
        <v>0</v>
      </c>
      <c r="L5708">
        <v>0</v>
      </c>
      <c r="M5708">
        <v>67</v>
      </c>
      <c r="N5708">
        <v>0</v>
      </c>
      <c r="O5708">
        <v>0</v>
      </c>
    </row>
    <row r="5709" spans="1:15" x14ac:dyDescent="0.25">
      <c r="A5709" t="s">
        <v>1013</v>
      </c>
      <c r="B5709" t="s">
        <v>1959</v>
      </c>
      <c r="C5709" t="s">
        <v>927</v>
      </c>
      <c r="D5709" t="s">
        <v>3052</v>
      </c>
      <c r="E5709" t="s">
        <v>3053</v>
      </c>
      <c r="F5709" t="s">
        <v>614</v>
      </c>
      <c r="G5709" t="s">
        <v>615</v>
      </c>
      <c r="H5709" t="s">
        <v>6908</v>
      </c>
      <c r="I5709">
        <v>166</v>
      </c>
      <c r="J5709">
        <v>0</v>
      </c>
      <c r="K5709">
        <v>0</v>
      </c>
      <c r="L5709">
        <v>106</v>
      </c>
      <c r="M5709">
        <v>60</v>
      </c>
      <c r="N5709">
        <v>0</v>
      </c>
      <c r="O5709">
        <v>0</v>
      </c>
    </row>
    <row r="5710" spans="1:15" x14ac:dyDescent="0.25">
      <c r="A5710" t="s">
        <v>1022</v>
      </c>
      <c r="B5710" t="s">
        <v>2116</v>
      </c>
      <c r="C5710" t="s">
        <v>927</v>
      </c>
      <c r="D5710" t="s">
        <v>3052</v>
      </c>
      <c r="E5710" t="s">
        <v>3053</v>
      </c>
      <c r="F5710" t="s">
        <v>614</v>
      </c>
      <c r="G5710" t="s">
        <v>615</v>
      </c>
      <c r="H5710" t="s">
        <v>6909</v>
      </c>
      <c r="I5710">
        <v>7142</v>
      </c>
      <c r="J5710">
        <v>6128</v>
      </c>
      <c r="K5710">
        <v>0</v>
      </c>
      <c r="L5710">
        <v>0</v>
      </c>
      <c r="M5710">
        <v>881</v>
      </c>
      <c r="N5710">
        <v>0</v>
      </c>
      <c r="O5710">
        <v>133</v>
      </c>
    </row>
    <row r="5711" spans="1:15" x14ac:dyDescent="0.25">
      <c r="A5711" t="s">
        <v>1026</v>
      </c>
      <c r="B5711" t="s">
        <v>2848</v>
      </c>
      <c r="C5711" t="s">
        <v>927</v>
      </c>
      <c r="D5711" t="s">
        <v>3052</v>
      </c>
      <c r="E5711" t="s">
        <v>3053</v>
      </c>
      <c r="F5711" t="s">
        <v>614</v>
      </c>
      <c r="G5711" t="s">
        <v>615</v>
      </c>
      <c r="H5711" t="s">
        <v>6910</v>
      </c>
      <c r="I5711">
        <v>1525</v>
      </c>
      <c r="J5711">
        <v>1406</v>
      </c>
      <c r="K5711">
        <v>0</v>
      </c>
      <c r="L5711">
        <v>68</v>
      </c>
      <c r="M5711">
        <v>0</v>
      </c>
      <c r="N5711">
        <v>0</v>
      </c>
      <c r="O5711">
        <v>51</v>
      </c>
    </row>
    <row r="5712" spans="1:15" x14ac:dyDescent="0.25">
      <c r="A5712" t="s">
        <v>1039</v>
      </c>
      <c r="B5712" t="s">
        <v>2885</v>
      </c>
      <c r="C5712" t="s">
        <v>927</v>
      </c>
      <c r="D5712" t="s">
        <v>3052</v>
      </c>
      <c r="E5712" t="s">
        <v>3053</v>
      </c>
      <c r="F5712" t="s">
        <v>614</v>
      </c>
      <c r="G5712" t="s">
        <v>615</v>
      </c>
      <c r="H5712" t="s">
        <v>14959</v>
      </c>
      <c r="I5712">
        <v>321</v>
      </c>
      <c r="J5712">
        <v>235</v>
      </c>
      <c r="K5712">
        <v>0</v>
      </c>
      <c r="L5712">
        <v>0</v>
      </c>
      <c r="M5712">
        <v>30</v>
      </c>
      <c r="N5712">
        <v>13</v>
      </c>
      <c r="O5712">
        <v>56</v>
      </c>
    </row>
    <row r="5713" spans="1:15" x14ac:dyDescent="0.25">
      <c r="A5713" t="s">
        <v>951</v>
      </c>
      <c r="B5713" t="s">
        <v>2680</v>
      </c>
      <c r="C5713" t="s">
        <v>927</v>
      </c>
      <c r="D5713" t="s">
        <v>3052</v>
      </c>
      <c r="E5713" t="s">
        <v>3053</v>
      </c>
      <c r="F5713" t="s">
        <v>614</v>
      </c>
      <c r="G5713" t="s">
        <v>615</v>
      </c>
      <c r="H5713" t="s">
        <v>6911</v>
      </c>
      <c r="I5713">
        <v>6</v>
      </c>
      <c r="J5713">
        <v>6</v>
      </c>
      <c r="K5713">
        <v>0</v>
      </c>
      <c r="L5713">
        <v>0</v>
      </c>
      <c r="M5713">
        <v>0</v>
      </c>
      <c r="N5713">
        <v>0</v>
      </c>
      <c r="O5713">
        <v>0</v>
      </c>
    </row>
    <row r="5714" spans="1:15" x14ac:dyDescent="0.25">
      <c r="A5714" t="s">
        <v>1048</v>
      </c>
      <c r="B5714" t="s">
        <v>2989</v>
      </c>
      <c r="C5714" t="s">
        <v>927</v>
      </c>
      <c r="D5714" t="s">
        <v>3052</v>
      </c>
      <c r="E5714" t="s">
        <v>3053</v>
      </c>
      <c r="F5714" t="s">
        <v>614</v>
      </c>
      <c r="G5714" t="s">
        <v>615</v>
      </c>
      <c r="H5714" t="s">
        <v>10312</v>
      </c>
      <c r="I5714">
        <v>60</v>
      </c>
      <c r="J5714">
        <v>0</v>
      </c>
      <c r="K5714">
        <v>0</v>
      </c>
      <c r="L5714">
        <v>60</v>
      </c>
      <c r="M5714">
        <v>0</v>
      </c>
      <c r="N5714">
        <v>0</v>
      </c>
      <c r="O5714">
        <v>0</v>
      </c>
    </row>
    <row r="5715" spans="1:15" x14ac:dyDescent="0.25">
      <c r="A5715" t="s">
        <v>1049</v>
      </c>
      <c r="B5715" t="s">
        <v>2138</v>
      </c>
      <c r="C5715" t="s">
        <v>927</v>
      </c>
      <c r="D5715" t="s">
        <v>3052</v>
      </c>
      <c r="E5715" t="s">
        <v>3053</v>
      </c>
      <c r="F5715" t="s">
        <v>614</v>
      </c>
      <c r="G5715" t="s">
        <v>615</v>
      </c>
      <c r="H5715" t="s">
        <v>14960</v>
      </c>
      <c r="I5715">
        <v>18</v>
      </c>
      <c r="J5715">
        <v>0</v>
      </c>
      <c r="K5715">
        <v>0</v>
      </c>
      <c r="L5715">
        <v>0</v>
      </c>
      <c r="M5715">
        <v>0</v>
      </c>
      <c r="N5715">
        <v>0</v>
      </c>
      <c r="O5715">
        <v>18</v>
      </c>
    </row>
    <row r="5716" spans="1:15" x14ac:dyDescent="0.25">
      <c r="A5716" t="s">
        <v>1051</v>
      </c>
      <c r="B5716" t="s">
        <v>2995</v>
      </c>
      <c r="C5716" t="s">
        <v>927</v>
      </c>
      <c r="D5716" t="s">
        <v>3052</v>
      </c>
      <c r="E5716" t="s">
        <v>3053</v>
      </c>
      <c r="F5716" t="s">
        <v>614</v>
      </c>
      <c r="G5716" t="s">
        <v>615</v>
      </c>
      <c r="H5716" t="s">
        <v>6912</v>
      </c>
      <c r="I5716">
        <v>39</v>
      </c>
      <c r="J5716">
        <v>0</v>
      </c>
      <c r="K5716">
        <v>0</v>
      </c>
      <c r="L5716">
        <v>39</v>
      </c>
      <c r="M5716">
        <v>0</v>
      </c>
      <c r="N5716">
        <v>0</v>
      </c>
      <c r="O5716">
        <v>0</v>
      </c>
    </row>
    <row r="5717" spans="1:15" x14ac:dyDescent="0.25">
      <c r="A5717" t="s">
        <v>11720</v>
      </c>
      <c r="B5717" t="s">
        <v>10718</v>
      </c>
      <c r="C5717" t="s">
        <v>927</v>
      </c>
      <c r="D5717" t="s">
        <v>3052</v>
      </c>
      <c r="E5717" t="s">
        <v>3053</v>
      </c>
      <c r="F5717" t="s">
        <v>614</v>
      </c>
      <c r="G5717" t="s">
        <v>615</v>
      </c>
      <c r="H5717" t="s">
        <v>14961</v>
      </c>
      <c r="I5717">
        <v>17</v>
      </c>
      <c r="J5717">
        <v>13</v>
      </c>
      <c r="K5717">
        <v>0</v>
      </c>
      <c r="L5717">
        <v>0</v>
      </c>
      <c r="M5717">
        <v>0</v>
      </c>
      <c r="N5717">
        <v>0</v>
      </c>
      <c r="O5717">
        <v>4</v>
      </c>
    </row>
    <row r="5718" spans="1:15" x14ac:dyDescent="0.25">
      <c r="A5718" t="s">
        <v>9788</v>
      </c>
      <c r="B5718" t="s">
        <v>9871</v>
      </c>
      <c r="C5718" t="s">
        <v>927</v>
      </c>
      <c r="D5718" t="s">
        <v>3052</v>
      </c>
      <c r="E5718" t="s">
        <v>3053</v>
      </c>
      <c r="F5718" t="s">
        <v>614</v>
      </c>
      <c r="G5718" t="s">
        <v>615</v>
      </c>
      <c r="H5718" t="s">
        <v>14962</v>
      </c>
      <c r="I5718">
        <v>4</v>
      </c>
      <c r="J5718">
        <v>4</v>
      </c>
      <c r="K5718">
        <v>0</v>
      </c>
      <c r="L5718">
        <v>0</v>
      </c>
      <c r="M5718">
        <v>0</v>
      </c>
      <c r="N5718">
        <v>0</v>
      </c>
      <c r="O5718">
        <v>0</v>
      </c>
    </row>
    <row r="5719" spans="1:15" x14ac:dyDescent="0.25">
      <c r="A5719" t="s">
        <v>955</v>
      </c>
      <c r="B5719" t="s">
        <v>2660</v>
      </c>
      <c r="C5719" t="s">
        <v>927</v>
      </c>
      <c r="D5719" t="s">
        <v>3052</v>
      </c>
      <c r="E5719" t="s">
        <v>3053</v>
      </c>
      <c r="F5719" t="s">
        <v>614</v>
      </c>
      <c r="G5719" t="s">
        <v>615</v>
      </c>
      <c r="H5719" t="s">
        <v>6913</v>
      </c>
      <c r="I5719">
        <v>62</v>
      </c>
      <c r="J5719">
        <v>58</v>
      </c>
      <c r="K5719">
        <v>0</v>
      </c>
      <c r="L5719">
        <v>0</v>
      </c>
      <c r="M5719">
        <v>0</v>
      </c>
      <c r="N5719">
        <v>0</v>
      </c>
      <c r="O5719">
        <v>4</v>
      </c>
    </row>
    <row r="5720" spans="1:15" x14ac:dyDescent="0.25">
      <c r="A5720" t="s">
        <v>1069</v>
      </c>
      <c r="B5720" t="s">
        <v>2001</v>
      </c>
      <c r="C5720" t="s">
        <v>927</v>
      </c>
      <c r="D5720" t="s">
        <v>3052</v>
      </c>
      <c r="E5720" t="s">
        <v>3053</v>
      </c>
      <c r="F5720" t="s">
        <v>614</v>
      </c>
      <c r="G5720" t="s">
        <v>615</v>
      </c>
      <c r="H5720" t="s">
        <v>6914</v>
      </c>
      <c r="I5720">
        <v>1</v>
      </c>
      <c r="J5720">
        <v>0</v>
      </c>
      <c r="K5720">
        <v>0</v>
      </c>
      <c r="L5720">
        <v>0</v>
      </c>
      <c r="M5720">
        <v>0</v>
      </c>
      <c r="N5720">
        <v>0</v>
      </c>
      <c r="O5720">
        <v>1</v>
      </c>
    </row>
    <row r="5721" spans="1:15" x14ac:dyDescent="0.25">
      <c r="A5721" t="s">
        <v>1072</v>
      </c>
      <c r="B5721" t="s">
        <v>2907</v>
      </c>
      <c r="C5721" t="s">
        <v>927</v>
      </c>
      <c r="D5721" t="s">
        <v>3052</v>
      </c>
      <c r="E5721" t="s">
        <v>3053</v>
      </c>
      <c r="F5721" t="s">
        <v>614</v>
      </c>
      <c r="G5721" t="s">
        <v>615</v>
      </c>
      <c r="H5721" t="s">
        <v>6915</v>
      </c>
      <c r="I5721">
        <v>1</v>
      </c>
      <c r="J5721">
        <v>1</v>
      </c>
      <c r="K5721">
        <v>0</v>
      </c>
      <c r="L5721">
        <v>0</v>
      </c>
      <c r="M5721">
        <v>0</v>
      </c>
      <c r="N5721">
        <v>0</v>
      </c>
      <c r="O5721">
        <v>0</v>
      </c>
    </row>
    <row r="5722" spans="1:15" x14ac:dyDescent="0.25">
      <c r="A5722" t="s">
        <v>1075</v>
      </c>
      <c r="B5722" t="s">
        <v>2830</v>
      </c>
      <c r="C5722" t="s">
        <v>927</v>
      </c>
      <c r="D5722" t="s">
        <v>3052</v>
      </c>
      <c r="E5722" t="s">
        <v>3053</v>
      </c>
      <c r="F5722" t="s">
        <v>614</v>
      </c>
      <c r="G5722" t="s">
        <v>615</v>
      </c>
      <c r="H5722" t="s">
        <v>6916</v>
      </c>
      <c r="I5722">
        <v>4</v>
      </c>
      <c r="J5722">
        <v>4</v>
      </c>
      <c r="K5722">
        <v>0</v>
      </c>
      <c r="L5722">
        <v>0</v>
      </c>
      <c r="M5722">
        <v>0</v>
      </c>
      <c r="N5722">
        <v>0</v>
      </c>
      <c r="O5722">
        <v>0</v>
      </c>
    </row>
    <row r="5723" spans="1:15" x14ac:dyDescent="0.25">
      <c r="A5723" t="s">
        <v>1016</v>
      </c>
      <c r="B5723" t="s">
        <v>2725</v>
      </c>
      <c r="C5723" t="s">
        <v>927</v>
      </c>
      <c r="D5723" t="s">
        <v>3052</v>
      </c>
      <c r="E5723" t="s">
        <v>3053</v>
      </c>
      <c r="F5723" t="s">
        <v>616</v>
      </c>
      <c r="G5723" t="s">
        <v>617</v>
      </c>
      <c r="H5723" t="s">
        <v>6929</v>
      </c>
      <c r="I5723">
        <v>49</v>
      </c>
      <c r="J5723">
        <v>0</v>
      </c>
      <c r="K5723">
        <v>0</v>
      </c>
      <c r="L5723">
        <v>0</v>
      </c>
      <c r="M5723">
        <v>49</v>
      </c>
      <c r="N5723">
        <v>0</v>
      </c>
      <c r="O5723">
        <v>0</v>
      </c>
    </row>
    <row r="5724" spans="1:15" x14ac:dyDescent="0.25">
      <c r="A5724" t="s">
        <v>926</v>
      </c>
      <c r="B5724" t="s">
        <v>2923</v>
      </c>
      <c r="C5724" t="s">
        <v>927</v>
      </c>
      <c r="D5724" t="s">
        <v>3052</v>
      </c>
      <c r="E5724" t="s">
        <v>3053</v>
      </c>
      <c r="F5724" t="s">
        <v>616</v>
      </c>
      <c r="G5724" t="s">
        <v>617</v>
      </c>
      <c r="H5724" t="s">
        <v>6917</v>
      </c>
      <c r="I5724">
        <v>8</v>
      </c>
      <c r="J5724">
        <v>0</v>
      </c>
      <c r="K5724">
        <v>0</v>
      </c>
      <c r="L5724">
        <v>8</v>
      </c>
      <c r="M5724">
        <v>0</v>
      </c>
      <c r="N5724">
        <v>0</v>
      </c>
      <c r="O5724">
        <v>0</v>
      </c>
    </row>
    <row r="5725" spans="1:15" x14ac:dyDescent="0.25">
      <c r="A5725" t="s">
        <v>929</v>
      </c>
      <c r="B5725" t="s">
        <v>2999</v>
      </c>
      <c r="C5725" t="s">
        <v>927</v>
      </c>
      <c r="D5725" t="s">
        <v>3052</v>
      </c>
      <c r="E5725" t="s">
        <v>3053</v>
      </c>
      <c r="F5725" t="s">
        <v>616</v>
      </c>
      <c r="G5725" t="s">
        <v>617</v>
      </c>
      <c r="H5725" t="s">
        <v>6918</v>
      </c>
      <c r="I5725">
        <v>30</v>
      </c>
      <c r="J5725">
        <v>0</v>
      </c>
      <c r="K5725">
        <v>0</v>
      </c>
      <c r="L5725">
        <v>0</v>
      </c>
      <c r="M5725">
        <v>30</v>
      </c>
      <c r="N5725">
        <v>0</v>
      </c>
      <c r="O5725">
        <v>0</v>
      </c>
    </row>
    <row r="5726" spans="1:15" x14ac:dyDescent="0.25">
      <c r="A5726" t="s">
        <v>1090</v>
      </c>
      <c r="B5726" t="s">
        <v>2875</v>
      </c>
      <c r="C5726" t="s">
        <v>927</v>
      </c>
      <c r="D5726" t="s">
        <v>3052</v>
      </c>
      <c r="E5726" t="s">
        <v>3053</v>
      </c>
      <c r="F5726" t="s">
        <v>616</v>
      </c>
      <c r="G5726" t="s">
        <v>617</v>
      </c>
      <c r="H5726" t="s">
        <v>6919</v>
      </c>
      <c r="I5726">
        <v>31</v>
      </c>
      <c r="J5726">
        <v>20</v>
      </c>
      <c r="K5726">
        <v>0</v>
      </c>
      <c r="L5726">
        <v>0</v>
      </c>
      <c r="M5726">
        <v>0</v>
      </c>
      <c r="N5726">
        <v>0</v>
      </c>
      <c r="O5726">
        <v>11</v>
      </c>
    </row>
    <row r="5727" spans="1:15" x14ac:dyDescent="0.25">
      <c r="A5727" t="s">
        <v>933</v>
      </c>
      <c r="B5727" t="s">
        <v>2106</v>
      </c>
      <c r="C5727" t="s">
        <v>927</v>
      </c>
      <c r="D5727" t="s">
        <v>3052</v>
      </c>
      <c r="E5727" t="s">
        <v>3053</v>
      </c>
      <c r="F5727" t="s">
        <v>616</v>
      </c>
      <c r="G5727" t="s">
        <v>617</v>
      </c>
      <c r="H5727" t="s">
        <v>6920</v>
      </c>
      <c r="I5727">
        <v>382</v>
      </c>
      <c r="J5727">
        <v>337</v>
      </c>
      <c r="K5727">
        <v>0</v>
      </c>
      <c r="L5727">
        <v>0</v>
      </c>
      <c r="M5727">
        <v>24</v>
      </c>
      <c r="N5727">
        <v>1</v>
      </c>
      <c r="O5727">
        <v>21</v>
      </c>
    </row>
    <row r="5728" spans="1:15" x14ac:dyDescent="0.25">
      <c r="A5728" t="s">
        <v>1112</v>
      </c>
      <c r="B5728" t="s">
        <v>2143</v>
      </c>
      <c r="C5728" t="s">
        <v>927</v>
      </c>
      <c r="D5728" t="s">
        <v>3052</v>
      </c>
      <c r="E5728" t="s">
        <v>3053</v>
      </c>
      <c r="F5728" t="s">
        <v>616</v>
      </c>
      <c r="G5728" t="s">
        <v>617</v>
      </c>
      <c r="H5728" t="s">
        <v>6921</v>
      </c>
      <c r="I5728">
        <v>1319</v>
      </c>
      <c r="J5728">
        <v>1078</v>
      </c>
      <c r="K5728">
        <v>0</v>
      </c>
      <c r="L5728">
        <v>7</v>
      </c>
      <c r="M5728">
        <v>207</v>
      </c>
      <c r="N5728">
        <v>1</v>
      </c>
      <c r="O5728">
        <v>27</v>
      </c>
    </row>
    <row r="5729" spans="1:15" x14ac:dyDescent="0.25">
      <c r="A5729" t="s">
        <v>1116</v>
      </c>
      <c r="B5729" t="s">
        <v>2508</v>
      </c>
      <c r="C5729" t="s">
        <v>923</v>
      </c>
      <c r="D5729" t="s">
        <v>3063</v>
      </c>
      <c r="E5729" t="s">
        <v>3053</v>
      </c>
      <c r="F5729" t="s">
        <v>616</v>
      </c>
      <c r="G5729" t="s">
        <v>617</v>
      </c>
      <c r="H5729" t="s">
        <v>14963</v>
      </c>
      <c r="I5729">
        <v>20</v>
      </c>
      <c r="J5729">
        <v>20</v>
      </c>
      <c r="K5729">
        <v>0</v>
      </c>
      <c r="L5729">
        <v>0</v>
      </c>
      <c r="M5729">
        <v>0</v>
      </c>
      <c r="N5729">
        <v>0</v>
      </c>
      <c r="O5729">
        <v>0</v>
      </c>
    </row>
    <row r="5730" spans="1:15" x14ac:dyDescent="0.25">
      <c r="A5730" t="s">
        <v>1008</v>
      </c>
      <c r="B5730" t="s">
        <v>2928</v>
      </c>
      <c r="C5730" t="s">
        <v>927</v>
      </c>
      <c r="D5730" t="s">
        <v>3052</v>
      </c>
      <c r="E5730" t="s">
        <v>3053</v>
      </c>
      <c r="F5730" t="s">
        <v>616</v>
      </c>
      <c r="G5730" t="s">
        <v>617</v>
      </c>
      <c r="H5730" t="s">
        <v>6922</v>
      </c>
      <c r="I5730">
        <v>13</v>
      </c>
      <c r="J5730">
        <v>13</v>
      </c>
      <c r="K5730">
        <v>0</v>
      </c>
      <c r="L5730">
        <v>0</v>
      </c>
      <c r="M5730">
        <v>0</v>
      </c>
      <c r="N5730">
        <v>1</v>
      </c>
      <c r="O5730">
        <v>0</v>
      </c>
    </row>
    <row r="5731" spans="1:15" x14ac:dyDescent="0.25">
      <c r="A5731" t="s">
        <v>1010</v>
      </c>
      <c r="B5731" t="s">
        <v>2639</v>
      </c>
      <c r="C5731" t="s">
        <v>927</v>
      </c>
      <c r="D5731" t="s">
        <v>3052</v>
      </c>
      <c r="E5731" t="s">
        <v>3053</v>
      </c>
      <c r="F5731" t="s">
        <v>616</v>
      </c>
      <c r="G5731" t="s">
        <v>617</v>
      </c>
      <c r="H5731" t="s">
        <v>6923</v>
      </c>
      <c r="I5731">
        <v>4</v>
      </c>
      <c r="J5731">
        <v>0</v>
      </c>
      <c r="K5731">
        <v>0</v>
      </c>
      <c r="L5731">
        <v>0</v>
      </c>
      <c r="M5731">
        <v>0</v>
      </c>
      <c r="N5731">
        <v>0</v>
      </c>
      <c r="O5731">
        <v>4</v>
      </c>
    </row>
    <row r="5732" spans="1:15" x14ac:dyDescent="0.25">
      <c r="A5732" t="s">
        <v>937</v>
      </c>
      <c r="B5732" t="s">
        <v>1962</v>
      </c>
      <c r="C5732" t="s">
        <v>927</v>
      </c>
      <c r="D5732" t="s">
        <v>3052</v>
      </c>
      <c r="E5732" t="s">
        <v>3053</v>
      </c>
      <c r="F5732" t="s">
        <v>616</v>
      </c>
      <c r="G5732" t="s">
        <v>617</v>
      </c>
      <c r="H5732" t="s">
        <v>6924</v>
      </c>
      <c r="I5732">
        <v>57</v>
      </c>
      <c r="J5732">
        <v>0</v>
      </c>
      <c r="K5732">
        <v>0</v>
      </c>
      <c r="L5732">
        <v>0</v>
      </c>
      <c r="M5732">
        <v>0</v>
      </c>
      <c r="N5732">
        <v>0</v>
      </c>
      <c r="O5732">
        <v>57</v>
      </c>
    </row>
    <row r="5733" spans="1:15" x14ac:dyDescent="0.25">
      <c r="A5733" t="s">
        <v>1119</v>
      </c>
      <c r="B5733" t="s">
        <v>2777</v>
      </c>
      <c r="C5733" t="s">
        <v>927</v>
      </c>
      <c r="D5733" t="s">
        <v>3052</v>
      </c>
      <c r="E5733" t="s">
        <v>3053</v>
      </c>
      <c r="F5733" t="s">
        <v>616</v>
      </c>
      <c r="G5733" t="s">
        <v>617</v>
      </c>
      <c r="H5733" t="s">
        <v>6925</v>
      </c>
      <c r="I5733">
        <v>181</v>
      </c>
      <c r="J5733">
        <v>141</v>
      </c>
      <c r="K5733">
        <v>0</v>
      </c>
      <c r="L5733">
        <v>13</v>
      </c>
      <c r="M5733">
        <v>0</v>
      </c>
      <c r="N5733">
        <v>0</v>
      </c>
      <c r="O5733">
        <v>27</v>
      </c>
    </row>
    <row r="5734" spans="1:15" x14ac:dyDescent="0.25">
      <c r="A5734" t="s">
        <v>938</v>
      </c>
      <c r="B5734" t="s">
        <v>2791</v>
      </c>
      <c r="C5734" t="s">
        <v>927</v>
      </c>
      <c r="D5734" t="s">
        <v>3052</v>
      </c>
      <c r="E5734" t="s">
        <v>3053</v>
      </c>
      <c r="F5734" t="s">
        <v>616</v>
      </c>
      <c r="G5734" t="s">
        <v>617</v>
      </c>
      <c r="H5734" t="s">
        <v>6926</v>
      </c>
      <c r="I5734">
        <v>244</v>
      </c>
      <c r="J5734">
        <v>185</v>
      </c>
      <c r="K5734">
        <v>0</v>
      </c>
      <c r="L5734">
        <v>4</v>
      </c>
      <c r="M5734">
        <v>0</v>
      </c>
      <c r="N5734">
        <v>0</v>
      </c>
      <c r="O5734">
        <v>55</v>
      </c>
    </row>
    <row r="5735" spans="1:15" x14ac:dyDescent="0.25">
      <c r="A5735" t="s">
        <v>940</v>
      </c>
      <c r="B5735" t="s">
        <v>2647</v>
      </c>
      <c r="C5735" t="s">
        <v>927</v>
      </c>
      <c r="D5735" t="s">
        <v>3052</v>
      </c>
      <c r="E5735" t="s">
        <v>3053</v>
      </c>
      <c r="F5735" t="s">
        <v>616</v>
      </c>
      <c r="G5735" t="s">
        <v>617</v>
      </c>
      <c r="H5735" t="s">
        <v>6927</v>
      </c>
      <c r="I5735">
        <v>40</v>
      </c>
      <c r="J5735">
        <v>0</v>
      </c>
      <c r="K5735">
        <v>0</v>
      </c>
      <c r="L5735">
        <v>0</v>
      </c>
      <c r="M5735">
        <v>40</v>
      </c>
      <c r="N5735">
        <v>0</v>
      </c>
      <c r="O5735">
        <v>0</v>
      </c>
    </row>
    <row r="5736" spans="1:15" x14ac:dyDescent="0.25">
      <c r="A5736" t="s">
        <v>1013</v>
      </c>
      <c r="B5736" t="s">
        <v>1959</v>
      </c>
      <c r="C5736" t="s">
        <v>927</v>
      </c>
      <c r="D5736" t="s">
        <v>3052</v>
      </c>
      <c r="E5736" t="s">
        <v>3053</v>
      </c>
      <c r="F5736" t="s">
        <v>616</v>
      </c>
      <c r="G5736" t="s">
        <v>617</v>
      </c>
      <c r="H5736" t="s">
        <v>6928</v>
      </c>
      <c r="I5736">
        <v>1</v>
      </c>
      <c r="J5736">
        <v>0</v>
      </c>
      <c r="K5736">
        <v>0</v>
      </c>
      <c r="L5736">
        <v>1</v>
      </c>
      <c r="M5736">
        <v>0</v>
      </c>
      <c r="N5736">
        <v>0</v>
      </c>
      <c r="O5736">
        <v>0</v>
      </c>
    </row>
    <row r="5737" spans="1:15" x14ac:dyDescent="0.25">
      <c r="A5737" t="s">
        <v>1025</v>
      </c>
      <c r="B5737" t="s">
        <v>2893</v>
      </c>
      <c r="C5737" t="s">
        <v>927</v>
      </c>
      <c r="D5737" t="s">
        <v>3052</v>
      </c>
      <c r="E5737" t="s">
        <v>3053</v>
      </c>
      <c r="F5737" t="s">
        <v>616</v>
      </c>
      <c r="G5737" t="s">
        <v>617</v>
      </c>
      <c r="H5737" t="s">
        <v>14964</v>
      </c>
      <c r="I5737">
        <v>1</v>
      </c>
      <c r="J5737">
        <v>0</v>
      </c>
      <c r="K5737">
        <v>0</v>
      </c>
      <c r="L5737">
        <v>0</v>
      </c>
      <c r="M5737">
        <v>0</v>
      </c>
      <c r="N5737">
        <v>0</v>
      </c>
      <c r="O5737">
        <v>1</v>
      </c>
    </row>
    <row r="5738" spans="1:15" x14ac:dyDescent="0.25">
      <c r="A5738" t="s">
        <v>943</v>
      </c>
      <c r="B5738" t="s">
        <v>2694</v>
      </c>
      <c r="C5738" t="s">
        <v>927</v>
      </c>
      <c r="D5738" t="s">
        <v>3052</v>
      </c>
      <c r="E5738" t="s">
        <v>3053</v>
      </c>
      <c r="F5738" t="s">
        <v>616</v>
      </c>
      <c r="G5738" t="s">
        <v>617</v>
      </c>
      <c r="H5738" t="s">
        <v>6930</v>
      </c>
      <c r="I5738">
        <v>16</v>
      </c>
      <c r="J5738">
        <v>10</v>
      </c>
      <c r="K5738">
        <v>0</v>
      </c>
      <c r="L5738">
        <v>6</v>
      </c>
      <c r="M5738">
        <v>0</v>
      </c>
      <c r="N5738">
        <v>0</v>
      </c>
      <c r="O5738">
        <v>0</v>
      </c>
    </row>
    <row r="5739" spans="1:15" x14ac:dyDescent="0.25">
      <c r="A5739" t="s">
        <v>1134</v>
      </c>
      <c r="B5739" t="s">
        <v>2118</v>
      </c>
      <c r="C5739" t="s">
        <v>927</v>
      </c>
      <c r="D5739" t="s">
        <v>3052</v>
      </c>
      <c r="E5739" t="s">
        <v>3053</v>
      </c>
      <c r="F5739" t="s">
        <v>616</v>
      </c>
      <c r="G5739" t="s">
        <v>617</v>
      </c>
      <c r="H5739" t="s">
        <v>6931</v>
      </c>
      <c r="I5739">
        <v>25</v>
      </c>
      <c r="J5739">
        <v>6</v>
      </c>
      <c r="K5739">
        <v>0</v>
      </c>
      <c r="L5739">
        <v>0</v>
      </c>
      <c r="M5739">
        <v>17</v>
      </c>
      <c r="N5739">
        <v>0</v>
      </c>
      <c r="O5739">
        <v>2</v>
      </c>
    </row>
    <row r="5740" spans="1:15" x14ac:dyDescent="0.25">
      <c r="A5740" t="s">
        <v>949</v>
      </c>
      <c r="B5740" t="s">
        <v>3035</v>
      </c>
      <c r="C5740" t="s">
        <v>927</v>
      </c>
      <c r="D5740" t="s">
        <v>3052</v>
      </c>
      <c r="E5740" t="s">
        <v>3053</v>
      </c>
      <c r="F5740" t="s">
        <v>616</v>
      </c>
      <c r="G5740" t="s">
        <v>617</v>
      </c>
      <c r="H5740" t="s">
        <v>6932</v>
      </c>
      <c r="I5740">
        <v>2</v>
      </c>
      <c r="J5740">
        <v>0</v>
      </c>
      <c r="K5740">
        <v>0</v>
      </c>
      <c r="L5740">
        <v>0</v>
      </c>
      <c r="M5740">
        <v>0</v>
      </c>
      <c r="N5740">
        <v>0</v>
      </c>
      <c r="O5740">
        <v>2</v>
      </c>
    </row>
    <row r="5741" spans="1:15" x14ac:dyDescent="0.25">
      <c r="A5741" t="s">
        <v>1138</v>
      </c>
      <c r="B5741" t="s">
        <v>2635</v>
      </c>
      <c r="C5741" t="s">
        <v>923</v>
      </c>
      <c r="D5741" t="s">
        <v>3063</v>
      </c>
      <c r="E5741" t="s">
        <v>3053</v>
      </c>
      <c r="F5741" t="s">
        <v>616</v>
      </c>
      <c r="G5741" t="s">
        <v>617</v>
      </c>
      <c r="H5741" t="s">
        <v>14965</v>
      </c>
      <c r="I5741">
        <v>29</v>
      </c>
      <c r="J5741">
        <v>0</v>
      </c>
      <c r="K5741">
        <v>0</v>
      </c>
      <c r="L5741">
        <v>29</v>
      </c>
      <c r="M5741">
        <v>0</v>
      </c>
      <c r="N5741">
        <v>0</v>
      </c>
      <c r="O5741">
        <v>0</v>
      </c>
    </row>
    <row r="5742" spans="1:15" x14ac:dyDescent="0.25">
      <c r="A5742" t="s">
        <v>1139</v>
      </c>
      <c r="B5742" t="s">
        <v>2025</v>
      </c>
      <c r="C5742" t="s">
        <v>923</v>
      </c>
      <c r="D5742" t="s">
        <v>3063</v>
      </c>
      <c r="E5742" t="s">
        <v>3053</v>
      </c>
      <c r="F5742" t="s">
        <v>616</v>
      </c>
      <c r="G5742" t="s">
        <v>617</v>
      </c>
      <c r="H5742" t="s">
        <v>6933</v>
      </c>
      <c r="I5742">
        <v>40</v>
      </c>
      <c r="J5742">
        <v>40</v>
      </c>
      <c r="K5742">
        <v>0</v>
      </c>
      <c r="L5742">
        <v>0</v>
      </c>
      <c r="M5742">
        <v>0</v>
      </c>
      <c r="N5742">
        <v>1</v>
      </c>
      <c r="O5742">
        <v>0</v>
      </c>
    </row>
    <row r="5743" spans="1:15" x14ac:dyDescent="0.25">
      <c r="A5743" t="s">
        <v>1140</v>
      </c>
      <c r="B5743" t="s">
        <v>2697</v>
      </c>
      <c r="C5743" t="s">
        <v>927</v>
      </c>
      <c r="D5743" t="s">
        <v>3052</v>
      </c>
      <c r="E5743" t="s">
        <v>3053</v>
      </c>
      <c r="F5743" t="s">
        <v>616</v>
      </c>
      <c r="G5743" t="s">
        <v>617</v>
      </c>
      <c r="H5743" t="s">
        <v>6934</v>
      </c>
      <c r="I5743">
        <v>83</v>
      </c>
      <c r="J5743">
        <v>46</v>
      </c>
      <c r="K5743">
        <v>0</v>
      </c>
      <c r="L5743">
        <v>22</v>
      </c>
      <c r="M5743">
        <v>0</v>
      </c>
      <c r="N5743">
        <v>1</v>
      </c>
      <c r="O5743">
        <v>15</v>
      </c>
    </row>
    <row r="5744" spans="1:15" x14ac:dyDescent="0.25">
      <c r="A5744" t="s">
        <v>1142</v>
      </c>
      <c r="B5744" t="s">
        <v>3003</v>
      </c>
      <c r="C5744" t="s">
        <v>927</v>
      </c>
      <c r="D5744" t="s">
        <v>3052</v>
      </c>
      <c r="E5744" t="s">
        <v>3053</v>
      </c>
      <c r="F5744" t="s">
        <v>616</v>
      </c>
      <c r="G5744" t="s">
        <v>617</v>
      </c>
      <c r="H5744" t="s">
        <v>6935</v>
      </c>
      <c r="I5744">
        <v>19</v>
      </c>
      <c r="J5744">
        <v>9</v>
      </c>
      <c r="K5744">
        <v>0</v>
      </c>
      <c r="L5744">
        <v>0</v>
      </c>
      <c r="M5744">
        <v>0</v>
      </c>
      <c r="N5744">
        <v>0</v>
      </c>
      <c r="O5744">
        <v>10</v>
      </c>
    </row>
    <row r="5745" spans="1:15" x14ac:dyDescent="0.25">
      <c r="A5745" t="s">
        <v>1146</v>
      </c>
      <c r="B5745" t="s">
        <v>2117</v>
      </c>
      <c r="C5745" t="s">
        <v>927</v>
      </c>
      <c r="D5745" t="s">
        <v>3052</v>
      </c>
      <c r="E5745" t="s">
        <v>3053</v>
      </c>
      <c r="F5745" t="s">
        <v>616</v>
      </c>
      <c r="G5745" t="s">
        <v>617</v>
      </c>
      <c r="H5745" t="s">
        <v>14966</v>
      </c>
      <c r="I5745">
        <v>210</v>
      </c>
      <c r="J5745">
        <v>158</v>
      </c>
      <c r="K5745">
        <v>0</v>
      </c>
      <c r="L5745">
        <v>22</v>
      </c>
      <c r="M5745">
        <v>0</v>
      </c>
      <c r="N5745">
        <v>0</v>
      </c>
      <c r="O5745">
        <v>30</v>
      </c>
    </row>
    <row r="5746" spans="1:15" x14ac:dyDescent="0.25">
      <c r="A5746" t="s">
        <v>951</v>
      </c>
      <c r="B5746" t="s">
        <v>2680</v>
      </c>
      <c r="C5746" t="s">
        <v>927</v>
      </c>
      <c r="D5746" t="s">
        <v>3052</v>
      </c>
      <c r="E5746" t="s">
        <v>3053</v>
      </c>
      <c r="F5746" t="s">
        <v>616</v>
      </c>
      <c r="G5746" t="s">
        <v>617</v>
      </c>
      <c r="H5746" t="s">
        <v>6936</v>
      </c>
      <c r="I5746">
        <v>5</v>
      </c>
      <c r="J5746">
        <v>5</v>
      </c>
      <c r="K5746">
        <v>0</v>
      </c>
      <c r="L5746">
        <v>0</v>
      </c>
      <c r="M5746">
        <v>0</v>
      </c>
      <c r="N5746">
        <v>0</v>
      </c>
      <c r="O5746">
        <v>0</v>
      </c>
    </row>
    <row r="5747" spans="1:15" x14ac:dyDescent="0.25">
      <c r="A5747" t="s">
        <v>953</v>
      </c>
      <c r="B5747" t="s">
        <v>2014</v>
      </c>
      <c r="C5747" t="s">
        <v>927</v>
      </c>
      <c r="D5747" t="s">
        <v>3052</v>
      </c>
      <c r="E5747" t="s">
        <v>3053</v>
      </c>
      <c r="F5747" t="s">
        <v>616</v>
      </c>
      <c r="G5747" t="s">
        <v>617</v>
      </c>
      <c r="H5747" t="s">
        <v>6937</v>
      </c>
      <c r="I5747">
        <v>7</v>
      </c>
      <c r="J5747">
        <v>0</v>
      </c>
      <c r="K5747">
        <v>0</v>
      </c>
      <c r="L5747">
        <v>7</v>
      </c>
      <c r="M5747">
        <v>0</v>
      </c>
      <c r="N5747">
        <v>0</v>
      </c>
      <c r="O5747">
        <v>0</v>
      </c>
    </row>
    <row r="5748" spans="1:15" x14ac:dyDescent="0.25">
      <c r="A5748" t="s">
        <v>11720</v>
      </c>
      <c r="B5748" t="s">
        <v>10718</v>
      </c>
      <c r="C5748" t="s">
        <v>927</v>
      </c>
      <c r="D5748" t="s">
        <v>3052</v>
      </c>
      <c r="E5748" t="s">
        <v>3053</v>
      </c>
      <c r="F5748" t="s">
        <v>616</v>
      </c>
      <c r="G5748" t="s">
        <v>617</v>
      </c>
      <c r="H5748" t="s">
        <v>14967</v>
      </c>
      <c r="I5748">
        <v>8</v>
      </c>
      <c r="J5748">
        <v>0</v>
      </c>
      <c r="K5748">
        <v>0</v>
      </c>
      <c r="L5748">
        <v>0</v>
      </c>
      <c r="M5748">
        <v>0</v>
      </c>
      <c r="N5748">
        <v>0</v>
      </c>
      <c r="O5748">
        <v>8</v>
      </c>
    </row>
    <row r="5749" spans="1:15" x14ac:dyDescent="0.25">
      <c r="A5749" t="s">
        <v>9788</v>
      </c>
      <c r="B5749" t="s">
        <v>9871</v>
      </c>
      <c r="C5749" t="s">
        <v>927</v>
      </c>
      <c r="D5749" t="s">
        <v>3052</v>
      </c>
      <c r="E5749" t="s">
        <v>3053</v>
      </c>
      <c r="F5749" t="s">
        <v>616</v>
      </c>
      <c r="G5749" t="s">
        <v>617</v>
      </c>
      <c r="H5749" t="s">
        <v>14968</v>
      </c>
      <c r="I5749">
        <v>32</v>
      </c>
      <c r="J5749">
        <v>32</v>
      </c>
      <c r="K5749">
        <v>0</v>
      </c>
      <c r="L5749">
        <v>0</v>
      </c>
      <c r="M5749">
        <v>0</v>
      </c>
      <c r="N5749">
        <v>0</v>
      </c>
      <c r="O5749">
        <v>0</v>
      </c>
    </row>
    <row r="5750" spans="1:15" x14ac:dyDescent="0.25">
      <c r="A5750" t="s">
        <v>955</v>
      </c>
      <c r="B5750" t="s">
        <v>2660</v>
      </c>
      <c r="C5750" t="s">
        <v>927</v>
      </c>
      <c r="D5750" t="s">
        <v>3052</v>
      </c>
      <c r="E5750" t="s">
        <v>3053</v>
      </c>
      <c r="F5750" t="s">
        <v>616</v>
      </c>
      <c r="G5750" t="s">
        <v>617</v>
      </c>
      <c r="H5750" t="s">
        <v>6938</v>
      </c>
      <c r="I5750">
        <v>127</v>
      </c>
      <c r="J5750">
        <v>98</v>
      </c>
      <c r="K5750">
        <v>0</v>
      </c>
      <c r="L5750">
        <v>0</v>
      </c>
      <c r="M5750">
        <v>0</v>
      </c>
      <c r="N5750">
        <v>0</v>
      </c>
      <c r="O5750">
        <v>29</v>
      </c>
    </row>
    <row r="5751" spans="1:15" x14ac:dyDescent="0.25">
      <c r="A5751" t="s">
        <v>1154</v>
      </c>
      <c r="B5751" t="s">
        <v>2861</v>
      </c>
      <c r="C5751" t="s">
        <v>927</v>
      </c>
      <c r="D5751" t="s">
        <v>3052</v>
      </c>
      <c r="E5751" t="s">
        <v>3053</v>
      </c>
      <c r="F5751" t="s">
        <v>616</v>
      </c>
      <c r="G5751" t="s">
        <v>617</v>
      </c>
      <c r="H5751" t="s">
        <v>6939</v>
      </c>
      <c r="I5751">
        <v>8102</v>
      </c>
      <c r="J5751">
        <v>7085</v>
      </c>
      <c r="K5751">
        <v>0</v>
      </c>
      <c r="L5751">
        <v>83</v>
      </c>
      <c r="M5751">
        <v>702</v>
      </c>
      <c r="N5751">
        <v>2</v>
      </c>
      <c r="O5751">
        <v>232</v>
      </c>
    </row>
    <row r="5752" spans="1:15" x14ac:dyDescent="0.25">
      <c r="A5752" t="s">
        <v>11663</v>
      </c>
      <c r="B5752" t="s">
        <v>11768</v>
      </c>
      <c r="C5752" t="s">
        <v>927</v>
      </c>
      <c r="D5752" t="s">
        <v>3052</v>
      </c>
      <c r="E5752" t="s">
        <v>3053</v>
      </c>
      <c r="F5752" t="s">
        <v>616</v>
      </c>
      <c r="G5752" t="s">
        <v>617</v>
      </c>
      <c r="H5752" t="s">
        <v>12227</v>
      </c>
      <c r="I5752">
        <v>1</v>
      </c>
      <c r="J5752">
        <v>0</v>
      </c>
      <c r="K5752">
        <v>0</v>
      </c>
      <c r="L5752">
        <v>0</v>
      </c>
      <c r="M5752">
        <v>0</v>
      </c>
      <c r="N5752">
        <v>0</v>
      </c>
      <c r="O5752">
        <v>1</v>
      </c>
    </row>
    <row r="5753" spans="1:15" x14ac:dyDescent="0.25">
      <c r="A5753" t="s">
        <v>14374</v>
      </c>
      <c r="B5753" t="s">
        <v>1943</v>
      </c>
      <c r="C5753" t="s">
        <v>927</v>
      </c>
      <c r="D5753" t="s">
        <v>3052</v>
      </c>
      <c r="E5753" t="s">
        <v>3053</v>
      </c>
      <c r="F5753" t="s">
        <v>616</v>
      </c>
      <c r="G5753" t="s">
        <v>617</v>
      </c>
      <c r="H5753" t="s">
        <v>14969</v>
      </c>
      <c r="I5753">
        <v>18</v>
      </c>
      <c r="J5753">
        <v>0</v>
      </c>
      <c r="K5753">
        <v>0</v>
      </c>
      <c r="L5753">
        <v>0</v>
      </c>
      <c r="M5753">
        <v>0</v>
      </c>
      <c r="N5753">
        <v>0</v>
      </c>
      <c r="O5753">
        <v>18</v>
      </c>
    </row>
    <row r="5754" spans="1:15" x14ac:dyDescent="0.25">
      <c r="A5754" t="s">
        <v>1158</v>
      </c>
      <c r="B5754" t="s">
        <v>2922</v>
      </c>
      <c r="C5754" t="s">
        <v>927</v>
      </c>
      <c r="D5754" t="s">
        <v>3052</v>
      </c>
      <c r="E5754" t="s">
        <v>3053</v>
      </c>
      <c r="F5754" t="s">
        <v>616</v>
      </c>
      <c r="G5754" t="s">
        <v>617</v>
      </c>
      <c r="H5754" t="s">
        <v>6940</v>
      </c>
      <c r="I5754">
        <v>5</v>
      </c>
      <c r="J5754">
        <v>0</v>
      </c>
      <c r="K5754">
        <v>0</v>
      </c>
      <c r="L5754">
        <v>5</v>
      </c>
      <c r="M5754">
        <v>0</v>
      </c>
      <c r="N5754">
        <v>0</v>
      </c>
      <c r="O5754">
        <v>0</v>
      </c>
    </row>
    <row r="5755" spans="1:15" x14ac:dyDescent="0.25">
      <c r="A5755" t="s">
        <v>962</v>
      </c>
      <c r="B5755" t="s">
        <v>2752</v>
      </c>
      <c r="C5755" t="s">
        <v>927</v>
      </c>
      <c r="D5755" t="s">
        <v>3052</v>
      </c>
      <c r="E5755" t="s">
        <v>3053</v>
      </c>
      <c r="F5755" t="s">
        <v>616</v>
      </c>
      <c r="G5755" t="s">
        <v>617</v>
      </c>
      <c r="H5755" t="s">
        <v>10446</v>
      </c>
      <c r="I5755">
        <v>149</v>
      </c>
      <c r="J5755">
        <v>127</v>
      </c>
      <c r="K5755">
        <v>0</v>
      </c>
      <c r="L5755">
        <v>0</v>
      </c>
      <c r="M5755">
        <v>0</v>
      </c>
      <c r="N5755">
        <v>0</v>
      </c>
      <c r="O5755">
        <v>22</v>
      </c>
    </row>
    <row r="5756" spans="1:15" x14ac:dyDescent="0.25">
      <c r="A5756" t="s">
        <v>1069</v>
      </c>
      <c r="B5756" t="s">
        <v>2001</v>
      </c>
      <c r="C5756" t="s">
        <v>927</v>
      </c>
      <c r="D5756" t="s">
        <v>3052</v>
      </c>
      <c r="E5756" t="s">
        <v>3053</v>
      </c>
      <c r="F5756" t="s">
        <v>616</v>
      </c>
      <c r="G5756" t="s">
        <v>617</v>
      </c>
      <c r="H5756" t="s">
        <v>6941</v>
      </c>
      <c r="I5756">
        <v>178</v>
      </c>
      <c r="J5756">
        <v>146</v>
      </c>
      <c r="K5756">
        <v>0</v>
      </c>
      <c r="L5756">
        <v>0</v>
      </c>
      <c r="M5756">
        <v>0</v>
      </c>
      <c r="N5756">
        <v>0</v>
      </c>
      <c r="O5756">
        <v>32</v>
      </c>
    </row>
    <row r="5757" spans="1:15" x14ac:dyDescent="0.25">
      <c r="A5757" t="s">
        <v>1176</v>
      </c>
      <c r="B5757" t="s">
        <v>2952</v>
      </c>
      <c r="C5757" t="s">
        <v>923</v>
      </c>
      <c r="D5757" t="s">
        <v>3063</v>
      </c>
      <c r="E5757" t="s">
        <v>3053</v>
      </c>
      <c r="F5757" t="s">
        <v>616</v>
      </c>
      <c r="G5757" t="s">
        <v>617</v>
      </c>
      <c r="H5757" t="s">
        <v>6942</v>
      </c>
      <c r="I5757">
        <v>22</v>
      </c>
      <c r="J5757">
        <v>0</v>
      </c>
      <c r="K5757">
        <v>0</v>
      </c>
      <c r="L5757">
        <v>22</v>
      </c>
      <c r="M5757">
        <v>0</v>
      </c>
      <c r="N5757">
        <v>0</v>
      </c>
      <c r="O5757">
        <v>0</v>
      </c>
    </row>
    <row r="5758" spans="1:15" x14ac:dyDescent="0.25">
      <c r="A5758" t="s">
        <v>1181</v>
      </c>
      <c r="B5758" t="s">
        <v>2894</v>
      </c>
      <c r="C5758" t="s">
        <v>927</v>
      </c>
      <c r="D5758" t="s">
        <v>3052</v>
      </c>
      <c r="E5758" t="s">
        <v>3053</v>
      </c>
      <c r="F5758" t="s">
        <v>616</v>
      </c>
      <c r="G5758" t="s">
        <v>617</v>
      </c>
      <c r="H5758" t="s">
        <v>6943</v>
      </c>
      <c r="I5758">
        <v>17</v>
      </c>
      <c r="J5758">
        <v>0</v>
      </c>
      <c r="K5758">
        <v>0</v>
      </c>
      <c r="L5758">
        <v>0</v>
      </c>
      <c r="M5758">
        <v>0</v>
      </c>
      <c r="N5758">
        <v>0</v>
      </c>
      <c r="O5758">
        <v>17</v>
      </c>
    </row>
    <row r="5759" spans="1:15" x14ac:dyDescent="0.25">
      <c r="A5759" t="s">
        <v>972</v>
      </c>
      <c r="B5759" t="s">
        <v>2842</v>
      </c>
      <c r="C5759" t="s">
        <v>927</v>
      </c>
      <c r="D5759" t="s">
        <v>3052</v>
      </c>
      <c r="E5759" t="s">
        <v>3053</v>
      </c>
      <c r="F5759" t="s">
        <v>618</v>
      </c>
      <c r="G5759" t="s">
        <v>619</v>
      </c>
      <c r="H5759" t="s">
        <v>6944</v>
      </c>
      <c r="I5759">
        <v>313</v>
      </c>
      <c r="J5759">
        <v>178</v>
      </c>
      <c r="K5759">
        <v>0</v>
      </c>
      <c r="L5759">
        <v>0</v>
      </c>
      <c r="M5759">
        <v>0</v>
      </c>
      <c r="N5759">
        <v>0</v>
      </c>
      <c r="O5759">
        <v>135</v>
      </c>
    </row>
    <row r="5760" spans="1:15" x14ac:dyDescent="0.25">
      <c r="A5760" t="s">
        <v>926</v>
      </c>
      <c r="B5760" t="s">
        <v>2923</v>
      </c>
      <c r="C5760" t="s">
        <v>927</v>
      </c>
      <c r="D5760" t="s">
        <v>3052</v>
      </c>
      <c r="E5760" t="s">
        <v>3053</v>
      </c>
      <c r="F5760" t="s">
        <v>618</v>
      </c>
      <c r="G5760" t="s">
        <v>619</v>
      </c>
      <c r="H5760" t="s">
        <v>6945</v>
      </c>
      <c r="I5760">
        <v>2</v>
      </c>
      <c r="J5760">
        <v>0</v>
      </c>
      <c r="K5760">
        <v>0</v>
      </c>
      <c r="L5760">
        <v>0</v>
      </c>
      <c r="M5760">
        <v>0</v>
      </c>
      <c r="N5760">
        <v>0</v>
      </c>
      <c r="O5760">
        <v>2</v>
      </c>
    </row>
    <row r="5761" spans="1:15" x14ac:dyDescent="0.25">
      <c r="A5761" t="s">
        <v>9784</v>
      </c>
      <c r="B5761" t="s">
        <v>1994</v>
      </c>
      <c r="C5761" t="s">
        <v>927</v>
      </c>
      <c r="D5761" t="s">
        <v>3052</v>
      </c>
      <c r="E5761" t="s">
        <v>3053</v>
      </c>
      <c r="F5761" t="s">
        <v>618</v>
      </c>
      <c r="G5761" t="s">
        <v>619</v>
      </c>
      <c r="H5761" t="s">
        <v>9963</v>
      </c>
      <c r="I5761">
        <v>40</v>
      </c>
      <c r="J5761">
        <v>0</v>
      </c>
      <c r="K5761">
        <v>0</v>
      </c>
      <c r="L5761">
        <v>40</v>
      </c>
      <c r="M5761">
        <v>0</v>
      </c>
      <c r="N5761">
        <v>0</v>
      </c>
      <c r="O5761">
        <v>0</v>
      </c>
    </row>
    <row r="5762" spans="1:15" x14ac:dyDescent="0.25">
      <c r="A5762" t="s">
        <v>997</v>
      </c>
      <c r="B5762" t="s">
        <v>2033</v>
      </c>
      <c r="C5762" t="s">
        <v>927</v>
      </c>
      <c r="D5762" t="s">
        <v>3052</v>
      </c>
      <c r="E5762" t="s">
        <v>3053</v>
      </c>
      <c r="F5762" t="s">
        <v>618</v>
      </c>
      <c r="G5762" t="s">
        <v>619</v>
      </c>
      <c r="H5762" t="s">
        <v>6946</v>
      </c>
      <c r="I5762">
        <v>8</v>
      </c>
      <c r="J5762">
        <v>2</v>
      </c>
      <c r="K5762">
        <v>0</v>
      </c>
      <c r="L5762">
        <v>0</v>
      </c>
      <c r="M5762">
        <v>0</v>
      </c>
      <c r="N5762">
        <v>0</v>
      </c>
      <c r="O5762">
        <v>6</v>
      </c>
    </row>
    <row r="5763" spans="1:15" x14ac:dyDescent="0.25">
      <c r="A5763" t="s">
        <v>935</v>
      </c>
      <c r="B5763" t="s">
        <v>1960</v>
      </c>
      <c r="C5763" t="s">
        <v>923</v>
      </c>
      <c r="D5763" t="s">
        <v>3063</v>
      </c>
      <c r="E5763" t="s">
        <v>3053</v>
      </c>
      <c r="F5763" t="s">
        <v>618</v>
      </c>
      <c r="G5763" t="s">
        <v>619</v>
      </c>
      <c r="H5763" t="s">
        <v>6947</v>
      </c>
      <c r="I5763">
        <v>10</v>
      </c>
      <c r="J5763">
        <v>0</v>
      </c>
      <c r="K5763">
        <v>0</v>
      </c>
      <c r="L5763">
        <v>10</v>
      </c>
      <c r="M5763">
        <v>0</v>
      </c>
      <c r="N5763">
        <v>0</v>
      </c>
      <c r="O5763">
        <v>0</v>
      </c>
    </row>
    <row r="5764" spans="1:15" x14ac:dyDescent="0.25">
      <c r="A5764" t="s">
        <v>1001</v>
      </c>
      <c r="B5764" t="s">
        <v>3007</v>
      </c>
      <c r="C5764" t="s">
        <v>927</v>
      </c>
      <c r="D5764" t="s">
        <v>3052</v>
      </c>
      <c r="E5764" t="s">
        <v>3053</v>
      </c>
      <c r="F5764" t="s">
        <v>618</v>
      </c>
      <c r="G5764" t="s">
        <v>619</v>
      </c>
      <c r="H5764" t="s">
        <v>6948</v>
      </c>
      <c r="I5764">
        <v>6</v>
      </c>
      <c r="J5764">
        <v>0</v>
      </c>
      <c r="K5764">
        <v>0</v>
      </c>
      <c r="L5764">
        <v>6</v>
      </c>
      <c r="M5764">
        <v>0</v>
      </c>
      <c r="N5764">
        <v>0</v>
      </c>
      <c r="O5764">
        <v>0</v>
      </c>
    </row>
    <row r="5765" spans="1:15" x14ac:dyDescent="0.25">
      <c r="A5765" t="s">
        <v>10638</v>
      </c>
      <c r="B5765" t="s">
        <v>2057</v>
      </c>
      <c r="C5765" t="s">
        <v>927</v>
      </c>
      <c r="D5765" t="s">
        <v>3052</v>
      </c>
      <c r="E5765" t="s">
        <v>3053</v>
      </c>
      <c r="F5765" t="s">
        <v>618</v>
      </c>
      <c r="G5765" t="s">
        <v>619</v>
      </c>
      <c r="H5765" t="s">
        <v>11176</v>
      </c>
      <c r="I5765">
        <v>25</v>
      </c>
      <c r="J5765">
        <v>0</v>
      </c>
      <c r="K5765">
        <v>0</v>
      </c>
      <c r="L5765">
        <v>25</v>
      </c>
      <c r="M5765">
        <v>0</v>
      </c>
      <c r="N5765">
        <v>0</v>
      </c>
      <c r="O5765">
        <v>0</v>
      </c>
    </row>
    <row r="5766" spans="1:15" x14ac:dyDescent="0.25">
      <c r="A5766" t="s">
        <v>937</v>
      </c>
      <c r="B5766" t="s">
        <v>1962</v>
      </c>
      <c r="C5766" t="s">
        <v>927</v>
      </c>
      <c r="D5766" t="s">
        <v>3052</v>
      </c>
      <c r="E5766" t="s">
        <v>3053</v>
      </c>
      <c r="F5766" t="s">
        <v>618</v>
      </c>
      <c r="G5766" t="s">
        <v>619</v>
      </c>
      <c r="H5766" t="s">
        <v>6949</v>
      </c>
      <c r="I5766">
        <v>12</v>
      </c>
      <c r="J5766">
        <v>0</v>
      </c>
      <c r="K5766">
        <v>0</v>
      </c>
      <c r="L5766">
        <v>0</v>
      </c>
      <c r="M5766">
        <v>0</v>
      </c>
      <c r="N5766">
        <v>0</v>
      </c>
      <c r="O5766">
        <v>12</v>
      </c>
    </row>
    <row r="5767" spans="1:15" x14ac:dyDescent="0.25">
      <c r="A5767" t="s">
        <v>940</v>
      </c>
      <c r="B5767" t="s">
        <v>2647</v>
      </c>
      <c r="C5767" t="s">
        <v>927</v>
      </c>
      <c r="D5767" t="s">
        <v>3052</v>
      </c>
      <c r="E5767" t="s">
        <v>3053</v>
      </c>
      <c r="F5767" t="s">
        <v>618</v>
      </c>
      <c r="G5767" t="s">
        <v>619</v>
      </c>
      <c r="H5767" t="s">
        <v>6950</v>
      </c>
      <c r="I5767">
        <v>73</v>
      </c>
      <c r="J5767">
        <v>0</v>
      </c>
      <c r="K5767">
        <v>0</v>
      </c>
      <c r="L5767">
        <v>0</v>
      </c>
      <c r="M5767">
        <v>73</v>
      </c>
      <c r="N5767">
        <v>0</v>
      </c>
      <c r="O5767">
        <v>0</v>
      </c>
    </row>
    <row r="5768" spans="1:15" x14ac:dyDescent="0.25">
      <c r="A5768" t="s">
        <v>1013</v>
      </c>
      <c r="B5768" t="s">
        <v>1959</v>
      </c>
      <c r="C5768" t="s">
        <v>927</v>
      </c>
      <c r="D5768" t="s">
        <v>3052</v>
      </c>
      <c r="E5768" t="s">
        <v>3053</v>
      </c>
      <c r="F5768" t="s">
        <v>618</v>
      </c>
      <c r="G5768" t="s">
        <v>619</v>
      </c>
      <c r="H5768" t="s">
        <v>6951</v>
      </c>
      <c r="I5768">
        <v>3</v>
      </c>
      <c r="J5768">
        <v>0</v>
      </c>
      <c r="K5768">
        <v>0</v>
      </c>
      <c r="L5768">
        <v>3</v>
      </c>
      <c r="M5768">
        <v>0</v>
      </c>
      <c r="N5768">
        <v>0</v>
      </c>
      <c r="O5768">
        <v>0</v>
      </c>
    </row>
    <row r="5769" spans="1:15" x14ac:dyDescent="0.25">
      <c r="A5769" t="s">
        <v>1017</v>
      </c>
      <c r="B5769" t="s">
        <v>2671</v>
      </c>
      <c r="C5769" t="s">
        <v>923</v>
      </c>
      <c r="D5769" t="s">
        <v>3063</v>
      </c>
      <c r="E5769" t="s">
        <v>3053</v>
      </c>
      <c r="F5769" t="s">
        <v>618</v>
      </c>
      <c r="G5769" t="s">
        <v>619</v>
      </c>
      <c r="H5769" t="s">
        <v>6952</v>
      </c>
      <c r="I5769">
        <v>31</v>
      </c>
      <c r="J5769">
        <v>31</v>
      </c>
      <c r="K5769">
        <v>0</v>
      </c>
      <c r="L5769">
        <v>0</v>
      </c>
      <c r="M5769">
        <v>0</v>
      </c>
      <c r="N5769">
        <v>0</v>
      </c>
      <c r="O5769">
        <v>0</v>
      </c>
    </row>
    <row r="5770" spans="1:15" x14ac:dyDescent="0.25">
      <c r="A5770" t="s">
        <v>1023</v>
      </c>
      <c r="B5770" t="s">
        <v>2803</v>
      </c>
      <c r="C5770" t="s">
        <v>923</v>
      </c>
      <c r="D5770" t="s">
        <v>3063</v>
      </c>
      <c r="E5770" t="s">
        <v>3053</v>
      </c>
      <c r="F5770" t="s">
        <v>618</v>
      </c>
      <c r="G5770" t="s">
        <v>619</v>
      </c>
      <c r="H5770" t="s">
        <v>6953</v>
      </c>
      <c r="I5770">
        <v>48</v>
      </c>
      <c r="J5770">
        <v>48</v>
      </c>
      <c r="K5770">
        <v>0</v>
      </c>
      <c r="L5770">
        <v>0</v>
      </c>
      <c r="M5770">
        <v>0</v>
      </c>
      <c r="N5770">
        <v>0</v>
      </c>
      <c r="O5770">
        <v>0</v>
      </c>
    </row>
    <row r="5771" spans="1:15" x14ac:dyDescent="0.25">
      <c r="A5771" t="s">
        <v>1026</v>
      </c>
      <c r="B5771" t="s">
        <v>2848</v>
      </c>
      <c r="C5771" t="s">
        <v>927</v>
      </c>
      <c r="D5771" t="s">
        <v>3052</v>
      </c>
      <c r="E5771" t="s">
        <v>3053</v>
      </c>
      <c r="F5771" t="s">
        <v>618</v>
      </c>
      <c r="G5771" t="s">
        <v>619</v>
      </c>
      <c r="H5771" t="s">
        <v>6954</v>
      </c>
      <c r="I5771">
        <v>738</v>
      </c>
      <c r="J5771">
        <v>438</v>
      </c>
      <c r="K5771">
        <v>0</v>
      </c>
      <c r="L5771">
        <v>24</v>
      </c>
      <c r="M5771">
        <v>25</v>
      </c>
      <c r="N5771">
        <v>0</v>
      </c>
      <c r="O5771">
        <v>251</v>
      </c>
    </row>
    <row r="5772" spans="1:15" x14ac:dyDescent="0.25">
      <c r="A5772" t="s">
        <v>1038</v>
      </c>
      <c r="B5772" t="s">
        <v>2068</v>
      </c>
      <c r="C5772" t="s">
        <v>927</v>
      </c>
      <c r="D5772" t="s">
        <v>3052</v>
      </c>
      <c r="E5772" t="s">
        <v>3053</v>
      </c>
      <c r="F5772" t="s">
        <v>618</v>
      </c>
      <c r="G5772" t="s">
        <v>619</v>
      </c>
      <c r="H5772" t="s">
        <v>6955</v>
      </c>
      <c r="I5772">
        <v>315</v>
      </c>
      <c r="J5772">
        <v>249</v>
      </c>
      <c r="K5772">
        <v>0</v>
      </c>
      <c r="L5772">
        <v>3</v>
      </c>
      <c r="M5772">
        <v>0</v>
      </c>
      <c r="N5772">
        <v>0</v>
      </c>
      <c r="O5772">
        <v>63</v>
      </c>
    </row>
    <row r="5773" spans="1:15" x14ac:dyDescent="0.25">
      <c r="A5773" t="s">
        <v>1039</v>
      </c>
      <c r="B5773" t="s">
        <v>2885</v>
      </c>
      <c r="C5773" t="s">
        <v>927</v>
      </c>
      <c r="D5773" t="s">
        <v>3052</v>
      </c>
      <c r="E5773" t="s">
        <v>3053</v>
      </c>
      <c r="F5773" t="s">
        <v>618</v>
      </c>
      <c r="G5773" t="s">
        <v>619</v>
      </c>
      <c r="H5773" t="s">
        <v>6956</v>
      </c>
      <c r="I5773">
        <v>13</v>
      </c>
      <c r="J5773">
        <v>13</v>
      </c>
      <c r="K5773">
        <v>0</v>
      </c>
      <c r="L5773">
        <v>0</v>
      </c>
      <c r="M5773">
        <v>0</v>
      </c>
      <c r="N5773">
        <v>1</v>
      </c>
      <c r="O5773">
        <v>0</v>
      </c>
    </row>
    <row r="5774" spans="1:15" x14ac:dyDescent="0.25">
      <c r="A5774" t="s">
        <v>1044</v>
      </c>
      <c r="B5774" t="s">
        <v>2000</v>
      </c>
      <c r="C5774" t="s">
        <v>923</v>
      </c>
      <c r="D5774" t="s">
        <v>3063</v>
      </c>
      <c r="E5774" t="s">
        <v>3053</v>
      </c>
      <c r="F5774" t="s">
        <v>618</v>
      </c>
      <c r="G5774" t="s">
        <v>619</v>
      </c>
      <c r="H5774" t="s">
        <v>6957</v>
      </c>
      <c r="I5774">
        <v>10</v>
      </c>
      <c r="J5774">
        <v>0</v>
      </c>
      <c r="K5774">
        <v>0</v>
      </c>
      <c r="L5774">
        <v>10</v>
      </c>
      <c r="M5774">
        <v>0</v>
      </c>
      <c r="N5774">
        <v>0</v>
      </c>
      <c r="O5774">
        <v>0</v>
      </c>
    </row>
    <row r="5775" spans="1:15" x14ac:dyDescent="0.25">
      <c r="A5775" t="s">
        <v>1046</v>
      </c>
      <c r="B5775" t="s">
        <v>2027</v>
      </c>
      <c r="C5775" t="s">
        <v>923</v>
      </c>
      <c r="D5775" t="s">
        <v>3063</v>
      </c>
      <c r="E5775" t="s">
        <v>3053</v>
      </c>
      <c r="F5775" t="s">
        <v>618</v>
      </c>
      <c r="G5775" t="s">
        <v>619</v>
      </c>
      <c r="H5775" t="s">
        <v>6958</v>
      </c>
      <c r="I5775">
        <v>1</v>
      </c>
      <c r="J5775">
        <v>0</v>
      </c>
      <c r="K5775">
        <v>0</v>
      </c>
      <c r="L5775">
        <v>1</v>
      </c>
      <c r="M5775">
        <v>0</v>
      </c>
      <c r="N5775">
        <v>0</v>
      </c>
      <c r="O5775">
        <v>0</v>
      </c>
    </row>
    <row r="5776" spans="1:15" x14ac:dyDescent="0.25">
      <c r="A5776" t="s">
        <v>951</v>
      </c>
      <c r="B5776" t="s">
        <v>2680</v>
      </c>
      <c r="C5776" t="s">
        <v>927</v>
      </c>
      <c r="D5776" t="s">
        <v>3052</v>
      </c>
      <c r="E5776" t="s">
        <v>3053</v>
      </c>
      <c r="F5776" t="s">
        <v>618</v>
      </c>
      <c r="G5776" t="s">
        <v>619</v>
      </c>
      <c r="H5776" t="s">
        <v>6959</v>
      </c>
      <c r="I5776">
        <v>61</v>
      </c>
      <c r="J5776">
        <v>59</v>
      </c>
      <c r="K5776">
        <v>0</v>
      </c>
      <c r="L5776">
        <v>0</v>
      </c>
      <c r="M5776">
        <v>0</v>
      </c>
      <c r="N5776">
        <v>0</v>
      </c>
      <c r="O5776">
        <v>2</v>
      </c>
    </row>
    <row r="5777" spans="1:15" x14ac:dyDescent="0.25">
      <c r="A5777" t="s">
        <v>1048</v>
      </c>
      <c r="B5777" t="s">
        <v>2989</v>
      </c>
      <c r="C5777" t="s">
        <v>927</v>
      </c>
      <c r="D5777" t="s">
        <v>3052</v>
      </c>
      <c r="E5777" t="s">
        <v>3053</v>
      </c>
      <c r="F5777" t="s">
        <v>618</v>
      </c>
      <c r="G5777" t="s">
        <v>619</v>
      </c>
      <c r="H5777" t="s">
        <v>12228</v>
      </c>
      <c r="I5777">
        <v>102</v>
      </c>
      <c r="J5777">
        <v>102</v>
      </c>
      <c r="K5777">
        <v>0</v>
      </c>
      <c r="L5777">
        <v>0</v>
      </c>
      <c r="M5777">
        <v>0</v>
      </c>
      <c r="N5777">
        <v>0</v>
      </c>
      <c r="O5777">
        <v>0</v>
      </c>
    </row>
    <row r="5778" spans="1:15" x14ac:dyDescent="0.25">
      <c r="A5778" t="s">
        <v>1049</v>
      </c>
      <c r="B5778" t="s">
        <v>2138</v>
      </c>
      <c r="C5778" t="s">
        <v>927</v>
      </c>
      <c r="D5778" t="s">
        <v>3052</v>
      </c>
      <c r="E5778" t="s">
        <v>3053</v>
      </c>
      <c r="F5778" t="s">
        <v>618</v>
      </c>
      <c r="G5778" t="s">
        <v>619</v>
      </c>
      <c r="H5778" t="s">
        <v>6960</v>
      </c>
      <c r="I5778">
        <v>261</v>
      </c>
      <c r="J5778">
        <v>164</v>
      </c>
      <c r="K5778">
        <v>0</v>
      </c>
      <c r="L5778">
        <v>1</v>
      </c>
      <c r="M5778">
        <v>0</v>
      </c>
      <c r="N5778">
        <v>0</v>
      </c>
      <c r="O5778">
        <v>96</v>
      </c>
    </row>
    <row r="5779" spans="1:15" x14ac:dyDescent="0.25">
      <c r="A5779" t="s">
        <v>1051</v>
      </c>
      <c r="B5779" t="s">
        <v>2995</v>
      </c>
      <c r="C5779" t="s">
        <v>927</v>
      </c>
      <c r="D5779" t="s">
        <v>3052</v>
      </c>
      <c r="E5779" t="s">
        <v>3053</v>
      </c>
      <c r="F5779" t="s">
        <v>618</v>
      </c>
      <c r="G5779" t="s">
        <v>619</v>
      </c>
      <c r="H5779" t="s">
        <v>6961</v>
      </c>
      <c r="I5779">
        <v>28</v>
      </c>
      <c r="J5779">
        <v>0</v>
      </c>
      <c r="K5779">
        <v>0</v>
      </c>
      <c r="L5779">
        <v>28</v>
      </c>
      <c r="M5779">
        <v>0</v>
      </c>
      <c r="N5779">
        <v>0</v>
      </c>
      <c r="O5779">
        <v>0</v>
      </c>
    </row>
    <row r="5780" spans="1:15" x14ac:dyDescent="0.25">
      <c r="A5780" t="s">
        <v>953</v>
      </c>
      <c r="B5780" t="s">
        <v>2014</v>
      </c>
      <c r="C5780" t="s">
        <v>927</v>
      </c>
      <c r="D5780" t="s">
        <v>3052</v>
      </c>
      <c r="E5780" t="s">
        <v>3053</v>
      </c>
      <c r="F5780" t="s">
        <v>618</v>
      </c>
      <c r="G5780" t="s">
        <v>619</v>
      </c>
      <c r="H5780" t="s">
        <v>6962</v>
      </c>
      <c r="I5780">
        <v>6</v>
      </c>
      <c r="J5780">
        <v>0</v>
      </c>
      <c r="K5780">
        <v>0</v>
      </c>
      <c r="L5780">
        <v>6</v>
      </c>
      <c r="M5780">
        <v>0</v>
      </c>
      <c r="N5780">
        <v>0</v>
      </c>
      <c r="O5780">
        <v>0</v>
      </c>
    </row>
    <row r="5781" spans="1:15" x14ac:dyDescent="0.25">
      <c r="A5781" t="s">
        <v>11720</v>
      </c>
      <c r="B5781" t="s">
        <v>10718</v>
      </c>
      <c r="C5781" t="s">
        <v>927</v>
      </c>
      <c r="D5781" t="s">
        <v>3052</v>
      </c>
      <c r="E5781" t="s">
        <v>3053</v>
      </c>
      <c r="F5781" t="s">
        <v>618</v>
      </c>
      <c r="G5781" t="s">
        <v>619</v>
      </c>
      <c r="H5781" t="s">
        <v>14970</v>
      </c>
      <c r="I5781">
        <v>34</v>
      </c>
      <c r="J5781">
        <v>6</v>
      </c>
      <c r="K5781">
        <v>0</v>
      </c>
      <c r="L5781">
        <v>0</v>
      </c>
      <c r="M5781">
        <v>0</v>
      </c>
      <c r="N5781">
        <v>0</v>
      </c>
      <c r="O5781">
        <v>28</v>
      </c>
    </row>
    <row r="5782" spans="1:15" x14ac:dyDescent="0.25">
      <c r="A5782" t="s">
        <v>9788</v>
      </c>
      <c r="B5782" t="s">
        <v>9871</v>
      </c>
      <c r="C5782" t="s">
        <v>927</v>
      </c>
      <c r="D5782" t="s">
        <v>3052</v>
      </c>
      <c r="E5782" t="s">
        <v>3053</v>
      </c>
      <c r="F5782" t="s">
        <v>618</v>
      </c>
      <c r="G5782" t="s">
        <v>619</v>
      </c>
      <c r="H5782" t="s">
        <v>11177</v>
      </c>
      <c r="I5782">
        <v>57</v>
      </c>
      <c r="J5782">
        <v>57</v>
      </c>
      <c r="K5782">
        <v>0</v>
      </c>
      <c r="L5782">
        <v>0</v>
      </c>
      <c r="M5782">
        <v>0</v>
      </c>
      <c r="N5782">
        <v>0</v>
      </c>
      <c r="O5782">
        <v>0</v>
      </c>
    </row>
    <row r="5783" spans="1:15" x14ac:dyDescent="0.25">
      <c r="A5783" t="s">
        <v>955</v>
      </c>
      <c r="B5783" t="s">
        <v>2660</v>
      </c>
      <c r="C5783" t="s">
        <v>927</v>
      </c>
      <c r="D5783" t="s">
        <v>3052</v>
      </c>
      <c r="E5783" t="s">
        <v>3053</v>
      </c>
      <c r="F5783" t="s">
        <v>618</v>
      </c>
      <c r="G5783" t="s">
        <v>619</v>
      </c>
      <c r="H5783" t="s">
        <v>6963</v>
      </c>
      <c r="I5783">
        <v>11</v>
      </c>
      <c r="J5783">
        <v>8</v>
      </c>
      <c r="K5783">
        <v>0</v>
      </c>
      <c r="L5783">
        <v>0</v>
      </c>
      <c r="M5783">
        <v>0</v>
      </c>
      <c r="N5783">
        <v>0</v>
      </c>
      <c r="O5783">
        <v>3</v>
      </c>
    </row>
    <row r="5784" spans="1:15" x14ac:dyDescent="0.25">
      <c r="A5784" t="s">
        <v>14374</v>
      </c>
      <c r="B5784" t="s">
        <v>1943</v>
      </c>
      <c r="C5784" t="s">
        <v>927</v>
      </c>
      <c r="D5784" t="s">
        <v>3052</v>
      </c>
      <c r="E5784" t="s">
        <v>3053</v>
      </c>
      <c r="F5784" t="s">
        <v>618</v>
      </c>
      <c r="G5784" t="s">
        <v>619</v>
      </c>
      <c r="H5784" t="s">
        <v>14971</v>
      </c>
      <c r="I5784">
        <v>31</v>
      </c>
      <c r="J5784">
        <v>0</v>
      </c>
      <c r="K5784">
        <v>0</v>
      </c>
      <c r="L5784">
        <v>0</v>
      </c>
      <c r="M5784">
        <v>0</v>
      </c>
      <c r="N5784">
        <v>0</v>
      </c>
      <c r="O5784">
        <v>31</v>
      </c>
    </row>
    <row r="5785" spans="1:15" x14ac:dyDescent="0.25">
      <c r="A5785" t="s">
        <v>1073</v>
      </c>
      <c r="B5785" t="s">
        <v>2302</v>
      </c>
      <c r="C5785" t="s">
        <v>923</v>
      </c>
      <c r="D5785" t="s">
        <v>3063</v>
      </c>
      <c r="E5785" t="s">
        <v>3053</v>
      </c>
      <c r="F5785" t="s">
        <v>618</v>
      </c>
      <c r="G5785" t="s">
        <v>619</v>
      </c>
      <c r="H5785" t="s">
        <v>6964</v>
      </c>
      <c r="I5785">
        <v>4</v>
      </c>
      <c r="J5785">
        <v>4</v>
      </c>
      <c r="K5785">
        <v>0</v>
      </c>
      <c r="L5785">
        <v>0</v>
      </c>
      <c r="M5785">
        <v>0</v>
      </c>
      <c r="N5785">
        <v>0</v>
      </c>
      <c r="O5785">
        <v>0</v>
      </c>
    </row>
    <row r="5786" spans="1:15" x14ac:dyDescent="0.25">
      <c r="A5786" t="s">
        <v>972</v>
      </c>
      <c r="B5786" t="s">
        <v>2842</v>
      </c>
      <c r="C5786" t="s">
        <v>927</v>
      </c>
      <c r="D5786" t="s">
        <v>3052</v>
      </c>
      <c r="E5786" t="s">
        <v>3053</v>
      </c>
      <c r="F5786" t="s">
        <v>620</v>
      </c>
      <c r="G5786" t="s">
        <v>621</v>
      </c>
      <c r="H5786" t="s">
        <v>6965</v>
      </c>
      <c r="I5786">
        <v>74</v>
      </c>
      <c r="J5786">
        <v>55</v>
      </c>
      <c r="K5786">
        <v>0</v>
      </c>
      <c r="L5786">
        <v>0</v>
      </c>
      <c r="M5786">
        <v>0</v>
      </c>
      <c r="N5786">
        <v>0</v>
      </c>
      <c r="O5786">
        <v>19</v>
      </c>
    </row>
    <row r="5787" spans="1:15" x14ac:dyDescent="0.25">
      <c r="A5787" t="s">
        <v>929</v>
      </c>
      <c r="B5787" t="s">
        <v>2999</v>
      </c>
      <c r="C5787" t="s">
        <v>927</v>
      </c>
      <c r="D5787" t="s">
        <v>3052</v>
      </c>
      <c r="E5787" t="s">
        <v>3053</v>
      </c>
      <c r="F5787" t="s">
        <v>620</v>
      </c>
      <c r="G5787" t="s">
        <v>621</v>
      </c>
      <c r="H5787" t="s">
        <v>6966</v>
      </c>
      <c r="I5787">
        <v>177</v>
      </c>
      <c r="J5787">
        <v>0</v>
      </c>
      <c r="K5787">
        <v>0</v>
      </c>
      <c r="L5787">
        <v>0</v>
      </c>
      <c r="M5787">
        <v>177</v>
      </c>
      <c r="N5787">
        <v>0</v>
      </c>
      <c r="O5787">
        <v>0</v>
      </c>
    </row>
    <row r="5788" spans="1:15" x14ac:dyDescent="0.25">
      <c r="A5788" t="s">
        <v>9784</v>
      </c>
      <c r="B5788" t="s">
        <v>1994</v>
      </c>
      <c r="C5788" t="s">
        <v>927</v>
      </c>
      <c r="D5788" t="s">
        <v>3052</v>
      </c>
      <c r="E5788" t="s">
        <v>3053</v>
      </c>
      <c r="F5788" t="s">
        <v>620</v>
      </c>
      <c r="G5788" t="s">
        <v>621</v>
      </c>
      <c r="H5788" t="s">
        <v>9964</v>
      </c>
      <c r="I5788">
        <v>12</v>
      </c>
      <c r="J5788">
        <v>0</v>
      </c>
      <c r="K5788">
        <v>0</v>
      </c>
      <c r="L5788">
        <v>12</v>
      </c>
      <c r="M5788">
        <v>0</v>
      </c>
      <c r="N5788">
        <v>3</v>
      </c>
      <c r="O5788">
        <v>0</v>
      </c>
    </row>
    <row r="5789" spans="1:15" x14ac:dyDescent="0.25">
      <c r="A5789" t="s">
        <v>985</v>
      </c>
      <c r="B5789" t="s">
        <v>1964</v>
      </c>
      <c r="C5789" t="s">
        <v>923</v>
      </c>
      <c r="D5789" t="s">
        <v>3063</v>
      </c>
      <c r="E5789" t="s">
        <v>3053</v>
      </c>
      <c r="F5789" t="s">
        <v>620</v>
      </c>
      <c r="G5789" t="s">
        <v>621</v>
      </c>
      <c r="H5789" t="s">
        <v>6967</v>
      </c>
      <c r="I5789">
        <v>28</v>
      </c>
      <c r="J5789">
        <v>0</v>
      </c>
      <c r="K5789">
        <v>0</v>
      </c>
      <c r="L5789">
        <v>28</v>
      </c>
      <c r="M5789">
        <v>0</v>
      </c>
      <c r="N5789">
        <v>0</v>
      </c>
      <c r="O5789">
        <v>0</v>
      </c>
    </row>
    <row r="5790" spans="1:15" x14ac:dyDescent="0.25">
      <c r="A5790" t="s">
        <v>1001</v>
      </c>
      <c r="B5790" t="s">
        <v>3007</v>
      </c>
      <c r="C5790" t="s">
        <v>927</v>
      </c>
      <c r="D5790" t="s">
        <v>3052</v>
      </c>
      <c r="E5790" t="s">
        <v>3053</v>
      </c>
      <c r="F5790" t="s">
        <v>620</v>
      </c>
      <c r="G5790" t="s">
        <v>621</v>
      </c>
      <c r="H5790" t="s">
        <v>6968</v>
      </c>
      <c r="I5790">
        <v>28</v>
      </c>
      <c r="J5790">
        <v>0</v>
      </c>
      <c r="K5790">
        <v>0</v>
      </c>
      <c r="L5790">
        <v>28</v>
      </c>
      <c r="M5790">
        <v>0</v>
      </c>
      <c r="N5790">
        <v>0</v>
      </c>
      <c r="O5790">
        <v>0</v>
      </c>
    </row>
    <row r="5791" spans="1:15" x14ac:dyDescent="0.25">
      <c r="A5791" t="s">
        <v>10638</v>
      </c>
      <c r="B5791" t="s">
        <v>2057</v>
      </c>
      <c r="C5791" t="s">
        <v>927</v>
      </c>
      <c r="D5791" t="s">
        <v>3052</v>
      </c>
      <c r="E5791" t="s">
        <v>3053</v>
      </c>
      <c r="F5791" t="s">
        <v>620</v>
      </c>
      <c r="G5791" t="s">
        <v>621</v>
      </c>
      <c r="H5791" t="s">
        <v>11178</v>
      </c>
      <c r="I5791">
        <v>4</v>
      </c>
      <c r="J5791">
        <v>0</v>
      </c>
      <c r="K5791">
        <v>0</v>
      </c>
      <c r="L5791">
        <v>4</v>
      </c>
      <c r="M5791">
        <v>0</v>
      </c>
      <c r="N5791">
        <v>0</v>
      </c>
      <c r="O5791">
        <v>0</v>
      </c>
    </row>
    <row r="5792" spans="1:15" x14ac:dyDescent="0.25">
      <c r="A5792" t="s">
        <v>937</v>
      </c>
      <c r="B5792" t="s">
        <v>1962</v>
      </c>
      <c r="C5792" t="s">
        <v>927</v>
      </c>
      <c r="D5792" t="s">
        <v>3052</v>
      </c>
      <c r="E5792" t="s">
        <v>3053</v>
      </c>
      <c r="F5792" t="s">
        <v>620</v>
      </c>
      <c r="G5792" t="s">
        <v>621</v>
      </c>
      <c r="H5792" t="s">
        <v>12229</v>
      </c>
      <c r="I5792">
        <v>11</v>
      </c>
      <c r="J5792">
        <v>0</v>
      </c>
      <c r="K5792">
        <v>0</v>
      </c>
      <c r="L5792">
        <v>0</v>
      </c>
      <c r="M5792">
        <v>0</v>
      </c>
      <c r="N5792">
        <v>0</v>
      </c>
      <c r="O5792">
        <v>11</v>
      </c>
    </row>
    <row r="5793" spans="1:15" x14ac:dyDescent="0.25">
      <c r="A5793" t="s">
        <v>938</v>
      </c>
      <c r="B5793" t="s">
        <v>2791</v>
      </c>
      <c r="C5793" t="s">
        <v>927</v>
      </c>
      <c r="D5793" t="s">
        <v>3052</v>
      </c>
      <c r="E5793" t="s">
        <v>3053</v>
      </c>
      <c r="F5793" t="s">
        <v>620</v>
      </c>
      <c r="G5793" t="s">
        <v>621</v>
      </c>
      <c r="H5793" t="s">
        <v>6969</v>
      </c>
      <c r="I5793">
        <v>23</v>
      </c>
      <c r="J5793">
        <v>0</v>
      </c>
      <c r="K5793">
        <v>0</v>
      </c>
      <c r="L5793">
        <v>23</v>
      </c>
      <c r="M5793">
        <v>0</v>
      </c>
      <c r="N5793">
        <v>0</v>
      </c>
      <c r="O5793">
        <v>0</v>
      </c>
    </row>
    <row r="5794" spans="1:15" x14ac:dyDescent="0.25">
      <c r="A5794" t="s">
        <v>940</v>
      </c>
      <c r="B5794" t="s">
        <v>2647</v>
      </c>
      <c r="C5794" t="s">
        <v>927</v>
      </c>
      <c r="D5794" t="s">
        <v>3052</v>
      </c>
      <c r="E5794" t="s">
        <v>3053</v>
      </c>
      <c r="F5794" t="s">
        <v>620</v>
      </c>
      <c r="G5794" t="s">
        <v>621</v>
      </c>
      <c r="H5794" t="s">
        <v>6970</v>
      </c>
      <c r="I5794">
        <v>39</v>
      </c>
      <c r="J5794">
        <v>0</v>
      </c>
      <c r="K5794">
        <v>0</v>
      </c>
      <c r="L5794">
        <v>0</v>
      </c>
      <c r="M5794">
        <v>39</v>
      </c>
      <c r="N5794">
        <v>0</v>
      </c>
      <c r="O5794">
        <v>0</v>
      </c>
    </row>
    <row r="5795" spans="1:15" x14ac:dyDescent="0.25">
      <c r="A5795" t="s">
        <v>1013</v>
      </c>
      <c r="B5795" t="s">
        <v>1959</v>
      </c>
      <c r="C5795" t="s">
        <v>927</v>
      </c>
      <c r="D5795" t="s">
        <v>3052</v>
      </c>
      <c r="E5795" t="s">
        <v>3053</v>
      </c>
      <c r="F5795" t="s">
        <v>620</v>
      </c>
      <c r="G5795" t="s">
        <v>621</v>
      </c>
      <c r="H5795" t="s">
        <v>6971</v>
      </c>
      <c r="I5795">
        <v>16</v>
      </c>
      <c r="J5795">
        <v>0</v>
      </c>
      <c r="K5795">
        <v>0</v>
      </c>
      <c r="L5795">
        <v>16</v>
      </c>
      <c r="M5795">
        <v>0</v>
      </c>
      <c r="N5795">
        <v>0</v>
      </c>
      <c r="O5795">
        <v>0</v>
      </c>
    </row>
    <row r="5796" spans="1:15" x14ac:dyDescent="0.25">
      <c r="A5796" t="s">
        <v>1017</v>
      </c>
      <c r="B5796" t="s">
        <v>2671</v>
      </c>
      <c r="C5796" t="s">
        <v>923</v>
      </c>
      <c r="D5796" t="s">
        <v>3063</v>
      </c>
      <c r="E5796" t="s">
        <v>3053</v>
      </c>
      <c r="F5796" t="s">
        <v>620</v>
      </c>
      <c r="G5796" t="s">
        <v>621</v>
      </c>
      <c r="H5796" t="s">
        <v>14972</v>
      </c>
      <c r="I5796">
        <v>16</v>
      </c>
      <c r="J5796">
        <v>16</v>
      </c>
      <c r="K5796">
        <v>0</v>
      </c>
      <c r="L5796">
        <v>0</v>
      </c>
      <c r="M5796">
        <v>0</v>
      </c>
      <c r="N5796">
        <v>0</v>
      </c>
      <c r="O5796">
        <v>0</v>
      </c>
    </row>
    <row r="5797" spans="1:15" x14ac:dyDescent="0.25">
      <c r="A5797" t="s">
        <v>1023</v>
      </c>
      <c r="B5797" t="s">
        <v>2803</v>
      </c>
      <c r="C5797" t="s">
        <v>923</v>
      </c>
      <c r="D5797" t="s">
        <v>3063</v>
      </c>
      <c r="E5797" t="s">
        <v>3053</v>
      </c>
      <c r="F5797" t="s">
        <v>620</v>
      </c>
      <c r="G5797" t="s">
        <v>621</v>
      </c>
      <c r="H5797" t="s">
        <v>6972</v>
      </c>
      <c r="I5797">
        <v>39</v>
      </c>
      <c r="J5797">
        <v>39</v>
      </c>
      <c r="K5797">
        <v>0</v>
      </c>
      <c r="L5797">
        <v>0</v>
      </c>
      <c r="M5797">
        <v>0</v>
      </c>
      <c r="N5797">
        <v>0</v>
      </c>
      <c r="O5797">
        <v>0</v>
      </c>
    </row>
    <row r="5798" spans="1:15" x14ac:dyDescent="0.25">
      <c r="A5798" t="s">
        <v>1026</v>
      </c>
      <c r="B5798" t="s">
        <v>2848</v>
      </c>
      <c r="C5798" t="s">
        <v>927</v>
      </c>
      <c r="D5798" t="s">
        <v>3052</v>
      </c>
      <c r="E5798" t="s">
        <v>3053</v>
      </c>
      <c r="F5798" t="s">
        <v>620</v>
      </c>
      <c r="G5798" t="s">
        <v>621</v>
      </c>
      <c r="H5798" t="s">
        <v>6973</v>
      </c>
      <c r="I5798">
        <v>439</v>
      </c>
      <c r="J5798">
        <v>413</v>
      </c>
      <c r="K5798">
        <v>0</v>
      </c>
      <c r="L5798">
        <v>0</v>
      </c>
      <c r="M5798">
        <v>0</v>
      </c>
      <c r="N5798">
        <v>6</v>
      </c>
      <c r="O5798">
        <v>26</v>
      </c>
    </row>
    <row r="5799" spans="1:15" x14ac:dyDescent="0.25">
      <c r="A5799" t="s">
        <v>1039</v>
      </c>
      <c r="B5799" t="s">
        <v>2885</v>
      </c>
      <c r="C5799" t="s">
        <v>927</v>
      </c>
      <c r="D5799" t="s">
        <v>3052</v>
      </c>
      <c r="E5799" t="s">
        <v>3053</v>
      </c>
      <c r="F5799" t="s">
        <v>620</v>
      </c>
      <c r="G5799" t="s">
        <v>621</v>
      </c>
      <c r="H5799" t="s">
        <v>6974</v>
      </c>
      <c r="I5799">
        <v>10353</v>
      </c>
      <c r="J5799">
        <v>10211</v>
      </c>
      <c r="K5799">
        <v>2</v>
      </c>
      <c r="L5799">
        <v>58</v>
      </c>
      <c r="M5799">
        <v>49</v>
      </c>
      <c r="N5799">
        <v>123</v>
      </c>
      <c r="O5799">
        <v>33</v>
      </c>
    </row>
    <row r="5800" spans="1:15" x14ac:dyDescent="0.25">
      <c r="A5800" t="s">
        <v>951</v>
      </c>
      <c r="B5800" t="s">
        <v>2680</v>
      </c>
      <c r="C5800" t="s">
        <v>927</v>
      </c>
      <c r="D5800" t="s">
        <v>3052</v>
      </c>
      <c r="E5800" t="s">
        <v>3053</v>
      </c>
      <c r="F5800" t="s">
        <v>620</v>
      </c>
      <c r="G5800" t="s">
        <v>621</v>
      </c>
      <c r="H5800" t="s">
        <v>6975</v>
      </c>
      <c r="I5800">
        <v>131</v>
      </c>
      <c r="J5800">
        <v>118</v>
      </c>
      <c r="K5800">
        <v>0</v>
      </c>
      <c r="L5800">
        <v>1</v>
      </c>
      <c r="M5800">
        <v>0</v>
      </c>
      <c r="N5800">
        <v>0</v>
      </c>
      <c r="O5800">
        <v>12</v>
      </c>
    </row>
    <row r="5801" spans="1:15" x14ac:dyDescent="0.25">
      <c r="A5801" t="s">
        <v>1048</v>
      </c>
      <c r="B5801" t="s">
        <v>2989</v>
      </c>
      <c r="C5801" t="s">
        <v>927</v>
      </c>
      <c r="D5801" t="s">
        <v>3052</v>
      </c>
      <c r="E5801" t="s">
        <v>3053</v>
      </c>
      <c r="F5801" t="s">
        <v>620</v>
      </c>
      <c r="G5801" t="s">
        <v>621</v>
      </c>
      <c r="H5801" t="s">
        <v>6976</v>
      </c>
      <c r="I5801">
        <v>16</v>
      </c>
      <c r="J5801">
        <v>0</v>
      </c>
      <c r="K5801">
        <v>0</v>
      </c>
      <c r="L5801">
        <v>16</v>
      </c>
      <c r="M5801">
        <v>0</v>
      </c>
      <c r="N5801">
        <v>0</v>
      </c>
      <c r="O5801">
        <v>0</v>
      </c>
    </row>
    <row r="5802" spans="1:15" x14ac:dyDescent="0.25">
      <c r="A5802" t="s">
        <v>1049</v>
      </c>
      <c r="B5802" t="s">
        <v>2138</v>
      </c>
      <c r="C5802" t="s">
        <v>927</v>
      </c>
      <c r="D5802" t="s">
        <v>3052</v>
      </c>
      <c r="E5802" t="s">
        <v>3053</v>
      </c>
      <c r="F5802" t="s">
        <v>620</v>
      </c>
      <c r="G5802" t="s">
        <v>621</v>
      </c>
      <c r="H5802" t="s">
        <v>14973</v>
      </c>
      <c r="I5802">
        <v>30</v>
      </c>
      <c r="J5802">
        <v>5</v>
      </c>
      <c r="K5802">
        <v>0</v>
      </c>
      <c r="L5802">
        <v>0</v>
      </c>
      <c r="M5802">
        <v>0</v>
      </c>
      <c r="N5802">
        <v>0</v>
      </c>
      <c r="O5802">
        <v>25</v>
      </c>
    </row>
    <row r="5803" spans="1:15" x14ac:dyDescent="0.25">
      <c r="A5803" t="s">
        <v>1051</v>
      </c>
      <c r="B5803" t="s">
        <v>2995</v>
      </c>
      <c r="C5803" t="s">
        <v>927</v>
      </c>
      <c r="D5803" t="s">
        <v>3052</v>
      </c>
      <c r="E5803" t="s">
        <v>3053</v>
      </c>
      <c r="F5803" t="s">
        <v>620</v>
      </c>
      <c r="G5803" t="s">
        <v>621</v>
      </c>
      <c r="H5803" t="s">
        <v>6977</v>
      </c>
      <c r="I5803">
        <v>35</v>
      </c>
      <c r="J5803">
        <v>0</v>
      </c>
      <c r="K5803">
        <v>0</v>
      </c>
      <c r="L5803">
        <v>35</v>
      </c>
      <c r="M5803">
        <v>0</v>
      </c>
      <c r="N5803">
        <v>0</v>
      </c>
      <c r="O5803">
        <v>0</v>
      </c>
    </row>
    <row r="5804" spans="1:15" x14ac:dyDescent="0.25">
      <c r="A5804" t="s">
        <v>11720</v>
      </c>
      <c r="B5804" t="s">
        <v>10718</v>
      </c>
      <c r="C5804" t="s">
        <v>927</v>
      </c>
      <c r="D5804" t="s">
        <v>3052</v>
      </c>
      <c r="E5804" t="s">
        <v>3053</v>
      </c>
      <c r="F5804" t="s">
        <v>620</v>
      </c>
      <c r="G5804" t="s">
        <v>621</v>
      </c>
      <c r="H5804" t="s">
        <v>14974</v>
      </c>
      <c r="I5804">
        <v>34</v>
      </c>
      <c r="J5804">
        <v>19</v>
      </c>
      <c r="K5804">
        <v>0</v>
      </c>
      <c r="L5804">
        <v>0</v>
      </c>
      <c r="M5804">
        <v>0</v>
      </c>
      <c r="N5804">
        <v>0</v>
      </c>
      <c r="O5804">
        <v>15</v>
      </c>
    </row>
    <row r="5805" spans="1:15" x14ac:dyDescent="0.25">
      <c r="A5805" t="s">
        <v>955</v>
      </c>
      <c r="B5805" t="s">
        <v>2660</v>
      </c>
      <c r="C5805" t="s">
        <v>927</v>
      </c>
      <c r="D5805" t="s">
        <v>3052</v>
      </c>
      <c r="E5805" t="s">
        <v>3053</v>
      </c>
      <c r="F5805" t="s">
        <v>620</v>
      </c>
      <c r="G5805" t="s">
        <v>621</v>
      </c>
      <c r="H5805" t="s">
        <v>6978</v>
      </c>
      <c r="I5805">
        <v>157</v>
      </c>
      <c r="J5805">
        <v>89</v>
      </c>
      <c r="K5805">
        <v>0</v>
      </c>
      <c r="L5805">
        <v>26</v>
      </c>
      <c r="M5805">
        <v>40</v>
      </c>
      <c r="N5805">
        <v>0</v>
      </c>
      <c r="O5805">
        <v>2</v>
      </c>
    </row>
    <row r="5806" spans="1:15" x14ac:dyDescent="0.25">
      <c r="A5806" t="s">
        <v>1072</v>
      </c>
      <c r="B5806" t="s">
        <v>2907</v>
      </c>
      <c r="C5806" t="s">
        <v>927</v>
      </c>
      <c r="D5806" t="s">
        <v>3052</v>
      </c>
      <c r="E5806" t="s">
        <v>3053</v>
      </c>
      <c r="F5806" t="s">
        <v>620</v>
      </c>
      <c r="G5806" t="s">
        <v>621</v>
      </c>
      <c r="H5806" t="s">
        <v>6979</v>
      </c>
      <c r="I5806">
        <v>86</v>
      </c>
      <c r="J5806">
        <v>86</v>
      </c>
      <c r="K5806">
        <v>0</v>
      </c>
      <c r="L5806">
        <v>0</v>
      </c>
      <c r="M5806">
        <v>0</v>
      </c>
      <c r="N5806">
        <v>0</v>
      </c>
      <c r="O5806">
        <v>0</v>
      </c>
    </row>
    <row r="5807" spans="1:15" x14ac:dyDescent="0.25">
      <c r="A5807" t="s">
        <v>929</v>
      </c>
      <c r="B5807" t="s">
        <v>2999</v>
      </c>
      <c r="C5807" t="s">
        <v>927</v>
      </c>
      <c r="D5807" t="s">
        <v>3052</v>
      </c>
      <c r="E5807" t="s">
        <v>3053</v>
      </c>
      <c r="F5807" t="s">
        <v>622</v>
      </c>
      <c r="G5807" t="s">
        <v>623</v>
      </c>
      <c r="H5807" t="s">
        <v>6980</v>
      </c>
      <c r="I5807">
        <v>41</v>
      </c>
      <c r="J5807">
        <v>0</v>
      </c>
      <c r="K5807">
        <v>0</v>
      </c>
      <c r="L5807">
        <v>0</v>
      </c>
      <c r="M5807">
        <v>41</v>
      </c>
      <c r="N5807">
        <v>0</v>
      </c>
      <c r="O5807">
        <v>0</v>
      </c>
    </row>
    <row r="5808" spans="1:15" x14ac:dyDescent="0.25">
      <c r="A5808" t="s">
        <v>1099</v>
      </c>
      <c r="B5808" t="s">
        <v>2641</v>
      </c>
      <c r="C5808" t="s">
        <v>927</v>
      </c>
      <c r="D5808" t="s">
        <v>3052</v>
      </c>
      <c r="E5808" t="s">
        <v>3053</v>
      </c>
      <c r="F5808" t="s">
        <v>622</v>
      </c>
      <c r="G5808" t="s">
        <v>623</v>
      </c>
      <c r="H5808" t="s">
        <v>6981</v>
      </c>
      <c r="I5808">
        <v>526</v>
      </c>
      <c r="J5808">
        <v>390</v>
      </c>
      <c r="K5808">
        <v>0</v>
      </c>
      <c r="L5808">
        <v>0</v>
      </c>
      <c r="M5808">
        <v>70</v>
      </c>
      <c r="N5808">
        <v>0</v>
      </c>
      <c r="O5808">
        <v>66</v>
      </c>
    </row>
    <row r="5809" spans="1:15" x14ac:dyDescent="0.25">
      <c r="A5809" t="s">
        <v>933</v>
      </c>
      <c r="B5809" t="s">
        <v>2106</v>
      </c>
      <c r="C5809" t="s">
        <v>927</v>
      </c>
      <c r="D5809" t="s">
        <v>3052</v>
      </c>
      <c r="E5809" t="s">
        <v>3053</v>
      </c>
      <c r="F5809" t="s">
        <v>622</v>
      </c>
      <c r="G5809" t="s">
        <v>623</v>
      </c>
      <c r="H5809" t="s">
        <v>6982</v>
      </c>
      <c r="I5809">
        <v>236</v>
      </c>
      <c r="J5809">
        <v>135</v>
      </c>
      <c r="K5809">
        <v>0</v>
      </c>
      <c r="L5809">
        <v>11</v>
      </c>
      <c r="M5809">
        <v>0</v>
      </c>
      <c r="N5809">
        <v>0</v>
      </c>
      <c r="O5809">
        <v>90</v>
      </c>
    </row>
    <row r="5810" spans="1:15" x14ac:dyDescent="0.25">
      <c r="A5810" t="s">
        <v>935</v>
      </c>
      <c r="B5810" t="s">
        <v>1960</v>
      </c>
      <c r="C5810" t="s">
        <v>923</v>
      </c>
      <c r="D5810" t="s">
        <v>3063</v>
      </c>
      <c r="E5810" t="s">
        <v>3053</v>
      </c>
      <c r="F5810" t="s">
        <v>622</v>
      </c>
      <c r="G5810" t="s">
        <v>623</v>
      </c>
      <c r="H5810" t="s">
        <v>10063</v>
      </c>
      <c r="I5810">
        <v>2</v>
      </c>
      <c r="J5810">
        <v>0</v>
      </c>
      <c r="K5810">
        <v>0</v>
      </c>
      <c r="L5810">
        <v>2</v>
      </c>
      <c r="M5810">
        <v>0</v>
      </c>
      <c r="N5810">
        <v>0</v>
      </c>
      <c r="O5810">
        <v>0</v>
      </c>
    </row>
    <row r="5811" spans="1:15" x14ac:dyDescent="0.25">
      <c r="A5811" t="s">
        <v>1113</v>
      </c>
      <c r="B5811" t="s">
        <v>1953</v>
      </c>
      <c r="C5811" t="s">
        <v>927</v>
      </c>
      <c r="D5811" t="s">
        <v>3052</v>
      </c>
      <c r="E5811" t="s">
        <v>3053</v>
      </c>
      <c r="F5811" t="s">
        <v>622</v>
      </c>
      <c r="G5811" t="s">
        <v>623</v>
      </c>
      <c r="H5811" t="s">
        <v>6983</v>
      </c>
      <c r="I5811">
        <v>5057</v>
      </c>
      <c r="J5811">
        <v>4929</v>
      </c>
      <c r="K5811">
        <v>0</v>
      </c>
      <c r="L5811">
        <v>24</v>
      </c>
      <c r="M5811">
        <v>0</v>
      </c>
      <c r="N5811">
        <v>118</v>
      </c>
      <c r="O5811">
        <v>104</v>
      </c>
    </row>
    <row r="5812" spans="1:15" x14ac:dyDescent="0.25">
      <c r="A5812" t="s">
        <v>1008</v>
      </c>
      <c r="B5812" t="s">
        <v>2928</v>
      </c>
      <c r="C5812" t="s">
        <v>927</v>
      </c>
      <c r="D5812" t="s">
        <v>3052</v>
      </c>
      <c r="E5812" t="s">
        <v>3053</v>
      </c>
      <c r="F5812" t="s">
        <v>622</v>
      </c>
      <c r="G5812" t="s">
        <v>623</v>
      </c>
      <c r="H5812" t="s">
        <v>6984</v>
      </c>
      <c r="I5812">
        <v>4</v>
      </c>
      <c r="J5812">
        <v>3</v>
      </c>
      <c r="K5812">
        <v>0</v>
      </c>
      <c r="L5812">
        <v>1</v>
      </c>
      <c r="M5812">
        <v>0</v>
      </c>
      <c r="N5812">
        <v>2</v>
      </c>
      <c r="O5812">
        <v>0</v>
      </c>
    </row>
    <row r="5813" spans="1:15" x14ac:dyDescent="0.25">
      <c r="A5813" t="s">
        <v>1010</v>
      </c>
      <c r="B5813" t="s">
        <v>2639</v>
      </c>
      <c r="C5813" t="s">
        <v>927</v>
      </c>
      <c r="D5813" t="s">
        <v>3052</v>
      </c>
      <c r="E5813" t="s">
        <v>3053</v>
      </c>
      <c r="F5813" t="s">
        <v>622</v>
      </c>
      <c r="G5813" t="s">
        <v>623</v>
      </c>
      <c r="H5813" t="s">
        <v>6985</v>
      </c>
      <c r="I5813">
        <v>38</v>
      </c>
      <c r="J5813">
        <v>36</v>
      </c>
      <c r="K5813">
        <v>0</v>
      </c>
      <c r="L5813">
        <v>0</v>
      </c>
      <c r="M5813">
        <v>0</v>
      </c>
      <c r="N5813">
        <v>0</v>
      </c>
      <c r="O5813">
        <v>2</v>
      </c>
    </row>
    <row r="5814" spans="1:15" x14ac:dyDescent="0.25">
      <c r="A5814" t="s">
        <v>938</v>
      </c>
      <c r="B5814" t="s">
        <v>2791</v>
      </c>
      <c r="C5814" t="s">
        <v>927</v>
      </c>
      <c r="D5814" t="s">
        <v>3052</v>
      </c>
      <c r="E5814" t="s">
        <v>3053</v>
      </c>
      <c r="F5814" t="s">
        <v>622</v>
      </c>
      <c r="G5814" t="s">
        <v>623</v>
      </c>
      <c r="H5814" t="s">
        <v>11179</v>
      </c>
      <c r="I5814">
        <v>1</v>
      </c>
      <c r="J5814">
        <v>0</v>
      </c>
      <c r="K5814">
        <v>0</v>
      </c>
      <c r="L5814">
        <v>1</v>
      </c>
      <c r="M5814">
        <v>0</v>
      </c>
      <c r="N5814">
        <v>0</v>
      </c>
      <c r="O5814">
        <v>0</v>
      </c>
    </row>
    <row r="5815" spans="1:15" x14ac:dyDescent="0.25">
      <c r="A5815" t="s">
        <v>1121</v>
      </c>
      <c r="B5815" t="s">
        <v>2042</v>
      </c>
      <c r="C5815" t="s">
        <v>923</v>
      </c>
      <c r="D5815" t="s">
        <v>3063</v>
      </c>
      <c r="E5815" t="s">
        <v>3053</v>
      </c>
      <c r="F5815" t="s">
        <v>622</v>
      </c>
      <c r="G5815" t="s">
        <v>623</v>
      </c>
      <c r="H5815" t="s">
        <v>6986</v>
      </c>
      <c r="I5815">
        <v>22</v>
      </c>
      <c r="J5815">
        <v>22</v>
      </c>
      <c r="K5815">
        <v>0</v>
      </c>
      <c r="L5815">
        <v>0</v>
      </c>
      <c r="M5815">
        <v>0</v>
      </c>
      <c r="N5815">
        <v>0</v>
      </c>
      <c r="O5815">
        <v>0</v>
      </c>
    </row>
    <row r="5816" spans="1:15" x14ac:dyDescent="0.25">
      <c r="A5816" t="s">
        <v>940</v>
      </c>
      <c r="B5816" t="s">
        <v>2647</v>
      </c>
      <c r="C5816" t="s">
        <v>927</v>
      </c>
      <c r="D5816" t="s">
        <v>3052</v>
      </c>
      <c r="E5816" t="s">
        <v>3053</v>
      </c>
      <c r="F5816" t="s">
        <v>622</v>
      </c>
      <c r="G5816" t="s">
        <v>623</v>
      </c>
      <c r="H5816" t="s">
        <v>6987</v>
      </c>
      <c r="I5816">
        <v>93</v>
      </c>
      <c r="J5816">
        <v>0</v>
      </c>
      <c r="K5816">
        <v>0</v>
      </c>
      <c r="L5816">
        <v>0</v>
      </c>
      <c r="M5816">
        <v>57</v>
      </c>
      <c r="N5816">
        <v>0</v>
      </c>
      <c r="O5816">
        <v>36</v>
      </c>
    </row>
    <row r="5817" spans="1:15" x14ac:dyDescent="0.25">
      <c r="A5817" t="s">
        <v>1013</v>
      </c>
      <c r="B5817" t="s">
        <v>1959</v>
      </c>
      <c r="C5817" t="s">
        <v>927</v>
      </c>
      <c r="D5817" t="s">
        <v>3052</v>
      </c>
      <c r="E5817" t="s">
        <v>3053</v>
      </c>
      <c r="F5817" t="s">
        <v>622</v>
      </c>
      <c r="G5817" t="s">
        <v>623</v>
      </c>
      <c r="H5817" t="s">
        <v>10128</v>
      </c>
      <c r="I5817">
        <v>16</v>
      </c>
      <c r="J5817">
        <v>0</v>
      </c>
      <c r="K5817">
        <v>0</v>
      </c>
      <c r="L5817">
        <v>16</v>
      </c>
      <c r="M5817">
        <v>0</v>
      </c>
      <c r="N5817">
        <v>0</v>
      </c>
      <c r="O5817">
        <v>0</v>
      </c>
    </row>
    <row r="5818" spans="1:15" x14ac:dyDescent="0.25">
      <c r="A5818" t="s">
        <v>9787</v>
      </c>
      <c r="B5818" t="s">
        <v>2822</v>
      </c>
      <c r="C5818" t="s">
        <v>927</v>
      </c>
      <c r="D5818" t="s">
        <v>3052</v>
      </c>
      <c r="E5818" t="s">
        <v>3053</v>
      </c>
      <c r="F5818" t="s">
        <v>622</v>
      </c>
      <c r="G5818" t="s">
        <v>623</v>
      </c>
      <c r="H5818" t="s">
        <v>10268</v>
      </c>
      <c r="I5818">
        <v>207</v>
      </c>
      <c r="J5818">
        <v>161</v>
      </c>
      <c r="K5818">
        <v>0</v>
      </c>
      <c r="L5818">
        <v>8</v>
      </c>
      <c r="M5818">
        <v>38</v>
      </c>
      <c r="N5818">
        <v>1</v>
      </c>
      <c r="O5818">
        <v>0</v>
      </c>
    </row>
    <row r="5819" spans="1:15" x14ac:dyDescent="0.25">
      <c r="A5819" t="s">
        <v>951</v>
      </c>
      <c r="B5819" t="s">
        <v>2680</v>
      </c>
      <c r="C5819" t="s">
        <v>927</v>
      </c>
      <c r="D5819" t="s">
        <v>3052</v>
      </c>
      <c r="E5819" t="s">
        <v>3053</v>
      </c>
      <c r="F5819" t="s">
        <v>622</v>
      </c>
      <c r="G5819" t="s">
        <v>623</v>
      </c>
      <c r="H5819" t="s">
        <v>6988</v>
      </c>
      <c r="I5819">
        <v>109</v>
      </c>
      <c r="J5819">
        <v>109</v>
      </c>
      <c r="K5819">
        <v>0</v>
      </c>
      <c r="L5819">
        <v>0</v>
      </c>
      <c r="M5819">
        <v>0</v>
      </c>
      <c r="N5819">
        <v>0</v>
      </c>
      <c r="O5819">
        <v>0</v>
      </c>
    </row>
    <row r="5820" spans="1:15" x14ac:dyDescent="0.25">
      <c r="A5820" t="s">
        <v>1048</v>
      </c>
      <c r="B5820" t="s">
        <v>2989</v>
      </c>
      <c r="C5820" t="s">
        <v>927</v>
      </c>
      <c r="D5820" t="s">
        <v>3052</v>
      </c>
      <c r="E5820" t="s">
        <v>3053</v>
      </c>
      <c r="F5820" t="s">
        <v>622</v>
      </c>
      <c r="G5820" t="s">
        <v>623</v>
      </c>
      <c r="H5820" t="s">
        <v>12230</v>
      </c>
      <c r="I5820">
        <v>90</v>
      </c>
      <c r="J5820">
        <v>90</v>
      </c>
      <c r="K5820">
        <v>0</v>
      </c>
      <c r="L5820">
        <v>0</v>
      </c>
      <c r="M5820">
        <v>0</v>
      </c>
      <c r="N5820">
        <v>0</v>
      </c>
      <c r="O5820">
        <v>0</v>
      </c>
    </row>
    <row r="5821" spans="1:15" x14ac:dyDescent="0.25">
      <c r="A5821" t="s">
        <v>1051</v>
      </c>
      <c r="B5821" t="s">
        <v>2995</v>
      </c>
      <c r="C5821" t="s">
        <v>927</v>
      </c>
      <c r="D5821" t="s">
        <v>3052</v>
      </c>
      <c r="E5821" t="s">
        <v>3053</v>
      </c>
      <c r="F5821" t="s">
        <v>622</v>
      </c>
      <c r="G5821" t="s">
        <v>623</v>
      </c>
      <c r="H5821" t="s">
        <v>6989</v>
      </c>
      <c r="I5821">
        <v>21</v>
      </c>
      <c r="J5821">
        <v>0</v>
      </c>
      <c r="K5821">
        <v>0</v>
      </c>
      <c r="L5821">
        <v>21</v>
      </c>
      <c r="M5821">
        <v>0</v>
      </c>
      <c r="N5821">
        <v>0</v>
      </c>
      <c r="O5821">
        <v>0</v>
      </c>
    </row>
    <row r="5822" spans="1:15" x14ac:dyDescent="0.25">
      <c r="A5822" t="s">
        <v>1152</v>
      </c>
      <c r="B5822" t="s">
        <v>3031</v>
      </c>
      <c r="C5822" t="s">
        <v>927</v>
      </c>
      <c r="D5822" t="s">
        <v>3052</v>
      </c>
      <c r="E5822" t="s">
        <v>3053</v>
      </c>
      <c r="F5822" t="s">
        <v>622</v>
      </c>
      <c r="G5822" t="s">
        <v>623</v>
      </c>
      <c r="H5822" t="s">
        <v>6990</v>
      </c>
      <c r="I5822">
        <v>42</v>
      </c>
      <c r="J5822">
        <v>32</v>
      </c>
      <c r="K5822">
        <v>0</v>
      </c>
      <c r="L5822">
        <v>9</v>
      </c>
      <c r="M5822">
        <v>0</v>
      </c>
      <c r="N5822">
        <v>0</v>
      </c>
      <c r="O5822">
        <v>1</v>
      </c>
    </row>
    <row r="5823" spans="1:15" x14ac:dyDescent="0.25">
      <c r="A5823" t="s">
        <v>1057</v>
      </c>
      <c r="B5823" t="s">
        <v>1972</v>
      </c>
      <c r="C5823" t="s">
        <v>927</v>
      </c>
      <c r="D5823" t="s">
        <v>3052</v>
      </c>
      <c r="E5823" t="s">
        <v>3053</v>
      </c>
      <c r="F5823" t="s">
        <v>622</v>
      </c>
      <c r="G5823" t="s">
        <v>623</v>
      </c>
      <c r="H5823" t="s">
        <v>6991</v>
      </c>
      <c r="I5823">
        <v>25</v>
      </c>
      <c r="J5823">
        <v>0</v>
      </c>
      <c r="K5823">
        <v>0</v>
      </c>
      <c r="L5823">
        <v>25</v>
      </c>
      <c r="M5823">
        <v>0</v>
      </c>
      <c r="N5823">
        <v>0</v>
      </c>
      <c r="O5823">
        <v>0</v>
      </c>
    </row>
    <row r="5824" spans="1:15" x14ac:dyDescent="0.25">
      <c r="A5824" t="s">
        <v>1080</v>
      </c>
      <c r="B5824" t="s">
        <v>2030</v>
      </c>
      <c r="C5824" t="s">
        <v>923</v>
      </c>
      <c r="D5824" t="s">
        <v>3063</v>
      </c>
      <c r="E5824" t="s">
        <v>3053</v>
      </c>
      <c r="F5824" t="s">
        <v>622</v>
      </c>
      <c r="G5824" t="s">
        <v>623</v>
      </c>
      <c r="H5824" t="s">
        <v>6992</v>
      </c>
      <c r="I5824">
        <v>2</v>
      </c>
      <c r="J5824">
        <v>0</v>
      </c>
      <c r="K5824">
        <v>0</v>
      </c>
      <c r="L5824">
        <v>2</v>
      </c>
      <c r="M5824">
        <v>0</v>
      </c>
      <c r="N5824">
        <v>0</v>
      </c>
      <c r="O5824">
        <v>0</v>
      </c>
    </row>
    <row r="5825" spans="1:15" x14ac:dyDescent="0.25">
      <c r="A5825" t="s">
        <v>971</v>
      </c>
      <c r="B5825" t="s">
        <v>2956</v>
      </c>
      <c r="C5825" t="s">
        <v>927</v>
      </c>
      <c r="D5825" t="s">
        <v>3052</v>
      </c>
      <c r="E5825" t="s">
        <v>3053</v>
      </c>
      <c r="F5825" t="s">
        <v>10558</v>
      </c>
      <c r="G5825" t="s">
        <v>10559</v>
      </c>
      <c r="H5825" t="s">
        <v>11180</v>
      </c>
      <c r="I5825">
        <v>87</v>
      </c>
      <c r="J5825">
        <v>80</v>
      </c>
      <c r="K5825">
        <v>0</v>
      </c>
      <c r="L5825">
        <v>0</v>
      </c>
      <c r="M5825">
        <v>0</v>
      </c>
      <c r="N5825">
        <v>0</v>
      </c>
      <c r="O5825">
        <v>7</v>
      </c>
    </row>
    <row r="5826" spans="1:15" x14ac:dyDescent="0.25">
      <c r="A5826" t="s">
        <v>926</v>
      </c>
      <c r="B5826" t="s">
        <v>2923</v>
      </c>
      <c r="C5826" t="s">
        <v>927</v>
      </c>
      <c r="D5826" t="s">
        <v>3052</v>
      </c>
      <c r="E5826" t="s">
        <v>3053</v>
      </c>
      <c r="F5826" t="s">
        <v>10558</v>
      </c>
      <c r="G5826" t="s">
        <v>10559</v>
      </c>
      <c r="H5826" t="s">
        <v>11181</v>
      </c>
      <c r="I5826">
        <v>11</v>
      </c>
      <c r="J5826">
        <v>0</v>
      </c>
      <c r="K5826">
        <v>0</v>
      </c>
      <c r="L5826">
        <v>0</v>
      </c>
      <c r="M5826">
        <v>0</v>
      </c>
      <c r="N5826">
        <v>0</v>
      </c>
      <c r="O5826">
        <v>11</v>
      </c>
    </row>
    <row r="5827" spans="1:15" x14ac:dyDescent="0.25">
      <c r="A5827" t="s">
        <v>929</v>
      </c>
      <c r="B5827" t="s">
        <v>2999</v>
      </c>
      <c r="C5827" t="s">
        <v>927</v>
      </c>
      <c r="D5827" t="s">
        <v>3052</v>
      </c>
      <c r="E5827" t="s">
        <v>3053</v>
      </c>
      <c r="F5827" t="s">
        <v>10558</v>
      </c>
      <c r="G5827" t="s">
        <v>10559</v>
      </c>
      <c r="H5827" t="s">
        <v>11182</v>
      </c>
      <c r="I5827">
        <v>161</v>
      </c>
      <c r="J5827">
        <v>0</v>
      </c>
      <c r="K5827">
        <v>0</v>
      </c>
      <c r="L5827">
        <v>0</v>
      </c>
      <c r="M5827">
        <v>161</v>
      </c>
      <c r="N5827">
        <v>0</v>
      </c>
      <c r="O5827">
        <v>0</v>
      </c>
    </row>
    <row r="5828" spans="1:15" x14ac:dyDescent="0.25">
      <c r="A5828" t="s">
        <v>9790</v>
      </c>
      <c r="B5828" t="s">
        <v>1977</v>
      </c>
      <c r="C5828" t="s">
        <v>923</v>
      </c>
      <c r="D5828" t="s">
        <v>3063</v>
      </c>
      <c r="E5828" t="s">
        <v>3053</v>
      </c>
      <c r="F5828" t="s">
        <v>10558</v>
      </c>
      <c r="G5828" t="s">
        <v>10559</v>
      </c>
      <c r="H5828" t="s">
        <v>12231</v>
      </c>
      <c r="I5828">
        <v>29</v>
      </c>
      <c r="J5828">
        <v>0</v>
      </c>
      <c r="K5828">
        <v>0</v>
      </c>
      <c r="L5828">
        <v>29</v>
      </c>
      <c r="M5828">
        <v>0</v>
      </c>
      <c r="N5828">
        <v>0</v>
      </c>
      <c r="O5828">
        <v>0</v>
      </c>
    </row>
    <row r="5829" spans="1:15" x14ac:dyDescent="0.25">
      <c r="A5829" t="s">
        <v>9784</v>
      </c>
      <c r="B5829" t="s">
        <v>1994</v>
      </c>
      <c r="C5829" t="s">
        <v>927</v>
      </c>
      <c r="D5829" t="s">
        <v>3052</v>
      </c>
      <c r="E5829" t="s">
        <v>3053</v>
      </c>
      <c r="F5829" t="s">
        <v>10558</v>
      </c>
      <c r="G5829" t="s">
        <v>10559</v>
      </c>
      <c r="H5829" t="s">
        <v>11183</v>
      </c>
      <c r="I5829">
        <v>10</v>
      </c>
      <c r="J5829">
        <v>0</v>
      </c>
      <c r="K5829">
        <v>0</v>
      </c>
      <c r="L5829">
        <v>10</v>
      </c>
      <c r="M5829">
        <v>0</v>
      </c>
      <c r="N5829">
        <v>0</v>
      </c>
      <c r="O5829">
        <v>0</v>
      </c>
    </row>
    <row r="5830" spans="1:15" x14ac:dyDescent="0.25">
      <c r="A5830" t="s">
        <v>989</v>
      </c>
      <c r="B5830" t="s">
        <v>2016</v>
      </c>
      <c r="C5830" t="s">
        <v>923</v>
      </c>
      <c r="D5830" t="s">
        <v>3063</v>
      </c>
      <c r="E5830" t="s">
        <v>3053</v>
      </c>
      <c r="F5830" t="s">
        <v>10558</v>
      </c>
      <c r="G5830" t="s">
        <v>10559</v>
      </c>
      <c r="H5830" t="s">
        <v>11184</v>
      </c>
      <c r="I5830">
        <v>10</v>
      </c>
      <c r="J5830">
        <v>0</v>
      </c>
      <c r="K5830">
        <v>0</v>
      </c>
      <c r="L5830">
        <v>10</v>
      </c>
      <c r="M5830">
        <v>0</v>
      </c>
      <c r="N5830">
        <v>0</v>
      </c>
      <c r="O5830">
        <v>0</v>
      </c>
    </row>
    <row r="5831" spans="1:15" x14ac:dyDescent="0.25">
      <c r="A5831" t="s">
        <v>991</v>
      </c>
      <c r="B5831" t="s">
        <v>1976</v>
      </c>
      <c r="C5831" t="s">
        <v>923</v>
      </c>
      <c r="D5831" t="s">
        <v>3063</v>
      </c>
      <c r="E5831" t="s">
        <v>3053</v>
      </c>
      <c r="F5831" t="s">
        <v>10558</v>
      </c>
      <c r="G5831" t="s">
        <v>10559</v>
      </c>
      <c r="H5831" t="s">
        <v>11185</v>
      </c>
      <c r="I5831">
        <v>11</v>
      </c>
      <c r="J5831">
        <v>0</v>
      </c>
      <c r="K5831">
        <v>0</v>
      </c>
      <c r="L5831">
        <v>11</v>
      </c>
      <c r="M5831">
        <v>0</v>
      </c>
      <c r="N5831">
        <v>0</v>
      </c>
      <c r="O5831">
        <v>0</v>
      </c>
    </row>
    <row r="5832" spans="1:15" x14ac:dyDescent="0.25">
      <c r="A5832" t="s">
        <v>992</v>
      </c>
      <c r="B5832" t="s">
        <v>3033</v>
      </c>
      <c r="C5832" t="s">
        <v>927</v>
      </c>
      <c r="D5832" t="s">
        <v>3052</v>
      </c>
      <c r="E5832" t="s">
        <v>3053</v>
      </c>
      <c r="F5832" t="s">
        <v>10558</v>
      </c>
      <c r="G5832" t="s">
        <v>10559</v>
      </c>
      <c r="H5832" t="s">
        <v>11186</v>
      </c>
      <c r="I5832">
        <v>188</v>
      </c>
      <c r="J5832">
        <v>102</v>
      </c>
      <c r="K5832">
        <v>0</v>
      </c>
      <c r="L5832">
        <v>0</v>
      </c>
      <c r="M5832">
        <v>0</v>
      </c>
      <c r="N5832">
        <v>0</v>
      </c>
      <c r="O5832">
        <v>86</v>
      </c>
    </row>
    <row r="5833" spans="1:15" x14ac:dyDescent="0.25">
      <c r="A5833" t="s">
        <v>996</v>
      </c>
      <c r="B5833" t="s">
        <v>1952</v>
      </c>
      <c r="C5833" t="s">
        <v>923</v>
      </c>
      <c r="D5833" t="s">
        <v>3063</v>
      </c>
      <c r="E5833" t="s">
        <v>3053</v>
      </c>
      <c r="F5833" t="s">
        <v>10558</v>
      </c>
      <c r="G5833" t="s">
        <v>10559</v>
      </c>
      <c r="H5833" t="s">
        <v>11187</v>
      </c>
      <c r="I5833">
        <v>15</v>
      </c>
      <c r="J5833">
        <v>0</v>
      </c>
      <c r="K5833">
        <v>0</v>
      </c>
      <c r="L5833">
        <v>15</v>
      </c>
      <c r="M5833">
        <v>0</v>
      </c>
      <c r="N5833">
        <v>0</v>
      </c>
      <c r="O5833">
        <v>0</v>
      </c>
    </row>
    <row r="5834" spans="1:15" x14ac:dyDescent="0.25">
      <c r="A5834" t="s">
        <v>997</v>
      </c>
      <c r="B5834" t="s">
        <v>2033</v>
      </c>
      <c r="C5834" t="s">
        <v>927</v>
      </c>
      <c r="D5834" t="s">
        <v>3052</v>
      </c>
      <c r="E5834" t="s">
        <v>3053</v>
      </c>
      <c r="F5834" t="s">
        <v>10558</v>
      </c>
      <c r="G5834" t="s">
        <v>10559</v>
      </c>
      <c r="H5834" t="s">
        <v>11188</v>
      </c>
      <c r="I5834">
        <v>805</v>
      </c>
      <c r="J5834">
        <v>533</v>
      </c>
      <c r="K5834">
        <v>0</v>
      </c>
      <c r="L5834">
        <v>50</v>
      </c>
      <c r="M5834">
        <v>0</v>
      </c>
      <c r="N5834">
        <v>13</v>
      </c>
      <c r="O5834">
        <v>222</v>
      </c>
    </row>
    <row r="5835" spans="1:15" x14ac:dyDescent="0.25">
      <c r="A5835" t="s">
        <v>935</v>
      </c>
      <c r="B5835" t="s">
        <v>1960</v>
      </c>
      <c r="C5835" t="s">
        <v>923</v>
      </c>
      <c r="D5835" t="s">
        <v>3063</v>
      </c>
      <c r="E5835" t="s">
        <v>3053</v>
      </c>
      <c r="F5835" t="s">
        <v>10558</v>
      </c>
      <c r="G5835" t="s">
        <v>10559</v>
      </c>
      <c r="H5835" t="s">
        <v>11189</v>
      </c>
      <c r="I5835">
        <v>2</v>
      </c>
      <c r="J5835">
        <v>0</v>
      </c>
      <c r="K5835">
        <v>0</v>
      </c>
      <c r="L5835">
        <v>2</v>
      </c>
      <c r="M5835">
        <v>0</v>
      </c>
      <c r="N5835">
        <v>0</v>
      </c>
      <c r="O5835">
        <v>0</v>
      </c>
    </row>
    <row r="5836" spans="1:15" x14ac:dyDescent="0.25">
      <c r="A5836" t="s">
        <v>1416</v>
      </c>
      <c r="B5836" t="s">
        <v>2029</v>
      </c>
      <c r="C5836" t="s">
        <v>923</v>
      </c>
      <c r="D5836" t="s">
        <v>3063</v>
      </c>
      <c r="E5836" t="s">
        <v>3053</v>
      </c>
      <c r="F5836" t="s">
        <v>10558</v>
      </c>
      <c r="G5836" t="s">
        <v>10559</v>
      </c>
      <c r="H5836" t="s">
        <v>12232</v>
      </c>
      <c r="I5836">
        <v>78</v>
      </c>
      <c r="J5836">
        <v>0</v>
      </c>
      <c r="K5836">
        <v>0</v>
      </c>
      <c r="L5836">
        <v>78</v>
      </c>
      <c r="M5836">
        <v>0</v>
      </c>
      <c r="N5836">
        <v>0</v>
      </c>
      <c r="O5836">
        <v>0</v>
      </c>
    </row>
    <row r="5837" spans="1:15" x14ac:dyDescent="0.25">
      <c r="A5837" t="s">
        <v>1003</v>
      </c>
      <c r="B5837" t="s">
        <v>2862</v>
      </c>
      <c r="C5837" t="s">
        <v>927</v>
      </c>
      <c r="D5837" t="s">
        <v>3052</v>
      </c>
      <c r="E5837" t="s">
        <v>3053</v>
      </c>
      <c r="F5837" t="s">
        <v>10558</v>
      </c>
      <c r="G5837" t="s">
        <v>10559</v>
      </c>
      <c r="H5837" t="s">
        <v>11190</v>
      </c>
      <c r="I5837">
        <v>18</v>
      </c>
      <c r="J5837">
        <v>9</v>
      </c>
      <c r="K5837">
        <v>9</v>
      </c>
      <c r="L5837">
        <v>0</v>
      </c>
      <c r="M5837">
        <v>0</v>
      </c>
      <c r="N5837">
        <v>0</v>
      </c>
      <c r="O5837">
        <v>0</v>
      </c>
    </row>
    <row r="5838" spans="1:15" x14ac:dyDescent="0.25">
      <c r="A5838" t="s">
        <v>1004</v>
      </c>
      <c r="B5838" t="s">
        <v>2887</v>
      </c>
      <c r="C5838" t="s">
        <v>927</v>
      </c>
      <c r="D5838" t="s">
        <v>3052</v>
      </c>
      <c r="E5838" t="s">
        <v>3053</v>
      </c>
      <c r="F5838" t="s">
        <v>10558</v>
      </c>
      <c r="G5838" t="s">
        <v>10559</v>
      </c>
      <c r="H5838" t="s">
        <v>14975</v>
      </c>
      <c r="I5838">
        <v>14</v>
      </c>
      <c r="J5838">
        <v>14</v>
      </c>
      <c r="K5838">
        <v>0</v>
      </c>
      <c r="L5838">
        <v>0</v>
      </c>
      <c r="M5838">
        <v>0</v>
      </c>
      <c r="N5838">
        <v>0</v>
      </c>
      <c r="O5838">
        <v>0</v>
      </c>
    </row>
    <row r="5839" spans="1:15" x14ac:dyDescent="0.25">
      <c r="A5839" t="s">
        <v>10638</v>
      </c>
      <c r="B5839" t="s">
        <v>2057</v>
      </c>
      <c r="C5839" t="s">
        <v>927</v>
      </c>
      <c r="D5839" t="s">
        <v>3052</v>
      </c>
      <c r="E5839" t="s">
        <v>3053</v>
      </c>
      <c r="F5839" t="s">
        <v>10558</v>
      </c>
      <c r="G5839" t="s">
        <v>10559</v>
      </c>
      <c r="H5839" t="s">
        <v>11191</v>
      </c>
      <c r="I5839">
        <v>20</v>
      </c>
      <c r="J5839">
        <v>0</v>
      </c>
      <c r="K5839">
        <v>0</v>
      </c>
      <c r="L5839">
        <v>20</v>
      </c>
      <c r="M5839">
        <v>0</v>
      </c>
      <c r="N5839">
        <v>0</v>
      </c>
      <c r="O5839">
        <v>0</v>
      </c>
    </row>
    <row r="5840" spans="1:15" x14ac:dyDescent="0.25">
      <c r="A5840" t="s">
        <v>1005</v>
      </c>
      <c r="B5840" t="s">
        <v>2128</v>
      </c>
      <c r="C5840" t="s">
        <v>927</v>
      </c>
      <c r="D5840" t="s">
        <v>3052</v>
      </c>
      <c r="E5840" t="s">
        <v>3053</v>
      </c>
      <c r="F5840" t="s">
        <v>10558</v>
      </c>
      <c r="G5840" t="s">
        <v>10559</v>
      </c>
      <c r="H5840" t="s">
        <v>11192</v>
      </c>
      <c r="I5840">
        <v>937</v>
      </c>
      <c r="J5840">
        <v>830</v>
      </c>
      <c r="K5840">
        <v>0</v>
      </c>
      <c r="L5840">
        <v>1</v>
      </c>
      <c r="M5840">
        <v>0</v>
      </c>
      <c r="N5840">
        <v>0</v>
      </c>
      <c r="O5840">
        <v>106</v>
      </c>
    </row>
    <row r="5841" spans="1:15" x14ac:dyDescent="0.25">
      <c r="A5841" t="s">
        <v>1007</v>
      </c>
      <c r="B5841" t="s">
        <v>2891</v>
      </c>
      <c r="C5841" t="s">
        <v>927</v>
      </c>
      <c r="D5841" t="s">
        <v>3052</v>
      </c>
      <c r="E5841" t="s">
        <v>3053</v>
      </c>
      <c r="F5841" t="s">
        <v>10558</v>
      </c>
      <c r="G5841" t="s">
        <v>10559</v>
      </c>
      <c r="H5841" t="s">
        <v>11193</v>
      </c>
      <c r="I5841">
        <v>4943</v>
      </c>
      <c r="J5841">
        <v>4485</v>
      </c>
      <c r="K5841">
        <v>0</v>
      </c>
      <c r="L5841">
        <v>228</v>
      </c>
      <c r="M5841">
        <v>0</v>
      </c>
      <c r="N5841">
        <v>20</v>
      </c>
      <c r="O5841">
        <v>230</v>
      </c>
    </row>
    <row r="5842" spans="1:15" x14ac:dyDescent="0.25">
      <c r="A5842" t="s">
        <v>10643</v>
      </c>
      <c r="B5842" t="s">
        <v>2987</v>
      </c>
      <c r="C5842" t="s">
        <v>927</v>
      </c>
      <c r="D5842" t="s">
        <v>3052</v>
      </c>
      <c r="E5842" t="s">
        <v>3053</v>
      </c>
      <c r="F5842" t="s">
        <v>10558</v>
      </c>
      <c r="G5842" t="s">
        <v>10559</v>
      </c>
      <c r="H5842" t="s">
        <v>11194</v>
      </c>
      <c r="I5842">
        <v>26</v>
      </c>
      <c r="J5842">
        <v>0</v>
      </c>
      <c r="K5842">
        <v>0</v>
      </c>
      <c r="L5842">
        <v>0</v>
      </c>
      <c r="M5842">
        <v>26</v>
      </c>
      <c r="N5842">
        <v>0</v>
      </c>
      <c r="O5842">
        <v>0</v>
      </c>
    </row>
    <row r="5843" spans="1:15" x14ac:dyDescent="0.25">
      <c r="A5843" t="s">
        <v>937</v>
      </c>
      <c r="B5843" t="s">
        <v>1962</v>
      </c>
      <c r="C5843" t="s">
        <v>927</v>
      </c>
      <c r="D5843" t="s">
        <v>3052</v>
      </c>
      <c r="E5843" t="s">
        <v>3053</v>
      </c>
      <c r="F5843" t="s">
        <v>10558</v>
      </c>
      <c r="G5843" t="s">
        <v>10559</v>
      </c>
      <c r="H5843" t="s">
        <v>11195</v>
      </c>
      <c r="I5843">
        <v>29</v>
      </c>
      <c r="J5843">
        <v>0</v>
      </c>
      <c r="K5843">
        <v>0</v>
      </c>
      <c r="L5843">
        <v>0</v>
      </c>
      <c r="M5843">
        <v>0</v>
      </c>
      <c r="N5843">
        <v>0</v>
      </c>
      <c r="O5843">
        <v>29</v>
      </c>
    </row>
    <row r="5844" spans="1:15" x14ac:dyDescent="0.25">
      <c r="A5844" t="s">
        <v>938</v>
      </c>
      <c r="B5844" t="s">
        <v>2791</v>
      </c>
      <c r="C5844" t="s">
        <v>927</v>
      </c>
      <c r="D5844" t="s">
        <v>3052</v>
      </c>
      <c r="E5844" t="s">
        <v>3053</v>
      </c>
      <c r="F5844" t="s">
        <v>10558</v>
      </c>
      <c r="G5844" t="s">
        <v>10559</v>
      </c>
      <c r="H5844" t="s">
        <v>11196</v>
      </c>
      <c r="I5844">
        <v>673</v>
      </c>
      <c r="J5844">
        <v>506</v>
      </c>
      <c r="K5844">
        <v>0</v>
      </c>
      <c r="L5844">
        <v>22</v>
      </c>
      <c r="M5844">
        <v>0</v>
      </c>
      <c r="N5844">
        <v>0</v>
      </c>
      <c r="O5844">
        <v>145</v>
      </c>
    </row>
    <row r="5845" spans="1:15" x14ac:dyDescent="0.25">
      <c r="A5845" t="s">
        <v>940</v>
      </c>
      <c r="B5845" t="s">
        <v>2647</v>
      </c>
      <c r="C5845" t="s">
        <v>927</v>
      </c>
      <c r="D5845" t="s">
        <v>3052</v>
      </c>
      <c r="E5845" t="s">
        <v>3053</v>
      </c>
      <c r="F5845" t="s">
        <v>10558</v>
      </c>
      <c r="G5845" t="s">
        <v>10559</v>
      </c>
      <c r="H5845" t="s">
        <v>11197</v>
      </c>
      <c r="I5845">
        <v>126</v>
      </c>
      <c r="J5845">
        <v>0</v>
      </c>
      <c r="K5845">
        <v>0</v>
      </c>
      <c r="L5845">
        <v>0</v>
      </c>
      <c r="M5845">
        <v>126</v>
      </c>
      <c r="N5845">
        <v>0</v>
      </c>
      <c r="O5845">
        <v>0</v>
      </c>
    </row>
    <row r="5846" spans="1:15" x14ac:dyDescent="0.25">
      <c r="A5846" t="s">
        <v>1012</v>
      </c>
      <c r="B5846" t="s">
        <v>2911</v>
      </c>
      <c r="C5846" t="s">
        <v>927</v>
      </c>
      <c r="D5846" t="s">
        <v>3052</v>
      </c>
      <c r="E5846" t="s">
        <v>3053</v>
      </c>
      <c r="F5846" t="s">
        <v>10558</v>
      </c>
      <c r="G5846" t="s">
        <v>10559</v>
      </c>
      <c r="H5846" t="s">
        <v>11198</v>
      </c>
      <c r="I5846">
        <v>8</v>
      </c>
      <c r="J5846">
        <v>8</v>
      </c>
      <c r="K5846">
        <v>0</v>
      </c>
      <c r="L5846">
        <v>0</v>
      </c>
      <c r="M5846">
        <v>0</v>
      </c>
      <c r="N5846">
        <v>0</v>
      </c>
      <c r="O5846">
        <v>0</v>
      </c>
    </row>
    <row r="5847" spans="1:15" x14ac:dyDescent="0.25">
      <c r="A5847" t="s">
        <v>1013</v>
      </c>
      <c r="B5847" t="s">
        <v>1959</v>
      </c>
      <c r="C5847" t="s">
        <v>927</v>
      </c>
      <c r="D5847" t="s">
        <v>3052</v>
      </c>
      <c r="E5847" t="s">
        <v>3053</v>
      </c>
      <c r="F5847" t="s">
        <v>10558</v>
      </c>
      <c r="G5847" t="s">
        <v>10559</v>
      </c>
      <c r="H5847" t="s">
        <v>11199</v>
      </c>
      <c r="I5847">
        <v>69</v>
      </c>
      <c r="J5847">
        <v>0</v>
      </c>
      <c r="K5847">
        <v>0</v>
      </c>
      <c r="L5847">
        <v>69</v>
      </c>
      <c r="M5847">
        <v>0</v>
      </c>
      <c r="N5847">
        <v>0</v>
      </c>
      <c r="O5847">
        <v>0</v>
      </c>
    </row>
    <row r="5848" spans="1:15" x14ac:dyDescent="0.25">
      <c r="A5848" t="s">
        <v>1018</v>
      </c>
      <c r="B5848" t="s">
        <v>1980</v>
      </c>
      <c r="C5848" t="s">
        <v>923</v>
      </c>
      <c r="D5848" t="s">
        <v>3063</v>
      </c>
      <c r="E5848" t="s">
        <v>3053</v>
      </c>
      <c r="F5848" t="s">
        <v>10558</v>
      </c>
      <c r="G5848" t="s">
        <v>10559</v>
      </c>
      <c r="H5848" t="s">
        <v>11200</v>
      </c>
      <c r="I5848">
        <v>12</v>
      </c>
      <c r="J5848">
        <v>0</v>
      </c>
      <c r="K5848">
        <v>0</v>
      </c>
      <c r="L5848">
        <v>12</v>
      </c>
      <c r="M5848">
        <v>0</v>
      </c>
      <c r="N5848">
        <v>0</v>
      </c>
      <c r="O5848">
        <v>0</v>
      </c>
    </row>
    <row r="5849" spans="1:15" x14ac:dyDescent="0.25">
      <c r="A5849" t="s">
        <v>1126</v>
      </c>
      <c r="B5849" t="s">
        <v>2130</v>
      </c>
      <c r="C5849" t="s">
        <v>927</v>
      </c>
      <c r="D5849" t="s">
        <v>3052</v>
      </c>
      <c r="E5849" t="s">
        <v>3053</v>
      </c>
      <c r="F5849" t="s">
        <v>10558</v>
      </c>
      <c r="G5849" t="s">
        <v>10559</v>
      </c>
      <c r="H5849" t="s">
        <v>11201</v>
      </c>
      <c r="I5849">
        <v>90</v>
      </c>
      <c r="J5849">
        <v>3</v>
      </c>
      <c r="K5849">
        <v>0</v>
      </c>
      <c r="L5849">
        <v>0</v>
      </c>
      <c r="M5849">
        <v>0</v>
      </c>
      <c r="N5849">
        <v>0</v>
      </c>
      <c r="O5849">
        <v>87</v>
      </c>
    </row>
    <row r="5850" spans="1:15" x14ac:dyDescent="0.25">
      <c r="A5850" t="s">
        <v>11755</v>
      </c>
      <c r="B5850" t="s">
        <v>11754</v>
      </c>
      <c r="C5850" t="s">
        <v>923</v>
      </c>
      <c r="D5850" t="s">
        <v>3063</v>
      </c>
      <c r="E5850" t="s">
        <v>3053</v>
      </c>
      <c r="F5850" t="s">
        <v>10558</v>
      </c>
      <c r="G5850" t="s">
        <v>10559</v>
      </c>
      <c r="H5850" t="s">
        <v>14976</v>
      </c>
      <c r="I5850">
        <v>3</v>
      </c>
      <c r="J5850">
        <v>0</v>
      </c>
      <c r="K5850">
        <v>0</v>
      </c>
      <c r="L5850">
        <v>3</v>
      </c>
      <c r="M5850">
        <v>0</v>
      </c>
      <c r="N5850">
        <v>0</v>
      </c>
      <c r="O5850">
        <v>0</v>
      </c>
    </row>
    <row r="5851" spans="1:15" x14ac:dyDescent="0.25">
      <c r="A5851" t="s">
        <v>1025</v>
      </c>
      <c r="B5851" t="s">
        <v>2893</v>
      </c>
      <c r="C5851" t="s">
        <v>927</v>
      </c>
      <c r="D5851" t="s">
        <v>3052</v>
      </c>
      <c r="E5851" t="s">
        <v>3053</v>
      </c>
      <c r="F5851" t="s">
        <v>10558</v>
      </c>
      <c r="G5851" t="s">
        <v>10559</v>
      </c>
      <c r="H5851" t="s">
        <v>11202</v>
      </c>
      <c r="I5851">
        <v>1</v>
      </c>
      <c r="J5851">
        <v>0</v>
      </c>
      <c r="K5851">
        <v>0</v>
      </c>
      <c r="L5851">
        <v>0</v>
      </c>
      <c r="M5851">
        <v>0</v>
      </c>
      <c r="N5851">
        <v>0</v>
      </c>
      <c r="O5851">
        <v>1</v>
      </c>
    </row>
    <row r="5852" spans="1:15" x14ac:dyDescent="0.25">
      <c r="A5852" t="s">
        <v>1026</v>
      </c>
      <c r="B5852" t="s">
        <v>2848</v>
      </c>
      <c r="C5852" t="s">
        <v>927</v>
      </c>
      <c r="D5852" t="s">
        <v>3052</v>
      </c>
      <c r="E5852" t="s">
        <v>3053</v>
      </c>
      <c r="F5852" t="s">
        <v>10558</v>
      </c>
      <c r="G5852" t="s">
        <v>10559</v>
      </c>
      <c r="H5852" t="s">
        <v>11203</v>
      </c>
      <c r="I5852">
        <v>3880</v>
      </c>
      <c r="J5852">
        <v>3279</v>
      </c>
      <c r="K5852">
        <v>0</v>
      </c>
      <c r="L5852">
        <v>21</v>
      </c>
      <c r="M5852">
        <v>304</v>
      </c>
      <c r="N5852">
        <v>7</v>
      </c>
      <c r="O5852">
        <v>276</v>
      </c>
    </row>
    <row r="5853" spans="1:15" x14ac:dyDescent="0.25">
      <c r="A5853" t="s">
        <v>10681</v>
      </c>
      <c r="B5853" t="s">
        <v>10680</v>
      </c>
      <c r="C5853" t="s">
        <v>927</v>
      </c>
      <c r="D5853" t="s">
        <v>3052</v>
      </c>
      <c r="E5853" t="s">
        <v>3053</v>
      </c>
      <c r="F5853" t="s">
        <v>10558</v>
      </c>
      <c r="G5853" t="s">
        <v>10559</v>
      </c>
      <c r="H5853" t="s">
        <v>14977</v>
      </c>
      <c r="I5853">
        <v>16</v>
      </c>
      <c r="J5853">
        <v>0</v>
      </c>
      <c r="K5853">
        <v>0</v>
      </c>
      <c r="L5853">
        <v>0</v>
      </c>
      <c r="M5853">
        <v>0</v>
      </c>
      <c r="N5853">
        <v>0</v>
      </c>
      <c r="O5853">
        <v>16</v>
      </c>
    </row>
    <row r="5854" spans="1:15" x14ac:dyDescent="0.25">
      <c r="A5854" t="s">
        <v>1028</v>
      </c>
      <c r="B5854" t="s">
        <v>2682</v>
      </c>
      <c r="C5854" t="s">
        <v>923</v>
      </c>
      <c r="D5854" t="s">
        <v>3063</v>
      </c>
      <c r="E5854" t="s">
        <v>3053</v>
      </c>
      <c r="F5854" t="s">
        <v>10558</v>
      </c>
      <c r="G5854" t="s">
        <v>10559</v>
      </c>
      <c r="H5854" t="s">
        <v>11204</v>
      </c>
      <c r="I5854">
        <v>35</v>
      </c>
      <c r="J5854">
        <v>0</v>
      </c>
      <c r="K5854">
        <v>0</v>
      </c>
      <c r="L5854">
        <v>0</v>
      </c>
      <c r="M5854">
        <v>35</v>
      </c>
      <c r="N5854">
        <v>0</v>
      </c>
      <c r="O5854">
        <v>0</v>
      </c>
    </row>
    <row r="5855" spans="1:15" x14ac:dyDescent="0.25">
      <c r="A5855" t="s">
        <v>943</v>
      </c>
      <c r="B5855" t="s">
        <v>2694</v>
      </c>
      <c r="C5855" t="s">
        <v>927</v>
      </c>
      <c r="D5855" t="s">
        <v>3052</v>
      </c>
      <c r="E5855" t="s">
        <v>3053</v>
      </c>
      <c r="F5855" t="s">
        <v>10558</v>
      </c>
      <c r="G5855" t="s">
        <v>10559</v>
      </c>
      <c r="H5855" t="s">
        <v>11205</v>
      </c>
      <c r="I5855">
        <v>328</v>
      </c>
      <c r="J5855">
        <v>312</v>
      </c>
      <c r="K5855">
        <v>0</v>
      </c>
      <c r="L5855">
        <v>0</v>
      </c>
      <c r="M5855">
        <v>0</v>
      </c>
      <c r="N5855">
        <v>0</v>
      </c>
      <c r="O5855">
        <v>16</v>
      </c>
    </row>
    <row r="5856" spans="1:15" x14ac:dyDescent="0.25">
      <c r="A5856" t="s">
        <v>1030</v>
      </c>
      <c r="B5856" t="s">
        <v>2880</v>
      </c>
      <c r="C5856" t="s">
        <v>927</v>
      </c>
      <c r="D5856" t="s">
        <v>3052</v>
      </c>
      <c r="E5856" t="s">
        <v>3053</v>
      </c>
      <c r="F5856" t="s">
        <v>10558</v>
      </c>
      <c r="G5856" t="s">
        <v>10559</v>
      </c>
      <c r="H5856" t="s">
        <v>11206</v>
      </c>
      <c r="I5856">
        <v>288</v>
      </c>
      <c r="J5856">
        <v>187</v>
      </c>
      <c r="K5856">
        <v>0</v>
      </c>
      <c r="L5856">
        <v>44</v>
      </c>
      <c r="M5856">
        <v>41</v>
      </c>
      <c r="N5856">
        <v>0</v>
      </c>
      <c r="O5856">
        <v>16</v>
      </c>
    </row>
    <row r="5857" spans="1:15" x14ac:dyDescent="0.25">
      <c r="A5857" t="s">
        <v>1035</v>
      </c>
      <c r="B5857" t="s">
        <v>2819</v>
      </c>
      <c r="C5857" t="s">
        <v>923</v>
      </c>
      <c r="D5857" t="s">
        <v>3063</v>
      </c>
      <c r="E5857" t="s">
        <v>3053</v>
      </c>
      <c r="F5857" t="s">
        <v>10558</v>
      </c>
      <c r="G5857" t="s">
        <v>10559</v>
      </c>
      <c r="H5857" t="s">
        <v>11207</v>
      </c>
      <c r="I5857">
        <v>77</v>
      </c>
      <c r="J5857">
        <v>77</v>
      </c>
      <c r="K5857">
        <v>0</v>
      </c>
      <c r="L5857">
        <v>0</v>
      </c>
      <c r="M5857">
        <v>0</v>
      </c>
      <c r="N5857">
        <v>1</v>
      </c>
      <c r="O5857">
        <v>0</v>
      </c>
    </row>
    <row r="5858" spans="1:15" x14ac:dyDescent="0.25">
      <c r="A5858" t="s">
        <v>1038</v>
      </c>
      <c r="B5858" t="s">
        <v>2068</v>
      </c>
      <c r="C5858" t="s">
        <v>927</v>
      </c>
      <c r="D5858" t="s">
        <v>3052</v>
      </c>
      <c r="E5858" t="s">
        <v>3053</v>
      </c>
      <c r="F5858" t="s">
        <v>10558</v>
      </c>
      <c r="G5858" t="s">
        <v>10559</v>
      </c>
      <c r="H5858" t="s">
        <v>11208</v>
      </c>
      <c r="I5858">
        <v>104</v>
      </c>
      <c r="J5858">
        <v>73</v>
      </c>
      <c r="K5858">
        <v>0</v>
      </c>
      <c r="L5858">
        <v>0</v>
      </c>
      <c r="M5858">
        <v>0</v>
      </c>
      <c r="N5858">
        <v>0</v>
      </c>
      <c r="O5858">
        <v>31</v>
      </c>
    </row>
    <row r="5859" spans="1:15" x14ac:dyDescent="0.25">
      <c r="A5859" t="s">
        <v>1041</v>
      </c>
      <c r="B5859" t="s">
        <v>2826</v>
      </c>
      <c r="C5859" t="s">
        <v>927</v>
      </c>
      <c r="D5859" t="s">
        <v>3052</v>
      </c>
      <c r="E5859" t="s">
        <v>3053</v>
      </c>
      <c r="F5859" t="s">
        <v>10558</v>
      </c>
      <c r="G5859" t="s">
        <v>10559</v>
      </c>
      <c r="H5859" t="s">
        <v>11209</v>
      </c>
      <c r="I5859">
        <v>359</v>
      </c>
      <c r="J5859">
        <v>30</v>
      </c>
      <c r="K5859">
        <v>0</v>
      </c>
      <c r="L5859">
        <v>0</v>
      </c>
      <c r="M5859">
        <v>0</v>
      </c>
      <c r="N5859">
        <v>0</v>
      </c>
      <c r="O5859">
        <v>329</v>
      </c>
    </row>
    <row r="5860" spans="1:15" x14ac:dyDescent="0.25">
      <c r="A5860" t="s">
        <v>9787</v>
      </c>
      <c r="B5860" t="s">
        <v>2822</v>
      </c>
      <c r="C5860" t="s">
        <v>927</v>
      </c>
      <c r="D5860" t="s">
        <v>3052</v>
      </c>
      <c r="E5860" t="s">
        <v>3053</v>
      </c>
      <c r="F5860" t="s">
        <v>10558</v>
      </c>
      <c r="G5860" t="s">
        <v>10559</v>
      </c>
      <c r="H5860" t="s">
        <v>11210</v>
      </c>
      <c r="I5860">
        <v>1587</v>
      </c>
      <c r="J5860">
        <v>1464</v>
      </c>
      <c r="K5860">
        <v>0</v>
      </c>
      <c r="L5860">
        <v>53</v>
      </c>
      <c r="M5860">
        <v>70</v>
      </c>
      <c r="N5860">
        <v>1</v>
      </c>
      <c r="O5860">
        <v>0</v>
      </c>
    </row>
    <row r="5861" spans="1:15" x14ac:dyDescent="0.25">
      <c r="A5861" t="s">
        <v>1043</v>
      </c>
      <c r="B5861" t="s">
        <v>2090</v>
      </c>
      <c r="C5861" t="s">
        <v>927</v>
      </c>
      <c r="D5861" t="s">
        <v>3052</v>
      </c>
      <c r="E5861" t="s">
        <v>3053</v>
      </c>
      <c r="F5861" t="s">
        <v>10558</v>
      </c>
      <c r="G5861" t="s">
        <v>10559</v>
      </c>
      <c r="H5861" t="s">
        <v>11211</v>
      </c>
      <c r="I5861">
        <v>860</v>
      </c>
      <c r="J5861">
        <v>764</v>
      </c>
      <c r="K5861">
        <v>0</v>
      </c>
      <c r="L5861">
        <v>79</v>
      </c>
      <c r="M5861">
        <v>0</v>
      </c>
      <c r="N5861">
        <v>0</v>
      </c>
      <c r="O5861">
        <v>17</v>
      </c>
    </row>
    <row r="5862" spans="1:15" x14ac:dyDescent="0.25">
      <c r="A5862" t="s">
        <v>1045</v>
      </c>
      <c r="B5862" t="s">
        <v>2250</v>
      </c>
      <c r="C5862" t="s">
        <v>923</v>
      </c>
      <c r="D5862" t="s">
        <v>3063</v>
      </c>
      <c r="E5862" t="s">
        <v>3053</v>
      </c>
      <c r="F5862" t="s">
        <v>10558</v>
      </c>
      <c r="G5862" t="s">
        <v>10559</v>
      </c>
      <c r="H5862" t="s">
        <v>11212</v>
      </c>
      <c r="I5862">
        <v>8</v>
      </c>
      <c r="J5862">
        <v>0</v>
      </c>
      <c r="K5862">
        <v>0</v>
      </c>
      <c r="L5862">
        <v>0</v>
      </c>
      <c r="M5862">
        <v>8</v>
      </c>
      <c r="N5862">
        <v>0</v>
      </c>
      <c r="O5862">
        <v>0</v>
      </c>
    </row>
    <row r="5863" spans="1:15" x14ac:dyDescent="0.25">
      <c r="A5863" t="s">
        <v>1146</v>
      </c>
      <c r="B5863" t="s">
        <v>2117</v>
      </c>
      <c r="C5863" t="s">
        <v>927</v>
      </c>
      <c r="D5863" t="s">
        <v>3052</v>
      </c>
      <c r="E5863" t="s">
        <v>3053</v>
      </c>
      <c r="F5863" t="s">
        <v>10558</v>
      </c>
      <c r="G5863" t="s">
        <v>10559</v>
      </c>
      <c r="H5863" t="s">
        <v>14978</v>
      </c>
      <c r="I5863">
        <v>19</v>
      </c>
      <c r="J5863">
        <v>19</v>
      </c>
      <c r="K5863">
        <v>0</v>
      </c>
      <c r="L5863">
        <v>0</v>
      </c>
      <c r="M5863">
        <v>0</v>
      </c>
      <c r="N5863">
        <v>0</v>
      </c>
      <c r="O5863">
        <v>0</v>
      </c>
    </row>
    <row r="5864" spans="1:15" x14ac:dyDescent="0.25">
      <c r="A5864" t="s">
        <v>951</v>
      </c>
      <c r="B5864" t="s">
        <v>2680</v>
      </c>
      <c r="C5864" t="s">
        <v>927</v>
      </c>
      <c r="D5864" t="s">
        <v>3052</v>
      </c>
      <c r="E5864" t="s">
        <v>3053</v>
      </c>
      <c r="F5864" t="s">
        <v>10558</v>
      </c>
      <c r="G5864" t="s">
        <v>10559</v>
      </c>
      <c r="H5864" t="s">
        <v>11213</v>
      </c>
      <c r="I5864">
        <v>538</v>
      </c>
      <c r="J5864">
        <v>493</v>
      </c>
      <c r="K5864">
        <v>0</v>
      </c>
      <c r="L5864">
        <v>0</v>
      </c>
      <c r="M5864">
        <v>40</v>
      </c>
      <c r="N5864">
        <v>0</v>
      </c>
      <c r="O5864">
        <v>5</v>
      </c>
    </row>
    <row r="5865" spans="1:15" x14ac:dyDescent="0.25">
      <c r="A5865" t="s">
        <v>1048</v>
      </c>
      <c r="B5865" t="s">
        <v>2989</v>
      </c>
      <c r="C5865" t="s">
        <v>927</v>
      </c>
      <c r="D5865" t="s">
        <v>3052</v>
      </c>
      <c r="E5865" t="s">
        <v>3053</v>
      </c>
      <c r="F5865" t="s">
        <v>10558</v>
      </c>
      <c r="G5865" t="s">
        <v>10559</v>
      </c>
      <c r="H5865" t="s">
        <v>11214</v>
      </c>
      <c r="I5865">
        <v>106</v>
      </c>
      <c r="J5865">
        <v>57</v>
      </c>
      <c r="K5865">
        <v>0</v>
      </c>
      <c r="L5865">
        <v>49</v>
      </c>
      <c r="M5865">
        <v>0</v>
      </c>
      <c r="N5865">
        <v>0</v>
      </c>
      <c r="O5865">
        <v>0</v>
      </c>
    </row>
    <row r="5866" spans="1:15" x14ac:dyDescent="0.25">
      <c r="A5866" t="s">
        <v>1049</v>
      </c>
      <c r="B5866" t="s">
        <v>2138</v>
      </c>
      <c r="C5866" t="s">
        <v>927</v>
      </c>
      <c r="D5866" t="s">
        <v>3052</v>
      </c>
      <c r="E5866" t="s">
        <v>3053</v>
      </c>
      <c r="F5866" t="s">
        <v>10558</v>
      </c>
      <c r="G5866" t="s">
        <v>10559</v>
      </c>
      <c r="H5866" t="s">
        <v>11215</v>
      </c>
      <c r="I5866">
        <v>243</v>
      </c>
      <c r="J5866">
        <v>186</v>
      </c>
      <c r="K5866">
        <v>0</v>
      </c>
      <c r="L5866">
        <v>0</v>
      </c>
      <c r="M5866">
        <v>0</v>
      </c>
      <c r="N5866">
        <v>0</v>
      </c>
      <c r="O5866">
        <v>57</v>
      </c>
    </row>
    <row r="5867" spans="1:15" x14ac:dyDescent="0.25">
      <c r="A5867" t="s">
        <v>11720</v>
      </c>
      <c r="B5867" t="s">
        <v>10718</v>
      </c>
      <c r="C5867" t="s">
        <v>927</v>
      </c>
      <c r="D5867" t="s">
        <v>3052</v>
      </c>
      <c r="E5867" t="s">
        <v>3053</v>
      </c>
      <c r="F5867" t="s">
        <v>10558</v>
      </c>
      <c r="G5867" t="s">
        <v>10559</v>
      </c>
      <c r="H5867" t="s">
        <v>14979</v>
      </c>
      <c r="I5867">
        <v>99</v>
      </c>
      <c r="J5867">
        <v>40</v>
      </c>
      <c r="K5867">
        <v>0</v>
      </c>
      <c r="L5867">
        <v>0</v>
      </c>
      <c r="M5867">
        <v>0</v>
      </c>
      <c r="N5867">
        <v>0</v>
      </c>
      <c r="O5867">
        <v>59</v>
      </c>
    </row>
    <row r="5868" spans="1:15" x14ac:dyDescent="0.25">
      <c r="A5868" t="s">
        <v>9788</v>
      </c>
      <c r="B5868" t="s">
        <v>9871</v>
      </c>
      <c r="C5868" t="s">
        <v>927</v>
      </c>
      <c r="D5868" t="s">
        <v>3052</v>
      </c>
      <c r="E5868" t="s">
        <v>3053</v>
      </c>
      <c r="F5868" t="s">
        <v>10558</v>
      </c>
      <c r="G5868" t="s">
        <v>10559</v>
      </c>
      <c r="H5868" t="s">
        <v>14980</v>
      </c>
      <c r="I5868">
        <v>65</v>
      </c>
      <c r="J5868">
        <v>65</v>
      </c>
      <c r="K5868">
        <v>0</v>
      </c>
      <c r="L5868">
        <v>0</v>
      </c>
      <c r="M5868">
        <v>0</v>
      </c>
      <c r="N5868">
        <v>0</v>
      </c>
      <c r="O5868">
        <v>0</v>
      </c>
    </row>
    <row r="5869" spans="1:15" x14ac:dyDescent="0.25">
      <c r="A5869" t="s">
        <v>955</v>
      </c>
      <c r="B5869" t="s">
        <v>2660</v>
      </c>
      <c r="C5869" t="s">
        <v>927</v>
      </c>
      <c r="D5869" t="s">
        <v>3052</v>
      </c>
      <c r="E5869" t="s">
        <v>3053</v>
      </c>
      <c r="F5869" t="s">
        <v>10558</v>
      </c>
      <c r="G5869" t="s">
        <v>10559</v>
      </c>
      <c r="H5869" t="s">
        <v>11216</v>
      </c>
      <c r="I5869">
        <v>48</v>
      </c>
      <c r="J5869">
        <v>5</v>
      </c>
      <c r="K5869">
        <v>0</v>
      </c>
      <c r="L5869">
        <v>6</v>
      </c>
      <c r="M5869">
        <v>37</v>
      </c>
      <c r="N5869">
        <v>0</v>
      </c>
      <c r="O5869">
        <v>0</v>
      </c>
    </row>
    <row r="5870" spans="1:15" x14ac:dyDescent="0.25">
      <c r="A5870" t="s">
        <v>11663</v>
      </c>
      <c r="B5870" t="s">
        <v>11768</v>
      </c>
      <c r="C5870" t="s">
        <v>927</v>
      </c>
      <c r="D5870" t="s">
        <v>3052</v>
      </c>
      <c r="E5870" t="s">
        <v>3053</v>
      </c>
      <c r="F5870" t="s">
        <v>10558</v>
      </c>
      <c r="G5870" t="s">
        <v>10559</v>
      </c>
      <c r="H5870" t="s">
        <v>12233</v>
      </c>
      <c r="I5870">
        <v>329</v>
      </c>
      <c r="J5870">
        <v>117</v>
      </c>
      <c r="K5870">
        <v>205</v>
      </c>
      <c r="L5870">
        <v>0</v>
      </c>
      <c r="M5870">
        <v>0</v>
      </c>
      <c r="N5870">
        <v>1</v>
      </c>
      <c r="O5870">
        <v>7</v>
      </c>
    </row>
    <row r="5871" spans="1:15" x14ac:dyDescent="0.25">
      <c r="A5871" t="s">
        <v>14374</v>
      </c>
      <c r="B5871" t="s">
        <v>1943</v>
      </c>
      <c r="C5871" t="s">
        <v>927</v>
      </c>
      <c r="D5871" t="s">
        <v>3052</v>
      </c>
      <c r="E5871" t="s">
        <v>3053</v>
      </c>
      <c r="F5871" t="s">
        <v>10558</v>
      </c>
      <c r="G5871" t="s">
        <v>10559</v>
      </c>
      <c r="H5871" t="s">
        <v>14981</v>
      </c>
      <c r="I5871">
        <v>10</v>
      </c>
      <c r="J5871">
        <v>0</v>
      </c>
      <c r="K5871">
        <v>0</v>
      </c>
      <c r="L5871">
        <v>0</v>
      </c>
      <c r="M5871">
        <v>0</v>
      </c>
      <c r="N5871">
        <v>0</v>
      </c>
      <c r="O5871">
        <v>10</v>
      </c>
    </row>
    <row r="5872" spans="1:15" x14ac:dyDescent="0.25">
      <c r="A5872" t="s">
        <v>1062</v>
      </c>
      <c r="B5872" t="s">
        <v>1993</v>
      </c>
      <c r="C5872" t="s">
        <v>927</v>
      </c>
      <c r="D5872" t="s">
        <v>3052</v>
      </c>
      <c r="E5872" t="s">
        <v>3053</v>
      </c>
      <c r="F5872" t="s">
        <v>10558</v>
      </c>
      <c r="G5872" t="s">
        <v>10559</v>
      </c>
      <c r="H5872" t="s">
        <v>11217</v>
      </c>
      <c r="I5872">
        <v>34</v>
      </c>
      <c r="J5872">
        <v>34</v>
      </c>
      <c r="K5872">
        <v>0</v>
      </c>
      <c r="L5872">
        <v>0</v>
      </c>
      <c r="M5872">
        <v>0</v>
      </c>
      <c r="N5872">
        <v>0</v>
      </c>
      <c r="O5872">
        <v>0</v>
      </c>
    </row>
    <row r="5873" spans="1:15" x14ac:dyDescent="0.25">
      <c r="A5873" t="s">
        <v>962</v>
      </c>
      <c r="B5873" t="s">
        <v>2752</v>
      </c>
      <c r="C5873" t="s">
        <v>927</v>
      </c>
      <c r="D5873" t="s">
        <v>3052</v>
      </c>
      <c r="E5873" t="s">
        <v>3053</v>
      </c>
      <c r="F5873" t="s">
        <v>10558</v>
      </c>
      <c r="G5873" t="s">
        <v>10559</v>
      </c>
      <c r="H5873" t="s">
        <v>11218</v>
      </c>
      <c r="I5873">
        <v>54</v>
      </c>
      <c r="J5873">
        <v>45</v>
      </c>
      <c r="K5873">
        <v>0</v>
      </c>
      <c r="L5873">
        <v>0</v>
      </c>
      <c r="M5873">
        <v>0</v>
      </c>
      <c r="N5873">
        <v>0</v>
      </c>
      <c r="O5873">
        <v>9</v>
      </c>
    </row>
    <row r="5874" spans="1:15" x14ac:dyDescent="0.25">
      <c r="A5874" t="s">
        <v>1066</v>
      </c>
      <c r="B5874" t="s">
        <v>2557</v>
      </c>
      <c r="C5874" t="s">
        <v>927</v>
      </c>
      <c r="D5874" t="s">
        <v>3052</v>
      </c>
      <c r="E5874" t="s">
        <v>3053</v>
      </c>
      <c r="F5874" t="s">
        <v>10558</v>
      </c>
      <c r="G5874" t="s">
        <v>10559</v>
      </c>
      <c r="H5874" t="s">
        <v>11219</v>
      </c>
      <c r="I5874">
        <v>23</v>
      </c>
      <c r="J5874">
        <v>0</v>
      </c>
      <c r="K5874">
        <v>0</v>
      </c>
      <c r="L5874">
        <v>0</v>
      </c>
      <c r="M5874">
        <v>23</v>
      </c>
      <c r="N5874">
        <v>0</v>
      </c>
      <c r="O5874">
        <v>0</v>
      </c>
    </row>
    <row r="5875" spans="1:15" x14ac:dyDescent="0.25">
      <c r="A5875" t="s">
        <v>11667</v>
      </c>
      <c r="B5875" t="s">
        <v>1986</v>
      </c>
      <c r="C5875" t="s">
        <v>923</v>
      </c>
      <c r="D5875" t="s">
        <v>3063</v>
      </c>
      <c r="E5875" t="s">
        <v>3053</v>
      </c>
      <c r="F5875" t="s">
        <v>10558</v>
      </c>
      <c r="G5875" t="s">
        <v>10559</v>
      </c>
      <c r="H5875" t="s">
        <v>12234</v>
      </c>
      <c r="I5875">
        <v>33</v>
      </c>
      <c r="J5875">
        <v>0</v>
      </c>
      <c r="K5875">
        <v>0</v>
      </c>
      <c r="L5875">
        <v>0</v>
      </c>
      <c r="M5875">
        <v>33</v>
      </c>
      <c r="N5875">
        <v>0</v>
      </c>
      <c r="O5875">
        <v>0</v>
      </c>
    </row>
    <row r="5876" spans="1:15" x14ac:dyDescent="0.25">
      <c r="A5876" t="s">
        <v>1069</v>
      </c>
      <c r="B5876" t="s">
        <v>2001</v>
      </c>
      <c r="C5876" t="s">
        <v>927</v>
      </c>
      <c r="D5876" t="s">
        <v>3052</v>
      </c>
      <c r="E5876" t="s">
        <v>3053</v>
      </c>
      <c r="F5876" t="s">
        <v>10558</v>
      </c>
      <c r="G5876" t="s">
        <v>10559</v>
      </c>
      <c r="H5876" t="s">
        <v>11220</v>
      </c>
      <c r="I5876">
        <v>113</v>
      </c>
      <c r="J5876">
        <v>99</v>
      </c>
      <c r="K5876">
        <v>0</v>
      </c>
      <c r="L5876">
        <v>0</v>
      </c>
      <c r="M5876">
        <v>0</v>
      </c>
      <c r="N5876">
        <v>0</v>
      </c>
      <c r="O5876">
        <v>14</v>
      </c>
    </row>
    <row r="5877" spans="1:15" x14ac:dyDescent="0.25">
      <c r="A5877" t="s">
        <v>1070</v>
      </c>
      <c r="B5877" t="s">
        <v>2201</v>
      </c>
      <c r="C5877" t="s">
        <v>923</v>
      </c>
      <c r="D5877" t="s">
        <v>3063</v>
      </c>
      <c r="E5877" t="s">
        <v>3053</v>
      </c>
      <c r="F5877" t="s">
        <v>10558</v>
      </c>
      <c r="G5877" t="s">
        <v>10559</v>
      </c>
      <c r="H5877" t="s">
        <v>11221</v>
      </c>
      <c r="I5877">
        <v>20</v>
      </c>
      <c r="J5877">
        <v>20</v>
      </c>
      <c r="K5877">
        <v>0</v>
      </c>
      <c r="L5877">
        <v>0</v>
      </c>
      <c r="M5877">
        <v>0</v>
      </c>
      <c r="N5877">
        <v>0</v>
      </c>
      <c r="O5877">
        <v>0</v>
      </c>
    </row>
    <row r="5878" spans="1:15" x14ac:dyDescent="0.25">
      <c r="A5878" t="s">
        <v>1071</v>
      </c>
      <c r="B5878" t="s">
        <v>2571</v>
      </c>
      <c r="C5878" t="s">
        <v>923</v>
      </c>
      <c r="D5878" t="s">
        <v>3063</v>
      </c>
      <c r="E5878" t="s">
        <v>3053</v>
      </c>
      <c r="F5878" t="s">
        <v>10558</v>
      </c>
      <c r="G5878" t="s">
        <v>10559</v>
      </c>
      <c r="H5878" t="s">
        <v>11222</v>
      </c>
      <c r="I5878">
        <v>2</v>
      </c>
      <c r="J5878">
        <v>0</v>
      </c>
      <c r="K5878">
        <v>0</v>
      </c>
      <c r="L5878">
        <v>2</v>
      </c>
      <c r="M5878">
        <v>0</v>
      </c>
      <c r="N5878">
        <v>0</v>
      </c>
      <c r="O5878">
        <v>0</v>
      </c>
    </row>
    <row r="5879" spans="1:15" x14ac:dyDescent="0.25">
      <c r="A5879" t="s">
        <v>1072</v>
      </c>
      <c r="B5879" t="s">
        <v>2907</v>
      </c>
      <c r="C5879" t="s">
        <v>927</v>
      </c>
      <c r="D5879" t="s">
        <v>3052</v>
      </c>
      <c r="E5879" t="s">
        <v>3053</v>
      </c>
      <c r="F5879" t="s">
        <v>10558</v>
      </c>
      <c r="G5879" t="s">
        <v>10559</v>
      </c>
      <c r="H5879" t="s">
        <v>11223</v>
      </c>
      <c r="I5879">
        <v>465</v>
      </c>
      <c r="J5879">
        <v>261</v>
      </c>
      <c r="K5879">
        <v>0</v>
      </c>
      <c r="L5879">
        <v>0</v>
      </c>
      <c r="M5879">
        <v>45</v>
      </c>
      <c r="N5879">
        <v>1</v>
      </c>
      <c r="O5879">
        <v>159</v>
      </c>
    </row>
    <row r="5880" spans="1:15" x14ac:dyDescent="0.25">
      <c r="A5880" t="s">
        <v>1080</v>
      </c>
      <c r="B5880" t="s">
        <v>2030</v>
      </c>
      <c r="C5880" t="s">
        <v>923</v>
      </c>
      <c r="D5880" t="s">
        <v>3063</v>
      </c>
      <c r="E5880" t="s">
        <v>3053</v>
      </c>
      <c r="F5880" t="s">
        <v>10558</v>
      </c>
      <c r="G5880" t="s">
        <v>10559</v>
      </c>
      <c r="H5880" t="s">
        <v>11224</v>
      </c>
      <c r="I5880">
        <v>4</v>
      </c>
      <c r="J5880">
        <v>0</v>
      </c>
      <c r="K5880">
        <v>0</v>
      </c>
      <c r="L5880">
        <v>4</v>
      </c>
      <c r="M5880">
        <v>0</v>
      </c>
      <c r="N5880">
        <v>0</v>
      </c>
      <c r="O5880">
        <v>0</v>
      </c>
    </row>
    <row r="5881" spans="1:15" x14ac:dyDescent="0.25">
      <c r="A5881" t="s">
        <v>14377</v>
      </c>
      <c r="B5881" t="s">
        <v>14444</v>
      </c>
      <c r="C5881" t="s">
        <v>923</v>
      </c>
      <c r="D5881" t="s">
        <v>3063</v>
      </c>
      <c r="E5881" t="s">
        <v>3053</v>
      </c>
      <c r="F5881" t="s">
        <v>10558</v>
      </c>
      <c r="G5881" t="s">
        <v>10559</v>
      </c>
      <c r="H5881" t="s">
        <v>14982</v>
      </c>
      <c r="I5881">
        <v>5</v>
      </c>
      <c r="J5881">
        <v>0</v>
      </c>
      <c r="K5881">
        <v>0</v>
      </c>
      <c r="L5881">
        <v>5</v>
      </c>
      <c r="M5881">
        <v>0</v>
      </c>
      <c r="N5881">
        <v>0</v>
      </c>
      <c r="O5881">
        <v>0</v>
      </c>
    </row>
    <row r="5882" spans="1:15" x14ac:dyDescent="0.25">
      <c r="A5882" t="s">
        <v>981</v>
      </c>
      <c r="B5882" t="s">
        <v>2985</v>
      </c>
      <c r="C5882" t="s">
        <v>927</v>
      </c>
      <c r="D5882" t="s">
        <v>3052</v>
      </c>
      <c r="E5882" t="s">
        <v>3053</v>
      </c>
      <c r="F5882" t="s">
        <v>10558</v>
      </c>
      <c r="G5882" t="s">
        <v>10559</v>
      </c>
      <c r="H5882" t="s">
        <v>11225</v>
      </c>
      <c r="I5882">
        <v>475</v>
      </c>
      <c r="J5882">
        <v>346</v>
      </c>
      <c r="K5882">
        <v>0</v>
      </c>
      <c r="L5882">
        <v>23</v>
      </c>
      <c r="M5882">
        <v>0</v>
      </c>
      <c r="N5882">
        <v>0</v>
      </c>
      <c r="O5882">
        <v>106</v>
      </c>
    </row>
    <row r="5883" spans="1:15" x14ac:dyDescent="0.25">
      <c r="A5883" t="s">
        <v>10568</v>
      </c>
      <c r="B5883" t="s">
        <v>10567</v>
      </c>
      <c r="C5883" t="s">
        <v>927</v>
      </c>
      <c r="D5883" t="s">
        <v>3052</v>
      </c>
      <c r="E5883" t="s">
        <v>3053</v>
      </c>
      <c r="F5883" t="s">
        <v>624</v>
      </c>
      <c r="G5883" t="s">
        <v>625</v>
      </c>
      <c r="H5883" t="s">
        <v>11226</v>
      </c>
      <c r="I5883">
        <v>61</v>
      </c>
      <c r="J5883">
        <v>44</v>
      </c>
      <c r="K5883">
        <v>0</v>
      </c>
      <c r="L5883">
        <v>0</v>
      </c>
      <c r="M5883">
        <v>0</v>
      </c>
      <c r="N5883">
        <v>0</v>
      </c>
      <c r="O5883">
        <v>17</v>
      </c>
    </row>
    <row r="5884" spans="1:15" x14ac:dyDescent="0.25">
      <c r="A5884" t="s">
        <v>926</v>
      </c>
      <c r="B5884" t="s">
        <v>2923</v>
      </c>
      <c r="C5884" t="s">
        <v>927</v>
      </c>
      <c r="D5884" t="s">
        <v>3052</v>
      </c>
      <c r="E5884" t="s">
        <v>3053</v>
      </c>
      <c r="F5884" t="s">
        <v>624</v>
      </c>
      <c r="G5884" t="s">
        <v>625</v>
      </c>
      <c r="H5884" t="s">
        <v>6993</v>
      </c>
      <c r="I5884">
        <v>20</v>
      </c>
      <c r="J5884">
        <v>0</v>
      </c>
      <c r="K5884">
        <v>0</v>
      </c>
      <c r="L5884">
        <v>9</v>
      </c>
      <c r="M5884">
        <v>0</v>
      </c>
      <c r="N5884">
        <v>0</v>
      </c>
      <c r="O5884">
        <v>11</v>
      </c>
    </row>
    <row r="5885" spans="1:15" x14ac:dyDescent="0.25">
      <c r="A5885" t="s">
        <v>929</v>
      </c>
      <c r="B5885" t="s">
        <v>2999</v>
      </c>
      <c r="C5885" t="s">
        <v>927</v>
      </c>
      <c r="D5885" t="s">
        <v>3052</v>
      </c>
      <c r="E5885" t="s">
        <v>3053</v>
      </c>
      <c r="F5885" t="s">
        <v>624</v>
      </c>
      <c r="G5885" t="s">
        <v>625</v>
      </c>
      <c r="H5885" t="s">
        <v>6994</v>
      </c>
      <c r="I5885">
        <v>287</v>
      </c>
      <c r="J5885">
        <v>1</v>
      </c>
      <c r="K5885">
        <v>0</v>
      </c>
      <c r="L5885">
        <v>0</v>
      </c>
      <c r="M5885">
        <v>271</v>
      </c>
      <c r="N5885">
        <v>0</v>
      </c>
      <c r="O5885">
        <v>15</v>
      </c>
    </row>
    <row r="5886" spans="1:15" x14ac:dyDescent="0.25">
      <c r="A5886" t="s">
        <v>931</v>
      </c>
      <c r="B5886" t="s">
        <v>1978</v>
      </c>
      <c r="C5886" t="s">
        <v>927</v>
      </c>
      <c r="D5886" t="s">
        <v>3052</v>
      </c>
      <c r="E5886" t="s">
        <v>3053</v>
      </c>
      <c r="F5886" t="s">
        <v>624</v>
      </c>
      <c r="G5886" t="s">
        <v>625</v>
      </c>
      <c r="H5886" t="s">
        <v>6995</v>
      </c>
      <c r="I5886">
        <v>110</v>
      </c>
      <c r="J5886">
        <v>66</v>
      </c>
      <c r="K5886">
        <v>0</v>
      </c>
      <c r="L5886">
        <v>0</v>
      </c>
      <c r="M5886">
        <v>0</v>
      </c>
      <c r="N5886">
        <v>0</v>
      </c>
      <c r="O5886">
        <v>44</v>
      </c>
    </row>
    <row r="5887" spans="1:15" x14ac:dyDescent="0.25">
      <c r="A5887" t="s">
        <v>9790</v>
      </c>
      <c r="B5887" t="s">
        <v>1977</v>
      </c>
      <c r="C5887" t="s">
        <v>923</v>
      </c>
      <c r="D5887" t="s">
        <v>3063</v>
      </c>
      <c r="E5887" t="s">
        <v>3053</v>
      </c>
      <c r="F5887" t="s">
        <v>624</v>
      </c>
      <c r="G5887" t="s">
        <v>625</v>
      </c>
      <c r="H5887" t="s">
        <v>12235</v>
      </c>
      <c r="I5887">
        <v>16</v>
      </c>
      <c r="J5887">
        <v>0</v>
      </c>
      <c r="K5887">
        <v>0</v>
      </c>
      <c r="L5887">
        <v>16</v>
      </c>
      <c r="M5887">
        <v>0</v>
      </c>
      <c r="N5887">
        <v>0</v>
      </c>
      <c r="O5887">
        <v>0</v>
      </c>
    </row>
    <row r="5888" spans="1:15" x14ac:dyDescent="0.25">
      <c r="A5888" t="s">
        <v>9835</v>
      </c>
      <c r="B5888" t="s">
        <v>2628</v>
      </c>
      <c r="C5888" t="s">
        <v>923</v>
      </c>
      <c r="D5888" t="s">
        <v>3063</v>
      </c>
      <c r="E5888" t="s">
        <v>3053</v>
      </c>
      <c r="F5888" t="s">
        <v>624</v>
      </c>
      <c r="G5888" t="s">
        <v>625</v>
      </c>
      <c r="H5888" t="s">
        <v>10014</v>
      </c>
      <c r="I5888">
        <v>21</v>
      </c>
      <c r="J5888">
        <v>0</v>
      </c>
      <c r="K5888">
        <v>0</v>
      </c>
      <c r="L5888">
        <v>21</v>
      </c>
      <c r="M5888">
        <v>0</v>
      </c>
      <c r="N5888">
        <v>0</v>
      </c>
      <c r="O5888">
        <v>0</v>
      </c>
    </row>
    <row r="5889" spans="1:15" x14ac:dyDescent="0.25">
      <c r="A5889" t="s">
        <v>9836</v>
      </c>
      <c r="B5889" t="s">
        <v>2808</v>
      </c>
      <c r="C5889" t="s">
        <v>927</v>
      </c>
      <c r="D5889" t="s">
        <v>3052</v>
      </c>
      <c r="E5889" t="s">
        <v>3053</v>
      </c>
      <c r="F5889" t="s">
        <v>624</v>
      </c>
      <c r="G5889" t="s">
        <v>625</v>
      </c>
      <c r="H5889" t="s">
        <v>10016</v>
      </c>
      <c r="I5889">
        <v>7</v>
      </c>
      <c r="J5889">
        <v>4</v>
      </c>
      <c r="K5889">
        <v>0</v>
      </c>
      <c r="L5889">
        <v>0</v>
      </c>
      <c r="M5889">
        <v>0</v>
      </c>
      <c r="N5889">
        <v>0</v>
      </c>
      <c r="O5889">
        <v>3</v>
      </c>
    </row>
    <row r="5890" spans="1:15" x14ac:dyDescent="0.25">
      <c r="A5890" t="s">
        <v>1709</v>
      </c>
      <c r="B5890" t="s">
        <v>2769</v>
      </c>
      <c r="C5890" t="s">
        <v>923</v>
      </c>
      <c r="D5890" t="s">
        <v>3063</v>
      </c>
      <c r="E5890" t="s">
        <v>3053</v>
      </c>
      <c r="F5890" t="s">
        <v>624</v>
      </c>
      <c r="G5890" t="s">
        <v>625</v>
      </c>
      <c r="H5890" t="s">
        <v>6996</v>
      </c>
      <c r="I5890">
        <v>20</v>
      </c>
      <c r="J5890">
        <v>20</v>
      </c>
      <c r="K5890">
        <v>0</v>
      </c>
      <c r="L5890">
        <v>0</v>
      </c>
      <c r="M5890">
        <v>0</v>
      </c>
      <c r="N5890">
        <v>0</v>
      </c>
      <c r="O5890">
        <v>0</v>
      </c>
    </row>
    <row r="5891" spans="1:15" x14ac:dyDescent="0.25">
      <c r="A5891" t="s">
        <v>1710</v>
      </c>
      <c r="B5891" t="s">
        <v>2921</v>
      </c>
      <c r="C5891" t="s">
        <v>927</v>
      </c>
      <c r="D5891" t="s">
        <v>3052</v>
      </c>
      <c r="E5891" t="s">
        <v>3053</v>
      </c>
      <c r="F5891" t="s">
        <v>624</v>
      </c>
      <c r="G5891" t="s">
        <v>625</v>
      </c>
      <c r="H5891" t="s">
        <v>6997</v>
      </c>
      <c r="I5891">
        <v>4</v>
      </c>
      <c r="J5891">
        <v>0</v>
      </c>
      <c r="K5891">
        <v>0</v>
      </c>
      <c r="L5891">
        <v>4</v>
      </c>
      <c r="M5891">
        <v>0</v>
      </c>
      <c r="N5891">
        <v>0</v>
      </c>
      <c r="O5891">
        <v>0</v>
      </c>
    </row>
    <row r="5892" spans="1:15" x14ac:dyDescent="0.25">
      <c r="A5892" t="s">
        <v>1725</v>
      </c>
      <c r="B5892" t="s">
        <v>3010</v>
      </c>
      <c r="C5892" t="s">
        <v>927</v>
      </c>
      <c r="D5892" t="s">
        <v>3052</v>
      </c>
      <c r="E5892" t="s">
        <v>3053</v>
      </c>
      <c r="F5892" t="s">
        <v>624</v>
      </c>
      <c r="G5892" t="s">
        <v>625</v>
      </c>
      <c r="H5892" t="s">
        <v>6998</v>
      </c>
      <c r="I5892">
        <v>595</v>
      </c>
      <c r="J5892">
        <v>411</v>
      </c>
      <c r="K5892">
        <v>0</v>
      </c>
      <c r="L5892">
        <v>55</v>
      </c>
      <c r="M5892">
        <v>55</v>
      </c>
      <c r="N5892">
        <v>0</v>
      </c>
      <c r="O5892">
        <v>74</v>
      </c>
    </row>
    <row r="5893" spans="1:15" x14ac:dyDescent="0.25">
      <c r="A5893" t="s">
        <v>1729</v>
      </c>
      <c r="B5893" t="s">
        <v>2943</v>
      </c>
      <c r="C5893" t="s">
        <v>923</v>
      </c>
      <c r="D5893" t="s">
        <v>3063</v>
      </c>
      <c r="E5893" t="s">
        <v>3053</v>
      </c>
      <c r="F5893" t="s">
        <v>624</v>
      </c>
      <c r="G5893" t="s">
        <v>625</v>
      </c>
      <c r="H5893" t="s">
        <v>6999</v>
      </c>
      <c r="I5893">
        <v>95</v>
      </c>
      <c r="J5893">
        <v>89</v>
      </c>
      <c r="K5893">
        <v>0</v>
      </c>
      <c r="L5893">
        <v>6</v>
      </c>
      <c r="M5893">
        <v>0</v>
      </c>
      <c r="N5893">
        <v>2</v>
      </c>
      <c r="O5893">
        <v>0</v>
      </c>
    </row>
    <row r="5894" spans="1:15" x14ac:dyDescent="0.25">
      <c r="A5894" t="s">
        <v>998</v>
      </c>
      <c r="B5894" t="s">
        <v>2820</v>
      </c>
      <c r="C5894" t="s">
        <v>927</v>
      </c>
      <c r="D5894" t="s">
        <v>3052</v>
      </c>
      <c r="E5894" t="s">
        <v>3053</v>
      </c>
      <c r="F5894" t="s">
        <v>624</v>
      </c>
      <c r="G5894" t="s">
        <v>625</v>
      </c>
      <c r="H5894" t="s">
        <v>7000</v>
      </c>
      <c r="I5894">
        <v>47</v>
      </c>
      <c r="J5894">
        <v>30</v>
      </c>
      <c r="K5894">
        <v>0</v>
      </c>
      <c r="L5894">
        <v>0</v>
      </c>
      <c r="M5894">
        <v>0</v>
      </c>
      <c r="N5894">
        <v>0</v>
      </c>
      <c r="O5894">
        <v>17</v>
      </c>
    </row>
    <row r="5895" spans="1:15" x14ac:dyDescent="0.25">
      <c r="A5895" t="s">
        <v>1416</v>
      </c>
      <c r="B5895" t="s">
        <v>2029</v>
      </c>
      <c r="C5895" t="s">
        <v>923</v>
      </c>
      <c r="D5895" t="s">
        <v>3063</v>
      </c>
      <c r="E5895" t="s">
        <v>3053</v>
      </c>
      <c r="F5895" t="s">
        <v>624</v>
      </c>
      <c r="G5895" t="s">
        <v>625</v>
      </c>
      <c r="H5895" t="s">
        <v>12236</v>
      </c>
      <c r="I5895">
        <v>8</v>
      </c>
      <c r="J5895">
        <v>0</v>
      </c>
      <c r="K5895">
        <v>0</v>
      </c>
      <c r="L5895">
        <v>8</v>
      </c>
      <c r="M5895">
        <v>0</v>
      </c>
      <c r="N5895">
        <v>0</v>
      </c>
      <c r="O5895">
        <v>0</v>
      </c>
    </row>
    <row r="5896" spans="1:15" x14ac:dyDescent="0.25">
      <c r="A5896" t="s">
        <v>10638</v>
      </c>
      <c r="B5896" t="s">
        <v>2057</v>
      </c>
      <c r="C5896" t="s">
        <v>927</v>
      </c>
      <c r="D5896" t="s">
        <v>3052</v>
      </c>
      <c r="E5896" t="s">
        <v>3053</v>
      </c>
      <c r="F5896" t="s">
        <v>624</v>
      </c>
      <c r="G5896" t="s">
        <v>625</v>
      </c>
      <c r="H5896" t="s">
        <v>11227</v>
      </c>
      <c r="I5896">
        <v>21</v>
      </c>
      <c r="J5896">
        <v>0</v>
      </c>
      <c r="K5896">
        <v>0</v>
      </c>
      <c r="L5896">
        <v>21</v>
      </c>
      <c r="M5896">
        <v>0</v>
      </c>
      <c r="N5896">
        <v>0</v>
      </c>
      <c r="O5896">
        <v>0</v>
      </c>
    </row>
    <row r="5897" spans="1:15" x14ac:dyDescent="0.25">
      <c r="A5897" t="s">
        <v>1008</v>
      </c>
      <c r="B5897" t="s">
        <v>2928</v>
      </c>
      <c r="C5897" t="s">
        <v>927</v>
      </c>
      <c r="D5897" t="s">
        <v>3052</v>
      </c>
      <c r="E5897" t="s">
        <v>3053</v>
      </c>
      <c r="F5897" t="s">
        <v>624</v>
      </c>
      <c r="G5897" t="s">
        <v>625</v>
      </c>
      <c r="H5897" t="s">
        <v>7001</v>
      </c>
      <c r="I5897">
        <v>6</v>
      </c>
      <c r="J5897">
        <v>6</v>
      </c>
      <c r="K5897">
        <v>0</v>
      </c>
      <c r="L5897">
        <v>0</v>
      </c>
      <c r="M5897">
        <v>0</v>
      </c>
      <c r="N5897">
        <v>0</v>
      </c>
      <c r="O5897">
        <v>0</v>
      </c>
    </row>
    <row r="5898" spans="1:15" x14ac:dyDescent="0.25">
      <c r="A5898" t="s">
        <v>937</v>
      </c>
      <c r="B5898" t="s">
        <v>1962</v>
      </c>
      <c r="C5898" t="s">
        <v>927</v>
      </c>
      <c r="D5898" t="s">
        <v>3052</v>
      </c>
      <c r="E5898" t="s">
        <v>3053</v>
      </c>
      <c r="F5898" t="s">
        <v>624</v>
      </c>
      <c r="G5898" t="s">
        <v>625</v>
      </c>
      <c r="H5898" t="s">
        <v>7002</v>
      </c>
      <c r="I5898">
        <v>15</v>
      </c>
      <c r="J5898">
        <v>0</v>
      </c>
      <c r="K5898">
        <v>0</v>
      </c>
      <c r="L5898">
        <v>0</v>
      </c>
      <c r="M5898">
        <v>0</v>
      </c>
      <c r="N5898">
        <v>0</v>
      </c>
      <c r="O5898">
        <v>15</v>
      </c>
    </row>
    <row r="5899" spans="1:15" x14ac:dyDescent="0.25">
      <c r="A5899" t="s">
        <v>1011</v>
      </c>
      <c r="B5899" t="s">
        <v>2020</v>
      </c>
      <c r="C5899" t="s">
        <v>927</v>
      </c>
      <c r="D5899" t="s">
        <v>3052</v>
      </c>
      <c r="E5899" t="s">
        <v>3053</v>
      </c>
      <c r="F5899" t="s">
        <v>624</v>
      </c>
      <c r="G5899" t="s">
        <v>625</v>
      </c>
      <c r="H5899" t="s">
        <v>7003</v>
      </c>
      <c r="I5899">
        <v>6</v>
      </c>
      <c r="J5899">
        <v>0</v>
      </c>
      <c r="K5899">
        <v>0</v>
      </c>
      <c r="L5899">
        <v>6</v>
      </c>
      <c r="M5899">
        <v>0</v>
      </c>
      <c r="N5899">
        <v>0</v>
      </c>
      <c r="O5899">
        <v>0</v>
      </c>
    </row>
    <row r="5900" spans="1:15" x14ac:dyDescent="0.25">
      <c r="A5900" t="s">
        <v>938</v>
      </c>
      <c r="B5900" t="s">
        <v>2791</v>
      </c>
      <c r="C5900" t="s">
        <v>927</v>
      </c>
      <c r="D5900" t="s">
        <v>3052</v>
      </c>
      <c r="E5900" t="s">
        <v>3053</v>
      </c>
      <c r="F5900" t="s">
        <v>624</v>
      </c>
      <c r="G5900" t="s">
        <v>625</v>
      </c>
      <c r="H5900" t="s">
        <v>7004</v>
      </c>
      <c r="I5900">
        <v>8</v>
      </c>
      <c r="J5900">
        <v>0</v>
      </c>
      <c r="K5900">
        <v>0</v>
      </c>
      <c r="L5900">
        <v>8</v>
      </c>
      <c r="M5900">
        <v>0</v>
      </c>
      <c r="N5900">
        <v>0</v>
      </c>
      <c r="O5900">
        <v>0</v>
      </c>
    </row>
    <row r="5901" spans="1:15" x14ac:dyDescent="0.25">
      <c r="A5901" t="s">
        <v>940</v>
      </c>
      <c r="B5901" t="s">
        <v>2647</v>
      </c>
      <c r="C5901" t="s">
        <v>927</v>
      </c>
      <c r="D5901" t="s">
        <v>3052</v>
      </c>
      <c r="E5901" t="s">
        <v>3053</v>
      </c>
      <c r="F5901" t="s">
        <v>624</v>
      </c>
      <c r="G5901" t="s">
        <v>625</v>
      </c>
      <c r="H5901" t="s">
        <v>7005</v>
      </c>
      <c r="I5901">
        <v>156</v>
      </c>
      <c r="J5901">
        <v>0</v>
      </c>
      <c r="K5901">
        <v>0</v>
      </c>
      <c r="L5901">
        <v>0</v>
      </c>
      <c r="M5901">
        <v>128</v>
      </c>
      <c r="N5901">
        <v>0</v>
      </c>
      <c r="O5901">
        <v>28</v>
      </c>
    </row>
    <row r="5902" spans="1:15" x14ac:dyDescent="0.25">
      <c r="A5902" t="s">
        <v>1013</v>
      </c>
      <c r="B5902" t="s">
        <v>1959</v>
      </c>
      <c r="C5902" t="s">
        <v>927</v>
      </c>
      <c r="D5902" t="s">
        <v>3052</v>
      </c>
      <c r="E5902" t="s">
        <v>3053</v>
      </c>
      <c r="F5902" t="s">
        <v>624</v>
      </c>
      <c r="G5902" t="s">
        <v>625</v>
      </c>
      <c r="H5902" t="s">
        <v>10129</v>
      </c>
      <c r="I5902">
        <v>27</v>
      </c>
      <c r="J5902">
        <v>0</v>
      </c>
      <c r="K5902">
        <v>0</v>
      </c>
      <c r="L5902">
        <v>27</v>
      </c>
      <c r="M5902">
        <v>0</v>
      </c>
      <c r="N5902">
        <v>0</v>
      </c>
      <c r="O5902">
        <v>0</v>
      </c>
    </row>
    <row r="5903" spans="1:15" x14ac:dyDescent="0.25">
      <c r="A5903" t="s">
        <v>1740</v>
      </c>
      <c r="B5903" t="s">
        <v>2904</v>
      </c>
      <c r="C5903" t="s">
        <v>923</v>
      </c>
      <c r="D5903" t="s">
        <v>3063</v>
      </c>
      <c r="E5903" t="s">
        <v>3053</v>
      </c>
      <c r="F5903" t="s">
        <v>624</v>
      </c>
      <c r="G5903" t="s">
        <v>625</v>
      </c>
      <c r="H5903" t="s">
        <v>14983</v>
      </c>
      <c r="I5903">
        <v>9</v>
      </c>
      <c r="J5903">
        <v>0</v>
      </c>
      <c r="K5903">
        <v>0</v>
      </c>
      <c r="L5903">
        <v>9</v>
      </c>
      <c r="M5903">
        <v>0</v>
      </c>
      <c r="N5903">
        <v>0</v>
      </c>
      <c r="O5903">
        <v>0</v>
      </c>
    </row>
    <row r="5904" spans="1:15" x14ac:dyDescent="0.25">
      <c r="A5904" t="s">
        <v>942</v>
      </c>
      <c r="B5904" t="s">
        <v>2113</v>
      </c>
      <c r="C5904" t="s">
        <v>927</v>
      </c>
      <c r="D5904" t="s">
        <v>3052</v>
      </c>
      <c r="E5904" t="s">
        <v>3053</v>
      </c>
      <c r="F5904" t="s">
        <v>624</v>
      </c>
      <c r="G5904" t="s">
        <v>625</v>
      </c>
      <c r="H5904" t="s">
        <v>7006</v>
      </c>
      <c r="I5904">
        <v>1619</v>
      </c>
      <c r="J5904">
        <v>1171</v>
      </c>
      <c r="K5904">
        <v>0</v>
      </c>
      <c r="L5904">
        <v>29</v>
      </c>
      <c r="M5904">
        <v>132</v>
      </c>
      <c r="N5904">
        <v>0</v>
      </c>
      <c r="O5904">
        <v>287</v>
      </c>
    </row>
    <row r="5905" spans="1:15" x14ac:dyDescent="0.25">
      <c r="A5905" t="s">
        <v>1025</v>
      </c>
      <c r="B5905" t="s">
        <v>2893</v>
      </c>
      <c r="C5905" t="s">
        <v>927</v>
      </c>
      <c r="D5905" t="s">
        <v>3052</v>
      </c>
      <c r="E5905" t="s">
        <v>3053</v>
      </c>
      <c r="F5905" t="s">
        <v>624</v>
      </c>
      <c r="G5905" t="s">
        <v>625</v>
      </c>
      <c r="H5905" t="s">
        <v>10189</v>
      </c>
      <c r="I5905">
        <v>1</v>
      </c>
      <c r="J5905">
        <v>0</v>
      </c>
      <c r="K5905">
        <v>0</v>
      </c>
      <c r="L5905">
        <v>0</v>
      </c>
      <c r="M5905">
        <v>0</v>
      </c>
      <c r="N5905">
        <v>0</v>
      </c>
      <c r="O5905">
        <v>1</v>
      </c>
    </row>
    <row r="5906" spans="1:15" x14ac:dyDescent="0.25">
      <c r="A5906" t="s">
        <v>10681</v>
      </c>
      <c r="B5906" t="s">
        <v>10680</v>
      </c>
      <c r="C5906" t="s">
        <v>927</v>
      </c>
      <c r="D5906" t="s">
        <v>3052</v>
      </c>
      <c r="E5906" t="s">
        <v>3053</v>
      </c>
      <c r="F5906" t="s">
        <v>624</v>
      </c>
      <c r="G5906" t="s">
        <v>625</v>
      </c>
      <c r="H5906" t="s">
        <v>14984</v>
      </c>
      <c r="I5906">
        <v>1</v>
      </c>
      <c r="J5906">
        <v>0</v>
      </c>
      <c r="K5906">
        <v>0</v>
      </c>
      <c r="L5906">
        <v>0</v>
      </c>
      <c r="M5906">
        <v>0</v>
      </c>
      <c r="N5906">
        <v>0</v>
      </c>
      <c r="O5906">
        <v>1</v>
      </c>
    </row>
    <row r="5907" spans="1:15" x14ac:dyDescent="0.25">
      <c r="A5907" t="s">
        <v>1745</v>
      </c>
      <c r="B5907" t="s">
        <v>2884</v>
      </c>
      <c r="C5907" t="s">
        <v>927</v>
      </c>
      <c r="D5907" t="s">
        <v>3052</v>
      </c>
      <c r="E5907" t="s">
        <v>3053</v>
      </c>
      <c r="F5907" t="s">
        <v>624</v>
      </c>
      <c r="G5907" t="s">
        <v>625</v>
      </c>
      <c r="H5907" t="s">
        <v>7007</v>
      </c>
      <c r="I5907">
        <v>30</v>
      </c>
      <c r="J5907">
        <v>20</v>
      </c>
      <c r="K5907">
        <v>0</v>
      </c>
      <c r="L5907">
        <v>0</v>
      </c>
      <c r="M5907">
        <v>0</v>
      </c>
      <c r="N5907">
        <v>0</v>
      </c>
      <c r="O5907">
        <v>10</v>
      </c>
    </row>
    <row r="5908" spans="1:15" x14ac:dyDescent="0.25">
      <c r="A5908" t="s">
        <v>1296</v>
      </c>
      <c r="B5908" t="s">
        <v>2965</v>
      </c>
      <c r="C5908" t="s">
        <v>923</v>
      </c>
      <c r="D5908" t="s">
        <v>3063</v>
      </c>
      <c r="E5908" t="s">
        <v>3053</v>
      </c>
      <c r="F5908" t="s">
        <v>624</v>
      </c>
      <c r="G5908" t="s">
        <v>625</v>
      </c>
      <c r="H5908" t="s">
        <v>7008</v>
      </c>
      <c r="I5908">
        <v>17</v>
      </c>
      <c r="J5908">
        <v>0</v>
      </c>
      <c r="K5908">
        <v>0</v>
      </c>
      <c r="L5908">
        <v>0</v>
      </c>
      <c r="M5908">
        <v>17</v>
      </c>
      <c r="N5908">
        <v>0</v>
      </c>
      <c r="O5908">
        <v>0</v>
      </c>
    </row>
    <row r="5909" spans="1:15" x14ac:dyDescent="0.25">
      <c r="A5909" t="s">
        <v>945</v>
      </c>
      <c r="B5909" t="s">
        <v>2668</v>
      </c>
      <c r="C5909" t="s">
        <v>927</v>
      </c>
      <c r="D5909" t="s">
        <v>3052</v>
      </c>
      <c r="E5909" t="s">
        <v>3053</v>
      </c>
      <c r="F5909" t="s">
        <v>624</v>
      </c>
      <c r="G5909" t="s">
        <v>625</v>
      </c>
      <c r="H5909" t="s">
        <v>7009</v>
      </c>
      <c r="I5909">
        <v>2</v>
      </c>
      <c r="J5909">
        <v>0</v>
      </c>
      <c r="K5909">
        <v>0</v>
      </c>
      <c r="L5909">
        <v>0</v>
      </c>
      <c r="M5909">
        <v>0</v>
      </c>
      <c r="N5909">
        <v>0</v>
      </c>
      <c r="O5909">
        <v>2</v>
      </c>
    </row>
    <row r="5910" spans="1:15" x14ac:dyDescent="0.25">
      <c r="A5910" t="s">
        <v>1749</v>
      </c>
      <c r="B5910" t="s">
        <v>2878</v>
      </c>
      <c r="C5910" t="s">
        <v>927</v>
      </c>
      <c r="D5910" t="s">
        <v>3052</v>
      </c>
      <c r="E5910" t="s">
        <v>3053</v>
      </c>
      <c r="F5910" t="s">
        <v>624</v>
      </c>
      <c r="G5910" t="s">
        <v>625</v>
      </c>
      <c r="H5910" t="s">
        <v>7011</v>
      </c>
      <c r="I5910">
        <v>6701</v>
      </c>
      <c r="J5910">
        <v>6422</v>
      </c>
      <c r="K5910">
        <v>0</v>
      </c>
      <c r="L5910">
        <v>86</v>
      </c>
      <c r="M5910">
        <v>0</v>
      </c>
      <c r="N5910">
        <v>48</v>
      </c>
      <c r="O5910">
        <v>193</v>
      </c>
    </row>
    <row r="5911" spans="1:15" x14ac:dyDescent="0.25">
      <c r="A5911" t="s">
        <v>1302</v>
      </c>
      <c r="B5911" t="s">
        <v>1961</v>
      </c>
      <c r="C5911" t="s">
        <v>923</v>
      </c>
      <c r="D5911" t="s">
        <v>3063</v>
      </c>
      <c r="E5911" t="s">
        <v>3053</v>
      </c>
      <c r="F5911" t="s">
        <v>624</v>
      </c>
      <c r="G5911" t="s">
        <v>625</v>
      </c>
      <c r="H5911" t="s">
        <v>7010</v>
      </c>
      <c r="I5911">
        <v>1</v>
      </c>
      <c r="J5911">
        <v>0</v>
      </c>
      <c r="K5911">
        <v>0</v>
      </c>
      <c r="L5911">
        <v>1</v>
      </c>
      <c r="M5911">
        <v>0</v>
      </c>
      <c r="N5911">
        <v>0</v>
      </c>
      <c r="O5911">
        <v>0</v>
      </c>
    </row>
    <row r="5912" spans="1:15" x14ac:dyDescent="0.25">
      <c r="A5912" t="s">
        <v>951</v>
      </c>
      <c r="B5912" t="s">
        <v>2680</v>
      </c>
      <c r="C5912" t="s">
        <v>927</v>
      </c>
      <c r="D5912" t="s">
        <v>3052</v>
      </c>
      <c r="E5912" t="s">
        <v>3053</v>
      </c>
      <c r="F5912" t="s">
        <v>624</v>
      </c>
      <c r="G5912" t="s">
        <v>625</v>
      </c>
      <c r="H5912" t="s">
        <v>7012</v>
      </c>
      <c r="I5912">
        <v>4</v>
      </c>
      <c r="J5912">
        <v>4</v>
      </c>
      <c r="K5912">
        <v>0</v>
      </c>
      <c r="L5912">
        <v>0</v>
      </c>
      <c r="M5912">
        <v>0</v>
      </c>
      <c r="N5912">
        <v>0</v>
      </c>
      <c r="O5912">
        <v>0</v>
      </c>
    </row>
    <row r="5913" spans="1:15" x14ac:dyDescent="0.25">
      <c r="A5913" t="s">
        <v>1048</v>
      </c>
      <c r="B5913" t="s">
        <v>2989</v>
      </c>
      <c r="C5913" t="s">
        <v>927</v>
      </c>
      <c r="D5913" t="s">
        <v>3052</v>
      </c>
      <c r="E5913" t="s">
        <v>3053</v>
      </c>
      <c r="F5913" t="s">
        <v>624</v>
      </c>
      <c r="G5913" t="s">
        <v>625</v>
      </c>
      <c r="H5913" t="s">
        <v>7013</v>
      </c>
      <c r="I5913">
        <v>27</v>
      </c>
      <c r="J5913">
        <v>10</v>
      </c>
      <c r="K5913">
        <v>0</v>
      </c>
      <c r="L5913">
        <v>17</v>
      </c>
      <c r="M5913">
        <v>0</v>
      </c>
      <c r="N5913">
        <v>0</v>
      </c>
      <c r="O5913">
        <v>0</v>
      </c>
    </row>
    <row r="5914" spans="1:15" x14ac:dyDescent="0.25">
      <c r="A5914" t="s">
        <v>1758</v>
      </c>
      <c r="B5914" t="s">
        <v>2997</v>
      </c>
      <c r="C5914" t="s">
        <v>927</v>
      </c>
      <c r="D5914" t="s">
        <v>3052</v>
      </c>
      <c r="E5914" t="s">
        <v>3053</v>
      </c>
      <c r="F5914" t="s">
        <v>624</v>
      </c>
      <c r="G5914" t="s">
        <v>625</v>
      </c>
      <c r="H5914" t="s">
        <v>7014</v>
      </c>
      <c r="I5914">
        <v>66</v>
      </c>
      <c r="J5914">
        <v>5</v>
      </c>
      <c r="K5914">
        <v>61</v>
      </c>
      <c r="L5914">
        <v>0</v>
      </c>
      <c r="M5914">
        <v>0</v>
      </c>
      <c r="N5914">
        <v>0</v>
      </c>
      <c r="O5914">
        <v>0</v>
      </c>
    </row>
    <row r="5915" spans="1:15" x14ac:dyDescent="0.25">
      <c r="A5915" t="s">
        <v>11720</v>
      </c>
      <c r="B5915" t="s">
        <v>10718</v>
      </c>
      <c r="C5915" t="s">
        <v>927</v>
      </c>
      <c r="D5915" t="s">
        <v>3052</v>
      </c>
      <c r="E5915" t="s">
        <v>3053</v>
      </c>
      <c r="F5915" t="s">
        <v>624</v>
      </c>
      <c r="G5915" t="s">
        <v>625</v>
      </c>
      <c r="H5915" t="s">
        <v>14985</v>
      </c>
      <c r="I5915">
        <v>9</v>
      </c>
      <c r="J5915">
        <v>0</v>
      </c>
      <c r="K5915">
        <v>0</v>
      </c>
      <c r="L5915">
        <v>0</v>
      </c>
      <c r="M5915">
        <v>0</v>
      </c>
      <c r="N5915">
        <v>0</v>
      </c>
      <c r="O5915">
        <v>9</v>
      </c>
    </row>
    <row r="5916" spans="1:15" x14ac:dyDescent="0.25">
      <c r="A5916" t="s">
        <v>1056</v>
      </c>
      <c r="B5916" t="s">
        <v>2966</v>
      </c>
      <c r="C5916" t="s">
        <v>927</v>
      </c>
      <c r="D5916" t="s">
        <v>3052</v>
      </c>
      <c r="E5916" t="s">
        <v>3053</v>
      </c>
      <c r="F5916" t="s">
        <v>624</v>
      </c>
      <c r="G5916" t="s">
        <v>625</v>
      </c>
      <c r="H5916" t="s">
        <v>7015</v>
      </c>
      <c r="I5916">
        <v>28</v>
      </c>
      <c r="J5916">
        <v>0</v>
      </c>
      <c r="K5916">
        <v>0</v>
      </c>
      <c r="L5916">
        <v>28</v>
      </c>
      <c r="M5916">
        <v>0</v>
      </c>
      <c r="N5916">
        <v>0</v>
      </c>
      <c r="O5916">
        <v>0</v>
      </c>
    </row>
    <row r="5917" spans="1:15" x14ac:dyDescent="0.25">
      <c r="A5917" t="s">
        <v>955</v>
      </c>
      <c r="B5917" t="s">
        <v>2660</v>
      </c>
      <c r="C5917" t="s">
        <v>927</v>
      </c>
      <c r="D5917" t="s">
        <v>3052</v>
      </c>
      <c r="E5917" t="s">
        <v>3053</v>
      </c>
      <c r="F5917" t="s">
        <v>624</v>
      </c>
      <c r="G5917" t="s">
        <v>625</v>
      </c>
      <c r="H5917" t="s">
        <v>7016</v>
      </c>
      <c r="I5917">
        <v>60</v>
      </c>
      <c r="J5917">
        <v>8</v>
      </c>
      <c r="K5917">
        <v>0</v>
      </c>
      <c r="L5917">
        <v>52</v>
      </c>
      <c r="M5917">
        <v>0</v>
      </c>
      <c r="N5917">
        <v>0</v>
      </c>
      <c r="O5917">
        <v>0</v>
      </c>
    </row>
    <row r="5918" spans="1:15" x14ac:dyDescent="0.25">
      <c r="A5918" t="s">
        <v>1763</v>
      </c>
      <c r="B5918" t="s">
        <v>2535</v>
      </c>
      <c r="C5918" t="s">
        <v>923</v>
      </c>
      <c r="D5918" t="s">
        <v>3063</v>
      </c>
      <c r="E5918" t="s">
        <v>3053</v>
      </c>
      <c r="F5918" t="s">
        <v>624</v>
      </c>
      <c r="G5918" t="s">
        <v>625</v>
      </c>
      <c r="H5918" t="s">
        <v>7017</v>
      </c>
      <c r="I5918">
        <v>26</v>
      </c>
      <c r="J5918">
        <v>0</v>
      </c>
      <c r="K5918">
        <v>0</v>
      </c>
      <c r="L5918">
        <v>0</v>
      </c>
      <c r="M5918">
        <v>26</v>
      </c>
      <c r="N5918">
        <v>0</v>
      </c>
      <c r="O5918">
        <v>0</v>
      </c>
    </row>
    <row r="5919" spans="1:15" x14ac:dyDescent="0.25">
      <c r="A5919" t="s">
        <v>960</v>
      </c>
      <c r="B5919" t="s">
        <v>2080</v>
      </c>
      <c r="C5919" t="s">
        <v>927</v>
      </c>
      <c r="D5919" t="s">
        <v>3052</v>
      </c>
      <c r="E5919" t="s">
        <v>3053</v>
      </c>
      <c r="F5919" t="s">
        <v>624</v>
      </c>
      <c r="G5919" t="s">
        <v>625</v>
      </c>
      <c r="H5919" t="s">
        <v>7018</v>
      </c>
      <c r="I5919">
        <v>212</v>
      </c>
      <c r="J5919">
        <v>188</v>
      </c>
      <c r="K5919">
        <v>0</v>
      </c>
      <c r="L5919">
        <v>0</v>
      </c>
      <c r="M5919">
        <v>0</v>
      </c>
      <c r="N5919">
        <v>1</v>
      </c>
      <c r="O5919">
        <v>24</v>
      </c>
    </row>
    <row r="5920" spans="1:15" x14ac:dyDescent="0.25">
      <c r="A5920" t="s">
        <v>962</v>
      </c>
      <c r="B5920" t="s">
        <v>2752</v>
      </c>
      <c r="C5920" t="s">
        <v>927</v>
      </c>
      <c r="D5920" t="s">
        <v>3052</v>
      </c>
      <c r="E5920" t="s">
        <v>3053</v>
      </c>
      <c r="F5920" t="s">
        <v>624</v>
      </c>
      <c r="G5920" t="s">
        <v>625</v>
      </c>
      <c r="H5920" t="s">
        <v>7019</v>
      </c>
      <c r="I5920">
        <v>368</v>
      </c>
      <c r="J5920">
        <v>351</v>
      </c>
      <c r="K5920">
        <v>0</v>
      </c>
      <c r="L5920">
        <v>2</v>
      </c>
      <c r="M5920">
        <v>0</v>
      </c>
      <c r="N5920">
        <v>0</v>
      </c>
      <c r="O5920">
        <v>15</v>
      </c>
    </row>
    <row r="5921" spans="1:15" x14ac:dyDescent="0.25">
      <c r="A5921" t="s">
        <v>1066</v>
      </c>
      <c r="B5921" t="s">
        <v>2557</v>
      </c>
      <c r="C5921" t="s">
        <v>927</v>
      </c>
      <c r="D5921" t="s">
        <v>3052</v>
      </c>
      <c r="E5921" t="s">
        <v>3053</v>
      </c>
      <c r="F5921" t="s">
        <v>624</v>
      </c>
      <c r="G5921" t="s">
        <v>625</v>
      </c>
      <c r="H5921" t="s">
        <v>7020</v>
      </c>
      <c r="I5921">
        <v>10</v>
      </c>
      <c r="J5921">
        <v>0</v>
      </c>
      <c r="K5921">
        <v>0</v>
      </c>
      <c r="L5921">
        <v>0</v>
      </c>
      <c r="M5921">
        <v>10</v>
      </c>
      <c r="N5921">
        <v>0</v>
      </c>
      <c r="O5921">
        <v>0</v>
      </c>
    </row>
    <row r="5922" spans="1:15" x14ac:dyDescent="0.25">
      <c r="A5922" t="s">
        <v>1069</v>
      </c>
      <c r="B5922" t="s">
        <v>2001</v>
      </c>
      <c r="C5922" t="s">
        <v>927</v>
      </c>
      <c r="D5922" t="s">
        <v>3052</v>
      </c>
      <c r="E5922" t="s">
        <v>3053</v>
      </c>
      <c r="F5922" t="s">
        <v>624</v>
      </c>
      <c r="G5922" t="s">
        <v>625</v>
      </c>
      <c r="H5922" t="s">
        <v>7021</v>
      </c>
      <c r="I5922">
        <v>112</v>
      </c>
      <c r="J5922">
        <v>89</v>
      </c>
      <c r="K5922">
        <v>0</v>
      </c>
      <c r="L5922">
        <v>8</v>
      </c>
      <c r="M5922">
        <v>0</v>
      </c>
      <c r="N5922">
        <v>0</v>
      </c>
      <c r="O5922">
        <v>15</v>
      </c>
    </row>
    <row r="5923" spans="1:15" x14ac:dyDescent="0.25">
      <c r="A5923" t="s">
        <v>1071</v>
      </c>
      <c r="B5923" t="s">
        <v>2571</v>
      </c>
      <c r="C5923" t="s">
        <v>923</v>
      </c>
      <c r="D5923" t="s">
        <v>3063</v>
      </c>
      <c r="E5923" t="s">
        <v>3053</v>
      </c>
      <c r="F5923" t="s">
        <v>624</v>
      </c>
      <c r="G5923" t="s">
        <v>625</v>
      </c>
      <c r="H5923" t="s">
        <v>7022</v>
      </c>
      <c r="I5923">
        <v>10</v>
      </c>
      <c r="J5923">
        <v>0</v>
      </c>
      <c r="K5923">
        <v>0</v>
      </c>
      <c r="L5923">
        <v>10</v>
      </c>
      <c r="M5923">
        <v>0</v>
      </c>
      <c r="N5923">
        <v>0</v>
      </c>
      <c r="O5923">
        <v>0</v>
      </c>
    </row>
    <row r="5924" spans="1:15" x14ac:dyDescent="0.25">
      <c r="A5924" t="s">
        <v>1080</v>
      </c>
      <c r="B5924" t="s">
        <v>2030</v>
      </c>
      <c r="C5924" t="s">
        <v>923</v>
      </c>
      <c r="D5924" t="s">
        <v>3063</v>
      </c>
      <c r="E5924" t="s">
        <v>3053</v>
      </c>
      <c r="F5924" t="s">
        <v>624</v>
      </c>
      <c r="G5924" t="s">
        <v>625</v>
      </c>
      <c r="H5924" t="s">
        <v>7023</v>
      </c>
      <c r="I5924">
        <v>9</v>
      </c>
      <c r="J5924">
        <v>0</v>
      </c>
      <c r="K5924">
        <v>0</v>
      </c>
      <c r="L5924">
        <v>9</v>
      </c>
      <c r="M5924">
        <v>0</v>
      </c>
      <c r="N5924">
        <v>0</v>
      </c>
      <c r="O5924">
        <v>0</v>
      </c>
    </row>
    <row r="5925" spans="1:15" x14ac:dyDescent="0.25">
      <c r="A5925" t="s">
        <v>11715</v>
      </c>
      <c r="B5925" t="s">
        <v>2784</v>
      </c>
      <c r="C5925" t="s">
        <v>927</v>
      </c>
      <c r="D5925" t="s">
        <v>3052</v>
      </c>
      <c r="E5925" t="s">
        <v>3053</v>
      </c>
      <c r="F5925" t="s">
        <v>624</v>
      </c>
      <c r="G5925" t="s">
        <v>625</v>
      </c>
      <c r="H5925" t="s">
        <v>12237</v>
      </c>
      <c r="I5925">
        <v>18</v>
      </c>
      <c r="J5925">
        <v>18</v>
      </c>
      <c r="K5925">
        <v>0</v>
      </c>
      <c r="L5925">
        <v>0</v>
      </c>
      <c r="M5925">
        <v>0</v>
      </c>
      <c r="N5925">
        <v>0</v>
      </c>
      <c r="O5925">
        <v>0</v>
      </c>
    </row>
    <row r="5926" spans="1:15" x14ac:dyDescent="0.25">
      <c r="A5926" t="s">
        <v>1016</v>
      </c>
      <c r="B5926" t="s">
        <v>2725</v>
      </c>
      <c r="C5926" t="s">
        <v>927</v>
      </c>
      <c r="D5926" t="s">
        <v>3052</v>
      </c>
      <c r="E5926" t="s">
        <v>3053</v>
      </c>
      <c r="F5926" t="s">
        <v>626</v>
      </c>
      <c r="G5926" t="s">
        <v>627</v>
      </c>
      <c r="H5926" t="s">
        <v>7038</v>
      </c>
      <c r="I5926">
        <v>38</v>
      </c>
      <c r="J5926">
        <v>0</v>
      </c>
      <c r="K5926">
        <v>0</v>
      </c>
      <c r="L5926">
        <v>21</v>
      </c>
      <c r="M5926">
        <v>17</v>
      </c>
      <c r="N5926">
        <v>0</v>
      </c>
      <c r="O5926">
        <v>0</v>
      </c>
    </row>
    <row r="5927" spans="1:15" x14ac:dyDescent="0.25">
      <c r="A5927" t="s">
        <v>929</v>
      </c>
      <c r="B5927" t="s">
        <v>2999</v>
      </c>
      <c r="C5927" t="s">
        <v>927</v>
      </c>
      <c r="D5927" t="s">
        <v>3052</v>
      </c>
      <c r="E5927" t="s">
        <v>3053</v>
      </c>
      <c r="F5927" t="s">
        <v>626</v>
      </c>
      <c r="G5927" t="s">
        <v>627</v>
      </c>
      <c r="H5927" t="s">
        <v>7024</v>
      </c>
      <c r="I5927">
        <v>744</v>
      </c>
      <c r="J5927">
        <v>0</v>
      </c>
      <c r="K5927">
        <v>0</v>
      </c>
      <c r="L5927">
        <v>0</v>
      </c>
      <c r="M5927">
        <v>734</v>
      </c>
      <c r="N5927">
        <v>0</v>
      </c>
      <c r="O5927">
        <v>10</v>
      </c>
    </row>
    <row r="5928" spans="1:15" x14ac:dyDescent="0.25">
      <c r="A5928" t="s">
        <v>978</v>
      </c>
      <c r="B5928" t="s">
        <v>1999</v>
      </c>
      <c r="C5928" t="s">
        <v>923</v>
      </c>
      <c r="D5928" t="s">
        <v>3063</v>
      </c>
      <c r="E5928" t="s">
        <v>3053</v>
      </c>
      <c r="F5928" t="s">
        <v>626</v>
      </c>
      <c r="G5928" t="s">
        <v>627</v>
      </c>
      <c r="H5928" t="s">
        <v>7025</v>
      </c>
      <c r="I5928">
        <v>2</v>
      </c>
      <c r="J5928">
        <v>2</v>
      </c>
      <c r="K5928">
        <v>0</v>
      </c>
      <c r="L5928">
        <v>0</v>
      </c>
      <c r="M5928">
        <v>0</v>
      </c>
      <c r="N5928">
        <v>0</v>
      </c>
      <c r="O5928">
        <v>0</v>
      </c>
    </row>
    <row r="5929" spans="1:15" x14ac:dyDescent="0.25">
      <c r="A5929" t="s">
        <v>1407</v>
      </c>
      <c r="B5929" t="s">
        <v>2109</v>
      </c>
      <c r="C5929" t="s">
        <v>927</v>
      </c>
      <c r="D5929" t="s">
        <v>3052</v>
      </c>
      <c r="E5929" t="s">
        <v>3053</v>
      </c>
      <c r="F5929" t="s">
        <v>626</v>
      </c>
      <c r="G5929" t="s">
        <v>627</v>
      </c>
      <c r="H5929" t="s">
        <v>7026</v>
      </c>
      <c r="I5929">
        <v>894</v>
      </c>
      <c r="J5929">
        <v>602</v>
      </c>
      <c r="K5929">
        <v>0</v>
      </c>
      <c r="L5929">
        <v>9</v>
      </c>
      <c r="M5929">
        <v>231</v>
      </c>
      <c r="N5929">
        <v>0</v>
      </c>
      <c r="O5929">
        <v>52</v>
      </c>
    </row>
    <row r="5930" spans="1:15" x14ac:dyDescent="0.25">
      <c r="A5930" t="s">
        <v>9784</v>
      </c>
      <c r="B5930" t="s">
        <v>1994</v>
      </c>
      <c r="C5930" t="s">
        <v>927</v>
      </c>
      <c r="D5930" t="s">
        <v>3052</v>
      </c>
      <c r="E5930" t="s">
        <v>3053</v>
      </c>
      <c r="F5930" t="s">
        <v>626</v>
      </c>
      <c r="G5930" t="s">
        <v>627</v>
      </c>
      <c r="H5930" t="s">
        <v>9965</v>
      </c>
      <c r="I5930">
        <v>12</v>
      </c>
      <c r="J5930">
        <v>0</v>
      </c>
      <c r="K5930">
        <v>0</v>
      </c>
      <c r="L5930">
        <v>12</v>
      </c>
      <c r="M5930">
        <v>0</v>
      </c>
      <c r="N5930">
        <v>0</v>
      </c>
      <c r="O5930">
        <v>0</v>
      </c>
    </row>
    <row r="5931" spans="1:15" x14ac:dyDescent="0.25">
      <c r="A5931" t="s">
        <v>1412</v>
      </c>
      <c r="B5931" t="s">
        <v>2099</v>
      </c>
      <c r="C5931" t="s">
        <v>927</v>
      </c>
      <c r="D5931" t="s">
        <v>3052</v>
      </c>
      <c r="E5931" t="s">
        <v>3053</v>
      </c>
      <c r="F5931" t="s">
        <v>626</v>
      </c>
      <c r="G5931" t="s">
        <v>627</v>
      </c>
      <c r="H5931" t="s">
        <v>7027</v>
      </c>
      <c r="I5931">
        <v>71</v>
      </c>
      <c r="J5931">
        <v>38</v>
      </c>
      <c r="K5931">
        <v>0</v>
      </c>
      <c r="L5931">
        <v>0</v>
      </c>
      <c r="M5931">
        <v>0</v>
      </c>
      <c r="N5931">
        <v>0</v>
      </c>
      <c r="O5931">
        <v>33</v>
      </c>
    </row>
    <row r="5932" spans="1:15" x14ac:dyDescent="0.25">
      <c r="A5932" t="s">
        <v>991</v>
      </c>
      <c r="B5932" t="s">
        <v>1976</v>
      </c>
      <c r="C5932" t="s">
        <v>923</v>
      </c>
      <c r="D5932" t="s">
        <v>3063</v>
      </c>
      <c r="E5932" t="s">
        <v>3053</v>
      </c>
      <c r="F5932" t="s">
        <v>626</v>
      </c>
      <c r="G5932" t="s">
        <v>627</v>
      </c>
      <c r="H5932" t="s">
        <v>7028</v>
      </c>
      <c r="I5932">
        <v>13</v>
      </c>
      <c r="J5932">
        <v>0</v>
      </c>
      <c r="K5932">
        <v>0</v>
      </c>
      <c r="L5932">
        <v>13</v>
      </c>
      <c r="M5932">
        <v>0</v>
      </c>
      <c r="N5932">
        <v>0</v>
      </c>
      <c r="O5932">
        <v>0</v>
      </c>
    </row>
    <row r="5933" spans="1:15" x14ac:dyDescent="0.25">
      <c r="A5933" t="s">
        <v>1413</v>
      </c>
      <c r="B5933" t="s">
        <v>2048</v>
      </c>
      <c r="C5933" t="s">
        <v>923</v>
      </c>
      <c r="D5933" t="s">
        <v>3063</v>
      </c>
      <c r="E5933" t="s">
        <v>3053</v>
      </c>
      <c r="F5933" t="s">
        <v>626</v>
      </c>
      <c r="G5933" t="s">
        <v>627</v>
      </c>
      <c r="H5933" t="s">
        <v>7029</v>
      </c>
      <c r="I5933">
        <v>14</v>
      </c>
      <c r="J5933">
        <v>0</v>
      </c>
      <c r="K5933">
        <v>0</v>
      </c>
      <c r="L5933">
        <v>14</v>
      </c>
      <c r="M5933">
        <v>0</v>
      </c>
      <c r="N5933">
        <v>14</v>
      </c>
      <c r="O5933">
        <v>0</v>
      </c>
    </row>
    <row r="5934" spans="1:15" x14ac:dyDescent="0.25">
      <c r="A5934" t="s">
        <v>996</v>
      </c>
      <c r="B5934" t="s">
        <v>1952</v>
      </c>
      <c r="C5934" t="s">
        <v>923</v>
      </c>
      <c r="D5934" t="s">
        <v>3063</v>
      </c>
      <c r="E5934" t="s">
        <v>3053</v>
      </c>
      <c r="F5934" t="s">
        <v>626</v>
      </c>
      <c r="G5934" t="s">
        <v>627</v>
      </c>
      <c r="H5934" t="s">
        <v>7030</v>
      </c>
      <c r="I5934">
        <v>3</v>
      </c>
      <c r="J5934">
        <v>0</v>
      </c>
      <c r="K5934">
        <v>0</v>
      </c>
      <c r="L5934">
        <v>3</v>
      </c>
      <c r="M5934">
        <v>0</v>
      </c>
      <c r="N5934">
        <v>0</v>
      </c>
      <c r="O5934">
        <v>0</v>
      </c>
    </row>
    <row r="5935" spans="1:15" x14ac:dyDescent="0.25">
      <c r="A5935" t="s">
        <v>1418</v>
      </c>
      <c r="B5935" t="s">
        <v>2854</v>
      </c>
      <c r="C5935" t="s">
        <v>927</v>
      </c>
      <c r="D5935" t="s">
        <v>3052</v>
      </c>
      <c r="E5935" t="s">
        <v>3053</v>
      </c>
      <c r="F5935" t="s">
        <v>626</v>
      </c>
      <c r="G5935" t="s">
        <v>627</v>
      </c>
      <c r="H5935" t="s">
        <v>7031</v>
      </c>
      <c r="I5935">
        <v>1</v>
      </c>
      <c r="J5935">
        <v>0</v>
      </c>
      <c r="K5935">
        <v>0</v>
      </c>
      <c r="L5935">
        <v>0</v>
      </c>
      <c r="M5935">
        <v>0</v>
      </c>
      <c r="N5935">
        <v>0</v>
      </c>
      <c r="O5935">
        <v>1</v>
      </c>
    </row>
    <row r="5936" spans="1:15" x14ac:dyDescent="0.25">
      <c r="A5936" t="s">
        <v>1008</v>
      </c>
      <c r="B5936" t="s">
        <v>2928</v>
      </c>
      <c r="C5936" t="s">
        <v>927</v>
      </c>
      <c r="D5936" t="s">
        <v>3052</v>
      </c>
      <c r="E5936" t="s">
        <v>3053</v>
      </c>
      <c r="F5936" t="s">
        <v>626</v>
      </c>
      <c r="G5936" t="s">
        <v>627</v>
      </c>
      <c r="H5936" t="s">
        <v>7032</v>
      </c>
      <c r="I5936">
        <v>65</v>
      </c>
      <c r="J5936">
        <v>56</v>
      </c>
      <c r="K5936">
        <v>0</v>
      </c>
      <c r="L5936">
        <v>1</v>
      </c>
      <c r="M5936">
        <v>8</v>
      </c>
      <c r="N5936">
        <v>1</v>
      </c>
      <c r="O5936">
        <v>0</v>
      </c>
    </row>
    <row r="5937" spans="1:15" x14ac:dyDescent="0.25">
      <c r="A5937" t="s">
        <v>1009</v>
      </c>
      <c r="B5937" t="s">
        <v>1958</v>
      </c>
      <c r="C5937" t="s">
        <v>923</v>
      </c>
      <c r="D5937" t="s">
        <v>3063</v>
      </c>
      <c r="E5937" t="s">
        <v>3053</v>
      </c>
      <c r="F5937" t="s">
        <v>626</v>
      </c>
      <c r="G5937" t="s">
        <v>627</v>
      </c>
      <c r="H5937" t="s">
        <v>11228</v>
      </c>
      <c r="I5937">
        <v>1</v>
      </c>
      <c r="J5937">
        <v>0</v>
      </c>
      <c r="K5937">
        <v>0</v>
      </c>
      <c r="L5937">
        <v>1</v>
      </c>
      <c r="M5937">
        <v>0</v>
      </c>
      <c r="N5937">
        <v>0</v>
      </c>
      <c r="O5937">
        <v>0</v>
      </c>
    </row>
    <row r="5938" spans="1:15" x14ac:dyDescent="0.25">
      <c r="A5938" t="s">
        <v>1419</v>
      </c>
      <c r="B5938" t="s">
        <v>2013</v>
      </c>
      <c r="C5938" t="s">
        <v>923</v>
      </c>
      <c r="D5938" t="s">
        <v>3063</v>
      </c>
      <c r="E5938" t="s">
        <v>3053</v>
      </c>
      <c r="F5938" t="s">
        <v>626</v>
      </c>
      <c r="G5938" t="s">
        <v>627</v>
      </c>
      <c r="H5938" t="s">
        <v>7033</v>
      </c>
      <c r="I5938">
        <v>4</v>
      </c>
      <c r="J5938">
        <v>4</v>
      </c>
      <c r="K5938">
        <v>0</v>
      </c>
      <c r="L5938">
        <v>0</v>
      </c>
      <c r="M5938">
        <v>0</v>
      </c>
      <c r="N5938">
        <v>0</v>
      </c>
      <c r="O5938">
        <v>0</v>
      </c>
    </row>
    <row r="5939" spans="1:15" x14ac:dyDescent="0.25">
      <c r="A5939" t="s">
        <v>937</v>
      </c>
      <c r="B5939" t="s">
        <v>1962</v>
      </c>
      <c r="C5939" t="s">
        <v>927</v>
      </c>
      <c r="D5939" t="s">
        <v>3052</v>
      </c>
      <c r="E5939" t="s">
        <v>3053</v>
      </c>
      <c r="F5939" t="s">
        <v>626</v>
      </c>
      <c r="G5939" t="s">
        <v>627</v>
      </c>
      <c r="H5939" t="s">
        <v>7034</v>
      </c>
      <c r="I5939">
        <v>5</v>
      </c>
      <c r="J5939">
        <v>0</v>
      </c>
      <c r="K5939">
        <v>0</v>
      </c>
      <c r="L5939">
        <v>0</v>
      </c>
      <c r="M5939">
        <v>0</v>
      </c>
      <c r="N5939">
        <v>0</v>
      </c>
      <c r="O5939">
        <v>5</v>
      </c>
    </row>
    <row r="5940" spans="1:15" x14ac:dyDescent="0.25">
      <c r="A5940" t="s">
        <v>938</v>
      </c>
      <c r="B5940" t="s">
        <v>2791</v>
      </c>
      <c r="C5940" t="s">
        <v>927</v>
      </c>
      <c r="D5940" t="s">
        <v>3052</v>
      </c>
      <c r="E5940" t="s">
        <v>3053</v>
      </c>
      <c r="F5940" t="s">
        <v>626</v>
      </c>
      <c r="G5940" t="s">
        <v>627</v>
      </c>
      <c r="H5940" t="s">
        <v>7035</v>
      </c>
      <c r="I5940">
        <v>1553</v>
      </c>
      <c r="J5940">
        <v>1229</v>
      </c>
      <c r="K5940">
        <v>0</v>
      </c>
      <c r="L5940">
        <v>170</v>
      </c>
      <c r="M5940">
        <v>59</v>
      </c>
      <c r="N5940">
        <v>0</v>
      </c>
      <c r="O5940">
        <v>95</v>
      </c>
    </row>
    <row r="5941" spans="1:15" x14ac:dyDescent="0.25">
      <c r="A5941" t="s">
        <v>940</v>
      </c>
      <c r="B5941" t="s">
        <v>2647</v>
      </c>
      <c r="C5941" t="s">
        <v>927</v>
      </c>
      <c r="D5941" t="s">
        <v>3052</v>
      </c>
      <c r="E5941" t="s">
        <v>3053</v>
      </c>
      <c r="F5941" t="s">
        <v>626</v>
      </c>
      <c r="G5941" t="s">
        <v>627</v>
      </c>
      <c r="H5941" t="s">
        <v>7036</v>
      </c>
      <c r="I5941">
        <v>206</v>
      </c>
      <c r="J5941">
        <v>0</v>
      </c>
      <c r="K5941">
        <v>0</v>
      </c>
      <c r="L5941">
        <v>0</v>
      </c>
      <c r="M5941">
        <v>185</v>
      </c>
      <c r="N5941">
        <v>0</v>
      </c>
      <c r="O5941">
        <v>21</v>
      </c>
    </row>
    <row r="5942" spans="1:15" x14ac:dyDescent="0.25">
      <c r="A5942" t="s">
        <v>1013</v>
      </c>
      <c r="B5942" t="s">
        <v>1959</v>
      </c>
      <c r="C5942" t="s">
        <v>927</v>
      </c>
      <c r="D5942" t="s">
        <v>3052</v>
      </c>
      <c r="E5942" t="s">
        <v>3053</v>
      </c>
      <c r="F5942" t="s">
        <v>626</v>
      </c>
      <c r="G5942" t="s">
        <v>627</v>
      </c>
      <c r="H5942" t="s">
        <v>7037</v>
      </c>
      <c r="I5942">
        <v>48</v>
      </c>
      <c r="J5942">
        <v>0</v>
      </c>
      <c r="K5942">
        <v>0</v>
      </c>
      <c r="L5942">
        <v>48</v>
      </c>
      <c r="M5942">
        <v>0</v>
      </c>
      <c r="N5942">
        <v>0</v>
      </c>
      <c r="O5942">
        <v>0</v>
      </c>
    </row>
    <row r="5943" spans="1:15" x14ac:dyDescent="0.25">
      <c r="A5943" t="s">
        <v>1427</v>
      </c>
      <c r="B5943" t="s">
        <v>2087</v>
      </c>
      <c r="C5943" t="s">
        <v>927</v>
      </c>
      <c r="D5943" t="s">
        <v>3052</v>
      </c>
      <c r="E5943" t="s">
        <v>3053</v>
      </c>
      <c r="F5943" t="s">
        <v>626</v>
      </c>
      <c r="G5943" t="s">
        <v>627</v>
      </c>
      <c r="H5943" t="s">
        <v>7039</v>
      </c>
      <c r="I5943">
        <v>1646</v>
      </c>
      <c r="J5943">
        <v>1439</v>
      </c>
      <c r="K5943">
        <v>0</v>
      </c>
      <c r="L5943">
        <v>110</v>
      </c>
      <c r="M5943">
        <v>15</v>
      </c>
      <c r="N5943">
        <v>0</v>
      </c>
      <c r="O5943">
        <v>82</v>
      </c>
    </row>
    <row r="5944" spans="1:15" x14ac:dyDescent="0.25">
      <c r="A5944" t="s">
        <v>1025</v>
      </c>
      <c r="B5944" t="s">
        <v>2893</v>
      </c>
      <c r="C5944" t="s">
        <v>927</v>
      </c>
      <c r="D5944" t="s">
        <v>3052</v>
      </c>
      <c r="E5944" t="s">
        <v>3053</v>
      </c>
      <c r="F5944" t="s">
        <v>626</v>
      </c>
      <c r="G5944" t="s">
        <v>627</v>
      </c>
      <c r="H5944" t="s">
        <v>10190</v>
      </c>
      <c r="I5944">
        <v>1</v>
      </c>
      <c r="J5944">
        <v>0</v>
      </c>
      <c r="K5944">
        <v>0</v>
      </c>
      <c r="L5944">
        <v>0</v>
      </c>
      <c r="M5944">
        <v>0</v>
      </c>
      <c r="N5944">
        <v>0</v>
      </c>
      <c r="O5944">
        <v>1</v>
      </c>
    </row>
    <row r="5945" spans="1:15" x14ac:dyDescent="0.25">
      <c r="A5945" t="s">
        <v>943</v>
      </c>
      <c r="B5945" t="s">
        <v>2694</v>
      </c>
      <c r="C5945" t="s">
        <v>927</v>
      </c>
      <c r="D5945" t="s">
        <v>3052</v>
      </c>
      <c r="E5945" t="s">
        <v>3053</v>
      </c>
      <c r="F5945" t="s">
        <v>626</v>
      </c>
      <c r="G5945" t="s">
        <v>627</v>
      </c>
      <c r="H5945" t="s">
        <v>7040</v>
      </c>
      <c r="I5945">
        <v>1</v>
      </c>
      <c r="J5945">
        <v>0</v>
      </c>
      <c r="K5945">
        <v>0</v>
      </c>
      <c r="L5945">
        <v>0</v>
      </c>
      <c r="M5945">
        <v>0</v>
      </c>
      <c r="N5945">
        <v>0</v>
      </c>
      <c r="O5945">
        <v>1</v>
      </c>
    </row>
    <row r="5946" spans="1:15" x14ac:dyDescent="0.25">
      <c r="A5946" t="s">
        <v>1432</v>
      </c>
      <c r="B5946" t="s">
        <v>2022</v>
      </c>
      <c r="C5946" t="s">
        <v>923</v>
      </c>
      <c r="D5946" t="s">
        <v>3063</v>
      </c>
      <c r="E5946" t="s">
        <v>3053</v>
      </c>
      <c r="F5946" t="s">
        <v>626</v>
      </c>
      <c r="G5946" t="s">
        <v>627</v>
      </c>
      <c r="H5946" t="s">
        <v>10212</v>
      </c>
      <c r="I5946">
        <v>25</v>
      </c>
      <c r="J5946">
        <v>1</v>
      </c>
      <c r="K5946">
        <v>0</v>
      </c>
      <c r="L5946">
        <v>0</v>
      </c>
      <c r="M5946">
        <v>24</v>
      </c>
      <c r="N5946">
        <v>0</v>
      </c>
      <c r="O5946">
        <v>0</v>
      </c>
    </row>
    <row r="5947" spans="1:15" x14ac:dyDescent="0.25">
      <c r="A5947" t="s">
        <v>951</v>
      </c>
      <c r="B5947" t="s">
        <v>2680</v>
      </c>
      <c r="C5947" t="s">
        <v>927</v>
      </c>
      <c r="D5947" t="s">
        <v>3052</v>
      </c>
      <c r="E5947" t="s">
        <v>3053</v>
      </c>
      <c r="F5947" t="s">
        <v>626</v>
      </c>
      <c r="G5947" t="s">
        <v>627</v>
      </c>
      <c r="H5947" t="s">
        <v>7041</v>
      </c>
      <c r="I5947">
        <v>674</v>
      </c>
      <c r="J5947">
        <v>612</v>
      </c>
      <c r="K5947">
        <v>0</v>
      </c>
      <c r="L5947">
        <v>4</v>
      </c>
      <c r="M5947">
        <v>55</v>
      </c>
      <c r="N5947">
        <v>0</v>
      </c>
      <c r="O5947">
        <v>3</v>
      </c>
    </row>
    <row r="5948" spans="1:15" x14ac:dyDescent="0.25">
      <c r="A5948" t="s">
        <v>1048</v>
      </c>
      <c r="B5948" t="s">
        <v>2989</v>
      </c>
      <c r="C5948" t="s">
        <v>927</v>
      </c>
      <c r="D5948" t="s">
        <v>3052</v>
      </c>
      <c r="E5948" t="s">
        <v>3053</v>
      </c>
      <c r="F5948" t="s">
        <v>626</v>
      </c>
      <c r="G5948" t="s">
        <v>627</v>
      </c>
      <c r="H5948" t="s">
        <v>7042</v>
      </c>
      <c r="I5948">
        <v>11</v>
      </c>
      <c r="J5948">
        <v>0</v>
      </c>
      <c r="K5948">
        <v>0</v>
      </c>
      <c r="L5948">
        <v>11</v>
      </c>
      <c r="M5948">
        <v>0</v>
      </c>
      <c r="N5948">
        <v>0</v>
      </c>
      <c r="O5948">
        <v>0</v>
      </c>
    </row>
    <row r="5949" spans="1:15" x14ac:dyDescent="0.25">
      <c r="A5949" t="s">
        <v>1051</v>
      </c>
      <c r="B5949" t="s">
        <v>2995</v>
      </c>
      <c r="C5949" t="s">
        <v>927</v>
      </c>
      <c r="D5949" t="s">
        <v>3052</v>
      </c>
      <c r="E5949" t="s">
        <v>3053</v>
      </c>
      <c r="F5949" t="s">
        <v>626</v>
      </c>
      <c r="G5949" t="s">
        <v>627</v>
      </c>
      <c r="H5949" t="s">
        <v>7043</v>
      </c>
      <c r="I5949">
        <v>11</v>
      </c>
      <c r="J5949">
        <v>0</v>
      </c>
      <c r="K5949">
        <v>0</v>
      </c>
      <c r="L5949">
        <v>11</v>
      </c>
      <c r="M5949">
        <v>0</v>
      </c>
      <c r="N5949">
        <v>0</v>
      </c>
      <c r="O5949">
        <v>0</v>
      </c>
    </row>
    <row r="5950" spans="1:15" x14ac:dyDescent="0.25">
      <c r="A5950" t="s">
        <v>1436</v>
      </c>
      <c r="B5950" t="s">
        <v>2209</v>
      </c>
      <c r="C5950" t="s">
        <v>927</v>
      </c>
      <c r="D5950" t="s">
        <v>3052</v>
      </c>
      <c r="E5950" t="s">
        <v>3053</v>
      </c>
      <c r="F5950" t="s">
        <v>626</v>
      </c>
      <c r="G5950" t="s">
        <v>627</v>
      </c>
      <c r="H5950" t="s">
        <v>7044</v>
      </c>
      <c r="I5950">
        <v>14</v>
      </c>
      <c r="J5950">
        <v>8</v>
      </c>
      <c r="K5950">
        <v>0</v>
      </c>
      <c r="L5950">
        <v>0</v>
      </c>
      <c r="M5950">
        <v>6</v>
      </c>
      <c r="N5950">
        <v>3</v>
      </c>
      <c r="O5950">
        <v>0</v>
      </c>
    </row>
    <row r="5951" spans="1:15" x14ac:dyDescent="0.25">
      <c r="A5951" t="s">
        <v>1437</v>
      </c>
      <c r="B5951" t="s">
        <v>2500</v>
      </c>
      <c r="C5951" t="s">
        <v>923</v>
      </c>
      <c r="D5951" t="s">
        <v>3063</v>
      </c>
      <c r="E5951" t="s">
        <v>3053</v>
      </c>
      <c r="F5951" t="s">
        <v>626</v>
      </c>
      <c r="G5951" t="s">
        <v>627</v>
      </c>
      <c r="H5951" t="s">
        <v>7045</v>
      </c>
      <c r="I5951">
        <v>39</v>
      </c>
      <c r="J5951">
        <v>39</v>
      </c>
      <c r="K5951">
        <v>0</v>
      </c>
      <c r="L5951">
        <v>0</v>
      </c>
      <c r="M5951">
        <v>0</v>
      </c>
      <c r="N5951">
        <v>0</v>
      </c>
      <c r="O5951">
        <v>0</v>
      </c>
    </row>
    <row r="5952" spans="1:15" x14ac:dyDescent="0.25">
      <c r="A5952" t="s">
        <v>953</v>
      </c>
      <c r="B5952" t="s">
        <v>2014</v>
      </c>
      <c r="C5952" t="s">
        <v>927</v>
      </c>
      <c r="D5952" t="s">
        <v>3052</v>
      </c>
      <c r="E5952" t="s">
        <v>3053</v>
      </c>
      <c r="F5952" t="s">
        <v>626</v>
      </c>
      <c r="G5952" t="s">
        <v>627</v>
      </c>
      <c r="H5952" t="s">
        <v>7046</v>
      </c>
      <c r="I5952">
        <v>16</v>
      </c>
      <c r="J5952">
        <v>0</v>
      </c>
      <c r="K5952">
        <v>0</v>
      </c>
      <c r="L5952">
        <v>16</v>
      </c>
      <c r="M5952">
        <v>0</v>
      </c>
      <c r="N5952">
        <v>0</v>
      </c>
      <c r="O5952">
        <v>0</v>
      </c>
    </row>
    <row r="5953" spans="1:15" x14ac:dyDescent="0.25">
      <c r="A5953" t="s">
        <v>1440</v>
      </c>
      <c r="B5953" t="s">
        <v>2723</v>
      </c>
      <c r="C5953" t="s">
        <v>923</v>
      </c>
      <c r="D5953" t="s">
        <v>3063</v>
      </c>
      <c r="E5953" t="s">
        <v>3053</v>
      </c>
      <c r="F5953" t="s">
        <v>626</v>
      </c>
      <c r="G5953" t="s">
        <v>627</v>
      </c>
      <c r="H5953" t="s">
        <v>7047</v>
      </c>
      <c r="I5953">
        <v>115</v>
      </c>
      <c r="J5953">
        <v>90</v>
      </c>
      <c r="K5953">
        <v>0</v>
      </c>
      <c r="L5953">
        <v>25</v>
      </c>
      <c r="M5953">
        <v>0</v>
      </c>
      <c r="N5953">
        <v>0</v>
      </c>
      <c r="O5953">
        <v>0</v>
      </c>
    </row>
    <row r="5954" spans="1:15" x14ac:dyDescent="0.25">
      <c r="A5954" t="s">
        <v>1442</v>
      </c>
      <c r="B5954" t="s">
        <v>2017</v>
      </c>
      <c r="C5954" t="s">
        <v>923</v>
      </c>
      <c r="D5954" t="s">
        <v>3063</v>
      </c>
      <c r="E5954" t="s">
        <v>3053</v>
      </c>
      <c r="F5954" t="s">
        <v>626</v>
      </c>
      <c r="G5954" t="s">
        <v>627</v>
      </c>
      <c r="H5954" t="s">
        <v>7048</v>
      </c>
      <c r="I5954">
        <v>17</v>
      </c>
      <c r="J5954">
        <v>10</v>
      </c>
      <c r="K5954">
        <v>0</v>
      </c>
      <c r="L5954">
        <v>7</v>
      </c>
      <c r="M5954">
        <v>0</v>
      </c>
      <c r="N5954">
        <v>0</v>
      </c>
      <c r="O5954">
        <v>0</v>
      </c>
    </row>
    <row r="5955" spans="1:15" x14ac:dyDescent="0.25">
      <c r="A5955" t="s">
        <v>1071</v>
      </c>
      <c r="B5955" t="s">
        <v>2571</v>
      </c>
      <c r="C5955" t="s">
        <v>923</v>
      </c>
      <c r="D5955" t="s">
        <v>3063</v>
      </c>
      <c r="E5955" t="s">
        <v>3053</v>
      </c>
      <c r="F5955" t="s">
        <v>626</v>
      </c>
      <c r="G5955" t="s">
        <v>627</v>
      </c>
      <c r="H5955" t="s">
        <v>14986</v>
      </c>
      <c r="I5955">
        <v>6</v>
      </c>
      <c r="J5955">
        <v>0</v>
      </c>
      <c r="K5955">
        <v>0</v>
      </c>
      <c r="L5955">
        <v>6</v>
      </c>
      <c r="M5955">
        <v>0</v>
      </c>
      <c r="N5955">
        <v>0</v>
      </c>
      <c r="O5955">
        <v>0</v>
      </c>
    </row>
    <row r="5956" spans="1:15" x14ac:dyDescent="0.25">
      <c r="A5956" t="s">
        <v>1072</v>
      </c>
      <c r="B5956" t="s">
        <v>2907</v>
      </c>
      <c r="C5956" t="s">
        <v>927</v>
      </c>
      <c r="D5956" t="s">
        <v>3052</v>
      </c>
      <c r="E5956" t="s">
        <v>3053</v>
      </c>
      <c r="F5956" t="s">
        <v>626</v>
      </c>
      <c r="G5956" t="s">
        <v>627</v>
      </c>
      <c r="H5956" t="s">
        <v>7049</v>
      </c>
      <c r="I5956">
        <v>639</v>
      </c>
      <c r="J5956">
        <v>321</v>
      </c>
      <c r="K5956">
        <v>0</v>
      </c>
      <c r="L5956">
        <v>59</v>
      </c>
      <c r="M5956">
        <v>87</v>
      </c>
      <c r="N5956">
        <v>0</v>
      </c>
      <c r="O5956">
        <v>172</v>
      </c>
    </row>
    <row r="5957" spans="1:15" x14ac:dyDescent="0.25">
      <c r="A5957" t="s">
        <v>11690</v>
      </c>
      <c r="B5957" t="s">
        <v>2307</v>
      </c>
      <c r="C5957" t="s">
        <v>923</v>
      </c>
      <c r="D5957" t="s">
        <v>3063</v>
      </c>
      <c r="E5957" t="s">
        <v>3053</v>
      </c>
      <c r="F5957" t="s">
        <v>626</v>
      </c>
      <c r="G5957" t="s">
        <v>627</v>
      </c>
      <c r="H5957" t="s">
        <v>12238</v>
      </c>
      <c r="I5957">
        <v>30</v>
      </c>
      <c r="J5957">
        <v>30</v>
      </c>
      <c r="K5957">
        <v>0</v>
      </c>
      <c r="L5957">
        <v>0</v>
      </c>
      <c r="M5957">
        <v>0</v>
      </c>
      <c r="N5957">
        <v>0</v>
      </c>
      <c r="O5957">
        <v>0</v>
      </c>
    </row>
    <row r="5958" spans="1:15" x14ac:dyDescent="0.25">
      <c r="A5958" t="s">
        <v>1180</v>
      </c>
      <c r="B5958" t="s">
        <v>2896</v>
      </c>
      <c r="C5958" t="s">
        <v>927</v>
      </c>
      <c r="D5958" t="s">
        <v>3052</v>
      </c>
      <c r="E5958" t="s">
        <v>3053</v>
      </c>
      <c r="F5958" t="s">
        <v>626</v>
      </c>
      <c r="G5958" t="s">
        <v>627</v>
      </c>
      <c r="H5958" t="s">
        <v>7050</v>
      </c>
      <c r="I5958">
        <v>7</v>
      </c>
      <c r="J5958">
        <v>0</v>
      </c>
      <c r="K5958">
        <v>0</v>
      </c>
      <c r="L5958">
        <v>0</v>
      </c>
      <c r="M5958">
        <v>0</v>
      </c>
      <c r="N5958">
        <v>0</v>
      </c>
      <c r="O5958">
        <v>7</v>
      </c>
    </row>
    <row r="5959" spans="1:15" x14ac:dyDescent="0.25">
      <c r="A5959" t="s">
        <v>1182</v>
      </c>
      <c r="B5959" t="s">
        <v>2583</v>
      </c>
      <c r="C5959" t="s">
        <v>923</v>
      </c>
      <c r="D5959" t="s">
        <v>3063</v>
      </c>
      <c r="E5959" t="s">
        <v>3053</v>
      </c>
      <c r="F5959" t="s">
        <v>626</v>
      </c>
      <c r="G5959" t="s">
        <v>627</v>
      </c>
      <c r="H5959" t="s">
        <v>7051</v>
      </c>
      <c r="I5959">
        <v>9</v>
      </c>
      <c r="J5959">
        <v>0</v>
      </c>
      <c r="K5959">
        <v>0</v>
      </c>
      <c r="L5959">
        <v>9</v>
      </c>
      <c r="M5959">
        <v>0</v>
      </c>
      <c r="N5959">
        <v>0</v>
      </c>
      <c r="O5959">
        <v>0</v>
      </c>
    </row>
    <row r="5960" spans="1:15" x14ac:dyDescent="0.25">
      <c r="A5960" t="s">
        <v>1447</v>
      </c>
      <c r="B5960" t="s">
        <v>3018</v>
      </c>
      <c r="C5960" t="s">
        <v>923</v>
      </c>
      <c r="D5960" t="s">
        <v>3063</v>
      </c>
      <c r="E5960" t="s">
        <v>3053</v>
      </c>
      <c r="F5960" t="s">
        <v>626</v>
      </c>
      <c r="G5960" t="s">
        <v>627</v>
      </c>
      <c r="H5960" t="s">
        <v>7052</v>
      </c>
      <c r="I5960">
        <v>44</v>
      </c>
      <c r="J5960">
        <v>8</v>
      </c>
      <c r="K5960">
        <v>0</v>
      </c>
      <c r="L5960">
        <v>36</v>
      </c>
      <c r="M5960">
        <v>0</v>
      </c>
      <c r="N5960">
        <v>0</v>
      </c>
      <c r="O5960">
        <v>0</v>
      </c>
    </row>
    <row r="5961" spans="1:15" x14ac:dyDescent="0.25">
      <c r="A5961" t="s">
        <v>1451</v>
      </c>
      <c r="B5961" t="s">
        <v>2049</v>
      </c>
      <c r="C5961" t="s">
        <v>923</v>
      </c>
      <c r="D5961" t="s">
        <v>3063</v>
      </c>
      <c r="E5961" t="s">
        <v>3053</v>
      </c>
      <c r="F5961" t="s">
        <v>626</v>
      </c>
      <c r="G5961" t="s">
        <v>627</v>
      </c>
      <c r="H5961" t="s">
        <v>7053</v>
      </c>
      <c r="I5961">
        <v>24</v>
      </c>
      <c r="J5961">
        <v>0</v>
      </c>
      <c r="K5961">
        <v>0</v>
      </c>
      <c r="L5961">
        <v>24</v>
      </c>
      <c r="M5961">
        <v>0</v>
      </c>
      <c r="N5961">
        <v>0</v>
      </c>
      <c r="O5961">
        <v>0</v>
      </c>
    </row>
    <row r="5962" spans="1:15" x14ac:dyDescent="0.25">
      <c r="A5962" t="s">
        <v>926</v>
      </c>
      <c r="B5962" t="s">
        <v>2923</v>
      </c>
      <c r="C5962" t="s">
        <v>927</v>
      </c>
      <c r="D5962" t="s">
        <v>3052</v>
      </c>
      <c r="E5962" t="s">
        <v>3053</v>
      </c>
      <c r="F5962" t="s">
        <v>628</v>
      </c>
      <c r="G5962" t="s">
        <v>629</v>
      </c>
      <c r="H5962" t="s">
        <v>7054</v>
      </c>
      <c r="I5962">
        <v>1</v>
      </c>
      <c r="J5962">
        <v>0</v>
      </c>
      <c r="K5962">
        <v>0</v>
      </c>
      <c r="L5962">
        <v>0</v>
      </c>
      <c r="M5962">
        <v>0</v>
      </c>
      <c r="N5962">
        <v>0</v>
      </c>
      <c r="O5962">
        <v>1</v>
      </c>
    </row>
    <row r="5963" spans="1:15" x14ac:dyDescent="0.25">
      <c r="A5963" t="s">
        <v>9790</v>
      </c>
      <c r="B5963" t="s">
        <v>1977</v>
      </c>
      <c r="C5963" t="s">
        <v>923</v>
      </c>
      <c r="D5963" t="s">
        <v>3063</v>
      </c>
      <c r="E5963" t="s">
        <v>3053</v>
      </c>
      <c r="F5963" t="s">
        <v>628</v>
      </c>
      <c r="G5963" t="s">
        <v>629</v>
      </c>
      <c r="H5963" t="s">
        <v>12239</v>
      </c>
      <c r="I5963">
        <v>4</v>
      </c>
      <c r="J5963">
        <v>0</v>
      </c>
      <c r="K5963">
        <v>0</v>
      </c>
      <c r="L5963">
        <v>4</v>
      </c>
      <c r="M5963">
        <v>0</v>
      </c>
      <c r="N5963">
        <v>0</v>
      </c>
      <c r="O5963">
        <v>0</v>
      </c>
    </row>
    <row r="5964" spans="1:15" x14ac:dyDescent="0.25">
      <c r="A5964" t="s">
        <v>1715</v>
      </c>
      <c r="B5964" t="s">
        <v>2136</v>
      </c>
      <c r="C5964" t="s">
        <v>927</v>
      </c>
      <c r="D5964" t="s">
        <v>3052</v>
      </c>
      <c r="E5964" t="s">
        <v>3053</v>
      </c>
      <c r="F5964" t="s">
        <v>628</v>
      </c>
      <c r="G5964" t="s">
        <v>629</v>
      </c>
      <c r="H5964" t="s">
        <v>7055</v>
      </c>
      <c r="I5964">
        <v>57</v>
      </c>
      <c r="J5964">
        <v>39</v>
      </c>
      <c r="K5964">
        <v>0</v>
      </c>
      <c r="L5964">
        <v>0</v>
      </c>
      <c r="M5964">
        <v>0</v>
      </c>
      <c r="N5964">
        <v>0</v>
      </c>
      <c r="O5964">
        <v>18</v>
      </c>
    </row>
    <row r="5965" spans="1:15" x14ac:dyDescent="0.25">
      <c r="A5965" t="s">
        <v>1603</v>
      </c>
      <c r="B5965" t="s">
        <v>2053</v>
      </c>
      <c r="C5965" t="s">
        <v>923</v>
      </c>
      <c r="D5965" t="s">
        <v>3063</v>
      </c>
      <c r="E5965" t="s">
        <v>3053</v>
      </c>
      <c r="F5965" t="s">
        <v>628</v>
      </c>
      <c r="G5965" t="s">
        <v>629</v>
      </c>
      <c r="H5965" t="s">
        <v>7056</v>
      </c>
      <c r="I5965">
        <v>1</v>
      </c>
      <c r="J5965">
        <v>0</v>
      </c>
      <c r="K5965">
        <v>0</v>
      </c>
      <c r="L5965">
        <v>1</v>
      </c>
      <c r="M5965">
        <v>0</v>
      </c>
      <c r="N5965">
        <v>0</v>
      </c>
      <c r="O5965">
        <v>0</v>
      </c>
    </row>
    <row r="5966" spans="1:15" x14ac:dyDescent="0.25">
      <c r="A5966" t="s">
        <v>1013</v>
      </c>
      <c r="B5966" t="s">
        <v>1959</v>
      </c>
      <c r="C5966" t="s">
        <v>927</v>
      </c>
      <c r="D5966" t="s">
        <v>3052</v>
      </c>
      <c r="E5966" t="s">
        <v>3053</v>
      </c>
      <c r="F5966" t="s">
        <v>628</v>
      </c>
      <c r="G5966" t="s">
        <v>629</v>
      </c>
      <c r="H5966" t="s">
        <v>12240</v>
      </c>
      <c r="I5966">
        <v>16</v>
      </c>
      <c r="J5966">
        <v>0</v>
      </c>
      <c r="K5966">
        <v>0</v>
      </c>
      <c r="L5966">
        <v>16</v>
      </c>
      <c r="M5966">
        <v>0</v>
      </c>
      <c r="N5966">
        <v>0</v>
      </c>
      <c r="O5966">
        <v>0</v>
      </c>
    </row>
    <row r="5967" spans="1:15" x14ac:dyDescent="0.25">
      <c r="A5967" t="s">
        <v>1126</v>
      </c>
      <c r="B5967" t="s">
        <v>2130</v>
      </c>
      <c r="C5967" t="s">
        <v>927</v>
      </c>
      <c r="D5967" t="s">
        <v>3052</v>
      </c>
      <c r="E5967" t="s">
        <v>3053</v>
      </c>
      <c r="F5967" t="s">
        <v>628</v>
      </c>
      <c r="G5967" t="s">
        <v>629</v>
      </c>
      <c r="H5967" t="s">
        <v>7057</v>
      </c>
      <c r="I5967">
        <v>11</v>
      </c>
      <c r="J5967">
        <v>8</v>
      </c>
      <c r="K5967">
        <v>0</v>
      </c>
      <c r="L5967">
        <v>0</v>
      </c>
      <c r="M5967">
        <v>0</v>
      </c>
      <c r="N5967">
        <v>0</v>
      </c>
      <c r="O5967">
        <v>3</v>
      </c>
    </row>
    <row r="5968" spans="1:15" x14ac:dyDescent="0.25">
      <c r="A5968" t="s">
        <v>10681</v>
      </c>
      <c r="B5968" t="s">
        <v>10680</v>
      </c>
      <c r="C5968" t="s">
        <v>927</v>
      </c>
      <c r="D5968" t="s">
        <v>3052</v>
      </c>
      <c r="E5968" t="s">
        <v>3053</v>
      </c>
      <c r="F5968" t="s">
        <v>628</v>
      </c>
      <c r="G5968" t="s">
        <v>629</v>
      </c>
      <c r="H5968" t="s">
        <v>14987</v>
      </c>
      <c r="I5968">
        <v>1</v>
      </c>
      <c r="J5968">
        <v>0</v>
      </c>
      <c r="K5968">
        <v>0</v>
      </c>
      <c r="L5968">
        <v>0</v>
      </c>
      <c r="M5968">
        <v>0</v>
      </c>
      <c r="N5968">
        <v>0</v>
      </c>
      <c r="O5968">
        <v>1</v>
      </c>
    </row>
    <row r="5969" spans="1:15" x14ac:dyDescent="0.25">
      <c r="A5969" t="s">
        <v>1030</v>
      </c>
      <c r="B5969" t="s">
        <v>2880</v>
      </c>
      <c r="C5969" t="s">
        <v>927</v>
      </c>
      <c r="D5969" t="s">
        <v>3052</v>
      </c>
      <c r="E5969" t="s">
        <v>3053</v>
      </c>
      <c r="F5969" t="s">
        <v>628</v>
      </c>
      <c r="G5969" t="s">
        <v>629</v>
      </c>
      <c r="H5969" t="s">
        <v>7058</v>
      </c>
      <c r="I5969">
        <v>407</v>
      </c>
      <c r="J5969">
        <v>353</v>
      </c>
      <c r="K5969">
        <v>0</v>
      </c>
      <c r="L5969">
        <v>0</v>
      </c>
      <c r="M5969">
        <v>6</v>
      </c>
      <c r="N5969">
        <v>0</v>
      </c>
      <c r="O5969">
        <v>48</v>
      </c>
    </row>
    <row r="5970" spans="1:15" x14ac:dyDescent="0.25">
      <c r="A5970" t="s">
        <v>1041</v>
      </c>
      <c r="B5970" t="s">
        <v>2826</v>
      </c>
      <c r="C5970" t="s">
        <v>927</v>
      </c>
      <c r="D5970" t="s">
        <v>3052</v>
      </c>
      <c r="E5970" t="s">
        <v>3053</v>
      </c>
      <c r="F5970" t="s">
        <v>628</v>
      </c>
      <c r="G5970" t="s">
        <v>629</v>
      </c>
      <c r="H5970" t="s">
        <v>7059</v>
      </c>
      <c r="I5970">
        <v>22</v>
      </c>
      <c r="J5970">
        <v>0</v>
      </c>
      <c r="K5970">
        <v>0</v>
      </c>
      <c r="L5970">
        <v>0</v>
      </c>
      <c r="M5970">
        <v>0</v>
      </c>
      <c r="N5970">
        <v>0</v>
      </c>
      <c r="O5970">
        <v>22</v>
      </c>
    </row>
    <row r="5971" spans="1:15" x14ac:dyDescent="0.25">
      <c r="A5971" t="s">
        <v>9787</v>
      </c>
      <c r="B5971" t="s">
        <v>2822</v>
      </c>
      <c r="C5971" t="s">
        <v>927</v>
      </c>
      <c r="D5971" t="s">
        <v>3052</v>
      </c>
      <c r="E5971" t="s">
        <v>3053</v>
      </c>
      <c r="F5971" t="s">
        <v>628</v>
      </c>
      <c r="G5971" t="s">
        <v>629</v>
      </c>
      <c r="H5971" t="s">
        <v>10269</v>
      </c>
      <c r="I5971">
        <v>80</v>
      </c>
      <c r="J5971">
        <v>80</v>
      </c>
      <c r="K5971">
        <v>0</v>
      </c>
      <c r="L5971">
        <v>0</v>
      </c>
      <c r="M5971">
        <v>0</v>
      </c>
      <c r="N5971">
        <v>0</v>
      </c>
      <c r="O5971">
        <v>0</v>
      </c>
    </row>
    <row r="5972" spans="1:15" x14ac:dyDescent="0.25">
      <c r="A5972" t="s">
        <v>1043</v>
      </c>
      <c r="B5972" t="s">
        <v>2090</v>
      </c>
      <c r="C5972" t="s">
        <v>927</v>
      </c>
      <c r="D5972" t="s">
        <v>3052</v>
      </c>
      <c r="E5972" t="s">
        <v>3053</v>
      </c>
      <c r="F5972" t="s">
        <v>628</v>
      </c>
      <c r="G5972" t="s">
        <v>629</v>
      </c>
      <c r="H5972" t="s">
        <v>7060</v>
      </c>
      <c r="I5972">
        <v>55</v>
      </c>
      <c r="J5972">
        <v>55</v>
      </c>
      <c r="K5972">
        <v>0</v>
      </c>
      <c r="L5972">
        <v>0</v>
      </c>
      <c r="M5972">
        <v>0</v>
      </c>
      <c r="N5972">
        <v>0</v>
      </c>
      <c r="O5972">
        <v>0</v>
      </c>
    </row>
    <row r="5973" spans="1:15" x14ac:dyDescent="0.25">
      <c r="A5973" t="s">
        <v>1048</v>
      </c>
      <c r="B5973" t="s">
        <v>2989</v>
      </c>
      <c r="C5973" t="s">
        <v>927</v>
      </c>
      <c r="D5973" t="s">
        <v>3052</v>
      </c>
      <c r="E5973" t="s">
        <v>3053</v>
      </c>
      <c r="F5973" t="s">
        <v>628</v>
      </c>
      <c r="G5973" t="s">
        <v>629</v>
      </c>
      <c r="H5973" t="s">
        <v>12241</v>
      </c>
      <c r="I5973">
        <v>22</v>
      </c>
      <c r="J5973">
        <v>22</v>
      </c>
      <c r="K5973">
        <v>0</v>
      </c>
      <c r="L5973">
        <v>0</v>
      </c>
      <c r="M5973">
        <v>0</v>
      </c>
      <c r="N5973">
        <v>0</v>
      </c>
      <c r="O5973">
        <v>0</v>
      </c>
    </row>
    <row r="5974" spans="1:15" x14ac:dyDescent="0.25">
      <c r="A5974" t="s">
        <v>1049</v>
      </c>
      <c r="B5974" t="s">
        <v>2138</v>
      </c>
      <c r="C5974" t="s">
        <v>927</v>
      </c>
      <c r="D5974" t="s">
        <v>3052</v>
      </c>
      <c r="E5974" t="s">
        <v>3053</v>
      </c>
      <c r="F5974" t="s">
        <v>628</v>
      </c>
      <c r="G5974" t="s">
        <v>629</v>
      </c>
      <c r="H5974" t="s">
        <v>7061</v>
      </c>
      <c r="I5974">
        <v>749</v>
      </c>
      <c r="J5974">
        <v>570</v>
      </c>
      <c r="K5974">
        <v>0</v>
      </c>
      <c r="L5974">
        <v>0</v>
      </c>
      <c r="M5974">
        <v>0</v>
      </c>
      <c r="N5974">
        <v>0</v>
      </c>
      <c r="O5974">
        <v>179</v>
      </c>
    </row>
    <row r="5975" spans="1:15" x14ac:dyDescent="0.25">
      <c r="A5975" t="s">
        <v>9788</v>
      </c>
      <c r="B5975" t="s">
        <v>9871</v>
      </c>
      <c r="C5975" t="s">
        <v>927</v>
      </c>
      <c r="D5975" t="s">
        <v>3052</v>
      </c>
      <c r="E5975" t="s">
        <v>3053</v>
      </c>
      <c r="F5975" t="s">
        <v>628</v>
      </c>
      <c r="G5975" t="s">
        <v>629</v>
      </c>
      <c r="H5975" t="s">
        <v>11229</v>
      </c>
      <c r="I5975">
        <v>24</v>
      </c>
      <c r="J5975">
        <v>24</v>
      </c>
      <c r="K5975">
        <v>0</v>
      </c>
      <c r="L5975">
        <v>0</v>
      </c>
      <c r="M5975">
        <v>0</v>
      </c>
      <c r="N5975">
        <v>0</v>
      </c>
      <c r="O5975">
        <v>0</v>
      </c>
    </row>
    <row r="5976" spans="1:15" x14ac:dyDescent="0.25">
      <c r="A5976" t="s">
        <v>11663</v>
      </c>
      <c r="B5976" t="s">
        <v>11768</v>
      </c>
      <c r="C5976" t="s">
        <v>927</v>
      </c>
      <c r="D5976" t="s">
        <v>3052</v>
      </c>
      <c r="E5976" t="s">
        <v>3053</v>
      </c>
      <c r="F5976" t="s">
        <v>628</v>
      </c>
      <c r="G5976" t="s">
        <v>629</v>
      </c>
      <c r="H5976" t="s">
        <v>12242</v>
      </c>
      <c r="I5976">
        <v>58</v>
      </c>
      <c r="J5976">
        <v>17</v>
      </c>
      <c r="K5976">
        <v>0</v>
      </c>
      <c r="L5976">
        <v>0</v>
      </c>
      <c r="M5976">
        <v>41</v>
      </c>
      <c r="N5976">
        <v>0</v>
      </c>
      <c r="O5976">
        <v>0</v>
      </c>
    </row>
    <row r="5977" spans="1:15" x14ac:dyDescent="0.25">
      <c r="A5977" t="s">
        <v>14374</v>
      </c>
      <c r="B5977" t="s">
        <v>1943</v>
      </c>
      <c r="C5977" t="s">
        <v>927</v>
      </c>
      <c r="D5977" t="s">
        <v>3052</v>
      </c>
      <c r="E5977" t="s">
        <v>3053</v>
      </c>
      <c r="F5977" t="s">
        <v>628</v>
      </c>
      <c r="G5977" t="s">
        <v>629</v>
      </c>
      <c r="H5977" t="s">
        <v>14988</v>
      </c>
      <c r="I5977">
        <v>14</v>
      </c>
      <c r="J5977">
        <v>0</v>
      </c>
      <c r="K5977">
        <v>0</v>
      </c>
      <c r="L5977">
        <v>0</v>
      </c>
      <c r="M5977">
        <v>0</v>
      </c>
      <c r="N5977">
        <v>0</v>
      </c>
      <c r="O5977">
        <v>14</v>
      </c>
    </row>
    <row r="5978" spans="1:15" x14ac:dyDescent="0.25">
      <c r="A5978" t="s">
        <v>962</v>
      </c>
      <c r="B5978" t="s">
        <v>2752</v>
      </c>
      <c r="C5978" t="s">
        <v>927</v>
      </c>
      <c r="D5978" t="s">
        <v>3052</v>
      </c>
      <c r="E5978" t="s">
        <v>3053</v>
      </c>
      <c r="F5978" t="s">
        <v>628</v>
      </c>
      <c r="G5978" t="s">
        <v>629</v>
      </c>
      <c r="H5978" t="s">
        <v>10447</v>
      </c>
      <c r="I5978">
        <v>80</v>
      </c>
      <c r="J5978">
        <v>54</v>
      </c>
      <c r="K5978">
        <v>0</v>
      </c>
      <c r="L5978">
        <v>6</v>
      </c>
      <c r="M5978">
        <v>0</v>
      </c>
      <c r="N5978">
        <v>0</v>
      </c>
      <c r="O5978">
        <v>20</v>
      </c>
    </row>
    <row r="5979" spans="1:15" x14ac:dyDescent="0.25">
      <c r="A5979" t="s">
        <v>1076</v>
      </c>
      <c r="B5979" t="s">
        <v>2852</v>
      </c>
      <c r="C5979" t="s">
        <v>927</v>
      </c>
      <c r="D5979" t="s">
        <v>3052</v>
      </c>
      <c r="E5979" t="s">
        <v>3053</v>
      </c>
      <c r="F5979" t="s">
        <v>628</v>
      </c>
      <c r="G5979" t="s">
        <v>629</v>
      </c>
      <c r="H5979" t="s">
        <v>7062</v>
      </c>
      <c r="I5979">
        <v>11</v>
      </c>
      <c r="J5979">
        <v>8</v>
      </c>
      <c r="K5979">
        <v>0</v>
      </c>
      <c r="L5979">
        <v>0</v>
      </c>
      <c r="M5979">
        <v>0</v>
      </c>
      <c r="N5979">
        <v>0</v>
      </c>
      <c r="O5979">
        <v>3</v>
      </c>
    </row>
    <row r="5980" spans="1:15" x14ac:dyDescent="0.25">
      <c r="A5980" t="s">
        <v>1866</v>
      </c>
      <c r="B5980" t="s">
        <v>2813</v>
      </c>
      <c r="C5980" t="s">
        <v>923</v>
      </c>
      <c r="D5980" t="s">
        <v>3063</v>
      </c>
      <c r="E5980" t="s">
        <v>3053</v>
      </c>
      <c r="F5980" t="s">
        <v>628</v>
      </c>
      <c r="G5980" t="s">
        <v>629</v>
      </c>
      <c r="H5980" t="s">
        <v>7063</v>
      </c>
      <c r="I5980">
        <v>2</v>
      </c>
      <c r="J5980">
        <v>2</v>
      </c>
      <c r="K5980">
        <v>0</v>
      </c>
      <c r="L5980">
        <v>0</v>
      </c>
      <c r="M5980">
        <v>0</v>
      </c>
      <c r="N5980">
        <v>0</v>
      </c>
      <c r="O5980">
        <v>0</v>
      </c>
    </row>
    <row r="5981" spans="1:15" x14ac:dyDescent="0.25">
      <c r="A5981" t="s">
        <v>1870</v>
      </c>
      <c r="B5981" t="s">
        <v>2224</v>
      </c>
      <c r="C5981" t="s">
        <v>923</v>
      </c>
      <c r="D5981" t="s">
        <v>3063</v>
      </c>
      <c r="E5981" t="s">
        <v>3053</v>
      </c>
      <c r="F5981" t="s">
        <v>628</v>
      </c>
      <c r="G5981" t="s">
        <v>629</v>
      </c>
      <c r="H5981" t="s">
        <v>12243</v>
      </c>
      <c r="I5981">
        <v>11</v>
      </c>
      <c r="J5981">
        <v>0</v>
      </c>
      <c r="K5981">
        <v>0</v>
      </c>
      <c r="L5981">
        <v>0</v>
      </c>
      <c r="M5981">
        <v>11</v>
      </c>
      <c r="N5981">
        <v>0</v>
      </c>
      <c r="O5981">
        <v>0</v>
      </c>
    </row>
    <row r="5982" spans="1:15" x14ac:dyDescent="0.25">
      <c r="A5982" t="s">
        <v>974</v>
      </c>
      <c r="B5982" t="s">
        <v>2949</v>
      </c>
      <c r="C5982" t="s">
        <v>923</v>
      </c>
      <c r="D5982" t="s">
        <v>3063</v>
      </c>
      <c r="E5982" t="s">
        <v>3053</v>
      </c>
      <c r="F5982" t="s">
        <v>630</v>
      </c>
      <c r="G5982" t="s">
        <v>631</v>
      </c>
      <c r="H5982" t="s">
        <v>7064</v>
      </c>
      <c r="I5982">
        <v>2</v>
      </c>
      <c r="J5982">
        <v>0</v>
      </c>
      <c r="K5982">
        <v>2</v>
      </c>
      <c r="L5982">
        <v>0</v>
      </c>
      <c r="M5982">
        <v>0</v>
      </c>
      <c r="N5982">
        <v>0</v>
      </c>
      <c r="O5982">
        <v>0</v>
      </c>
    </row>
    <row r="5983" spans="1:15" x14ac:dyDescent="0.25">
      <c r="A5983" t="s">
        <v>926</v>
      </c>
      <c r="B5983" t="s">
        <v>2923</v>
      </c>
      <c r="C5983" t="s">
        <v>927</v>
      </c>
      <c r="D5983" t="s">
        <v>3052</v>
      </c>
      <c r="E5983" t="s">
        <v>3053</v>
      </c>
      <c r="F5983" t="s">
        <v>630</v>
      </c>
      <c r="G5983" t="s">
        <v>631</v>
      </c>
      <c r="H5983" t="s">
        <v>7065</v>
      </c>
      <c r="I5983">
        <v>6</v>
      </c>
      <c r="J5983">
        <v>0</v>
      </c>
      <c r="K5983">
        <v>0</v>
      </c>
      <c r="L5983">
        <v>1</v>
      </c>
      <c r="M5983">
        <v>0</v>
      </c>
      <c r="N5983">
        <v>0</v>
      </c>
      <c r="O5983">
        <v>5</v>
      </c>
    </row>
    <row r="5984" spans="1:15" x14ac:dyDescent="0.25">
      <c r="A5984" t="s">
        <v>997</v>
      </c>
      <c r="B5984" t="s">
        <v>2033</v>
      </c>
      <c r="C5984" t="s">
        <v>927</v>
      </c>
      <c r="D5984" t="s">
        <v>3052</v>
      </c>
      <c r="E5984" t="s">
        <v>3053</v>
      </c>
      <c r="F5984" t="s">
        <v>630</v>
      </c>
      <c r="G5984" t="s">
        <v>631</v>
      </c>
      <c r="H5984" t="s">
        <v>7066</v>
      </c>
      <c r="I5984">
        <v>1682</v>
      </c>
      <c r="J5984">
        <v>1267</v>
      </c>
      <c r="K5984">
        <v>0</v>
      </c>
      <c r="L5984">
        <v>94</v>
      </c>
      <c r="M5984">
        <v>71</v>
      </c>
      <c r="N5984">
        <v>8</v>
      </c>
      <c r="O5984">
        <v>250</v>
      </c>
    </row>
    <row r="5985" spans="1:15" x14ac:dyDescent="0.25">
      <c r="A5985" t="s">
        <v>998</v>
      </c>
      <c r="B5985" t="s">
        <v>2820</v>
      </c>
      <c r="C5985" t="s">
        <v>927</v>
      </c>
      <c r="D5985" t="s">
        <v>3052</v>
      </c>
      <c r="E5985" t="s">
        <v>3053</v>
      </c>
      <c r="F5985" t="s">
        <v>630</v>
      </c>
      <c r="G5985" t="s">
        <v>631</v>
      </c>
      <c r="H5985" t="s">
        <v>7067</v>
      </c>
      <c r="I5985">
        <v>5</v>
      </c>
      <c r="J5985">
        <v>5</v>
      </c>
      <c r="K5985">
        <v>0</v>
      </c>
      <c r="L5985">
        <v>0</v>
      </c>
      <c r="M5985">
        <v>0</v>
      </c>
      <c r="N5985">
        <v>0</v>
      </c>
      <c r="O5985">
        <v>0</v>
      </c>
    </row>
    <row r="5986" spans="1:15" x14ac:dyDescent="0.25">
      <c r="A5986" t="s">
        <v>999</v>
      </c>
      <c r="B5986" t="s">
        <v>2311</v>
      </c>
      <c r="C5986" t="s">
        <v>923</v>
      </c>
      <c r="D5986" t="s">
        <v>3063</v>
      </c>
      <c r="E5986" t="s">
        <v>3053</v>
      </c>
      <c r="F5986" t="s">
        <v>630</v>
      </c>
      <c r="G5986" t="s">
        <v>631</v>
      </c>
      <c r="H5986" t="s">
        <v>7068</v>
      </c>
      <c r="I5986">
        <v>10</v>
      </c>
      <c r="J5986">
        <v>0</v>
      </c>
      <c r="K5986">
        <v>0</v>
      </c>
      <c r="L5986">
        <v>0</v>
      </c>
      <c r="M5986">
        <v>10</v>
      </c>
      <c r="N5986">
        <v>0</v>
      </c>
      <c r="O5986">
        <v>0</v>
      </c>
    </row>
    <row r="5987" spans="1:15" x14ac:dyDescent="0.25">
      <c r="A5987" t="s">
        <v>1003</v>
      </c>
      <c r="B5987" t="s">
        <v>2862</v>
      </c>
      <c r="C5987" t="s">
        <v>927</v>
      </c>
      <c r="D5987" t="s">
        <v>3052</v>
      </c>
      <c r="E5987" t="s">
        <v>3053</v>
      </c>
      <c r="F5987" t="s">
        <v>630</v>
      </c>
      <c r="G5987" t="s">
        <v>631</v>
      </c>
      <c r="H5987" t="s">
        <v>7069</v>
      </c>
      <c r="I5987">
        <v>71</v>
      </c>
      <c r="J5987">
        <v>46</v>
      </c>
      <c r="K5987">
        <v>0</v>
      </c>
      <c r="L5987">
        <v>0</v>
      </c>
      <c r="M5987">
        <v>0</v>
      </c>
      <c r="N5987">
        <v>0</v>
      </c>
      <c r="O5987">
        <v>25</v>
      </c>
    </row>
    <row r="5988" spans="1:15" x14ac:dyDescent="0.25">
      <c r="A5988" t="s">
        <v>1004</v>
      </c>
      <c r="B5988" t="s">
        <v>2887</v>
      </c>
      <c r="C5988" t="s">
        <v>927</v>
      </c>
      <c r="D5988" t="s">
        <v>3052</v>
      </c>
      <c r="E5988" t="s">
        <v>3053</v>
      </c>
      <c r="F5988" t="s">
        <v>630</v>
      </c>
      <c r="G5988" t="s">
        <v>631</v>
      </c>
      <c r="H5988" t="s">
        <v>11230</v>
      </c>
      <c r="I5988">
        <v>4</v>
      </c>
      <c r="J5988">
        <v>3</v>
      </c>
      <c r="K5988">
        <v>0</v>
      </c>
      <c r="L5988">
        <v>0</v>
      </c>
      <c r="M5988">
        <v>0</v>
      </c>
      <c r="N5988">
        <v>0</v>
      </c>
      <c r="O5988">
        <v>1</v>
      </c>
    </row>
    <row r="5989" spans="1:15" x14ac:dyDescent="0.25">
      <c r="A5989" t="s">
        <v>10638</v>
      </c>
      <c r="B5989" t="s">
        <v>2057</v>
      </c>
      <c r="C5989" t="s">
        <v>927</v>
      </c>
      <c r="D5989" t="s">
        <v>3052</v>
      </c>
      <c r="E5989" t="s">
        <v>3053</v>
      </c>
      <c r="F5989" t="s">
        <v>630</v>
      </c>
      <c r="G5989" t="s">
        <v>631</v>
      </c>
      <c r="H5989" t="s">
        <v>11231</v>
      </c>
      <c r="I5989">
        <v>1</v>
      </c>
      <c r="J5989">
        <v>0</v>
      </c>
      <c r="K5989">
        <v>0</v>
      </c>
      <c r="L5989">
        <v>1</v>
      </c>
      <c r="M5989">
        <v>0</v>
      </c>
      <c r="N5989">
        <v>0</v>
      </c>
      <c r="O5989">
        <v>0</v>
      </c>
    </row>
    <row r="5990" spans="1:15" x14ac:dyDescent="0.25">
      <c r="A5990" t="s">
        <v>937</v>
      </c>
      <c r="B5990" t="s">
        <v>1962</v>
      </c>
      <c r="C5990" t="s">
        <v>927</v>
      </c>
      <c r="D5990" t="s">
        <v>3052</v>
      </c>
      <c r="E5990" t="s">
        <v>3053</v>
      </c>
      <c r="F5990" t="s">
        <v>630</v>
      </c>
      <c r="G5990" t="s">
        <v>631</v>
      </c>
      <c r="H5990" t="s">
        <v>7070</v>
      </c>
      <c r="I5990">
        <v>20</v>
      </c>
      <c r="J5990">
        <v>0</v>
      </c>
      <c r="K5990">
        <v>0</v>
      </c>
      <c r="L5990">
        <v>0</v>
      </c>
      <c r="M5990">
        <v>0</v>
      </c>
      <c r="N5990">
        <v>0</v>
      </c>
      <c r="O5990">
        <v>20</v>
      </c>
    </row>
    <row r="5991" spans="1:15" x14ac:dyDescent="0.25">
      <c r="A5991" t="s">
        <v>940</v>
      </c>
      <c r="B5991" t="s">
        <v>2647</v>
      </c>
      <c r="C5991" t="s">
        <v>927</v>
      </c>
      <c r="D5991" t="s">
        <v>3052</v>
      </c>
      <c r="E5991" t="s">
        <v>3053</v>
      </c>
      <c r="F5991" t="s">
        <v>630</v>
      </c>
      <c r="G5991" t="s">
        <v>631</v>
      </c>
      <c r="H5991" t="s">
        <v>7071</v>
      </c>
      <c r="I5991">
        <v>44</v>
      </c>
      <c r="J5991">
        <v>0</v>
      </c>
      <c r="K5991">
        <v>0</v>
      </c>
      <c r="L5991">
        <v>0</v>
      </c>
      <c r="M5991">
        <v>44</v>
      </c>
      <c r="N5991">
        <v>0</v>
      </c>
      <c r="O5991">
        <v>0</v>
      </c>
    </row>
    <row r="5992" spans="1:15" x14ac:dyDescent="0.25">
      <c r="A5992" t="s">
        <v>1126</v>
      </c>
      <c r="B5992" t="s">
        <v>2130</v>
      </c>
      <c r="C5992" t="s">
        <v>927</v>
      </c>
      <c r="D5992" t="s">
        <v>3052</v>
      </c>
      <c r="E5992" t="s">
        <v>3053</v>
      </c>
      <c r="F5992" t="s">
        <v>630</v>
      </c>
      <c r="G5992" t="s">
        <v>631</v>
      </c>
      <c r="H5992" t="s">
        <v>11232</v>
      </c>
      <c r="I5992">
        <v>14</v>
      </c>
      <c r="J5992">
        <v>5</v>
      </c>
      <c r="K5992">
        <v>0</v>
      </c>
      <c r="L5992">
        <v>0</v>
      </c>
      <c r="M5992">
        <v>0</v>
      </c>
      <c r="N5992">
        <v>0</v>
      </c>
      <c r="O5992">
        <v>9</v>
      </c>
    </row>
    <row r="5993" spans="1:15" x14ac:dyDescent="0.25">
      <c r="A5993" t="s">
        <v>1026</v>
      </c>
      <c r="B5993" t="s">
        <v>2848</v>
      </c>
      <c r="C5993" t="s">
        <v>927</v>
      </c>
      <c r="D5993" t="s">
        <v>3052</v>
      </c>
      <c r="E5993" t="s">
        <v>3053</v>
      </c>
      <c r="F5993" t="s">
        <v>630</v>
      </c>
      <c r="G5993" t="s">
        <v>631</v>
      </c>
      <c r="H5993" t="s">
        <v>7072</v>
      </c>
      <c r="I5993">
        <v>8</v>
      </c>
      <c r="J5993">
        <v>6</v>
      </c>
      <c r="K5993">
        <v>0</v>
      </c>
      <c r="L5993">
        <v>0</v>
      </c>
      <c r="M5993">
        <v>0</v>
      </c>
      <c r="N5993">
        <v>0</v>
      </c>
      <c r="O5993">
        <v>2</v>
      </c>
    </row>
    <row r="5994" spans="1:15" x14ac:dyDescent="0.25">
      <c r="A5994" t="s">
        <v>10681</v>
      </c>
      <c r="B5994" t="s">
        <v>10680</v>
      </c>
      <c r="C5994" t="s">
        <v>927</v>
      </c>
      <c r="D5994" t="s">
        <v>3052</v>
      </c>
      <c r="E5994" t="s">
        <v>3053</v>
      </c>
      <c r="F5994" t="s">
        <v>630</v>
      </c>
      <c r="G5994" t="s">
        <v>631</v>
      </c>
      <c r="H5994" t="s">
        <v>14989</v>
      </c>
      <c r="I5994">
        <v>20</v>
      </c>
      <c r="J5994">
        <v>0</v>
      </c>
      <c r="K5994">
        <v>0</v>
      </c>
      <c r="L5994">
        <v>0</v>
      </c>
      <c r="M5994">
        <v>0</v>
      </c>
      <c r="N5994">
        <v>0</v>
      </c>
      <c r="O5994">
        <v>20</v>
      </c>
    </row>
    <row r="5995" spans="1:15" x14ac:dyDescent="0.25">
      <c r="A5995" t="s">
        <v>1030</v>
      </c>
      <c r="B5995" t="s">
        <v>2880</v>
      </c>
      <c r="C5995" t="s">
        <v>927</v>
      </c>
      <c r="D5995" t="s">
        <v>3052</v>
      </c>
      <c r="E5995" t="s">
        <v>3053</v>
      </c>
      <c r="F5995" t="s">
        <v>630</v>
      </c>
      <c r="G5995" t="s">
        <v>631</v>
      </c>
      <c r="H5995" t="s">
        <v>7073</v>
      </c>
      <c r="I5995">
        <v>264</v>
      </c>
      <c r="J5995">
        <v>179</v>
      </c>
      <c r="K5995">
        <v>0</v>
      </c>
      <c r="L5995">
        <v>0</v>
      </c>
      <c r="M5995">
        <v>0</v>
      </c>
      <c r="N5995">
        <v>0</v>
      </c>
      <c r="O5995">
        <v>85</v>
      </c>
    </row>
    <row r="5996" spans="1:15" x14ac:dyDescent="0.25">
      <c r="A5996" t="s">
        <v>1038</v>
      </c>
      <c r="B5996" t="s">
        <v>2068</v>
      </c>
      <c r="C5996" t="s">
        <v>927</v>
      </c>
      <c r="D5996" t="s">
        <v>3052</v>
      </c>
      <c r="E5996" t="s">
        <v>3053</v>
      </c>
      <c r="F5996" t="s">
        <v>630</v>
      </c>
      <c r="G5996" t="s">
        <v>631</v>
      </c>
      <c r="H5996" t="s">
        <v>7074</v>
      </c>
      <c r="I5996">
        <v>160</v>
      </c>
      <c r="J5996">
        <v>112</v>
      </c>
      <c r="K5996">
        <v>0</v>
      </c>
      <c r="L5996">
        <v>2</v>
      </c>
      <c r="M5996">
        <v>0</v>
      </c>
      <c r="N5996">
        <v>0</v>
      </c>
      <c r="O5996">
        <v>46</v>
      </c>
    </row>
    <row r="5997" spans="1:15" x14ac:dyDescent="0.25">
      <c r="A5997" t="s">
        <v>1043</v>
      </c>
      <c r="B5997" t="s">
        <v>2090</v>
      </c>
      <c r="C5997" t="s">
        <v>927</v>
      </c>
      <c r="D5997" t="s">
        <v>3052</v>
      </c>
      <c r="E5997" t="s">
        <v>3053</v>
      </c>
      <c r="F5997" t="s">
        <v>630</v>
      </c>
      <c r="G5997" t="s">
        <v>631</v>
      </c>
      <c r="H5997" t="s">
        <v>7075</v>
      </c>
      <c r="I5997">
        <v>31</v>
      </c>
      <c r="J5997">
        <v>31</v>
      </c>
      <c r="K5997">
        <v>0</v>
      </c>
      <c r="L5997">
        <v>0</v>
      </c>
      <c r="M5997">
        <v>0</v>
      </c>
      <c r="N5997">
        <v>0</v>
      </c>
      <c r="O5997">
        <v>0</v>
      </c>
    </row>
    <row r="5998" spans="1:15" x14ac:dyDescent="0.25">
      <c r="A5998" t="s">
        <v>951</v>
      </c>
      <c r="B5998" t="s">
        <v>2680</v>
      </c>
      <c r="C5998" t="s">
        <v>927</v>
      </c>
      <c r="D5998" t="s">
        <v>3052</v>
      </c>
      <c r="E5998" t="s">
        <v>3053</v>
      </c>
      <c r="F5998" t="s">
        <v>630</v>
      </c>
      <c r="G5998" t="s">
        <v>631</v>
      </c>
      <c r="H5998" t="s">
        <v>10308</v>
      </c>
      <c r="I5998">
        <v>2</v>
      </c>
      <c r="J5998">
        <v>0</v>
      </c>
      <c r="K5998">
        <v>0</v>
      </c>
      <c r="L5998">
        <v>0</v>
      </c>
      <c r="M5998">
        <v>0</v>
      </c>
      <c r="N5998">
        <v>0</v>
      </c>
      <c r="O5998">
        <v>2</v>
      </c>
    </row>
    <row r="5999" spans="1:15" x14ac:dyDescent="0.25">
      <c r="A5999" t="s">
        <v>1048</v>
      </c>
      <c r="B5999" t="s">
        <v>2989</v>
      </c>
      <c r="C5999" t="s">
        <v>927</v>
      </c>
      <c r="D5999" t="s">
        <v>3052</v>
      </c>
      <c r="E5999" t="s">
        <v>3053</v>
      </c>
      <c r="F5999" t="s">
        <v>630</v>
      </c>
      <c r="G5999" t="s">
        <v>631</v>
      </c>
      <c r="H5999" t="s">
        <v>12244</v>
      </c>
      <c r="I5999">
        <v>109</v>
      </c>
      <c r="J5999">
        <v>79</v>
      </c>
      <c r="K5999">
        <v>0</v>
      </c>
      <c r="L5999">
        <v>1</v>
      </c>
      <c r="M5999">
        <v>0</v>
      </c>
      <c r="N5999">
        <v>0</v>
      </c>
      <c r="O5999">
        <v>29</v>
      </c>
    </row>
    <row r="6000" spans="1:15" x14ac:dyDescent="0.25">
      <c r="A6000" t="s">
        <v>1049</v>
      </c>
      <c r="B6000" t="s">
        <v>2138</v>
      </c>
      <c r="C6000" t="s">
        <v>927</v>
      </c>
      <c r="D6000" t="s">
        <v>3052</v>
      </c>
      <c r="E6000" t="s">
        <v>3053</v>
      </c>
      <c r="F6000" t="s">
        <v>630</v>
      </c>
      <c r="G6000" t="s">
        <v>631</v>
      </c>
      <c r="H6000" t="s">
        <v>7076</v>
      </c>
      <c r="I6000">
        <v>231</v>
      </c>
      <c r="J6000">
        <v>177</v>
      </c>
      <c r="K6000">
        <v>0</v>
      </c>
      <c r="L6000">
        <v>0</v>
      </c>
      <c r="M6000">
        <v>0</v>
      </c>
      <c r="N6000">
        <v>0</v>
      </c>
      <c r="O6000">
        <v>54</v>
      </c>
    </row>
    <row r="6001" spans="1:15" x14ac:dyDescent="0.25">
      <c r="A6001" t="s">
        <v>1051</v>
      </c>
      <c r="B6001" t="s">
        <v>2995</v>
      </c>
      <c r="C6001" t="s">
        <v>927</v>
      </c>
      <c r="D6001" t="s">
        <v>3052</v>
      </c>
      <c r="E6001" t="s">
        <v>3053</v>
      </c>
      <c r="F6001" t="s">
        <v>630</v>
      </c>
      <c r="G6001" t="s">
        <v>631</v>
      </c>
      <c r="H6001" t="s">
        <v>14990</v>
      </c>
      <c r="I6001">
        <v>4</v>
      </c>
      <c r="J6001">
        <v>0</v>
      </c>
      <c r="K6001">
        <v>0</v>
      </c>
      <c r="L6001">
        <v>4</v>
      </c>
      <c r="M6001">
        <v>0</v>
      </c>
      <c r="N6001">
        <v>0</v>
      </c>
      <c r="O6001">
        <v>0</v>
      </c>
    </row>
    <row r="6002" spans="1:15" x14ac:dyDescent="0.25">
      <c r="A6002" t="s">
        <v>1057</v>
      </c>
      <c r="B6002" t="s">
        <v>1972</v>
      </c>
      <c r="C6002" t="s">
        <v>927</v>
      </c>
      <c r="D6002" t="s">
        <v>3052</v>
      </c>
      <c r="E6002" t="s">
        <v>3053</v>
      </c>
      <c r="F6002" t="s">
        <v>630</v>
      </c>
      <c r="G6002" t="s">
        <v>631</v>
      </c>
      <c r="H6002" t="s">
        <v>7077</v>
      </c>
      <c r="I6002">
        <v>26</v>
      </c>
      <c r="J6002">
        <v>22</v>
      </c>
      <c r="K6002">
        <v>0</v>
      </c>
      <c r="L6002">
        <v>0</v>
      </c>
      <c r="M6002">
        <v>0</v>
      </c>
      <c r="N6002">
        <v>0</v>
      </c>
      <c r="O6002">
        <v>4</v>
      </c>
    </row>
    <row r="6003" spans="1:15" x14ac:dyDescent="0.25">
      <c r="A6003" t="s">
        <v>955</v>
      </c>
      <c r="B6003" t="s">
        <v>2660</v>
      </c>
      <c r="C6003" t="s">
        <v>927</v>
      </c>
      <c r="D6003" t="s">
        <v>3052</v>
      </c>
      <c r="E6003" t="s">
        <v>3053</v>
      </c>
      <c r="F6003" t="s">
        <v>630</v>
      </c>
      <c r="G6003" t="s">
        <v>631</v>
      </c>
      <c r="H6003" t="s">
        <v>7078</v>
      </c>
      <c r="I6003">
        <v>183</v>
      </c>
      <c r="J6003">
        <v>183</v>
      </c>
      <c r="K6003">
        <v>0</v>
      </c>
      <c r="L6003">
        <v>0</v>
      </c>
      <c r="M6003">
        <v>0</v>
      </c>
      <c r="N6003">
        <v>7</v>
      </c>
      <c r="O6003">
        <v>0</v>
      </c>
    </row>
    <row r="6004" spans="1:15" x14ac:dyDescent="0.25">
      <c r="A6004" t="s">
        <v>962</v>
      </c>
      <c r="B6004" t="s">
        <v>2752</v>
      </c>
      <c r="C6004" t="s">
        <v>927</v>
      </c>
      <c r="D6004" t="s">
        <v>3052</v>
      </c>
      <c r="E6004" t="s">
        <v>3053</v>
      </c>
      <c r="F6004" t="s">
        <v>630</v>
      </c>
      <c r="G6004" t="s">
        <v>631</v>
      </c>
      <c r="H6004" t="s">
        <v>12245</v>
      </c>
      <c r="I6004">
        <v>22</v>
      </c>
      <c r="J6004">
        <v>22</v>
      </c>
      <c r="K6004">
        <v>0</v>
      </c>
      <c r="L6004">
        <v>0</v>
      </c>
      <c r="M6004">
        <v>0</v>
      </c>
      <c r="N6004">
        <v>0</v>
      </c>
      <c r="O6004">
        <v>0</v>
      </c>
    </row>
    <row r="6005" spans="1:15" x14ac:dyDescent="0.25">
      <c r="A6005" t="s">
        <v>1068</v>
      </c>
      <c r="B6005" t="s">
        <v>2081</v>
      </c>
      <c r="C6005" t="s">
        <v>923</v>
      </c>
      <c r="D6005" t="s">
        <v>3063</v>
      </c>
      <c r="E6005" t="s">
        <v>3053</v>
      </c>
      <c r="F6005" t="s">
        <v>630</v>
      </c>
      <c r="G6005" t="s">
        <v>631</v>
      </c>
      <c r="H6005" t="s">
        <v>7079</v>
      </c>
      <c r="I6005">
        <v>6</v>
      </c>
      <c r="J6005">
        <v>0</v>
      </c>
      <c r="K6005">
        <v>0</v>
      </c>
      <c r="L6005">
        <v>6</v>
      </c>
      <c r="M6005">
        <v>0</v>
      </c>
      <c r="N6005">
        <v>0</v>
      </c>
      <c r="O6005">
        <v>0</v>
      </c>
    </row>
    <row r="6006" spans="1:15" x14ac:dyDescent="0.25">
      <c r="A6006" t="s">
        <v>1072</v>
      </c>
      <c r="B6006" t="s">
        <v>2907</v>
      </c>
      <c r="C6006" t="s">
        <v>927</v>
      </c>
      <c r="D6006" t="s">
        <v>3052</v>
      </c>
      <c r="E6006" t="s">
        <v>3053</v>
      </c>
      <c r="F6006" t="s">
        <v>630</v>
      </c>
      <c r="G6006" t="s">
        <v>631</v>
      </c>
      <c r="H6006" t="s">
        <v>7080</v>
      </c>
      <c r="I6006">
        <v>173</v>
      </c>
      <c r="J6006">
        <v>124</v>
      </c>
      <c r="K6006">
        <v>0</v>
      </c>
      <c r="L6006">
        <v>0</v>
      </c>
      <c r="M6006">
        <v>0</v>
      </c>
      <c r="N6006">
        <v>0</v>
      </c>
      <c r="O6006">
        <v>49</v>
      </c>
    </row>
    <row r="6007" spans="1:15" x14ac:dyDescent="0.25">
      <c r="A6007" t="s">
        <v>1076</v>
      </c>
      <c r="B6007" t="s">
        <v>2852</v>
      </c>
      <c r="C6007" t="s">
        <v>927</v>
      </c>
      <c r="D6007" t="s">
        <v>3052</v>
      </c>
      <c r="E6007" t="s">
        <v>3053</v>
      </c>
      <c r="F6007" t="s">
        <v>630</v>
      </c>
      <c r="G6007" t="s">
        <v>631</v>
      </c>
      <c r="H6007" t="s">
        <v>7081</v>
      </c>
      <c r="I6007">
        <v>54</v>
      </c>
      <c r="J6007">
        <v>43</v>
      </c>
      <c r="K6007">
        <v>0</v>
      </c>
      <c r="L6007">
        <v>0</v>
      </c>
      <c r="M6007">
        <v>0</v>
      </c>
      <c r="N6007">
        <v>0</v>
      </c>
      <c r="O6007">
        <v>11</v>
      </c>
    </row>
    <row r="6008" spans="1:15" x14ac:dyDescent="0.25">
      <c r="A6008" t="s">
        <v>11723</v>
      </c>
      <c r="B6008" t="s">
        <v>2719</v>
      </c>
      <c r="C6008" t="s">
        <v>927</v>
      </c>
      <c r="D6008" t="s">
        <v>3052</v>
      </c>
      <c r="E6008" t="s">
        <v>3053</v>
      </c>
      <c r="F6008" t="s">
        <v>14367</v>
      </c>
      <c r="G6008" t="s">
        <v>14368</v>
      </c>
      <c r="H6008" t="s">
        <v>14991</v>
      </c>
      <c r="I6008">
        <v>294</v>
      </c>
      <c r="J6008">
        <v>175</v>
      </c>
      <c r="K6008">
        <v>0</v>
      </c>
      <c r="L6008">
        <v>41</v>
      </c>
      <c r="M6008">
        <v>45</v>
      </c>
      <c r="N6008">
        <v>0</v>
      </c>
      <c r="O6008">
        <v>33</v>
      </c>
    </row>
    <row r="6009" spans="1:15" x14ac:dyDescent="0.25">
      <c r="A6009" t="s">
        <v>971</v>
      </c>
      <c r="B6009" t="s">
        <v>2956</v>
      </c>
      <c r="C6009" t="s">
        <v>927</v>
      </c>
      <c r="D6009" t="s">
        <v>3052</v>
      </c>
      <c r="E6009" t="s">
        <v>3053</v>
      </c>
      <c r="F6009" t="s">
        <v>14367</v>
      </c>
      <c r="G6009" t="s">
        <v>14368</v>
      </c>
      <c r="H6009" t="s">
        <v>14992</v>
      </c>
      <c r="I6009">
        <v>680</v>
      </c>
      <c r="J6009">
        <v>472</v>
      </c>
      <c r="K6009">
        <v>0</v>
      </c>
      <c r="L6009">
        <v>0</v>
      </c>
      <c r="M6009">
        <v>27</v>
      </c>
      <c r="N6009">
        <v>0</v>
      </c>
      <c r="O6009">
        <v>181</v>
      </c>
    </row>
    <row r="6010" spans="1:15" x14ac:dyDescent="0.25">
      <c r="A6010" t="s">
        <v>929</v>
      </c>
      <c r="B6010" t="s">
        <v>2999</v>
      </c>
      <c r="C6010" t="s">
        <v>927</v>
      </c>
      <c r="D6010" t="s">
        <v>3052</v>
      </c>
      <c r="E6010" t="s">
        <v>3053</v>
      </c>
      <c r="F6010" t="s">
        <v>14367</v>
      </c>
      <c r="G6010" t="s">
        <v>14368</v>
      </c>
      <c r="H6010" t="s">
        <v>14993</v>
      </c>
      <c r="I6010">
        <v>733</v>
      </c>
      <c r="J6010">
        <v>0</v>
      </c>
      <c r="K6010">
        <v>0</v>
      </c>
      <c r="L6010">
        <v>0</v>
      </c>
      <c r="M6010">
        <v>718</v>
      </c>
      <c r="N6010">
        <v>5</v>
      </c>
      <c r="O6010">
        <v>15</v>
      </c>
    </row>
    <row r="6011" spans="1:15" x14ac:dyDescent="0.25">
      <c r="A6011" t="s">
        <v>9784</v>
      </c>
      <c r="B6011" t="s">
        <v>1994</v>
      </c>
      <c r="C6011" t="s">
        <v>927</v>
      </c>
      <c r="D6011" t="s">
        <v>3052</v>
      </c>
      <c r="E6011" t="s">
        <v>3053</v>
      </c>
      <c r="F6011" t="s">
        <v>14367</v>
      </c>
      <c r="G6011" t="s">
        <v>14368</v>
      </c>
      <c r="H6011" t="s">
        <v>14994</v>
      </c>
      <c r="I6011">
        <v>70</v>
      </c>
      <c r="J6011">
        <v>0</v>
      </c>
      <c r="K6011">
        <v>0</v>
      </c>
      <c r="L6011">
        <v>70</v>
      </c>
      <c r="M6011">
        <v>0</v>
      </c>
      <c r="N6011">
        <v>0</v>
      </c>
      <c r="O6011">
        <v>0</v>
      </c>
    </row>
    <row r="6012" spans="1:15" x14ac:dyDescent="0.25">
      <c r="A6012" t="s">
        <v>1408</v>
      </c>
      <c r="B6012" t="s">
        <v>3028</v>
      </c>
      <c r="C6012" t="s">
        <v>927</v>
      </c>
      <c r="D6012" t="s">
        <v>3052</v>
      </c>
      <c r="E6012" t="s">
        <v>3053</v>
      </c>
      <c r="F6012" t="s">
        <v>14367</v>
      </c>
      <c r="G6012" t="s">
        <v>14368</v>
      </c>
      <c r="H6012" t="s">
        <v>14995</v>
      </c>
      <c r="I6012">
        <v>4699</v>
      </c>
      <c r="J6012">
        <v>4368</v>
      </c>
      <c r="K6012">
        <v>0</v>
      </c>
      <c r="L6012">
        <v>10</v>
      </c>
      <c r="M6012">
        <v>208</v>
      </c>
      <c r="N6012">
        <v>1</v>
      </c>
      <c r="O6012">
        <v>113</v>
      </c>
    </row>
    <row r="6013" spans="1:15" x14ac:dyDescent="0.25">
      <c r="A6013" t="s">
        <v>1411</v>
      </c>
      <c r="B6013" t="s">
        <v>2993</v>
      </c>
      <c r="C6013" t="s">
        <v>927</v>
      </c>
      <c r="D6013" t="s">
        <v>3052</v>
      </c>
      <c r="E6013" t="s">
        <v>3053</v>
      </c>
      <c r="F6013" t="s">
        <v>14367</v>
      </c>
      <c r="G6013" t="s">
        <v>14368</v>
      </c>
      <c r="H6013" t="s">
        <v>14996</v>
      </c>
      <c r="I6013">
        <v>6587</v>
      </c>
      <c r="J6013">
        <v>5926</v>
      </c>
      <c r="K6013">
        <v>8</v>
      </c>
      <c r="L6013">
        <v>336</v>
      </c>
      <c r="M6013">
        <v>0</v>
      </c>
      <c r="N6013">
        <v>42</v>
      </c>
      <c r="O6013">
        <v>317</v>
      </c>
    </row>
    <row r="6014" spans="1:15" x14ac:dyDescent="0.25">
      <c r="A6014" t="s">
        <v>1412</v>
      </c>
      <c r="B6014" t="s">
        <v>2099</v>
      </c>
      <c r="C6014" t="s">
        <v>927</v>
      </c>
      <c r="D6014" t="s">
        <v>3052</v>
      </c>
      <c r="E6014" t="s">
        <v>3053</v>
      </c>
      <c r="F6014" t="s">
        <v>14367</v>
      </c>
      <c r="G6014" t="s">
        <v>14368</v>
      </c>
      <c r="H6014" t="s">
        <v>14997</v>
      </c>
      <c r="I6014">
        <v>4</v>
      </c>
      <c r="J6014">
        <v>4</v>
      </c>
      <c r="K6014">
        <v>0</v>
      </c>
      <c r="L6014">
        <v>0</v>
      </c>
      <c r="M6014">
        <v>0</v>
      </c>
      <c r="N6014">
        <v>0</v>
      </c>
      <c r="O6014">
        <v>0</v>
      </c>
    </row>
    <row r="6015" spans="1:15" x14ac:dyDescent="0.25">
      <c r="A6015" t="s">
        <v>1877</v>
      </c>
      <c r="B6015" t="s">
        <v>2070</v>
      </c>
      <c r="C6015" t="s">
        <v>923</v>
      </c>
      <c r="D6015" t="s">
        <v>3063</v>
      </c>
      <c r="E6015" t="s">
        <v>3053</v>
      </c>
      <c r="F6015" t="s">
        <v>14367</v>
      </c>
      <c r="G6015" t="s">
        <v>14368</v>
      </c>
      <c r="H6015" t="s">
        <v>14998</v>
      </c>
      <c r="I6015">
        <v>34</v>
      </c>
      <c r="J6015">
        <v>0</v>
      </c>
      <c r="K6015">
        <v>0</v>
      </c>
      <c r="L6015">
        <v>34</v>
      </c>
      <c r="M6015">
        <v>0</v>
      </c>
      <c r="N6015">
        <v>0</v>
      </c>
      <c r="O6015">
        <v>0</v>
      </c>
    </row>
    <row r="6016" spans="1:15" x14ac:dyDescent="0.25">
      <c r="A6016" t="s">
        <v>989</v>
      </c>
      <c r="B6016" t="s">
        <v>2016</v>
      </c>
      <c r="C6016" t="s">
        <v>923</v>
      </c>
      <c r="D6016" t="s">
        <v>3063</v>
      </c>
      <c r="E6016" t="s">
        <v>3053</v>
      </c>
      <c r="F6016" t="s">
        <v>14367</v>
      </c>
      <c r="G6016" t="s">
        <v>14368</v>
      </c>
      <c r="H6016" t="s">
        <v>14999</v>
      </c>
      <c r="I6016">
        <v>4</v>
      </c>
      <c r="J6016">
        <v>0</v>
      </c>
      <c r="K6016">
        <v>0</v>
      </c>
      <c r="L6016">
        <v>4</v>
      </c>
      <c r="M6016">
        <v>0</v>
      </c>
      <c r="N6016">
        <v>0</v>
      </c>
      <c r="O6016">
        <v>0</v>
      </c>
    </row>
    <row r="6017" spans="1:15" x14ac:dyDescent="0.25">
      <c r="A6017" t="s">
        <v>996</v>
      </c>
      <c r="B6017" t="s">
        <v>1952</v>
      </c>
      <c r="C6017" t="s">
        <v>923</v>
      </c>
      <c r="D6017" t="s">
        <v>3063</v>
      </c>
      <c r="E6017" t="s">
        <v>3053</v>
      </c>
      <c r="F6017" t="s">
        <v>14367</v>
      </c>
      <c r="G6017" t="s">
        <v>14368</v>
      </c>
      <c r="H6017" t="s">
        <v>15000</v>
      </c>
      <c r="I6017">
        <v>30</v>
      </c>
      <c r="J6017">
        <v>0</v>
      </c>
      <c r="K6017">
        <v>0</v>
      </c>
      <c r="L6017">
        <v>30</v>
      </c>
      <c r="M6017">
        <v>0</v>
      </c>
      <c r="N6017">
        <v>0</v>
      </c>
      <c r="O6017">
        <v>0</v>
      </c>
    </row>
    <row r="6018" spans="1:15" x14ac:dyDescent="0.25">
      <c r="A6018" t="s">
        <v>997</v>
      </c>
      <c r="B6018" t="s">
        <v>2033</v>
      </c>
      <c r="C6018" t="s">
        <v>927</v>
      </c>
      <c r="D6018" t="s">
        <v>3052</v>
      </c>
      <c r="E6018" t="s">
        <v>3053</v>
      </c>
      <c r="F6018" t="s">
        <v>14367</v>
      </c>
      <c r="G6018" t="s">
        <v>14368</v>
      </c>
      <c r="H6018" t="s">
        <v>15001</v>
      </c>
      <c r="I6018">
        <v>1</v>
      </c>
      <c r="J6018">
        <v>0</v>
      </c>
      <c r="K6018">
        <v>0</v>
      </c>
      <c r="L6018">
        <v>0</v>
      </c>
      <c r="M6018">
        <v>0</v>
      </c>
      <c r="N6018">
        <v>0</v>
      </c>
      <c r="O6018">
        <v>1</v>
      </c>
    </row>
    <row r="6019" spans="1:15" x14ac:dyDescent="0.25">
      <c r="A6019" t="s">
        <v>11660</v>
      </c>
      <c r="B6019" t="s">
        <v>2041</v>
      </c>
      <c r="C6019" t="s">
        <v>923</v>
      </c>
      <c r="D6019" t="s">
        <v>3063</v>
      </c>
      <c r="E6019" t="s">
        <v>3053</v>
      </c>
      <c r="F6019" t="s">
        <v>14367</v>
      </c>
      <c r="G6019" t="s">
        <v>14368</v>
      </c>
      <c r="H6019" t="s">
        <v>15002</v>
      </c>
      <c r="I6019">
        <v>4</v>
      </c>
      <c r="J6019">
        <v>0</v>
      </c>
      <c r="K6019">
        <v>0</v>
      </c>
      <c r="L6019">
        <v>4</v>
      </c>
      <c r="M6019">
        <v>0</v>
      </c>
      <c r="N6019">
        <v>0</v>
      </c>
      <c r="O6019">
        <v>0</v>
      </c>
    </row>
    <row r="6020" spans="1:15" x14ac:dyDescent="0.25">
      <c r="A6020" t="s">
        <v>1883</v>
      </c>
      <c r="B6020" t="s">
        <v>1975</v>
      </c>
      <c r="C6020" t="s">
        <v>923</v>
      </c>
      <c r="D6020" t="s">
        <v>3063</v>
      </c>
      <c r="E6020" t="s">
        <v>3053</v>
      </c>
      <c r="F6020" t="s">
        <v>14367</v>
      </c>
      <c r="G6020" t="s">
        <v>14368</v>
      </c>
      <c r="H6020" t="s">
        <v>15003</v>
      </c>
      <c r="I6020">
        <v>9</v>
      </c>
      <c r="J6020">
        <v>0</v>
      </c>
      <c r="K6020">
        <v>0</v>
      </c>
      <c r="L6020">
        <v>9</v>
      </c>
      <c r="M6020">
        <v>0</v>
      </c>
      <c r="N6020">
        <v>0</v>
      </c>
      <c r="O6020">
        <v>0</v>
      </c>
    </row>
    <row r="6021" spans="1:15" x14ac:dyDescent="0.25">
      <c r="A6021" t="s">
        <v>1485</v>
      </c>
      <c r="B6021" t="s">
        <v>2836</v>
      </c>
      <c r="C6021" t="s">
        <v>927</v>
      </c>
      <c r="D6021" t="s">
        <v>3052</v>
      </c>
      <c r="E6021" t="s">
        <v>3053</v>
      </c>
      <c r="F6021" t="s">
        <v>14367</v>
      </c>
      <c r="G6021" t="s">
        <v>14368</v>
      </c>
      <c r="H6021" t="s">
        <v>15004</v>
      </c>
      <c r="I6021">
        <v>1</v>
      </c>
      <c r="J6021">
        <v>0</v>
      </c>
      <c r="K6021">
        <v>0</v>
      </c>
      <c r="L6021">
        <v>0</v>
      </c>
      <c r="M6021">
        <v>0</v>
      </c>
      <c r="N6021">
        <v>0</v>
      </c>
      <c r="O6021">
        <v>1</v>
      </c>
    </row>
    <row r="6022" spans="1:15" x14ac:dyDescent="0.25">
      <c r="A6022" t="s">
        <v>10638</v>
      </c>
      <c r="B6022" t="s">
        <v>2057</v>
      </c>
      <c r="C6022" t="s">
        <v>927</v>
      </c>
      <c r="D6022" t="s">
        <v>3052</v>
      </c>
      <c r="E6022" t="s">
        <v>3053</v>
      </c>
      <c r="F6022" t="s">
        <v>14367</v>
      </c>
      <c r="G6022" t="s">
        <v>14368</v>
      </c>
      <c r="H6022" t="s">
        <v>15005</v>
      </c>
      <c r="I6022">
        <v>88</v>
      </c>
      <c r="J6022">
        <v>0</v>
      </c>
      <c r="K6022">
        <v>0</v>
      </c>
      <c r="L6022">
        <v>88</v>
      </c>
      <c r="M6022">
        <v>0</v>
      </c>
      <c r="N6022">
        <v>0</v>
      </c>
      <c r="O6022">
        <v>0</v>
      </c>
    </row>
    <row r="6023" spans="1:15" x14ac:dyDescent="0.25">
      <c r="A6023" t="s">
        <v>1888</v>
      </c>
      <c r="B6023" t="s">
        <v>2718</v>
      </c>
      <c r="C6023" t="s">
        <v>923</v>
      </c>
      <c r="D6023" t="s">
        <v>3063</v>
      </c>
      <c r="E6023" t="s">
        <v>3053</v>
      </c>
      <c r="F6023" t="s">
        <v>14367</v>
      </c>
      <c r="G6023" t="s">
        <v>14368</v>
      </c>
      <c r="H6023" t="s">
        <v>15006</v>
      </c>
      <c r="I6023">
        <v>33</v>
      </c>
      <c r="J6023">
        <v>33</v>
      </c>
      <c r="K6023">
        <v>0</v>
      </c>
      <c r="L6023">
        <v>0</v>
      </c>
      <c r="M6023">
        <v>0</v>
      </c>
      <c r="N6023">
        <v>0</v>
      </c>
      <c r="O6023">
        <v>0</v>
      </c>
    </row>
    <row r="6024" spans="1:15" x14ac:dyDescent="0.25">
      <c r="A6024" t="s">
        <v>1889</v>
      </c>
      <c r="B6024" t="s">
        <v>2778</v>
      </c>
      <c r="C6024" t="s">
        <v>923</v>
      </c>
      <c r="D6024" t="s">
        <v>3063</v>
      </c>
      <c r="E6024" t="s">
        <v>3053</v>
      </c>
      <c r="F6024" t="s">
        <v>14367</v>
      </c>
      <c r="G6024" t="s">
        <v>14368</v>
      </c>
      <c r="H6024" t="s">
        <v>15007</v>
      </c>
      <c r="I6024">
        <v>248</v>
      </c>
      <c r="J6024">
        <v>236</v>
      </c>
      <c r="K6024">
        <v>0</v>
      </c>
      <c r="L6024">
        <v>12</v>
      </c>
      <c r="M6024">
        <v>0</v>
      </c>
      <c r="N6024">
        <v>0</v>
      </c>
      <c r="O6024">
        <v>0</v>
      </c>
    </row>
    <row r="6025" spans="1:15" x14ac:dyDescent="0.25">
      <c r="A6025" t="s">
        <v>1890</v>
      </c>
      <c r="B6025" t="s">
        <v>2553</v>
      </c>
      <c r="C6025" t="s">
        <v>923</v>
      </c>
      <c r="D6025" t="s">
        <v>3063</v>
      </c>
      <c r="E6025" t="s">
        <v>3053</v>
      </c>
      <c r="F6025" t="s">
        <v>14367</v>
      </c>
      <c r="G6025" t="s">
        <v>14368</v>
      </c>
      <c r="H6025" t="s">
        <v>15008</v>
      </c>
      <c r="I6025">
        <v>55</v>
      </c>
      <c r="J6025">
        <v>0</v>
      </c>
      <c r="K6025">
        <v>0</v>
      </c>
      <c r="L6025">
        <v>0</v>
      </c>
      <c r="M6025">
        <v>55</v>
      </c>
      <c r="N6025">
        <v>0</v>
      </c>
      <c r="O6025">
        <v>0</v>
      </c>
    </row>
    <row r="6026" spans="1:15" x14ac:dyDescent="0.25">
      <c r="A6026" t="s">
        <v>937</v>
      </c>
      <c r="B6026" t="s">
        <v>1962</v>
      </c>
      <c r="C6026" t="s">
        <v>927</v>
      </c>
      <c r="D6026" t="s">
        <v>3052</v>
      </c>
      <c r="E6026" t="s">
        <v>3053</v>
      </c>
      <c r="F6026" t="s">
        <v>14367</v>
      </c>
      <c r="G6026" t="s">
        <v>14368</v>
      </c>
      <c r="H6026" t="s">
        <v>15009</v>
      </c>
      <c r="I6026">
        <v>329</v>
      </c>
      <c r="J6026">
        <v>0</v>
      </c>
      <c r="K6026">
        <v>0</v>
      </c>
      <c r="L6026">
        <v>0</v>
      </c>
      <c r="M6026">
        <v>0</v>
      </c>
      <c r="N6026">
        <v>0</v>
      </c>
      <c r="O6026">
        <v>329</v>
      </c>
    </row>
    <row r="6027" spans="1:15" x14ac:dyDescent="0.25">
      <c r="A6027" t="s">
        <v>1011</v>
      </c>
      <c r="B6027" t="s">
        <v>2020</v>
      </c>
      <c r="C6027" t="s">
        <v>927</v>
      </c>
      <c r="D6027" t="s">
        <v>3052</v>
      </c>
      <c r="E6027" t="s">
        <v>3053</v>
      </c>
      <c r="F6027" t="s">
        <v>14367</v>
      </c>
      <c r="G6027" t="s">
        <v>14368</v>
      </c>
      <c r="H6027" t="s">
        <v>15010</v>
      </c>
      <c r="I6027">
        <v>8</v>
      </c>
      <c r="J6027">
        <v>0</v>
      </c>
      <c r="K6027">
        <v>0</v>
      </c>
      <c r="L6027">
        <v>8</v>
      </c>
      <c r="M6027">
        <v>0</v>
      </c>
      <c r="N6027">
        <v>0</v>
      </c>
      <c r="O6027">
        <v>0</v>
      </c>
    </row>
    <row r="6028" spans="1:15" x14ac:dyDescent="0.25">
      <c r="A6028" t="s">
        <v>938</v>
      </c>
      <c r="B6028" t="s">
        <v>2791</v>
      </c>
      <c r="C6028" t="s">
        <v>927</v>
      </c>
      <c r="D6028" t="s">
        <v>3052</v>
      </c>
      <c r="E6028" t="s">
        <v>3053</v>
      </c>
      <c r="F6028" t="s">
        <v>14367</v>
      </c>
      <c r="G6028" t="s">
        <v>14368</v>
      </c>
      <c r="H6028" t="s">
        <v>15011</v>
      </c>
      <c r="I6028">
        <v>1975</v>
      </c>
      <c r="J6028">
        <v>1613</v>
      </c>
      <c r="K6028">
        <v>0</v>
      </c>
      <c r="L6028">
        <v>52</v>
      </c>
      <c r="M6028">
        <v>63</v>
      </c>
      <c r="N6028">
        <v>10</v>
      </c>
      <c r="O6028">
        <v>247</v>
      </c>
    </row>
    <row r="6029" spans="1:15" x14ac:dyDescent="0.25">
      <c r="A6029" t="s">
        <v>940</v>
      </c>
      <c r="B6029" t="s">
        <v>2647</v>
      </c>
      <c r="C6029" t="s">
        <v>927</v>
      </c>
      <c r="D6029" t="s">
        <v>3052</v>
      </c>
      <c r="E6029" t="s">
        <v>3053</v>
      </c>
      <c r="F6029" t="s">
        <v>14367</v>
      </c>
      <c r="G6029" t="s">
        <v>14368</v>
      </c>
      <c r="H6029" t="s">
        <v>15012</v>
      </c>
      <c r="I6029">
        <v>532</v>
      </c>
      <c r="J6029">
        <v>0</v>
      </c>
      <c r="K6029">
        <v>0</v>
      </c>
      <c r="L6029">
        <v>1</v>
      </c>
      <c r="M6029">
        <v>333</v>
      </c>
      <c r="N6029">
        <v>0</v>
      </c>
      <c r="O6029">
        <v>198</v>
      </c>
    </row>
    <row r="6030" spans="1:15" x14ac:dyDescent="0.25">
      <c r="A6030" t="s">
        <v>1422</v>
      </c>
      <c r="B6030" t="s">
        <v>1990</v>
      </c>
      <c r="C6030" t="s">
        <v>923</v>
      </c>
      <c r="D6030" t="s">
        <v>3063</v>
      </c>
      <c r="E6030" t="s">
        <v>3053</v>
      </c>
      <c r="F6030" t="s">
        <v>14367</v>
      </c>
      <c r="G6030" t="s">
        <v>14368</v>
      </c>
      <c r="H6030" t="s">
        <v>15013</v>
      </c>
      <c r="I6030">
        <v>9</v>
      </c>
      <c r="J6030">
        <v>0</v>
      </c>
      <c r="K6030">
        <v>0</v>
      </c>
      <c r="L6030">
        <v>9</v>
      </c>
      <c r="M6030">
        <v>0</v>
      </c>
      <c r="N6030">
        <v>0</v>
      </c>
      <c r="O6030">
        <v>0</v>
      </c>
    </row>
    <row r="6031" spans="1:15" x14ac:dyDescent="0.25">
      <c r="A6031" t="s">
        <v>1013</v>
      </c>
      <c r="B6031" t="s">
        <v>1959</v>
      </c>
      <c r="C6031" t="s">
        <v>927</v>
      </c>
      <c r="D6031" t="s">
        <v>3052</v>
      </c>
      <c r="E6031" t="s">
        <v>3053</v>
      </c>
      <c r="F6031" t="s">
        <v>14367</v>
      </c>
      <c r="G6031" t="s">
        <v>14368</v>
      </c>
      <c r="H6031" t="s">
        <v>15014</v>
      </c>
      <c r="I6031">
        <v>4</v>
      </c>
      <c r="J6031">
        <v>3</v>
      </c>
      <c r="K6031">
        <v>0</v>
      </c>
      <c r="L6031">
        <v>1</v>
      </c>
      <c r="M6031">
        <v>0</v>
      </c>
      <c r="N6031">
        <v>0</v>
      </c>
      <c r="O6031">
        <v>0</v>
      </c>
    </row>
    <row r="6032" spans="1:15" x14ac:dyDescent="0.25">
      <c r="A6032" t="s">
        <v>1897</v>
      </c>
      <c r="B6032" t="s">
        <v>2883</v>
      </c>
      <c r="C6032" t="s">
        <v>927</v>
      </c>
      <c r="D6032" t="s">
        <v>3052</v>
      </c>
      <c r="E6032" t="s">
        <v>3053</v>
      </c>
      <c r="F6032" t="s">
        <v>14367</v>
      </c>
      <c r="G6032" t="s">
        <v>14368</v>
      </c>
      <c r="H6032" t="s">
        <v>15015</v>
      </c>
      <c r="I6032">
        <v>106</v>
      </c>
      <c r="J6032">
        <v>81</v>
      </c>
      <c r="K6032">
        <v>0</v>
      </c>
      <c r="L6032">
        <v>4</v>
      </c>
      <c r="M6032">
        <v>0</v>
      </c>
      <c r="N6032">
        <v>0</v>
      </c>
      <c r="O6032">
        <v>21</v>
      </c>
    </row>
    <row r="6033" spans="1:15" x14ac:dyDescent="0.25">
      <c r="A6033" t="s">
        <v>9819</v>
      </c>
      <c r="B6033" t="s">
        <v>2916</v>
      </c>
      <c r="C6033" t="s">
        <v>927</v>
      </c>
      <c r="D6033" t="s">
        <v>3052</v>
      </c>
      <c r="E6033" t="s">
        <v>3053</v>
      </c>
      <c r="F6033" t="s">
        <v>14367</v>
      </c>
      <c r="G6033" t="s">
        <v>14368</v>
      </c>
      <c r="H6033" t="s">
        <v>15016</v>
      </c>
      <c r="I6033">
        <v>20</v>
      </c>
      <c r="J6033">
        <v>9</v>
      </c>
      <c r="K6033">
        <v>0</v>
      </c>
      <c r="L6033">
        <v>0</v>
      </c>
      <c r="M6033">
        <v>0</v>
      </c>
      <c r="N6033">
        <v>0</v>
      </c>
      <c r="O6033">
        <v>11</v>
      </c>
    </row>
    <row r="6034" spans="1:15" x14ac:dyDescent="0.25">
      <c r="A6034" t="s">
        <v>1898</v>
      </c>
      <c r="B6034" t="s">
        <v>2321</v>
      </c>
      <c r="C6034" t="s">
        <v>923</v>
      </c>
      <c r="D6034" t="s">
        <v>3063</v>
      </c>
      <c r="E6034" t="s">
        <v>3053</v>
      </c>
      <c r="F6034" t="s">
        <v>14367</v>
      </c>
      <c r="G6034" t="s">
        <v>14368</v>
      </c>
      <c r="H6034" t="s">
        <v>15017</v>
      </c>
      <c r="I6034">
        <v>4</v>
      </c>
      <c r="J6034">
        <v>4</v>
      </c>
      <c r="K6034">
        <v>0</v>
      </c>
      <c r="L6034">
        <v>0</v>
      </c>
      <c r="M6034">
        <v>0</v>
      </c>
      <c r="N6034">
        <v>0</v>
      </c>
      <c r="O6034">
        <v>0</v>
      </c>
    </row>
    <row r="6035" spans="1:15" x14ac:dyDescent="0.25">
      <c r="A6035" t="s">
        <v>1426</v>
      </c>
      <c r="B6035" t="s">
        <v>2137</v>
      </c>
      <c r="C6035" t="s">
        <v>927</v>
      </c>
      <c r="D6035" t="s">
        <v>3052</v>
      </c>
      <c r="E6035" t="s">
        <v>3053</v>
      </c>
      <c r="F6035" t="s">
        <v>14367</v>
      </c>
      <c r="G6035" t="s">
        <v>14368</v>
      </c>
      <c r="H6035" t="s">
        <v>15018</v>
      </c>
      <c r="I6035">
        <v>225</v>
      </c>
      <c r="J6035">
        <v>33</v>
      </c>
      <c r="K6035">
        <v>0</v>
      </c>
      <c r="L6035">
        <v>7</v>
      </c>
      <c r="M6035">
        <v>33</v>
      </c>
      <c r="N6035">
        <v>0</v>
      </c>
      <c r="O6035">
        <v>152</v>
      </c>
    </row>
    <row r="6036" spans="1:15" x14ac:dyDescent="0.25">
      <c r="A6036" t="s">
        <v>1427</v>
      </c>
      <c r="B6036" t="s">
        <v>2087</v>
      </c>
      <c r="C6036" t="s">
        <v>927</v>
      </c>
      <c r="D6036" t="s">
        <v>3052</v>
      </c>
      <c r="E6036" t="s">
        <v>3053</v>
      </c>
      <c r="F6036" t="s">
        <v>14367</v>
      </c>
      <c r="G6036" t="s">
        <v>14368</v>
      </c>
      <c r="H6036" t="s">
        <v>15019</v>
      </c>
      <c r="I6036">
        <v>430</v>
      </c>
      <c r="J6036">
        <v>340</v>
      </c>
      <c r="K6036">
        <v>0</v>
      </c>
      <c r="L6036">
        <v>0</v>
      </c>
      <c r="M6036">
        <v>0</v>
      </c>
      <c r="N6036">
        <v>0</v>
      </c>
      <c r="O6036">
        <v>90</v>
      </c>
    </row>
    <row r="6037" spans="1:15" x14ac:dyDescent="0.25">
      <c r="A6037" t="s">
        <v>1901</v>
      </c>
      <c r="B6037" t="s">
        <v>2293</v>
      </c>
      <c r="C6037" t="s">
        <v>923</v>
      </c>
      <c r="D6037" t="s">
        <v>3063</v>
      </c>
      <c r="E6037" t="s">
        <v>3053</v>
      </c>
      <c r="F6037" t="s">
        <v>14367</v>
      </c>
      <c r="G6037" t="s">
        <v>14368</v>
      </c>
      <c r="H6037" t="s">
        <v>15020</v>
      </c>
      <c r="I6037">
        <v>12</v>
      </c>
      <c r="J6037">
        <v>0</v>
      </c>
      <c r="K6037">
        <v>0</v>
      </c>
      <c r="L6037">
        <v>0</v>
      </c>
      <c r="M6037">
        <v>12</v>
      </c>
      <c r="N6037">
        <v>0</v>
      </c>
      <c r="O6037">
        <v>0</v>
      </c>
    </row>
    <row r="6038" spans="1:15" x14ac:dyDescent="0.25">
      <c r="A6038" t="s">
        <v>1019</v>
      </c>
      <c r="B6038" t="s">
        <v>2944</v>
      </c>
      <c r="C6038" t="s">
        <v>927</v>
      </c>
      <c r="D6038" t="s">
        <v>3052</v>
      </c>
      <c r="E6038" t="s">
        <v>3053</v>
      </c>
      <c r="F6038" t="s">
        <v>14367</v>
      </c>
      <c r="G6038" t="s">
        <v>14368</v>
      </c>
      <c r="H6038" t="s">
        <v>15021</v>
      </c>
      <c r="I6038">
        <v>579</v>
      </c>
      <c r="J6038">
        <v>456</v>
      </c>
      <c r="K6038">
        <v>0</v>
      </c>
      <c r="L6038">
        <v>34</v>
      </c>
      <c r="M6038">
        <v>0</v>
      </c>
      <c r="N6038">
        <v>2</v>
      </c>
      <c r="O6038">
        <v>89</v>
      </c>
    </row>
    <row r="6039" spans="1:15" x14ac:dyDescent="0.25">
      <c r="A6039" t="s">
        <v>1510</v>
      </c>
      <c r="B6039" t="s">
        <v>2812</v>
      </c>
      <c r="C6039" t="s">
        <v>923</v>
      </c>
      <c r="D6039" t="s">
        <v>3063</v>
      </c>
      <c r="E6039" t="s">
        <v>3053</v>
      </c>
      <c r="F6039" t="s">
        <v>14367</v>
      </c>
      <c r="G6039" t="s">
        <v>14368</v>
      </c>
      <c r="H6039" t="s">
        <v>15022</v>
      </c>
      <c r="I6039">
        <v>31</v>
      </c>
      <c r="J6039">
        <v>31</v>
      </c>
      <c r="K6039">
        <v>0</v>
      </c>
      <c r="L6039">
        <v>0</v>
      </c>
      <c r="M6039">
        <v>0</v>
      </c>
      <c r="N6039">
        <v>0</v>
      </c>
      <c r="O6039">
        <v>0</v>
      </c>
    </row>
    <row r="6040" spans="1:15" x14ac:dyDescent="0.25">
      <c r="A6040" t="s">
        <v>1903</v>
      </c>
      <c r="B6040" t="s">
        <v>2806</v>
      </c>
      <c r="C6040" t="s">
        <v>927</v>
      </c>
      <c r="D6040" t="s">
        <v>3052</v>
      </c>
      <c r="E6040" t="s">
        <v>3053</v>
      </c>
      <c r="F6040" t="s">
        <v>14367</v>
      </c>
      <c r="G6040" t="s">
        <v>14368</v>
      </c>
      <c r="H6040" t="s">
        <v>15023</v>
      </c>
      <c r="I6040">
        <v>4</v>
      </c>
      <c r="J6040">
        <v>4</v>
      </c>
      <c r="K6040">
        <v>0</v>
      </c>
      <c r="L6040">
        <v>0</v>
      </c>
      <c r="M6040">
        <v>0</v>
      </c>
      <c r="N6040">
        <v>0</v>
      </c>
      <c r="O6040">
        <v>0</v>
      </c>
    </row>
    <row r="6041" spans="1:15" x14ac:dyDescent="0.25">
      <c r="A6041" t="s">
        <v>1031</v>
      </c>
      <c r="B6041" t="s">
        <v>2779</v>
      </c>
      <c r="C6041" t="s">
        <v>927</v>
      </c>
      <c r="D6041" t="s">
        <v>3052</v>
      </c>
      <c r="E6041" t="s">
        <v>3053</v>
      </c>
      <c r="F6041" t="s">
        <v>14367</v>
      </c>
      <c r="G6041" t="s">
        <v>14368</v>
      </c>
      <c r="H6041" t="s">
        <v>15024</v>
      </c>
      <c r="I6041">
        <v>169</v>
      </c>
      <c r="J6041">
        <v>164</v>
      </c>
      <c r="K6041">
        <v>0</v>
      </c>
      <c r="L6041">
        <v>0</v>
      </c>
      <c r="M6041">
        <v>0</v>
      </c>
      <c r="N6041">
        <v>0</v>
      </c>
      <c r="O6041">
        <v>5</v>
      </c>
    </row>
    <row r="6042" spans="1:15" x14ac:dyDescent="0.25">
      <c r="A6042" t="s">
        <v>1302</v>
      </c>
      <c r="B6042" t="s">
        <v>1961</v>
      </c>
      <c r="C6042" t="s">
        <v>923</v>
      </c>
      <c r="D6042" t="s">
        <v>3063</v>
      </c>
      <c r="E6042" t="s">
        <v>3053</v>
      </c>
      <c r="F6042" t="s">
        <v>14367</v>
      </c>
      <c r="G6042" t="s">
        <v>14368</v>
      </c>
      <c r="H6042" t="s">
        <v>15025</v>
      </c>
      <c r="I6042">
        <v>3</v>
      </c>
      <c r="J6042">
        <v>0</v>
      </c>
      <c r="K6042">
        <v>0</v>
      </c>
      <c r="L6042">
        <v>3</v>
      </c>
      <c r="M6042">
        <v>0</v>
      </c>
      <c r="N6042">
        <v>0</v>
      </c>
      <c r="O6042">
        <v>0</v>
      </c>
    </row>
    <row r="6043" spans="1:15" x14ac:dyDescent="0.25">
      <c r="A6043" t="s">
        <v>1433</v>
      </c>
      <c r="B6043" t="s">
        <v>2914</v>
      </c>
      <c r="C6043" t="s">
        <v>927</v>
      </c>
      <c r="D6043" t="s">
        <v>3052</v>
      </c>
      <c r="E6043" t="s">
        <v>3053</v>
      </c>
      <c r="F6043" t="s">
        <v>14367</v>
      </c>
      <c r="G6043" t="s">
        <v>14368</v>
      </c>
      <c r="H6043" t="s">
        <v>15026</v>
      </c>
      <c r="I6043">
        <v>108</v>
      </c>
      <c r="J6043">
        <v>102</v>
      </c>
      <c r="K6043">
        <v>0</v>
      </c>
      <c r="L6043">
        <v>6</v>
      </c>
      <c r="M6043">
        <v>0</v>
      </c>
      <c r="N6043">
        <v>0</v>
      </c>
      <c r="O6043">
        <v>0</v>
      </c>
    </row>
    <row r="6044" spans="1:15" x14ac:dyDescent="0.25">
      <c r="A6044" t="s">
        <v>951</v>
      </c>
      <c r="B6044" t="s">
        <v>2680</v>
      </c>
      <c r="C6044" t="s">
        <v>927</v>
      </c>
      <c r="D6044" t="s">
        <v>3052</v>
      </c>
      <c r="E6044" t="s">
        <v>3053</v>
      </c>
      <c r="F6044" t="s">
        <v>14367</v>
      </c>
      <c r="G6044" t="s">
        <v>14368</v>
      </c>
      <c r="H6044" t="s">
        <v>15027</v>
      </c>
      <c r="I6044">
        <v>271</v>
      </c>
      <c r="J6044">
        <v>264</v>
      </c>
      <c r="K6044">
        <v>0</v>
      </c>
      <c r="L6044">
        <v>0</v>
      </c>
      <c r="M6044">
        <v>0</v>
      </c>
      <c r="N6044">
        <v>0</v>
      </c>
      <c r="O6044">
        <v>7</v>
      </c>
    </row>
    <row r="6045" spans="1:15" x14ac:dyDescent="0.25">
      <c r="A6045" t="s">
        <v>1051</v>
      </c>
      <c r="B6045" t="s">
        <v>2995</v>
      </c>
      <c r="C6045" t="s">
        <v>927</v>
      </c>
      <c r="D6045" t="s">
        <v>3052</v>
      </c>
      <c r="E6045" t="s">
        <v>3053</v>
      </c>
      <c r="F6045" t="s">
        <v>14367</v>
      </c>
      <c r="G6045" t="s">
        <v>14368</v>
      </c>
      <c r="H6045" t="s">
        <v>15028</v>
      </c>
      <c r="I6045">
        <v>98</v>
      </c>
      <c r="J6045">
        <v>50</v>
      </c>
      <c r="K6045">
        <v>0</v>
      </c>
      <c r="L6045">
        <v>29</v>
      </c>
      <c r="M6045">
        <v>0</v>
      </c>
      <c r="N6045">
        <v>0</v>
      </c>
      <c r="O6045">
        <v>19</v>
      </c>
    </row>
    <row r="6046" spans="1:15" x14ac:dyDescent="0.25">
      <c r="A6046" t="s">
        <v>1436</v>
      </c>
      <c r="B6046" t="s">
        <v>2209</v>
      </c>
      <c r="C6046" t="s">
        <v>927</v>
      </c>
      <c r="D6046" t="s">
        <v>3052</v>
      </c>
      <c r="E6046" t="s">
        <v>3053</v>
      </c>
      <c r="F6046" t="s">
        <v>14367</v>
      </c>
      <c r="G6046" t="s">
        <v>14368</v>
      </c>
      <c r="H6046" t="s">
        <v>15029</v>
      </c>
      <c r="I6046">
        <v>25</v>
      </c>
      <c r="J6046">
        <v>21</v>
      </c>
      <c r="K6046">
        <v>0</v>
      </c>
      <c r="L6046">
        <v>0</v>
      </c>
      <c r="M6046">
        <v>4</v>
      </c>
      <c r="N6046">
        <v>7</v>
      </c>
      <c r="O6046">
        <v>0</v>
      </c>
    </row>
    <row r="6047" spans="1:15" x14ac:dyDescent="0.25">
      <c r="A6047" t="s">
        <v>1907</v>
      </c>
      <c r="B6047" t="s">
        <v>2971</v>
      </c>
      <c r="C6047" t="s">
        <v>923</v>
      </c>
      <c r="D6047" t="s">
        <v>3063</v>
      </c>
      <c r="E6047" t="s">
        <v>3053</v>
      </c>
      <c r="F6047" t="s">
        <v>14367</v>
      </c>
      <c r="G6047" t="s">
        <v>14368</v>
      </c>
      <c r="H6047" t="s">
        <v>15030</v>
      </c>
      <c r="I6047">
        <v>22</v>
      </c>
      <c r="J6047">
        <v>5</v>
      </c>
      <c r="K6047">
        <v>0</v>
      </c>
      <c r="L6047">
        <v>17</v>
      </c>
      <c r="M6047">
        <v>0</v>
      </c>
      <c r="N6047">
        <v>0</v>
      </c>
      <c r="O6047">
        <v>0</v>
      </c>
    </row>
    <row r="6048" spans="1:15" x14ac:dyDescent="0.25">
      <c r="A6048" t="s">
        <v>1908</v>
      </c>
      <c r="B6048" t="s">
        <v>2180</v>
      </c>
      <c r="C6048" t="s">
        <v>923</v>
      </c>
      <c r="D6048" t="s">
        <v>3063</v>
      </c>
      <c r="E6048" t="s">
        <v>3053</v>
      </c>
      <c r="F6048" t="s">
        <v>14367</v>
      </c>
      <c r="G6048" t="s">
        <v>14368</v>
      </c>
      <c r="H6048" t="s">
        <v>15031</v>
      </c>
      <c r="I6048">
        <v>15</v>
      </c>
      <c r="J6048">
        <v>0</v>
      </c>
      <c r="K6048">
        <v>0</v>
      </c>
      <c r="L6048">
        <v>0</v>
      </c>
      <c r="M6048">
        <v>15</v>
      </c>
      <c r="N6048">
        <v>0</v>
      </c>
      <c r="O6048">
        <v>0</v>
      </c>
    </row>
    <row r="6049" spans="1:15" x14ac:dyDescent="0.25">
      <c r="A6049" t="s">
        <v>9788</v>
      </c>
      <c r="B6049" t="s">
        <v>9871</v>
      </c>
      <c r="C6049" t="s">
        <v>927</v>
      </c>
      <c r="D6049" t="s">
        <v>3052</v>
      </c>
      <c r="E6049" t="s">
        <v>3053</v>
      </c>
      <c r="F6049" t="s">
        <v>14367</v>
      </c>
      <c r="G6049" t="s">
        <v>14368</v>
      </c>
      <c r="H6049" t="s">
        <v>15032</v>
      </c>
      <c r="I6049">
        <v>10</v>
      </c>
      <c r="J6049">
        <v>10</v>
      </c>
      <c r="K6049">
        <v>0</v>
      </c>
      <c r="L6049">
        <v>0</v>
      </c>
      <c r="M6049">
        <v>0</v>
      </c>
      <c r="N6049">
        <v>0</v>
      </c>
      <c r="O6049">
        <v>0</v>
      </c>
    </row>
    <row r="6050" spans="1:15" x14ac:dyDescent="0.25">
      <c r="A6050" t="s">
        <v>1057</v>
      </c>
      <c r="B6050" t="s">
        <v>1972</v>
      </c>
      <c r="C6050" t="s">
        <v>927</v>
      </c>
      <c r="D6050" t="s">
        <v>3052</v>
      </c>
      <c r="E6050" t="s">
        <v>3053</v>
      </c>
      <c r="F6050" t="s">
        <v>14367</v>
      </c>
      <c r="G6050" t="s">
        <v>14368</v>
      </c>
      <c r="H6050" t="s">
        <v>15033</v>
      </c>
      <c r="I6050">
        <v>133</v>
      </c>
      <c r="J6050">
        <v>54</v>
      </c>
      <c r="K6050">
        <v>0</v>
      </c>
      <c r="L6050">
        <v>5</v>
      </c>
      <c r="M6050">
        <v>71</v>
      </c>
      <c r="N6050">
        <v>0</v>
      </c>
      <c r="O6050">
        <v>3</v>
      </c>
    </row>
    <row r="6051" spans="1:15" x14ac:dyDescent="0.25">
      <c r="A6051" t="s">
        <v>955</v>
      </c>
      <c r="B6051" t="s">
        <v>2660</v>
      </c>
      <c r="C6051" t="s">
        <v>927</v>
      </c>
      <c r="D6051" t="s">
        <v>3052</v>
      </c>
      <c r="E6051" t="s">
        <v>3053</v>
      </c>
      <c r="F6051" t="s">
        <v>14367</v>
      </c>
      <c r="G6051" t="s">
        <v>14368</v>
      </c>
      <c r="H6051" t="s">
        <v>15034</v>
      </c>
      <c r="I6051">
        <v>1113</v>
      </c>
      <c r="J6051">
        <v>927</v>
      </c>
      <c r="K6051">
        <v>0</v>
      </c>
      <c r="L6051">
        <v>33</v>
      </c>
      <c r="M6051">
        <v>58</v>
      </c>
      <c r="N6051">
        <v>5</v>
      </c>
      <c r="O6051">
        <v>95</v>
      </c>
    </row>
    <row r="6052" spans="1:15" x14ac:dyDescent="0.25">
      <c r="A6052" t="s">
        <v>1060</v>
      </c>
      <c r="B6052" t="s">
        <v>2651</v>
      </c>
      <c r="C6052" t="s">
        <v>927</v>
      </c>
      <c r="D6052" t="s">
        <v>3052</v>
      </c>
      <c r="E6052" t="s">
        <v>3053</v>
      </c>
      <c r="F6052" t="s">
        <v>14367</v>
      </c>
      <c r="G6052" t="s">
        <v>14368</v>
      </c>
      <c r="H6052" t="s">
        <v>15035</v>
      </c>
      <c r="I6052">
        <v>221</v>
      </c>
      <c r="J6052">
        <v>206</v>
      </c>
      <c r="K6052">
        <v>0</v>
      </c>
      <c r="L6052">
        <v>0</v>
      </c>
      <c r="M6052">
        <v>0</v>
      </c>
      <c r="N6052">
        <v>0</v>
      </c>
      <c r="O6052">
        <v>15</v>
      </c>
    </row>
    <row r="6053" spans="1:15" x14ac:dyDescent="0.25">
      <c r="A6053" t="s">
        <v>14374</v>
      </c>
      <c r="B6053" t="s">
        <v>1943</v>
      </c>
      <c r="C6053" t="s">
        <v>927</v>
      </c>
      <c r="D6053" t="s">
        <v>3052</v>
      </c>
      <c r="E6053" t="s">
        <v>3053</v>
      </c>
      <c r="F6053" t="s">
        <v>14367</v>
      </c>
      <c r="G6053" t="s">
        <v>14368</v>
      </c>
      <c r="H6053" t="s">
        <v>15036</v>
      </c>
      <c r="I6053">
        <v>17</v>
      </c>
      <c r="J6053">
        <v>0</v>
      </c>
      <c r="K6053">
        <v>0</v>
      </c>
      <c r="L6053">
        <v>0</v>
      </c>
      <c r="M6053">
        <v>0</v>
      </c>
      <c r="N6053">
        <v>0</v>
      </c>
      <c r="O6053">
        <v>17</v>
      </c>
    </row>
    <row r="6054" spans="1:15" x14ac:dyDescent="0.25">
      <c r="A6054" t="s">
        <v>9849</v>
      </c>
      <c r="B6054" t="s">
        <v>2595</v>
      </c>
      <c r="C6054" t="s">
        <v>923</v>
      </c>
      <c r="D6054" t="s">
        <v>3063</v>
      </c>
      <c r="E6054" t="s">
        <v>3053</v>
      </c>
      <c r="F6054" t="s">
        <v>14367</v>
      </c>
      <c r="G6054" t="s">
        <v>14368</v>
      </c>
      <c r="H6054" t="s">
        <v>15037</v>
      </c>
      <c r="I6054">
        <v>5</v>
      </c>
      <c r="J6054">
        <v>0</v>
      </c>
      <c r="K6054">
        <v>0</v>
      </c>
      <c r="L6054">
        <v>5</v>
      </c>
      <c r="M6054">
        <v>0</v>
      </c>
      <c r="N6054">
        <v>0</v>
      </c>
      <c r="O6054">
        <v>0</v>
      </c>
    </row>
    <row r="6055" spans="1:15" x14ac:dyDescent="0.25">
      <c r="A6055" t="s">
        <v>962</v>
      </c>
      <c r="B6055" t="s">
        <v>2752</v>
      </c>
      <c r="C6055" t="s">
        <v>927</v>
      </c>
      <c r="D6055" t="s">
        <v>3052</v>
      </c>
      <c r="E6055" t="s">
        <v>3053</v>
      </c>
      <c r="F6055" t="s">
        <v>14367</v>
      </c>
      <c r="G6055" t="s">
        <v>14368</v>
      </c>
      <c r="H6055" t="s">
        <v>15038</v>
      </c>
      <c r="I6055">
        <v>492</v>
      </c>
      <c r="J6055">
        <v>402</v>
      </c>
      <c r="K6055">
        <v>0</v>
      </c>
      <c r="L6055">
        <v>2</v>
      </c>
      <c r="M6055">
        <v>0</v>
      </c>
      <c r="N6055">
        <v>0</v>
      </c>
      <c r="O6055">
        <v>88</v>
      </c>
    </row>
    <row r="6056" spans="1:15" x14ac:dyDescent="0.25">
      <c r="A6056" t="s">
        <v>11727</v>
      </c>
      <c r="B6056" t="s">
        <v>2534</v>
      </c>
      <c r="C6056" t="s">
        <v>923</v>
      </c>
      <c r="D6056" t="s">
        <v>3063</v>
      </c>
      <c r="E6056" t="s">
        <v>3053</v>
      </c>
      <c r="F6056" t="s">
        <v>14367</v>
      </c>
      <c r="G6056" t="s">
        <v>14368</v>
      </c>
      <c r="H6056" t="s">
        <v>15039</v>
      </c>
      <c r="I6056">
        <v>10</v>
      </c>
      <c r="J6056">
        <v>0</v>
      </c>
      <c r="K6056">
        <v>0</v>
      </c>
      <c r="L6056">
        <v>10</v>
      </c>
      <c r="M6056">
        <v>0</v>
      </c>
      <c r="N6056">
        <v>0</v>
      </c>
      <c r="O6056">
        <v>0</v>
      </c>
    </row>
    <row r="6057" spans="1:15" x14ac:dyDescent="0.25">
      <c r="A6057" t="s">
        <v>1066</v>
      </c>
      <c r="B6057" t="s">
        <v>2557</v>
      </c>
      <c r="C6057" t="s">
        <v>927</v>
      </c>
      <c r="D6057" t="s">
        <v>3052</v>
      </c>
      <c r="E6057" t="s">
        <v>3053</v>
      </c>
      <c r="F6057" t="s">
        <v>14367</v>
      </c>
      <c r="G6057" t="s">
        <v>14368</v>
      </c>
      <c r="H6057" t="s">
        <v>15040</v>
      </c>
      <c r="I6057">
        <v>69</v>
      </c>
      <c r="J6057">
        <v>0</v>
      </c>
      <c r="K6057">
        <v>0</v>
      </c>
      <c r="L6057">
        <v>0</v>
      </c>
      <c r="M6057">
        <v>62</v>
      </c>
      <c r="N6057">
        <v>0</v>
      </c>
      <c r="O6057">
        <v>7</v>
      </c>
    </row>
    <row r="6058" spans="1:15" x14ac:dyDescent="0.25">
      <c r="A6058" t="s">
        <v>1912</v>
      </c>
      <c r="B6058" t="s">
        <v>2603</v>
      </c>
      <c r="C6058" t="s">
        <v>923</v>
      </c>
      <c r="D6058" t="s">
        <v>3063</v>
      </c>
      <c r="E6058" t="s">
        <v>3053</v>
      </c>
      <c r="F6058" t="s">
        <v>14367</v>
      </c>
      <c r="G6058" t="s">
        <v>14368</v>
      </c>
      <c r="H6058" t="s">
        <v>15041</v>
      </c>
      <c r="I6058">
        <v>20</v>
      </c>
      <c r="J6058">
        <v>8</v>
      </c>
      <c r="K6058">
        <v>0</v>
      </c>
      <c r="L6058">
        <v>12</v>
      </c>
      <c r="M6058">
        <v>0</v>
      </c>
      <c r="N6058">
        <v>0</v>
      </c>
      <c r="O6058">
        <v>0</v>
      </c>
    </row>
    <row r="6059" spans="1:15" x14ac:dyDescent="0.25">
      <c r="A6059" t="s">
        <v>1069</v>
      </c>
      <c r="B6059" t="s">
        <v>2001</v>
      </c>
      <c r="C6059" t="s">
        <v>927</v>
      </c>
      <c r="D6059" t="s">
        <v>3052</v>
      </c>
      <c r="E6059" t="s">
        <v>3053</v>
      </c>
      <c r="F6059" t="s">
        <v>14367</v>
      </c>
      <c r="G6059" t="s">
        <v>14368</v>
      </c>
      <c r="H6059" t="s">
        <v>15042</v>
      </c>
      <c r="I6059">
        <v>466</v>
      </c>
      <c r="J6059">
        <v>321</v>
      </c>
      <c r="K6059">
        <v>0</v>
      </c>
      <c r="L6059">
        <v>0</v>
      </c>
      <c r="M6059">
        <v>58</v>
      </c>
      <c r="N6059">
        <v>0</v>
      </c>
      <c r="O6059">
        <v>87</v>
      </c>
    </row>
    <row r="6060" spans="1:15" x14ac:dyDescent="0.25">
      <c r="A6060" t="s">
        <v>1914</v>
      </c>
      <c r="B6060" t="s">
        <v>2324</v>
      </c>
      <c r="C6060" t="s">
        <v>923</v>
      </c>
      <c r="D6060" t="s">
        <v>3063</v>
      </c>
      <c r="E6060" t="s">
        <v>3053</v>
      </c>
      <c r="F6060" t="s">
        <v>14367</v>
      </c>
      <c r="G6060" t="s">
        <v>14368</v>
      </c>
      <c r="H6060" t="s">
        <v>15043</v>
      </c>
      <c r="I6060">
        <v>8</v>
      </c>
      <c r="J6060">
        <v>0</v>
      </c>
      <c r="K6060">
        <v>0</v>
      </c>
      <c r="L6060">
        <v>0</v>
      </c>
      <c r="M6060">
        <v>8</v>
      </c>
      <c r="N6060">
        <v>0</v>
      </c>
      <c r="O6060">
        <v>0</v>
      </c>
    </row>
    <row r="6061" spans="1:15" x14ac:dyDescent="0.25">
      <c r="A6061" t="s">
        <v>1915</v>
      </c>
      <c r="B6061" t="s">
        <v>2257</v>
      </c>
      <c r="C6061" t="s">
        <v>923</v>
      </c>
      <c r="D6061" t="s">
        <v>3063</v>
      </c>
      <c r="E6061" t="s">
        <v>3053</v>
      </c>
      <c r="F6061" t="s">
        <v>14367</v>
      </c>
      <c r="G6061" t="s">
        <v>14368</v>
      </c>
      <c r="H6061" t="s">
        <v>15044</v>
      </c>
      <c r="I6061">
        <v>20</v>
      </c>
      <c r="J6061">
        <v>20</v>
      </c>
      <c r="K6061">
        <v>0</v>
      </c>
      <c r="L6061">
        <v>0</v>
      </c>
      <c r="M6061">
        <v>0</v>
      </c>
      <c r="N6061">
        <v>0</v>
      </c>
      <c r="O6061">
        <v>0</v>
      </c>
    </row>
    <row r="6062" spans="1:15" x14ac:dyDescent="0.25">
      <c r="A6062" t="s">
        <v>1072</v>
      </c>
      <c r="B6062" t="s">
        <v>2907</v>
      </c>
      <c r="C6062" t="s">
        <v>927</v>
      </c>
      <c r="D6062" t="s">
        <v>3052</v>
      </c>
      <c r="E6062" t="s">
        <v>3053</v>
      </c>
      <c r="F6062" t="s">
        <v>14367</v>
      </c>
      <c r="G6062" t="s">
        <v>14368</v>
      </c>
      <c r="H6062" t="s">
        <v>15045</v>
      </c>
      <c r="I6062">
        <v>91</v>
      </c>
      <c r="J6062">
        <v>27</v>
      </c>
      <c r="K6062">
        <v>0</v>
      </c>
      <c r="L6062">
        <v>64</v>
      </c>
      <c r="M6062">
        <v>0</v>
      </c>
      <c r="N6062">
        <v>0</v>
      </c>
      <c r="O6062">
        <v>0</v>
      </c>
    </row>
    <row r="6063" spans="1:15" x14ac:dyDescent="0.25">
      <c r="A6063" t="s">
        <v>1180</v>
      </c>
      <c r="B6063" t="s">
        <v>2896</v>
      </c>
      <c r="C6063" t="s">
        <v>927</v>
      </c>
      <c r="D6063" t="s">
        <v>3052</v>
      </c>
      <c r="E6063" t="s">
        <v>3053</v>
      </c>
      <c r="F6063" t="s">
        <v>14367</v>
      </c>
      <c r="G6063" t="s">
        <v>14368</v>
      </c>
      <c r="H6063" t="s">
        <v>15046</v>
      </c>
      <c r="I6063">
        <v>642</v>
      </c>
      <c r="J6063">
        <v>432</v>
      </c>
      <c r="K6063">
        <v>0</v>
      </c>
      <c r="L6063">
        <v>0</v>
      </c>
      <c r="M6063">
        <v>71</v>
      </c>
      <c r="N6063">
        <v>0</v>
      </c>
      <c r="O6063">
        <v>139</v>
      </c>
    </row>
    <row r="6064" spans="1:15" x14ac:dyDescent="0.25">
      <c r="A6064" t="s">
        <v>1075</v>
      </c>
      <c r="B6064" t="s">
        <v>2830</v>
      </c>
      <c r="C6064" t="s">
        <v>927</v>
      </c>
      <c r="D6064" t="s">
        <v>3052</v>
      </c>
      <c r="E6064" t="s">
        <v>3053</v>
      </c>
      <c r="F6064" t="s">
        <v>14367</v>
      </c>
      <c r="G6064" t="s">
        <v>14368</v>
      </c>
      <c r="H6064" t="s">
        <v>15047</v>
      </c>
      <c r="I6064">
        <v>1705</v>
      </c>
      <c r="J6064">
        <v>1446</v>
      </c>
      <c r="K6064">
        <v>0</v>
      </c>
      <c r="L6064">
        <v>42</v>
      </c>
      <c r="M6064">
        <v>0</v>
      </c>
      <c r="N6064">
        <v>0</v>
      </c>
      <c r="O6064">
        <v>217</v>
      </c>
    </row>
    <row r="6065" spans="1:15" x14ac:dyDescent="0.25">
      <c r="A6065" t="s">
        <v>1920</v>
      </c>
      <c r="B6065" t="s">
        <v>2871</v>
      </c>
      <c r="C6065" t="s">
        <v>927</v>
      </c>
      <c r="D6065" t="s">
        <v>3052</v>
      </c>
      <c r="E6065" t="s">
        <v>3053</v>
      </c>
      <c r="F6065" t="s">
        <v>14367</v>
      </c>
      <c r="G6065" t="s">
        <v>14368</v>
      </c>
      <c r="H6065" t="s">
        <v>15048</v>
      </c>
      <c r="I6065">
        <v>378</v>
      </c>
      <c r="J6065">
        <v>245</v>
      </c>
      <c r="K6065">
        <v>0</v>
      </c>
      <c r="L6065">
        <v>0</v>
      </c>
      <c r="M6065">
        <v>0</v>
      </c>
      <c r="N6065">
        <v>0</v>
      </c>
      <c r="O6065">
        <v>133</v>
      </c>
    </row>
    <row r="6066" spans="1:15" x14ac:dyDescent="0.25">
      <c r="A6066" t="s">
        <v>1080</v>
      </c>
      <c r="B6066" t="s">
        <v>2030</v>
      </c>
      <c r="C6066" t="s">
        <v>923</v>
      </c>
      <c r="D6066" t="s">
        <v>3063</v>
      </c>
      <c r="E6066" t="s">
        <v>3053</v>
      </c>
      <c r="F6066" t="s">
        <v>14367</v>
      </c>
      <c r="G6066" t="s">
        <v>14368</v>
      </c>
      <c r="H6066" t="s">
        <v>15049</v>
      </c>
      <c r="I6066">
        <v>5</v>
      </c>
      <c r="J6066">
        <v>0</v>
      </c>
      <c r="K6066">
        <v>0</v>
      </c>
      <c r="L6066">
        <v>5</v>
      </c>
      <c r="M6066">
        <v>0</v>
      </c>
      <c r="N6066">
        <v>0</v>
      </c>
      <c r="O6066">
        <v>0</v>
      </c>
    </row>
    <row r="6067" spans="1:15" x14ac:dyDescent="0.25">
      <c r="A6067" t="s">
        <v>1922</v>
      </c>
      <c r="B6067" t="s">
        <v>2330</v>
      </c>
      <c r="C6067" t="s">
        <v>923</v>
      </c>
      <c r="D6067" t="s">
        <v>3063</v>
      </c>
      <c r="E6067" t="s">
        <v>3053</v>
      </c>
      <c r="F6067" t="s">
        <v>14367</v>
      </c>
      <c r="G6067" t="s">
        <v>14368</v>
      </c>
      <c r="H6067" t="s">
        <v>15050</v>
      </c>
      <c r="I6067">
        <v>20</v>
      </c>
      <c r="J6067">
        <v>0</v>
      </c>
      <c r="K6067">
        <v>0</v>
      </c>
      <c r="L6067">
        <v>0</v>
      </c>
      <c r="M6067">
        <v>20</v>
      </c>
      <c r="N6067">
        <v>0</v>
      </c>
      <c r="O6067">
        <v>0</v>
      </c>
    </row>
    <row r="6068" spans="1:15" x14ac:dyDescent="0.25">
      <c r="A6068" t="s">
        <v>1563</v>
      </c>
      <c r="B6068" t="s">
        <v>2895</v>
      </c>
      <c r="C6068" t="s">
        <v>927</v>
      </c>
      <c r="D6068" t="s">
        <v>3052</v>
      </c>
      <c r="E6068" t="s">
        <v>3053</v>
      </c>
      <c r="F6068" t="s">
        <v>14367</v>
      </c>
      <c r="G6068" t="s">
        <v>14368</v>
      </c>
      <c r="H6068" t="s">
        <v>15051</v>
      </c>
      <c r="I6068">
        <v>5670</v>
      </c>
      <c r="J6068">
        <v>5106</v>
      </c>
      <c r="K6068">
        <v>7</v>
      </c>
      <c r="L6068">
        <v>41</v>
      </c>
      <c r="M6068">
        <v>152</v>
      </c>
      <c r="N6068">
        <v>0</v>
      </c>
      <c r="O6068">
        <v>364</v>
      </c>
    </row>
    <row r="6069" spans="1:15" x14ac:dyDescent="0.25">
      <c r="A6069" t="s">
        <v>1083</v>
      </c>
      <c r="B6069" t="s">
        <v>2757</v>
      </c>
      <c r="C6069" t="s">
        <v>927</v>
      </c>
      <c r="D6069" t="s">
        <v>3052</v>
      </c>
      <c r="E6069" t="s">
        <v>3053</v>
      </c>
      <c r="F6069" t="s">
        <v>14367</v>
      </c>
      <c r="G6069" t="s">
        <v>14368</v>
      </c>
      <c r="H6069" t="s">
        <v>15052</v>
      </c>
      <c r="I6069">
        <v>51</v>
      </c>
      <c r="J6069">
        <v>48</v>
      </c>
      <c r="K6069">
        <v>0</v>
      </c>
      <c r="L6069">
        <v>0</v>
      </c>
      <c r="M6069">
        <v>0</v>
      </c>
      <c r="N6069">
        <v>0</v>
      </c>
      <c r="O6069">
        <v>3</v>
      </c>
    </row>
    <row r="6070" spans="1:15" x14ac:dyDescent="0.25">
      <c r="A6070" t="s">
        <v>1016</v>
      </c>
      <c r="B6070" t="s">
        <v>2725</v>
      </c>
      <c r="C6070" t="s">
        <v>927</v>
      </c>
      <c r="D6070" t="s">
        <v>3052</v>
      </c>
      <c r="E6070" t="s">
        <v>3053</v>
      </c>
      <c r="F6070" t="s">
        <v>632</v>
      </c>
      <c r="G6070" t="s">
        <v>633</v>
      </c>
      <c r="H6070" t="s">
        <v>7096</v>
      </c>
      <c r="I6070">
        <v>708</v>
      </c>
      <c r="J6070">
        <v>456</v>
      </c>
      <c r="K6070">
        <v>0</v>
      </c>
      <c r="L6070">
        <v>34</v>
      </c>
      <c r="M6070">
        <v>176</v>
      </c>
      <c r="N6070">
        <v>0</v>
      </c>
      <c r="O6070">
        <v>42</v>
      </c>
    </row>
    <row r="6071" spans="1:15" x14ac:dyDescent="0.25">
      <c r="A6071" t="s">
        <v>14391</v>
      </c>
      <c r="B6071" t="s">
        <v>10750</v>
      </c>
      <c r="C6071" t="s">
        <v>923</v>
      </c>
      <c r="D6071" t="s">
        <v>3063</v>
      </c>
      <c r="E6071" t="s">
        <v>3053</v>
      </c>
      <c r="F6071" t="s">
        <v>632</v>
      </c>
      <c r="G6071" t="s">
        <v>633</v>
      </c>
      <c r="H6071" t="s">
        <v>15053</v>
      </c>
      <c r="I6071">
        <v>19</v>
      </c>
      <c r="J6071">
        <v>0</v>
      </c>
      <c r="K6071">
        <v>0</v>
      </c>
      <c r="L6071">
        <v>0</v>
      </c>
      <c r="M6071">
        <v>19</v>
      </c>
      <c r="N6071">
        <v>0</v>
      </c>
      <c r="O6071">
        <v>0</v>
      </c>
    </row>
    <row r="6072" spans="1:15" x14ac:dyDescent="0.25">
      <c r="A6072" t="s">
        <v>926</v>
      </c>
      <c r="B6072" t="s">
        <v>2923</v>
      </c>
      <c r="C6072" t="s">
        <v>927</v>
      </c>
      <c r="D6072" t="s">
        <v>3052</v>
      </c>
      <c r="E6072" t="s">
        <v>3053</v>
      </c>
      <c r="F6072" t="s">
        <v>632</v>
      </c>
      <c r="G6072" t="s">
        <v>633</v>
      </c>
      <c r="H6072" t="s">
        <v>7082</v>
      </c>
      <c r="I6072">
        <v>1</v>
      </c>
      <c r="J6072">
        <v>0</v>
      </c>
      <c r="K6072">
        <v>0</v>
      </c>
      <c r="L6072">
        <v>0</v>
      </c>
      <c r="M6072">
        <v>0</v>
      </c>
      <c r="N6072">
        <v>0</v>
      </c>
      <c r="O6072">
        <v>1</v>
      </c>
    </row>
    <row r="6073" spans="1:15" x14ac:dyDescent="0.25">
      <c r="A6073" t="s">
        <v>929</v>
      </c>
      <c r="B6073" t="s">
        <v>2999</v>
      </c>
      <c r="C6073" t="s">
        <v>927</v>
      </c>
      <c r="D6073" t="s">
        <v>3052</v>
      </c>
      <c r="E6073" t="s">
        <v>3053</v>
      </c>
      <c r="F6073" t="s">
        <v>632</v>
      </c>
      <c r="G6073" t="s">
        <v>633</v>
      </c>
      <c r="H6073" t="s">
        <v>7083</v>
      </c>
      <c r="I6073">
        <v>543</v>
      </c>
      <c r="J6073">
        <v>0</v>
      </c>
      <c r="K6073">
        <v>0</v>
      </c>
      <c r="L6073">
        <v>0</v>
      </c>
      <c r="M6073">
        <v>543</v>
      </c>
      <c r="N6073">
        <v>0</v>
      </c>
      <c r="O6073">
        <v>0</v>
      </c>
    </row>
    <row r="6074" spans="1:15" x14ac:dyDescent="0.25">
      <c r="A6074" t="s">
        <v>978</v>
      </c>
      <c r="B6074" t="s">
        <v>1999</v>
      </c>
      <c r="C6074" t="s">
        <v>923</v>
      </c>
      <c r="D6074" t="s">
        <v>3063</v>
      </c>
      <c r="E6074" t="s">
        <v>3053</v>
      </c>
      <c r="F6074" t="s">
        <v>632</v>
      </c>
      <c r="G6074" t="s">
        <v>633</v>
      </c>
      <c r="H6074" t="s">
        <v>7084</v>
      </c>
      <c r="I6074">
        <v>1</v>
      </c>
      <c r="J6074">
        <v>1</v>
      </c>
      <c r="K6074">
        <v>0</v>
      </c>
      <c r="L6074">
        <v>0</v>
      </c>
      <c r="M6074">
        <v>0</v>
      </c>
      <c r="N6074">
        <v>0</v>
      </c>
      <c r="O6074">
        <v>0</v>
      </c>
    </row>
    <row r="6075" spans="1:15" x14ac:dyDescent="0.25">
      <c r="A6075" t="s">
        <v>9790</v>
      </c>
      <c r="B6075" t="s">
        <v>1977</v>
      </c>
      <c r="C6075" t="s">
        <v>923</v>
      </c>
      <c r="D6075" t="s">
        <v>3063</v>
      </c>
      <c r="E6075" t="s">
        <v>3053</v>
      </c>
      <c r="F6075" t="s">
        <v>632</v>
      </c>
      <c r="G6075" t="s">
        <v>633</v>
      </c>
      <c r="H6075" t="s">
        <v>12246</v>
      </c>
      <c r="I6075">
        <v>22</v>
      </c>
      <c r="J6075">
        <v>0</v>
      </c>
      <c r="K6075">
        <v>0</v>
      </c>
      <c r="L6075">
        <v>22</v>
      </c>
      <c r="M6075">
        <v>0</v>
      </c>
      <c r="N6075">
        <v>0</v>
      </c>
      <c r="O6075">
        <v>0</v>
      </c>
    </row>
    <row r="6076" spans="1:15" x14ac:dyDescent="0.25">
      <c r="A6076" t="s">
        <v>11687</v>
      </c>
      <c r="B6076" t="s">
        <v>2977</v>
      </c>
      <c r="C6076" t="s">
        <v>923</v>
      </c>
      <c r="D6076" t="s">
        <v>3063</v>
      </c>
      <c r="E6076" t="s">
        <v>3053</v>
      </c>
      <c r="F6076" t="s">
        <v>632</v>
      </c>
      <c r="G6076" t="s">
        <v>633</v>
      </c>
      <c r="H6076" t="s">
        <v>12247</v>
      </c>
      <c r="I6076">
        <v>9</v>
      </c>
      <c r="J6076">
        <v>0</v>
      </c>
      <c r="K6076">
        <v>0</v>
      </c>
      <c r="L6076">
        <v>0</v>
      </c>
      <c r="M6076">
        <v>9</v>
      </c>
      <c r="N6076">
        <v>0</v>
      </c>
      <c r="O6076">
        <v>0</v>
      </c>
    </row>
    <row r="6077" spans="1:15" x14ac:dyDescent="0.25">
      <c r="A6077" t="s">
        <v>1407</v>
      </c>
      <c r="B6077" t="s">
        <v>2109</v>
      </c>
      <c r="C6077" t="s">
        <v>927</v>
      </c>
      <c r="D6077" t="s">
        <v>3052</v>
      </c>
      <c r="E6077" t="s">
        <v>3053</v>
      </c>
      <c r="F6077" t="s">
        <v>632</v>
      </c>
      <c r="G6077" t="s">
        <v>633</v>
      </c>
      <c r="H6077" t="s">
        <v>7085</v>
      </c>
      <c r="I6077">
        <v>7906</v>
      </c>
      <c r="J6077">
        <v>5970</v>
      </c>
      <c r="K6077">
        <v>0</v>
      </c>
      <c r="L6077">
        <v>55</v>
      </c>
      <c r="M6077">
        <v>1765</v>
      </c>
      <c r="N6077">
        <v>0</v>
      </c>
      <c r="O6077">
        <v>116</v>
      </c>
    </row>
    <row r="6078" spans="1:15" x14ac:dyDescent="0.25">
      <c r="A6078" t="s">
        <v>9784</v>
      </c>
      <c r="B6078" t="s">
        <v>1994</v>
      </c>
      <c r="C6078" t="s">
        <v>927</v>
      </c>
      <c r="D6078" t="s">
        <v>3052</v>
      </c>
      <c r="E6078" t="s">
        <v>3053</v>
      </c>
      <c r="F6078" t="s">
        <v>632</v>
      </c>
      <c r="G6078" t="s">
        <v>633</v>
      </c>
      <c r="H6078" t="s">
        <v>9966</v>
      </c>
      <c r="I6078">
        <v>6</v>
      </c>
      <c r="J6078">
        <v>0</v>
      </c>
      <c r="K6078">
        <v>0</v>
      </c>
      <c r="L6078">
        <v>6</v>
      </c>
      <c r="M6078">
        <v>0</v>
      </c>
      <c r="N6078">
        <v>0</v>
      </c>
      <c r="O6078">
        <v>0</v>
      </c>
    </row>
    <row r="6079" spans="1:15" x14ac:dyDescent="0.25">
      <c r="A6079" t="s">
        <v>1409</v>
      </c>
      <c r="B6079" t="s">
        <v>2496</v>
      </c>
      <c r="C6079" t="s">
        <v>923</v>
      </c>
      <c r="D6079" t="s">
        <v>3063</v>
      </c>
      <c r="E6079" t="s">
        <v>3053</v>
      </c>
      <c r="F6079" t="s">
        <v>632</v>
      </c>
      <c r="G6079" t="s">
        <v>633</v>
      </c>
      <c r="H6079" t="s">
        <v>7086</v>
      </c>
      <c r="I6079">
        <v>145</v>
      </c>
      <c r="J6079">
        <v>145</v>
      </c>
      <c r="K6079">
        <v>0</v>
      </c>
      <c r="L6079">
        <v>0</v>
      </c>
      <c r="M6079">
        <v>0</v>
      </c>
      <c r="N6079">
        <v>0</v>
      </c>
      <c r="O6079">
        <v>0</v>
      </c>
    </row>
    <row r="6080" spans="1:15" x14ac:dyDescent="0.25">
      <c r="A6080" t="s">
        <v>1412</v>
      </c>
      <c r="B6080" t="s">
        <v>2099</v>
      </c>
      <c r="C6080" t="s">
        <v>927</v>
      </c>
      <c r="D6080" t="s">
        <v>3052</v>
      </c>
      <c r="E6080" t="s">
        <v>3053</v>
      </c>
      <c r="F6080" t="s">
        <v>632</v>
      </c>
      <c r="G6080" t="s">
        <v>633</v>
      </c>
      <c r="H6080" t="s">
        <v>7087</v>
      </c>
      <c r="I6080">
        <v>392</v>
      </c>
      <c r="J6080">
        <v>332</v>
      </c>
      <c r="K6080">
        <v>0</v>
      </c>
      <c r="L6080">
        <v>0</v>
      </c>
      <c r="M6080">
        <v>0</v>
      </c>
      <c r="N6080">
        <v>0</v>
      </c>
      <c r="O6080">
        <v>60</v>
      </c>
    </row>
    <row r="6081" spans="1:15" x14ac:dyDescent="0.25">
      <c r="A6081" t="s">
        <v>996</v>
      </c>
      <c r="B6081" t="s">
        <v>1952</v>
      </c>
      <c r="C6081" t="s">
        <v>923</v>
      </c>
      <c r="D6081" t="s">
        <v>3063</v>
      </c>
      <c r="E6081" t="s">
        <v>3053</v>
      </c>
      <c r="F6081" t="s">
        <v>632</v>
      </c>
      <c r="G6081" t="s">
        <v>633</v>
      </c>
      <c r="H6081" t="s">
        <v>7088</v>
      </c>
      <c r="I6081">
        <v>7</v>
      </c>
      <c r="J6081">
        <v>0</v>
      </c>
      <c r="K6081">
        <v>0</v>
      </c>
      <c r="L6081">
        <v>7</v>
      </c>
      <c r="M6081">
        <v>0</v>
      </c>
      <c r="N6081">
        <v>0</v>
      </c>
      <c r="O6081">
        <v>0</v>
      </c>
    </row>
    <row r="6082" spans="1:15" x14ac:dyDescent="0.25">
      <c r="A6082" t="s">
        <v>10620</v>
      </c>
      <c r="B6082" t="s">
        <v>10619</v>
      </c>
      <c r="C6082" t="s">
        <v>923</v>
      </c>
      <c r="D6082" t="s">
        <v>3063</v>
      </c>
      <c r="E6082" t="s">
        <v>3053</v>
      </c>
      <c r="F6082" t="s">
        <v>632</v>
      </c>
      <c r="G6082" t="s">
        <v>633</v>
      </c>
      <c r="H6082" t="s">
        <v>15054</v>
      </c>
      <c r="I6082">
        <v>12</v>
      </c>
      <c r="J6082">
        <v>0</v>
      </c>
      <c r="K6082">
        <v>0</v>
      </c>
      <c r="L6082">
        <v>0</v>
      </c>
      <c r="M6082">
        <v>12</v>
      </c>
      <c r="N6082">
        <v>0</v>
      </c>
      <c r="O6082">
        <v>0</v>
      </c>
    </row>
    <row r="6083" spans="1:15" x14ac:dyDescent="0.25">
      <c r="A6083" t="s">
        <v>1418</v>
      </c>
      <c r="B6083" t="s">
        <v>2854</v>
      </c>
      <c r="C6083" t="s">
        <v>927</v>
      </c>
      <c r="D6083" t="s">
        <v>3052</v>
      </c>
      <c r="E6083" t="s">
        <v>3053</v>
      </c>
      <c r="F6083" t="s">
        <v>632</v>
      </c>
      <c r="G6083" t="s">
        <v>633</v>
      </c>
      <c r="H6083" t="s">
        <v>7089</v>
      </c>
      <c r="I6083">
        <v>35</v>
      </c>
      <c r="J6083">
        <v>34</v>
      </c>
      <c r="K6083">
        <v>0</v>
      </c>
      <c r="L6083">
        <v>0</v>
      </c>
      <c r="M6083">
        <v>0</v>
      </c>
      <c r="N6083">
        <v>0</v>
      </c>
      <c r="O6083">
        <v>1</v>
      </c>
    </row>
    <row r="6084" spans="1:15" x14ac:dyDescent="0.25">
      <c r="A6084" t="s">
        <v>10638</v>
      </c>
      <c r="B6084" t="s">
        <v>2057</v>
      </c>
      <c r="C6084" t="s">
        <v>927</v>
      </c>
      <c r="D6084" t="s">
        <v>3052</v>
      </c>
      <c r="E6084" t="s">
        <v>3053</v>
      </c>
      <c r="F6084" t="s">
        <v>632</v>
      </c>
      <c r="G6084" t="s">
        <v>633</v>
      </c>
      <c r="H6084" t="s">
        <v>11233</v>
      </c>
      <c r="I6084">
        <v>62</v>
      </c>
      <c r="J6084">
        <v>0</v>
      </c>
      <c r="K6084">
        <v>0</v>
      </c>
      <c r="L6084">
        <v>62</v>
      </c>
      <c r="M6084">
        <v>0</v>
      </c>
      <c r="N6084">
        <v>0</v>
      </c>
      <c r="O6084">
        <v>0</v>
      </c>
    </row>
    <row r="6085" spans="1:15" x14ac:dyDescent="0.25">
      <c r="A6085" t="s">
        <v>1009</v>
      </c>
      <c r="B6085" t="s">
        <v>1958</v>
      </c>
      <c r="C6085" t="s">
        <v>923</v>
      </c>
      <c r="D6085" t="s">
        <v>3063</v>
      </c>
      <c r="E6085" t="s">
        <v>3053</v>
      </c>
      <c r="F6085" t="s">
        <v>632</v>
      </c>
      <c r="G6085" t="s">
        <v>633</v>
      </c>
      <c r="H6085" t="s">
        <v>10088</v>
      </c>
      <c r="I6085">
        <v>16</v>
      </c>
      <c r="J6085">
        <v>0</v>
      </c>
      <c r="K6085">
        <v>0</v>
      </c>
      <c r="L6085">
        <v>16</v>
      </c>
      <c r="M6085">
        <v>0</v>
      </c>
      <c r="N6085">
        <v>0</v>
      </c>
      <c r="O6085">
        <v>0</v>
      </c>
    </row>
    <row r="6086" spans="1:15" x14ac:dyDescent="0.25">
      <c r="A6086" t="s">
        <v>1419</v>
      </c>
      <c r="B6086" t="s">
        <v>2013</v>
      </c>
      <c r="C6086" t="s">
        <v>923</v>
      </c>
      <c r="D6086" t="s">
        <v>3063</v>
      </c>
      <c r="E6086" t="s">
        <v>3053</v>
      </c>
      <c r="F6086" t="s">
        <v>632</v>
      </c>
      <c r="G6086" t="s">
        <v>633</v>
      </c>
      <c r="H6086" t="s">
        <v>7090</v>
      </c>
      <c r="I6086">
        <v>22</v>
      </c>
      <c r="J6086">
        <v>22</v>
      </c>
      <c r="K6086">
        <v>0</v>
      </c>
      <c r="L6086">
        <v>0</v>
      </c>
      <c r="M6086">
        <v>0</v>
      </c>
      <c r="N6086">
        <v>0</v>
      </c>
      <c r="O6086">
        <v>0</v>
      </c>
    </row>
    <row r="6087" spans="1:15" x14ac:dyDescent="0.25">
      <c r="A6087" t="s">
        <v>937</v>
      </c>
      <c r="B6087" t="s">
        <v>1962</v>
      </c>
      <c r="C6087" t="s">
        <v>927</v>
      </c>
      <c r="D6087" t="s">
        <v>3052</v>
      </c>
      <c r="E6087" t="s">
        <v>3053</v>
      </c>
      <c r="F6087" t="s">
        <v>632</v>
      </c>
      <c r="G6087" t="s">
        <v>633</v>
      </c>
      <c r="H6087" t="s">
        <v>7091</v>
      </c>
      <c r="I6087">
        <v>107</v>
      </c>
      <c r="J6087">
        <v>0</v>
      </c>
      <c r="K6087">
        <v>0</v>
      </c>
      <c r="L6087">
        <v>0</v>
      </c>
      <c r="M6087">
        <v>0</v>
      </c>
      <c r="N6087">
        <v>0</v>
      </c>
      <c r="O6087">
        <v>107</v>
      </c>
    </row>
    <row r="6088" spans="1:15" x14ac:dyDescent="0.25">
      <c r="A6088" t="s">
        <v>1420</v>
      </c>
      <c r="B6088" t="s">
        <v>2454</v>
      </c>
      <c r="C6088" t="s">
        <v>923</v>
      </c>
      <c r="D6088" t="s">
        <v>3063</v>
      </c>
      <c r="E6088" t="s">
        <v>3053</v>
      </c>
      <c r="F6088" t="s">
        <v>632</v>
      </c>
      <c r="G6088" t="s">
        <v>633</v>
      </c>
      <c r="H6088" t="s">
        <v>7092</v>
      </c>
      <c r="I6088">
        <v>26</v>
      </c>
      <c r="J6088">
        <v>26</v>
      </c>
      <c r="K6088">
        <v>0</v>
      </c>
      <c r="L6088">
        <v>0</v>
      </c>
      <c r="M6088">
        <v>0</v>
      </c>
      <c r="N6088">
        <v>0</v>
      </c>
      <c r="O6088">
        <v>0</v>
      </c>
    </row>
    <row r="6089" spans="1:15" x14ac:dyDescent="0.25">
      <c r="A6089" t="s">
        <v>938</v>
      </c>
      <c r="B6089" t="s">
        <v>2791</v>
      </c>
      <c r="C6089" t="s">
        <v>927</v>
      </c>
      <c r="D6089" t="s">
        <v>3052</v>
      </c>
      <c r="E6089" t="s">
        <v>3053</v>
      </c>
      <c r="F6089" t="s">
        <v>632</v>
      </c>
      <c r="G6089" t="s">
        <v>633</v>
      </c>
      <c r="H6089" t="s">
        <v>7093</v>
      </c>
      <c r="I6089">
        <v>785</v>
      </c>
      <c r="J6089">
        <v>560</v>
      </c>
      <c r="K6089">
        <v>0</v>
      </c>
      <c r="L6089">
        <v>100</v>
      </c>
      <c r="M6089">
        <v>19</v>
      </c>
      <c r="N6089">
        <v>0</v>
      </c>
      <c r="O6089">
        <v>106</v>
      </c>
    </row>
    <row r="6090" spans="1:15" x14ac:dyDescent="0.25">
      <c r="A6090" t="s">
        <v>940</v>
      </c>
      <c r="B6090" t="s">
        <v>2647</v>
      </c>
      <c r="C6090" t="s">
        <v>927</v>
      </c>
      <c r="D6090" t="s">
        <v>3052</v>
      </c>
      <c r="E6090" t="s">
        <v>3053</v>
      </c>
      <c r="F6090" t="s">
        <v>632</v>
      </c>
      <c r="G6090" t="s">
        <v>633</v>
      </c>
      <c r="H6090" t="s">
        <v>7094</v>
      </c>
      <c r="I6090">
        <v>80</v>
      </c>
      <c r="J6090">
        <v>0</v>
      </c>
      <c r="K6090">
        <v>0</v>
      </c>
      <c r="L6090">
        <v>0</v>
      </c>
      <c r="M6090">
        <v>80</v>
      </c>
      <c r="N6090">
        <v>0</v>
      </c>
      <c r="O6090">
        <v>0</v>
      </c>
    </row>
    <row r="6091" spans="1:15" x14ac:dyDescent="0.25">
      <c r="A6091" t="s">
        <v>1013</v>
      </c>
      <c r="B6091" t="s">
        <v>1959</v>
      </c>
      <c r="C6091" t="s">
        <v>927</v>
      </c>
      <c r="D6091" t="s">
        <v>3052</v>
      </c>
      <c r="E6091" t="s">
        <v>3053</v>
      </c>
      <c r="F6091" t="s">
        <v>632</v>
      </c>
      <c r="G6091" t="s">
        <v>633</v>
      </c>
      <c r="H6091" t="s">
        <v>7095</v>
      </c>
      <c r="I6091">
        <v>55</v>
      </c>
      <c r="J6091">
        <v>0</v>
      </c>
      <c r="K6091">
        <v>0</v>
      </c>
      <c r="L6091">
        <v>55</v>
      </c>
      <c r="M6091">
        <v>0</v>
      </c>
      <c r="N6091">
        <v>0</v>
      </c>
      <c r="O6091">
        <v>0</v>
      </c>
    </row>
    <row r="6092" spans="1:15" x14ac:dyDescent="0.25">
      <c r="A6092" t="s">
        <v>1427</v>
      </c>
      <c r="B6092" t="s">
        <v>2087</v>
      </c>
      <c r="C6092" t="s">
        <v>927</v>
      </c>
      <c r="D6092" t="s">
        <v>3052</v>
      </c>
      <c r="E6092" t="s">
        <v>3053</v>
      </c>
      <c r="F6092" t="s">
        <v>632</v>
      </c>
      <c r="G6092" t="s">
        <v>633</v>
      </c>
      <c r="H6092" t="s">
        <v>7097</v>
      </c>
      <c r="I6092">
        <v>6483</v>
      </c>
      <c r="J6092">
        <v>6017</v>
      </c>
      <c r="K6092">
        <v>0</v>
      </c>
      <c r="L6092">
        <v>9</v>
      </c>
      <c r="M6092">
        <v>278</v>
      </c>
      <c r="N6092">
        <v>0</v>
      </c>
      <c r="O6092">
        <v>179</v>
      </c>
    </row>
    <row r="6093" spans="1:15" x14ac:dyDescent="0.25">
      <c r="A6093" t="s">
        <v>1302</v>
      </c>
      <c r="B6093" t="s">
        <v>1961</v>
      </c>
      <c r="C6093" t="s">
        <v>923</v>
      </c>
      <c r="D6093" t="s">
        <v>3063</v>
      </c>
      <c r="E6093" t="s">
        <v>3053</v>
      </c>
      <c r="F6093" t="s">
        <v>632</v>
      </c>
      <c r="G6093" t="s">
        <v>633</v>
      </c>
      <c r="H6093" t="s">
        <v>15055</v>
      </c>
      <c r="I6093">
        <v>1</v>
      </c>
      <c r="J6093">
        <v>0</v>
      </c>
      <c r="K6093">
        <v>0</v>
      </c>
      <c r="L6093">
        <v>1</v>
      </c>
      <c r="M6093">
        <v>0</v>
      </c>
      <c r="N6093">
        <v>0</v>
      </c>
      <c r="O6093">
        <v>0</v>
      </c>
    </row>
    <row r="6094" spans="1:15" x14ac:dyDescent="0.25">
      <c r="A6094" t="s">
        <v>1432</v>
      </c>
      <c r="B6094" t="s">
        <v>2022</v>
      </c>
      <c r="C6094" t="s">
        <v>923</v>
      </c>
      <c r="D6094" t="s">
        <v>3063</v>
      </c>
      <c r="E6094" t="s">
        <v>3053</v>
      </c>
      <c r="F6094" t="s">
        <v>632</v>
      </c>
      <c r="G6094" t="s">
        <v>633</v>
      </c>
      <c r="H6094" t="s">
        <v>12248</v>
      </c>
      <c r="I6094">
        <v>12</v>
      </c>
      <c r="J6094">
        <v>12</v>
      </c>
      <c r="K6094">
        <v>0</v>
      </c>
      <c r="L6094">
        <v>0</v>
      </c>
      <c r="M6094">
        <v>0</v>
      </c>
      <c r="N6094">
        <v>0</v>
      </c>
      <c r="O6094">
        <v>0</v>
      </c>
    </row>
    <row r="6095" spans="1:15" x14ac:dyDescent="0.25">
      <c r="A6095" t="s">
        <v>951</v>
      </c>
      <c r="B6095" t="s">
        <v>2680</v>
      </c>
      <c r="C6095" t="s">
        <v>927</v>
      </c>
      <c r="D6095" t="s">
        <v>3052</v>
      </c>
      <c r="E6095" t="s">
        <v>3053</v>
      </c>
      <c r="F6095" t="s">
        <v>632</v>
      </c>
      <c r="G6095" t="s">
        <v>633</v>
      </c>
      <c r="H6095" t="s">
        <v>7098</v>
      </c>
      <c r="I6095">
        <v>577</v>
      </c>
      <c r="J6095">
        <v>507</v>
      </c>
      <c r="K6095">
        <v>0</v>
      </c>
      <c r="L6095">
        <v>11</v>
      </c>
      <c r="M6095">
        <v>38</v>
      </c>
      <c r="N6095">
        <v>0</v>
      </c>
      <c r="O6095">
        <v>21</v>
      </c>
    </row>
    <row r="6096" spans="1:15" x14ac:dyDescent="0.25">
      <c r="A6096" t="s">
        <v>1048</v>
      </c>
      <c r="B6096" t="s">
        <v>2989</v>
      </c>
      <c r="C6096" t="s">
        <v>927</v>
      </c>
      <c r="D6096" t="s">
        <v>3052</v>
      </c>
      <c r="E6096" t="s">
        <v>3053</v>
      </c>
      <c r="F6096" t="s">
        <v>632</v>
      </c>
      <c r="G6096" t="s">
        <v>633</v>
      </c>
      <c r="H6096" t="s">
        <v>7099</v>
      </c>
      <c r="I6096">
        <v>25</v>
      </c>
      <c r="J6096">
        <v>0</v>
      </c>
      <c r="K6096">
        <v>0</v>
      </c>
      <c r="L6096">
        <v>25</v>
      </c>
      <c r="M6096">
        <v>0</v>
      </c>
      <c r="N6096">
        <v>0</v>
      </c>
      <c r="O6096">
        <v>0</v>
      </c>
    </row>
    <row r="6097" spans="1:15" x14ac:dyDescent="0.25">
      <c r="A6097" t="s">
        <v>1436</v>
      </c>
      <c r="B6097" t="s">
        <v>2209</v>
      </c>
      <c r="C6097" t="s">
        <v>927</v>
      </c>
      <c r="D6097" t="s">
        <v>3052</v>
      </c>
      <c r="E6097" t="s">
        <v>3053</v>
      </c>
      <c r="F6097" t="s">
        <v>632</v>
      </c>
      <c r="G6097" t="s">
        <v>633</v>
      </c>
      <c r="H6097" t="s">
        <v>7100</v>
      </c>
      <c r="I6097">
        <v>34</v>
      </c>
      <c r="J6097">
        <v>11</v>
      </c>
      <c r="K6097">
        <v>0</v>
      </c>
      <c r="L6097">
        <v>0</v>
      </c>
      <c r="M6097">
        <v>8</v>
      </c>
      <c r="N6097">
        <v>5</v>
      </c>
      <c r="O6097">
        <v>15</v>
      </c>
    </row>
    <row r="6098" spans="1:15" x14ac:dyDescent="0.25">
      <c r="A6098" t="s">
        <v>953</v>
      </c>
      <c r="B6098" t="s">
        <v>2014</v>
      </c>
      <c r="C6098" t="s">
        <v>927</v>
      </c>
      <c r="D6098" t="s">
        <v>3052</v>
      </c>
      <c r="E6098" t="s">
        <v>3053</v>
      </c>
      <c r="F6098" t="s">
        <v>632</v>
      </c>
      <c r="G6098" t="s">
        <v>633</v>
      </c>
      <c r="H6098" t="s">
        <v>7101</v>
      </c>
      <c r="I6098">
        <v>24</v>
      </c>
      <c r="J6098">
        <v>0</v>
      </c>
      <c r="K6098">
        <v>0</v>
      </c>
      <c r="L6098">
        <v>24</v>
      </c>
      <c r="M6098">
        <v>0</v>
      </c>
      <c r="N6098">
        <v>0</v>
      </c>
      <c r="O6098">
        <v>0</v>
      </c>
    </row>
    <row r="6099" spans="1:15" x14ac:dyDescent="0.25">
      <c r="A6099" t="s">
        <v>11720</v>
      </c>
      <c r="B6099" t="s">
        <v>10718</v>
      </c>
      <c r="C6099" t="s">
        <v>927</v>
      </c>
      <c r="D6099" t="s">
        <v>3052</v>
      </c>
      <c r="E6099" t="s">
        <v>3053</v>
      </c>
      <c r="F6099" t="s">
        <v>632</v>
      </c>
      <c r="G6099" t="s">
        <v>633</v>
      </c>
      <c r="H6099" t="s">
        <v>15056</v>
      </c>
      <c r="I6099">
        <v>9</v>
      </c>
      <c r="J6099">
        <v>9</v>
      </c>
      <c r="K6099">
        <v>0</v>
      </c>
      <c r="L6099">
        <v>0</v>
      </c>
      <c r="M6099">
        <v>0</v>
      </c>
      <c r="N6099">
        <v>0</v>
      </c>
      <c r="O6099">
        <v>0</v>
      </c>
    </row>
    <row r="6100" spans="1:15" x14ac:dyDescent="0.25">
      <c r="A6100" t="s">
        <v>9788</v>
      </c>
      <c r="B6100" t="s">
        <v>9871</v>
      </c>
      <c r="C6100" t="s">
        <v>927</v>
      </c>
      <c r="D6100" t="s">
        <v>3052</v>
      </c>
      <c r="E6100" t="s">
        <v>3053</v>
      </c>
      <c r="F6100" t="s">
        <v>632</v>
      </c>
      <c r="G6100" t="s">
        <v>633</v>
      </c>
      <c r="H6100" t="s">
        <v>15057</v>
      </c>
      <c r="I6100">
        <v>4</v>
      </c>
      <c r="J6100">
        <v>4</v>
      </c>
      <c r="K6100">
        <v>0</v>
      </c>
      <c r="L6100">
        <v>0</v>
      </c>
      <c r="M6100">
        <v>0</v>
      </c>
      <c r="N6100">
        <v>0</v>
      </c>
      <c r="O6100">
        <v>0</v>
      </c>
    </row>
    <row r="6101" spans="1:15" x14ac:dyDescent="0.25">
      <c r="A6101" t="s">
        <v>1442</v>
      </c>
      <c r="B6101" t="s">
        <v>2017</v>
      </c>
      <c r="C6101" t="s">
        <v>923</v>
      </c>
      <c r="D6101" t="s">
        <v>3063</v>
      </c>
      <c r="E6101" t="s">
        <v>3053</v>
      </c>
      <c r="F6101" t="s">
        <v>632</v>
      </c>
      <c r="G6101" t="s">
        <v>633</v>
      </c>
      <c r="H6101" t="s">
        <v>7102</v>
      </c>
      <c r="I6101">
        <v>34</v>
      </c>
      <c r="J6101">
        <v>10</v>
      </c>
      <c r="K6101">
        <v>0</v>
      </c>
      <c r="L6101">
        <v>24</v>
      </c>
      <c r="M6101">
        <v>0</v>
      </c>
      <c r="N6101">
        <v>0</v>
      </c>
      <c r="O6101">
        <v>0</v>
      </c>
    </row>
    <row r="6102" spans="1:15" x14ac:dyDescent="0.25">
      <c r="A6102" t="s">
        <v>1443</v>
      </c>
      <c r="B6102" t="s">
        <v>2578</v>
      </c>
      <c r="C6102" t="s">
        <v>923</v>
      </c>
      <c r="D6102" t="s">
        <v>3063</v>
      </c>
      <c r="E6102" t="s">
        <v>3053</v>
      </c>
      <c r="F6102" t="s">
        <v>632</v>
      </c>
      <c r="G6102" t="s">
        <v>633</v>
      </c>
      <c r="H6102" t="s">
        <v>7103</v>
      </c>
      <c r="I6102">
        <v>9</v>
      </c>
      <c r="J6102">
        <v>0</v>
      </c>
      <c r="K6102">
        <v>0</v>
      </c>
      <c r="L6102">
        <v>0</v>
      </c>
      <c r="M6102">
        <v>9</v>
      </c>
      <c r="N6102">
        <v>0</v>
      </c>
      <c r="O6102">
        <v>0</v>
      </c>
    </row>
    <row r="6103" spans="1:15" x14ac:dyDescent="0.25">
      <c r="A6103" t="s">
        <v>1066</v>
      </c>
      <c r="B6103" t="s">
        <v>2557</v>
      </c>
      <c r="C6103" t="s">
        <v>927</v>
      </c>
      <c r="D6103" t="s">
        <v>3052</v>
      </c>
      <c r="E6103" t="s">
        <v>3053</v>
      </c>
      <c r="F6103" t="s">
        <v>632</v>
      </c>
      <c r="G6103" t="s">
        <v>633</v>
      </c>
      <c r="H6103" t="s">
        <v>7104</v>
      </c>
      <c r="I6103">
        <v>19</v>
      </c>
      <c r="J6103">
        <v>0</v>
      </c>
      <c r="K6103">
        <v>0</v>
      </c>
      <c r="L6103">
        <v>0</v>
      </c>
      <c r="M6103">
        <v>19</v>
      </c>
      <c r="N6103">
        <v>0</v>
      </c>
      <c r="O6103">
        <v>0</v>
      </c>
    </row>
    <row r="6104" spans="1:15" x14ac:dyDescent="0.25">
      <c r="A6104" t="s">
        <v>9816</v>
      </c>
      <c r="B6104" t="s">
        <v>2900</v>
      </c>
      <c r="C6104" t="s">
        <v>923</v>
      </c>
      <c r="D6104" t="s">
        <v>3063</v>
      </c>
      <c r="E6104" t="s">
        <v>3053</v>
      </c>
      <c r="F6104" t="s">
        <v>632</v>
      </c>
      <c r="G6104" t="s">
        <v>633</v>
      </c>
      <c r="H6104" t="s">
        <v>10475</v>
      </c>
      <c r="I6104">
        <v>7</v>
      </c>
      <c r="J6104">
        <v>0</v>
      </c>
      <c r="K6104">
        <v>0</v>
      </c>
      <c r="L6104">
        <v>7</v>
      </c>
      <c r="M6104">
        <v>0</v>
      </c>
      <c r="N6104">
        <v>0</v>
      </c>
      <c r="O6104">
        <v>0</v>
      </c>
    </row>
    <row r="6105" spans="1:15" x14ac:dyDescent="0.25">
      <c r="A6105" t="s">
        <v>1444</v>
      </c>
      <c r="B6105" t="s">
        <v>1971</v>
      </c>
      <c r="C6105" t="s">
        <v>923</v>
      </c>
      <c r="D6105" t="s">
        <v>3063</v>
      </c>
      <c r="E6105" t="s">
        <v>3053</v>
      </c>
      <c r="F6105" t="s">
        <v>632</v>
      </c>
      <c r="G6105" t="s">
        <v>633</v>
      </c>
      <c r="H6105" t="s">
        <v>7105</v>
      </c>
      <c r="I6105">
        <v>15</v>
      </c>
      <c r="J6105">
        <v>15</v>
      </c>
      <c r="K6105">
        <v>0</v>
      </c>
      <c r="L6105">
        <v>0</v>
      </c>
      <c r="M6105">
        <v>0</v>
      </c>
      <c r="N6105">
        <v>0</v>
      </c>
      <c r="O6105">
        <v>0</v>
      </c>
    </row>
    <row r="6106" spans="1:15" x14ac:dyDescent="0.25">
      <c r="A6106" t="s">
        <v>1445</v>
      </c>
      <c r="B6106" t="s">
        <v>2243</v>
      </c>
      <c r="C6106" t="s">
        <v>923</v>
      </c>
      <c r="D6106" t="s">
        <v>3063</v>
      </c>
      <c r="E6106" t="s">
        <v>3053</v>
      </c>
      <c r="F6106" t="s">
        <v>632</v>
      </c>
      <c r="G6106" t="s">
        <v>633</v>
      </c>
      <c r="H6106" t="s">
        <v>7106</v>
      </c>
      <c r="I6106">
        <v>10</v>
      </c>
      <c r="J6106">
        <v>10</v>
      </c>
      <c r="K6106">
        <v>0</v>
      </c>
      <c r="L6106">
        <v>0</v>
      </c>
      <c r="M6106">
        <v>0</v>
      </c>
      <c r="N6106">
        <v>0</v>
      </c>
      <c r="O6106">
        <v>0</v>
      </c>
    </row>
    <row r="6107" spans="1:15" x14ac:dyDescent="0.25">
      <c r="A6107" t="s">
        <v>1072</v>
      </c>
      <c r="B6107" t="s">
        <v>2907</v>
      </c>
      <c r="C6107" t="s">
        <v>927</v>
      </c>
      <c r="D6107" t="s">
        <v>3052</v>
      </c>
      <c r="E6107" t="s">
        <v>3053</v>
      </c>
      <c r="F6107" t="s">
        <v>632</v>
      </c>
      <c r="G6107" t="s">
        <v>633</v>
      </c>
      <c r="H6107" t="s">
        <v>7107</v>
      </c>
      <c r="I6107">
        <v>470</v>
      </c>
      <c r="J6107">
        <v>320</v>
      </c>
      <c r="K6107">
        <v>0</v>
      </c>
      <c r="L6107">
        <v>30</v>
      </c>
      <c r="M6107">
        <v>0</v>
      </c>
      <c r="N6107">
        <v>0</v>
      </c>
      <c r="O6107">
        <v>120</v>
      </c>
    </row>
    <row r="6108" spans="1:15" x14ac:dyDescent="0.25">
      <c r="A6108" t="s">
        <v>1180</v>
      </c>
      <c r="B6108" t="s">
        <v>2896</v>
      </c>
      <c r="C6108" t="s">
        <v>927</v>
      </c>
      <c r="D6108" t="s">
        <v>3052</v>
      </c>
      <c r="E6108" t="s">
        <v>3053</v>
      </c>
      <c r="F6108" t="s">
        <v>632</v>
      </c>
      <c r="G6108" t="s">
        <v>633</v>
      </c>
      <c r="H6108" t="s">
        <v>7108</v>
      </c>
      <c r="I6108">
        <v>218</v>
      </c>
      <c r="J6108">
        <v>171</v>
      </c>
      <c r="K6108">
        <v>0</v>
      </c>
      <c r="L6108">
        <v>0</v>
      </c>
      <c r="M6108">
        <v>0</v>
      </c>
      <c r="N6108">
        <v>0</v>
      </c>
      <c r="O6108">
        <v>47</v>
      </c>
    </row>
    <row r="6109" spans="1:15" x14ac:dyDescent="0.25">
      <c r="A6109" t="s">
        <v>1447</v>
      </c>
      <c r="B6109" t="s">
        <v>3018</v>
      </c>
      <c r="C6109" t="s">
        <v>923</v>
      </c>
      <c r="D6109" t="s">
        <v>3063</v>
      </c>
      <c r="E6109" t="s">
        <v>3053</v>
      </c>
      <c r="F6109" t="s">
        <v>632</v>
      </c>
      <c r="G6109" t="s">
        <v>633</v>
      </c>
      <c r="H6109" t="s">
        <v>7109</v>
      </c>
      <c r="I6109">
        <v>16</v>
      </c>
      <c r="J6109">
        <v>0</v>
      </c>
      <c r="K6109">
        <v>0</v>
      </c>
      <c r="L6109">
        <v>16</v>
      </c>
      <c r="M6109">
        <v>0</v>
      </c>
      <c r="N6109">
        <v>0</v>
      </c>
      <c r="O6109">
        <v>0</v>
      </c>
    </row>
    <row r="6110" spans="1:15" x14ac:dyDescent="0.25">
      <c r="A6110" t="s">
        <v>1080</v>
      </c>
      <c r="B6110" t="s">
        <v>2030</v>
      </c>
      <c r="C6110" t="s">
        <v>923</v>
      </c>
      <c r="D6110" t="s">
        <v>3063</v>
      </c>
      <c r="E6110" t="s">
        <v>3053</v>
      </c>
      <c r="F6110" t="s">
        <v>632</v>
      </c>
      <c r="G6110" t="s">
        <v>633</v>
      </c>
      <c r="H6110" t="s">
        <v>7110</v>
      </c>
      <c r="I6110">
        <v>5</v>
      </c>
      <c r="J6110">
        <v>0</v>
      </c>
      <c r="K6110">
        <v>0</v>
      </c>
      <c r="L6110">
        <v>5</v>
      </c>
      <c r="M6110">
        <v>0</v>
      </c>
      <c r="N6110">
        <v>0</v>
      </c>
      <c r="O6110">
        <v>0</v>
      </c>
    </row>
    <row r="6111" spans="1:15" x14ac:dyDescent="0.25">
      <c r="A6111" t="s">
        <v>929</v>
      </c>
      <c r="B6111" t="s">
        <v>2999</v>
      </c>
      <c r="C6111" t="s">
        <v>927</v>
      </c>
      <c r="D6111" t="s">
        <v>3052</v>
      </c>
      <c r="E6111" t="s">
        <v>3053</v>
      </c>
      <c r="F6111" t="s">
        <v>634</v>
      </c>
      <c r="G6111" t="s">
        <v>635</v>
      </c>
      <c r="H6111" t="s">
        <v>7111</v>
      </c>
      <c r="I6111">
        <v>155</v>
      </c>
      <c r="J6111">
        <v>3</v>
      </c>
      <c r="K6111">
        <v>0</v>
      </c>
      <c r="L6111">
        <v>0</v>
      </c>
      <c r="M6111">
        <v>152</v>
      </c>
      <c r="N6111">
        <v>28</v>
      </c>
      <c r="O6111">
        <v>0</v>
      </c>
    </row>
    <row r="6112" spans="1:15" x14ac:dyDescent="0.25">
      <c r="A6112" t="s">
        <v>1099</v>
      </c>
      <c r="B6112" t="s">
        <v>2641</v>
      </c>
      <c r="C6112" t="s">
        <v>927</v>
      </c>
      <c r="D6112" t="s">
        <v>3052</v>
      </c>
      <c r="E6112" t="s">
        <v>3053</v>
      </c>
      <c r="F6112" t="s">
        <v>634</v>
      </c>
      <c r="G6112" t="s">
        <v>635</v>
      </c>
      <c r="H6112" t="s">
        <v>7113</v>
      </c>
      <c r="I6112">
        <v>1942</v>
      </c>
      <c r="J6112">
        <v>1648</v>
      </c>
      <c r="K6112">
        <v>4</v>
      </c>
      <c r="L6112">
        <v>71</v>
      </c>
      <c r="M6112">
        <v>168</v>
      </c>
      <c r="N6112">
        <v>1</v>
      </c>
      <c r="O6112">
        <v>51</v>
      </c>
    </row>
    <row r="6113" spans="1:15" x14ac:dyDescent="0.25">
      <c r="A6113" t="s">
        <v>933</v>
      </c>
      <c r="B6113" t="s">
        <v>2106</v>
      </c>
      <c r="C6113" t="s">
        <v>927</v>
      </c>
      <c r="D6113" t="s">
        <v>3052</v>
      </c>
      <c r="E6113" t="s">
        <v>3053</v>
      </c>
      <c r="F6113" t="s">
        <v>634</v>
      </c>
      <c r="G6113" t="s">
        <v>635</v>
      </c>
      <c r="H6113" t="s">
        <v>7114</v>
      </c>
      <c r="I6113">
        <v>250</v>
      </c>
      <c r="J6113">
        <v>189</v>
      </c>
      <c r="K6113">
        <v>0</v>
      </c>
      <c r="L6113">
        <v>2</v>
      </c>
      <c r="M6113">
        <v>0</v>
      </c>
      <c r="N6113">
        <v>0</v>
      </c>
      <c r="O6113">
        <v>59</v>
      </c>
    </row>
    <row r="6114" spans="1:15" x14ac:dyDescent="0.25">
      <c r="A6114" t="s">
        <v>1104</v>
      </c>
      <c r="B6114" t="s">
        <v>2483</v>
      </c>
      <c r="C6114" t="s">
        <v>923</v>
      </c>
      <c r="D6114" t="s">
        <v>3063</v>
      </c>
      <c r="E6114" t="s">
        <v>3053</v>
      </c>
      <c r="F6114" t="s">
        <v>634</v>
      </c>
      <c r="G6114" t="s">
        <v>635</v>
      </c>
      <c r="H6114" t="s">
        <v>7115</v>
      </c>
      <c r="I6114">
        <v>1</v>
      </c>
      <c r="J6114">
        <v>1</v>
      </c>
      <c r="K6114">
        <v>0</v>
      </c>
      <c r="L6114">
        <v>0</v>
      </c>
      <c r="M6114">
        <v>0</v>
      </c>
      <c r="N6114">
        <v>0</v>
      </c>
      <c r="O6114">
        <v>0</v>
      </c>
    </row>
    <row r="6115" spans="1:15" x14ac:dyDescent="0.25">
      <c r="A6115" t="s">
        <v>1106</v>
      </c>
      <c r="B6115" t="s">
        <v>2960</v>
      </c>
      <c r="C6115" t="s">
        <v>923</v>
      </c>
      <c r="D6115" t="s">
        <v>3063</v>
      </c>
      <c r="E6115" t="s">
        <v>3053</v>
      </c>
      <c r="F6115" t="s">
        <v>634</v>
      </c>
      <c r="G6115" t="s">
        <v>635</v>
      </c>
      <c r="H6115" t="s">
        <v>7116</v>
      </c>
      <c r="I6115">
        <v>51</v>
      </c>
      <c r="J6115">
        <v>0</v>
      </c>
      <c r="K6115">
        <v>0</v>
      </c>
      <c r="L6115">
        <v>0</v>
      </c>
      <c r="M6115">
        <v>51</v>
      </c>
      <c r="N6115">
        <v>0</v>
      </c>
      <c r="O6115">
        <v>0</v>
      </c>
    </row>
    <row r="6116" spans="1:15" x14ac:dyDescent="0.25">
      <c r="A6116" t="s">
        <v>996</v>
      </c>
      <c r="B6116" t="s">
        <v>1952</v>
      </c>
      <c r="C6116" t="s">
        <v>923</v>
      </c>
      <c r="D6116" t="s">
        <v>3063</v>
      </c>
      <c r="E6116" t="s">
        <v>3053</v>
      </c>
      <c r="F6116" t="s">
        <v>634</v>
      </c>
      <c r="G6116" t="s">
        <v>635</v>
      </c>
      <c r="H6116" t="s">
        <v>7117</v>
      </c>
      <c r="I6116">
        <v>2</v>
      </c>
      <c r="J6116">
        <v>0</v>
      </c>
      <c r="K6116">
        <v>0</v>
      </c>
      <c r="L6116">
        <v>2</v>
      </c>
      <c r="M6116">
        <v>0</v>
      </c>
      <c r="N6116">
        <v>0</v>
      </c>
      <c r="O6116">
        <v>0</v>
      </c>
    </row>
    <row r="6117" spans="1:15" x14ac:dyDescent="0.25">
      <c r="A6117" t="s">
        <v>1113</v>
      </c>
      <c r="B6117" t="s">
        <v>1953</v>
      </c>
      <c r="C6117" t="s">
        <v>927</v>
      </c>
      <c r="D6117" t="s">
        <v>3052</v>
      </c>
      <c r="E6117" t="s">
        <v>3053</v>
      </c>
      <c r="F6117" t="s">
        <v>634</v>
      </c>
      <c r="G6117" t="s">
        <v>635</v>
      </c>
      <c r="H6117" t="s">
        <v>7118</v>
      </c>
      <c r="I6117">
        <v>570</v>
      </c>
      <c r="J6117">
        <v>503</v>
      </c>
      <c r="K6117">
        <v>0</v>
      </c>
      <c r="L6117">
        <v>0</v>
      </c>
      <c r="M6117">
        <v>17</v>
      </c>
      <c r="N6117">
        <v>12</v>
      </c>
      <c r="O6117">
        <v>50</v>
      </c>
    </row>
    <row r="6118" spans="1:15" x14ac:dyDescent="0.25">
      <c r="A6118" t="s">
        <v>10638</v>
      </c>
      <c r="B6118" t="s">
        <v>2057</v>
      </c>
      <c r="C6118" t="s">
        <v>927</v>
      </c>
      <c r="D6118" t="s">
        <v>3052</v>
      </c>
      <c r="E6118" t="s">
        <v>3053</v>
      </c>
      <c r="F6118" t="s">
        <v>634</v>
      </c>
      <c r="G6118" t="s">
        <v>635</v>
      </c>
      <c r="H6118" t="s">
        <v>11234</v>
      </c>
      <c r="I6118">
        <v>6</v>
      </c>
      <c r="J6118">
        <v>0</v>
      </c>
      <c r="K6118">
        <v>0</v>
      </c>
      <c r="L6118">
        <v>6</v>
      </c>
      <c r="M6118">
        <v>0</v>
      </c>
      <c r="N6118">
        <v>0</v>
      </c>
      <c r="O6118">
        <v>0</v>
      </c>
    </row>
    <row r="6119" spans="1:15" x14ac:dyDescent="0.25">
      <c r="A6119" t="s">
        <v>1117</v>
      </c>
      <c r="B6119" t="s">
        <v>2182</v>
      </c>
      <c r="C6119" t="s">
        <v>923</v>
      </c>
      <c r="D6119" t="s">
        <v>3063</v>
      </c>
      <c r="E6119" t="s">
        <v>3053</v>
      </c>
      <c r="F6119" t="s">
        <v>634</v>
      </c>
      <c r="G6119" t="s">
        <v>635</v>
      </c>
      <c r="H6119" t="s">
        <v>7119</v>
      </c>
      <c r="I6119">
        <v>99</v>
      </c>
      <c r="J6119">
        <v>0</v>
      </c>
      <c r="K6119">
        <v>0</v>
      </c>
      <c r="L6119">
        <v>0</v>
      </c>
      <c r="M6119">
        <v>99</v>
      </c>
      <c r="N6119">
        <v>0</v>
      </c>
      <c r="O6119">
        <v>0</v>
      </c>
    </row>
    <row r="6120" spans="1:15" x14ac:dyDescent="0.25">
      <c r="A6120" t="s">
        <v>1008</v>
      </c>
      <c r="B6120" t="s">
        <v>2928</v>
      </c>
      <c r="C6120" t="s">
        <v>927</v>
      </c>
      <c r="D6120" t="s">
        <v>3052</v>
      </c>
      <c r="E6120" t="s">
        <v>3053</v>
      </c>
      <c r="F6120" t="s">
        <v>634</v>
      </c>
      <c r="G6120" t="s">
        <v>635</v>
      </c>
      <c r="H6120" t="s">
        <v>7120</v>
      </c>
      <c r="I6120">
        <v>46</v>
      </c>
      <c r="J6120">
        <v>46</v>
      </c>
      <c r="K6120">
        <v>0</v>
      </c>
      <c r="L6120">
        <v>0</v>
      </c>
      <c r="M6120">
        <v>0</v>
      </c>
      <c r="N6120">
        <v>2</v>
      </c>
      <c r="O6120">
        <v>0</v>
      </c>
    </row>
    <row r="6121" spans="1:15" x14ac:dyDescent="0.25">
      <c r="A6121" t="s">
        <v>938</v>
      </c>
      <c r="B6121" t="s">
        <v>2791</v>
      </c>
      <c r="C6121" t="s">
        <v>927</v>
      </c>
      <c r="D6121" t="s">
        <v>3052</v>
      </c>
      <c r="E6121" t="s">
        <v>3053</v>
      </c>
      <c r="F6121" t="s">
        <v>634</v>
      </c>
      <c r="G6121" t="s">
        <v>635</v>
      </c>
      <c r="H6121" t="s">
        <v>7121</v>
      </c>
      <c r="I6121">
        <v>34</v>
      </c>
      <c r="J6121">
        <v>0</v>
      </c>
      <c r="K6121">
        <v>0</v>
      </c>
      <c r="L6121">
        <v>34</v>
      </c>
      <c r="M6121">
        <v>0</v>
      </c>
      <c r="N6121">
        <v>0</v>
      </c>
      <c r="O6121">
        <v>0</v>
      </c>
    </row>
    <row r="6122" spans="1:15" x14ac:dyDescent="0.25">
      <c r="A6122" t="s">
        <v>940</v>
      </c>
      <c r="B6122" t="s">
        <v>2647</v>
      </c>
      <c r="C6122" t="s">
        <v>927</v>
      </c>
      <c r="D6122" t="s">
        <v>3052</v>
      </c>
      <c r="E6122" t="s">
        <v>3053</v>
      </c>
      <c r="F6122" t="s">
        <v>634</v>
      </c>
      <c r="G6122" t="s">
        <v>635</v>
      </c>
      <c r="H6122" t="s">
        <v>7122</v>
      </c>
      <c r="I6122">
        <v>73</v>
      </c>
      <c r="J6122">
        <v>0</v>
      </c>
      <c r="K6122">
        <v>0</v>
      </c>
      <c r="L6122">
        <v>0</v>
      </c>
      <c r="M6122">
        <v>73</v>
      </c>
      <c r="N6122">
        <v>0</v>
      </c>
      <c r="O6122">
        <v>0</v>
      </c>
    </row>
    <row r="6123" spans="1:15" x14ac:dyDescent="0.25">
      <c r="A6123" t="s">
        <v>1126</v>
      </c>
      <c r="B6123" t="s">
        <v>2130</v>
      </c>
      <c r="C6123" t="s">
        <v>927</v>
      </c>
      <c r="D6123" t="s">
        <v>3052</v>
      </c>
      <c r="E6123" t="s">
        <v>3053</v>
      </c>
      <c r="F6123" t="s">
        <v>634</v>
      </c>
      <c r="G6123" t="s">
        <v>635</v>
      </c>
      <c r="H6123" t="s">
        <v>15058</v>
      </c>
      <c r="I6123">
        <v>5</v>
      </c>
      <c r="J6123">
        <v>0</v>
      </c>
      <c r="K6123">
        <v>0</v>
      </c>
      <c r="L6123">
        <v>0</v>
      </c>
      <c r="M6123">
        <v>0</v>
      </c>
      <c r="N6123">
        <v>0</v>
      </c>
      <c r="O6123">
        <v>5</v>
      </c>
    </row>
    <row r="6124" spans="1:15" x14ac:dyDescent="0.25">
      <c r="A6124" t="s">
        <v>1025</v>
      </c>
      <c r="B6124" t="s">
        <v>2893</v>
      </c>
      <c r="C6124" t="s">
        <v>927</v>
      </c>
      <c r="D6124" t="s">
        <v>3052</v>
      </c>
      <c r="E6124" t="s">
        <v>3053</v>
      </c>
      <c r="F6124" t="s">
        <v>634</v>
      </c>
      <c r="G6124" t="s">
        <v>635</v>
      </c>
      <c r="H6124" t="s">
        <v>7123</v>
      </c>
      <c r="I6124">
        <v>1</v>
      </c>
      <c r="J6124">
        <v>0</v>
      </c>
      <c r="K6124">
        <v>0</v>
      </c>
      <c r="L6124">
        <v>0</v>
      </c>
      <c r="M6124">
        <v>0</v>
      </c>
      <c r="N6124">
        <v>0</v>
      </c>
      <c r="O6124">
        <v>1</v>
      </c>
    </row>
    <row r="6125" spans="1:15" x14ac:dyDescent="0.25">
      <c r="A6125" t="s">
        <v>945</v>
      </c>
      <c r="B6125" t="s">
        <v>2668</v>
      </c>
      <c r="C6125" t="s">
        <v>927</v>
      </c>
      <c r="D6125" t="s">
        <v>3052</v>
      </c>
      <c r="E6125" t="s">
        <v>3053</v>
      </c>
      <c r="F6125" t="s">
        <v>634</v>
      </c>
      <c r="G6125" t="s">
        <v>635</v>
      </c>
      <c r="H6125" t="s">
        <v>7124</v>
      </c>
      <c r="I6125">
        <v>2</v>
      </c>
      <c r="J6125">
        <v>0</v>
      </c>
      <c r="K6125">
        <v>0</v>
      </c>
      <c r="L6125">
        <v>0</v>
      </c>
      <c r="M6125">
        <v>0</v>
      </c>
      <c r="N6125">
        <v>0</v>
      </c>
      <c r="O6125">
        <v>2</v>
      </c>
    </row>
    <row r="6126" spans="1:15" x14ac:dyDescent="0.25">
      <c r="A6126" t="s">
        <v>1132</v>
      </c>
      <c r="B6126" t="s">
        <v>2163</v>
      </c>
      <c r="C6126" t="s">
        <v>923</v>
      </c>
      <c r="D6126" t="s">
        <v>3063</v>
      </c>
      <c r="E6126" t="s">
        <v>3053</v>
      </c>
      <c r="F6126" t="s">
        <v>634</v>
      </c>
      <c r="G6126" t="s">
        <v>635</v>
      </c>
      <c r="H6126" t="s">
        <v>7125</v>
      </c>
      <c r="I6126">
        <v>69</v>
      </c>
      <c r="J6126">
        <v>0</v>
      </c>
      <c r="K6126">
        <v>0</v>
      </c>
      <c r="L6126">
        <v>12</v>
      </c>
      <c r="M6126">
        <v>57</v>
      </c>
      <c r="N6126">
        <v>0</v>
      </c>
      <c r="O6126">
        <v>0</v>
      </c>
    </row>
    <row r="6127" spans="1:15" x14ac:dyDescent="0.25">
      <c r="A6127" t="s">
        <v>1133</v>
      </c>
      <c r="B6127" t="s">
        <v>2738</v>
      </c>
      <c r="C6127" t="s">
        <v>923</v>
      </c>
      <c r="D6127" t="s">
        <v>3063</v>
      </c>
      <c r="E6127" t="s">
        <v>3053</v>
      </c>
      <c r="F6127" t="s">
        <v>634</v>
      </c>
      <c r="G6127" t="s">
        <v>635</v>
      </c>
      <c r="H6127" t="s">
        <v>7126</v>
      </c>
      <c r="I6127">
        <v>286</v>
      </c>
      <c r="J6127">
        <v>3</v>
      </c>
      <c r="K6127">
        <v>0</v>
      </c>
      <c r="L6127">
        <v>0</v>
      </c>
      <c r="M6127">
        <v>283</v>
      </c>
      <c r="N6127">
        <v>0</v>
      </c>
      <c r="O6127">
        <v>0</v>
      </c>
    </row>
    <row r="6128" spans="1:15" x14ac:dyDescent="0.25">
      <c r="A6128" t="s">
        <v>1041</v>
      </c>
      <c r="B6128" t="s">
        <v>2826</v>
      </c>
      <c r="C6128" t="s">
        <v>927</v>
      </c>
      <c r="D6128" t="s">
        <v>3052</v>
      </c>
      <c r="E6128" t="s">
        <v>3053</v>
      </c>
      <c r="F6128" t="s">
        <v>634</v>
      </c>
      <c r="G6128" t="s">
        <v>635</v>
      </c>
      <c r="H6128" t="s">
        <v>7127</v>
      </c>
      <c r="I6128">
        <v>124</v>
      </c>
      <c r="J6128">
        <v>0</v>
      </c>
      <c r="K6128">
        <v>0</v>
      </c>
      <c r="L6128">
        <v>0</v>
      </c>
      <c r="M6128">
        <v>0</v>
      </c>
      <c r="N6128">
        <v>0</v>
      </c>
      <c r="O6128">
        <v>124</v>
      </c>
    </row>
    <row r="6129" spans="1:15" x14ac:dyDescent="0.25">
      <c r="A6129" t="s">
        <v>9787</v>
      </c>
      <c r="B6129" t="s">
        <v>2822</v>
      </c>
      <c r="C6129" t="s">
        <v>927</v>
      </c>
      <c r="D6129" t="s">
        <v>3052</v>
      </c>
      <c r="E6129" t="s">
        <v>3053</v>
      </c>
      <c r="F6129" t="s">
        <v>634</v>
      </c>
      <c r="G6129" t="s">
        <v>635</v>
      </c>
      <c r="H6129" t="s">
        <v>10270</v>
      </c>
      <c r="I6129">
        <v>703</v>
      </c>
      <c r="J6129">
        <v>642</v>
      </c>
      <c r="K6129">
        <v>0</v>
      </c>
      <c r="L6129">
        <v>6</v>
      </c>
      <c r="M6129">
        <v>55</v>
      </c>
      <c r="N6129">
        <v>4</v>
      </c>
      <c r="O6129">
        <v>0</v>
      </c>
    </row>
    <row r="6130" spans="1:15" x14ac:dyDescent="0.25">
      <c r="A6130" t="s">
        <v>1141</v>
      </c>
      <c r="B6130" t="s">
        <v>2642</v>
      </c>
      <c r="C6130" t="s">
        <v>927</v>
      </c>
      <c r="D6130" t="s">
        <v>3052</v>
      </c>
      <c r="E6130" t="s">
        <v>3053</v>
      </c>
      <c r="F6130" t="s">
        <v>634</v>
      </c>
      <c r="G6130" t="s">
        <v>635</v>
      </c>
      <c r="H6130" t="s">
        <v>7128</v>
      </c>
      <c r="I6130">
        <v>263</v>
      </c>
      <c r="J6130">
        <v>218</v>
      </c>
      <c r="K6130">
        <v>0</v>
      </c>
      <c r="L6130">
        <v>33</v>
      </c>
      <c r="M6130">
        <v>0</v>
      </c>
      <c r="N6130">
        <v>0</v>
      </c>
      <c r="O6130">
        <v>12</v>
      </c>
    </row>
    <row r="6131" spans="1:15" x14ac:dyDescent="0.25">
      <c r="A6131" t="s">
        <v>951</v>
      </c>
      <c r="B6131" t="s">
        <v>2680</v>
      </c>
      <c r="C6131" t="s">
        <v>927</v>
      </c>
      <c r="D6131" t="s">
        <v>3052</v>
      </c>
      <c r="E6131" t="s">
        <v>3053</v>
      </c>
      <c r="F6131" t="s">
        <v>634</v>
      </c>
      <c r="G6131" t="s">
        <v>635</v>
      </c>
      <c r="H6131" t="s">
        <v>7129</v>
      </c>
      <c r="I6131">
        <v>279</v>
      </c>
      <c r="J6131">
        <v>279</v>
      </c>
      <c r="K6131">
        <v>0</v>
      </c>
      <c r="L6131">
        <v>0</v>
      </c>
      <c r="M6131">
        <v>0</v>
      </c>
      <c r="N6131">
        <v>0</v>
      </c>
      <c r="O6131">
        <v>0</v>
      </c>
    </row>
    <row r="6132" spans="1:15" x14ac:dyDescent="0.25">
      <c r="A6132" t="s">
        <v>1048</v>
      </c>
      <c r="B6132" t="s">
        <v>2989</v>
      </c>
      <c r="C6132" t="s">
        <v>927</v>
      </c>
      <c r="D6132" t="s">
        <v>3052</v>
      </c>
      <c r="E6132" t="s">
        <v>3053</v>
      </c>
      <c r="F6132" t="s">
        <v>634</v>
      </c>
      <c r="G6132" t="s">
        <v>635</v>
      </c>
      <c r="H6132" t="s">
        <v>12249</v>
      </c>
      <c r="I6132">
        <v>718</v>
      </c>
      <c r="J6132">
        <v>572</v>
      </c>
      <c r="K6132">
        <v>0</v>
      </c>
      <c r="L6132">
        <v>45</v>
      </c>
      <c r="M6132">
        <v>67</v>
      </c>
      <c r="N6132">
        <v>0</v>
      </c>
      <c r="O6132">
        <v>34</v>
      </c>
    </row>
    <row r="6133" spans="1:15" x14ac:dyDescent="0.25">
      <c r="A6133" t="s">
        <v>953</v>
      </c>
      <c r="B6133" t="s">
        <v>2014</v>
      </c>
      <c r="C6133" t="s">
        <v>927</v>
      </c>
      <c r="D6133" t="s">
        <v>3052</v>
      </c>
      <c r="E6133" t="s">
        <v>3053</v>
      </c>
      <c r="F6133" t="s">
        <v>634</v>
      </c>
      <c r="G6133" t="s">
        <v>635</v>
      </c>
      <c r="H6133" t="s">
        <v>7130</v>
      </c>
      <c r="I6133">
        <v>30</v>
      </c>
      <c r="J6133">
        <v>0</v>
      </c>
      <c r="K6133">
        <v>0</v>
      </c>
      <c r="L6133">
        <v>30</v>
      </c>
      <c r="M6133">
        <v>0</v>
      </c>
      <c r="N6133">
        <v>0</v>
      </c>
      <c r="O6133">
        <v>0</v>
      </c>
    </row>
    <row r="6134" spans="1:15" x14ac:dyDescent="0.25">
      <c r="A6134" t="s">
        <v>14379</v>
      </c>
      <c r="B6134" t="s">
        <v>15059</v>
      </c>
      <c r="C6134" t="s">
        <v>923</v>
      </c>
      <c r="D6134" t="s">
        <v>3063</v>
      </c>
      <c r="E6134" t="s">
        <v>3053</v>
      </c>
      <c r="F6134" t="s">
        <v>634</v>
      </c>
      <c r="G6134" t="s">
        <v>635</v>
      </c>
      <c r="H6134" t="s">
        <v>15060</v>
      </c>
      <c r="I6134">
        <v>20</v>
      </c>
      <c r="J6134">
        <v>0</v>
      </c>
      <c r="K6134">
        <v>0</v>
      </c>
      <c r="L6134">
        <v>20</v>
      </c>
      <c r="M6134">
        <v>0</v>
      </c>
      <c r="N6134">
        <v>0</v>
      </c>
      <c r="O6134">
        <v>0</v>
      </c>
    </row>
    <row r="6135" spans="1:15" x14ac:dyDescent="0.25">
      <c r="A6135" t="s">
        <v>1152</v>
      </c>
      <c r="B6135" t="s">
        <v>3031</v>
      </c>
      <c r="C6135" t="s">
        <v>927</v>
      </c>
      <c r="D6135" t="s">
        <v>3052</v>
      </c>
      <c r="E6135" t="s">
        <v>3053</v>
      </c>
      <c r="F6135" t="s">
        <v>634</v>
      </c>
      <c r="G6135" t="s">
        <v>635</v>
      </c>
      <c r="H6135" t="s">
        <v>7131</v>
      </c>
      <c r="I6135">
        <v>152</v>
      </c>
      <c r="J6135">
        <v>58</v>
      </c>
      <c r="K6135">
        <v>0</v>
      </c>
      <c r="L6135">
        <v>0</v>
      </c>
      <c r="M6135">
        <v>92</v>
      </c>
      <c r="N6135">
        <v>1</v>
      </c>
      <c r="O6135">
        <v>2</v>
      </c>
    </row>
    <row r="6136" spans="1:15" x14ac:dyDescent="0.25">
      <c r="A6136" t="s">
        <v>1057</v>
      </c>
      <c r="B6136" t="s">
        <v>1972</v>
      </c>
      <c r="C6136" t="s">
        <v>927</v>
      </c>
      <c r="D6136" t="s">
        <v>3052</v>
      </c>
      <c r="E6136" t="s">
        <v>3053</v>
      </c>
      <c r="F6136" t="s">
        <v>634</v>
      </c>
      <c r="G6136" t="s">
        <v>635</v>
      </c>
      <c r="H6136" t="s">
        <v>7132</v>
      </c>
      <c r="I6136">
        <v>51</v>
      </c>
      <c r="J6136">
        <v>0</v>
      </c>
      <c r="K6136">
        <v>0</v>
      </c>
      <c r="L6136">
        <v>51</v>
      </c>
      <c r="M6136">
        <v>0</v>
      </c>
      <c r="N6136">
        <v>0</v>
      </c>
      <c r="O6136">
        <v>0</v>
      </c>
    </row>
    <row r="6137" spans="1:15" x14ac:dyDescent="0.25">
      <c r="A6137" t="s">
        <v>11663</v>
      </c>
      <c r="B6137" t="s">
        <v>11768</v>
      </c>
      <c r="C6137" t="s">
        <v>927</v>
      </c>
      <c r="D6137" t="s">
        <v>3052</v>
      </c>
      <c r="E6137" t="s">
        <v>3053</v>
      </c>
      <c r="F6137" t="s">
        <v>634</v>
      </c>
      <c r="G6137" t="s">
        <v>635</v>
      </c>
      <c r="H6137" t="s">
        <v>12250</v>
      </c>
      <c r="I6137">
        <v>1</v>
      </c>
      <c r="J6137">
        <v>0</v>
      </c>
      <c r="K6137">
        <v>0</v>
      </c>
      <c r="L6137">
        <v>0</v>
      </c>
      <c r="M6137">
        <v>0</v>
      </c>
      <c r="N6137">
        <v>0</v>
      </c>
      <c r="O6137">
        <v>1</v>
      </c>
    </row>
    <row r="6138" spans="1:15" x14ac:dyDescent="0.25">
      <c r="A6138" t="s">
        <v>962</v>
      </c>
      <c r="B6138" t="s">
        <v>2752</v>
      </c>
      <c r="C6138" t="s">
        <v>927</v>
      </c>
      <c r="D6138" t="s">
        <v>3052</v>
      </c>
      <c r="E6138" t="s">
        <v>3053</v>
      </c>
      <c r="F6138" t="s">
        <v>634</v>
      </c>
      <c r="G6138" t="s">
        <v>635</v>
      </c>
      <c r="H6138" t="s">
        <v>7133</v>
      </c>
      <c r="I6138">
        <v>25</v>
      </c>
      <c r="J6138">
        <v>25</v>
      </c>
      <c r="K6138">
        <v>0</v>
      </c>
      <c r="L6138">
        <v>0</v>
      </c>
      <c r="M6138">
        <v>0</v>
      </c>
      <c r="N6138">
        <v>0</v>
      </c>
      <c r="O6138">
        <v>0</v>
      </c>
    </row>
    <row r="6139" spans="1:15" x14ac:dyDescent="0.25">
      <c r="A6139" t="s">
        <v>1069</v>
      </c>
      <c r="B6139" t="s">
        <v>2001</v>
      </c>
      <c r="C6139" t="s">
        <v>927</v>
      </c>
      <c r="D6139" t="s">
        <v>3052</v>
      </c>
      <c r="E6139" t="s">
        <v>3053</v>
      </c>
      <c r="F6139" t="s">
        <v>634</v>
      </c>
      <c r="G6139" t="s">
        <v>635</v>
      </c>
      <c r="H6139" t="s">
        <v>10479</v>
      </c>
      <c r="I6139">
        <v>1</v>
      </c>
      <c r="J6139">
        <v>1</v>
      </c>
      <c r="K6139">
        <v>0</v>
      </c>
      <c r="L6139">
        <v>0</v>
      </c>
      <c r="M6139">
        <v>0</v>
      </c>
      <c r="N6139">
        <v>0</v>
      </c>
      <c r="O6139">
        <v>0</v>
      </c>
    </row>
    <row r="6140" spans="1:15" x14ac:dyDescent="0.25">
      <c r="A6140" t="s">
        <v>1179</v>
      </c>
      <c r="B6140" t="s">
        <v>2253</v>
      </c>
      <c r="C6140" t="s">
        <v>923</v>
      </c>
      <c r="D6140" t="s">
        <v>3063</v>
      </c>
      <c r="E6140" t="s">
        <v>3053</v>
      </c>
      <c r="F6140" t="s">
        <v>634</v>
      </c>
      <c r="G6140" t="s">
        <v>635</v>
      </c>
      <c r="H6140" t="s">
        <v>7134</v>
      </c>
      <c r="I6140">
        <v>29</v>
      </c>
      <c r="J6140">
        <v>3</v>
      </c>
      <c r="K6140">
        <v>0</v>
      </c>
      <c r="L6140">
        <v>0</v>
      </c>
      <c r="M6140">
        <v>26</v>
      </c>
      <c r="N6140">
        <v>0</v>
      </c>
      <c r="O6140">
        <v>0</v>
      </c>
    </row>
    <row r="6141" spans="1:15" x14ac:dyDescent="0.25">
      <c r="A6141" t="s">
        <v>1193</v>
      </c>
      <c r="B6141" t="s">
        <v>2617</v>
      </c>
      <c r="C6141" t="s">
        <v>923</v>
      </c>
      <c r="D6141" t="s">
        <v>3063</v>
      </c>
      <c r="E6141" t="s">
        <v>3053</v>
      </c>
      <c r="F6141" t="s">
        <v>634</v>
      </c>
      <c r="G6141" t="s">
        <v>635</v>
      </c>
      <c r="H6141" t="s">
        <v>7135</v>
      </c>
      <c r="I6141">
        <v>156</v>
      </c>
      <c r="J6141">
        <v>0</v>
      </c>
      <c r="K6141">
        <v>0</v>
      </c>
      <c r="L6141">
        <v>156</v>
      </c>
      <c r="M6141">
        <v>0</v>
      </c>
      <c r="N6141">
        <v>0</v>
      </c>
      <c r="O6141">
        <v>0</v>
      </c>
    </row>
    <row r="6142" spans="1:15" x14ac:dyDescent="0.25">
      <c r="A6142" t="s">
        <v>981</v>
      </c>
      <c r="B6142" t="s">
        <v>2985</v>
      </c>
      <c r="C6142" t="s">
        <v>927</v>
      </c>
      <c r="D6142" t="s">
        <v>3052</v>
      </c>
      <c r="E6142" t="s">
        <v>3053</v>
      </c>
      <c r="F6142" t="s">
        <v>634</v>
      </c>
      <c r="G6142" t="s">
        <v>635</v>
      </c>
      <c r="H6142" t="s">
        <v>7112</v>
      </c>
      <c r="I6142">
        <v>1</v>
      </c>
      <c r="J6142">
        <v>0</v>
      </c>
      <c r="K6142">
        <v>0</v>
      </c>
      <c r="L6142">
        <v>0</v>
      </c>
      <c r="M6142">
        <v>0</v>
      </c>
      <c r="N6142">
        <v>0</v>
      </c>
      <c r="O6142">
        <v>1</v>
      </c>
    </row>
    <row r="6143" spans="1:15" x14ac:dyDescent="0.25">
      <c r="A6143" t="s">
        <v>1016</v>
      </c>
      <c r="B6143" t="s">
        <v>2725</v>
      </c>
      <c r="C6143" t="s">
        <v>927</v>
      </c>
      <c r="D6143" t="s">
        <v>3052</v>
      </c>
      <c r="E6143" t="s">
        <v>3053</v>
      </c>
      <c r="F6143" t="s">
        <v>636</v>
      </c>
      <c r="G6143" t="s">
        <v>637</v>
      </c>
      <c r="H6143" t="s">
        <v>7147</v>
      </c>
      <c r="I6143">
        <v>68</v>
      </c>
      <c r="J6143">
        <v>0</v>
      </c>
      <c r="K6143">
        <v>0</v>
      </c>
      <c r="L6143">
        <v>0</v>
      </c>
      <c r="M6143">
        <v>68</v>
      </c>
      <c r="N6143">
        <v>0</v>
      </c>
      <c r="O6143">
        <v>0</v>
      </c>
    </row>
    <row r="6144" spans="1:15" x14ac:dyDescent="0.25">
      <c r="A6144" t="s">
        <v>971</v>
      </c>
      <c r="B6144" t="s">
        <v>2956</v>
      </c>
      <c r="C6144" t="s">
        <v>927</v>
      </c>
      <c r="D6144" t="s">
        <v>3052</v>
      </c>
      <c r="E6144" t="s">
        <v>3053</v>
      </c>
      <c r="F6144" t="s">
        <v>636</v>
      </c>
      <c r="G6144" t="s">
        <v>637</v>
      </c>
      <c r="H6144" t="s">
        <v>7136</v>
      </c>
      <c r="I6144">
        <v>64</v>
      </c>
      <c r="J6144">
        <v>12</v>
      </c>
      <c r="K6144">
        <v>0</v>
      </c>
      <c r="L6144">
        <v>0</v>
      </c>
      <c r="M6144">
        <v>52</v>
      </c>
      <c r="N6144">
        <v>0</v>
      </c>
      <c r="O6144">
        <v>0</v>
      </c>
    </row>
    <row r="6145" spans="1:15" x14ac:dyDescent="0.25">
      <c r="A6145" t="s">
        <v>926</v>
      </c>
      <c r="B6145" t="s">
        <v>2923</v>
      </c>
      <c r="C6145" t="s">
        <v>927</v>
      </c>
      <c r="D6145" t="s">
        <v>3052</v>
      </c>
      <c r="E6145" t="s">
        <v>3053</v>
      </c>
      <c r="F6145" t="s">
        <v>636</v>
      </c>
      <c r="G6145" t="s">
        <v>637</v>
      </c>
      <c r="H6145" t="s">
        <v>7137</v>
      </c>
      <c r="I6145">
        <v>6</v>
      </c>
      <c r="J6145">
        <v>0</v>
      </c>
      <c r="K6145">
        <v>0</v>
      </c>
      <c r="L6145">
        <v>4</v>
      </c>
      <c r="M6145">
        <v>0</v>
      </c>
      <c r="N6145">
        <v>0</v>
      </c>
      <c r="O6145">
        <v>2</v>
      </c>
    </row>
    <row r="6146" spans="1:15" x14ac:dyDescent="0.25">
      <c r="A6146" t="s">
        <v>929</v>
      </c>
      <c r="B6146" t="s">
        <v>2999</v>
      </c>
      <c r="C6146" t="s">
        <v>927</v>
      </c>
      <c r="D6146" t="s">
        <v>3052</v>
      </c>
      <c r="E6146" t="s">
        <v>3053</v>
      </c>
      <c r="F6146" t="s">
        <v>636</v>
      </c>
      <c r="G6146" t="s">
        <v>637</v>
      </c>
      <c r="H6146" t="s">
        <v>7138</v>
      </c>
      <c r="I6146">
        <v>430</v>
      </c>
      <c r="J6146">
        <v>0</v>
      </c>
      <c r="K6146">
        <v>0</v>
      </c>
      <c r="L6146">
        <v>0</v>
      </c>
      <c r="M6146">
        <v>422</v>
      </c>
      <c r="N6146">
        <v>0</v>
      </c>
      <c r="O6146">
        <v>8</v>
      </c>
    </row>
    <row r="6147" spans="1:15" x14ac:dyDescent="0.25">
      <c r="A6147" t="s">
        <v>9790</v>
      </c>
      <c r="B6147" t="s">
        <v>1977</v>
      </c>
      <c r="C6147" t="s">
        <v>923</v>
      </c>
      <c r="D6147" t="s">
        <v>3063</v>
      </c>
      <c r="E6147" t="s">
        <v>3053</v>
      </c>
      <c r="F6147" t="s">
        <v>636</v>
      </c>
      <c r="G6147" t="s">
        <v>637</v>
      </c>
      <c r="H6147" t="s">
        <v>12251</v>
      </c>
      <c r="I6147">
        <v>15</v>
      </c>
      <c r="J6147">
        <v>0</v>
      </c>
      <c r="K6147">
        <v>0</v>
      </c>
      <c r="L6147">
        <v>15</v>
      </c>
      <c r="M6147">
        <v>0</v>
      </c>
      <c r="N6147">
        <v>0</v>
      </c>
      <c r="O6147">
        <v>0</v>
      </c>
    </row>
    <row r="6148" spans="1:15" x14ac:dyDescent="0.25">
      <c r="A6148" t="s">
        <v>9784</v>
      </c>
      <c r="B6148" t="s">
        <v>1994</v>
      </c>
      <c r="C6148" t="s">
        <v>927</v>
      </c>
      <c r="D6148" t="s">
        <v>3052</v>
      </c>
      <c r="E6148" t="s">
        <v>3053</v>
      </c>
      <c r="F6148" t="s">
        <v>636</v>
      </c>
      <c r="G6148" t="s">
        <v>637</v>
      </c>
      <c r="H6148" t="s">
        <v>9967</v>
      </c>
      <c r="I6148">
        <v>24</v>
      </c>
      <c r="J6148">
        <v>0</v>
      </c>
      <c r="K6148">
        <v>0</v>
      </c>
      <c r="L6148">
        <v>24</v>
      </c>
      <c r="M6148">
        <v>0</v>
      </c>
      <c r="N6148">
        <v>0</v>
      </c>
      <c r="O6148">
        <v>0</v>
      </c>
    </row>
    <row r="6149" spans="1:15" x14ac:dyDescent="0.25">
      <c r="A6149" t="s">
        <v>985</v>
      </c>
      <c r="B6149" t="s">
        <v>1964</v>
      </c>
      <c r="C6149" t="s">
        <v>923</v>
      </c>
      <c r="D6149" t="s">
        <v>3063</v>
      </c>
      <c r="E6149" t="s">
        <v>3053</v>
      </c>
      <c r="F6149" t="s">
        <v>636</v>
      </c>
      <c r="G6149" t="s">
        <v>637</v>
      </c>
      <c r="H6149" t="s">
        <v>7139</v>
      </c>
      <c r="I6149">
        <v>8</v>
      </c>
      <c r="J6149">
        <v>0</v>
      </c>
      <c r="K6149">
        <v>0</v>
      </c>
      <c r="L6149">
        <v>8</v>
      </c>
      <c r="M6149">
        <v>0</v>
      </c>
      <c r="N6149">
        <v>0</v>
      </c>
      <c r="O6149">
        <v>0</v>
      </c>
    </row>
    <row r="6150" spans="1:15" x14ac:dyDescent="0.25">
      <c r="A6150" t="s">
        <v>989</v>
      </c>
      <c r="B6150" t="s">
        <v>2016</v>
      </c>
      <c r="C6150" t="s">
        <v>923</v>
      </c>
      <c r="D6150" t="s">
        <v>3063</v>
      </c>
      <c r="E6150" t="s">
        <v>3053</v>
      </c>
      <c r="F6150" t="s">
        <v>636</v>
      </c>
      <c r="G6150" t="s">
        <v>637</v>
      </c>
      <c r="H6150" t="s">
        <v>7140</v>
      </c>
      <c r="I6150">
        <v>3</v>
      </c>
      <c r="J6150">
        <v>0</v>
      </c>
      <c r="K6150">
        <v>0</v>
      </c>
      <c r="L6150">
        <v>3</v>
      </c>
      <c r="M6150">
        <v>0</v>
      </c>
      <c r="N6150">
        <v>0</v>
      </c>
      <c r="O6150">
        <v>0</v>
      </c>
    </row>
    <row r="6151" spans="1:15" x14ac:dyDescent="0.25">
      <c r="A6151" t="s">
        <v>997</v>
      </c>
      <c r="B6151" t="s">
        <v>2033</v>
      </c>
      <c r="C6151" t="s">
        <v>927</v>
      </c>
      <c r="D6151" t="s">
        <v>3052</v>
      </c>
      <c r="E6151" t="s">
        <v>3053</v>
      </c>
      <c r="F6151" t="s">
        <v>636</v>
      </c>
      <c r="G6151" t="s">
        <v>637</v>
      </c>
      <c r="H6151" t="s">
        <v>7141</v>
      </c>
      <c r="I6151">
        <v>96</v>
      </c>
      <c r="J6151">
        <v>61</v>
      </c>
      <c r="K6151">
        <v>0</v>
      </c>
      <c r="L6151">
        <v>25</v>
      </c>
      <c r="M6151">
        <v>0</v>
      </c>
      <c r="N6151">
        <v>1</v>
      </c>
      <c r="O6151">
        <v>10</v>
      </c>
    </row>
    <row r="6152" spans="1:15" x14ac:dyDescent="0.25">
      <c r="A6152" t="s">
        <v>11660</v>
      </c>
      <c r="B6152" t="s">
        <v>2041</v>
      </c>
      <c r="C6152" t="s">
        <v>923</v>
      </c>
      <c r="D6152" t="s">
        <v>3063</v>
      </c>
      <c r="E6152" t="s">
        <v>3053</v>
      </c>
      <c r="F6152" t="s">
        <v>636</v>
      </c>
      <c r="G6152" t="s">
        <v>637</v>
      </c>
      <c r="H6152" t="s">
        <v>15061</v>
      </c>
      <c r="I6152">
        <v>1</v>
      </c>
      <c r="J6152">
        <v>0</v>
      </c>
      <c r="K6152">
        <v>0</v>
      </c>
      <c r="L6152">
        <v>1</v>
      </c>
      <c r="M6152">
        <v>0</v>
      </c>
      <c r="N6152">
        <v>0</v>
      </c>
      <c r="O6152">
        <v>0</v>
      </c>
    </row>
    <row r="6153" spans="1:15" x14ac:dyDescent="0.25">
      <c r="A6153" t="s">
        <v>1416</v>
      </c>
      <c r="B6153" t="s">
        <v>2029</v>
      </c>
      <c r="C6153" t="s">
        <v>923</v>
      </c>
      <c r="D6153" t="s">
        <v>3063</v>
      </c>
      <c r="E6153" t="s">
        <v>3053</v>
      </c>
      <c r="F6153" t="s">
        <v>636</v>
      </c>
      <c r="G6153" t="s">
        <v>637</v>
      </c>
      <c r="H6153" t="s">
        <v>12252</v>
      </c>
      <c r="I6153">
        <v>1</v>
      </c>
      <c r="J6153">
        <v>0</v>
      </c>
      <c r="K6153">
        <v>0</v>
      </c>
      <c r="L6153">
        <v>1</v>
      </c>
      <c r="M6153">
        <v>0</v>
      </c>
      <c r="N6153">
        <v>0</v>
      </c>
      <c r="O6153">
        <v>0</v>
      </c>
    </row>
    <row r="6154" spans="1:15" x14ac:dyDescent="0.25">
      <c r="A6154" t="s">
        <v>1001</v>
      </c>
      <c r="B6154" t="s">
        <v>3007</v>
      </c>
      <c r="C6154" t="s">
        <v>927</v>
      </c>
      <c r="D6154" t="s">
        <v>3052</v>
      </c>
      <c r="E6154" t="s">
        <v>3053</v>
      </c>
      <c r="F6154" t="s">
        <v>636</v>
      </c>
      <c r="G6154" t="s">
        <v>637</v>
      </c>
      <c r="H6154" t="s">
        <v>7142</v>
      </c>
      <c r="I6154">
        <v>494</v>
      </c>
      <c r="J6154">
        <v>0</v>
      </c>
      <c r="K6154">
        <v>0</v>
      </c>
      <c r="L6154">
        <v>494</v>
      </c>
      <c r="M6154">
        <v>0</v>
      </c>
      <c r="N6154">
        <v>7</v>
      </c>
      <c r="O6154">
        <v>0</v>
      </c>
    </row>
    <row r="6155" spans="1:15" x14ac:dyDescent="0.25">
      <c r="A6155" t="s">
        <v>10638</v>
      </c>
      <c r="B6155" t="s">
        <v>2057</v>
      </c>
      <c r="C6155" t="s">
        <v>927</v>
      </c>
      <c r="D6155" t="s">
        <v>3052</v>
      </c>
      <c r="E6155" t="s">
        <v>3053</v>
      </c>
      <c r="F6155" t="s">
        <v>636</v>
      </c>
      <c r="G6155" t="s">
        <v>637</v>
      </c>
      <c r="H6155" t="s">
        <v>11235</v>
      </c>
      <c r="I6155">
        <v>36</v>
      </c>
      <c r="J6155">
        <v>0</v>
      </c>
      <c r="K6155">
        <v>0</v>
      </c>
      <c r="L6155">
        <v>36</v>
      </c>
      <c r="M6155">
        <v>0</v>
      </c>
      <c r="N6155">
        <v>0</v>
      </c>
      <c r="O6155">
        <v>0</v>
      </c>
    </row>
    <row r="6156" spans="1:15" x14ac:dyDescent="0.25">
      <c r="A6156" t="s">
        <v>1009</v>
      </c>
      <c r="B6156" t="s">
        <v>1958</v>
      </c>
      <c r="C6156" t="s">
        <v>923</v>
      </c>
      <c r="D6156" t="s">
        <v>3063</v>
      </c>
      <c r="E6156" t="s">
        <v>3053</v>
      </c>
      <c r="F6156" t="s">
        <v>636</v>
      </c>
      <c r="G6156" t="s">
        <v>637</v>
      </c>
      <c r="H6156" t="s">
        <v>11236</v>
      </c>
      <c r="I6156">
        <v>1</v>
      </c>
      <c r="J6156">
        <v>0</v>
      </c>
      <c r="K6156">
        <v>0</v>
      </c>
      <c r="L6156">
        <v>1</v>
      </c>
      <c r="M6156">
        <v>0</v>
      </c>
      <c r="N6156">
        <v>0</v>
      </c>
      <c r="O6156">
        <v>0</v>
      </c>
    </row>
    <row r="6157" spans="1:15" x14ac:dyDescent="0.25">
      <c r="A6157" t="s">
        <v>937</v>
      </c>
      <c r="B6157" t="s">
        <v>1962</v>
      </c>
      <c r="C6157" t="s">
        <v>927</v>
      </c>
      <c r="D6157" t="s">
        <v>3052</v>
      </c>
      <c r="E6157" t="s">
        <v>3053</v>
      </c>
      <c r="F6157" t="s">
        <v>636</v>
      </c>
      <c r="G6157" t="s">
        <v>637</v>
      </c>
      <c r="H6157" t="s">
        <v>7143</v>
      </c>
      <c r="I6157">
        <v>4</v>
      </c>
      <c r="J6157">
        <v>0</v>
      </c>
      <c r="K6157">
        <v>0</v>
      </c>
      <c r="L6157">
        <v>0</v>
      </c>
      <c r="M6157">
        <v>0</v>
      </c>
      <c r="N6157">
        <v>0</v>
      </c>
      <c r="O6157">
        <v>4</v>
      </c>
    </row>
    <row r="6158" spans="1:15" x14ac:dyDescent="0.25">
      <c r="A6158" t="s">
        <v>1011</v>
      </c>
      <c r="B6158" t="s">
        <v>2020</v>
      </c>
      <c r="C6158" t="s">
        <v>927</v>
      </c>
      <c r="D6158" t="s">
        <v>3052</v>
      </c>
      <c r="E6158" t="s">
        <v>3053</v>
      </c>
      <c r="F6158" t="s">
        <v>636</v>
      </c>
      <c r="G6158" t="s">
        <v>637</v>
      </c>
      <c r="H6158" t="s">
        <v>7144</v>
      </c>
      <c r="I6158">
        <v>43</v>
      </c>
      <c r="J6158">
        <v>0</v>
      </c>
      <c r="K6158">
        <v>0</v>
      </c>
      <c r="L6158">
        <v>43</v>
      </c>
      <c r="M6158">
        <v>0</v>
      </c>
      <c r="N6158">
        <v>0</v>
      </c>
      <c r="O6158">
        <v>0</v>
      </c>
    </row>
    <row r="6159" spans="1:15" x14ac:dyDescent="0.25">
      <c r="A6159" t="s">
        <v>940</v>
      </c>
      <c r="B6159" t="s">
        <v>2647</v>
      </c>
      <c r="C6159" t="s">
        <v>927</v>
      </c>
      <c r="D6159" t="s">
        <v>3052</v>
      </c>
      <c r="E6159" t="s">
        <v>3053</v>
      </c>
      <c r="F6159" t="s">
        <v>636</v>
      </c>
      <c r="G6159" t="s">
        <v>637</v>
      </c>
      <c r="H6159" t="s">
        <v>7145</v>
      </c>
      <c r="I6159">
        <v>229</v>
      </c>
      <c r="J6159">
        <v>0</v>
      </c>
      <c r="K6159">
        <v>0</v>
      </c>
      <c r="L6159">
        <v>0</v>
      </c>
      <c r="M6159">
        <v>229</v>
      </c>
      <c r="N6159">
        <v>0</v>
      </c>
      <c r="O6159">
        <v>0</v>
      </c>
    </row>
    <row r="6160" spans="1:15" x14ac:dyDescent="0.25">
      <c r="A6160" t="s">
        <v>1013</v>
      </c>
      <c r="B6160" t="s">
        <v>1959</v>
      </c>
      <c r="C6160" t="s">
        <v>927</v>
      </c>
      <c r="D6160" t="s">
        <v>3052</v>
      </c>
      <c r="E6160" t="s">
        <v>3053</v>
      </c>
      <c r="F6160" t="s">
        <v>636</v>
      </c>
      <c r="G6160" t="s">
        <v>637</v>
      </c>
      <c r="H6160" t="s">
        <v>7146</v>
      </c>
      <c r="I6160">
        <v>85</v>
      </c>
      <c r="J6160">
        <v>0</v>
      </c>
      <c r="K6160">
        <v>0</v>
      </c>
      <c r="L6160">
        <v>85</v>
      </c>
      <c r="M6160">
        <v>0</v>
      </c>
      <c r="N6160">
        <v>0</v>
      </c>
      <c r="O6160">
        <v>0</v>
      </c>
    </row>
    <row r="6161" spans="1:15" x14ac:dyDescent="0.25">
      <c r="A6161" t="s">
        <v>1026</v>
      </c>
      <c r="B6161" t="s">
        <v>2848</v>
      </c>
      <c r="C6161" t="s">
        <v>927</v>
      </c>
      <c r="D6161" t="s">
        <v>3052</v>
      </c>
      <c r="E6161" t="s">
        <v>3053</v>
      </c>
      <c r="F6161" t="s">
        <v>636</v>
      </c>
      <c r="G6161" t="s">
        <v>637</v>
      </c>
      <c r="H6161" t="s">
        <v>7148</v>
      </c>
      <c r="I6161">
        <v>206</v>
      </c>
      <c r="J6161">
        <v>205</v>
      </c>
      <c r="K6161">
        <v>0</v>
      </c>
      <c r="L6161">
        <v>0</v>
      </c>
      <c r="M6161">
        <v>0</v>
      </c>
      <c r="N6161">
        <v>0</v>
      </c>
      <c r="O6161">
        <v>1</v>
      </c>
    </row>
    <row r="6162" spans="1:15" x14ac:dyDescent="0.25">
      <c r="A6162" t="s">
        <v>10681</v>
      </c>
      <c r="B6162" t="s">
        <v>10680</v>
      </c>
      <c r="C6162" t="s">
        <v>927</v>
      </c>
      <c r="D6162" t="s">
        <v>3052</v>
      </c>
      <c r="E6162" t="s">
        <v>3053</v>
      </c>
      <c r="F6162" t="s">
        <v>636</v>
      </c>
      <c r="G6162" t="s">
        <v>637</v>
      </c>
      <c r="H6162" t="s">
        <v>15062</v>
      </c>
      <c r="I6162">
        <v>8</v>
      </c>
      <c r="J6162">
        <v>0</v>
      </c>
      <c r="K6162">
        <v>0</v>
      </c>
      <c r="L6162">
        <v>0</v>
      </c>
      <c r="M6162">
        <v>0</v>
      </c>
      <c r="N6162">
        <v>0</v>
      </c>
      <c r="O6162">
        <v>8</v>
      </c>
    </row>
    <row r="6163" spans="1:15" x14ac:dyDescent="0.25">
      <c r="A6163" t="s">
        <v>1027</v>
      </c>
      <c r="B6163" t="s">
        <v>2941</v>
      </c>
      <c r="C6163" t="s">
        <v>923</v>
      </c>
      <c r="D6163" t="s">
        <v>3063</v>
      </c>
      <c r="E6163" t="s">
        <v>3053</v>
      </c>
      <c r="F6163" t="s">
        <v>636</v>
      </c>
      <c r="G6163" t="s">
        <v>637</v>
      </c>
      <c r="H6163" t="s">
        <v>7149</v>
      </c>
      <c r="I6163">
        <v>110</v>
      </c>
      <c r="J6163">
        <v>0</v>
      </c>
      <c r="K6163">
        <v>0</v>
      </c>
      <c r="L6163">
        <v>0</v>
      </c>
      <c r="M6163">
        <v>110</v>
      </c>
      <c r="N6163">
        <v>0</v>
      </c>
      <c r="O6163">
        <v>0</v>
      </c>
    </row>
    <row r="6164" spans="1:15" x14ac:dyDescent="0.25">
      <c r="A6164" t="s">
        <v>943</v>
      </c>
      <c r="B6164" t="s">
        <v>2694</v>
      </c>
      <c r="C6164" t="s">
        <v>927</v>
      </c>
      <c r="D6164" t="s">
        <v>3052</v>
      </c>
      <c r="E6164" t="s">
        <v>3053</v>
      </c>
      <c r="F6164" t="s">
        <v>636</v>
      </c>
      <c r="G6164" t="s">
        <v>637</v>
      </c>
      <c r="H6164" t="s">
        <v>7150</v>
      </c>
      <c r="I6164">
        <v>1937</v>
      </c>
      <c r="J6164">
        <v>1200</v>
      </c>
      <c r="K6164">
        <v>0</v>
      </c>
      <c r="L6164">
        <v>44</v>
      </c>
      <c r="M6164">
        <v>589</v>
      </c>
      <c r="N6164">
        <v>2</v>
      </c>
      <c r="O6164">
        <v>104</v>
      </c>
    </row>
    <row r="6165" spans="1:15" x14ac:dyDescent="0.25">
      <c r="A6165" t="s">
        <v>1030</v>
      </c>
      <c r="B6165" t="s">
        <v>2880</v>
      </c>
      <c r="C6165" t="s">
        <v>927</v>
      </c>
      <c r="D6165" t="s">
        <v>3052</v>
      </c>
      <c r="E6165" t="s">
        <v>3053</v>
      </c>
      <c r="F6165" t="s">
        <v>636</v>
      </c>
      <c r="G6165" t="s">
        <v>637</v>
      </c>
      <c r="H6165" t="s">
        <v>7151</v>
      </c>
      <c r="I6165">
        <v>1</v>
      </c>
      <c r="J6165">
        <v>0</v>
      </c>
      <c r="K6165">
        <v>0</v>
      </c>
      <c r="L6165">
        <v>0</v>
      </c>
      <c r="M6165">
        <v>0</v>
      </c>
      <c r="N6165">
        <v>0</v>
      </c>
      <c r="O6165">
        <v>1</v>
      </c>
    </row>
    <row r="6166" spans="1:15" x14ac:dyDescent="0.25">
      <c r="A6166" t="s">
        <v>1033</v>
      </c>
      <c r="B6166" t="s">
        <v>2039</v>
      </c>
      <c r="C6166" t="s">
        <v>923</v>
      </c>
      <c r="D6166" t="s">
        <v>3063</v>
      </c>
      <c r="E6166" t="s">
        <v>3053</v>
      </c>
      <c r="F6166" t="s">
        <v>636</v>
      </c>
      <c r="G6166" t="s">
        <v>637</v>
      </c>
      <c r="H6166" t="s">
        <v>7152</v>
      </c>
      <c r="I6166">
        <v>29</v>
      </c>
      <c r="J6166">
        <v>0</v>
      </c>
      <c r="K6166">
        <v>0</v>
      </c>
      <c r="L6166">
        <v>29</v>
      </c>
      <c r="M6166">
        <v>0</v>
      </c>
      <c r="N6166">
        <v>0</v>
      </c>
      <c r="O6166">
        <v>0</v>
      </c>
    </row>
    <row r="6167" spans="1:15" x14ac:dyDescent="0.25">
      <c r="A6167" t="s">
        <v>1037</v>
      </c>
      <c r="B6167" t="s">
        <v>2103</v>
      </c>
      <c r="C6167" t="s">
        <v>923</v>
      </c>
      <c r="D6167" t="s">
        <v>3063</v>
      </c>
      <c r="E6167" t="s">
        <v>3053</v>
      </c>
      <c r="F6167" t="s">
        <v>636</v>
      </c>
      <c r="G6167" t="s">
        <v>637</v>
      </c>
      <c r="H6167" t="s">
        <v>7153</v>
      </c>
      <c r="I6167">
        <v>50</v>
      </c>
      <c r="J6167">
        <v>31</v>
      </c>
      <c r="K6167">
        <v>0</v>
      </c>
      <c r="L6167">
        <v>19</v>
      </c>
      <c r="M6167">
        <v>0</v>
      </c>
      <c r="N6167">
        <v>0</v>
      </c>
      <c r="O6167">
        <v>0</v>
      </c>
    </row>
    <row r="6168" spans="1:15" x14ac:dyDescent="0.25">
      <c r="A6168" t="s">
        <v>1038</v>
      </c>
      <c r="B6168" t="s">
        <v>2068</v>
      </c>
      <c r="C6168" t="s">
        <v>927</v>
      </c>
      <c r="D6168" t="s">
        <v>3052</v>
      </c>
      <c r="E6168" t="s">
        <v>3053</v>
      </c>
      <c r="F6168" t="s">
        <v>636</v>
      </c>
      <c r="G6168" t="s">
        <v>637</v>
      </c>
      <c r="H6168" t="s">
        <v>7154</v>
      </c>
      <c r="I6168">
        <v>2292</v>
      </c>
      <c r="J6168">
        <v>1902</v>
      </c>
      <c r="K6168">
        <v>0</v>
      </c>
      <c r="L6168">
        <v>203</v>
      </c>
      <c r="M6168">
        <v>90</v>
      </c>
      <c r="N6168">
        <v>1</v>
      </c>
      <c r="O6168">
        <v>97</v>
      </c>
    </row>
    <row r="6169" spans="1:15" x14ac:dyDescent="0.25">
      <c r="A6169" t="s">
        <v>1043</v>
      </c>
      <c r="B6169" t="s">
        <v>2090</v>
      </c>
      <c r="C6169" t="s">
        <v>927</v>
      </c>
      <c r="D6169" t="s">
        <v>3052</v>
      </c>
      <c r="E6169" t="s">
        <v>3053</v>
      </c>
      <c r="F6169" t="s">
        <v>636</v>
      </c>
      <c r="G6169" t="s">
        <v>637</v>
      </c>
      <c r="H6169" t="s">
        <v>7155</v>
      </c>
      <c r="I6169">
        <v>881</v>
      </c>
      <c r="J6169">
        <v>727</v>
      </c>
      <c r="K6169">
        <v>0</v>
      </c>
      <c r="L6169">
        <v>0</v>
      </c>
      <c r="M6169">
        <v>129</v>
      </c>
      <c r="N6169">
        <v>0</v>
      </c>
      <c r="O6169">
        <v>25</v>
      </c>
    </row>
    <row r="6170" spans="1:15" x14ac:dyDescent="0.25">
      <c r="A6170" t="s">
        <v>1144</v>
      </c>
      <c r="B6170" t="s">
        <v>2124</v>
      </c>
      <c r="C6170" t="s">
        <v>923</v>
      </c>
      <c r="D6170" t="s">
        <v>3063</v>
      </c>
      <c r="E6170" t="s">
        <v>3053</v>
      </c>
      <c r="F6170" t="s">
        <v>636</v>
      </c>
      <c r="G6170" t="s">
        <v>637</v>
      </c>
      <c r="H6170" t="s">
        <v>12253</v>
      </c>
      <c r="I6170">
        <v>5</v>
      </c>
      <c r="J6170">
        <v>5</v>
      </c>
      <c r="K6170">
        <v>0</v>
      </c>
      <c r="L6170">
        <v>0</v>
      </c>
      <c r="M6170">
        <v>0</v>
      </c>
      <c r="N6170">
        <v>0</v>
      </c>
      <c r="O6170">
        <v>0</v>
      </c>
    </row>
    <row r="6171" spans="1:15" x14ac:dyDescent="0.25">
      <c r="A6171" t="s">
        <v>1046</v>
      </c>
      <c r="B6171" t="s">
        <v>2027</v>
      </c>
      <c r="C6171" t="s">
        <v>923</v>
      </c>
      <c r="D6171" t="s">
        <v>3063</v>
      </c>
      <c r="E6171" t="s">
        <v>3053</v>
      </c>
      <c r="F6171" t="s">
        <v>636</v>
      </c>
      <c r="G6171" t="s">
        <v>637</v>
      </c>
      <c r="H6171" t="s">
        <v>7156</v>
      </c>
      <c r="I6171">
        <v>4</v>
      </c>
      <c r="J6171">
        <v>0</v>
      </c>
      <c r="K6171">
        <v>0</v>
      </c>
      <c r="L6171">
        <v>4</v>
      </c>
      <c r="M6171">
        <v>0</v>
      </c>
      <c r="N6171">
        <v>0</v>
      </c>
      <c r="O6171">
        <v>0</v>
      </c>
    </row>
    <row r="6172" spans="1:15" x14ac:dyDescent="0.25">
      <c r="A6172" t="s">
        <v>951</v>
      </c>
      <c r="B6172" t="s">
        <v>2680</v>
      </c>
      <c r="C6172" t="s">
        <v>927</v>
      </c>
      <c r="D6172" t="s">
        <v>3052</v>
      </c>
      <c r="E6172" t="s">
        <v>3053</v>
      </c>
      <c r="F6172" t="s">
        <v>636</v>
      </c>
      <c r="G6172" t="s">
        <v>637</v>
      </c>
      <c r="H6172" t="s">
        <v>7157</v>
      </c>
      <c r="I6172">
        <v>950</v>
      </c>
      <c r="J6172">
        <v>878</v>
      </c>
      <c r="K6172">
        <v>0</v>
      </c>
      <c r="L6172">
        <v>70</v>
      </c>
      <c r="M6172">
        <v>0</v>
      </c>
      <c r="N6172">
        <v>7</v>
      </c>
      <c r="O6172">
        <v>2</v>
      </c>
    </row>
    <row r="6173" spans="1:15" x14ac:dyDescent="0.25">
      <c r="A6173" t="s">
        <v>1048</v>
      </c>
      <c r="B6173" t="s">
        <v>2989</v>
      </c>
      <c r="C6173" t="s">
        <v>927</v>
      </c>
      <c r="D6173" t="s">
        <v>3052</v>
      </c>
      <c r="E6173" t="s">
        <v>3053</v>
      </c>
      <c r="F6173" t="s">
        <v>636</v>
      </c>
      <c r="G6173" t="s">
        <v>637</v>
      </c>
      <c r="H6173" t="s">
        <v>7158</v>
      </c>
      <c r="I6173">
        <v>542</v>
      </c>
      <c r="J6173">
        <v>227</v>
      </c>
      <c r="K6173">
        <v>150</v>
      </c>
      <c r="L6173">
        <v>24</v>
      </c>
      <c r="M6173">
        <v>110</v>
      </c>
      <c r="N6173">
        <v>0</v>
      </c>
      <c r="O6173">
        <v>31</v>
      </c>
    </row>
    <row r="6174" spans="1:15" x14ac:dyDescent="0.25">
      <c r="A6174" t="s">
        <v>1049</v>
      </c>
      <c r="B6174" t="s">
        <v>2138</v>
      </c>
      <c r="C6174" t="s">
        <v>927</v>
      </c>
      <c r="D6174" t="s">
        <v>3052</v>
      </c>
      <c r="E6174" t="s">
        <v>3053</v>
      </c>
      <c r="F6174" t="s">
        <v>636</v>
      </c>
      <c r="G6174" t="s">
        <v>637</v>
      </c>
      <c r="H6174" t="s">
        <v>11237</v>
      </c>
      <c r="I6174">
        <v>39</v>
      </c>
      <c r="J6174">
        <v>39</v>
      </c>
      <c r="K6174">
        <v>0</v>
      </c>
      <c r="L6174">
        <v>0</v>
      </c>
      <c r="M6174">
        <v>0</v>
      </c>
      <c r="N6174">
        <v>0</v>
      </c>
      <c r="O6174">
        <v>0</v>
      </c>
    </row>
    <row r="6175" spans="1:15" x14ac:dyDescent="0.25">
      <c r="A6175" t="s">
        <v>1051</v>
      </c>
      <c r="B6175" t="s">
        <v>2995</v>
      </c>
      <c r="C6175" t="s">
        <v>927</v>
      </c>
      <c r="D6175" t="s">
        <v>3052</v>
      </c>
      <c r="E6175" t="s">
        <v>3053</v>
      </c>
      <c r="F6175" t="s">
        <v>636</v>
      </c>
      <c r="G6175" t="s">
        <v>637</v>
      </c>
      <c r="H6175" t="s">
        <v>7159</v>
      </c>
      <c r="I6175">
        <v>37</v>
      </c>
      <c r="J6175">
        <v>0</v>
      </c>
      <c r="K6175">
        <v>0</v>
      </c>
      <c r="L6175">
        <v>37</v>
      </c>
      <c r="M6175">
        <v>0</v>
      </c>
      <c r="N6175">
        <v>0</v>
      </c>
      <c r="O6175">
        <v>0</v>
      </c>
    </row>
    <row r="6176" spans="1:15" x14ac:dyDescent="0.25">
      <c r="A6176" t="s">
        <v>11661</v>
      </c>
      <c r="B6176" t="s">
        <v>11764</v>
      </c>
      <c r="C6176" t="s">
        <v>923</v>
      </c>
      <c r="D6176" t="s">
        <v>3063</v>
      </c>
      <c r="E6176" t="s">
        <v>3053</v>
      </c>
      <c r="F6176" t="s">
        <v>636</v>
      </c>
      <c r="G6176" t="s">
        <v>637</v>
      </c>
      <c r="H6176" t="s">
        <v>12254</v>
      </c>
      <c r="I6176">
        <v>12</v>
      </c>
      <c r="J6176">
        <v>12</v>
      </c>
      <c r="K6176">
        <v>0</v>
      </c>
      <c r="L6176">
        <v>0</v>
      </c>
      <c r="M6176">
        <v>0</v>
      </c>
      <c r="N6176">
        <v>0</v>
      </c>
      <c r="O6176">
        <v>0</v>
      </c>
    </row>
    <row r="6177" spans="1:15" x14ac:dyDescent="0.25">
      <c r="A6177" t="s">
        <v>11720</v>
      </c>
      <c r="B6177" t="s">
        <v>10718</v>
      </c>
      <c r="C6177" t="s">
        <v>927</v>
      </c>
      <c r="D6177" t="s">
        <v>3052</v>
      </c>
      <c r="E6177" t="s">
        <v>3053</v>
      </c>
      <c r="F6177" t="s">
        <v>636</v>
      </c>
      <c r="G6177" t="s">
        <v>637</v>
      </c>
      <c r="H6177" t="s">
        <v>15063</v>
      </c>
      <c r="I6177">
        <v>3</v>
      </c>
      <c r="J6177">
        <v>0</v>
      </c>
      <c r="K6177">
        <v>0</v>
      </c>
      <c r="L6177">
        <v>0</v>
      </c>
      <c r="M6177">
        <v>0</v>
      </c>
      <c r="N6177">
        <v>0</v>
      </c>
      <c r="O6177">
        <v>3</v>
      </c>
    </row>
    <row r="6178" spans="1:15" x14ac:dyDescent="0.25">
      <c r="A6178" t="s">
        <v>1056</v>
      </c>
      <c r="B6178" t="s">
        <v>2966</v>
      </c>
      <c r="C6178" t="s">
        <v>927</v>
      </c>
      <c r="D6178" t="s">
        <v>3052</v>
      </c>
      <c r="E6178" t="s">
        <v>3053</v>
      </c>
      <c r="F6178" t="s">
        <v>636</v>
      </c>
      <c r="G6178" t="s">
        <v>637</v>
      </c>
      <c r="H6178" t="s">
        <v>7160</v>
      </c>
      <c r="I6178">
        <v>77</v>
      </c>
      <c r="J6178">
        <v>77</v>
      </c>
      <c r="K6178">
        <v>0</v>
      </c>
      <c r="L6178">
        <v>0</v>
      </c>
      <c r="M6178">
        <v>0</v>
      </c>
      <c r="N6178">
        <v>0</v>
      </c>
      <c r="O6178">
        <v>0</v>
      </c>
    </row>
    <row r="6179" spans="1:15" x14ac:dyDescent="0.25">
      <c r="A6179" t="s">
        <v>960</v>
      </c>
      <c r="B6179" t="s">
        <v>2080</v>
      </c>
      <c r="C6179" t="s">
        <v>927</v>
      </c>
      <c r="D6179" t="s">
        <v>3052</v>
      </c>
      <c r="E6179" t="s">
        <v>3053</v>
      </c>
      <c r="F6179" t="s">
        <v>636</v>
      </c>
      <c r="G6179" t="s">
        <v>637</v>
      </c>
      <c r="H6179" t="s">
        <v>7161</v>
      </c>
      <c r="I6179">
        <v>1</v>
      </c>
      <c r="J6179">
        <v>0</v>
      </c>
      <c r="K6179">
        <v>0</v>
      </c>
      <c r="L6179">
        <v>0</v>
      </c>
      <c r="M6179">
        <v>0</v>
      </c>
      <c r="N6179">
        <v>0</v>
      </c>
      <c r="O6179">
        <v>1</v>
      </c>
    </row>
    <row r="6180" spans="1:15" x14ac:dyDescent="0.25">
      <c r="A6180" t="s">
        <v>1062</v>
      </c>
      <c r="B6180" t="s">
        <v>1993</v>
      </c>
      <c r="C6180" t="s">
        <v>927</v>
      </c>
      <c r="D6180" t="s">
        <v>3052</v>
      </c>
      <c r="E6180" t="s">
        <v>3053</v>
      </c>
      <c r="F6180" t="s">
        <v>636</v>
      </c>
      <c r="G6180" t="s">
        <v>637</v>
      </c>
      <c r="H6180" t="s">
        <v>7162</v>
      </c>
      <c r="I6180">
        <v>52</v>
      </c>
      <c r="J6180">
        <v>52</v>
      </c>
      <c r="K6180">
        <v>0</v>
      </c>
      <c r="L6180">
        <v>0</v>
      </c>
      <c r="M6180">
        <v>0</v>
      </c>
      <c r="N6180">
        <v>0</v>
      </c>
      <c r="O6180">
        <v>0</v>
      </c>
    </row>
    <row r="6181" spans="1:15" x14ac:dyDescent="0.25">
      <c r="A6181" t="s">
        <v>962</v>
      </c>
      <c r="B6181" t="s">
        <v>2752</v>
      </c>
      <c r="C6181" t="s">
        <v>927</v>
      </c>
      <c r="D6181" t="s">
        <v>3052</v>
      </c>
      <c r="E6181" t="s">
        <v>3053</v>
      </c>
      <c r="F6181" t="s">
        <v>636</v>
      </c>
      <c r="G6181" t="s">
        <v>637</v>
      </c>
      <c r="H6181" t="s">
        <v>7163</v>
      </c>
      <c r="I6181">
        <v>133</v>
      </c>
      <c r="J6181">
        <v>46</v>
      </c>
      <c r="K6181">
        <v>0</v>
      </c>
      <c r="L6181">
        <v>0</v>
      </c>
      <c r="M6181">
        <v>87</v>
      </c>
      <c r="N6181">
        <v>0</v>
      </c>
      <c r="O6181">
        <v>0</v>
      </c>
    </row>
    <row r="6182" spans="1:15" x14ac:dyDescent="0.25">
      <c r="A6182" t="s">
        <v>1066</v>
      </c>
      <c r="B6182" t="s">
        <v>2557</v>
      </c>
      <c r="C6182" t="s">
        <v>927</v>
      </c>
      <c r="D6182" t="s">
        <v>3052</v>
      </c>
      <c r="E6182" t="s">
        <v>3053</v>
      </c>
      <c r="F6182" t="s">
        <v>636</v>
      </c>
      <c r="G6182" t="s">
        <v>637</v>
      </c>
      <c r="H6182" t="s">
        <v>7164</v>
      </c>
      <c r="I6182">
        <v>43</v>
      </c>
      <c r="J6182">
        <v>0</v>
      </c>
      <c r="K6182">
        <v>0</v>
      </c>
      <c r="L6182">
        <v>0</v>
      </c>
      <c r="M6182">
        <v>43</v>
      </c>
      <c r="N6182">
        <v>0</v>
      </c>
      <c r="O6182">
        <v>0</v>
      </c>
    </row>
    <row r="6183" spans="1:15" x14ac:dyDescent="0.25">
      <c r="A6183" t="s">
        <v>11667</v>
      </c>
      <c r="B6183" t="s">
        <v>1986</v>
      </c>
      <c r="C6183" t="s">
        <v>923</v>
      </c>
      <c r="D6183" t="s">
        <v>3063</v>
      </c>
      <c r="E6183" t="s">
        <v>3053</v>
      </c>
      <c r="F6183" t="s">
        <v>636</v>
      </c>
      <c r="G6183" t="s">
        <v>637</v>
      </c>
      <c r="H6183" t="s">
        <v>12255</v>
      </c>
      <c r="I6183">
        <v>84</v>
      </c>
      <c r="J6183">
        <v>0</v>
      </c>
      <c r="K6183">
        <v>0</v>
      </c>
      <c r="L6183">
        <v>0</v>
      </c>
      <c r="M6183">
        <v>84</v>
      </c>
      <c r="N6183">
        <v>0</v>
      </c>
      <c r="O6183">
        <v>0</v>
      </c>
    </row>
    <row r="6184" spans="1:15" x14ac:dyDescent="0.25">
      <c r="A6184" t="s">
        <v>1069</v>
      </c>
      <c r="B6184" t="s">
        <v>2001</v>
      </c>
      <c r="C6184" t="s">
        <v>927</v>
      </c>
      <c r="D6184" t="s">
        <v>3052</v>
      </c>
      <c r="E6184" t="s">
        <v>3053</v>
      </c>
      <c r="F6184" t="s">
        <v>636</v>
      </c>
      <c r="G6184" t="s">
        <v>637</v>
      </c>
      <c r="H6184" t="s">
        <v>7165</v>
      </c>
      <c r="I6184">
        <v>397</v>
      </c>
      <c r="J6184">
        <v>336</v>
      </c>
      <c r="K6184">
        <v>0</v>
      </c>
      <c r="L6184">
        <v>1</v>
      </c>
      <c r="M6184">
        <v>60</v>
      </c>
      <c r="N6184">
        <v>0</v>
      </c>
      <c r="O6184">
        <v>0</v>
      </c>
    </row>
    <row r="6185" spans="1:15" x14ac:dyDescent="0.25">
      <c r="A6185" t="s">
        <v>1072</v>
      </c>
      <c r="B6185" t="s">
        <v>2907</v>
      </c>
      <c r="C6185" t="s">
        <v>927</v>
      </c>
      <c r="D6185" t="s">
        <v>3052</v>
      </c>
      <c r="E6185" t="s">
        <v>3053</v>
      </c>
      <c r="F6185" t="s">
        <v>636</v>
      </c>
      <c r="G6185" t="s">
        <v>637</v>
      </c>
      <c r="H6185" t="s">
        <v>7166</v>
      </c>
      <c r="I6185">
        <v>137</v>
      </c>
      <c r="J6185">
        <v>70</v>
      </c>
      <c r="K6185">
        <v>0</v>
      </c>
      <c r="L6185">
        <v>0</v>
      </c>
      <c r="M6185">
        <v>43</v>
      </c>
      <c r="N6185">
        <v>0</v>
      </c>
      <c r="O6185">
        <v>24</v>
      </c>
    </row>
    <row r="6186" spans="1:15" x14ac:dyDescent="0.25">
      <c r="A6186" t="s">
        <v>1079</v>
      </c>
      <c r="B6186" t="s">
        <v>2810</v>
      </c>
      <c r="C6186" t="s">
        <v>927</v>
      </c>
      <c r="D6186" t="s">
        <v>3052</v>
      </c>
      <c r="E6186" t="s">
        <v>3053</v>
      </c>
      <c r="F6186" t="s">
        <v>636</v>
      </c>
      <c r="G6186" t="s">
        <v>637</v>
      </c>
      <c r="H6186" t="s">
        <v>7167</v>
      </c>
      <c r="I6186">
        <v>991</v>
      </c>
      <c r="J6186">
        <v>798</v>
      </c>
      <c r="K6186">
        <v>0</v>
      </c>
      <c r="L6186">
        <v>73</v>
      </c>
      <c r="M6186">
        <v>92</v>
      </c>
      <c r="N6186">
        <v>5</v>
      </c>
      <c r="O6186">
        <v>28</v>
      </c>
    </row>
    <row r="6187" spans="1:15" x14ac:dyDescent="0.25">
      <c r="A6187" t="s">
        <v>1080</v>
      </c>
      <c r="B6187" t="s">
        <v>2030</v>
      </c>
      <c r="C6187" t="s">
        <v>923</v>
      </c>
      <c r="D6187" t="s">
        <v>3063</v>
      </c>
      <c r="E6187" t="s">
        <v>3053</v>
      </c>
      <c r="F6187" t="s">
        <v>636</v>
      </c>
      <c r="G6187" t="s">
        <v>637</v>
      </c>
      <c r="H6187" t="s">
        <v>15064</v>
      </c>
      <c r="I6187">
        <v>29</v>
      </c>
      <c r="J6187">
        <v>0</v>
      </c>
      <c r="K6187">
        <v>0</v>
      </c>
      <c r="L6187">
        <v>29</v>
      </c>
      <c r="M6187">
        <v>0</v>
      </c>
      <c r="N6187">
        <v>0</v>
      </c>
      <c r="O6187">
        <v>0</v>
      </c>
    </row>
    <row r="6188" spans="1:15" x14ac:dyDescent="0.25">
      <c r="A6188" t="s">
        <v>1081</v>
      </c>
      <c r="B6188" t="s">
        <v>2200</v>
      </c>
      <c r="C6188" t="s">
        <v>923</v>
      </c>
      <c r="D6188" t="s">
        <v>3063</v>
      </c>
      <c r="E6188" t="s">
        <v>3053</v>
      </c>
      <c r="F6188" t="s">
        <v>636</v>
      </c>
      <c r="G6188" t="s">
        <v>637</v>
      </c>
      <c r="H6188" t="s">
        <v>7168</v>
      </c>
      <c r="I6188">
        <v>20</v>
      </c>
      <c r="J6188">
        <v>20</v>
      </c>
      <c r="K6188">
        <v>0</v>
      </c>
      <c r="L6188">
        <v>0</v>
      </c>
      <c r="M6188">
        <v>0</v>
      </c>
      <c r="N6188">
        <v>0</v>
      </c>
      <c r="O6188">
        <v>0</v>
      </c>
    </row>
    <row r="6189" spans="1:15" x14ac:dyDescent="0.25">
      <c r="A6189" t="s">
        <v>14377</v>
      </c>
      <c r="B6189" t="s">
        <v>14444</v>
      </c>
      <c r="C6189" t="s">
        <v>923</v>
      </c>
      <c r="D6189" t="s">
        <v>3063</v>
      </c>
      <c r="E6189" t="s">
        <v>3053</v>
      </c>
      <c r="F6189" t="s">
        <v>636</v>
      </c>
      <c r="G6189" t="s">
        <v>637</v>
      </c>
      <c r="H6189" t="s">
        <v>15065</v>
      </c>
      <c r="I6189">
        <v>5</v>
      </c>
      <c r="J6189">
        <v>5</v>
      </c>
      <c r="K6189">
        <v>0</v>
      </c>
      <c r="L6189">
        <v>0</v>
      </c>
      <c r="M6189">
        <v>0</v>
      </c>
      <c r="N6189">
        <v>0</v>
      </c>
      <c r="O6189">
        <v>0</v>
      </c>
    </row>
    <row r="6190" spans="1:15" x14ac:dyDescent="0.25">
      <c r="A6190" t="s">
        <v>10787</v>
      </c>
      <c r="B6190" t="s">
        <v>2599</v>
      </c>
      <c r="C6190" t="s">
        <v>923</v>
      </c>
      <c r="D6190" t="s">
        <v>3063</v>
      </c>
      <c r="E6190" t="s">
        <v>3053</v>
      </c>
      <c r="F6190" t="s">
        <v>636</v>
      </c>
      <c r="G6190" t="s">
        <v>637</v>
      </c>
      <c r="H6190" t="s">
        <v>11238</v>
      </c>
      <c r="I6190">
        <v>115</v>
      </c>
      <c r="J6190">
        <v>0</v>
      </c>
      <c r="K6190">
        <v>0</v>
      </c>
      <c r="L6190">
        <v>115</v>
      </c>
      <c r="M6190">
        <v>0</v>
      </c>
      <c r="N6190">
        <v>0</v>
      </c>
      <c r="O6190">
        <v>0</v>
      </c>
    </row>
    <row r="6191" spans="1:15" x14ac:dyDescent="0.25">
      <c r="A6191" t="s">
        <v>926</v>
      </c>
      <c r="B6191" t="s">
        <v>2923</v>
      </c>
      <c r="C6191" t="s">
        <v>927</v>
      </c>
      <c r="D6191" t="s">
        <v>3052</v>
      </c>
      <c r="E6191" t="s">
        <v>3053</v>
      </c>
      <c r="F6191" t="s">
        <v>638</v>
      </c>
      <c r="G6191" t="s">
        <v>639</v>
      </c>
      <c r="H6191" t="s">
        <v>7169</v>
      </c>
      <c r="I6191">
        <v>16</v>
      </c>
      <c r="J6191">
        <v>0</v>
      </c>
      <c r="K6191">
        <v>0</v>
      </c>
      <c r="L6191">
        <v>12</v>
      </c>
      <c r="M6191">
        <v>0</v>
      </c>
      <c r="N6191">
        <v>0</v>
      </c>
      <c r="O6191">
        <v>4</v>
      </c>
    </row>
    <row r="6192" spans="1:15" x14ac:dyDescent="0.25">
      <c r="A6192" t="s">
        <v>929</v>
      </c>
      <c r="B6192" t="s">
        <v>2999</v>
      </c>
      <c r="C6192" t="s">
        <v>927</v>
      </c>
      <c r="D6192" t="s">
        <v>3052</v>
      </c>
      <c r="E6192" t="s">
        <v>3053</v>
      </c>
      <c r="F6192" t="s">
        <v>638</v>
      </c>
      <c r="G6192" t="s">
        <v>639</v>
      </c>
      <c r="H6192" t="s">
        <v>7170</v>
      </c>
      <c r="I6192">
        <v>124</v>
      </c>
      <c r="J6192">
        <v>0</v>
      </c>
      <c r="K6192">
        <v>0</v>
      </c>
      <c r="L6192">
        <v>0</v>
      </c>
      <c r="M6192">
        <v>124</v>
      </c>
      <c r="N6192">
        <v>11</v>
      </c>
      <c r="O6192">
        <v>0</v>
      </c>
    </row>
    <row r="6193" spans="1:15" x14ac:dyDescent="0.25">
      <c r="A6193" t="s">
        <v>9784</v>
      </c>
      <c r="B6193" t="s">
        <v>1994</v>
      </c>
      <c r="C6193" t="s">
        <v>927</v>
      </c>
      <c r="D6193" t="s">
        <v>3052</v>
      </c>
      <c r="E6193" t="s">
        <v>3053</v>
      </c>
      <c r="F6193" t="s">
        <v>638</v>
      </c>
      <c r="G6193" t="s">
        <v>639</v>
      </c>
      <c r="H6193" t="s">
        <v>9968</v>
      </c>
      <c r="I6193">
        <v>44</v>
      </c>
      <c r="J6193">
        <v>0</v>
      </c>
      <c r="K6193">
        <v>0</v>
      </c>
      <c r="L6193">
        <v>44</v>
      </c>
      <c r="M6193">
        <v>0</v>
      </c>
      <c r="N6193">
        <v>0</v>
      </c>
      <c r="O6193">
        <v>0</v>
      </c>
    </row>
    <row r="6194" spans="1:15" x14ac:dyDescent="0.25">
      <c r="A6194" t="s">
        <v>983</v>
      </c>
      <c r="B6194" t="s">
        <v>2069</v>
      </c>
      <c r="C6194" t="s">
        <v>927</v>
      </c>
      <c r="D6194" t="s">
        <v>3052</v>
      </c>
      <c r="E6194" t="s">
        <v>3053</v>
      </c>
      <c r="F6194" t="s">
        <v>638</v>
      </c>
      <c r="G6194" t="s">
        <v>639</v>
      </c>
      <c r="H6194" t="s">
        <v>7171</v>
      </c>
      <c r="I6194">
        <v>385</v>
      </c>
      <c r="J6194">
        <v>326</v>
      </c>
      <c r="K6194">
        <v>0</v>
      </c>
      <c r="L6194">
        <v>20</v>
      </c>
      <c r="M6194">
        <v>0</v>
      </c>
      <c r="N6194">
        <v>0</v>
      </c>
      <c r="O6194">
        <v>39</v>
      </c>
    </row>
    <row r="6195" spans="1:15" x14ac:dyDescent="0.25">
      <c r="A6195" t="s">
        <v>1715</v>
      </c>
      <c r="B6195" t="s">
        <v>2136</v>
      </c>
      <c r="C6195" t="s">
        <v>927</v>
      </c>
      <c r="D6195" t="s">
        <v>3052</v>
      </c>
      <c r="E6195" t="s">
        <v>3053</v>
      </c>
      <c r="F6195" t="s">
        <v>638</v>
      </c>
      <c r="G6195" t="s">
        <v>639</v>
      </c>
      <c r="H6195" t="s">
        <v>7172</v>
      </c>
      <c r="I6195">
        <v>337</v>
      </c>
      <c r="J6195">
        <v>248</v>
      </c>
      <c r="K6195">
        <v>0</v>
      </c>
      <c r="L6195">
        <v>0</v>
      </c>
      <c r="M6195">
        <v>0</v>
      </c>
      <c r="N6195">
        <v>0</v>
      </c>
      <c r="O6195">
        <v>89</v>
      </c>
    </row>
    <row r="6196" spans="1:15" x14ac:dyDescent="0.25">
      <c r="A6196" t="s">
        <v>933</v>
      </c>
      <c r="B6196" t="s">
        <v>2106</v>
      </c>
      <c r="C6196" t="s">
        <v>927</v>
      </c>
      <c r="D6196" t="s">
        <v>3052</v>
      </c>
      <c r="E6196" t="s">
        <v>3053</v>
      </c>
      <c r="F6196" t="s">
        <v>638</v>
      </c>
      <c r="G6196" t="s">
        <v>639</v>
      </c>
      <c r="H6196" t="s">
        <v>7173</v>
      </c>
      <c r="I6196">
        <v>123</v>
      </c>
      <c r="J6196">
        <v>76</v>
      </c>
      <c r="K6196">
        <v>0</v>
      </c>
      <c r="L6196">
        <v>0</v>
      </c>
      <c r="M6196">
        <v>0</v>
      </c>
      <c r="N6196">
        <v>1</v>
      </c>
      <c r="O6196">
        <v>47</v>
      </c>
    </row>
    <row r="6197" spans="1:15" x14ac:dyDescent="0.25">
      <c r="A6197" t="s">
        <v>997</v>
      </c>
      <c r="B6197" t="s">
        <v>2033</v>
      </c>
      <c r="C6197" t="s">
        <v>927</v>
      </c>
      <c r="D6197" t="s">
        <v>3052</v>
      </c>
      <c r="E6197" t="s">
        <v>3053</v>
      </c>
      <c r="F6197" t="s">
        <v>638</v>
      </c>
      <c r="G6197" t="s">
        <v>639</v>
      </c>
      <c r="H6197" t="s">
        <v>7174</v>
      </c>
      <c r="I6197">
        <v>1</v>
      </c>
      <c r="J6197">
        <v>0</v>
      </c>
      <c r="K6197">
        <v>0</v>
      </c>
      <c r="L6197">
        <v>0</v>
      </c>
      <c r="M6197">
        <v>0</v>
      </c>
      <c r="N6197">
        <v>0</v>
      </c>
      <c r="O6197">
        <v>1</v>
      </c>
    </row>
    <row r="6198" spans="1:15" x14ac:dyDescent="0.25">
      <c r="A6198" t="s">
        <v>1603</v>
      </c>
      <c r="B6198" t="s">
        <v>2053</v>
      </c>
      <c r="C6198" t="s">
        <v>923</v>
      </c>
      <c r="D6198" t="s">
        <v>3063</v>
      </c>
      <c r="E6198" t="s">
        <v>3053</v>
      </c>
      <c r="F6198" t="s">
        <v>638</v>
      </c>
      <c r="G6198" t="s">
        <v>639</v>
      </c>
      <c r="H6198" t="s">
        <v>7175</v>
      </c>
      <c r="I6198">
        <v>13</v>
      </c>
      <c r="J6198">
        <v>0</v>
      </c>
      <c r="K6198">
        <v>0</v>
      </c>
      <c r="L6198">
        <v>13</v>
      </c>
      <c r="M6198">
        <v>0</v>
      </c>
      <c r="N6198">
        <v>0</v>
      </c>
      <c r="O6198">
        <v>0</v>
      </c>
    </row>
    <row r="6199" spans="1:15" x14ac:dyDescent="0.25">
      <c r="A6199" t="s">
        <v>1416</v>
      </c>
      <c r="B6199" t="s">
        <v>2029</v>
      </c>
      <c r="C6199" t="s">
        <v>923</v>
      </c>
      <c r="D6199" t="s">
        <v>3063</v>
      </c>
      <c r="E6199" t="s">
        <v>3053</v>
      </c>
      <c r="F6199" t="s">
        <v>638</v>
      </c>
      <c r="G6199" t="s">
        <v>639</v>
      </c>
      <c r="H6199" t="s">
        <v>12256</v>
      </c>
      <c r="I6199">
        <v>2</v>
      </c>
      <c r="J6199">
        <v>0</v>
      </c>
      <c r="K6199">
        <v>0</v>
      </c>
      <c r="L6199">
        <v>2</v>
      </c>
      <c r="M6199">
        <v>0</v>
      </c>
      <c r="N6199">
        <v>0</v>
      </c>
      <c r="O6199">
        <v>0</v>
      </c>
    </row>
    <row r="6200" spans="1:15" x14ac:dyDescent="0.25">
      <c r="A6200" t="s">
        <v>10630</v>
      </c>
      <c r="B6200" t="s">
        <v>10629</v>
      </c>
      <c r="C6200" t="s">
        <v>923</v>
      </c>
      <c r="D6200" t="s">
        <v>3063</v>
      </c>
      <c r="E6200" t="s">
        <v>3053</v>
      </c>
      <c r="F6200" t="s">
        <v>638</v>
      </c>
      <c r="G6200" t="s">
        <v>639</v>
      </c>
      <c r="H6200" t="s">
        <v>12257</v>
      </c>
      <c r="I6200">
        <v>17</v>
      </c>
      <c r="J6200">
        <v>17</v>
      </c>
      <c r="K6200">
        <v>0</v>
      </c>
      <c r="L6200">
        <v>0</v>
      </c>
      <c r="M6200">
        <v>0</v>
      </c>
      <c r="N6200">
        <v>0</v>
      </c>
      <c r="O6200">
        <v>0</v>
      </c>
    </row>
    <row r="6201" spans="1:15" x14ac:dyDescent="0.25">
      <c r="A6201" t="s">
        <v>10638</v>
      </c>
      <c r="B6201" t="s">
        <v>2057</v>
      </c>
      <c r="C6201" t="s">
        <v>927</v>
      </c>
      <c r="D6201" t="s">
        <v>3052</v>
      </c>
      <c r="E6201" t="s">
        <v>3053</v>
      </c>
      <c r="F6201" t="s">
        <v>638</v>
      </c>
      <c r="G6201" t="s">
        <v>639</v>
      </c>
      <c r="H6201" t="s">
        <v>11239</v>
      </c>
      <c r="I6201">
        <v>26</v>
      </c>
      <c r="J6201">
        <v>0</v>
      </c>
      <c r="K6201">
        <v>0</v>
      </c>
      <c r="L6201">
        <v>26</v>
      </c>
      <c r="M6201">
        <v>0</v>
      </c>
      <c r="N6201">
        <v>0</v>
      </c>
      <c r="O6201">
        <v>0</v>
      </c>
    </row>
    <row r="6202" spans="1:15" x14ac:dyDescent="0.25">
      <c r="A6202" t="s">
        <v>10643</v>
      </c>
      <c r="B6202" t="s">
        <v>2987</v>
      </c>
      <c r="C6202" t="s">
        <v>927</v>
      </c>
      <c r="D6202" t="s">
        <v>3052</v>
      </c>
      <c r="E6202" t="s">
        <v>3053</v>
      </c>
      <c r="F6202" t="s">
        <v>638</v>
      </c>
      <c r="G6202" t="s">
        <v>639</v>
      </c>
      <c r="H6202" t="s">
        <v>11240</v>
      </c>
      <c r="I6202">
        <v>21</v>
      </c>
      <c r="J6202">
        <v>6</v>
      </c>
      <c r="K6202">
        <v>0</v>
      </c>
      <c r="L6202">
        <v>15</v>
      </c>
      <c r="M6202">
        <v>0</v>
      </c>
      <c r="N6202">
        <v>0</v>
      </c>
      <c r="O6202">
        <v>0</v>
      </c>
    </row>
    <row r="6203" spans="1:15" x14ac:dyDescent="0.25">
      <c r="A6203" t="s">
        <v>937</v>
      </c>
      <c r="B6203" t="s">
        <v>1962</v>
      </c>
      <c r="C6203" t="s">
        <v>927</v>
      </c>
      <c r="D6203" t="s">
        <v>3052</v>
      </c>
      <c r="E6203" t="s">
        <v>3053</v>
      </c>
      <c r="F6203" t="s">
        <v>638</v>
      </c>
      <c r="G6203" t="s">
        <v>639</v>
      </c>
      <c r="H6203" t="s">
        <v>7176</v>
      </c>
      <c r="I6203">
        <v>25</v>
      </c>
      <c r="J6203">
        <v>0</v>
      </c>
      <c r="K6203">
        <v>0</v>
      </c>
      <c r="L6203">
        <v>0</v>
      </c>
      <c r="M6203">
        <v>0</v>
      </c>
      <c r="N6203">
        <v>0</v>
      </c>
      <c r="O6203">
        <v>25</v>
      </c>
    </row>
    <row r="6204" spans="1:15" x14ac:dyDescent="0.25">
      <c r="A6204" t="s">
        <v>940</v>
      </c>
      <c r="B6204" t="s">
        <v>2647</v>
      </c>
      <c r="C6204" t="s">
        <v>927</v>
      </c>
      <c r="D6204" t="s">
        <v>3052</v>
      </c>
      <c r="E6204" t="s">
        <v>3053</v>
      </c>
      <c r="F6204" t="s">
        <v>638</v>
      </c>
      <c r="G6204" t="s">
        <v>639</v>
      </c>
      <c r="H6204" t="s">
        <v>7177</v>
      </c>
      <c r="I6204">
        <v>199</v>
      </c>
      <c r="J6204">
        <v>0</v>
      </c>
      <c r="K6204">
        <v>0</v>
      </c>
      <c r="L6204">
        <v>0</v>
      </c>
      <c r="M6204">
        <v>174</v>
      </c>
      <c r="N6204">
        <v>0</v>
      </c>
      <c r="O6204">
        <v>25</v>
      </c>
    </row>
    <row r="6205" spans="1:15" x14ac:dyDescent="0.25">
      <c r="A6205" t="s">
        <v>1423</v>
      </c>
      <c r="B6205" t="s">
        <v>2071</v>
      </c>
      <c r="C6205" t="s">
        <v>923</v>
      </c>
      <c r="D6205" t="s">
        <v>3063</v>
      </c>
      <c r="E6205" t="s">
        <v>3053</v>
      </c>
      <c r="F6205" t="s">
        <v>638</v>
      </c>
      <c r="G6205" t="s">
        <v>639</v>
      </c>
      <c r="H6205" t="s">
        <v>7178</v>
      </c>
      <c r="I6205">
        <v>2</v>
      </c>
      <c r="J6205">
        <v>0</v>
      </c>
      <c r="K6205">
        <v>0</v>
      </c>
      <c r="L6205">
        <v>2</v>
      </c>
      <c r="M6205">
        <v>0</v>
      </c>
      <c r="N6205">
        <v>0</v>
      </c>
      <c r="O6205">
        <v>0</v>
      </c>
    </row>
    <row r="6206" spans="1:15" x14ac:dyDescent="0.25">
      <c r="A6206" t="s">
        <v>1013</v>
      </c>
      <c r="B6206" t="s">
        <v>1959</v>
      </c>
      <c r="C6206" t="s">
        <v>927</v>
      </c>
      <c r="D6206" t="s">
        <v>3052</v>
      </c>
      <c r="E6206" t="s">
        <v>3053</v>
      </c>
      <c r="F6206" t="s">
        <v>638</v>
      </c>
      <c r="G6206" t="s">
        <v>639</v>
      </c>
      <c r="H6206" t="s">
        <v>7179</v>
      </c>
      <c r="I6206">
        <v>53</v>
      </c>
      <c r="J6206">
        <v>0</v>
      </c>
      <c r="K6206">
        <v>0</v>
      </c>
      <c r="L6206">
        <v>53</v>
      </c>
      <c r="M6206">
        <v>0</v>
      </c>
      <c r="N6206">
        <v>0</v>
      </c>
      <c r="O6206">
        <v>0</v>
      </c>
    </row>
    <row r="6207" spans="1:15" x14ac:dyDescent="0.25">
      <c r="A6207" t="s">
        <v>1126</v>
      </c>
      <c r="B6207" t="s">
        <v>2130</v>
      </c>
      <c r="C6207" t="s">
        <v>927</v>
      </c>
      <c r="D6207" t="s">
        <v>3052</v>
      </c>
      <c r="E6207" t="s">
        <v>3053</v>
      </c>
      <c r="F6207" t="s">
        <v>638</v>
      </c>
      <c r="G6207" t="s">
        <v>639</v>
      </c>
      <c r="H6207" t="s">
        <v>11241</v>
      </c>
      <c r="I6207">
        <v>33</v>
      </c>
      <c r="J6207">
        <v>14</v>
      </c>
      <c r="K6207">
        <v>0</v>
      </c>
      <c r="L6207">
        <v>0</v>
      </c>
      <c r="M6207">
        <v>0</v>
      </c>
      <c r="N6207">
        <v>0</v>
      </c>
      <c r="O6207">
        <v>19</v>
      </c>
    </row>
    <row r="6208" spans="1:15" x14ac:dyDescent="0.25">
      <c r="A6208" t="s">
        <v>1026</v>
      </c>
      <c r="B6208" t="s">
        <v>2848</v>
      </c>
      <c r="C6208" t="s">
        <v>927</v>
      </c>
      <c r="D6208" t="s">
        <v>3052</v>
      </c>
      <c r="E6208" t="s">
        <v>3053</v>
      </c>
      <c r="F6208" t="s">
        <v>638</v>
      </c>
      <c r="G6208" t="s">
        <v>639</v>
      </c>
      <c r="H6208" t="s">
        <v>7180</v>
      </c>
      <c r="I6208">
        <v>133</v>
      </c>
      <c r="J6208">
        <v>103</v>
      </c>
      <c r="K6208">
        <v>0</v>
      </c>
      <c r="L6208">
        <v>26</v>
      </c>
      <c r="M6208">
        <v>0</v>
      </c>
      <c r="N6208">
        <v>0</v>
      </c>
      <c r="O6208">
        <v>4</v>
      </c>
    </row>
    <row r="6209" spans="1:15" x14ac:dyDescent="0.25">
      <c r="A6209" t="s">
        <v>10681</v>
      </c>
      <c r="B6209" t="s">
        <v>10680</v>
      </c>
      <c r="C6209" t="s">
        <v>927</v>
      </c>
      <c r="D6209" t="s">
        <v>3052</v>
      </c>
      <c r="E6209" t="s">
        <v>3053</v>
      </c>
      <c r="F6209" t="s">
        <v>638</v>
      </c>
      <c r="G6209" t="s">
        <v>639</v>
      </c>
      <c r="H6209" t="s">
        <v>15066</v>
      </c>
      <c r="I6209">
        <v>4</v>
      </c>
      <c r="J6209">
        <v>0</v>
      </c>
      <c r="K6209">
        <v>0</v>
      </c>
      <c r="L6209">
        <v>0</v>
      </c>
      <c r="M6209">
        <v>0</v>
      </c>
      <c r="N6209">
        <v>0</v>
      </c>
      <c r="O6209">
        <v>4</v>
      </c>
    </row>
    <row r="6210" spans="1:15" x14ac:dyDescent="0.25">
      <c r="A6210" t="s">
        <v>1296</v>
      </c>
      <c r="B6210" t="s">
        <v>2965</v>
      </c>
      <c r="C6210" t="s">
        <v>923</v>
      </c>
      <c r="D6210" t="s">
        <v>3063</v>
      </c>
      <c r="E6210" t="s">
        <v>3053</v>
      </c>
      <c r="F6210" t="s">
        <v>638</v>
      </c>
      <c r="G6210" t="s">
        <v>639</v>
      </c>
      <c r="H6210" t="s">
        <v>7181</v>
      </c>
      <c r="I6210">
        <v>34</v>
      </c>
      <c r="J6210">
        <v>0</v>
      </c>
      <c r="K6210">
        <v>0</v>
      </c>
      <c r="L6210">
        <v>0</v>
      </c>
      <c r="M6210">
        <v>34</v>
      </c>
      <c r="N6210">
        <v>0</v>
      </c>
      <c r="O6210">
        <v>0</v>
      </c>
    </row>
    <row r="6211" spans="1:15" x14ac:dyDescent="0.25">
      <c r="A6211" t="s">
        <v>1030</v>
      </c>
      <c r="B6211" t="s">
        <v>2880</v>
      </c>
      <c r="C6211" t="s">
        <v>927</v>
      </c>
      <c r="D6211" t="s">
        <v>3052</v>
      </c>
      <c r="E6211" t="s">
        <v>3053</v>
      </c>
      <c r="F6211" t="s">
        <v>638</v>
      </c>
      <c r="G6211" t="s">
        <v>639</v>
      </c>
      <c r="H6211" t="s">
        <v>7182</v>
      </c>
      <c r="I6211">
        <v>894</v>
      </c>
      <c r="J6211">
        <v>724</v>
      </c>
      <c r="K6211">
        <v>0</v>
      </c>
      <c r="L6211">
        <v>0</v>
      </c>
      <c r="M6211">
        <v>0</v>
      </c>
      <c r="N6211">
        <v>1</v>
      </c>
      <c r="O6211">
        <v>170</v>
      </c>
    </row>
    <row r="6212" spans="1:15" x14ac:dyDescent="0.25">
      <c r="A6212" t="s">
        <v>11719</v>
      </c>
      <c r="B6212" t="s">
        <v>9866</v>
      </c>
      <c r="C6212" t="s">
        <v>923</v>
      </c>
      <c r="D6212" t="s">
        <v>3063</v>
      </c>
      <c r="E6212" t="s">
        <v>3053</v>
      </c>
      <c r="F6212" t="s">
        <v>638</v>
      </c>
      <c r="G6212" t="s">
        <v>639</v>
      </c>
      <c r="H6212" t="s">
        <v>12258</v>
      </c>
      <c r="I6212">
        <v>28</v>
      </c>
      <c r="J6212">
        <v>0</v>
      </c>
      <c r="K6212">
        <v>0</v>
      </c>
      <c r="L6212">
        <v>0</v>
      </c>
      <c r="M6212">
        <v>28</v>
      </c>
      <c r="N6212">
        <v>0</v>
      </c>
      <c r="O6212">
        <v>0</v>
      </c>
    </row>
    <row r="6213" spans="1:15" x14ac:dyDescent="0.25">
      <c r="A6213" t="s">
        <v>1041</v>
      </c>
      <c r="B6213" t="s">
        <v>2826</v>
      </c>
      <c r="C6213" t="s">
        <v>927</v>
      </c>
      <c r="D6213" t="s">
        <v>3052</v>
      </c>
      <c r="E6213" t="s">
        <v>3053</v>
      </c>
      <c r="F6213" t="s">
        <v>638</v>
      </c>
      <c r="G6213" t="s">
        <v>639</v>
      </c>
      <c r="H6213" t="s">
        <v>7183</v>
      </c>
      <c r="I6213">
        <v>82</v>
      </c>
      <c r="J6213">
        <v>2</v>
      </c>
      <c r="K6213">
        <v>0</v>
      </c>
      <c r="L6213">
        <v>0</v>
      </c>
      <c r="M6213">
        <v>0</v>
      </c>
      <c r="N6213">
        <v>0</v>
      </c>
      <c r="O6213">
        <v>80</v>
      </c>
    </row>
    <row r="6214" spans="1:15" x14ac:dyDescent="0.25">
      <c r="A6214" t="s">
        <v>9787</v>
      </c>
      <c r="B6214" t="s">
        <v>2822</v>
      </c>
      <c r="C6214" t="s">
        <v>927</v>
      </c>
      <c r="D6214" t="s">
        <v>3052</v>
      </c>
      <c r="E6214" t="s">
        <v>3053</v>
      </c>
      <c r="F6214" t="s">
        <v>638</v>
      </c>
      <c r="G6214" t="s">
        <v>639</v>
      </c>
      <c r="H6214" t="s">
        <v>10271</v>
      </c>
      <c r="I6214">
        <v>728</v>
      </c>
      <c r="J6214">
        <v>728</v>
      </c>
      <c r="K6214">
        <v>0</v>
      </c>
      <c r="L6214">
        <v>0</v>
      </c>
      <c r="M6214">
        <v>0</v>
      </c>
      <c r="N6214">
        <v>0</v>
      </c>
      <c r="O6214">
        <v>0</v>
      </c>
    </row>
    <row r="6215" spans="1:15" x14ac:dyDescent="0.25">
      <c r="A6215" t="s">
        <v>1043</v>
      </c>
      <c r="B6215" t="s">
        <v>2090</v>
      </c>
      <c r="C6215" t="s">
        <v>927</v>
      </c>
      <c r="D6215" t="s">
        <v>3052</v>
      </c>
      <c r="E6215" t="s">
        <v>3053</v>
      </c>
      <c r="F6215" t="s">
        <v>638</v>
      </c>
      <c r="G6215" t="s">
        <v>639</v>
      </c>
      <c r="H6215" t="s">
        <v>7184</v>
      </c>
      <c r="I6215">
        <v>93</v>
      </c>
      <c r="J6215">
        <v>80</v>
      </c>
      <c r="K6215">
        <v>0</v>
      </c>
      <c r="L6215">
        <v>3</v>
      </c>
      <c r="M6215">
        <v>0</v>
      </c>
      <c r="N6215">
        <v>0</v>
      </c>
      <c r="O6215">
        <v>10</v>
      </c>
    </row>
    <row r="6216" spans="1:15" x14ac:dyDescent="0.25">
      <c r="A6216" t="s">
        <v>1048</v>
      </c>
      <c r="B6216" t="s">
        <v>2989</v>
      </c>
      <c r="C6216" t="s">
        <v>927</v>
      </c>
      <c r="D6216" t="s">
        <v>3052</v>
      </c>
      <c r="E6216" t="s">
        <v>3053</v>
      </c>
      <c r="F6216" t="s">
        <v>638</v>
      </c>
      <c r="G6216" t="s">
        <v>639</v>
      </c>
      <c r="H6216" t="s">
        <v>7185</v>
      </c>
      <c r="I6216">
        <v>12</v>
      </c>
      <c r="J6216">
        <v>11</v>
      </c>
      <c r="K6216">
        <v>0</v>
      </c>
      <c r="L6216">
        <v>1</v>
      </c>
      <c r="M6216">
        <v>0</v>
      </c>
      <c r="N6216">
        <v>0</v>
      </c>
      <c r="O6216">
        <v>0</v>
      </c>
    </row>
    <row r="6217" spans="1:15" x14ac:dyDescent="0.25">
      <c r="A6217" t="s">
        <v>1049</v>
      </c>
      <c r="B6217" t="s">
        <v>2138</v>
      </c>
      <c r="C6217" t="s">
        <v>927</v>
      </c>
      <c r="D6217" t="s">
        <v>3052</v>
      </c>
      <c r="E6217" t="s">
        <v>3053</v>
      </c>
      <c r="F6217" t="s">
        <v>638</v>
      </c>
      <c r="G6217" t="s">
        <v>639</v>
      </c>
      <c r="H6217" t="s">
        <v>7186</v>
      </c>
      <c r="I6217">
        <v>170</v>
      </c>
      <c r="J6217">
        <v>100</v>
      </c>
      <c r="K6217">
        <v>0</v>
      </c>
      <c r="L6217">
        <v>0</v>
      </c>
      <c r="M6217">
        <v>0</v>
      </c>
      <c r="N6217">
        <v>0</v>
      </c>
      <c r="O6217">
        <v>70</v>
      </c>
    </row>
    <row r="6218" spans="1:15" x14ac:dyDescent="0.25">
      <c r="A6218" t="s">
        <v>953</v>
      </c>
      <c r="B6218" t="s">
        <v>2014</v>
      </c>
      <c r="C6218" t="s">
        <v>927</v>
      </c>
      <c r="D6218" t="s">
        <v>3052</v>
      </c>
      <c r="E6218" t="s">
        <v>3053</v>
      </c>
      <c r="F6218" t="s">
        <v>638</v>
      </c>
      <c r="G6218" t="s">
        <v>639</v>
      </c>
      <c r="H6218" t="s">
        <v>7187</v>
      </c>
      <c r="I6218">
        <v>13</v>
      </c>
      <c r="J6218">
        <v>0</v>
      </c>
      <c r="K6218">
        <v>0</v>
      </c>
      <c r="L6218">
        <v>13</v>
      </c>
      <c r="M6218">
        <v>0</v>
      </c>
      <c r="N6218">
        <v>0</v>
      </c>
      <c r="O6218">
        <v>0</v>
      </c>
    </row>
    <row r="6219" spans="1:15" x14ac:dyDescent="0.25">
      <c r="A6219" t="s">
        <v>11720</v>
      </c>
      <c r="B6219" t="s">
        <v>10718</v>
      </c>
      <c r="C6219" t="s">
        <v>927</v>
      </c>
      <c r="D6219" t="s">
        <v>3052</v>
      </c>
      <c r="E6219" t="s">
        <v>3053</v>
      </c>
      <c r="F6219" t="s">
        <v>638</v>
      </c>
      <c r="G6219" t="s">
        <v>639</v>
      </c>
      <c r="H6219" t="s">
        <v>15067</v>
      </c>
      <c r="I6219">
        <v>98</v>
      </c>
      <c r="J6219">
        <v>49</v>
      </c>
      <c r="K6219">
        <v>0</v>
      </c>
      <c r="L6219">
        <v>0</v>
      </c>
      <c r="M6219">
        <v>0</v>
      </c>
      <c r="N6219">
        <v>0</v>
      </c>
      <c r="O6219">
        <v>49</v>
      </c>
    </row>
    <row r="6220" spans="1:15" x14ac:dyDescent="0.25">
      <c r="A6220" t="s">
        <v>9788</v>
      </c>
      <c r="B6220" t="s">
        <v>9871</v>
      </c>
      <c r="C6220" t="s">
        <v>927</v>
      </c>
      <c r="D6220" t="s">
        <v>3052</v>
      </c>
      <c r="E6220" t="s">
        <v>3053</v>
      </c>
      <c r="F6220" t="s">
        <v>638</v>
      </c>
      <c r="G6220" t="s">
        <v>639</v>
      </c>
      <c r="H6220" t="s">
        <v>11242</v>
      </c>
      <c r="I6220">
        <v>52</v>
      </c>
      <c r="J6220">
        <v>52</v>
      </c>
      <c r="K6220">
        <v>0</v>
      </c>
      <c r="L6220">
        <v>0</v>
      </c>
      <c r="M6220">
        <v>0</v>
      </c>
      <c r="N6220">
        <v>0</v>
      </c>
      <c r="O6220">
        <v>0</v>
      </c>
    </row>
    <row r="6221" spans="1:15" x14ac:dyDescent="0.25">
      <c r="A6221" t="s">
        <v>955</v>
      </c>
      <c r="B6221" t="s">
        <v>2660</v>
      </c>
      <c r="C6221" t="s">
        <v>927</v>
      </c>
      <c r="D6221" t="s">
        <v>3052</v>
      </c>
      <c r="E6221" t="s">
        <v>3053</v>
      </c>
      <c r="F6221" t="s">
        <v>638</v>
      </c>
      <c r="G6221" t="s">
        <v>639</v>
      </c>
      <c r="H6221" t="s">
        <v>7188</v>
      </c>
      <c r="I6221">
        <v>36</v>
      </c>
      <c r="J6221">
        <v>36</v>
      </c>
      <c r="K6221">
        <v>0</v>
      </c>
      <c r="L6221">
        <v>0</v>
      </c>
      <c r="M6221">
        <v>0</v>
      </c>
      <c r="N6221">
        <v>0</v>
      </c>
      <c r="O6221">
        <v>0</v>
      </c>
    </row>
    <row r="6222" spans="1:15" x14ac:dyDescent="0.25">
      <c r="A6222" t="s">
        <v>14374</v>
      </c>
      <c r="B6222" t="s">
        <v>1943</v>
      </c>
      <c r="C6222" t="s">
        <v>927</v>
      </c>
      <c r="D6222" t="s">
        <v>3052</v>
      </c>
      <c r="E6222" t="s">
        <v>3053</v>
      </c>
      <c r="F6222" t="s">
        <v>638</v>
      </c>
      <c r="G6222" t="s">
        <v>639</v>
      </c>
      <c r="H6222" t="s">
        <v>15068</v>
      </c>
      <c r="I6222">
        <v>13</v>
      </c>
      <c r="J6222">
        <v>0</v>
      </c>
      <c r="K6222">
        <v>0</v>
      </c>
      <c r="L6222">
        <v>0</v>
      </c>
      <c r="M6222">
        <v>0</v>
      </c>
      <c r="N6222">
        <v>0</v>
      </c>
      <c r="O6222">
        <v>13</v>
      </c>
    </row>
    <row r="6223" spans="1:15" x14ac:dyDescent="0.25">
      <c r="A6223" t="s">
        <v>962</v>
      </c>
      <c r="B6223" t="s">
        <v>2752</v>
      </c>
      <c r="C6223" t="s">
        <v>927</v>
      </c>
      <c r="D6223" t="s">
        <v>3052</v>
      </c>
      <c r="E6223" t="s">
        <v>3053</v>
      </c>
      <c r="F6223" t="s">
        <v>638</v>
      </c>
      <c r="G6223" t="s">
        <v>639</v>
      </c>
      <c r="H6223" t="s">
        <v>7189</v>
      </c>
      <c r="I6223">
        <v>306</v>
      </c>
      <c r="J6223">
        <v>256</v>
      </c>
      <c r="K6223">
        <v>0</v>
      </c>
      <c r="L6223">
        <v>0</v>
      </c>
      <c r="M6223">
        <v>0</v>
      </c>
      <c r="N6223">
        <v>0</v>
      </c>
      <c r="O6223">
        <v>50</v>
      </c>
    </row>
    <row r="6224" spans="1:15" x14ac:dyDescent="0.25">
      <c r="A6224" t="s">
        <v>1068</v>
      </c>
      <c r="B6224" t="s">
        <v>2081</v>
      </c>
      <c r="C6224" t="s">
        <v>923</v>
      </c>
      <c r="D6224" t="s">
        <v>3063</v>
      </c>
      <c r="E6224" t="s">
        <v>3053</v>
      </c>
      <c r="F6224" t="s">
        <v>638</v>
      </c>
      <c r="G6224" t="s">
        <v>639</v>
      </c>
      <c r="H6224" t="s">
        <v>11243</v>
      </c>
      <c r="I6224">
        <v>4</v>
      </c>
      <c r="J6224">
        <v>0</v>
      </c>
      <c r="K6224">
        <v>0</v>
      </c>
      <c r="L6224">
        <v>4</v>
      </c>
      <c r="M6224">
        <v>0</v>
      </c>
      <c r="N6224">
        <v>0</v>
      </c>
      <c r="O6224">
        <v>0</v>
      </c>
    </row>
    <row r="6225" spans="1:15" x14ac:dyDescent="0.25">
      <c r="A6225" t="s">
        <v>1078</v>
      </c>
      <c r="B6225" t="s">
        <v>1950</v>
      </c>
      <c r="C6225" t="s">
        <v>923</v>
      </c>
      <c r="D6225" t="s">
        <v>3063</v>
      </c>
      <c r="E6225" t="s">
        <v>3053</v>
      </c>
      <c r="F6225" t="s">
        <v>638</v>
      </c>
      <c r="G6225" t="s">
        <v>639</v>
      </c>
      <c r="H6225" t="s">
        <v>7190</v>
      </c>
      <c r="I6225">
        <v>8</v>
      </c>
      <c r="J6225">
        <v>0</v>
      </c>
      <c r="K6225">
        <v>0</v>
      </c>
      <c r="L6225">
        <v>8</v>
      </c>
      <c r="M6225">
        <v>0</v>
      </c>
      <c r="N6225">
        <v>0</v>
      </c>
      <c r="O6225">
        <v>0</v>
      </c>
    </row>
    <row r="6226" spans="1:15" x14ac:dyDescent="0.25">
      <c r="A6226" t="s">
        <v>1865</v>
      </c>
      <c r="B6226" t="s">
        <v>2866</v>
      </c>
      <c r="C6226" t="s">
        <v>927</v>
      </c>
      <c r="D6226" t="s">
        <v>3052</v>
      </c>
      <c r="E6226" t="s">
        <v>3053</v>
      </c>
      <c r="F6226" t="s">
        <v>638</v>
      </c>
      <c r="G6226" t="s">
        <v>639</v>
      </c>
      <c r="H6226" t="s">
        <v>15069</v>
      </c>
      <c r="I6226">
        <v>10</v>
      </c>
      <c r="J6226">
        <v>6</v>
      </c>
      <c r="K6226">
        <v>0</v>
      </c>
      <c r="L6226">
        <v>0</v>
      </c>
      <c r="M6226">
        <v>0</v>
      </c>
      <c r="N6226">
        <v>0</v>
      </c>
      <c r="O6226">
        <v>4</v>
      </c>
    </row>
    <row r="6227" spans="1:15" x14ac:dyDescent="0.25">
      <c r="A6227" t="s">
        <v>1080</v>
      </c>
      <c r="B6227" t="s">
        <v>2030</v>
      </c>
      <c r="C6227" t="s">
        <v>923</v>
      </c>
      <c r="D6227" t="s">
        <v>3063</v>
      </c>
      <c r="E6227" t="s">
        <v>3053</v>
      </c>
      <c r="F6227" t="s">
        <v>638</v>
      </c>
      <c r="G6227" t="s">
        <v>639</v>
      </c>
      <c r="H6227" t="s">
        <v>7191</v>
      </c>
      <c r="I6227">
        <v>2</v>
      </c>
      <c r="J6227">
        <v>0</v>
      </c>
      <c r="K6227">
        <v>0</v>
      </c>
      <c r="L6227">
        <v>2</v>
      </c>
      <c r="M6227">
        <v>0</v>
      </c>
      <c r="N6227">
        <v>0</v>
      </c>
      <c r="O6227">
        <v>0</v>
      </c>
    </row>
    <row r="6228" spans="1:15" x14ac:dyDescent="0.25">
      <c r="A6228" t="s">
        <v>974</v>
      </c>
      <c r="B6228" t="s">
        <v>2949</v>
      </c>
      <c r="C6228" t="s">
        <v>923</v>
      </c>
      <c r="D6228" t="s">
        <v>3063</v>
      </c>
      <c r="E6228" t="s">
        <v>3053</v>
      </c>
      <c r="F6228" t="s">
        <v>640</v>
      </c>
      <c r="G6228" t="s">
        <v>641</v>
      </c>
      <c r="H6228" t="s">
        <v>7192</v>
      </c>
      <c r="I6228">
        <v>5</v>
      </c>
      <c r="J6228">
        <v>0</v>
      </c>
      <c r="K6228">
        <v>0</v>
      </c>
      <c r="L6228">
        <v>5</v>
      </c>
      <c r="M6228">
        <v>0</v>
      </c>
      <c r="N6228">
        <v>0</v>
      </c>
      <c r="O6228">
        <v>0</v>
      </c>
    </row>
    <row r="6229" spans="1:15" x14ac:dyDescent="0.25">
      <c r="A6229" t="s">
        <v>926</v>
      </c>
      <c r="B6229" t="s">
        <v>2923</v>
      </c>
      <c r="C6229" t="s">
        <v>927</v>
      </c>
      <c r="D6229" t="s">
        <v>3052</v>
      </c>
      <c r="E6229" t="s">
        <v>3053</v>
      </c>
      <c r="F6229" t="s">
        <v>640</v>
      </c>
      <c r="G6229" t="s">
        <v>641</v>
      </c>
      <c r="H6229" t="s">
        <v>7193</v>
      </c>
      <c r="I6229">
        <v>12</v>
      </c>
      <c r="J6229">
        <v>0</v>
      </c>
      <c r="K6229">
        <v>0</v>
      </c>
      <c r="L6229">
        <v>8</v>
      </c>
      <c r="M6229">
        <v>0</v>
      </c>
      <c r="N6229">
        <v>0</v>
      </c>
      <c r="O6229">
        <v>4</v>
      </c>
    </row>
    <row r="6230" spans="1:15" x14ac:dyDescent="0.25">
      <c r="A6230" t="s">
        <v>929</v>
      </c>
      <c r="B6230" t="s">
        <v>2999</v>
      </c>
      <c r="C6230" t="s">
        <v>927</v>
      </c>
      <c r="D6230" t="s">
        <v>3052</v>
      </c>
      <c r="E6230" t="s">
        <v>3053</v>
      </c>
      <c r="F6230" t="s">
        <v>640</v>
      </c>
      <c r="G6230" t="s">
        <v>641</v>
      </c>
      <c r="H6230" t="s">
        <v>7194</v>
      </c>
      <c r="I6230">
        <v>49</v>
      </c>
      <c r="J6230">
        <v>0</v>
      </c>
      <c r="K6230">
        <v>0</v>
      </c>
      <c r="L6230">
        <v>0</v>
      </c>
      <c r="M6230">
        <v>49</v>
      </c>
      <c r="N6230">
        <v>0</v>
      </c>
      <c r="O6230">
        <v>0</v>
      </c>
    </row>
    <row r="6231" spans="1:15" x14ac:dyDescent="0.25">
      <c r="A6231" t="s">
        <v>980</v>
      </c>
      <c r="B6231" t="s">
        <v>2722</v>
      </c>
      <c r="C6231" t="s">
        <v>923</v>
      </c>
      <c r="D6231" t="s">
        <v>3063</v>
      </c>
      <c r="E6231" t="s">
        <v>3053</v>
      </c>
      <c r="F6231" t="s">
        <v>640</v>
      </c>
      <c r="G6231" t="s">
        <v>641</v>
      </c>
      <c r="H6231" t="s">
        <v>15070</v>
      </c>
      <c r="I6231">
        <v>8</v>
      </c>
      <c r="J6231">
        <v>0</v>
      </c>
      <c r="K6231">
        <v>0</v>
      </c>
      <c r="L6231">
        <v>0</v>
      </c>
      <c r="M6231">
        <v>8</v>
      </c>
      <c r="N6231">
        <v>0</v>
      </c>
      <c r="O6231">
        <v>0</v>
      </c>
    </row>
    <row r="6232" spans="1:15" x14ac:dyDescent="0.25">
      <c r="A6232" t="s">
        <v>997</v>
      </c>
      <c r="B6232" t="s">
        <v>2033</v>
      </c>
      <c r="C6232" t="s">
        <v>927</v>
      </c>
      <c r="D6232" t="s">
        <v>3052</v>
      </c>
      <c r="E6232" t="s">
        <v>3053</v>
      </c>
      <c r="F6232" t="s">
        <v>640</v>
      </c>
      <c r="G6232" t="s">
        <v>641</v>
      </c>
      <c r="H6232" t="s">
        <v>7195</v>
      </c>
      <c r="I6232">
        <v>33</v>
      </c>
      <c r="J6232">
        <v>23</v>
      </c>
      <c r="K6232">
        <v>0</v>
      </c>
      <c r="L6232">
        <v>0</v>
      </c>
      <c r="M6232">
        <v>0</v>
      </c>
      <c r="N6232">
        <v>0</v>
      </c>
      <c r="O6232">
        <v>10</v>
      </c>
    </row>
    <row r="6233" spans="1:15" x14ac:dyDescent="0.25">
      <c r="A6233" t="s">
        <v>940</v>
      </c>
      <c r="B6233" t="s">
        <v>2647</v>
      </c>
      <c r="C6233" t="s">
        <v>927</v>
      </c>
      <c r="D6233" t="s">
        <v>3052</v>
      </c>
      <c r="E6233" t="s">
        <v>3053</v>
      </c>
      <c r="F6233" t="s">
        <v>640</v>
      </c>
      <c r="G6233" t="s">
        <v>641</v>
      </c>
      <c r="H6233" t="s">
        <v>7196</v>
      </c>
      <c r="I6233">
        <v>36</v>
      </c>
      <c r="J6233">
        <v>0</v>
      </c>
      <c r="K6233">
        <v>0</v>
      </c>
      <c r="L6233">
        <v>0</v>
      </c>
      <c r="M6233">
        <v>36</v>
      </c>
      <c r="N6233">
        <v>0</v>
      </c>
      <c r="O6233">
        <v>0</v>
      </c>
    </row>
    <row r="6234" spans="1:15" x14ac:dyDescent="0.25">
      <c r="A6234" t="s">
        <v>1013</v>
      </c>
      <c r="B6234" t="s">
        <v>1959</v>
      </c>
      <c r="C6234" t="s">
        <v>927</v>
      </c>
      <c r="D6234" t="s">
        <v>3052</v>
      </c>
      <c r="E6234" t="s">
        <v>3053</v>
      </c>
      <c r="F6234" t="s">
        <v>640</v>
      </c>
      <c r="G6234" t="s">
        <v>641</v>
      </c>
      <c r="H6234" t="s">
        <v>12259</v>
      </c>
      <c r="I6234">
        <v>3</v>
      </c>
      <c r="J6234">
        <v>0</v>
      </c>
      <c r="K6234">
        <v>0</v>
      </c>
      <c r="L6234">
        <v>3</v>
      </c>
      <c r="M6234">
        <v>0</v>
      </c>
      <c r="N6234">
        <v>0</v>
      </c>
      <c r="O6234">
        <v>0</v>
      </c>
    </row>
    <row r="6235" spans="1:15" x14ac:dyDescent="0.25">
      <c r="A6235" t="s">
        <v>10667</v>
      </c>
      <c r="B6235" t="s">
        <v>10666</v>
      </c>
      <c r="C6235" t="s">
        <v>927</v>
      </c>
      <c r="D6235" t="s">
        <v>3052</v>
      </c>
      <c r="E6235" t="s">
        <v>3053</v>
      </c>
      <c r="F6235" t="s">
        <v>640</v>
      </c>
      <c r="G6235" t="s">
        <v>641</v>
      </c>
      <c r="H6235" t="s">
        <v>11244</v>
      </c>
      <c r="I6235">
        <v>21</v>
      </c>
      <c r="J6235">
        <v>21</v>
      </c>
      <c r="K6235">
        <v>0</v>
      </c>
      <c r="L6235">
        <v>0</v>
      </c>
      <c r="M6235">
        <v>0</v>
      </c>
      <c r="N6235">
        <v>0</v>
      </c>
      <c r="O6235">
        <v>0</v>
      </c>
    </row>
    <row r="6236" spans="1:15" x14ac:dyDescent="0.25">
      <c r="A6236" t="s">
        <v>1126</v>
      </c>
      <c r="B6236" t="s">
        <v>2130</v>
      </c>
      <c r="C6236" t="s">
        <v>927</v>
      </c>
      <c r="D6236" t="s">
        <v>3052</v>
      </c>
      <c r="E6236" t="s">
        <v>3053</v>
      </c>
      <c r="F6236" t="s">
        <v>640</v>
      </c>
      <c r="G6236" t="s">
        <v>641</v>
      </c>
      <c r="H6236" t="s">
        <v>10168</v>
      </c>
      <c r="I6236">
        <v>75</v>
      </c>
      <c r="J6236">
        <v>27</v>
      </c>
      <c r="K6236">
        <v>0</v>
      </c>
      <c r="L6236">
        <v>0</v>
      </c>
      <c r="M6236">
        <v>0</v>
      </c>
      <c r="N6236">
        <v>0</v>
      </c>
      <c r="O6236">
        <v>48</v>
      </c>
    </row>
    <row r="6237" spans="1:15" x14ac:dyDescent="0.25">
      <c r="A6237" t="s">
        <v>1026</v>
      </c>
      <c r="B6237" t="s">
        <v>2848</v>
      </c>
      <c r="C6237" t="s">
        <v>927</v>
      </c>
      <c r="D6237" t="s">
        <v>3052</v>
      </c>
      <c r="E6237" t="s">
        <v>3053</v>
      </c>
      <c r="F6237" t="s">
        <v>640</v>
      </c>
      <c r="G6237" t="s">
        <v>641</v>
      </c>
      <c r="H6237" t="s">
        <v>7197</v>
      </c>
      <c r="I6237">
        <v>21</v>
      </c>
      <c r="J6237">
        <v>13</v>
      </c>
      <c r="K6237">
        <v>0</v>
      </c>
      <c r="L6237">
        <v>0</v>
      </c>
      <c r="M6237">
        <v>0</v>
      </c>
      <c r="N6237">
        <v>0</v>
      </c>
      <c r="O6237">
        <v>8</v>
      </c>
    </row>
    <row r="6238" spans="1:15" x14ac:dyDescent="0.25">
      <c r="A6238" t="s">
        <v>943</v>
      </c>
      <c r="B6238" t="s">
        <v>2694</v>
      </c>
      <c r="C6238" t="s">
        <v>927</v>
      </c>
      <c r="D6238" t="s">
        <v>3052</v>
      </c>
      <c r="E6238" t="s">
        <v>3053</v>
      </c>
      <c r="F6238" t="s">
        <v>640</v>
      </c>
      <c r="G6238" t="s">
        <v>641</v>
      </c>
      <c r="H6238" t="s">
        <v>7198</v>
      </c>
      <c r="I6238">
        <v>34</v>
      </c>
      <c r="J6238">
        <v>34</v>
      </c>
      <c r="K6238">
        <v>0</v>
      </c>
      <c r="L6238">
        <v>0</v>
      </c>
      <c r="M6238">
        <v>0</v>
      </c>
      <c r="N6238">
        <v>0</v>
      </c>
      <c r="O6238">
        <v>0</v>
      </c>
    </row>
    <row r="6239" spans="1:15" x14ac:dyDescent="0.25">
      <c r="A6239" t="s">
        <v>1030</v>
      </c>
      <c r="B6239" t="s">
        <v>2880</v>
      </c>
      <c r="C6239" t="s">
        <v>927</v>
      </c>
      <c r="D6239" t="s">
        <v>3052</v>
      </c>
      <c r="E6239" t="s">
        <v>3053</v>
      </c>
      <c r="F6239" t="s">
        <v>640</v>
      </c>
      <c r="G6239" t="s">
        <v>641</v>
      </c>
      <c r="H6239" t="s">
        <v>7199</v>
      </c>
      <c r="I6239">
        <v>43</v>
      </c>
      <c r="J6239">
        <v>32</v>
      </c>
      <c r="K6239">
        <v>0</v>
      </c>
      <c r="L6239">
        <v>0</v>
      </c>
      <c r="M6239">
        <v>0</v>
      </c>
      <c r="N6239">
        <v>0</v>
      </c>
      <c r="O6239">
        <v>11</v>
      </c>
    </row>
    <row r="6240" spans="1:15" x14ac:dyDescent="0.25">
      <c r="A6240" t="s">
        <v>1036</v>
      </c>
      <c r="B6240" t="s">
        <v>1966</v>
      </c>
      <c r="C6240" t="s">
        <v>923</v>
      </c>
      <c r="D6240" t="s">
        <v>3063</v>
      </c>
      <c r="E6240" t="s">
        <v>3053</v>
      </c>
      <c r="F6240" t="s">
        <v>640</v>
      </c>
      <c r="G6240" t="s">
        <v>641</v>
      </c>
      <c r="H6240" t="s">
        <v>7200</v>
      </c>
      <c r="I6240">
        <v>6</v>
      </c>
      <c r="J6240">
        <v>0</v>
      </c>
      <c r="K6240">
        <v>0</v>
      </c>
      <c r="L6240">
        <v>6</v>
      </c>
      <c r="M6240">
        <v>0</v>
      </c>
      <c r="N6240">
        <v>0</v>
      </c>
      <c r="O6240">
        <v>0</v>
      </c>
    </row>
    <row r="6241" spans="1:15" x14ac:dyDescent="0.25">
      <c r="A6241" t="s">
        <v>1038</v>
      </c>
      <c r="B6241" t="s">
        <v>2068</v>
      </c>
      <c r="C6241" t="s">
        <v>927</v>
      </c>
      <c r="D6241" t="s">
        <v>3052</v>
      </c>
      <c r="E6241" t="s">
        <v>3053</v>
      </c>
      <c r="F6241" t="s">
        <v>640</v>
      </c>
      <c r="G6241" t="s">
        <v>641</v>
      </c>
      <c r="H6241" t="s">
        <v>7201</v>
      </c>
      <c r="I6241">
        <v>17</v>
      </c>
      <c r="J6241">
        <v>12</v>
      </c>
      <c r="K6241">
        <v>0</v>
      </c>
      <c r="L6241">
        <v>0</v>
      </c>
      <c r="M6241">
        <v>0</v>
      </c>
      <c r="N6241">
        <v>0</v>
      </c>
      <c r="O6241">
        <v>5</v>
      </c>
    </row>
    <row r="6242" spans="1:15" x14ac:dyDescent="0.25">
      <c r="A6242" t="s">
        <v>1043</v>
      </c>
      <c r="B6242" t="s">
        <v>2090</v>
      </c>
      <c r="C6242" t="s">
        <v>927</v>
      </c>
      <c r="D6242" t="s">
        <v>3052</v>
      </c>
      <c r="E6242" t="s">
        <v>3053</v>
      </c>
      <c r="F6242" t="s">
        <v>640</v>
      </c>
      <c r="G6242" t="s">
        <v>641</v>
      </c>
      <c r="H6242" t="s">
        <v>7202</v>
      </c>
      <c r="I6242">
        <v>124</v>
      </c>
      <c r="J6242">
        <v>109</v>
      </c>
      <c r="K6242">
        <v>0</v>
      </c>
      <c r="L6242">
        <v>0</v>
      </c>
      <c r="M6242">
        <v>10</v>
      </c>
      <c r="N6242">
        <v>0</v>
      </c>
      <c r="O6242">
        <v>5</v>
      </c>
    </row>
    <row r="6243" spans="1:15" x14ac:dyDescent="0.25">
      <c r="A6243" t="s">
        <v>1049</v>
      </c>
      <c r="B6243" t="s">
        <v>2138</v>
      </c>
      <c r="C6243" t="s">
        <v>927</v>
      </c>
      <c r="D6243" t="s">
        <v>3052</v>
      </c>
      <c r="E6243" t="s">
        <v>3053</v>
      </c>
      <c r="F6243" t="s">
        <v>640</v>
      </c>
      <c r="G6243" t="s">
        <v>641</v>
      </c>
      <c r="H6243" t="s">
        <v>7203</v>
      </c>
      <c r="I6243">
        <v>224</v>
      </c>
      <c r="J6243">
        <v>163</v>
      </c>
      <c r="K6243">
        <v>0</v>
      </c>
      <c r="L6243">
        <v>0</v>
      </c>
      <c r="M6243">
        <v>0</v>
      </c>
      <c r="N6243">
        <v>0</v>
      </c>
      <c r="O6243">
        <v>61</v>
      </c>
    </row>
    <row r="6244" spans="1:15" x14ac:dyDescent="0.25">
      <c r="A6244" t="s">
        <v>1051</v>
      </c>
      <c r="B6244" t="s">
        <v>2995</v>
      </c>
      <c r="C6244" t="s">
        <v>927</v>
      </c>
      <c r="D6244" t="s">
        <v>3052</v>
      </c>
      <c r="E6244" t="s">
        <v>3053</v>
      </c>
      <c r="F6244" t="s">
        <v>640</v>
      </c>
      <c r="G6244" t="s">
        <v>641</v>
      </c>
      <c r="H6244" t="s">
        <v>7204</v>
      </c>
      <c r="I6244">
        <v>18</v>
      </c>
      <c r="J6244">
        <v>0</v>
      </c>
      <c r="K6244">
        <v>0</v>
      </c>
      <c r="L6244">
        <v>18</v>
      </c>
      <c r="M6244">
        <v>0</v>
      </c>
      <c r="N6244">
        <v>0</v>
      </c>
      <c r="O6244">
        <v>0</v>
      </c>
    </row>
    <row r="6245" spans="1:15" x14ac:dyDescent="0.25">
      <c r="A6245" t="s">
        <v>11720</v>
      </c>
      <c r="B6245" t="s">
        <v>10718</v>
      </c>
      <c r="C6245" t="s">
        <v>927</v>
      </c>
      <c r="D6245" t="s">
        <v>3052</v>
      </c>
      <c r="E6245" t="s">
        <v>3053</v>
      </c>
      <c r="F6245" t="s">
        <v>640</v>
      </c>
      <c r="G6245" t="s">
        <v>641</v>
      </c>
      <c r="H6245" t="s">
        <v>15071</v>
      </c>
      <c r="I6245">
        <v>75</v>
      </c>
      <c r="J6245">
        <v>28</v>
      </c>
      <c r="K6245">
        <v>0</v>
      </c>
      <c r="L6245">
        <v>0</v>
      </c>
      <c r="M6245">
        <v>0</v>
      </c>
      <c r="N6245">
        <v>0</v>
      </c>
      <c r="O6245">
        <v>47</v>
      </c>
    </row>
    <row r="6246" spans="1:15" x14ac:dyDescent="0.25">
      <c r="A6246" t="s">
        <v>9788</v>
      </c>
      <c r="B6246" t="s">
        <v>9871</v>
      </c>
      <c r="C6246" t="s">
        <v>927</v>
      </c>
      <c r="D6246" t="s">
        <v>3052</v>
      </c>
      <c r="E6246" t="s">
        <v>3053</v>
      </c>
      <c r="F6246" t="s">
        <v>640</v>
      </c>
      <c r="G6246" t="s">
        <v>641</v>
      </c>
      <c r="H6246" t="s">
        <v>15072</v>
      </c>
      <c r="I6246">
        <v>15</v>
      </c>
      <c r="J6246">
        <v>15</v>
      </c>
      <c r="K6246">
        <v>0</v>
      </c>
      <c r="L6246">
        <v>0</v>
      </c>
      <c r="M6246">
        <v>0</v>
      </c>
      <c r="N6246">
        <v>0</v>
      </c>
      <c r="O6246">
        <v>0</v>
      </c>
    </row>
    <row r="6247" spans="1:15" x14ac:dyDescent="0.25">
      <c r="A6247" t="s">
        <v>962</v>
      </c>
      <c r="B6247" t="s">
        <v>2752</v>
      </c>
      <c r="C6247" t="s">
        <v>927</v>
      </c>
      <c r="D6247" t="s">
        <v>3052</v>
      </c>
      <c r="E6247" t="s">
        <v>3053</v>
      </c>
      <c r="F6247" t="s">
        <v>640</v>
      </c>
      <c r="G6247" t="s">
        <v>641</v>
      </c>
      <c r="H6247" t="s">
        <v>7205</v>
      </c>
      <c r="I6247">
        <v>46</v>
      </c>
      <c r="J6247">
        <v>36</v>
      </c>
      <c r="K6247">
        <v>0</v>
      </c>
      <c r="L6247">
        <v>0</v>
      </c>
      <c r="M6247">
        <v>0</v>
      </c>
      <c r="N6247">
        <v>0</v>
      </c>
      <c r="O6247">
        <v>10</v>
      </c>
    </row>
    <row r="6248" spans="1:15" x14ac:dyDescent="0.25">
      <c r="A6248" t="s">
        <v>9789</v>
      </c>
      <c r="B6248" t="s">
        <v>2789</v>
      </c>
      <c r="C6248" t="s">
        <v>923</v>
      </c>
      <c r="D6248" t="s">
        <v>3063</v>
      </c>
      <c r="E6248" t="s">
        <v>3053</v>
      </c>
      <c r="F6248" t="s">
        <v>640</v>
      </c>
      <c r="G6248" t="s">
        <v>641</v>
      </c>
      <c r="H6248" t="s">
        <v>10489</v>
      </c>
      <c r="I6248">
        <v>35</v>
      </c>
      <c r="J6248">
        <v>35</v>
      </c>
      <c r="K6248">
        <v>0</v>
      </c>
      <c r="L6248">
        <v>0</v>
      </c>
      <c r="M6248">
        <v>0</v>
      </c>
      <c r="N6248">
        <v>0</v>
      </c>
      <c r="O6248">
        <v>0</v>
      </c>
    </row>
    <row r="6249" spans="1:15" x14ac:dyDescent="0.25">
      <c r="A6249" t="s">
        <v>1072</v>
      </c>
      <c r="B6249" t="s">
        <v>2907</v>
      </c>
      <c r="C6249" t="s">
        <v>927</v>
      </c>
      <c r="D6249" t="s">
        <v>3052</v>
      </c>
      <c r="E6249" t="s">
        <v>3053</v>
      </c>
      <c r="F6249" t="s">
        <v>640</v>
      </c>
      <c r="G6249" t="s">
        <v>641</v>
      </c>
      <c r="H6249" t="s">
        <v>7206</v>
      </c>
      <c r="I6249">
        <v>141</v>
      </c>
      <c r="J6249">
        <v>97</v>
      </c>
      <c r="K6249">
        <v>0</v>
      </c>
      <c r="L6249">
        <v>10</v>
      </c>
      <c r="M6249">
        <v>0</v>
      </c>
      <c r="N6249">
        <v>0</v>
      </c>
      <c r="O6249">
        <v>34</v>
      </c>
    </row>
    <row r="6250" spans="1:15" x14ac:dyDescent="0.25">
      <c r="A6250" t="s">
        <v>1078</v>
      </c>
      <c r="B6250" t="s">
        <v>1950</v>
      </c>
      <c r="C6250" t="s">
        <v>923</v>
      </c>
      <c r="D6250" t="s">
        <v>3063</v>
      </c>
      <c r="E6250" t="s">
        <v>3053</v>
      </c>
      <c r="F6250" t="s">
        <v>640</v>
      </c>
      <c r="G6250" t="s">
        <v>641</v>
      </c>
      <c r="H6250" t="s">
        <v>7207</v>
      </c>
      <c r="I6250">
        <v>7</v>
      </c>
      <c r="J6250">
        <v>0</v>
      </c>
      <c r="K6250">
        <v>0</v>
      </c>
      <c r="L6250">
        <v>7</v>
      </c>
      <c r="M6250">
        <v>0</v>
      </c>
      <c r="N6250">
        <v>0</v>
      </c>
      <c r="O6250">
        <v>0</v>
      </c>
    </row>
    <row r="6251" spans="1:15" x14ac:dyDescent="0.25">
      <c r="A6251" t="s">
        <v>929</v>
      </c>
      <c r="B6251" t="s">
        <v>2999</v>
      </c>
      <c r="C6251" t="s">
        <v>927</v>
      </c>
      <c r="D6251" t="s">
        <v>3052</v>
      </c>
      <c r="E6251" t="s">
        <v>3053</v>
      </c>
      <c r="F6251" t="s">
        <v>642</v>
      </c>
      <c r="G6251" t="s">
        <v>643</v>
      </c>
      <c r="H6251" t="s">
        <v>7208</v>
      </c>
      <c r="I6251">
        <v>312</v>
      </c>
      <c r="J6251">
        <v>0</v>
      </c>
      <c r="K6251">
        <v>0</v>
      </c>
      <c r="L6251">
        <v>0</v>
      </c>
      <c r="M6251">
        <v>312</v>
      </c>
      <c r="N6251">
        <v>0</v>
      </c>
      <c r="O6251">
        <v>0</v>
      </c>
    </row>
    <row r="6252" spans="1:15" x14ac:dyDescent="0.25">
      <c r="A6252" t="s">
        <v>1461</v>
      </c>
      <c r="B6252" t="s">
        <v>1927</v>
      </c>
      <c r="C6252" t="s">
        <v>927</v>
      </c>
      <c r="D6252" t="s">
        <v>3052</v>
      </c>
      <c r="E6252" t="s">
        <v>3053</v>
      </c>
      <c r="F6252" t="s">
        <v>642</v>
      </c>
      <c r="G6252" t="s">
        <v>643</v>
      </c>
      <c r="H6252" t="s">
        <v>12260</v>
      </c>
      <c r="I6252">
        <v>65</v>
      </c>
      <c r="J6252">
        <v>61</v>
      </c>
      <c r="K6252">
        <v>0</v>
      </c>
      <c r="L6252">
        <v>0</v>
      </c>
      <c r="M6252">
        <v>0</v>
      </c>
      <c r="N6252">
        <v>0</v>
      </c>
      <c r="O6252">
        <v>4</v>
      </c>
    </row>
    <row r="6253" spans="1:15" x14ac:dyDescent="0.25">
      <c r="A6253" t="s">
        <v>1227</v>
      </c>
      <c r="B6253" t="s">
        <v>2023</v>
      </c>
      <c r="C6253" t="s">
        <v>923</v>
      </c>
      <c r="D6253" t="s">
        <v>3063</v>
      </c>
      <c r="E6253" t="s">
        <v>3053</v>
      </c>
      <c r="F6253" t="s">
        <v>642</v>
      </c>
      <c r="G6253" t="s">
        <v>643</v>
      </c>
      <c r="H6253" t="s">
        <v>15073</v>
      </c>
      <c r="I6253">
        <v>11</v>
      </c>
      <c r="J6253">
        <v>11</v>
      </c>
      <c r="K6253">
        <v>0</v>
      </c>
      <c r="L6253">
        <v>0</v>
      </c>
      <c r="M6253">
        <v>0</v>
      </c>
      <c r="N6253">
        <v>0</v>
      </c>
      <c r="O6253">
        <v>0</v>
      </c>
    </row>
    <row r="6254" spans="1:15" x14ac:dyDescent="0.25">
      <c r="A6254" t="s">
        <v>1413</v>
      </c>
      <c r="B6254" t="s">
        <v>2048</v>
      </c>
      <c r="C6254" t="s">
        <v>923</v>
      </c>
      <c r="D6254" t="s">
        <v>3063</v>
      </c>
      <c r="E6254" t="s">
        <v>3053</v>
      </c>
      <c r="F6254" t="s">
        <v>642</v>
      </c>
      <c r="G6254" t="s">
        <v>643</v>
      </c>
      <c r="H6254" t="s">
        <v>15074</v>
      </c>
      <c r="I6254">
        <v>10</v>
      </c>
      <c r="J6254">
        <v>0</v>
      </c>
      <c r="K6254">
        <v>0</v>
      </c>
      <c r="L6254">
        <v>10</v>
      </c>
      <c r="M6254">
        <v>0</v>
      </c>
      <c r="N6254">
        <v>10</v>
      </c>
      <c r="O6254">
        <v>0</v>
      </c>
    </row>
    <row r="6255" spans="1:15" x14ac:dyDescent="0.25">
      <c r="A6255" t="s">
        <v>9804</v>
      </c>
      <c r="B6255" t="s">
        <v>2043</v>
      </c>
      <c r="C6255" t="s">
        <v>923</v>
      </c>
      <c r="D6255" t="s">
        <v>3063</v>
      </c>
      <c r="E6255" t="s">
        <v>3053</v>
      </c>
      <c r="F6255" t="s">
        <v>642</v>
      </c>
      <c r="G6255" t="s">
        <v>643</v>
      </c>
      <c r="H6255" t="s">
        <v>11245</v>
      </c>
      <c r="I6255">
        <v>14</v>
      </c>
      <c r="J6255">
        <v>0</v>
      </c>
      <c r="K6255">
        <v>0</v>
      </c>
      <c r="L6255">
        <v>14</v>
      </c>
      <c r="M6255">
        <v>0</v>
      </c>
      <c r="N6255">
        <v>0</v>
      </c>
      <c r="O6255">
        <v>0</v>
      </c>
    </row>
    <row r="6256" spans="1:15" x14ac:dyDescent="0.25">
      <c r="A6256" t="s">
        <v>11660</v>
      </c>
      <c r="B6256" t="s">
        <v>2041</v>
      </c>
      <c r="C6256" t="s">
        <v>923</v>
      </c>
      <c r="D6256" t="s">
        <v>3063</v>
      </c>
      <c r="E6256" t="s">
        <v>3053</v>
      </c>
      <c r="F6256" t="s">
        <v>642</v>
      </c>
      <c r="G6256" t="s">
        <v>643</v>
      </c>
      <c r="H6256" t="s">
        <v>12261</v>
      </c>
      <c r="I6256">
        <v>5</v>
      </c>
      <c r="J6256">
        <v>0</v>
      </c>
      <c r="K6256">
        <v>0</v>
      </c>
      <c r="L6256">
        <v>5</v>
      </c>
      <c r="M6256">
        <v>0</v>
      </c>
      <c r="N6256">
        <v>0</v>
      </c>
      <c r="O6256">
        <v>0</v>
      </c>
    </row>
    <row r="6257" spans="1:15" x14ac:dyDescent="0.25">
      <c r="A6257" t="s">
        <v>1483</v>
      </c>
      <c r="B6257" t="s">
        <v>1932</v>
      </c>
      <c r="C6257" t="s">
        <v>927</v>
      </c>
      <c r="D6257" t="s">
        <v>3052</v>
      </c>
      <c r="E6257" t="s">
        <v>3053</v>
      </c>
      <c r="F6257" t="s">
        <v>642</v>
      </c>
      <c r="G6257" t="s">
        <v>643</v>
      </c>
      <c r="H6257" t="s">
        <v>7209</v>
      </c>
      <c r="I6257">
        <v>11310</v>
      </c>
      <c r="J6257">
        <v>11251</v>
      </c>
      <c r="K6257">
        <v>3</v>
      </c>
      <c r="L6257">
        <v>0</v>
      </c>
      <c r="M6257">
        <v>0</v>
      </c>
      <c r="N6257">
        <v>3</v>
      </c>
      <c r="O6257">
        <v>56</v>
      </c>
    </row>
    <row r="6258" spans="1:15" x14ac:dyDescent="0.25">
      <c r="A6258" t="s">
        <v>1484</v>
      </c>
      <c r="B6258" t="s">
        <v>2897</v>
      </c>
      <c r="C6258" t="s">
        <v>927</v>
      </c>
      <c r="D6258" t="s">
        <v>3052</v>
      </c>
      <c r="E6258" t="s">
        <v>3053</v>
      </c>
      <c r="F6258" t="s">
        <v>642</v>
      </c>
      <c r="G6258" t="s">
        <v>643</v>
      </c>
      <c r="H6258" t="s">
        <v>7210</v>
      </c>
      <c r="I6258">
        <v>904</v>
      </c>
      <c r="J6258">
        <v>761</v>
      </c>
      <c r="K6258">
        <v>0</v>
      </c>
      <c r="L6258">
        <v>143</v>
      </c>
      <c r="M6258">
        <v>0</v>
      </c>
      <c r="N6258">
        <v>0</v>
      </c>
      <c r="O6258">
        <v>0</v>
      </c>
    </row>
    <row r="6259" spans="1:15" x14ac:dyDescent="0.25">
      <c r="A6259" t="s">
        <v>10638</v>
      </c>
      <c r="B6259" t="s">
        <v>2057</v>
      </c>
      <c r="C6259" t="s">
        <v>927</v>
      </c>
      <c r="D6259" t="s">
        <v>3052</v>
      </c>
      <c r="E6259" t="s">
        <v>3053</v>
      </c>
      <c r="F6259" t="s">
        <v>642</v>
      </c>
      <c r="G6259" t="s">
        <v>643</v>
      </c>
      <c r="H6259" t="s">
        <v>11246</v>
      </c>
      <c r="I6259">
        <v>2</v>
      </c>
      <c r="J6259">
        <v>0</v>
      </c>
      <c r="K6259">
        <v>0</v>
      </c>
      <c r="L6259">
        <v>2</v>
      </c>
      <c r="M6259">
        <v>0</v>
      </c>
      <c r="N6259">
        <v>0</v>
      </c>
      <c r="O6259">
        <v>0</v>
      </c>
    </row>
    <row r="6260" spans="1:15" x14ac:dyDescent="0.25">
      <c r="A6260" t="s">
        <v>1006</v>
      </c>
      <c r="B6260" t="s">
        <v>2724</v>
      </c>
      <c r="C6260" t="s">
        <v>927</v>
      </c>
      <c r="D6260" t="s">
        <v>3052</v>
      </c>
      <c r="E6260" t="s">
        <v>3053</v>
      </c>
      <c r="F6260" t="s">
        <v>642</v>
      </c>
      <c r="G6260" t="s">
        <v>643</v>
      </c>
      <c r="H6260" t="s">
        <v>7211</v>
      </c>
      <c r="I6260">
        <v>1442</v>
      </c>
      <c r="J6260">
        <v>1109</v>
      </c>
      <c r="K6260">
        <v>0</v>
      </c>
      <c r="L6260">
        <v>134</v>
      </c>
      <c r="M6260">
        <v>0</v>
      </c>
      <c r="N6260">
        <v>2</v>
      </c>
      <c r="O6260">
        <v>199</v>
      </c>
    </row>
    <row r="6261" spans="1:15" x14ac:dyDescent="0.25">
      <c r="A6261" t="s">
        <v>1009</v>
      </c>
      <c r="B6261" t="s">
        <v>1958</v>
      </c>
      <c r="C6261" t="s">
        <v>923</v>
      </c>
      <c r="D6261" t="s">
        <v>3063</v>
      </c>
      <c r="E6261" t="s">
        <v>3053</v>
      </c>
      <c r="F6261" t="s">
        <v>642</v>
      </c>
      <c r="G6261" t="s">
        <v>643</v>
      </c>
      <c r="H6261" t="s">
        <v>7212</v>
      </c>
      <c r="I6261">
        <v>7</v>
      </c>
      <c r="J6261">
        <v>0</v>
      </c>
      <c r="K6261">
        <v>0</v>
      </c>
      <c r="L6261">
        <v>7</v>
      </c>
      <c r="M6261">
        <v>0</v>
      </c>
      <c r="N6261">
        <v>0</v>
      </c>
      <c r="O6261">
        <v>0</v>
      </c>
    </row>
    <row r="6262" spans="1:15" x14ac:dyDescent="0.25">
      <c r="A6262" t="s">
        <v>1011</v>
      </c>
      <c r="B6262" t="s">
        <v>2020</v>
      </c>
      <c r="C6262" t="s">
        <v>927</v>
      </c>
      <c r="D6262" t="s">
        <v>3052</v>
      </c>
      <c r="E6262" t="s">
        <v>3053</v>
      </c>
      <c r="F6262" t="s">
        <v>642</v>
      </c>
      <c r="G6262" t="s">
        <v>643</v>
      </c>
      <c r="H6262" t="s">
        <v>12262</v>
      </c>
      <c r="I6262">
        <v>23</v>
      </c>
      <c r="J6262">
        <v>0</v>
      </c>
      <c r="K6262">
        <v>0</v>
      </c>
      <c r="L6262">
        <v>23</v>
      </c>
      <c r="M6262">
        <v>0</v>
      </c>
      <c r="N6262">
        <v>0</v>
      </c>
      <c r="O6262">
        <v>0</v>
      </c>
    </row>
    <row r="6263" spans="1:15" x14ac:dyDescent="0.25">
      <c r="A6263" t="s">
        <v>940</v>
      </c>
      <c r="B6263" t="s">
        <v>2647</v>
      </c>
      <c r="C6263" t="s">
        <v>927</v>
      </c>
      <c r="D6263" t="s">
        <v>3052</v>
      </c>
      <c r="E6263" t="s">
        <v>3053</v>
      </c>
      <c r="F6263" t="s">
        <v>642</v>
      </c>
      <c r="G6263" t="s">
        <v>643</v>
      </c>
      <c r="H6263" t="s">
        <v>7213</v>
      </c>
      <c r="I6263">
        <v>36</v>
      </c>
      <c r="J6263">
        <v>0</v>
      </c>
      <c r="K6263">
        <v>0</v>
      </c>
      <c r="L6263">
        <v>0</v>
      </c>
      <c r="M6263">
        <v>36</v>
      </c>
      <c r="N6263">
        <v>0</v>
      </c>
      <c r="O6263">
        <v>0</v>
      </c>
    </row>
    <row r="6264" spans="1:15" x14ac:dyDescent="0.25">
      <c r="A6264" t="s">
        <v>9819</v>
      </c>
      <c r="B6264" t="s">
        <v>2916</v>
      </c>
      <c r="C6264" t="s">
        <v>927</v>
      </c>
      <c r="D6264" t="s">
        <v>3052</v>
      </c>
      <c r="E6264" t="s">
        <v>3053</v>
      </c>
      <c r="F6264" t="s">
        <v>642</v>
      </c>
      <c r="G6264" t="s">
        <v>643</v>
      </c>
      <c r="H6264" t="s">
        <v>11247</v>
      </c>
      <c r="I6264">
        <v>604</v>
      </c>
      <c r="J6264">
        <v>603</v>
      </c>
      <c r="K6264">
        <v>0</v>
      </c>
      <c r="L6264">
        <v>1</v>
      </c>
      <c r="M6264">
        <v>0</v>
      </c>
      <c r="N6264">
        <v>0</v>
      </c>
      <c r="O6264">
        <v>0</v>
      </c>
    </row>
    <row r="6265" spans="1:15" x14ac:dyDescent="0.25">
      <c r="A6265" t="s">
        <v>1302</v>
      </c>
      <c r="B6265" t="s">
        <v>1961</v>
      </c>
      <c r="C6265" t="s">
        <v>923</v>
      </c>
      <c r="D6265" t="s">
        <v>3063</v>
      </c>
      <c r="E6265" t="s">
        <v>3053</v>
      </c>
      <c r="F6265" t="s">
        <v>642</v>
      </c>
      <c r="G6265" t="s">
        <v>643</v>
      </c>
      <c r="H6265" t="s">
        <v>7214</v>
      </c>
      <c r="I6265">
        <v>3</v>
      </c>
      <c r="J6265">
        <v>0</v>
      </c>
      <c r="K6265">
        <v>0</v>
      </c>
      <c r="L6265">
        <v>3</v>
      </c>
      <c r="M6265">
        <v>0</v>
      </c>
      <c r="N6265">
        <v>0</v>
      </c>
      <c r="O6265">
        <v>0</v>
      </c>
    </row>
    <row r="6266" spans="1:15" x14ac:dyDescent="0.25">
      <c r="A6266" t="s">
        <v>1521</v>
      </c>
      <c r="B6266" t="s">
        <v>2920</v>
      </c>
      <c r="C6266" t="s">
        <v>927</v>
      </c>
      <c r="D6266" t="s">
        <v>3052</v>
      </c>
      <c r="E6266" t="s">
        <v>3053</v>
      </c>
      <c r="F6266" t="s">
        <v>642</v>
      </c>
      <c r="G6266" t="s">
        <v>643</v>
      </c>
      <c r="H6266" t="s">
        <v>11248</v>
      </c>
      <c r="I6266">
        <v>1150</v>
      </c>
      <c r="J6266">
        <v>1035</v>
      </c>
      <c r="K6266">
        <v>0</v>
      </c>
      <c r="L6266">
        <v>2</v>
      </c>
      <c r="M6266">
        <v>70</v>
      </c>
      <c r="N6266">
        <v>0</v>
      </c>
      <c r="O6266">
        <v>43</v>
      </c>
    </row>
    <row r="6267" spans="1:15" x14ac:dyDescent="0.25">
      <c r="A6267" t="s">
        <v>1046</v>
      </c>
      <c r="B6267" t="s">
        <v>2027</v>
      </c>
      <c r="C6267" t="s">
        <v>923</v>
      </c>
      <c r="D6267" t="s">
        <v>3063</v>
      </c>
      <c r="E6267" t="s">
        <v>3053</v>
      </c>
      <c r="F6267" t="s">
        <v>642</v>
      </c>
      <c r="G6267" t="s">
        <v>643</v>
      </c>
      <c r="H6267" t="s">
        <v>7215</v>
      </c>
      <c r="I6267">
        <v>26</v>
      </c>
      <c r="J6267">
        <v>0</v>
      </c>
      <c r="K6267">
        <v>0</v>
      </c>
      <c r="L6267">
        <v>26</v>
      </c>
      <c r="M6267">
        <v>0</v>
      </c>
      <c r="N6267">
        <v>0</v>
      </c>
      <c r="O6267">
        <v>0</v>
      </c>
    </row>
    <row r="6268" spans="1:15" x14ac:dyDescent="0.25">
      <c r="A6268" t="s">
        <v>951</v>
      </c>
      <c r="B6268" t="s">
        <v>2680</v>
      </c>
      <c r="C6268" t="s">
        <v>927</v>
      </c>
      <c r="D6268" t="s">
        <v>3052</v>
      </c>
      <c r="E6268" t="s">
        <v>3053</v>
      </c>
      <c r="F6268" t="s">
        <v>642</v>
      </c>
      <c r="G6268" t="s">
        <v>643</v>
      </c>
      <c r="H6268" t="s">
        <v>7216</v>
      </c>
      <c r="I6268">
        <v>407</v>
      </c>
      <c r="J6268">
        <v>338</v>
      </c>
      <c r="K6268">
        <v>0</v>
      </c>
      <c r="L6268">
        <v>20</v>
      </c>
      <c r="M6268">
        <v>42</v>
      </c>
      <c r="N6268">
        <v>0</v>
      </c>
      <c r="O6268">
        <v>7</v>
      </c>
    </row>
    <row r="6269" spans="1:15" x14ac:dyDescent="0.25">
      <c r="A6269" t="s">
        <v>1048</v>
      </c>
      <c r="B6269" t="s">
        <v>2989</v>
      </c>
      <c r="C6269" t="s">
        <v>927</v>
      </c>
      <c r="D6269" t="s">
        <v>3052</v>
      </c>
      <c r="E6269" t="s">
        <v>3053</v>
      </c>
      <c r="F6269" t="s">
        <v>642</v>
      </c>
      <c r="G6269" t="s">
        <v>643</v>
      </c>
      <c r="H6269" t="s">
        <v>7217</v>
      </c>
      <c r="I6269">
        <v>105</v>
      </c>
      <c r="J6269">
        <v>20</v>
      </c>
      <c r="K6269">
        <v>0</v>
      </c>
      <c r="L6269">
        <v>85</v>
      </c>
      <c r="M6269">
        <v>0</v>
      </c>
      <c r="N6269">
        <v>0</v>
      </c>
      <c r="O6269">
        <v>0</v>
      </c>
    </row>
    <row r="6270" spans="1:15" x14ac:dyDescent="0.25">
      <c r="A6270" t="s">
        <v>1528</v>
      </c>
      <c r="B6270" t="s">
        <v>2698</v>
      </c>
      <c r="C6270" t="s">
        <v>923</v>
      </c>
      <c r="D6270" t="s">
        <v>3063</v>
      </c>
      <c r="E6270" t="s">
        <v>3053</v>
      </c>
      <c r="F6270" t="s">
        <v>642</v>
      </c>
      <c r="G6270" t="s">
        <v>643</v>
      </c>
      <c r="H6270" t="s">
        <v>7218</v>
      </c>
      <c r="I6270">
        <v>3</v>
      </c>
      <c r="J6270">
        <v>3</v>
      </c>
      <c r="K6270">
        <v>0</v>
      </c>
      <c r="L6270">
        <v>0</v>
      </c>
      <c r="M6270">
        <v>0</v>
      </c>
      <c r="N6270">
        <v>0</v>
      </c>
      <c r="O6270">
        <v>0</v>
      </c>
    </row>
    <row r="6271" spans="1:15" x14ac:dyDescent="0.25">
      <c r="A6271" t="s">
        <v>1529</v>
      </c>
      <c r="B6271" t="s">
        <v>1954</v>
      </c>
      <c r="C6271" t="s">
        <v>927</v>
      </c>
      <c r="D6271" t="s">
        <v>3052</v>
      </c>
      <c r="E6271" t="s">
        <v>3053</v>
      </c>
      <c r="F6271" t="s">
        <v>642</v>
      </c>
      <c r="G6271" t="s">
        <v>643</v>
      </c>
      <c r="H6271" t="s">
        <v>7219</v>
      </c>
      <c r="I6271">
        <v>1390</v>
      </c>
      <c r="J6271">
        <v>1243</v>
      </c>
      <c r="K6271">
        <v>0</v>
      </c>
      <c r="L6271">
        <v>140</v>
      </c>
      <c r="M6271">
        <v>0</v>
      </c>
      <c r="N6271">
        <v>1</v>
      </c>
      <c r="O6271">
        <v>7</v>
      </c>
    </row>
    <row r="6272" spans="1:15" x14ac:dyDescent="0.25">
      <c r="A6272" t="s">
        <v>11720</v>
      </c>
      <c r="B6272" t="s">
        <v>10718</v>
      </c>
      <c r="C6272" t="s">
        <v>927</v>
      </c>
      <c r="D6272" t="s">
        <v>3052</v>
      </c>
      <c r="E6272" t="s">
        <v>3053</v>
      </c>
      <c r="F6272" t="s">
        <v>642</v>
      </c>
      <c r="G6272" t="s">
        <v>643</v>
      </c>
      <c r="H6272" t="s">
        <v>15075</v>
      </c>
      <c r="I6272">
        <v>3</v>
      </c>
      <c r="J6272">
        <v>0</v>
      </c>
      <c r="K6272">
        <v>0</v>
      </c>
      <c r="L6272">
        <v>0</v>
      </c>
      <c r="M6272">
        <v>0</v>
      </c>
      <c r="N6272">
        <v>0</v>
      </c>
      <c r="O6272">
        <v>3</v>
      </c>
    </row>
    <row r="6273" spans="1:15" x14ac:dyDescent="0.25">
      <c r="A6273" t="s">
        <v>11698</v>
      </c>
      <c r="B6273" t="s">
        <v>11765</v>
      </c>
      <c r="C6273" t="s">
        <v>923</v>
      </c>
      <c r="D6273" t="s">
        <v>3063</v>
      </c>
      <c r="E6273" t="s">
        <v>3053</v>
      </c>
      <c r="F6273" t="s">
        <v>642</v>
      </c>
      <c r="G6273" t="s">
        <v>643</v>
      </c>
      <c r="H6273" t="s">
        <v>12263</v>
      </c>
      <c r="I6273">
        <v>8</v>
      </c>
      <c r="J6273">
        <v>8</v>
      </c>
      <c r="K6273">
        <v>0</v>
      </c>
      <c r="L6273">
        <v>0</v>
      </c>
      <c r="M6273">
        <v>0</v>
      </c>
      <c r="N6273">
        <v>0</v>
      </c>
      <c r="O6273">
        <v>0</v>
      </c>
    </row>
    <row r="6274" spans="1:15" x14ac:dyDescent="0.25">
      <c r="A6274" t="s">
        <v>1069</v>
      </c>
      <c r="B6274" t="s">
        <v>2001</v>
      </c>
      <c r="C6274" t="s">
        <v>927</v>
      </c>
      <c r="D6274" t="s">
        <v>3052</v>
      </c>
      <c r="E6274" t="s">
        <v>3053</v>
      </c>
      <c r="F6274" t="s">
        <v>642</v>
      </c>
      <c r="G6274" t="s">
        <v>643</v>
      </c>
      <c r="H6274" t="s">
        <v>7220</v>
      </c>
      <c r="I6274">
        <v>1187</v>
      </c>
      <c r="J6274">
        <v>786</v>
      </c>
      <c r="K6274">
        <v>2</v>
      </c>
      <c r="L6274">
        <v>0</v>
      </c>
      <c r="M6274">
        <v>300</v>
      </c>
      <c r="N6274">
        <v>0</v>
      </c>
      <c r="O6274">
        <v>99</v>
      </c>
    </row>
    <row r="6275" spans="1:15" x14ac:dyDescent="0.25">
      <c r="A6275" t="s">
        <v>1072</v>
      </c>
      <c r="B6275" t="s">
        <v>2907</v>
      </c>
      <c r="C6275" t="s">
        <v>927</v>
      </c>
      <c r="D6275" t="s">
        <v>3052</v>
      </c>
      <c r="E6275" t="s">
        <v>3053</v>
      </c>
      <c r="F6275" t="s">
        <v>642</v>
      </c>
      <c r="G6275" t="s">
        <v>643</v>
      </c>
      <c r="H6275" t="s">
        <v>7221</v>
      </c>
      <c r="I6275">
        <v>32</v>
      </c>
      <c r="J6275">
        <v>0</v>
      </c>
      <c r="K6275">
        <v>0</v>
      </c>
      <c r="L6275">
        <v>0</v>
      </c>
      <c r="M6275">
        <v>32</v>
      </c>
      <c r="N6275">
        <v>0</v>
      </c>
      <c r="O6275">
        <v>0</v>
      </c>
    </row>
    <row r="6276" spans="1:15" x14ac:dyDescent="0.25">
      <c r="A6276" t="s">
        <v>1195</v>
      </c>
      <c r="B6276" t="s">
        <v>2924</v>
      </c>
      <c r="C6276" t="s">
        <v>927</v>
      </c>
      <c r="D6276" t="s">
        <v>3052</v>
      </c>
      <c r="E6276" t="s">
        <v>3053</v>
      </c>
      <c r="F6276" t="s">
        <v>644</v>
      </c>
      <c r="G6276" t="s">
        <v>645</v>
      </c>
      <c r="H6276" t="s">
        <v>7222</v>
      </c>
      <c r="I6276">
        <v>1030</v>
      </c>
      <c r="J6276">
        <v>828</v>
      </c>
      <c r="K6276">
        <v>2</v>
      </c>
      <c r="L6276">
        <v>153</v>
      </c>
      <c r="M6276">
        <v>0</v>
      </c>
      <c r="N6276">
        <v>1</v>
      </c>
      <c r="O6276">
        <v>47</v>
      </c>
    </row>
    <row r="6277" spans="1:15" x14ac:dyDescent="0.25">
      <c r="A6277" t="s">
        <v>1196</v>
      </c>
      <c r="B6277" t="s">
        <v>3004</v>
      </c>
      <c r="C6277" t="s">
        <v>927</v>
      </c>
      <c r="D6277" t="s">
        <v>3052</v>
      </c>
      <c r="E6277" t="s">
        <v>3053</v>
      </c>
      <c r="F6277" t="s">
        <v>644</v>
      </c>
      <c r="G6277" t="s">
        <v>645</v>
      </c>
      <c r="H6277" t="s">
        <v>7223</v>
      </c>
      <c r="I6277">
        <v>14</v>
      </c>
      <c r="J6277">
        <v>11</v>
      </c>
      <c r="K6277">
        <v>0</v>
      </c>
      <c r="L6277">
        <v>0</v>
      </c>
      <c r="M6277">
        <v>0</v>
      </c>
      <c r="N6277">
        <v>0</v>
      </c>
      <c r="O6277">
        <v>3</v>
      </c>
    </row>
    <row r="6278" spans="1:15" x14ac:dyDescent="0.25">
      <c r="A6278" t="s">
        <v>926</v>
      </c>
      <c r="B6278" t="s">
        <v>2923</v>
      </c>
      <c r="C6278" t="s">
        <v>927</v>
      </c>
      <c r="D6278" t="s">
        <v>3052</v>
      </c>
      <c r="E6278" t="s">
        <v>3053</v>
      </c>
      <c r="F6278" t="s">
        <v>644</v>
      </c>
      <c r="G6278" t="s">
        <v>645</v>
      </c>
      <c r="H6278" t="s">
        <v>7224</v>
      </c>
      <c r="I6278">
        <v>70</v>
      </c>
      <c r="J6278">
        <v>0</v>
      </c>
      <c r="K6278">
        <v>0</v>
      </c>
      <c r="L6278">
        <v>63</v>
      </c>
      <c r="M6278">
        <v>0</v>
      </c>
      <c r="N6278">
        <v>0</v>
      </c>
      <c r="O6278">
        <v>7</v>
      </c>
    </row>
    <row r="6279" spans="1:15" x14ac:dyDescent="0.25">
      <c r="A6279" t="s">
        <v>929</v>
      </c>
      <c r="B6279" t="s">
        <v>2999</v>
      </c>
      <c r="C6279" t="s">
        <v>927</v>
      </c>
      <c r="D6279" t="s">
        <v>3052</v>
      </c>
      <c r="E6279" t="s">
        <v>3053</v>
      </c>
      <c r="F6279" t="s">
        <v>644</v>
      </c>
      <c r="G6279" t="s">
        <v>645</v>
      </c>
      <c r="H6279" t="s">
        <v>7225</v>
      </c>
      <c r="I6279">
        <v>253</v>
      </c>
      <c r="J6279">
        <v>0</v>
      </c>
      <c r="K6279">
        <v>0</v>
      </c>
      <c r="L6279">
        <v>0</v>
      </c>
      <c r="M6279">
        <v>232</v>
      </c>
      <c r="N6279">
        <v>0</v>
      </c>
      <c r="O6279">
        <v>21</v>
      </c>
    </row>
    <row r="6280" spans="1:15" x14ac:dyDescent="0.25">
      <c r="A6280" t="s">
        <v>9790</v>
      </c>
      <c r="B6280" t="s">
        <v>1977</v>
      </c>
      <c r="C6280" t="s">
        <v>923</v>
      </c>
      <c r="D6280" t="s">
        <v>3063</v>
      </c>
      <c r="E6280" t="s">
        <v>3053</v>
      </c>
      <c r="F6280" t="s">
        <v>644</v>
      </c>
      <c r="G6280" t="s">
        <v>645</v>
      </c>
      <c r="H6280" t="s">
        <v>12264</v>
      </c>
      <c r="I6280">
        <v>10</v>
      </c>
      <c r="J6280">
        <v>0</v>
      </c>
      <c r="K6280">
        <v>0</v>
      </c>
      <c r="L6280">
        <v>10</v>
      </c>
      <c r="M6280">
        <v>0</v>
      </c>
      <c r="N6280">
        <v>0</v>
      </c>
      <c r="O6280">
        <v>0</v>
      </c>
    </row>
    <row r="6281" spans="1:15" x14ac:dyDescent="0.25">
      <c r="A6281" t="s">
        <v>983</v>
      </c>
      <c r="B6281" t="s">
        <v>2069</v>
      </c>
      <c r="C6281" t="s">
        <v>927</v>
      </c>
      <c r="D6281" t="s">
        <v>3052</v>
      </c>
      <c r="E6281" t="s">
        <v>3053</v>
      </c>
      <c r="F6281" t="s">
        <v>644</v>
      </c>
      <c r="G6281" t="s">
        <v>645</v>
      </c>
      <c r="H6281" t="s">
        <v>7227</v>
      </c>
      <c r="I6281">
        <v>6</v>
      </c>
      <c r="J6281">
        <v>4</v>
      </c>
      <c r="K6281">
        <v>0</v>
      </c>
      <c r="L6281">
        <v>0</v>
      </c>
      <c r="M6281">
        <v>0</v>
      </c>
      <c r="N6281">
        <v>0</v>
      </c>
      <c r="O6281">
        <v>2</v>
      </c>
    </row>
    <row r="6282" spans="1:15" x14ac:dyDescent="0.25">
      <c r="A6282" t="s">
        <v>1485</v>
      </c>
      <c r="B6282" t="s">
        <v>2836</v>
      </c>
      <c r="C6282" t="s">
        <v>927</v>
      </c>
      <c r="D6282" t="s">
        <v>3052</v>
      </c>
      <c r="E6282" t="s">
        <v>3053</v>
      </c>
      <c r="F6282" t="s">
        <v>644</v>
      </c>
      <c r="G6282" t="s">
        <v>645</v>
      </c>
      <c r="H6282" t="s">
        <v>7228</v>
      </c>
      <c r="I6282">
        <v>1</v>
      </c>
      <c r="J6282">
        <v>0</v>
      </c>
      <c r="K6282">
        <v>0</v>
      </c>
      <c r="L6282">
        <v>0</v>
      </c>
      <c r="M6282">
        <v>0</v>
      </c>
      <c r="N6282">
        <v>0</v>
      </c>
      <c r="O6282">
        <v>1</v>
      </c>
    </row>
    <row r="6283" spans="1:15" x14ac:dyDescent="0.25">
      <c r="A6283" t="s">
        <v>10638</v>
      </c>
      <c r="B6283" t="s">
        <v>2057</v>
      </c>
      <c r="C6283" t="s">
        <v>927</v>
      </c>
      <c r="D6283" t="s">
        <v>3052</v>
      </c>
      <c r="E6283" t="s">
        <v>3053</v>
      </c>
      <c r="F6283" t="s">
        <v>644</v>
      </c>
      <c r="G6283" t="s">
        <v>645</v>
      </c>
      <c r="H6283" t="s">
        <v>11249</v>
      </c>
      <c r="I6283">
        <v>6</v>
      </c>
      <c r="J6283">
        <v>0</v>
      </c>
      <c r="K6283">
        <v>0</v>
      </c>
      <c r="L6283">
        <v>6</v>
      </c>
      <c r="M6283">
        <v>0</v>
      </c>
      <c r="N6283">
        <v>0</v>
      </c>
      <c r="O6283">
        <v>0</v>
      </c>
    </row>
    <row r="6284" spans="1:15" x14ac:dyDescent="0.25">
      <c r="A6284" t="s">
        <v>10643</v>
      </c>
      <c r="B6284" t="s">
        <v>2987</v>
      </c>
      <c r="C6284" t="s">
        <v>927</v>
      </c>
      <c r="D6284" t="s">
        <v>3052</v>
      </c>
      <c r="E6284" t="s">
        <v>3053</v>
      </c>
      <c r="F6284" t="s">
        <v>644</v>
      </c>
      <c r="G6284" t="s">
        <v>645</v>
      </c>
      <c r="H6284" t="s">
        <v>11250</v>
      </c>
      <c r="I6284">
        <v>1440</v>
      </c>
      <c r="J6284">
        <v>770</v>
      </c>
      <c r="K6284">
        <v>0</v>
      </c>
      <c r="L6284">
        <v>56</v>
      </c>
      <c r="M6284">
        <v>421</v>
      </c>
      <c r="N6284">
        <v>6</v>
      </c>
      <c r="O6284">
        <v>193</v>
      </c>
    </row>
    <row r="6285" spans="1:15" x14ac:dyDescent="0.25">
      <c r="A6285" t="s">
        <v>1010</v>
      </c>
      <c r="B6285" t="s">
        <v>2639</v>
      </c>
      <c r="C6285" t="s">
        <v>927</v>
      </c>
      <c r="D6285" t="s">
        <v>3052</v>
      </c>
      <c r="E6285" t="s">
        <v>3053</v>
      </c>
      <c r="F6285" t="s">
        <v>644</v>
      </c>
      <c r="G6285" t="s">
        <v>645</v>
      </c>
      <c r="H6285" t="s">
        <v>7229</v>
      </c>
      <c r="I6285">
        <v>47</v>
      </c>
      <c r="J6285">
        <v>47</v>
      </c>
      <c r="K6285">
        <v>0</v>
      </c>
      <c r="L6285">
        <v>0</v>
      </c>
      <c r="M6285">
        <v>0</v>
      </c>
      <c r="N6285">
        <v>0</v>
      </c>
      <c r="O6285">
        <v>0</v>
      </c>
    </row>
    <row r="6286" spans="1:15" x14ac:dyDescent="0.25">
      <c r="A6286" t="s">
        <v>938</v>
      </c>
      <c r="B6286" t="s">
        <v>2791</v>
      </c>
      <c r="C6286" t="s">
        <v>927</v>
      </c>
      <c r="D6286" t="s">
        <v>3052</v>
      </c>
      <c r="E6286" t="s">
        <v>3053</v>
      </c>
      <c r="F6286" t="s">
        <v>644</v>
      </c>
      <c r="G6286" t="s">
        <v>645</v>
      </c>
      <c r="H6286" t="s">
        <v>7230</v>
      </c>
      <c r="I6286">
        <v>255</v>
      </c>
      <c r="J6286">
        <v>156</v>
      </c>
      <c r="K6286">
        <v>0</v>
      </c>
      <c r="L6286">
        <v>82</v>
      </c>
      <c r="M6286">
        <v>0</v>
      </c>
      <c r="N6286">
        <v>0</v>
      </c>
      <c r="O6286">
        <v>17</v>
      </c>
    </row>
    <row r="6287" spans="1:15" x14ac:dyDescent="0.25">
      <c r="A6287" t="s">
        <v>940</v>
      </c>
      <c r="B6287" t="s">
        <v>2647</v>
      </c>
      <c r="C6287" t="s">
        <v>927</v>
      </c>
      <c r="D6287" t="s">
        <v>3052</v>
      </c>
      <c r="E6287" t="s">
        <v>3053</v>
      </c>
      <c r="F6287" t="s">
        <v>644</v>
      </c>
      <c r="G6287" t="s">
        <v>645</v>
      </c>
      <c r="H6287" t="s">
        <v>7231</v>
      </c>
      <c r="I6287">
        <v>26</v>
      </c>
      <c r="J6287">
        <v>0</v>
      </c>
      <c r="K6287">
        <v>0</v>
      </c>
      <c r="L6287">
        <v>0</v>
      </c>
      <c r="M6287">
        <v>26</v>
      </c>
      <c r="N6287">
        <v>0</v>
      </c>
      <c r="O6287">
        <v>0</v>
      </c>
    </row>
    <row r="6288" spans="1:15" x14ac:dyDescent="0.25">
      <c r="A6288" t="s">
        <v>1013</v>
      </c>
      <c r="B6288" t="s">
        <v>1959</v>
      </c>
      <c r="C6288" t="s">
        <v>927</v>
      </c>
      <c r="D6288" t="s">
        <v>3052</v>
      </c>
      <c r="E6288" t="s">
        <v>3053</v>
      </c>
      <c r="F6288" t="s">
        <v>644</v>
      </c>
      <c r="G6288" t="s">
        <v>645</v>
      </c>
      <c r="H6288" t="s">
        <v>7232</v>
      </c>
      <c r="I6288">
        <v>16</v>
      </c>
      <c r="J6288">
        <v>0</v>
      </c>
      <c r="K6288">
        <v>0</v>
      </c>
      <c r="L6288">
        <v>16</v>
      </c>
      <c r="M6288">
        <v>0</v>
      </c>
      <c r="N6288">
        <v>0</v>
      </c>
      <c r="O6288">
        <v>0</v>
      </c>
    </row>
    <row r="6289" spans="1:15" x14ac:dyDescent="0.25">
      <c r="A6289" t="s">
        <v>10667</v>
      </c>
      <c r="B6289" t="s">
        <v>10666</v>
      </c>
      <c r="C6289" t="s">
        <v>927</v>
      </c>
      <c r="D6289" t="s">
        <v>3052</v>
      </c>
      <c r="E6289" t="s">
        <v>3053</v>
      </c>
      <c r="F6289" t="s">
        <v>644</v>
      </c>
      <c r="G6289" t="s">
        <v>645</v>
      </c>
      <c r="H6289" t="s">
        <v>12265</v>
      </c>
      <c r="I6289">
        <v>50</v>
      </c>
      <c r="J6289">
        <v>50</v>
      </c>
      <c r="K6289">
        <v>0</v>
      </c>
      <c r="L6289">
        <v>0</v>
      </c>
      <c r="M6289">
        <v>0</v>
      </c>
      <c r="N6289">
        <v>0</v>
      </c>
      <c r="O6289">
        <v>0</v>
      </c>
    </row>
    <row r="6290" spans="1:15" x14ac:dyDescent="0.25">
      <c r="A6290" t="s">
        <v>1126</v>
      </c>
      <c r="B6290" t="s">
        <v>2130</v>
      </c>
      <c r="C6290" t="s">
        <v>927</v>
      </c>
      <c r="D6290" t="s">
        <v>3052</v>
      </c>
      <c r="E6290" t="s">
        <v>3053</v>
      </c>
      <c r="F6290" t="s">
        <v>644</v>
      </c>
      <c r="G6290" t="s">
        <v>645</v>
      </c>
      <c r="H6290" t="s">
        <v>12266</v>
      </c>
      <c r="I6290">
        <v>36</v>
      </c>
      <c r="J6290">
        <v>0</v>
      </c>
      <c r="K6290">
        <v>0</v>
      </c>
      <c r="L6290">
        <v>0</v>
      </c>
      <c r="M6290">
        <v>0</v>
      </c>
      <c r="N6290">
        <v>0</v>
      </c>
      <c r="O6290">
        <v>36</v>
      </c>
    </row>
    <row r="6291" spans="1:15" x14ac:dyDescent="0.25">
      <c r="A6291" t="s">
        <v>11755</v>
      </c>
      <c r="B6291" t="s">
        <v>11754</v>
      </c>
      <c r="C6291" t="s">
        <v>923</v>
      </c>
      <c r="D6291" t="s">
        <v>3063</v>
      </c>
      <c r="E6291" t="s">
        <v>3053</v>
      </c>
      <c r="F6291" t="s">
        <v>644</v>
      </c>
      <c r="G6291" t="s">
        <v>645</v>
      </c>
      <c r="H6291" t="s">
        <v>15076</v>
      </c>
      <c r="I6291">
        <v>5</v>
      </c>
      <c r="J6291">
        <v>0</v>
      </c>
      <c r="K6291">
        <v>0</v>
      </c>
      <c r="L6291">
        <v>5</v>
      </c>
      <c r="M6291">
        <v>0</v>
      </c>
      <c r="N6291">
        <v>0</v>
      </c>
      <c r="O6291">
        <v>0</v>
      </c>
    </row>
    <row r="6292" spans="1:15" x14ac:dyDescent="0.25">
      <c r="A6292" t="s">
        <v>943</v>
      </c>
      <c r="B6292" t="s">
        <v>2694</v>
      </c>
      <c r="C6292" t="s">
        <v>927</v>
      </c>
      <c r="D6292" t="s">
        <v>3052</v>
      </c>
      <c r="E6292" t="s">
        <v>3053</v>
      </c>
      <c r="F6292" t="s">
        <v>644</v>
      </c>
      <c r="G6292" t="s">
        <v>645</v>
      </c>
      <c r="H6292" t="s">
        <v>7233</v>
      </c>
      <c r="I6292">
        <v>91</v>
      </c>
      <c r="J6292">
        <v>91</v>
      </c>
      <c r="K6292">
        <v>0</v>
      </c>
      <c r="L6292">
        <v>0</v>
      </c>
      <c r="M6292">
        <v>0</v>
      </c>
      <c r="N6292">
        <v>0</v>
      </c>
      <c r="O6292">
        <v>0</v>
      </c>
    </row>
    <row r="6293" spans="1:15" x14ac:dyDescent="0.25">
      <c r="A6293" t="s">
        <v>1041</v>
      </c>
      <c r="B6293" t="s">
        <v>2826</v>
      </c>
      <c r="C6293" t="s">
        <v>927</v>
      </c>
      <c r="D6293" t="s">
        <v>3052</v>
      </c>
      <c r="E6293" t="s">
        <v>3053</v>
      </c>
      <c r="F6293" t="s">
        <v>644</v>
      </c>
      <c r="G6293" t="s">
        <v>645</v>
      </c>
      <c r="H6293" t="s">
        <v>15077</v>
      </c>
      <c r="I6293">
        <v>5</v>
      </c>
      <c r="J6293">
        <v>0</v>
      </c>
      <c r="K6293">
        <v>0</v>
      </c>
      <c r="L6293">
        <v>0</v>
      </c>
      <c r="M6293">
        <v>0</v>
      </c>
      <c r="N6293">
        <v>0</v>
      </c>
      <c r="O6293">
        <v>5</v>
      </c>
    </row>
    <row r="6294" spans="1:15" x14ac:dyDescent="0.25">
      <c r="A6294" t="s">
        <v>9787</v>
      </c>
      <c r="B6294" t="s">
        <v>2822</v>
      </c>
      <c r="C6294" t="s">
        <v>927</v>
      </c>
      <c r="D6294" t="s">
        <v>3052</v>
      </c>
      <c r="E6294" t="s">
        <v>3053</v>
      </c>
      <c r="F6294" t="s">
        <v>644</v>
      </c>
      <c r="G6294" t="s">
        <v>645</v>
      </c>
      <c r="H6294" t="s">
        <v>10272</v>
      </c>
      <c r="I6294">
        <v>119</v>
      </c>
      <c r="J6294">
        <v>103</v>
      </c>
      <c r="K6294">
        <v>0</v>
      </c>
      <c r="L6294">
        <v>9</v>
      </c>
      <c r="M6294">
        <v>0</v>
      </c>
      <c r="N6294">
        <v>0</v>
      </c>
      <c r="O6294">
        <v>7</v>
      </c>
    </row>
    <row r="6295" spans="1:15" x14ac:dyDescent="0.25">
      <c r="A6295" t="s">
        <v>1146</v>
      </c>
      <c r="B6295" t="s">
        <v>2117</v>
      </c>
      <c r="C6295" t="s">
        <v>927</v>
      </c>
      <c r="D6295" t="s">
        <v>3052</v>
      </c>
      <c r="E6295" t="s">
        <v>3053</v>
      </c>
      <c r="F6295" t="s">
        <v>644</v>
      </c>
      <c r="G6295" t="s">
        <v>645</v>
      </c>
      <c r="H6295" t="s">
        <v>15078</v>
      </c>
      <c r="I6295">
        <v>1453</v>
      </c>
      <c r="J6295">
        <v>916</v>
      </c>
      <c r="K6295">
        <v>0</v>
      </c>
      <c r="L6295">
        <v>5</v>
      </c>
      <c r="M6295">
        <v>74</v>
      </c>
      <c r="N6295">
        <v>1</v>
      </c>
      <c r="O6295">
        <v>458</v>
      </c>
    </row>
    <row r="6296" spans="1:15" x14ac:dyDescent="0.25">
      <c r="A6296" t="s">
        <v>9788</v>
      </c>
      <c r="B6296" t="s">
        <v>9871</v>
      </c>
      <c r="C6296" t="s">
        <v>927</v>
      </c>
      <c r="D6296" t="s">
        <v>3052</v>
      </c>
      <c r="E6296" t="s">
        <v>3053</v>
      </c>
      <c r="F6296" t="s">
        <v>644</v>
      </c>
      <c r="G6296" t="s">
        <v>645</v>
      </c>
      <c r="H6296" t="s">
        <v>10367</v>
      </c>
      <c r="I6296">
        <v>13</v>
      </c>
      <c r="J6296">
        <v>13</v>
      </c>
      <c r="K6296">
        <v>0</v>
      </c>
      <c r="L6296">
        <v>0</v>
      </c>
      <c r="M6296">
        <v>0</v>
      </c>
      <c r="N6296">
        <v>0</v>
      </c>
      <c r="O6296">
        <v>0</v>
      </c>
    </row>
    <row r="6297" spans="1:15" x14ac:dyDescent="0.25">
      <c r="A6297" t="s">
        <v>1660</v>
      </c>
      <c r="B6297" t="s">
        <v>2827</v>
      </c>
      <c r="C6297" t="s">
        <v>927</v>
      </c>
      <c r="D6297" t="s">
        <v>3052</v>
      </c>
      <c r="E6297" t="s">
        <v>3053</v>
      </c>
      <c r="F6297" t="s">
        <v>644</v>
      </c>
      <c r="G6297" t="s">
        <v>645</v>
      </c>
      <c r="H6297" t="s">
        <v>7234</v>
      </c>
      <c r="I6297">
        <v>100</v>
      </c>
      <c r="J6297">
        <v>83</v>
      </c>
      <c r="K6297">
        <v>0</v>
      </c>
      <c r="L6297">
        <v>0</v>
      </c>
      <c r="M6297">
        <v>0</v>
      </c>
      <c r="N6297">
        <v>0</v>
      </c>
      <c r="O6297">
        <v>17</v>
      </c>
    </row>
    <row r="6298" spans="1:15" x14ac:dyDescent="0.25">
      <c r="A6298" t="s">
        <v>960</v>
      </c>
      <c r="B6298" t="s">
        <v>2080</v>
      </c>
      <c r="C6298" t="s">
        <v>927</v>
      </c>
      <c r="D6298" t="s">
        <v>3052</v>
      </c>
      <c r="E6298" t="s">
        <v>3053</v>
      </c>
      <c r="F6298" t="s">
        <v>644</v>
      </c>
      <c r="G6298" t="s">
        <v>645</v>
      </c>
      <c r="H6298" t="s">
        <v>7235</v>
      </c>
      <c r="I6298">
        <v>71</v>
      </c>
      <c r="J6298">
        <v>54</v>
      </c>
      <c r="K6298">
        <v>0</v>
      </c>
      <c r="L6298">
        <v>0</v>
      </c>
      <c r="M6298">
        <v>0</v>
      </c>
      <c r="N6298">
        <v>0</v>
      </c>
      <c r="O6298">
        <v>17</v>
      </c>
    </row>
    <row r="6299" spans="1:15" x14ac:dyDescent="0.25">
      <c r="A6299" t="s">
        <v>14374</v>
      </c>
      <c r="B6299" t="s">
        <v>1943</v>
      </c>
      <c r="C6299" t="s">
        <v>927</v>
      </c>
      <c r="D6299" t="s">
        <v>3052</v>
      </c>
      <c r="E6299" t="s">
        <v>3053</v>
      </c>
      <c r="F6299" t="s">
        <v>644</v>
      </c>
      <c r="G6299" t="s">
        <v>645</v>
      </c>
      <c r="H6299" t="s">
        <v>15079</v>
      </c>
      <c r="I6299">
        <v>4</v>
      </c>
      <c r="J6299">
        <v>0</v>
      </c>
      <c r="K6299">
        <v>0</v>
      </c>
      <c r="L6299">
        <v>0</v>
      </c>
      <c r="M6299">
        <v>0</v>
      </c>
      <c r="N6299">
        <v>0</v>
      </c>
      <c r="O6299">
        <v>4</v>
      </c>
    </row>
    <row r="6300" spans="1:15" x14ac:dyDescent="0.25">
      <c r="A6300" t="s">
        <v>1663</v>
      </c>
      <c r="B6300" t="s">
        <v>2763</v>
      </c>
      <c r="C6300" t="s">
        <v>923</v>
      </c>
      <c r="D6300" t="s">
        <v>3063</v>
      </c>
      <c r="E6300" t="s">
        <v>3053</v>
      </c>
      <c r="F6300" t="s">
        <v>644</v>
      </c>
      <c r="G6300" t="s">
        <v>645</v>
      </c>
      <c r="H6300" t="s">
        <v>7236</v>
      </c>
      <c r="I6300">
        <v>38</v>
      </c>
      <c r="J6300">
        <v>0</v>
      </c>
      <c r="K6300">
        <v>0</v>
      </c>
      <c r="L6300">
        <v>0</v>
      </c>
      <c r="M6300">
        <v>38</v>
      </c>
      <c r="N6300">
        <v>0</v>
      </c>
      <c r="O6300">
        <v>0</v>
      </c>
    </row>
    <row r="6301" spans="1:15" x14ac:dyDescent="0.25">
      <c r="A6301" t="s">
        <v>962</v>
      </c>
      <c r="B6301" t="s">
        <v>2752</v>
      </c>
      <c r="C6301" t="s">
        <v>927</v>
      </c>
      <c r="D6301" t="s">
        <v>3052</v>
      </c>
      <c r="E6301" t="s">
        <v>3053</v>
      </c>
      <c r="F6301" t="s">
        <v>644</v>
      </c>
      <c r="G6301" t="s">
        <v>645</v>
      </c>
      <c r="H6301" t="s">
        <v>10448</v>
      </c>
      <c r="I6301">
        <v>98</v>
      </c>
      <c r="J6301">
        <v>92</v>
      </c>
      <c r="K6301">
        <v>0</v>
      </c>
      <c r="L6301">
        <v>0</v>
      </c>
      <c r="M6301">
        <v>0</v>
      </c>
      <c r="N6301">
        <v>0</v>
      </c>
      <c r="O6301">
        <v>6</v>
      </c>
    </row>
    <row r="6302" spans="1:15" x14ac:dyDescent="0.25">
      <c r="A6302" t="s">
        <v>9830</v>
      </c>
      <c r="B6302" t="s">
        <v>2588</v>
      </c>
      <c r="C6302" t="s">
        <v>923</v>
      </c>
      <c r="D6302" t="s">
        <v>3063</v>
      </c>
      <c r="E6302" t="s">
        <v>3053</v>
      </c>
      <c r="F6302" t="s">
        <v>644</v>
      </c>
      <c r="G6302" t="s">
        <v>645</v>
      </c>
      <c r="H6302" t="s">
        <v>10471</v>
      </c>
      <c r="I6302">
        <v>11</v>
      </c>
      <c r="J6302">
        <v>0</v>
      </c>
      <c r="K6302">
        <v>0</v>
      </c>
      <c r="L6302">
        <v>0</v>
      </c>
      <c r="M6302">
        <v>11</v>
      </c>
      <c r="N6302">
        <v>0</v>
      </c>
      <c r="O6302">
        <v>0</v>
      </c>
    </row>
    <row r="6303" spans="1:15" x14ac:dyDescent="0.25">
      <c r="A6303" t="s">
        <v>1072</v>
      </c>
      <c r="B6303" t="s">
        <v>2907</v>
      </c>
      <c r="C6303" t="s">
        <v>927</v>
      </c>
      <c r="D6303" t="s">
        <v>3052</v>
      </c>
      <c r="E6303" t="s">
        <v>3053</v>
      </c>
      <c r="F6303" t="s">
        <v>644</v>
      </c>
      <c r="G6303" t="s">
        <v>645</v>
      </c>
      <c r="H6303" t="s">
        <v>7237</v>
      </c>
      <c r="I6303">
        <v>8</v>
      </c>
      <c r="J6303">
        <v>0</v>
      </c>
      <c r="K6303">
        <v>0</v>
      </c>
      <c r="L6303">
        <v>8</v>
      </c>
      <c r="M6303">
        <v>0</v>
      </c>
      <c r="N6303">
        <v>0</v>
      </c>
      <c r="O6303">
        <v>0</v>
      </c>
    </row>
    <row r="6304" spans="1:15" x14ac:dyDescent="0.25">
      <c r="A6304" t="s">
        <v>981</v>
      </c>
      <c r="B6304" t="s">
        <v>2985</v>
      </c>
      <c r="C6304" t="s">
        <v>927</v>
      </c>
      <c r="D6304" t="s">
        <v>3052</v>
      </c>
      <c r="E6304" t="s">
        <v>3053</v>
      </c>
      <c r="F6304" t="s">
        <v>644</v>
      </c>
      <c r="G6304" t="s">
        <v>645</v>
      </c>
      <c r="H6304" t="s">
        <v>7226</v>
      </c>
      <c r="I6304">
        <v>81</v>
      </c>
      <c r="J6304">
        <v>5</v>
      </c>
      <c r="K6304">
        <v>0</v>
      </c>
      <c r="L6304">
        <v>0</v>
      </c>
      <c r="M6304">
        <v>57</v>
      </c>
      <c r="N6304">
        <v>0</v>
      </c>
      <c r="O6304">
        <v>19</v>
      </c>
    </row>
    <row r="6305" spans="1:15" x14ac:dyDescent="0.25">
      <c r="A6305" t="s">
        <v>971</v>
      </c>
      <c r="B6305" t="s">
        <v>2956</v>
      </c>
      <c r="C6305" t="s">
        <v>927</v>
      </c>
      <c r="D6305" t="s">
        <v>3052</v>
      </c>
      <c r="E6305" t="s">
        <v>3053</v>
      </c>
      <c r="F6305" t="s">
        <v>646</v>
      </c>
      <c r="G6305" t="s">
        <v>647</v>
      </c>
      <c r="H6305" t="s">
        <v>7238</v>
      </c>
      <c r="I6305">
        <v>384</v>
      </c>
      <c r="J6305">
        <v>380</v>
      </c>
      <c r="K6305">
        <v>0</v>
      </c>
      <c r="L6305">
        <v>3</v>
      </c>
      <c r="M6305">
        <v>0</v>
      </c>
      <c r="N6305">
        <v>0</v>
      </c>
      <c r="O6305">
        <v>1</v>
      </c>
    </row>
    <row r="6306" spans="1:15" x14ac:dyDescent="0.25">
      <c r="A6306" t="s">
        <v>929</v>
      </c>
      <c r="B6306" t="s">
        <v>2999</v>
      </c>
      <c r="C6306" t="s">
        <v>927</v>
      </c>
      <c r="D6306" t="s">
        <v>3052</v>
      </c>
      <c r="E6306" t="s">
        <v>3053</v>
      </c>
      <c r="F6306" t="s">
        <v>646</v>
      </c>
      <c r="G6306" t="s">
        <v>647</v>
      </c>
      <c r="H6306" t="s">
        <v>7239</v>
      </c>
      <c r="I6306">
        <v>146</v>
      </c>
      <c r="J6306">
        <v>0</v>
      </c>
      <c r="K6306">
        <v>0</v>
      </c>
      <c r="L6306">
        <v>0</v>
      </c>
      <c r="M6306">
        <v>146</v>
      </c>
      <c r="N6306">
        <v>0</v>
      </c>
      <c r="O6306">
        <v>0</v>
      </c>
    </row>
    <row r="6307" spans="1:15" x14ac:dyDescent="0.25">
      <c r="A6307" t="s">
        <v>978</v>
      </c>
      <c r="B6307" t="s">
        <v>1999</v>
      </c>
      <c r="C6307" t="s">
        <v>923</v>
      </c>
      <c r="D6307" t="s">
        <v>3063</v>
      </c>
      <c r="E6307" t="s">
        <v>3053</v>
      </c>
      <c r="F6307" t="s">
        <v>646</v>
      </c>
      <c r="G6307" t="s">
        <v>647</v>
      </c>
      <c r="H6307" t="s">
        <v>7240</v>
      </c>
      <c r="I6307">
        <v>1</v>
      </c>
      <c r="J6307">
        <v>1</v>
      </c>
      <c r="K6307">
        <v>0</v>
      </c>
      <c r="L6307">
        <v>0</v>
      </c>
      <c r="M6307">
        <v>0</v>
      </c>
      <c r="N6307">
        <v>0</v>
      </c>
      <c r="O6307">
        <v>0</v>
      </c>
    </row>
    <row r="6308" spans="1:15" x14ac:dyDescent="0.25">
      <c r="A6308" t="s">
        <v>1463</v>
      </c>
      <c r="B6308" t="s">
        <v>2846</v>
      </c>
      <c r="C6308" t="s">
        <v>927</v>
      </c>
      <c r="D6308" t="s">
        <v>3052</v>
      </c>
      <c r="E6308" t="s">
        <v>3053</v>
      </c>
      <c r="F6308" t="s">
        <v>646</v>
      </c>
      <c r="G6308" t="s">
        <v>647</v>
      </c>
      <c r="H6308" t="s">
        <v>7241</v>
      </c>
      <c r="I6308">
        <v>129</v>
      </c>
      <c r="J6308">
        <v>80</v>
      </c>
      <c r="K6308">
        <v>0</v>
      </c>
      <c r="L6308">
        <v>49</v>
      </c>
      <c r="M6308">
        <v>0</v>
      </c>
      <c r="N6308">
        <v>0</v>
      </c>
      <c r="O6308">
        <v>0</v>
      </c>
    </row>
    <row r="6309" spans="1:15" x14ac:dyDescent="0.25">
      <c r="A6309" t="s">
        <v>985</v>
      </c>
      <c r="B6309" t="s">
        <v>1964</v>
      </c>
      <c r="C6309" t="s">
        <v>923</v>
      </c>
      <c r="D6309" t="s">
        <v>3063</v>
      </c>
      <c r="E6309" t="s">
        <v>3053</v>
      </c>
      <c r="F6309" t="s">
        <v>646</v>
      </c>
      <c r="G6309" t="s">
        <v>647</v>
      </c>
      <c r="H6309" t="s">
        <v>7242</v>
      </c>
      <c r="I6309">
        <v>3</v>
      </c>
      <c r="J6309">
        <v>0</v>
      </c>
      <c r="K6309">
        <v>0</v>
      </c>
      <c r="L6309">
        <v>3</v>
      </c>
      <c r="M6309">
        <v>0</v>
      </c>
      <c r="N6309">
        <v>0</v>
      </c>
      <c r="O6309">
        <v>0</v>
      </c>
    </row>
    <row r="6310" spans="1:15" x14ac:dyDescent="0.25">
      <c r="A6310" t="s">
        <v>935</v>
      </c>
      <c r="B6310" t="s">
        <v>1960</v>
      </c>
      <c r="C6310" t="s">
        <v>923</v>
      </c>
      <c r="D6310" t="s">
        <v>3063</v>
      </c>
      <c r="E6310" t="s">
        <v>3053</v>
      </c>
      <c r="F6310" t="s">
        <v>646</v>
      </c>
      <c r="G6310" t="s">
        <v>647</v>
      </c>
      <c r="H6310" t="s">
        <v>7243</v>
      </c>
      <c r="I6310">
        <v>34</v>
      </c>
      <c r="J6310">
        <v>0</v>
      </c>
      <c r="K6310">
        <v>0</v>
      </c>
      <c r="L6310">
        <v>34</v>
      </c>
      <c r="M6310">
        <v>0</v>
      </c>
      <c r="N6310">
        <v>0</v>
      </c>
      <c r="O6310">
        <v>0</v>
      </c>
    </row>
    <row r="6311" spans="1:15" x14ac:dyDescent="0.25">
      <c r="A6311" t="s">
        <v>1416</v>
      </c>
      <c r="B6311" t="s">
        <v>2029</v>
      </c>
      <c r="C6311" t="s">
        <v>923</v>
      </c>
      <c r="D6311" t="s">
        <v>3063</v>
      </c>
      <c r="E6311" t="s">
        <v>3053</v>
      </c>
      <c r="F6311" t="s">
        <v>646</v>
      </c>
      <c r="G6311" t="s">
        <v>647</v>
      </c>
      <c r="H6311" t="s">
        <v>12267</v>
      </c>
      <c r="I6311">
        <v>7</v>
      </c>
      <c r="J6311">
        <v>0</v>
      </c>
      <c r="K6311">
        <v>0</v>
      </c>
      <c r="L6311">
        <v>7</v>
      </c>
      <c r="M6311">
        <v>0</v>
      </c>
      <c r="N6311">
        <v>0</v>
      </c>
      <c r="O6311">
        <v>0</v>
      </c>
    </row>
    <row r="6312" spans="1:15" x14ac:dyDescent="0.25">
      <c r="A6312" t="s">
        <v>10638</v>
      </c>
      <c r="B6312" t="s">
        <v>2057</v>
      </c>
      <c r="C6312" t="s">
        <v>927</v>
      </c>
      <c r="D6312" t="s">
        <v>3052</v>
      </c>
      <c r="E6312" t="s">
        <v>3053</v>
      </c>
      <c r="F6312" t="s">
        <v>646</v>
      </c>
      <c r="G6312" t="s">
        <v>647</v>
      </c>
      <c r="H6312" t="s">
        <v>15080</v>
      </c>
      <c r="I6312">
        <v>2</v>
      </c>
      <c r="J6312">
        <v>0</v>
      </c>
      <c r="K6312">
        <v>0</v>
      </c>
      <c r="L6312">
        <v>2</v>
      </c>
      <c r="M6312">
        <v>0</v>
      </c>
      <c r="N6312">
        <v>0</v>
      </c>
      <c r="O6312">
        <v>0</v>
      </c>
    </row>
    <row r="6313" spans="1:15" x14ac:dyDescent="0.25">
      <c r="A6313" t="s">
        <v>1006</v>
      </c>
      <c r="B6313" t="s">
        <v>2724</v>
      </c>
      <c r="C6313" t="s">
        <v>927</v>
      </c>
      <c r="D6313" t="s">
        <v>3052</v>
      </c>
      <c r="E6313" t="s">
        <v>3053</v>
      </c>
      <c r="F6313" t="s">
        <v>646</v>
      </c>
      <c r="G6313" t="s">
        <v>647</v>
      </c>
      <c r="H6313" t="s">
        <v>7244</v>
      </c>
      <c r="I6313">
        <v>196</v>
      </c>
      <c r="J6313">
        <v>196</v>
      </c>
      <c r="K6313">
        <v>0</v>
      </c>
      <c r="L6313">
        <v>0</v>
      </c>
      <c r="M6313">
        <v>0</v>
      </c>
      <c r="N6313">
        <v>0</v>
      </c>
      <c r="O6313">
        <v>0</v>
      </c>
    </row>
    <row r="6314" spans="1:15" x14ac:dyDescent="0.25">
      <c r="A6314" t="s">
        <v>937</v>
      </c>
      <c r="B6314" t="s">
        <v>1962</v>
      </c>
      <c r="C6314" t="s">
        <v>927</v>
      </c>
      <c r="D6314" t="s">
        <v>3052</v>
      </c>
      <c r="E6314" t="s">
        <v>3053</v>
      </c>
      <c r="F6314" t="s">
        <v>646</v>
      </c>
      <c r="G6314" t="s">
        <v>647</v>
      </c>
      <c r="H6314" t="s">
        <v>10098</v>
      </c>
      <c r="I6314">
        <v>9</v>
      </c>
      <c r="J6314">
        <v>0</v>
      </c>
      <c r="K6314">
        <v>0</v>
      </c>
      <c r="L6314">
        <v>0</v>
      </c>
      <c r="M6314">
        <v>0</v>
      </c>
      <c r="N6314">
        <v>0</v>
      </c>
      <c r="O6314">
        <v>9</v>
      </c>
    </row>
    <row r="6315" spans="1:15" x14ac:dyDescent="0.25">
      <c r="A6315" t="s">
        <v>940</v>
      </c>
      <c r="B6315" t="s">
        <v>2647</v>
      </c>
      <c r="C6315" t="s">
        <v>927</v>
      </c>
      <c r="D6315" t="s">
        <v>3052</v>
      </c>
      <c r="E6315" t="s">
        <v>3053</v>
      </c>
      <c r="F6315" t="s">
        <v>646</v>
      </c>
      <c r="G6315" t="s">
        <v>647</v>
      </c>
      <c r="H6315" t="s">
        <v>7245</v>
      </c>
      <c r="I6315">
        <v>29</v>
      </c>
      <c r="J6315">
        <v>1</v>
      </c>
      <c r="K6315">
        <v>0</v>
      </c>
      <c r="L6315">
        <v>0</v>
      </c>
      <c r="M6315">
        <v>28</v>
      </c>
      <c r="N6315">
        <v>0</v>
      </c>
      <c r="O6315">
        <v>0</v>
      </c>
    </row>
    <row r="6316" spans="1:15" x14ac:dyDescent="0.25">
      <c r="A6316" t="s">
        <v>1013</v>
      </c>
      <c r="B6316" t="s">
        <v>1959</v>
      </c>
      <c r="C6316" t="s">
        <v>927</v>
      </c>
      <c r="D6316" t="s">
        <v>3052</v>
      </c>
      <c r="E6316" t="s">
        <v>3053</v>
      </c>
      <c r="F6316" t="s">
        <v>646</v>
      </c>
      <c r="G6316" t="s">
        <v>647</v>
      </c>
      <c r="H6316" t="s">
        <v>7246</v>
      </c>
      <c r="I6316">
        <v>18</v>
      </c>
      <c r="J6316">
        <v>0</v>
      </c>
      <c r="K6316">
        <v>0</v>
      </c>
      <c r="L6316">
        <v>18</v>
      </c>
      <c r="M6316">
        <v>0</v>
      </c>
      <c r="N6316">
        <v>0</v>
      </c>
      <c r="O6316">
        <v>0</v>
      </c>
    </row>
    <row r="6317" spans="1:15" x14ac:dyDescent="0.25">
      <c r="A6317" t="s">
        <v>1897</v>
      </c>
      <c r="B6317" t="s">
        <v>2883</v>
      </c>
      <c r="C6317" t="s">
        <v>927</v>
      </c>
      <c r="D6317" t="s">
        <v>3052</v>
      </c>
      <c r="E6317" t="s">
        <v>3053</v>
      </c>
      <c r="F6317" t="s">
        <v>646</v>
      </c>
      <c r="G6317" t="s">
        <v>647</v>
      </c>
      <c r="H6317" t="s">
        <v>11251</v>
      </c>
      <c r="I6317">
        <v>4</v>
      </c>
      <c r="J6317">
        <v>4</v>
      </c>
      <c r="K6317">
        <v>0</v>
      </c>
      <c r="L6317">
        <v>0</v>
      </c>
      <c r="M6317">
        <v>0</v>
      </c>
      <c r="N6317">
        <v>0</v>
      </c>
      <c r="O6317">
        <v>0</v>
      </c>
    </row>
    <row r="6318" spans="1:15" x14ac:dyDescent="0.25">
      <c r="A6318" t="s">
        <v>1495</v>
      </c>
      <c r="B6318" t="s">
        <v>2648</v>
      </c>
      <c r="C6318" t="s">
        <v>927</v>
      </c>
      <c r="D6318" t="s">
        <v>3052</v>
      </c>
      <c r="E6318" t="s">
        <v>3053</v>
      </c>
      <c r="F6318" t="s">
        <v>646</v>
      </c>
      <c r="G6318" t="s">
        <v>647</v>
      </c>
      <c r="H6318" t="s">
        <v>7247</v>
      </c>
      <c r="I6318">
        <v>27</v>
      </c>
      <c r="J6318">
        <v>27</v>
      </c>
      <c r="K6318">
        <v>0</v>
      </c>
      <c r="L6318">
        <v>0</v>
      </c>
      <c r="M6318">
        <v>0</v>
      </c>
      <c r="N6318">
        <v>0</v>
      </c>
      <c r="O6318">
        <v>0</v>
      </c>
    </row>
    <row r="6319" spans="1:15" x14ac:dyDescent="0.25">
      <c r="A6319" t="s">
        <v>9819</v>
      </c>
      <c r="B6319" t="s">
        <v>2916</v>
      </c>
      <c r="C6319" t="s">
        <v>927</v>
      </c>
      <c r="D6319" t="s">
        <v>3052</v>
      </c>
      <c r="E6319" t="s">
        <v>3053</v>
      </c>
      <c r="F6319" t="s">
        <v>646</v>
      </c>
      <c r="G6319" t="s">
        <v>647</v>
      </c>
      <c r="H6319" t="s">
        <v>11252</v>
      </c>
      <c r="I6319">
        <v>3</v>
      </c>
      <c r="J6319">
        <v>3</v>
      </c>
      <c r="K6319">
        <v>0</v>
      </c>
      <c r="L6319">
        <v>0</v>
      </c>
      <c r="M6319">
        <v>0</v>
      </c>
      <c r="N6319">
        <v>0</v>
      </c>
      <c r="O6319">
        <v>0</v>
      </c>
    </row>
    <row r="6320" spans="1:15" x14ac:dyDescent="0.25">
      <c r="A6320" t="s">
        <v>1025</v>
      </c>
      <c r="B6320" t="s">
        <v>2893</v>
      </c>
      <c r="C6320" t="s">
        <v>927</v>
      </c>
      <c r="D6320" t="s">
        <v>3052</v>
      </c>
      <c r="E6320" t="s">
        <v>3053</v>
      </c>
      <c r="F6320" t="s">
        <v>646</v>
      </c>
      <c r="G6320" t="s">
        <v>647</v>
      </c>
      <c r="H6320" t="s">
        <v>12268</v>
      </c>
      <c r="I6320">
        <v>22</v>
      </c>
      <c r="J6320">
        <v>12</v>
      </c>
      <c r="K6320">
        <v>0</v>
      </c>
      <c r="L6320">
        <v>0</v>
      </c>
      <c r="M6320">
        <v>0</v>
      </c>
      <c r="N6320">
        <v>0</v>
      </c>
      <c r="O6320">
        <v>10</v>
      </c>
    </row>
    <row r="6321" spans="1:15" x14ac:dyDescent="0.25">
      <c r="A6321" t="s">
        <v>1516</v>
      </c>
      <c r="B6321" t="s">
        <v>2098</v>
      </c>
      <c r="C6321" t="s">
        <v>927</v>
      </c>
      <c r="D6321" t="s">
        <v>3052</v>
      </c>
      <c r="E6321" t="s">
        <v>3053</v>
      </c>
      <c r="F6321" t="s">
        <v>646</v>
      </c>
      <c r="G6321" t="s">
        <v>647</v>
      </c>
      <c r="H6321" t="s">
        <v>7248</v>
      </c>
      <c r="I6321">
        <v>103</v>
      </c>
      <c r="J6321">
        <v>98</v>
      </c>
      <c r="K6321">
        <v>0</v>
      </c>
      <c r="L6321">
        <v>5</v>
      </c>
      <c r="M6321">
        <v>0</v>
      </c>
      <c r="N6321">
        <v>0</v>
      </c>
      <c r="O6321">
        <v>0</v>
      </c>
    </row>
    <row r="6322" spans="1:15" x14ac:dyDescent="0.25">
      <c r="A6322" t="s">
        <v>1031</v>
      </c>
      <c r="B6322" t="s">
        <v>2779</v>
      </c>
      <c r="C6322" t="s">
        <v>927</v>
      </c>
      <c r="D6322" t="s">
        <v>3052</v>
      </c>
      <c r="E6322" t="s">
        <v>3053</v>
      </c>
      <c r="F6322" t="s">
        <v>646</v>
      </c>
      <c r="G6322" t="s">
        <v>647</v>
      </c>
      <c r="H6322" t="s">
        <v>7249</v>
      </c>
      <c r="I6322">
        <v>91</v>
      </c>
      <c r="J6322">
        <v>91</v>
      </c>
      <c r="K6322">
        <v>0</v>
      </c>
      <c r="L6322">
        <v>0</v>
      </c>
      <c r="M6322">
        <v>0</v>
      </c>
      <c r="N6322">
        <v>0</v>
      </c>
      <c r="O6322">
        <v>0</v>
      </c>
    </row>
    <row r="6323" spans="1:15" x14ac:dyDescent="0.25">
      <c r="A6323" t="s">
        <v>1523</v>
      </c>
      <c r="B6323" t="s">
        <v>2139</v>
      </c>
      <c r="C6323" t="s">
        <v>923</v>
      </c>
      <c r="D6323" t="s">
        <v>3063</v>
      </c>
      <c r="E6323" t="s">
        <v>3053</v>
      </c>
      <c r="F6323" t="s">
        <v>646</v>
      </c>
      <c r="G6323" t="s">
        <v>647</v>
      </c>
      <c r="H6323" t="s">
        <v>7250</v>
      </c>
      <c r="I6323">
        <v>95</v>
      </c>
      <c r="J6323">
        <v>0</v>
      </c>
      <c r="K6323">
        <v>0</v>
      </c>
      <c r="L6323">
        <v>95</v>
      </c>
      <c r="M6323">
        <v>0</v>
      </c>
      <c r="N6323">
        <v>0</v>
      </c>
      <c r="O6323">
        <v>0</v>
      </c>
    </row>
    <row r="6324" spans="1:15" x14ac:dyDescent="0.25">
      <c r="A6324" t="s">
        <v>951</v>
      </c>
      <c r="B6324" t="s">
        <v>2680</v>
      </c>
      <c r="C6324" t="s">
        <v>927</v>
      </c>
      <c r="D6324" t="s">
        <v>3052</v>
      </c>
      <c r="E6324" t="s">
        <v>3053</v>
      </c>
      <c r="F6324" t="s">
        <v>646</v>
      </c>
      <c r="G6324" t="s">
        <v>647</v>
      </c>
      <c r="H6324" t="s">
        <v>7251</v>
      </c>
      <c r="I6324">
        <v>18</v>
      </c>
      <c r="J6324">
        <v>18</v>
      </c>
      <c r="K6324">
        <v>0</v>
      </c>
      <c r="L6324">
        <v>0</v>
      </c>
      <c r="M6324">
        <v>0</v>
      </c>
      <c r="N6324">
        <v>0</v>
      </c>
      <c r="O6324">
        <v>0</v>
      </c>
    </row>
    <row r="6325" spans="1:15" x14ac:dyDescent="0.25">
      <c r="A6325" t="s">
        <v>1048</v>
      </c>
      <c r="B6325" t="s">
        <v>2989</v>
      </c>
      <c r="C6325" t="s">
        <v>927</v>
      </c>
      <c r="D6325" t="s">
        <v>3052</v>
      </c>
      <c r="E6325" t="s">
        <v>3053</v>
      </c>
      <c r="F6325" t="s">
        <v>646</v>
      </c>
      <c r="G6325" t="s">
        <v>647</v>
      </c>
      <c r="H6325" t="s">
        <v>12269</v>
      </c>
      <c r="I6325">
        <v>1</v>
      </c>
      <c r="J6325">
        <v>0</v>
      </c>
      <c r="K6325">
        <v>0</v>
      </c>
      <c r="L6325">
        <v>1</v>
      </c>
      <c r="M6325">
        <v>0</v>
      </c>
      <c r="N6325">
        <v>0</v>
      </c>
      <c r="O6325">
        <v>0</v>
      </c>
    </row>
    <row r="6326" spans="1:15" x14ac:dyDescent="0.25">
      <c r="A6326" t="s">
        <v>1051</v>
      </c>
      <c r="B6326" t="s">
        <v>2995</v>
      </c>
      <c r="C6326" t="s">
        <v>927</v>
      </c>
      <c r="D6326" t="s">
        <v>3052</v>
      </c>
      <c r="E6326" t="s">
        <v>3053</v>
      </c>
      <c r="F6326" t="s">
        <v>646</v>
      </c>
      <c r="G6326" t="s">
        <v>647</v>
      </c>
      <c r="H6326" t="s">
        <v>7252</v>
      </c>
      <c r="I6326">
        <v>22</v>
      </c>
      <c r="J6326">
        <v>1</v>
      </c>
      <c r="K6326">
        <v>0</v>
      </c>
      <c r="L6326">
        <v>21</v>
      </c>
      <c r="M6326">
        <v>0</v>
      </c>
      <c r="N6326">
        <v>0</v>
      </c>
      <c r="O6326">
        <v>0</v>
      </c>
    </row>
    <row r="6327" spans="1:15" x14ac:dyDescent="0.25">
      <c r="A6327" t="s">
        <v>1057</v>
      </c>
      <c r="B6327" t="s">
        <v>1972</v>
      </c>
      <c r="C6327" t="s">
        <v>927</v>
      </c>
      <c r="D6327" t="s">
        <v>3052</v>
      </c>
      <c r="E6327" t="s">
        <v>3053</v>
      </c>
      <c r="F6327" t="s">
        <v>646</v>
      </c>
      <c r="G6327" t="s">
        <v>647</v>
      </c>
      <c r="H6327" t="s">
        <v>10402</v>
      </c>
      <c r="I6327">
        <v>19</v>
      </c>
      <c r="J6327">
        <v>0</v>
      </c>
      <c r="K6327">
        <v>0</v>
      </c>
      <c r="L6327">
        <v>19</v>
      </c>
      <c r="M6327">
        <v>0</v>
      </c>
      <c r="N6327">
        <v>0</v>
      </c>
      <c r="O6327">
        <v>0</v>
      </c>
    </row>
    <row r="6328" spans="1:15" x14ac:dyDescent="0.25">
      <c r="A6328" t="s">
        <v>1066</v>
      </c>
      <c r="B6328" t="s">
        <v>2557</v>
      </c>
      <c r="C6328" t="s">
        <v>927</v>
      </c>
      <c r="D6328" t="s">
        <v>3052</v>
      </c>
      <c r="E6328" t="s">
        <v>3053</v>
      </c>
      <c r="F6328" t="s">
        <v>646</v>
      </c>
      <c r="G6328" t="s">
        <v>647</v>
      </c>
      <c r="H6328" t="s">
        <v>12270</v>
      </c>
      <c r="I6328">
        <v>12</v>
      </c>
      <c r="J6328">
        <v>0</v>
      </c>
      <c r="K6328">
        <v>0</v>
      </c>
      <c r="L6328">
        <v>0</v>
      </c>
      <c r="M6328">
        <v>12</v>
      </c>
      <c r="N6328">
        <v>0</v>
      </c>
      <c r="O6328">
        <v>0</v>
      </c>
    </row>
    <row r="6329" spans="1:15" x14ac:dyDescent="0.25">
      <c r="A6329" t="s">
        <v>1075</v>
      </c>
      <c r="B6329" t="s">
        <v>2830</v>
      </c>
      <c r="C6329" t="s">
        <v>927</v>
      </c>
      <c r="D6329" t="s">
        <v>3052</v>
      </c>
      <c r="E6329" t="s">
        <v>3053</v>
      </c>
      <c r="F6329" t="s">
        <v>646</v>
      </c>
      <c r="G6329" t="s">
        <v>647</v>
      </c>
      <c r="H6329" t="s">
        <v>7253</v>
      </c>
      <c r="I6329">
        <v>3354</v>
      </c>
      <c r="J6329">
        <v>3324</v>
      </c>
      <c r="K6329">
        <v>0</v>
      </c>
      <c r="L6329">
        <v>19</v>
      </c>
      <c r="M6329">
        <v>0</v>
      </c>
      <c r="N6329">
        <v>0</v>
      </c>
      <c r="O6329">
        <v>11</v>
      </c>
    </row>
    <row r="6330" spans="1:15" x14ac:dyDescent="0.25">
      <c r="A6330" t="s">
        <v>1563</v>
      </c>
      <c r="B6330" t="s">
        <v>2895</v>
      </c>
      <c r="C6330" t="s">
        <v>927</v>
      </c>
      <c r="D6330" t="s">
        <v>3052</v>
      </c>
      <c r="E6330" t="s">
        <v>3053</v>
      </c>
      <c r="F6330" t="s">
        <v>646</v>
      </c>
      <c r="G6330" t="s">
        <v>647</v>
      </c>
      <c r="H6330" t="s">
        <v>7254</v>
      </c>
      <c r="I6330">
        <v>24</v>
      </c>
      <c r="J6330">
        <v>1</v>
      </c>
      <c r="K6330">
        <v>0</v>
      </c>
      <c r="L6330">
        <v>0</v>
      </c>
      <c r="M6330">
        <v>23</v>
      </c>
      <c r="N6330">
        <v>0</v>
      </c>
      <c r="O6330">
        <v>0</v>
      </c>
    </row>
    <row r="6331" spans="1:15" x14ac:dyDescent="0.25">
      <c r="A6331" t="s">
        <v>1083</v>
      </c>
      <c r="B6331" t="s">
        <v>2757</v>
      </c>
      <c r="C6331" t="s">
        <v>927</v>
      </c>
      <c r="D6331" t="s">
        <v>3052</v>
      </c>
      <c r="E6331" t="s">
        <v>3053</v>
      </c>
      <c r="F6331" t="s">
        <v>646</v>
      </c>
      <c r="G6331" t="s">
        <v>647</v>
      </c>
      <c r="H6331" t="s">
        <v>7255</v>
      </c>
      <c r="I6331">
        <v>94</v>
      </c>
      <c r="J6331">
        <v>94</v>
      </c>
      <c r="K6331">
        <v>0</v>
      </c>
      <c r="L6331">
        <v>0</v>
      </c>
      <c r="M6331">
        <v>0</v>
      </c>
      <c r="N6331">
        <v>0</v>
      </c>
      <c r="O6331">
        <v>0</v>
      </c>
    </row>
    <row r="6332" spans="1:15" x14ac:dyDescent="0.25">
      <c r="A6332" t="s">
        <v>971</v>
      </c>
      <c r="B6332" t="s">
        <v>2956</v>
      </c>
      <c r="C6332" t="s">
        <v>927</v>
      </c>
      <c r="D6332" t="s">
        <v>3052</v>
      </c>
      <c r="E6332" t="s">
        <v>3053</v>
      </c>
      <c r="F6332" t="s">
        <v>648</v>
      </c>
      <c r="G6332" t="s">
        <v>649</v>
      </c>
      <c r="H6332" t="s">
        <v>7256</v>
      </c>
      <c r="I6332">
        <v>1798</v>
      </c>
      <c r="J6332">
        <v>1450</v>
      </c>
      <c r="K6332">
        <v>0</v>
      </c>
      <c r="L6332">
        <v>0</v>
      </c>
      <c r="M6332">
        <v>220</v>
      </c>
      <c r="N6332">
        <v>0</v>
      </c>
      <c r="O6332">
        <v>128</v>
      </c>
    </row>
    <row r="6333" spans="1:15" x14ac:dyDescent="0.25">
      <c r="A6333" t="s">
        <v>929</v>
      </c>
      <c r="B6333" t="s">
        <v>2999</v>
      </c>
      <c r="C6333" t="s">
        <v>927</v>
      </c>
      <c r="D6333" t="s">
        <v>3052</v>
      </c>
      <c r="E6333" t="s">
        <v>3053</v>
      </c>
      <c r="F6333" t="s">
        <v>648</v>
      </c>
      <c r="G6333" t="s">
        <v>649</v>
      </c>
      <c r="H6333" t="s">
        <v>7257</v>
      </c>
      <c r="I6333">
        <v>145</v>
      </c>
      <c r="J6333">
        <v>0</v>
      </c>
      <c r="K6333">
        <v>0</v>
      </c>
      <c r="L6333">
        <v>0</v>
      </c>
      <c r="M6333">
        <v>145</v>
      </c>
      <c r="N6333">
        <v>0</v>
      </c>
      <c r="O6333">
        <v>0</v>
      </c>
    </row>
    <row r="6334" spans="1:15" x14ac:dyDescent="0.25">
      <c r="A6334" t="s">
        <v>9790</v>
      </c>
      <c r="B6334" t="s">
        <v>1977</v>
      </c>
      <c r="C6334" t="s">
        <v>923</v>
      </c>
      <c r="D6334" t="s">
        <v>3063</v>
      </c>
      <c r="E6334" t="s">
        <v>3053</v>
      </c>
      <c r="F6334" t="s">
        <v>648</v>
      </c>
      <c r="G6334" t="s">
        <v>649</v>
      </c>
      <c r="H6334" t="s">
        <v>12271</v>
      </c>
      <c r="I6334">
        <v>6</v>
      </c>
      <c r="J6334">
        <v>0</v>
      </c>
      <c r="K6334">
        <v>0</v>
      </c>
      <c r="L6334">
        <v>6</v>
      </c>
      <c r="M6334">
        <v>0</v>
      </c>
      <c r="N6334">
        <v>0</v>
      </c>
      <c r="O6334">
        <v>0</v>
      </c>
    </row>
    <row r="6335" spans="1:15" x14ac:dyDescent="0.25">
      <c r="A6335" t="s">
        <v>9784</v>
      </c>
      <c r="B6335" t="s">
        <v>1994</v>
      </c>
      <c r="C6335" t="s">
        <v>927</v>
      </c>
      <c r="D6335" t="s">
        <v>3052</v>
      </c>
      <c r="E6335" t="s">
        <v>3053</v>
      </c>
      <c r="F6335" t="s">
        <v>648</v>
      </c>
      <c r="G6335" t="s">
        <v>649</v>
      </c>
      <c r="H6335" t="s">
        <v>9969</v>
      </c>
      <c r="I6335">
        <v>6</v>
      </c>
      <c r="J6335">
        <v>0</v>
      </c>
      <c r="K6335">
        <v>0</v>
      </c>
      <c r="L6335">
        <v>6</v>
      </c>
      <c r="M6335">
        <v>0</v>
      </c>
      <c r="N6335">
        <v>0</v>
      </c>
      <c r="O6335">
        <v>0</v>
      </c>
    </row>
    <row r="6336" spans="1:15" x14ac:dyDescent="0.25">
      <c r="A6336" t="s">
        <v>989</v>
      </c>
      <c r="B6336" t="s">
        <v>2016</v>
      </c>
      <c r="C6336" t="s">
        <v>923</v>
      </c>
      <c r="D6336" t="s">
        <v>3063</v>
      </c>
      <c r="E6336" t="s">
        <v>3053</v>
      </c>
      <c r="F6336" t="s">
        <v>648</v>
      </c>
      <c r="G6336" t="s">
        <v>649</v>
      </c>
      <c r="H6336" t="s">
        <v>7259</v>
      </c>
      <c r="I6336">
        <v>20</v>
      </c>
      <c r="J6336">
        <v>0</v>
      </c>
      <c r="K6336">
        <v>0</v>
      </c>
      <c r="L6336">
        <v>20</v>
      </c>
      <c r="M6336">
        <v>0</v>
      </c>
      <c r="N6336">
        <v>0</v>
      </c>
      <c r="O6336">
        <v>0</v>
      </c>
    </row>
    <row r="6337" spans="1:15" x14ac:dyDescent="0.25">
      <c r="A6337" t="s">
        <v>933</v>
      </c>
      <c r="B6337" t="s">
        <v>2106</v>
      </c>
      <c r="C6337" t="s">
        <v>927</v>
      </c>
      <c r="D6337" t="s">
        <v>3052</v>
      </c>
      <c r="E6337" t="s">
        <v>3053</v>
      </c>
      <c r="F6337" t="s">
        <v>648</v>
      </c>
      <c r="G6337" t="s">
        <v>649</v>
      </c>
      <c r="H6337" t="s">
        <v>7260</v>
      </c>
      <c r="I6337">
        <v>335</v>
      </c>
      <c r="J6337">
        <v>330</v>
      </c>
      <c r="K6337">
        <v>0</v>
      </c>
      <c r="L6337">
        <v>0</v>
      </c>
      <c r="M6337">
        <v>0</v>
      </c>
      <c r="N6337">
        <v>0</v>
      </c>
      <c r="O6337">
        <v>5</v>
      </c>
    </row>
    <row r="6338" spans="1:15" x14ac:dyDescent="0.25">
      <c r="A6338" t="s">
        <v>992</v>
      </c>
      <c r="B6338" t="s">
        <v>3033</v>
      </c>
      <c r="C6338" t="s">
        <v>927</v>
      </c>
      <c r="D6338" t="s">
        <v>3052</v>
      </c>
      <c r="E6338" t="s">
        <v>3053</v>
      </c>
      <c r="F6338" t="s">
        <v>648</v>
      </c>
      <c r="G6338" t="s">
        <v>649</v>
      </c>
      <c r="H6338" t="s">
        <v>7261</v>
      </c>
      <c r="I6338">
        <v>10637</v>
      </c>
      <c r="J6338">
        <v>8685</v>
      </c>
      <c r="K6338">
        <v>6</v>
      </c>
      <c r="L6338">
        <v>158</v>
      </c>
      <c r="M6338">
        <v>1209</v>
      </c>
      <c r="N6338">
        <v>0</v>
      </c>
      <c r="O6338">
        <v>579</v>
      </c>
    </row>
    <row r="6339" spans="1:15" x14ac:dyDescent="0.25">
      <c r="A6339" t="s">
        <v>1416</v>
      </c>
      <c r="B6339" t="s">
        <v>2029</v>
      </c>
      <c r="C6339" t="s">
        <v>923</v>
      </c>
      <c r="D6339" t="s">
        <v>3063</v>
      </c>
      <c r="E6339" t="s">
        <v>3053</v>
      </c>
      <c r="F6339" t="s">
        <v>648</v>
      </c>
      <c r="G6339" t="s">
        <v>649</v>
      </c>
      <c r="H6339" t="s">
        <v>12272</v>
      </c>
      <c r="I6339">
        <v>4</v>
      </c>
      <c r="J6339">
        <v>0</v>
      </c>
      <c r="K6339">
        <v>0</v>
      </c>
      <c r="L6339">
        <v>4</v>
      </c>
      <c r="M6339">
        <v>0</v>
      </c>
      <c r="N6339">
        <v>0</v>
      </c>
      <c r="O6339">
        <v>0</v>
      </c>
    </row>
    <row r="6340" spans="1:15" x14ac:dyDescent="0.25">
      <c r="A6340" t="s">
        <v>1000</v>
      </c>
      <c r="B6340" t="s">
        <v>1984</v>
      </c>
      <c r="C6340" t="s">
        <v>923</v>
      </c>
      <c r="D6340" t="s">
        <v>3063</v>
      </c>
      <c r="E6340" t="s">
        <v>3053</v>
      </c>
      <c r="F6340" t="s">
        <v>648</v>
      </c>
      <c r="G6340" t="s">
        <v>649</v>
      </c>
      <c r="H6340" t="s">
        <v>7262</v>
      </c>
      <c r="I6340">
        <v>40</v>
      </c>
      <c r="J6340">
        <v>0</v>
      </c>
      <c r="K6340">
        <v>0</v>
      </c>
      <c r="L6340">
        <v>40</v>
      </c>
      <c r="M6340">
        <v>0</v>
      </c>
      <c r="N6340">
        <v>0</v>
      </c>
      <c r="O6340">
        <v>0</v>
      </c>
    </row>
    <row r="6341" spans="1:15" x14ac:dyDescent="0.25">
      <c r="A6341" t="s">
        <v>1003</v>
      </c>
      <c r="B6341" t="s">
        <v>2862</v>
      </c>
      <c r="C6341" t="s">
        <v>927</v>
      </c>
      <c r="D6341" t="s">
        <v>3052</v>
      </c>
      <c r="E6341" t="s">
        <v>3053</v>
      </c>
      <c r="F6341" t="s">
        <v>648</v>
      </c>
      <c r="G6341" t="s">
        <v>649</v>
      </c>
      <c r="H6341" t="s">
        <v>7263</v>
      </c>
      <c r="I6341">
        <v>26</v>
      </c>
      <c r="J6341">
        <v>10</v>
      </c>
      <c r="K6341">
        <v>16</v>
      </c>
      <c r="L6341">
        <v>0</v>
      </c>
      <c r="M6341">
        <v>0</v>
      </c>
      <c r="N6341">
        <v>0</v>
      </c>
      <c r="O6341">
        <v>0</v>
      </c>
    </row>
    <row r="6342" spans="1:15" x14ac:dyDescent="0.25">
      <c r="A6342" t="s">
        <v>10638</v>
      </c>
      <c r="B6342" t="s">
        <v>2057</v>
      </c>
      <c r="C6342" t="s">
        <v>927</v>
      </c>
      <c r="D6342" t="s">
        <v>3052</v>
      </c>
      <c r="E6342" t="s">
        <v>3053</v>
      </c>
      <c r="F6342" t="s">
        <v>648</v>
      </c>
      <c r="G6342" t="s">
        <v>649</v>
      </c>
      <c r="H6342" t="s">
        <v>11253</v>
      </c>
      <c r="I6342">
        <v>17</v>
      </c>
      <c r="J6342">
        <v>0</v>
      </c>
      <c r="K6342">
        <v>0</v>
      </c>
      <c r="L6342">
        <v>17</v>
      </c>
      <c r="M6342">
        <v>0</v>
      </c>
      <c r="N6342">
        <v>0</v>
      </c>
      <c r="O6342">
        <v>0</v>
      </c>
    </row>
    <row r="6343" spans="1:15" x14ac:dyDescent="0.25">
      <c r="A6343" t="s">
        <v>1005</v>
      </c>
      <c r="B6343" t="s">
        <v>2128</v>
      </c>
      <c r="C6343" t="s">
        <v>927</v>
      </c>
      <c r="D6343" t="s">
        <v>3052</v>
      </c>
      <c r="E6343" t="s">
        <v>3053</v>
      </c>
      <c r="F6343" t="s">
        <v>648</v>
      </c>
      <c r="G6343" t="s">
        <v>649</v>
      </c>
      <c r="H6343" t="s">
        <v>7264</v>
      </c>
      <c r="I6343">
        <v>1</v>
      </c>
      <c r="J6343">
        <v>0</v>
      </c>
      <c r="K6343">
        <v>0</v>
      </c>
      <c r="L6343">
        <v>1</v>
      </c>
      <c r="M6343">
        <v>0</v>
      </c>
      <c r="N6343">
        <v>0</v>
      </c>
      <c r="O6343">
        <v>0</v>
      </c>
    </row>
    <row r="6344" spans="1:15" x14ac:dyDescent="0.25">
      <c r="A6344" t="s">
        <v>1008</v>
      </c>
      <c r="B6344" t="s">
        <v>2928</v>
      </c>
      <c r="C6344" t="s">
        <v>927</v>
      </c>
      <c r="D6344" t="s">
        <v>3052</v>
      </c>
      <c r="E6344" t="s">
        <v>3053</v>
      </c>
      <c r="F6344" t="s">
        <v>648</v>
      </c>
      <c r="G6344" t="s">
        <v>649</v>
      </c>
      <c r="H6344" t="s">
        <v>7265</v>
      </c>
      <c r="I6344">
        <v>7</v>
      </c>
      <c r="J6344">
        <v>7</v>
      </c>
      <c r="K6344">
        <v>0</v>
      </c>
      <c r="L6344">
        <v>0</v>
      </c>
      <c r="M6344">
        <v>0</v>
      </c>
      <c r="N6344">
        <v>1</v>
      </c>
      <c r="O6344">
        <v>0</v>
      </c>
    </row>
    <row r="6345" spans="1:15" x14ac:dyDescent="0.25">
      <c r="A6345" t="s">
        <v>937</v>
      </c>
      <c r="B6345" t="s">
        <v>1962</v>
      </c>
      <c r="C6345" t="s">
        <v>927</v>
      </c>
      <c r="D6345" t="s">
        <v>3052</v>
      </c>
      <c r="E6345" t="s">
        <v>3053</v>
      </c>
      <c r="F6345" t="s">
        <v>648</v>
      </c>
      <c r="G6345" t="s">
        <v>649</v>
      </c>
      <c r="H6345" t="s">
        <v>7266</v>
      </c>
      <c r="I6345">
        <v>156</v>
      </c>
      <c r="J6345">
        <v>0</v>
      </c>
      <c r="K6345">
        <v>0</v>
      </c>
      <c r="L6345">
        <v>0</v>
      </c>
      <c r="M6345">
        <v>0</v>
      </c>
      <c r="N6345">
        <v>0</v>
      </c>
      <c r="O6345">
        <v>156</v>
      </c>
    </row>
    <row r="6346" spans="1:15" x14ac:dyDescent="0.25">
      <c r="A6346" t="s">
        <v>938</v>
      </c>
      <c r="B6346" t="s">
        <v>2791</v>
      </c>
      <c r="C6346" t="s">
        <v>927</v>
      </c>
      <c r="D6346" t="s">
        <v>3052</v>
      </c>
      <c r="E6346" t="s">
        <v>3053</v>
      </c>
      <c r="F6346" t="s">
        <v>648</v>
      </c>
      <c r="G6346" t="s">
        <v>649</v>
      </c>
      <c r="H6346" t="s">
        <v>7267</v>
      </c>
      <c r="I6346">
        <v>515</v>
      </c>
      <c r="J6346">
        <v>457</v>
      </c>
      <c r="K6346">
        <v>0</v>
      </c>
      <c r="L6346">
        <v>31</v>
      </c>
      <c r="M6346">
        <v>0</v>
      </c>
      <c r="N6346">
        <v>0</v>
      </c>
      <c r="O6346">
        <v>27</v>
      </c>
    </row>
    <row r="6347" spans="1:15" x14ac:dyDescent="0.25">
      <c r="A6347" t="s">
        <v>940</v>
      </c>
      <c r="B6347" t="s">
        <v>2647</v>
      </c>
      <c r="C6347" t="s">
        <v>927</v>
      </c>
      <c r="D6347" t="s">
        <v>3052</v>
      </c>
      <c r="E6347" t="s">
        <v>3053</v>
      </c>
      <c r="F6347" t="s">
        <v>648</v>
      </c>
      <c r="G6347" t="s">
        <v>649</v>
      </c>
      <c r="H6347" t="s">
        <v>7268</v>
      </c>
      <c r="I6347">
        <v>130</v>
      </c>
      <c r="J6347">
        <v>0</v>
      </c>
      <c r="K6347">
        <v>0</v>
      </c>
      <c r="L6347">
        <v>0</v>
      </c>
      <c r="M6347">
        <v>130</v>
      </c>
      <c r="N6347">
        <v>0</v>
      </c>
      <c r="O6347">
        <v>0</v>
      </c>
    </row>
    <row r="6348" spans="1:15" x14ac:dyDescent="0.25">
      <c r="A6348" t="s">
        <v>1123</v>
      </c>
      <c r="B6348" t="s">
        <v>2691</v>
      </c>
      <c r="C6348" t="s">
        <v>927</v>
      </c>
      <c r="D6348" t="s">
        <v>3052</v>
      </c>
      <c r="E6348" t="s">
        <v>3053</v>
      </c>
      <c r="F6348" t="s">
        <v>648</v>
      </c>
      <c r="G6348" t="s">
        <v>649</v>
      </c>
      <c r="H6348" t="s">
        <v>7269</v>
      </c>
      <c r="I6348">
        <v>1</v>
      </c>
      <c r="J6348">
        <v>1</v>
      </c>
      <c r="K6348">
        <v>0</v>
      </c>
      <c r="L6348">
        <v>0</v>
      </c>
      <c r="M6348">
        <v>0</v>
      </c>
      <c r="N6348">
        <v>0</v>
      </c>
      <c r="O6348">
        <v>0</v>
      </c>
    </row>
    <row r="6349" spans="1:15" x14ac:dyDescent="0.25">
      <c r="A6349" t="s">
        <v>1012</v>
      </c>
      <c r="B6349" t="s">
        <v>2911</v>
      </c>
      <c r="C6349" t="s">
        <v>927</v>
      </c>
      <c r="D6349" t="s">
        <v>3052</v>
      </c>
      <c r="E6349" t="s">
        <v>3053</v>
      </c>
      <c r="F6349" t="s">
        <v>648</v>
      </c>
      <c r="G6349" t="s">
        <v>649</v>
      </c>
      <c r="H6349" t="s">
        <v>7270</v>
      </c>
      <c r="I6349">
        <v>973</v>
      </c>
      <c r="J6349">
        <v>670</v>
      </c>
      <c r="K6349">
        <v>3</v>
      </c>
      <c r="L6349">
        <v>23</v>
      </c>
      <c r="M6349">
        <v>266</v>
      </c>
      <c r="N6349">
        <v>8</v>
      </c>
      <c r="O6349">
        <v>11</v>
      </c>
    </row>
    <row r="6350" spans="1:15" x14ac:dyDescent="0.25">
      <c r="A6350" t="s">
        <v>9793</v>
      </c>
      <c r="B6350" t="s">
        <v>2615</v>
      </c>
      <c r="C6350" t="s">
        <v>923</v>
      </c>
      <c r="D6350" t="s">
        <v>3063</v>
      </c>
      <c r="E6350" t="s">
        <v>3053</v>
      </c>
      <c r="F6350" t="s">
        <v>648</v>
      </c>
      <c r="G6350" t="s">
        <v>649</v>
      </c>
      <c r="H6350" t="s">
        <v>15081</v>
      </c>
      <c r="I6350">
        <v>2</v>
      </c>
      <c r="J6350">
        <v>0</v>
      </c>
      <c r="K6350">
        <v>0</v>
      </c>
      <c r="L6350">
        <v>2</v>
      </c>
      <c r="M6350">
        <v>0</v>
      </c>
      <c r="N6350">
        <v>0</v>
      </c>
      <c r="O6350">
        <v>0</v>
      </c>
    </row>
    <row r="6351" spans="1:15" x14ac:dyDescent="0.25">
      <c r="A6351" t="s">
        <v>1013</v>
      </c>
      <c r="B6351" t="s">
        <v>1959</v>
      </c>
      <c r="C6351" t="s">
        <v>927</v>
      </c>
      <c r="D6351" t="s">
        <v>3052</v>
      </c>
      <c r="E6351" t="s">
        <v>3053</v>
      </c>
      <c r="F6351" t="s">
        <v>648</v>
      </c>
      <c r="G6351" t="s">
        <v>649</v>
      </c>
      <c r="H6351" t="s">
        <v>7271</v>
      </c>
      <c r="I6351">
        <v>22</v>
      </c>
      <c r="J6351">
        <v>0</v>
      </c>
      <c r="K6351">
        <v>0</v>
      </c>
      <c r="L6351">
        <v>22</v>
      </c>
      <c r="M6351">
        <v>0</v>
      </c>
      <c r="N6351">
        <v>0</v>
      </c>
      <c r="O6351">
        <v>0</v>
      </c>
    </row>
    <row r="6352" spans="1:15" x14ac:dyDescent="0.25">
      <c r="A6352" t="s">
        <v>1025</v>
      </c>
      <c r="B6352" t="s">
        <v>2893</v>
      </c>
      <c r="C6352" t="s">
        <v>927</v>
      </c>
      <c r="D6352" t="s">
        <v>3052</v>
      </c>
      <c r="E6352" t="s">
        <v>3053</v>
      </c>
      <c r="F6352" t="s">
        <v>648</v>
      </c>
      <c r="G6352" t="s">
        <v>649</v>
      </c>
      <c r="H6352" t="s">
        <v>10191</v>
      </c>
      <c r="I6352">
        <v>1</v>
      </c>
      <c r="J6352">
        <v>0</v>
      </c>
      <c r="K6352">
        <v>0</v>
      </c>
      <c r="L6352">
        <v>0</v>
      </c>
      <c r="M6352">
        <v>0</v>
      </c>
      <c r="N6352">
        <v>0</v>
      </c>
      <c r="O6352">
        <v>1</v>
      </c>
    </row>
    <row r="6353" spans="1:15" x14ac:dyDescent="0.25">
      <c r="A6353" t="s">
        <v>1026</v>
      </c>
      <c r="B6353" t="s">
        <v>2848</v>
      </c>
      <c r="C6353" t="s">
        <v>927</v>
      </c>
      <c r="D6353" t="s">
        <v>3052</v>
      </c>
      <c r="E6353" t="s">
        <v>3053</v>
      </c>
      <c r="F6353" t="s">
        <v>648</v>
      </c>
      <c r="G6353" t="s">
        <v>649</v>
      </c>
      <c r="H6353" t="s">
        <v>7272</v>
      </c>
      <c r="I6353">
        <v>1818</v>
      </c>
      <c r="J6353">
        <v>1161</v>
      </c>
      <c r="K6353">
        <v>0</v>
      </c>
      <c r="L6353">
        <v>144</v>
      </c>
      <c r="M6353">
        <v>339</v>
      </c>
      <c r="N6353">
        <v>1</v>
      </c>
      <c r="O6353">
        <v>174</v>
      </c>
    </row>
    <row r="6354" spans="1:15" x14ac:dyDescent="0.25">
      <c r="A6354" t="s">
        <v>1031</v>
      </c>
      <c r="B6354" t="s">
        <v>2779</v>
      </c>
      <c r="C6354" t="s">
        <v>927</v>
      </c>
      <c r="D6354" t="s">
        <v>3052</v>
      </c>
      <c r="E6354" t="s">
        <v>3053</v>
      </c>
      <c r="F6354" t="s">
        <v>648</v>
      </c>
      <c r="G6354" t="s">
        <v>649</v>
      </c>
      <c r="H6354" t="s">
        <v>7273</v>
      </c>
      <c r="I6354">
        <v>25</v>
      </c>
      <c r="J6354">
        <v>22</v>
      </c>
      <c r="K6354">
        <v>0</v>
      </c>
      <c r="L6354">
        <v>0</v>
      </c>
      <c r="M6354">
        <v>0</v>
      </c>
      <c r="N6354">
        <v>0</v>
      </c>
      <c r="O6354">
        <v>3</v>
      </c>
    </row>
    <row r="6355" spans="1:15" x14ac:dyDescent="0.25">
      <c r="A6355" t="s">
        <v>951</v>
      </c>
      <c r="B6355" t="s">
        <v>2680</v>
      </c>
      <c r="C6355" t="s">
        <v>927</v>
      </c>
      <c r="D6355" t="s">
        <v>3052</v>
      </c>
      <c r="E6355" t="s">
        <v>3053</v>
      </c>
      <c r="F6355" t="s">
        <v>648</v>
      </c>
      <c r="G6355" t="s">
        <v>649</v>
      </c>
      <c r="H6355" t="s">
        <v>7274</v>
      </c>
      <c r="I6355">
        <v>70</v>
      </c>
      <c r="J6355">
        <v>70</v>
      </c>
      <c r="K6355">
        <v>0</v>
      </c>
      <c r="L6355">
        <v>0</v>
      </c>
      <c r="M6355">
        <v>0</v>
      </c>
      <c r="N6355">
        <v>0</v>
      </c>
      <c r="O6355">
        <v>0</v>
      </c>
    </row>
    <row r="6356" spans="1:15" x14ac:dyDescent="0.25">
      <c r="A6356" t="s">
        <v>1048</v>
      </c>
      <c r="B6356" t="s">
        <v>2989</v>
      </c>
      <c r="C6356" t="s">
        <v>927</v>
      </c>
      <c r="D6356" t="s">
        <v>3052</v>
      </c>
      <c r="E6356" t="s">
        <v>3053</v>
      </c>
      <c r="F6356" t="s">
        <v>648</v>
      </c>
      <c r="G6356" t="s">
        <v>649</v>
      </c>
      <c r="H6356" t="s">
        <v>7275</v>
      </c>
      <c r="I6356">
        <v>35</v>
      </c>
      <c r="J6356">
        <v>17</v>
      </c>
      <c r="K6356">
        <v>0</v>
      </c>
      <c r="L6356">
        <v>18</v>
      </c>
      <c r="M6356">
        <v>0</v>
      </c>
      <c r="N6356">
        <v>0</v>
      </c>
      <c r="O6356">
        <v>0</v>
      </c>
    </row>
    <row r="6357" spans="1:15" x14ac:dyDescent="0.25">
      <c r="A6357" t="s">
        <v>1152</v>
      </c>
      <c r="B6357" t="s">
        <v>3031</v>
      </c>
      <c r="C6357" t="s">
        <v>927</v>
      </c>
      <c r="D6357" t="s">
        <v>3052</v>
      </c>
      <c r="E6357" t="s">
        <v>3053</v>
      </c>
      <c r="F6357" t="s">
        <v>648</v>
      </c>
      <c r="G6357" t="s">
        <v>649</v>
      </c>
      <c r="H6357" t="s">
        <v>7276</v>
      </c>
      <c r="I6357">
        <v>3</v>
      </c>
      <c r="J6357">
        <v>0</v>
      </c>
      <c r="K6357">
        <v>0</v>
      </c>
      <c r="L6357">
        <v>0</v>
      </c>
      <c r="M6357">
        <v>0</v>
      </c>
      <c r="N6357">
        <v>0</v>
      </c>
      <c r="O6357">
        <v>3</v>
      </c>
    </row>
    <row r="6358" spans="1:15" x14ac:dyDescent="0.25">
      <c r="A6358" t="s">
        <v>11720</v>
      </c>
      <c r="B6358" t="s">
        <v>10718</v>
      </c>
      <c r="C6358" t="s">
        <v>927</v>
      </c>
      <c r="D6358" t="s">
        <v>3052</v>
      </c>
      <c r="E6358" t="s">
        <v>3053</v>
      </c>
      <c r="F6358" t="s">
        <v>648</v>
      </c>
      <c r="G6358" t="s">
        <v>649</v>
      </c>
      <c r="H6358" t="s">
        <v>15082</v>
      </c>
      <c r="I6358">
        <v>3</v>
      </c>
      <c r="J6358">
        <v>0</v>
      </c>
      <c r="K6358">
        <v>0</v>
      </c>
      <c r="L6358">
        <v>0</v>
      </c>
      <c r="M6358">
        <v>0</v>
      </c>
      <c r="N6358">
        <v>0</v>
      </c>
      <c r="O6358">
        <v>3</v>
      </c>
    </row>
    <row r="6359" spans="1:15" x14ac:dyDescent="0.25">
      <c r="A6359" t="s">
        <v>9788</v>
      </c>
      <c r="B6359" t="s">
        <v>9871</v>
      </c>
      <c r="C6359" t="s">
        <v>927</v>
      </c>
      <c r="D6359" t="s">
        <v>3052</v>
      </c>
      <c r="E6359" t="s">
        <v>3053</v>
      </c>
      <c r="F6359" t="s">
        <v>648</v>
      </c>
      <c r="G6359" t="s">
        <v>649</v>
      </c>
      <c r="H6359" t="s">
        <v>11254</v>
      </c>
      <c r="I6359">
        <v>44</v>
      </c>
      <c r="J6359">
        <v>44</v>
      </c>
      <c r="K6359">
        <v>0</v>
      </c>
      <c r="L6359">
        <v>0</v>
      </c>
      <c r="M6359">
        <v>0</v>
      </c>
      <c r="N6359">
        <v>0</v>
      </c>
      <c r="O6359">
        <v>0</v>
      </c>
    </row>
    <row r="6360" spans="1:15" x14ac:dyDescent="0.25">
      <c r="A6360" t="s">
        <v>14374</v>
      </c>
      <c r="B6360" t="s">
        <v>1943</v>
      </c>
      <c r="C6360" t="s">
        <v>927</v>
      </c>
      <c r="D6360" t="s">
        <v>3052</v>
      </c>
      <c r="E6360" t="s">
        <v>3053</v>
      </c>
      <c r="F6360" t="s">
        <v>648</v>
      </c>
      <c r="G6360" t="s">
        <v>649</v>
      </c>
      <c r="H6360" t="s">
        <v>15083</v>
      </c>
      <c r="I6360">
        <v>8</v>
      </c>
      <c r="J6360">
        <v>0</v>
      </c>
      <c r="K6360">
        <v>0</v>
      </c>
      <c r="L6360">
        <v>0</v>
      </c>
      <c r="M6360">
        <v>0</v>
      </c>
      <c r="N6360">
        <v>0</v>
      </c>
      <c r="O6360">
        <v>8</v>
      </c>
    </row>
    <row r="6361" spans="1:15" x14ac:dyDescent="0.25">
      <c r="A6361" t="s">
        <v>1352</v>
      </c>
      <c r="B6361" t="s">
        <v>2085</v>
      </c>
      <c r="C6361" t="s">
        <v>923</v>
      </c>
      <c r="D6361" t="s">
        <v>3063</v>
      </c>
      <c r="E6361" t="s">
        <v>3053</v>
      </c>
      <c r="F6361" t="s">
        <v>648</v>
      </c>
      <c r="G6361" t="s">
        <v>649</v>
      </c>
      <c r="H6361" t="s">
        <v>11255</v>
      </c>
      <c r="I6361">
        <v>28</v>
      </c>
      <c r="J6361">
        <v>28</v>
      </c>
      <c r="K6361">
        <v>0</v>
      </c>
      <c r="L6361">
        <v>0</v>
      </c>
      <c r="M6361">
        <v>0</v>
      </c>
      <c r="N6361">
        <v>0</v>
      </c>
      <c r="O6361">
        <v>0</v>
      </c>
    </row>
    <row r="6362" spans="1:15" x14ac:dyDescent="0.25">
      <c r="A6362" t="s">
        <v>1069</v>
      </c>
      <c r="B6362" t="s">
        <v>2001</v>
      </c>
      <c r="C6362" t="s">
        <v>927</v>
      </c>
      <c r="D6362" t="s">
        <v>3052</v>
      </c>
      <c r="E6362" t="s">
        <v>3053</v>
      </c>
      <c r="F6362" t="s">
        <v>648</v>
      </c>
      <c r="G6362" t="s">
        <v>649</v>
      </c>
      <c r="H6362" t="s">
        <v>7277</v>
      </c>
      <c r="I6362">
        <v>3</v>
      </c>
      <c r="J6362">
        <v>3</v>
      </c>
      <c r="K6362">
        <v>0</v>
      </c>
      <c r="L6362">
        <v>0</v>
      </c>
      <c r="M6362">
        <v>0</v>
      </c>
      <c r="N6362">
        <v>0</v>
      </c>
      <c r="O6362">
        <v>0</v>
      </c>
    </row>
    <row r="6363" spans="1:15" x14ac:dyDescent="0.25">
      <c r="A6363" t="s">
        <v>1176</v>
      </c>
      <c r="B6363" t="s">
        <v>2952</v>
      </c>
      <c r="C6363" t="s">
        <v>923</v>
      </c>
      <c r="D6363" t="s">
        <v>3063</v>
      </c>
      <c r="E6363" t="s">
        <v>3053</v>
      </c>
      <c r="F6363" t="s">
        <v>648</v>
      </c>
      <c r="G6363" t="s">
        <v>649</v>
      </c>
      <c r="H6363" t="s">
        <v>7278</v>
      </c>
      <c r="I6363">
        <v>31</v>
      </c>
      <c r="J6363">
        <v>0</v>
      </c>
      <c r="K6363">
        <v>0</v>
      </c>
      <c r="L6363">
        <v>31</v>
      </c>
      <c r="M6363">
        <v>0</v>
      </c>
      <c r="N6363">
        <v>0</v>
      </c>
      <c r="O6363">
        <v>0</v>
      </c>
    </row>
    <row r="6364" spans="1:15" x14ac:dyDescent="0.25">
      <c r="A6364" t="s">
        <v>1080</v>
      </c>
      <c r="B6364" t="s">
        <v>2030</v>
      </c>
      <c r="C6364" t="s">
        <v>923</v>
      </c>
      <c r="D6364" t="s">
        <v>3063</v>
      </c>
      <c r="E6364" t="s">
        <v>3053</v>
      </c>
      <c r="F6364" t="s">
        <v>648</v>
      </c>
      <c r="G6364" t="s">
        <v>649</v>
      </c>
      <c r="H6364" t="s">
        <v>7279</v>
      </c>
      <c r="I6364">
        <v>22</v>
      </c>
      <c r="J6364">
        <v>0</v>
      </c>
      <c r="K6364">
        <v>0</v>
      </c>
      <c r="L6364">
        <v>22</v>
      </c>
      <c r="M6364">
        <v>0</v>
      </c>
      <c r="N6364">
        <v>0</v>
      </c>
      <c r="O6364">
        <v>0</v>
      </c>
    </row>
    <row r="6365" spans="1:15" x14ac:dyDescent="0.25">
      <c r="A6365" t="s">
        <v>14377</v>
      </c>
      <c r="B6365" t="s">
        <v>14444</v>
      </c>
      <c r="C6365" t="s">
        <v>923</v>
      </c>
      <c r="D6365" t="s">
        <v>3063</v>
      </c>
      <c r="E6365" t="s">
        <v>3053</v>
      </c>
      <c r="F6365" t="s">
        <v>648</v>
      </c>
      <c r="G6365" t="s">
        <v>649</v>
      </c>
      <c r="H6365" t="s">
        <v>15084</v>
      </c>
      <c r="I6365">
        <v>11</v>
      </c>
      <c r="J6365">
        <v>0</v>
      </c>
      <c r="K6365">
        <v>0</v>
      </c>
      <c r="L6365">
        <v>11</v>
      </c>
      <c r="M6365">
        <v>0</v>
      </c>
      <c r="N6365">
        <v>0</v>
      </c>
      <c r="O6365">
        <v>0</v>
      </c>
    </row>
    <row r="6366" spans="1:15" x14ac:dyDescent="0.25">
      <c r="A6366" t="s">
        <v>1194</v>
      </c>
      <c r="B6366" t="s">
        <v>2627</v>
      </c>
      <c r="C6366" t="s">
        <v>923</v>
      </c>
      <c r="D6366" t="s">
        <v>3063</v>
      </c>
      <c r="E6366" t="s">
        <v>3053</v>
      </c>
      <c r="F6366" t="s">
        <v>648</v>
      </c>
      <c r="G6366" t="s">
        <v>649</v>
      </c>
      <c r="H6366" t="s">
        <v>7280</v>
      </c>
      <c r="I6366">
        <v>118</v>
      </c>
      <c r="J6366">
        <v>0</v>
      </c>
      <c r="K6366">
        <v>0</v>
      </c>
      <c r="L6366">
        <v>118</v>
      </c>
      <c r="M6366">
        <v>0</v>
      </c>
      <c r="N6366">
        <v>0</v>
      </c>
      <c r="O6366">
        <v>0</v>
      </c>
    </row>
    <row r="6367" spans="1:15" x14ac:dyDescent="0.25">
      <c r="A6367" t="s">
        <v>981</v>
      </c>
      <c r="B6367" t="s">
        <v>2985</v>
      </c>
      <c r="C6367" t="s">
        <v>927</v>
      </c>
      <c r="D6367" t="s">
        <v>3052</v>
      </c>
      <c r="E6367" t="s">
        <v>3053</v>
      </c>
      <c r="F6367" t="s">
        <v>648</v>
      </c>
      <c r="G6367" t="s">
        <v>649</v>
      </c>
      <c r="H6367" t="s">
        <v>7258</v>
      </c>
      <c r="I6367">
        <v>517</v>
      </c>
      <c r="J6367">
        <v>336</v>
      </c>
      <c r="K6367">
        <v>0</v>
      </c>
      <c r="L6367">
        <v>0</v>
      </c>
      <c r="M6367">
        <v>0</v>
      </c>
      <c r="N6367">
        <v>0</v>
      </c>
      <c r="O6367">
        <v>181</v>
      </c>
    </row>
    <row r="6368" spans="1:15" x14ac:dyDescent="0.25">
      <c r="A6368" t="s">
        <v>926</v>
      </c>
      <c r="B6368" t="s">
        <v>2923</v>
      </c>
      <c r="C6368" t="s">
        <v>927</v>
      </c>
      <c r="D6368" t="s">
        <v>3052</v>
      </c>
      <c r="E6368" t="s">
        <v>3053</v>
      </c>
      <c r="F6368" t="s">
        <v>650</v>
      </c>
      <c r="G6368" t="s">
        <v>651</v>
      </c>
      <c r="H6368" t="s">
        <v>7281</v>
      </c>
      <c r="I6368">
        <v>16</v>
      </c>
      <c r="J6368">
        <v>0</v>
      </c>
      <c r="K6368">
        <v>0</v>
      </c>
      <c r="L6368">
        <v>0</v>
      </c>
      <c r="M6368">
        <v>0</v>
      </c>
      <c r="N6368">
        <v>0</v>
      </c>
      <c r="O6368">
        <v>16</v>
      </c>
    </row>
    <row r="6369" spans="1:15" x14ac:dyDescent="0.25">
      <c r="A6369" t="s">
        <v>929</v>
      </c>
      <c r="B6369" t="s">
        <v>2999</v>
      </c>
      <c r="C6369" t="s">
        <v>927</v>
      </c>
      <c r="D6369" t="s">
        <v>3052</v>
      </c>
      <c r="E6369" t="s">
        <v>3053</v>
      </c>
      <c r="F6369" t="s">
        <v>650</v>
      </c>
      <c r="G6369" t="s">
        <v>651</v>
      </c>
      <c r="H6369" t="s">
        <v>7282</v>
      </c>
      <c r="I6369">
        <v>123</v>
      </c>
      <c r="J6369">
        <v>0</v>
      </c>
      <c r="K6369">
        <v>0</v>
      </c>
      <c r="L6369">
        <v>0</v>
      </c>
      <c r="M6369">
        <v>123</v>
      </c>
      <c r="N6369">
        <v>0</v>
      </c>
      <c r="O6369">
        <v>0</v>
      </c>
    </row>
    <row r="6370" spans="1:15" x14ac:dyDescent="0.25">
      <c r="A6370" t="s">
        <v>931</v>
      </c>
      <c r="B6370" t="s">
        <v>1978</v>
      </c>
      <c r="C6370" t="s">
        <v>927</v>
      </c>
      <c r="D6370" t="s">
        <v>3052</v>
      </c>
      <c r="E6370" t="s">
        <v>3053</v>
      </c>
      <c r="F6370" t="s">
        <v>650</v>
      </c>
      <c r="G6370" t="s">
        <v>651</v>
      </c>
      <c r="H6370" t="s">
        <v>7283</v>
      </c>
      <c r="I6370">
        <v>408</v>
      </c>
      <c r="J6370">
        <v>231</v>
      </c>
      <c r="K6370">
        <v>0</v>
      </c>
      <c r="L6370">
        <v>123</v>
      </c>
      <c r="M6370">
        <v>0</v>
      </c>
      <c r="N6370">
        <v>0</v>
      </c>
      <c r="O6370">
        <v>54</v>
      </c>
    </row>
    <row r="6371" spans="1:15" x14ac:dyDescent="0.25">
      <c r="A6371" t="s">
        <v>1581</v>
      </c>
      <c r="B6371" t="s">
        <v>2917</v>
      </c>
      <c r="C6371" t="s">
        <v>927</v>
      </c>
      <c r="D6371" t="s">
        <v>3052</v>
      </c>
      <c r="E6371" t="s">
        <v>3053</v>
      </c>
      <c r="F6371" t="s">
        <v>650</v>
      </c>
      <c r="G6371" t="s">
        <v>651</v>
      </c>
      <c r="H6371" t="s">
        <v>7284</v>
      </c>
      <c r="I6371">
        <v>180</v>
      </c>
      <c r="J6371">
        <v>29</v>
      </c>
      <c r="K6371">
        <v>0</v>
      </c>
      <c r="L6371">
        <v>151</v>
      </c>
      <c r="M6371">
        <v>0</v>
      </c>
      <c r="N6371">
        <v>0</v>
      </c>
      <c r="O6371">
        <v>0</v>
      </c>
    </row>
    <row r="6372" spans="1:15" x14ac:dyDescent="0.25">
      <c r="A6372" t="s">
        <v>933</v>
      </c>
      <c r="B6372" t="s">
        <v>2106</v>
      </c>
      <c r="C6372" t="s">
        <v>927</v>
      </c>
      <c r="D6372" t="s">
        <v>3052</v>
      </c>
      <c r="E6372" t="s">
        <v>3053</v>
      </c>
      <c r="F6372" t="s">
        <v>650</v>
      </c>
      <c r="G6372" t="s">
        <v>651</v>
      </c>
      <c r="H6372" t="s">
        <v>7285</v>
      </c>
      <c r="I6372">
        <v>1342</v>
      </c>
      <c r="J6372">
        <v>1276</v>
      </c>
      <c r="K6372">
        <v>0</v>
      </c>
      <c r="L6372">
        <v>0</v>
      </c>
      <c r="M6372">
        <v>56</v>
      </c>
      <c r="N6372">
        <v>41</v>
      </c>
      <c r="O6372">
        <v>10</v>
      </c>
    </row>
    <row r="6373" spans="1:15" x14ac:dyDescent="0.25">
      <c r="A6373" t="s">
        <v>11660</v>
      </c>
      <c r="B6373" t="s">
        <v>2041</v>
      </c>
      <c r="C6373" t="s">
        <v>923</v>
      </c>
      <c r="D6373" t="s">
        <v>3063</v>
      </c>
      <c r="E6373" t="s">
        <v>3053</v>
      </c>
      <c r="F6373" t="s">
        <v>650</v>
      </c>
      <c r="G6373" t="s">
        <v>651</v>
      </c>
      <c r="H6373" t="s">
        <v>12273</v>
      </c>
      <c r="I6373">
        <v>4</v>
      </c>
      <c r="J6373">
        <v>0</v>
      </c>
      <c r="K6373">
        <v>0</v>
      </c>
      <c r="L6373">
        <v>4</v>
      </c>
      <c r="M6373">
        <v>0</v>
      </c>
      <c r="N6373">
        <v>0</v>
      </c>
      <c r="O6373">
        <v>0</v>
      </c>
    </row>
    <row r="6374" spans="1:15" x14ac:dyDescent="0.25">
      <c r="A6374" t="s">
        <v>10638</v>
      </c>
      <c r="B6374" t="s">
        <v>2057</v>
      </c>
      <c r="C6374" t="s">
        <v>927</v>
      </c>
      <c r="D6374" t="s">
        <v>3052</v>
      </c>
      <c r="E6374" t="s">
        <v>3053</v>
      </c>
      <c r="F6374" t="s">
        <v>650</v>
      </c>
      <c r="G6374" t="s">
        <v>651</v>
      </c>
      <c r="H6374" t="s">
        <v>11256</v>
      </c>
      <c r="I6374">
        <v>11</v>
      </c>
      <c r="J6374">
        <v>0</v>
      </c>
      <c r="K6374">
        <v>0</v>
      </c>
      <c r="L6374">
        <v>11</v>
      </c>
      <c r="M6374">
        <v>0</v>
      </c>
      <c r="N6374">
        <v>0</v>
      </c>
      <c r="O6374">
        <v>0</v>
      </c>
    </row>
    <row r="6375" spans="1:15" x14ac:dyDescent="0.25">
      <c r="A6375" t="s">
        <v>1010</v>
      </c>
      <c r="B6375" t="s">
        <v>2639</v>
      </c>
      <c r="C6375" t="s">
        <v>927</v>
      </c>
      <c r="D6375" t="s">
        <v>3052</v>
      </c>
      <c r="E6375" t="s">
        <v>3053</v>
      </c>
      <c r="F6375" t="s">
        <v>650</v>
      </c>
      <c r="G6375" t="s">
        <v>651</v>
      </c>
      <c r="H6375" t="s">
        <v>7286</v>
      </c>
      <c r="I6375">
        <v>48</v>
      </c>
      <c r="J6375">
        <v>48</v>
      </c>
      <c r="K6375">
        <v>0</v>
      </c>
      <c r="L6375">
        <v>0</v>
      </c>
      <c r="M6375">
        <v>0</v>
      </c>
      <c r="N6375">
        <v>0</v>
      </c>
      <c r="O6375">
        <v>0</v>
      </c>
    </row>
    <row r="6376" spans="1:15" x14ac:dyDescent="0.25">
      <c r="A6376" t="s">
        <v>937</v>
      </c>
      <c r="B6376" t="s">
        <v>1962</v>
      </c>
      <c r="C6376" t="s">
        <v>927</v>
      </c>
      <c r="D6376" t="s">
        <v>3052</v>
      </c>
      <c r="E6376" t="s">
        <v>3053</v>
      </c>
      <c r="F6376" t="s">
        <v>650</v>
      </c>
      <c r="G6376" t="s">
        <v>651</v>
      </c>
      <c r="H6376" t="s">
        <v>7287</v>
      </c>
      <c r="I6376">
        <v>36</v>
      </c>
      <c r="J6376">
        <v>0</v>
      </c>
      <c r="K6376">
        <v>0</v>
      </c>
      <c r="L6376">
        <v>0</v>
      </c>
      <c r="M6376">
        <v>0</v>
      </c>
      <c r="N6376">
        <v>0</v>
      </c>
      <c r="O6376">
        <v>36</v>
      </c>
    </row>
    <row r="6377" spans="1:15" x14ac:dyDescent="0.25">
      <c r="A6377" t="s">
        <v>940</v>
      </c>
      <c r="B6377" t="s">
        <v>2647</v>
      </c>
      <c r="C6377" t="s">
        <v>927</v>
      </c>
      <c r="D6377" t="s">
        <v>3052</v>
      </c>
      <c r="E6377" t="s">
        <v>3053</v>
      </c>
      <c r="F6377" t="s">
        <v>650</v>
      </c>
      <c r="G6377" t="s">
        <v>651</v>
      </c>
      <c r="H6377" t="s">
        <v>7288</v>
      </c>
      <c r="I6377">
        <v>121</v>
      </c>
      <c r="J6377">
        <v>0</v>
      </c>
      <c r="K6377">
        <v>0</v>
      </c>
      <c r="L6377">
        <v>0</v>
      </c>
      <c r="M6377">
        <v>121</v>
      </c>
      <c r="N6377">
        <v>0</v>
      </c>
      <c r="O6377">
        <v>0</v>
      </c>
    </row>
    <row r="6378" spans="1:15" x14ac:dyDescent="0.25">
      <c r="A6378" t="s">
        <v>1020</v>
      </c>
      <c r="B6378" t="s">
        <v>2104</v>
      </c>
      <c r="C6378" t="s">
        <v>923</v>
      </c>
      <c r="D6378" t="s">
        <v>3063</v>
      </c>
      <c r="E6378" t="s">
        <v>3053</v>
      </c>
      <c r="F6378" t="s">
        <v>650</v>
      </c>
      <c r="G6378" t="s">
        <v>651</v>
      </c>
      <c r="H6378" t="s">
        <v>7289</v>
      </c>
      <c r="I6378">
        <v>12</v>
      </c>
      <c r="J6378">
        <v>0</v>
      </c>
      <c r="K6378">
        <v>0</v>
      </c>
      <c r="L6378">
        <v>12</v>
      </c>
      <c r="M6378">
        <v>0</v>
      </c>
      <c r="N6378">
        <v>0</v>
      </c>
      <c r="O6378">
        <v>0</v>
      </c>
    </row>
    <row r="6379" spans="1:15" x14ac:dyDescent="0.25">
      <c r="A6379" t="s">
        <v>942</v>
      </c>
      <c r="B6379" t="s">
        <v>2113</v>
      </c>
      <c r="C6379" t="s">
        <v>927</v>
      </c>
      <c r="D6379" t="s">
        <v>3052</v>
      </c>
      <c r="E6379" t="s">
        <v>3053</v>
      </c>
      <c r="F6379" t="s">
        <v>650</v>
      </c>
      <c r="G6379" t="s">
        <v>651</v>
      </c>
      <c r="H6379" t="s">
        <v>7290</v>
      </c>
      <c r="I6379">
        <v>2912</v>
      </c>
      <c r="J6379">
        <v>1964</v>
      </c>
      <c r="K6379">
        <v>6</v>
      </c>
      <c r="L6379">
        <v>110</v>
      </c>
      <c r="M6379">
        <v>382</v>
      </c>
      <c r="N6379">
        <v>0</v>
      </c>
      <c r="O6379">
        <v>450</v>
      </c>
    </row>
    <row r="6380" spans="1:15" x14ac:dyDescent="0.25">
      <c r="A6380" t="s">
        <v>945</v>
      </c>
      <c r="B6380" t="s">
        <v>2668</v>
      </c>
      <c r="C6380" t="s">
        <v>927</v>
      </c>
      <c r="D6380" t="s">
        <v>3052</v>
      </c>
      <c r="E6380" t="s">
        <v>3053</v>
      </c>
      <c r="F6380" t="s">
        <v>650</v>
      </c>
      <c r="G6380" t="s">
        <v>651</v>
      </c>
      <c r="H6380" t="s">
        <v>7291</v>
      </c>
      <c r="I6380">
        <v>4</v>
      </c>
      <c r="J6380">
        <v>0</v>
      </c>
      <c r="K6380">
        <v>0</v>
      </c>
      <c r="L6380">
        <v>0</v>
      </c>
      <c r="M6380">
        <v>0</v>
      </c>
      <c r="N6380">
        <v>0</v>
      </c>
      <c r="O6380">
        <v>4</v>
      </c>
    </row>
    <row r="6381" spans="1:15" x14ac:dyDescent="0.25">
      <c r="A6381" t="s">
        <v>1747</v>
      </c>
      <c r="B6381" t="s">
        <v>2179</v>
      </c>
      <c r="C6381" t="s">
        <v>923</v>
      </c>
      <c r="D6381" t="s">
        <v>3063</v>
      </c>
      <c r="E6381" t="s">
        <v>3053</v>
      </c>
      <c r="F6381" t="s">
        <v>650</v>
      </c>
      <c r="G6381" t="s">
        <v>651</v>
      </c>
      <c r="H6381" t="s">
        <v>7292</v>
      </c>
      <c r="I6381">
        <v>16</v>
      </c>
      <c r="J6381">
        <v>0</v>
      </c>
      <c r="K6381">
        <v>0</v>
      </c>
      <c r="L6381">
        <v>0</v>
      </c>
      <c r="M6381">
        <v>16</v>
      </c>
      <c r="N6381">
        <v>0</v>
      </c>
      <c r="O6381">
        <v>0</v>
      </c>
    </row>
    <row r="6382" spans="1:15" x14ac:dyDescent="0.25">
      <c r="A6382" t="s">
        <v>951</v>
      </c>
      <c r="B6382" t="s">
        <v>2680</v>
      </c>
      <c r="C6382" t="s">
        <v>927</v>
      </c>
      <c r="D6382" t="s">
        <v>3052</v>
      </c>
      <c r="E6382" t="s">
        <v>3053</v>
      </c>
      <c r="F6382" t="s">
        <v>650</v>
      </c>
      <c r="G6382" t="s">
        <v>651</v>
      </c>
      <c r="H6382" t="s">
        <v>7293</v>
      </c>
      <c r="I6382">
        <v>20</v>
      </c>
      <c r="J6382">
        <v>19</v>
      </c>
      <c r="K6382">
        <v>0</v>
      </c>
      <c r="L6382">
        <v>0</v>
      </c>
      <c r="M6382">
        <v>0</v>
      </c>
      <c r="N6382">
        <v>0</v>
      </c>
      <c r="O6382">
        <v>1</v>
      </c>
    </row>
    <row r="6383" spans="1:15" x14ac:dyDescent="0.25">
      <c r="A6383" t="s">
        <v>1753</v>
      </c>
      <c r="B6383" t="s">
        <v>2346</v>
      </c>
      <c r="C6383" t="s">
        <v>923</v>
      </c>
      <c r="D6383" t="s">
        <v>3063</v>
      </c>
      <c r="E6383" t="s">
        <v>3053</v>
      </c>
      <c r="F6383" t="s">
        <v>650</v>
      </c>
      <c r="G6383" t="s">
        <v>651</v>
      </c>
      <c r="H6383" t="s">
        <v>7294</v>
      </c>
      <c r="I6383">
        <v>73</v>
      </c>
      <c r="J6383">
        <v>0</v>
      </c>
      <c r="K6383">
        <v>0</v>
      </c>
      <c r="L6383">
        <v>0</v>
      </c>
      <c r="M6383">
        <v>73</v>
      </c>
      <c r="N6383">
        <v>0</v>
      </c>
      <c r="O6383">
        <v>0</v>
      </c>
    </row>
    <row r="6384" spans="1:15" x14ac:dyDescent="0.25">
      <c r="A6384" t="s">
        <v>1754</v>
      </c>
      <c r="B6384" t="s">
        <v>2902</v>
      </c>
      <c r="C6384" t="s">
        <v>927</v>
      </c>
      <c r="D6384" t="s">
        <v>3052</v>
      </c>
      <c r="E6384" t="s">
        <v>3053</v>
      </c>
      <c r="F6384" t="s">
        <v>650</v>
      </c>
      <c r="G6384" t="s">
        <v>651</v>
      </c>
      <c r="H6384" t="s">
        <v>7295</v>
      </c>
      <c r="I6384">
        <v>14368</v>
      </c>
      <c r="J6384">
        <v>12273</v>
      </c>
      <c r="K6384">
        <v>0</v>
      </c>
      <c r="L6384">
        <v>1779</v>
      </c>
      <c r="M6384">
        <v>0</v>
      </c>
      <c r="N6384">
        <v>291</v>
      </c>
      <c r="O6384">
        <v>316</v>
      </c>
    </row>
    <row r="6385" spans="1:15" x14ac:dyDescent="0.25">
      <c r="A6385" t="s">
        <v>11720</v>
      </c>
      <c r="B6385" t="s">
        <v>10718</v>
      </c>
      <c r="C6385" t="s">
        <v>927</v>
      </c>
      <c r="D6385" t="s">
        <v>3052</v>
      </c>
      <c r="E6385" t="s">
        <v>3053</v>
      </c>
      <c r="F6385" t="s">
        <v>650</v>
      </c>
      <c r="G6385" t="s">
        <v>651</v>
      </c>
      <c r="H6385" t="s">
        <v>15085</v>
      </c>
      <c r="I6385">
        <v>2</v>
      </c>
      <c r="J6385">
        <v>0</v>
      </c>
      <c r="K6385">
        <v>0</v>
      </c>
      <c r="L6385">
        <v>0</v>
      </c>
      <c r="M6385">
        <v>0</v>
      </c>
      <c r="N6385">
        <v>0</v>
      </c>
      <c r="O6385">
        <v>2</v>
      </c>
    </row>
    <row r="6386" spans="1:15" x14ac:dyDescent="0.25">
      <c r="A6386" t="s">
        <v>1056</v>
      </c>
      <c r="B6386" t="s">
        <v>2966</v>
      </c>
      <c r="C6386" t="s">
        <v>927</v>
      </c>
      <c r="D6386" t="s">
        <v>3052</v>
      </c>
      <c r="E6386" t="s">
        <v>3053</v>
      </c>
      <c r="F6386" t="s">
        <v>650</v>
      </c>
      <c r="G6386" t="s">
        <v>651</v>
      </c>
      <c r="H6386" t="s">
        <v>7296</v>
      </c>
      <c r="I6386">
        <v>31</v>
      </c>
      <c r="J6386">
        <v>31</v>
      </c>
      <c r="K6386">
        <v>0</v>
      </c>
      <c r="L6386">
        <v>0</v>
      </c>
      <c r="M6386">
        <v>0</v>
      </c>
      <c r="N6386">
        <v>0</v>
      </c>
      <c r="O6386">
        <v>0</v>
      </c>
    </row>
    <row r="6387" spans="1:15" x14ac:dyDescent="0.25">
      <c r="A6387" t="s">
        <v>1057</v>
      </c>
      <c r="B6387" t="s">
        <v>1972</v>
      </c>
      <c r="C6387" t="s">
        <v>927</v>
      </c>
      <c r="D6387" t="s">
        <v>3052</v>
      </c>
      <c r="E6387" t="s">
        <v>3053</v>
      </c>
      <c r="F6387" t="s">
        <v>650</v>
      </c>
      <c r="G6387" t="s">
        <v>651</v>
      </c>
      <c r="H6387" t="s">
        <v>7297</v>
      </c>
      <c r="I6387">
        <v>27</v>
      </c>
      <c r="J6387">
        <v>26</v>
      </c>
      <c r="K6387">
        <v>0</v>
      </c>
      <c r="L6387">
        <v>1</v>
      </c>
      <c r="M6387">
        <v>0</v>
      </c>
      <c r="N6387">
        <v>0</v>
      </c>
      <c r="O6387">
        <v>0</v>
      </c>
    </row>
    <row r="6388" spans="1:15" x14ac:dyDescent="0.25">
      <c r="A6388" t="s">
        <v>955</v>
      </c>
      <c r="B6388" t="s">
        <v>2660</v>
      </c>
      <c r="C6388" t="s">
        <v>927</v>
      </c>
      <c r="D6388" t="s">
        <v>3052</v>
      </c>
      <c r="E6388" t="s">
        <v>3053</v>
      </c>
      <c r="F6388" t="s">
        <v>650</v>
      </c>
      <c r="G6388" t="s">
        <v>651</v>
      </c>
      <c r="H6388" t="s">
        <v>7298</v>
      </c>
      <c r="I6388">
        <v>576</v>
      </c>
      <c r="J6388">
        <v>482</v>
      </c>
      <c r="K6388">
        <v>0</v>
      </c>
      <c r="L6388">
        <v>14</v>
      </c>
      <c r="M6388">
        <v>58</v>
      </c>
      <c r="N6388">
        <v>0</v>
      </c>
      <c r="O6388">
        <v>22</v>
      </c>
    </row>
    <row r="6389" spans="1:15" x14ac:dyDescent="0.25">
      <c r="A6389" t="s">
        <v>960</v>
      </c>
      <c r="B6389" t="s">
        <v>2080</v>
      </c>
      <c r="C6389" t="s">
        <v>927</v>
      </c>
      <c r="D6389" t="s">
        <v>3052</v>
      </c>
      <c r="E6389" t="s">
        <v>3053</v>
      </c>
      <c r="F6389" t="s">
        <v>650</v>
      </c>
      <c r="G6389" t="s">
        <v>651</v>
      </c>
      <c r="H6389" t="s">
        <v>7299</v>
      </c>
      <c r="I6389">
        <v>1330</v>
      </c>
      <c r="J6389">
        <v>914</v>
      </c>
      <c r="K6389">
        <v>0</v>
      </c>
      <c r="L6389">
        <v>80</v>
      </c>
      <c r="M6389">
        <v>158</v>
      </c>
      <c r="N6389">
        <v>1</v>
      </c>
      <c r="O6389">
        <v>178</v>
      </c>
    </row>
    <row r="6390" spans="1:15" x14ac:dyDescent="0.25">
      <c r="A6390" t="s">
        <v>964</v>
      </c>
      <c r="B6390" t="s">
        <v>1969</v>
      </c>
      <c r="C6390" t="s">
        <v>927</v>
      </c>
      <c r="D6390" t="s">
        <v>3052</v>
      </c>
      <c r="E6390" t="s">
        <v>3053</v>
      </c>
      <c r="F6390" t="s">
        <v>650</v>
      </c>
      <c r="G6390" t="s">
        <v>651</v>
      </c>
      <c r="H6390" t="s">
        <v>12274</v>
      </c>
      <c r="I6390">
        <v>5</v>
      </c>
      <c r="J6390">
        <v>5</v>
      </c>
      <c r="K6390">
        <v>0</v>
      </c>
      <c r="L6390">
        <v>0</v>
      </c>
      <c r="M6390">
        <v>0</v>
      </c>
      <c r="N6390">
        <v>0</v>
      </c>
      <c r="O6390">
        <v>0</v>
      </c>
    </row>
    <row r="6391" spans="1:15" x14ac:dyDescent="0.25">
      <c r="A6391" t="s">
        <v>1066</v>
      </c>
      <c r="B6391" t="s">
        <v>2557</v>
      </c>
      <c r="C6391" t="s">
        <v>927</v>
      </c>
      <c r="D6391" t="s">
        <v>3052</v>
      </c>
      <c r="E6391" t="s">
        <v>3053</v>
      </c>
      <c r="F6391" t="s">
        <v>650</v>
      </c>
      <c r="G6391" t="s">
        <v>651</v>
      </c>
      <c r="H6391" t="s">
        <v>7300</v>
      </c>
      <c r="I6391">
        <v>18</v>
      </c>
      <c r="J6391">
        <v>0</v>
      </c>
      <c r="K6391">
        <v>0</v>
      </c>
      <c r="L6391">
        <v>0</v>
      </c>
      <c r="M6391">
        <v>18</v>
      </c>
      <c r="N6391">
        <v>0</v>
      </c>
      <c r="O6391">
        <v>0</v>
      </c>
    </row>
    <row r="6392" spans="1:15" x14ac:dyDescent="0.25">
      <c r="A6392" t="s">
        <v>1069</v>
      </c>
      <c r="B6392" t="s">
        <v>2001</v>
      </c>
      <c r="C6392" t="s">
        <v>927</v>
      </c>
      <c r="D6392" t="s">
        <v>3052</v>
      </c>
      <c r="E6392" t="s">
        <v>3053</v>
      </c>
      <c r="F6392" t="s">
        <v>650</v>
      </c>
      <c r="G6392" t="s">
        <v>651</v>
      </c>
      <c r="H6392" t="s">
        <v>7301</v>
      </c>
      <c r="I6392">
        <v>527</v>
      </c>
      <c r="J6392">
        <v>508</v>
      </c>
      <c r="K6392">
        <v>0</v>
      </c>
      <c r="L6392">
        <v>0</v>
      </c>
      <c r="M6392">
        <v>0</v>
      </c>
      <c r="N6392">
        <v>0</v>
      </c>
      <c r="O6392">
        <v>19</v>
      </c>
    </row>
    <row r="6393" spans="1:15" x14ac:dyDescent="0.25">
      <c r="A6393" t="s">
        <v>1684</v>
      </c>
      <c r="B6393" t="s">
        <v>2845</v>
      </c>
      <c r="C6393" t="s">
        <v>927</v>
      </c>
      <c r="D6393" t="s">
        <v>3052</v>
      </c>
      <c r="E6393" t="s">
        <v>3053</v>
      </c>
      <c r="F6393" t="s">
        <v>650</v>
      </c>
      <c r="G6393" t="s">
        <v>651</v>
      </c>
      <c r="H6393" t="s">
        <v>12275</v>
      </c>
      <c r="I6393">
        <v>1</v>
      </c>
      <c r="J6393">
        <v>0</v>
      </c>
      <c r="K6393">
        <v>0</v>
      </c>
      <c r="L6393">
        <v>0</v>
      </c>
      <c r="M6393">
        <v>0</v>
      </c>
      <c r="N6393">
        <v>0</v>
      </c>
      <c r="O6393">
        <v>1</v>
      </c>
    </row>
    <row r="6394" spans="1:15" x14ac:dyDescent="0.25">
      <c r="A6394" t="s">
        <v>1793</v>
      </c>
      <c r="B6394" t="s">
        <v>2075</v>
      </c>
      <c r="C6394" t="s">
        <v>927</v>
      </c>
      <c r="D6394" t="s">
        <v>3052</v>
      </c>
      <c r="E6394" t="s">
        <v>3053</v>
      </c>
      <c r="F6394" t="s">
        <v>650</v>
      </c>
      <c r="G6394" t="s">
        <v>651</v>
      </c>
      <c r="H6394" t="s">
        <v>7302</v>
      </c>
      <c r="I6394">
        <v>804</v>
      </c>
      <c r="J6394">
        <v>576</v>
      </c>
      <c r="K6394">
        <v>0</v>
      </c>
      <c r="L6394">
        <v>61</v>
      </c>
      <c r="M6394">
        <v>58</v>
      </c>
      <c r="N6394">
        <v>0</v>
      </c>
      <c r="O6394">
        <v>109</v>
      </c>
    </row>
    <row r="6395" spans="1:15" x14ac:dyDescent="0.25">
      <c r="A6395" t="s">
        <v>11715</v>
      </c>
      <c r="B6395" t="s">
        <v>2784</v>
      </c>
      <c r="C6395" t="s">
        <v>927</v>
      </c>
      <c r="D6395" t="s">
        <v>3052</v>
      </c>
      <c r="E6395" t="s">
        <v>3053</v>
      </c>
      <c r="F6395" t="s">
        <v>650</v>
      </c>
      <c r="G6395" t="s">
        <v>651</v>
      </c>
      <c r="H6395" t="s">
        <v>12276</v>
      </c>
      <c r="I6395">
        <v>499</v>
      </c>
      <c r="J6395">
        <v>471</v>
      </c>
      <c r="K6395">
        <v>0</v>
      </c>
      <c r="L6395">
        <v>0</v>
      </c>
      <c r="M6395">
        <v>0</v>
      </c>
      <c r="N6395">
        <v>0</v>
      </c>
      <c r="O6395">
        <v>28</v>
      </c>
    </row>
    <row r="6396" spans="1:15" x14ac:dyDescent="0.25">
      <c r="A6396" t="s">
        <v>10568</v>
      </c>
      <c r="B6396" t="s">
        <v>10567</v>
      </c>
      <c r="C6396" t="s">
        <v>927</v>
      </c>
      <c r="D6396" t="s">
        <v>3052</v>
      </c>
      <c r="E6396" t="s">
        <v>3053</v>
      </c>
      <c r="F6396" t="s">
        <v>652</v>
      </c>
      <c r="G6396" t="s">
        <v>653</v>
      </c>
      <c r="H6396" t="s">
        <v>11257</v>
      </c>
      <c r="I6396">
        <v>490</v>
      </c>
      <c r="J6396">
        <v>448</v>
      </c>
      <c r="K6396">
        <v>0</v>
      </c>
      <c r="L6396">
        <v>0</v>
      </c>
      <c r="M6396">
        <v>0</v>
      </c>
      <c r="N6396">
        <v>0</v>
      </c>
      <c r="O6396">
        <v>42</v>
      </c>
    </row>
    <row r="6397" spans="1:15" x14ac:dyDescent="0.25">
      <c r="A6397" t="s">
        <v>926</v>
      </c>
      <c r="B6397" t="s">
        <v>2923</v>
      </c>
      <c r="C6397" t="s">
        <v>927</v>
      </c>
      <c r="D6397" t="s">
        <v>3052</v>
      </c>
      <c r="E6397" t="s">
        <v>3053</v>
      </c>
      <c r="F6397" t="s">
        <v>652</v>
      </c>
      <c r="G6397" t="s">
        <v>653</v>
      </c>
      <c r="H6397" t="s">
        <v>7303</v>
      </c>
      <c r="I6397">
        <v>7</v>
      </c>
      <c r="J6397">
        <v>0</v>
      </c>
      <c r="K6397">
        <v>0</v>
      </c>
      <c r="L6397">
        <v>5</v>
      </c>
      <c r="M6397">
        <v>0</v>
      </c>
      <c r="N6397">
        <v>0</v>
      </c>
      <c r="O6397">
        <v>2</v>
      </c>
    </row>
    <row r="6398" spans="1:15" x14ac:dyDescent="0.25">
      <c r="A6398" t="s">
        <v>1568</v>
      </c>
      <c r="B6398" t="s">
        <v>2704</v>
      </c>
      <c r="C6398" t="s">
        <v>923</v>
      </c>
      <c r="D6398" t="s">
        <v>3063</v>
      </c>
      <c r="E6398" t="s">
        <v>3053</v>
      </c>
      <c r="F6398" t="s">
        <v>652</v>
      </c>
      <c r="G6398" t="s">
        <v>653</v>
      </c>
      <c r="H6398" t="s">
        <v>7304</v>
      </c>
      <c r="I6398">
        <v>142</v>
      </c>
      <c r="J6398">
        <v>0</v>
      </c>
      <c r="K6398">
        <v>0</v>
      </c>
      <c r="L6398">
        <v>0</v>
      </c>
      <c r="M6398">
        <v>142</v>
      </c>
      <c r="N6398">
        <v>0</v>
      </c>
      <c r="O6398">
        <v>0</v>
      </c>
    </row>
    <row r="6399" spans="1:15" x14ac:dyDescent="0.25">
      <c r="A6399" t="s">
        <v>929</v>
      </c>
      <c r="B6399" t="s">
        <v>2999</v>
      </c>
      <c r="C6399" t="s">
        <v>927</v>
      </c>
      <c r="D6399" t="s">
        <v>3052</v>
      </c>
      <c r="E6399" t="s">
        <v>3053</v>
      </c>
      <c r="F6399" t="s">
        <v>652</v>
      </c>
      <c r="G6399" t="s">
        <v>653</v>
      </c>
      <c r="H6399" t="s">
        <v>7305</v>
      </c>
      <c r="I6399">
        <v>11</v>
      </c>
      <c r="J6399">
        <v>0</v>
      </c>
      <c r="K6399">
        <v>0</v>
      </c>
      <c r="L6399">
        <v>0</v>
      </c>
      <c r="M6399">
        <v>11</v>
      </c>
      <c r="N6399">
        <v>0</v>
      </c>
      <c r="O6399">
        <v>0</v>
      </c>
    </row>
    <row r="6400" spans="1:15" x14ac:dyDescent="0.25">
      <c r="A6400" t="s">
        <v>9784</v>
      </c>
      <c r="B6400" t="s">
        <v>1994</v>
      </c>
      <c r="C6400" t="s">
        <v>927</v>
      </c>
      <c r="D6400" t="s">
        <v>3052</v>
      </c>
      <c r="E6400" t="s">
        <v>3053</v>
      </c>
      <c r="F6400" t="s">
        <v>652</v>
      </c>
      <c r="G6400" t="s">
        <v>653</v>
      </c>
      <c r="H6400" t="s">
        <v>9970</v>
      </c>
      <c r="I6400">
        <v>13</v>
      </c>
      <c r="J6400">
        <v>0</v>
      </c>
      <c r="K6400">
        <v>0</v>
      </c>
      <c r="L6400">
        <v>13</v>
      </c>
      <c r="M6400">
        <v>0</v>
      </c>
      <c r="N6400">
        <v>0</v>
      </c>
      <c r="O6400">
        <v>0</v>
      </c>
    </row>
    <row r="6401" spans="1:15" x14ac:dyDescent="0.25">
      <c r="A6401" t="s">
        <v>1094</v>
      </c>
      <c r="B6401" t="s">
        <v>2742</v>
      </c>
      <c r="C6401" t="s">
        <v>923</v>
      </c>
      <c r="D6401" t="s">
        <v>3063</v>
      </c>
      <c r="E6401" t="s">
        <v>3053</v>
      </c>
      <c r="F6401" t="s">
        <v>652</v>
      </c>
      <c r="G6401" t="s">
        <v>653</v>
      </c>
      <c r="H6401" t="s">
        <v>7306</v>
      </c>
      <c r="I6401">
        <v>3</v>
      </c>
      <c r="J6401">
        <v>3</v>
      </c>
      <c r="K6401">
        <v>0</v>
      </c>
      <c r="L6401">
        <v>0</v>
      </c>
      <c r="M6401">
        <v>0</v>
      </c>
      <c r="N6401">
        <v>0</v>
      </c>
      <c r="O6401">
        <v>0</v>
      </c>
    </row>
    <row r="6402" spans="1:15" x14ac:dyDescent="0.25">
      <c r="A6402" t="s">
        <v>1581</v>
      </c>
      <c r="B6402" t="s">
        <v>2917</v>
      </c>
      <c r="C6402" t="s">
        <v>927</v>
      </c>
      <c r="D6402" t="s">
        <v>3052</v>
      </c>
      <c r="E6402" t="s">
        <v>3053</v>
      </c>
      <c r="F6402" t="s">
        <v>652</v>
      </c>
      <c r="G6402" t="s">
        <v>653</v>
      </c>
      <c r="H6402" t="s">
        <v>7307</v>
      </c>
      <c r="I6402">
        <v>2</v>
      </c>
      <c r="J6402">
        <v>0</v>
      </c>
      <c r="K6402">
        <v>0</v>
      </c>
      <c r="L6402">
        <v>2</v>
      </c>
      <c r="M6402">
        <v>0</v>
      </c>
      <c r="N6402">
        <v>0</v>
      </c>
      <c r="O6402">
        <v>0</v>
      </c>
    </row>
    <row r="6403" spans="1:15" x14ac:dyDescent="0.25">
      <c r="A6403" t="s">
        <v>11701</v>
      </c>
      <c r="B6403" t="s">
        <v>2653</v>
      </c>
      <c r="C6403" t="s">
        <v>923</v>
      </c>
      <c r="D6403" t="s">
        <v>3063</v>
      </c>
      <c r="E6403" t="s">
        <v>3053</v>
      </c>
      <c r="F6403" t="s">
        <v>652</v>
      </c>
      <c r="G6403" t="s">
        <v>653</v>
      </c>
      <c r="H6403" t="s">
        <v>12277</v>
      </c>
      <c r="I6403">
        <v>80</v>
      </c>
      <c r="J6403">
        <v>0</v>
      </c>
      <c r="K6403">
        <v>0</v>
      </c>
      <c r="L6403">
        <v>0</v>
      </c>
      <c r="M6403">
        <v>80</v>
      </c>
      <c r="N6403">
        <v>0</v>
      </c>
      <c r="O6403">
        <v>0</v>
      </c>
    </row>
    <row r="6404" spans="1:15" x14ac:dyDescent="0.25">
      <c r="A6404" t="s">
        <v>933</v>
      </c>
      <c r="B6404" t="s">
        <v>2106</v>
      </c>
      <c r="C6404" t="s">
        <v>927</v>
      </c>
      <c r="D6404" t="s">
        <v>3052</v>
      </c>
      <c r="E6404" t="s">
        <v>3053</v>
      </c>
      <c r="F6404" t="s">
        <v>652</v>
      </c>
      <c r="G6404" t="s">
        <v>653</v>
      </c>
      <c r="H6404" t="s">
        <v>7308</v>
      </c>
      <c r="I6404">
        <v>64</v>
      </c>
      <c r="J6404">
        <v>37</v>
      </c>
      <c r="K6404">
        <v>0</v>
      </c>
      <c r="L6404">
        <v>6</v>
      </c>
      <c r="M6404">
        <v>0</v>
      </c>
      <c r="N6404">
        <v>0</v>
      </c>
      <c r="O6404">
        <v>21</v>
      </c>
    </row>
    <row r="6405" spans="1:15" x14ac:dyDescent="0.25">
      <c r="A6405" t="s">
        <v>1600</v>
      </c>
      <c r="B6405" t="s">
        <v>2542</v>
      </c>
      <c r="C6405" t="s">
        <v>923</v>
      </c>
      <c r="D6405" t="s">
        <v>3063</v>
      </c>
      <c r="E6405" t="s">
        <v>3053</v>
      </c>
      <c r="F6405" t="s">
        <v>652</v>
      </c>
      <c r="G6405" t="s">
        <v>653</v>
      </c>
      <c r="H6405" t="s">
        <v>7309</v>
      </c>
      <c r="I6405">
        <v>27</v>
      </c>
      <c r="J6405">
        <v>0</v>
      </c>
      <c r="K6405">
        <v>0</v>
      </c>
      <c r="L6405">
        <v>0</v>
      </c>
      <c r="M6405">
        <v>27</v>
      </c>
      <c r="N6405">
        <v>0</v>
      </c>
      <c r="O6405">
        <v>0</v>
      </c>
    </row>
    <row r="6406" spans="1:15" x14ac:dyDescent="0.25">
      <c r="A6406" t="s">
        <v>10638</v>
      </c>
      <c r="B6406" t="s">
        <v>2057</v>
      </c>
      <c r="C6406" t="s">
        <v>927</v>
      </c>
      <c r="D6406" t="s">
        <v>3052</v>
      </c>
      <c r="E6406" t="s">
        <v>3053</v>
      </c>
      <c r="F6406" t="s">
        <v>652</v>
      </c>
      <c r="G6406" t="s">
        <v>653</v>
      </c>
      <c r="H6406" t="s">
        <v>11258</v>
      </c>
      <c r="I6406">
        <v>1</v>
      </c>
      <c r="J6406">
        <v>0</v>
      </c>
      <c r="K6406">
        <v>0</v>
      </c>
      <c r="L6406">
        <v>1</v>
      </c>
      <c r="M6406">
        <v>0</v>
      </c>
      <c r="N6406">
        <v>0</v>
      </c>
      <c r="O6406">
        <v>0</v>
      </c>
    </row>
    <row r="6407" spans="1:15" x14ac:dyDescent="0.25">
      <c r="A6407" t="s">
        <v>1008</v>
      </c>
      <c r="B6407" t="s">
        <v>2928</v>
      </c>
      <c r="C6407" t="s">
        <v>927</v>
      </c>
      <c r="D6407" t="s">
        <v>3052</v>
      </c>
      <c r="E6407" t="s">
        <v>3053</v>
      </c>
      <c r="F6407" t="s">
        <v>652</v>
      </c>
      <c r="G6407" t="s">
        <v>653</v>
      </c>
      <c r="H6407" t="s">
        <v>7310</v>
      </c>
      <c r="I6407">
        <v>23</v>
      </c>
      <c r="J6407">
        <v>16</v>
      </c>
      <c r="K6407">
        <v>0</v>
      </c>
      <c r="L6407">
        <v>7</v>
      </c>
      <c r="M6407">
        <v>0</v>
      </c>
      <c r="N6407">
        <v>0</v>
      </c>
      <c r="O6407">
        <v>0</v>
      </c>
    </row>
    <row r="6408" spans="1:15" x14ac:dyDescent="0.25">
      <c r="A6408" t="s">
        <v>1615</v>
      </c>
      <c r="B6408" t="s">
        <v>2986</v>
      </c>
      <c r="C6408" t="s">
        <v>923</v>
      </c>
      <c r="D6408" t="s">
        <v>3063</v>
      </c>
      <c r="E6408" t="s">
        <v>3053</v>
      </c>
      <c r="F6408" t="s">
        <v>652</v>
      </c>
      <c r="G6408" t="s">
        <v>653</v>
      </c>
      <c r="H6408" t="s">
        <v>7311</v>
      </c>
      <c r="I6408">
        <v>29</v>
      </c>
      <c r="J6408">
        <v>0</v>
      </c>
      <c r="K6408">
        <v>0</v>
      </c>
      <c r="L6408">
        <v>29</v>
      </c>
      <c r="M6408">
        <v>0</v>
      </c>
      <c r="N6408">
        <v>0</v>
      </c>
      <c r="O6408">
        <v>0</v>
      </c>
    </row>
    <row r="6409" spans="1:15" x14ac:dyDescent="0.25">
      <c r="A6409" t="s">
        <v>937</v>
      </c>
      <c r="B6409" t="s">
        <v>1962</v>
      </c>
      <c r="C6409" t="s">
        <v>927</v>
      </c>
      <c r="D6409" t="s">
        <v>3052</v>
      </c>
      <c r="E6409" t="s">
        <v>3053</v>
      </c>
      <c r="F6409" t="s">
        <v>652</v>
      </c>
      <c r="G6409" t="s">
        <v>653</v>
      </c>
      <c r="H6409" t="s">
        <v>10099</v>
      </c>
      <c r="I6409">
        <v>2</v>
      </c>
      <c r="J6409">
        <v>0</v>
      </c>
      <c r="K6409">
        <v>0</v>
      </c>
      <c r="L6409">
        <v>0</v>
      </c>
      <c r="M6409">
        <v>0</v>
      </c>
      <c r="N6409">
        <v>0</v>
      </c>
      <c r="O6409">
        <v>2</v>
      </c>
    </row>
    <row r="6410" spans="1:15" x14ac:dyDescent="0.25">
      <c r="A6410" t="s">
        <v>938</v>
      </c>
      <c r="B6410" t="s">
        <v>2791</v>
      </c>
      <c r="C6410" t="s">
        <v>927</v>
      </c>
      <c r="D6410" t="s">
        <v>3052</v>
      </c>
      <c r="E6410" t="s">
        <v>3053</v>
      </c>
      <c r="F6410" t="s">
        <v>652</v>
      </c>
      <c r="G6410" t="s">
        <v>653</v>
      </c>
      <c r="H6410" t="s">
        <v>7312</v>
      </c>
      <c r="I6410">
        <v>139</v>
      </c>
      <c r="J6410">
        <v>109</v>
      </c>
      <c r="K6410">
        <v>0</v>
      </c>
      <c r="L6410">
        <v>0</v>
      </c>
      <c r="M6410">
        <v>24</v>
      </c>
      <c r="N6410">
        <v>0</v>
      </c>
      <c r="O6410">
        <v>6</v>
      </c>
    </row>
    <row r="6411" spans="1:15" x14ac:dyDescent="0.25">
      <c r="A6411" t="s">
        <v>940</v>
      </c>
      <c r="B6411" t="s">
        <v>2647</v>
      </c>
      <c r="C6411" t="s">
        <v>927</v>
      </c>
      <c r="D6411" t="s">
        <v>3052</v>
      </c>
      <c r="E6411" t="s">
        <v>3053</v>
      </c>
      <c r="F6411" t="s">
        <v>652</v>
      </c>
      <c r="G6411" t="s">
        <v>653</v>
      </c>
      <c r="H6411" t="s">
        <v>7313</v>
      </c>
      <c r="I6411">
        <v>283</v>
      </c>
      <c r="J6411">
        <v>0</v>
      </c>
      <c r="K6411">
        <v>0</v>
      </c>
      <c r="L6411">
        <v>0</v>
      </c>
      <c r="M6411">
        <v>243</v>
      </c>
      <c r="N6411">
        <v>0</v>
      </c>
      <c r="O6411">
        <v>40</v>
      </c>
    </row>
    <row r="6412" spans="1:15" x14ac:dyDescent="0.25">
      <c r="A6412" t="s">
        <v>1012</v>
      </c>
      <c r="B6412" t="s">
        <v>2911</v>
      </c>
      <c r="C6412" t="s">
        <v>927</v>
      </c>
      <c r="D6412" t="s">
        <v>3052</v>
      </c>
      <c r="E6412" t="s">
        <v>3053</v>
      </c>
      <c r="F6412" t="s">
        <v>652</v>
      </c>
      <c r="G6412" t="s">
        <v>653</v>
      </c>
      <c r="H6412" t="s">
        <v>7314</v>
      </c>
      <c r="I6412">
        <v>202</v>
      </c>
      <c r="J6412">
        <v>197</v>
      </c>
      <c r="K6412">
        <v>0</v>
      </c>
      <c r="L6412">
        <v>0</v>
      </c>
      <c r="M6412">
        <v>0</v>
      </c>
      <c r="N6412">
        <v>0</v>
      </c>
      <c r="O6412">
        <v>5</v>
      </c>
    </row>
    <row r="6413" spans="1:15" x14ac:dyDescent="0.25">
      <c r="A6413" t="s">
        <v>1628</v>
      </c>
      <c r="B6413" t="s">
        <v>2851</v>
      </c>
      <c r="C6413" t="s">
        <v>927</v>
      </c>
      <c r="D6413" t="s">
        <v>3052</v>
      </c>
      <c r="E6413" t="s">
        <v>3053</v>
      </c>
      <c r="F6413" t="s">
        <v>652</v>
      </c>
      <c r="G6413" t="s">
        <v>653</v>
      </c>
      <c r="H6413" t="s">
        <v>7315</v>
      </c>
      <c r="I6413">
        <v>87</v>
      </c>
      <c r="J6413">
        <v>87</v>
      </c>
      <c r="K6413">
        <v>0</v>
      </c>
      <c r="L6413">
        <v>0</v>
      </c>
      <c r="M6413">
        <v>0</v>
      </c>
      <c r="N6413">
        <v>1</v>
      </c>
      <c r="O6413">
        <v>0</v>
      </c>
    </row>
    <row r="6414" spans="1:15" x14ac:dyDescent="0.25">
      <c r="A6414" t="s">
        <v>945</v>
      </c>
      <c r="B6414" t="s">
        <v>2668</v>
      </c>
      <c r="C6414" t="s">
        <v>927</v>
      </c>
      <c r="D6414" t="s">
        <v>3052</v>
      </c>
      <c r="E6414" t="s">
        <v>3053</v>
      </c>
      <c r="F6414" t="s">
        <v>652</v>
      </c>
      <c r="G6414" t="s">
        <v>653</v>
      </c>
      <c r="H6414" t="s">
        <v>7316</v>
      </c>
      <c r="I6414">
        <v>2</v>
      </c>
      <c r="J6414">
        <v>0</v>
      </c>
      <c r="K6414">
        <v>0</v>
      </c>
      <c r="L6414">
        <v>0</v>
      </c>
      <c r="M6414">
        <v>0</v>
      </c>
      <c r="N6414">
        <v>0</v>
      </c>
      <c r="O6414">
        <v>2</v>
      </c>
    </row>
    <row r="6415" spans="1:15" x14ac:dyDescent="0.25">
      <c r="A6415" t="s">
        <v>951</v>
      </c>
      <c r="B6415" t="s">
        <v>2680</v>
      </c>
      <c r="C6415" t="s">
        <v>927</v>
      </c>
      <c r="D6415" t="s">
        <v>3052</v>
      </c>
      <c r="E6415" t="s">
        <v>3053</v>
      </c>
      <c r="F6415" t="s">
        <v>652</v>
      </c>
      <c r="G6415" t="s">
        <v>653</v>
      </c>
      <c r="H6415" t="s">
        <v>7317</v>
      </c>
      <c r="I6415">
        <v>85</v>
      </c>
      <c r="J6415">
        <v>85</v>
      </c>
      <c r="K6415">
        <v>0</v>
      </c>
      <c r="L6415">
        <v>0</v>
      </c>
      <c r="M6415">
        <v>0</v>
      </c>
      <c r="N6415">
        <v>0</v>
      </c>
      <c r="O6415">
        <v>0</v>
      </c>
    </row>
    <row r="6416" spans="1:15" x14ac:dyDescent="0.25">
      <c r="A6416" t="s">
        <v>1643</v>
      </c>
      <c r="B6416" t="s">
        <v>2585</v>
      </c>
      <c r="C6416" t="s">
        <v>923</v>
      </c>
      <c r="D6416" t="s">
        <v>3063</v>
      </c>
      <c r="E6416" t="s">
        <v>3053</v>
      </c>
      <c r="F6416" t="s">
        <v>652</v>
      </c>
      <c r="G6416" t="s">
        <v>653</v>
      </c>
      <c r="H6416" t="s">
        <v>7318</v>
      </c>
      <c r="I6416">
        <v>41</v>
      </c>
      <c r="J6416">
        <v>10</v>
      </c>
      <c r="K6416">
        <v>0</v>
      </c>
      <c r="L6416">
        <v>31</v>
      </c>
      <c r="M6416">
        <v>0</v>
      </c>
      <c r="N6416">
        <v>0</v>
      </c>
      <c r="O6416">
        <v>0</v>
      </c>
    </row>
    <row r="6417" spans="1:15" x14ac:dyDescent="0.25">
      <c r="A6417" t="s">
        <v>1644</v>
      </c>
      <c r="B6417" t="s">
        <v>2683</v>
      </c>
      <c r="C6417" t="s">
        <v>923</v>
      </c>
      <c r="D6417" t="s">
        <v>3063</v>
      </c>
      <c r="E6417" t="s">
        <v>3053</v>
      </c>
      <c r="F6417" t="s">
        <v>652</v>
      </c>
      <c r="G6417" t="s">
        <v>653</v>
      </c>
      <c r="H6417" t="s">
        <v>7319</v>
      </c>
      <c r="I6417">
        <v>146</v>
      </c>
      <c r="J6417">
        <v>35</v>
      </c>
      <c r="K6417">
        <v>0</v>
      </c>
      <c r="L6417">
        <v>0</v>
      </c>
      <c r="M6417">
        <v>111</v>
      </c>
      <c r="N6417">
        <v>0</v>
      </c>
      <c r="O6417">
        <v>0</v>
      </c>
    </row>
    <row r="6418" spans="1:15" x14ac:dyDescent="0.25">
      <c r="A6418" t="s">
        <v>1056</v>
      </c>
      <c r="B6418" t="s">
        <v>2966</v>
      </c>
      <c r="C6418" t="s">
        <v>927</v>
      </c>
      <c r="D6418" t="s">
        <v>3052</v>
      </c>
      <c r="E6418" t="s">
        <v>3053</v>
      </c>
      <c r="F6418" t="s">
        <v>652</v>
      </c>
      <c r="G6418" t="s">
        <v>653</v>
      </c>
      <c r="H6418" t="s">
        <v>7320</v>
      </c>
      <c r="I6418">
        <v>24</v>
      </c>
      <c r="J6418">
        <v>24</v>
      </c>
      <c r="K6418">
        <v>0</v>
      </c>
      <c r="L6418">
        <v>0</v>
      </c>
      <c r="M6418">
        <v>0</v>
      </c>
      <c r="N6418">
        <v>0</v>
      </c>
      <c r="O6418">
        <v>0</v>
      </c>
    </row>
    <row r="6419" spans="1:15" x14ac:dyDescent="0.25">
      <c r="A6419" t="s">
        <v>955</v>
      </c>
      <c r="B6419" t="s">
        <v>2660</v>
      </c>
      <c r="C6419" t="s">
        <v>927</v>
      </c>
      <c r="D6419" t="s">
        <v>3052</v>
      </c>
      <c r="E6419" t="s">
        <v>3053</v>
      </c>
      <c r="F6419" t="s">
        <v>652</v>
      </c>
      <c r="G6419" t="s">
        <v>653</v>
      </c>
      <c r="H6419" t="s">
        <v>7321</v>
      </c>
      <c r="I6419">
        <v>128</v>
      </c>
      <c r="J6419">
        <v>128</v>
      </c>
      <c r="K6419">
        <v>0</v>
      </c>
      <c r="L6419">
        <v>0</v>
      </c>
      <c r="M6419">
        <v>0</v>
      </c>
      <c r="N6419">
        <v>0</v>
      </c>
      <c r="O6419">
        <v>0</v>
      </c>
    </row>
    <row r="6420" spans="1:15" x14ac:dyDescent="0.25">
      <c r="A6420" t="s">
        <v>11663</v>
      </c>
      <c r="B6420" t="s">
        <v>11768</v>
      </c>
      <c r="C6420" t="s">
        <v>927</v>
      </c>
      <c r="D6420" t="s">
        <v>3052</v>
      </c>
      <c r="E6420" t="s">
        <v>3053</v>
      </c>
      <c r="F6420" t="s">
        <v>652</v>
      </c>
      <c r="G6420" t="s">
        <v>653</v>
      </c>
      <c r="H6420" t="s">
        <v>12278</v>
      </c>
      <c r="I6420">
        <v>686</v>
      </c>
      <c r="J6420">
        <v>487</v>
      </c>
      <c r="K6420">
        <v>0</v>
      </c>
      <c r="L6420">
        <v>0</v>
      </c>
      <c r="M6420">
        <v>155</v>
      </c>
      <c r="N6420">
        <v>4</v>
      </c>
      <c r="O6420">
        <v>44</v>
      </c>
    </row>
    <row r="6421" spans="1:15" x14ac:dyDescent="0.25">
      <c r="A6421" t="s">
        <v>1662</v>
      </c>
      <c r="B6421" t="s">
        <v>2465</v>
      </c>
      <c r="C6421" t="s">
        <v>923</v>
      </c>
      <c r="D6421" t="s">
        <v>3063</v>
      </c>
      <c r="E6421" t="s">
        <v>3053</v>
      </c>
      <c r="F6421" t="s">
        <v>652</v>
      </c>
      <c r="G6421" t="s">
        <v>653</v>
      </c>
      <c r="H6421" t="s">
        <v>7322</v>
      </c>
      <c r="I6421">
        <v>36</v>
      </c>
      <c r="J6421">
        <v>34</v>
      </c>
      <c r="K6421">
        <v>2</v>
      </c>
      <c r="L6421">
        <v>0</v>
      </c>
      <c r="M6421">
        <v>0</v>
      </c>
      <c r="N6421">
        <v>0</v>
      </c>
      <c r="O6421">
        <v>0</v>
      </c>
    </row>
    <row r="6422" spans="1:15" x14ac:dyDescent="0.25">
      <c r="A6422" t="s">
        <v>960</v>
      </c>
      <c r="B6422" t="s">
        <v>2080</v>
      </c>
      <c r="C6422" t="s">
        <v>927</v>
      </c>
      <c r="D6422" t="s">
        <v>3052</v>
      </c>
      <c r="E6422" t="s">
        <v>3053</v>
      </c>
      <c r="F6422" t="s">
        <v>652</v>
      </c>
      <c r="G6422" t="s">
        <v>653</v>
      </c>
      <c r="H6422" t="s">
        <v>7323</v>
      </c>
      <c r="I6422">
        <v>3</v>
      </c>
      <c r="J6422">
        <v>0</v>
      </c>
      <c r="K6422">
        <v>0</v>
      </c>
      <c r="L6422">
        <v>0</v>
      </c>
      <c r="M6422">
        <v>0</v>
      </c>
      <c r="N6422">
        <v>0</v>
      </c>
      <c r="O6422">
        <v>3</v>
      </c>
    </row>
    <row r="6423" spans="1:15" x14ac:dyDescent="0.25">
      <c r="A6423" t="s">
        <v>962</v>
      </c>
      <c r="B6423" t="s">
        <v>2752</v>
      </c>
      <c r="C6423" t="s">
        <v>927</v>
      </c>
      <c r="D6423" t="s">
        <v>3052</v>
      </c>
      <c r="E6423" t="s">
        <v>3053</v>
      </c>
      <c r="F6423" t="s">
        <v>652</v>
      </c>
      <c r="G6423" t="s">
        <v>653</v>
      </c>
      <c r="H6423" t="s">
        <v>7324</v>
      </c>
      <c r="I6423">
        <v>101</v>
      </c>
      <c r="J6423">
        <v>94</v>
      </c>
      <c r="K6423">
        <v>0</v>
      </c>
      <c r="L6423">
        <v>7</v>
      </c>
      <c r="M6423">
        <v>0</v>
      </c>
      <c r="N6423">
        <v>0</v>
      </c>
      <c r="O6423">
        <v>0</v>
      </c>
    </row>
    <row r="6424" spans="1:15" x14ac:dyDescent="0.25">
      <c r="A6424" t="s">
        <v>1069</v>
      </c>
      <c r="B6424" t="s">
        <v>2001</v>
      </c>
      <c r="C6424" t="s">
        <v>927</v>
      </c>
      <c r="D6424" t="s">
        <v>3052</v>
      </c>
      <c r="E6424" t="s">
        <v>3053</v>
      </c>
      <c r="F6424" t="s">
        <v>652</v>
      </c>
      <c r="G6424" t="s">
        <v>653</v>
      </c>
      <c r="H6424" t="s">
        <v>7325</v>
      </c>
      <c r="I6424">
        <v>331</v>
      </c>
      <c r="J6424">
        <v>239</v>
      </c>
      <c r="K6424">
        <v>0</v>
      </c>
      <c r="L6424">
        <v>6</v>
      </c>
      <c r="M6424">
        <v>34</v>
      </c>
      <c r="N6424">
        <v>0</v>
      </c>
      <c r="O6424">
        <v>52</v>
      </c>
    </row>
    <row r="6425" spans="1:15" x14ac:dyDescent="0.25">
      <c r="A6425" t="s">
        <v>9832</v>
      </c>
      <c r="B6425" t="s">
        <v>2837</v>
      </c>
      <c r="C6425" t="s">
        <v>923</v>
      </c>
      <c r="D6425" t="s">
        <v>3063</v>
      </c>
      <c r="E6425" t="s">
        <v>3053</v>
      </c>
      <c r="F6425" t="s">
        <v>652</v>
      </c>
      <c r="G6425" t="s">
        <v>653</v>
      </c>
      <c r="H6425" t="s">
        <v>10484</v>
      </c>
      <c r="I6425">
        <v>82</v>
      </c>
      <c r="J6425">
        <v>0</v>
      </c>
      <c r="K6425">
        <v>0</v>
      </c>
      <c r="L6425">
        <v>0</v>
      </c>
      <c r="M6425">
        <v>82</v>
      </c>
      <c r="N6425">
        <v>0</v>
      </c>
      <c r="O6425">
        <v>0</v>
      </c>
    </row>
    <row r="6426" spans="1:15" x14ac:dyDescent="0.25">
      <c r="A6426" t="s">
        <v>1681</v>
      </c>
      <c r="B6426" t="s">
        <v>3021</v>
      </c>
      <c r="C6426" t="s">
        <v>923</v>
      </c>
      <c r="D6426" t="s">
        <v>3063</v>
      </c>
      <c r="E6426" t="s">
        <v>3053</v>
      </c>
      <c r="F6426" t="s">
        <v>652</v>
      </c>
      <c r="G6426" t="s">
        <v>653</v>
      </c>
      <c r="H6426" t="s">
        <v>7326</v>
      </c>
      <c r="I6426">
        <v>69</v>
      </c>
      <c r="J6426">
        <v>13</v>
      </c>
      <c r="K6426">
        <v>5</v>
      </c>
      <c r="L6426">
        <v>51</v>
      </c>
      <c r="M6426">
        <v>0</v>
      </c>
      <c r="N6426">
        <v>0</v>
      </c>
      <c r="O6426">
        <v>0</v>
      </c>
    </row>
    <row r="6427" spans="1:15" x14ac:dyDescent="0.25">
      <c r="A6427" t="s">
        <v>966</v>
      </c>
      <c r="B6427" t="s">
        <v>2684</v>
      </c>
      <c r="C6427" t="s">
        <v>927</v>
      </c>
      <c r="D6427" t="s">
        <v>3052</v>
      </c>
      <c r="E6427" t="s">
        <v>3053</v>
      </c>
      <c r="F6427" t="s">
        <v>652</v>
      </c>
      <c r="G6427" t="s">
        <v>653</v>
      </c>
      <c r="H6427" t="s">
        <v>7327</v>
      </c>
      <c r="I6427">
        <v>358</v>
      </c>
      <c r="J6427">
        <v>339</v>
      </c>
      <c r="K6427">
        <v>0</v>
      </c>
      <c r="L6427">
        <v>0</v>
      </c>
      <c r="M6427">
        <v>0</v>
      </c>
      <c r="N6427">
        <v>0</v>
      </c>
      <c r="O6427">
        <v>19</v>
      </c>
    </row>
    <row r="6428" spans="1:15" x14ac:dyDescent="0.25">
      <c r="A6428" t="s">
        <v>1686</v>
      </c>
      <c r="B6428" t="s">
        <v>2988</v>
      </c>
      <c r="C6428" t="s">
        <v>923</v>
      </c>
      <c r="D6428" t="s">
        <v>3063</v>
      </c>
      <c r="E6428" t="s">
        <v>3053</v>
      </c>
      <c r="F6428" t="s">
        <v>652</v>
      </c>
      <c r="G6428" t="s">
        <v>653</v>
      </c>
      <c r="H6428" t="s">
        <v>7328</v>
      </c>
      <c r="I6428">
        <v>270</v>
      </c>
      <c r="J6428">
        <v>0</v>
      </c>
      <c r="K6428">
        <v>0</v>
      </c>
      <c r="L6428">
        <v>270</v>
      </c>
      <c r="M6428">
        <v>0</v>
      </c>
      <c r="N6428">
        <v>0</v>
      </c>
      <c r="O6428">
        <v>0</v>
      </c>
    </row>
    <row r="6429" spans="1:15" x14ac:dyDescent="0.25">
      <c r="A6429" t="s">
        <v>968</v>
      </c>
      <c r="B6429" t="s">
        <v>2091</v>
      </c>
      <c r="C6429" t="s">
        <v>927</v>
      </c>
      <c r="D6429" t="s">
        <v>3052</v>
      </c>
      <c r="E6429" t="s">
        <v>3053</v>
      </c>
      <c r="F6429" t="s">
        <v>652</v>
      </c>
      <c r="G6429" t="s">
        <v>653</v>
      </c>
      <c r="H6429" t="s">
        <v>7329</v>
      </c>
      <c r="I6429">
        <v>2920</v>
      </c>
      <c r="J6429">
        <v>2274</v>
      </c>
      <c r="K6429">
        <v>0</v>
      </c>
      <c r="L6429">
        <v>56</v>
      </c>
      <c r="M6429">
        <v>148</v>
      </c>
      <c r="N6429">
        <v>0</v>
      </c>
      <c r="O6429">
        <v>442</v>
      </c>
    </row>
    <row r="6430" spans="1:15" x14ac:dyDescent="0.25">
      <c r="A6430" t="s">
        <v>1080</v>
      </c>
      <c r="B6430" t="s">
        <v>2030</v>
      </c>
      <c r="C6430" t="s">
        <v>923</v>
      </c>
      <c r="D6430" t="s">
        <v>3063</v>
      </c>
      <c r="E6430" t="s">
        <v>3053</v>
      </c>
      <c r="F6430" t="s">
        <v>652</v>
      </c>
      <c r="G6430" t="s">
        <v>653</v>
      </c>
      <c r="H6430" t="s">
        <v>7330</v>
      </c>
      <c r="I6430">
        <v>21</v>
      </c>
      <c r="J6430">
        <v>0</v>
      </c>
      <c r="K6430">
        <v>0</v>
      </c>
      <c r="L6430">
        <v>21</v>
      </c>
      <c r="M6430">
        <v>0</v>
      </c>
      <c r="N6430">
        <v>0</v>
      </c>
      <c r="O6430">
        <v>0</v>
      </c>
    </row>
    <row r="6431" spans="1:15" x14ac:dyDescent="0.25">
      <c r="A6431" t="s">
        <v>971</v>
      </c>
      <c r="B6431" t="s">
        <v>2956</v>
      </c>
      <c r="C6431" t="s">
        <v>927</v>
      </c>
      <c r="D6431" t="s">
        <v>3052</v>
      </c>
      <c r="E6431" t="s">
        <v>3053</v>
      </c>
      <c r="F6431" t="s">
        <v>654</v>
      </c>
      <c r="G6431" t="s">
        <v>655</v>
      </c>
      <c r="H6431" t="s">
        <v>15086</v>
      </c>
      <c r="I6431">
        <v>3</v>
      </c>
      <c r="J6431">
        <v>0</v>
      </c>
      <c r="K6431">
        <v>0</v>
      </c>
      <c r="L6431">
        <v>0</v>
      </c>
      <c r="M6431">
        <v>0</v>
      </c>
      <c r="N6431">
        <v>0</v>
      </c>
      <c r="O6431">
        <v>3</v>
      </c>
    </row>
    <row r="6432" spans="1:15" x14ac:dyDescent="0.25">
      <c r="A6432" t="s">
        <v>929</v>
      </c>
      <c r="B6432" t="s">
        <v>2999</v>
      </c>
      <c r="C6432" t="s">
        <v>927</v>
      </c>
      <c r="D6432" t="s">
        <v>3052</v>
      </c>
      <c r="E6432" t="s">
        <v>3053</v>
      </c>
      <c r="F6432" t="s">
        <v>654</v>
      </c>
      <c r="G6432" t="s">
        <v>655</v>
      </c>
      <c r="H6432" t="s">
        <v>7331</v>
      </c>
      <c r="I6432">
        <v>94</v>
      </c>
      <c r="J6432">
        <v>0</v>
      </c>
      <c r="K6432">
        <v>0</v>
      </c>
      <c r="L6432">
        <v>0</v>
      </c>
      <c r="M6432">
        <v>63</v>
      </c>
      <c r="N6432">
        <v>0</v>
      </c>
      <c r="O6432">
        <v>31</v>
      </c>
    </row>
    <row r="6433" spans="1:15" x14ac:dyDescent="0.25">
      <c r="A6433" t="s">
        <v>978</v>
      </c>
      <c r="B6433" t="s">
        <v>1999</v>
      </c>
      <c r="C6433" t="s">
        <v>923</v>
      </c>
      <c r="D6433" t="s">
        <v>3063</v>
      </c>
      <c r="E6433" t="s">
        <v>3053</v>
      </c>
      <c r="F6433" t="s">
        <v>654</v>
      </c>
      <c r="G6433" t="s">
        <v>655</v>
      </c>
      <c r="H6433" t="s">
        <v>7332</v>
      </c>
      <c r="I6433">
        <v>20</v>
      </c>
      <c r="J6433">
        <v>20</v>
      </c>
      <c r="K6433">
        <v>0</v>
      </c>
      <c r="L6433">
        <v>0</v>
      </c>
      <c r="M6433">
        <v>0</v>
      </c>
      <c r="N6433">
        <v>0</v>
      </c>
      <c r="O6433">
        <v>0</v>
      </c>
    </row>
    <row r="6434" spans="1:15" x14ac:dyDescent="0.25">
      <c r="A6434" t="s">
        <v>1457</v>
      </c>
      <c r="B6434" t="s">
        <v>2003</v>
      </c>
      <c r="C6434" t="s">
        <v>923</v>
      </c>
      <c r="D6434" t="s">
        <v>3063</v>
      </c>
      <c r="E6434" t="s">
        <v>3053</v>
      </c>
      <c r="F6434" t="s">
        <v>654</v>
      </c>
      <c r="G6434" t="s">
        <v>655</v>
      </c>
      <c r="H6434" t="s">
        <v>7333</v>
      </c>
      <c r="I6434">
        <v>12</v>
      </c>
      <c r="J6434">
        <v>0</v>
      </c>
      <c r="K6434">
        <v>0</v>
      </c>
      <c r="L6434">
        <v>12</v>
      </c>
      <c r="M6434">
        <v>0</v>
      </c>
      <c r="N6434">
        <v>0</v>
      </c>
      <c r="O6434">
        <v>0</v>
      </c>
    </row>
    <row r="6435" spans="1:15" x14ac:dyDescent="0.25">
      <c r="A6435" t="s">
        <v>1458</v>
      </c>
      <c r="B6435" t="s">
        <v>2024</v>
      </c>
      <c r="C6435" t="s">
        <v>923</v>
      </c>
      <c r="D6435" t="s">
        <v>3063</v>
      </c>
      <c r="E6435" t="s">
        <v>3053</v>
      </c>
      <c r="F6435" t="s">
        <v>654</v>
      </c>
      <c r="G6435" t="s">
        <v>655</v>
      </c>
      <c r="H6435" t="s">
        <v>11259</v>
      </c>
      <c r="I6435">
        <v>14</v>
      </c>
      <c r="J6435">
        <v>14</v>
      </c>
      <c r="K6435">
        <v>0</v>
      </c>
      <c r="L6435">
        <v>0</v>
      </c>
      <c r="M6435">
        <v>0</v>
      </c>
      <c r="N6435">
        <v>0</v>
      </c>
      <c r="O6435">
        <v>0</v>
      </c>
    </row>
    <row r="6436" spans="1:15" x14ac:dyDescent="0.25">
      <c r="A6436" t="s">
        <v>9784</v>
      </c>
      <c r="B6436" t="s">
        <v>1994</v>
      </c>
      <c r="C6436" t="s">
        <v>927</v>
      </c>
      <c r="D6436" t="s">
        <v>3052</v>
      </c>
      <c r="E6436" t="s">
        <v>3053</v>
      </c>
      <c r="F6436" t="s">
        <v>654</v>
      </c>
      <c r="G6436" t="s">
        <v>655</v>
      </c>
      <c r="H6436" t="s">
        <v>9971</v>
      </c>
      <c r="I6436">
        <v>10</v>
      </c>
      <c r="J6436">
        <v>0</v>
      </c>
      <c r="K6436">
        <v>0</v>
      </c>
      <c r="L6436">
        <v>10</v>
      </c>
      <c r="M6436">
        <v>0</v>
      </c>
      <c r="N6436">
        <v>0</v>
      </c>
      <c r="O6436">
        <v>0</v>
      </c>
    </row>
    <row r="6437" spans="1:15" x14ac:dyDescent="0.25">
      <c r="A6437" t="s">
        <v>1461</v>
      </c>
      <c r="B6437" t="s">
        <v>1927</v>
      </c>
      <c r="C6437" t="s">
        <v>927</v>
      </c>
      <c r="D6437" t="s">
        <v>3052</v>
      </c>
      <c r="E6437" t="s">
        <v>3053</v>
      </c>
      <c r="F6437" t="s">
        <v>654</v>
      </c>
      <c r="G6437" t="s">
        <v>655</v>
      </c>
      <c r="H6437" t="s">
        <v>10009</v>
      </c>
      <c r="I6437">
        <v>64</v>
      </c>
      <c r="J6437">
        <v>47</v>
      </c>
      <c r="K6437">
        <v>0</v>
      </c>
      <c r="L6437">
        <v>0</v>
      </c>
      <c r="M6437">
        <v>0</v>
      </c>
      <c r="N6437">
        <v>0</v>
      </c>
      <c r="O6437">
        <v>17</v>
      </c>
    </row>
    <row r="6438" spans="1:15" x14ac:dyDescent="0.25">
      <c r="A6438" t="s">
        <v>1463</v>
      </c>
      <c r="B6438" t="s">
        <v>2846</v>
      </c>
      <c r="C6438" t="s">
        <v>927</v>
      </c>
      <c r="D6438" t="s">
        <v>3052</v>
      </c>
      <c r="E6438" t="s">
        <v>3053</v>
      </c>
      <c r="F6438" t="s">
        <v>654</v>
      </c>
      <c r="G6438" t="s">
        <v>655</v>
      </c>
      <c r="H6438" t="s">
        <v>10022</v>
      </c>
      <c r="I6438">
        <v>8</v>
      </c>
      <c r="J6438">
        <v>0</v>
      </c>
      <c r="K6438">
        <v>0</v>
      </c>
      <c r="L6438">
        <v>8</v>
      </c>
      <c r="M6438">
        <v>0</v>
      </c>
      <c r="N6438">
        <v>0</v>
      </c>
      <c r="O6438">
        <v>0</v>
      </c>
    </row>
    <row r="6439" spans="1:15" x14ac:dyDescent="0.25">
      <c r="A6439" t="s">
        <v>985</v>
      </c>
      <c r="B6439" t="s">
        <v>1964</v>
      </c>
      <c r="C6439" t="s">
        <v>923</v>
      </c>
      <c r="D6439" t="s">
        <v>3063</v>
      </c>
      <c r="E6439" t="s">
        <v>3053</v>
      </c>
      <c r="F6439" t="s">
        <v>654</v>
      </c>
      <c r="G6439" t="s">
        <v>655</v>
      </c>
      <c r="H6439" t="s">
        <v>15087</v>
      </c>
      <c r="I6439">
        <v>13</v>
      </c>
      <c r="J6439">
        <v>0</v>
      </c>
      <c r="K6439">
        <v>0</v>
      </c>
      <c r="L6439">
        <v>13</v>
      </c>
      <c r="M6439">
        <v>0</v>
      </c>
      <c r="N6439">
        <v>0</v>
      </c>
      <c r="O6439">
        <v>0</v>
      </c>
    </row>
    <row r="6440" spans="1:15" x14ac:dyDescent="0.25">
      <c r="A6440" t="s">
        <v>1473</v>
      </c>
      <c r="B6440" t="s">
        <v>2877</v>
      </c>
      <c r="C6440" t="s">
        <v>927</v>
      </c>
      <c r="D6440" t="s">
        <v>3052</v>
      </c>
      <c r="E6440" t="s">
        <v>3053</v>
      </c>
      <c r="F6440" t="s">
        <v>654</v>
      </c>
      <c r="G6440" t="s">
        <v>655</v>
      </c>
      <c r="H6440" t="s">
        <v>7334</v>
      </c>
      <c r="I6440">
        <v>6754</v>
      </c>
      <c r="J6440">
        <v>6026</v>
      </c>
      <c r="K6440">
        <v>0</v>
      </c>
      <c r="L6440">
        <v>187</v>
      </c>
      <c r="M6440">
        <v>481</v>
      </c>
      <c r="N6440">
        <v>0</v>
      </c>
      <c r="O6440">
        <v>60</v>
      </c>
    </row>
    <row r="6441" spans="1:15" x14ac:dyDescent="0.25">
      <c r="A6441" t="s">
        <v>991</v>
      </c>
      <c r="B6441" t="s">
        <v>1976</v>
      </c>
      <c r="C6441" t="s">
        <v>923</v>
      </c>
      <c r="D6441" t="s">
        <v>3063</v>
      </c>
      <c r="E6441" t="s">
        <v>3053</v>
      </c>
      <c r="F6441" t="s">
        <v>654</v>
      </c>
      <c r="G6441" t="s">
        <v>655</v>
      </c>
      <c r="H6441" t="s">
        <v>7335</v>
      </c>
      <c r="I6441">
        <v>1</v>
      </c>
      <c r="J6441">
        <v>0</v>
      </c>
      <c r="K6441">
        <v>0</v>
      </c>
      <c r="L6441">
        <v>1</v>
      </c>
      <c r="M6441">
        <v>0</v>
      </c>
      <c r="N6441">
        <v>0</v>
      </c>
      <c r="O6441">
        <v>0</v>
      </c>
    </row>
    <row r="6442" spans="1:15" x14ac:dyDescent="0.25">
      <c r="A6442" t="s">
        <v>935</v>
      </c>
      <c r="B6442" t="s">
        <v>1960</v>
      </c>
      <c r="C6442" t="s">
        <v>923</v>
      </c>
      <c r="D6442" t="s">
        <v>3063</v>
      </c>
      <c r="E6442" t="s">
        <v>3053</v>
      </c>
      <c r="F6442" t="s">
        <v>654</v>
      </c>
      <c r="G6442" t="s">
        <v>655</v>
      </c>
      <c r="H6442" t="s">
        <v>7336</v>
      </c>
      <c r="I6442">
        <v>3</v>
      </c>
      <c r="J6442">
        <v>0</v>
      </c>
      <c r="K6442">
        <v>0</v>
      </c>
      <c r="L6442">
        <v>3</v>
      </c>
      <c r="M6442">
        <v>0</v>
      </c>
      <c r="N6442">
        <v>0</v>
      </c>
      <c r="O6442">
        <v>0</v>
      </c>
    </row>
    <row r="6443" spans="1:15" x14ac:dyDescent="0.25">
      <c r="A6443" t="s">
        <v>11660</v>
      </c>
      <c r="B6443" t="s">
        <v>2041</v>
      </c>
      <c r="C6443" t="s">
        <v>923</v>
      </c>
      <c r="D6443" t="s">
        <v>3063</v>
      </c>
      <c r="E6443" t="s">
        <v>3053</v>
      </c>
      <c r="F6443" t="s">
        <v>654</v>
      </c>
      <c r="G6443" t="s">
        <v>655</v>
      </c>
      <c r="H6443" t="s">
        <v>12279</v>
      </c>
      <c r="I6443">
        <v>18</v>
      </c>
      <c r="J6443">
        <v>0</v>
      </c>
      <c r="K6443">
        <v>0</v>
      </c>
      <c r="L6443">
        <v>18</v>
      </c>
      <c r="M6443">
        <v>0</v>
      </c>
      <c r="N6443">
        <v>0</v>
      </c>
      <c r="O6443">
        <v>0</v>
      </c>
    </row>
    <row r="6444" spans="1:15" x14ac:dyDescent="0.25">
      <c r="A6444" t="s">
        <v>10638</v>
      </c>
      <c r="B6444" t="s">
        <v>2057</v>
      </c>
      <c r="C6444" t="s">
        <v>927</v>
      </c>
      <c r="D6444" t="s">
        <v>3052</v>
      </c>
      <c r="E6444" t="s">
        <v>3053</v>
      </c>
      <c r="F6444" t="s">
        <v>654</v>
      </c>
      <c r="G6444" t="s">
        <v>655</v>
      </c>
      <c r="H6444" t="s">
        <v>11260</v>
      </c>
      <c r="I6444">
        <v>14</v>
      </c>
      <c r="J6444">
        <v>0</v>
      </c>
      <c r="K6444">
        <v>0</v>
      </c>
      <c r="L6444">
        <v>14</v>
      </c>
      <c r="M6444">
        <v>0</v>
      </c>
      <c r="N6444">
        <v>0</v>
      </c>
      <c r="O6444">
        <v>0</v>
      </c>
    </row>
    <row r="6445" spans="1:15" x14ac:dyDescent="0.25">
      <c r="A6445" t="s">
        <v>1006</v>
      </c>
      <c r="B6445" t="s">
        <v>2724</v>
      </c>
      <c r="C6445" t="s">
        <v>927</v>
      </c>
      <c r="D6445" t="s">
        <v>3052</v>
      </c>
      <c r="E6445" t="s">
        <v>3053</v>
      </c>
      <c r="F6445" t="s">
        <v>654</v>
      </c>
      <c r="G6445" t="s">
        <v>655</v>
      </c>
      <c r="H6445" t="s">
        <v>7337</v>
      </c>
      <c r="I6445">
        <v>251</v>
      </c>
      <c r="J6445">
        <v>201</v>
      </c>
      <c r="K6445">
        <v>0</v>
      </c>
      <c r="L6445">
        <v>8</v>
      </c>
      <c r="M6445">
        <v>0</v>
      </c>
      <c r="N6445">
        <v>1</v>
      </c>
      <c r="O6445">
        <v>42</v>
      </c>
    </row>
    <row r="6446" spans="1:15" x14ac:dyDescent="0.25">
      <c r="A6446" t="s">
        <v>1009</v>
      </c>
      <c r="B6446" t="s">
        <v>1958</v>
      </c>
      <c r="C6446" t="s">
        <v>923</v>
      </c>
      <c r="D6446" t="s">
        <v>3063</v>
      </c>
      <c r="E6446" t="s">
        <v>3053</v>
      </c>
      <c r="F6446" t="s">
        <v>654</v>
      </c>
      <c r="G6446" t="s">
        <v>655</v>
      </c>
      <c r="H6446" t="s">
        <v>7338</v>
      </c>
      <c r="I6446">
        <v>38</v>
      </c>
      <c r="J6446">
        <v>0</v>
      </c>
      <c r="K6446">
        <v>0</v>
      </c>
      <c r="L6446">
        <v>38</v>
      </c>
      <c r="M6446">
        <v>0</v>
      </c>
      <c r="N6446">
        <v>0</v>
      </c>
      <c r="O6446">
        <v>0</v>
      </c>
    </row>
    <row r="6447" spans="1:15" x14ac:dyDescent="0.25">
      <c r="A6447" t="s">
        <v>937</v>
      </c>
      <c r="B6447" t="s">
        <v>1962</v>
      </c>
      <c r="C6447" t="s">
        <v>927</v>
      </c>
      <c r="D6447" t="s">
        <v>3052</v>
      </c>
      <c r="E6447" t="s">
        <v>3053</v>
      </c>
      <c r="F6447" t="s">
        <v>654</v>
      </c>
      <c r="G6447" t="s">
        <v>655</v>
      </c>
      <c r="H6447" t="s">
        <v>7339</v>
      </c>
      <c r="I6447">
        <v>164</v>
      </c>
      <c r="J6447">
        <v>0</v>
      </c>
      <c r="K6447">
        <v>0</v>
      </c>
      <c r="L6447">
        <v>0</v>
      </c>
      <c r="M6447">
        <v>0</v>
      </c>
      <c r="N6447">
        <v>0</v>
      </c>
      <c r="O6447">
        <v>164</v>
      </c>
    </row>
    <row r="6448" spans="1:15" x14ac:dyDescent="0.25">
      <c r="A6448" t="s">
        <v>1011</v>
      </c>
      <c r="B6448" t="s">
        <v>2020</v>
      </c>
      <c r="C6448" t="s">
        <v>927</v>
      </c>
      <c r="D6448" t="s">
        <v>3052</v>
      </c>
      <c r="E6448" t="s">
        <v>3053</v>
      </c>
      <c r="F6448" t="s">
        <v>654</v>
      </c>
      <c r="G6448" t="s">
        <v>655</v>
      </c>
      <c r="H6448" t="s">
        <v>7340</v>
      </c>
      <c r="I6448">
        <v>18</v>
      </c>
      <c r="J6448">
        <v>0</v>
      </c>
      <c r="K6448">
        <v>0</v>
      </c>
      <c r="L6448">
        <v>18</v>
      </c>
      <c r="M6448">
        <v>0</v>
      </c>
      <c r="N6448">
        <v>0</v>
      </c>
      <c r="O6448">
        <v>0</v>
      </c>
    </row>
    <row r="6449" spans="1:15" x14ac:dyDescent="0.25">
      <c r="A6449" t="s">
        <v>940</v>
      </c>
      <c r="B6449" t="s">
        <v>2647</v>
      </c>
      <c r="C6449" t="s">
        <v>927</v>
      </c>
      <c r="D6449" t="s">
        <v>3052</v>
      </c>
      <c r="E6449" t="s">
        <v>3053</v>
      </c>
      <c r="F6449" t="s">
        <v>654</v>
      </c>
      <c r="G6449" t="s">
        <v>655</v>
      </c>
      <c r="H6449" t="s">
        <v>7341</v>
      </c>
      <c r="I6449">
        <v>41</v>
      </c>
      <c r="J6449">
        <v>0</v>
      </c>
      <c r="K6449">
        <v>0</v>
      </c>
      <c r="L6449">
        <v>0</v>
      </c>
      <c r="M6449">
        <v>41</v>
      </c>
      <c r="N6449">
        <v>0</v>
      </c>
      <c r="O6449">
        <v>0</v>
      </c>
    </row>
    <row r="6450" spans="1:15" x14ac:dyDescent="0.25">
      <c r="A6450" t="s">
        <v>1013</v>
      </c>
      <c r="B6450" t="s">
        <v>1959</v>
      </c>
      <c r="C6450" t="s">
        <v>927</v>
      </c>
      <c r="D6450" t="s">
        <v>3052</v>
      </c>
      <c r="E6450" t="s">
        <v>3053</v>
      </c>
      <c r="F6450" t="s">
        <v>654</v>
      </c>
      <c r="G6450" t="s">
        <v>655</v>
      </c>
      <c r="H6450" t="s">
        <v>7342</v>
      </c>
      <c r="I6450">
        <v>21</v>
      </c>
      <c r="J6450">
        <v>0</v>
      </c>
      <c r="K6450">
        <v>0</v>
      </c>
      <c r="L6450">
        <v>21</v>
      </c>
      <c r="M6450">
        <v>0</v>
      </c>
      <c r="N6450">
        <v>0</v>
      </c>
      <c r="O6450">
        <v>0</v>
      </c>
    </row>
    <row r="6451" spans="1:15" x14ac:dyDescent="0.25">
      <c r="A6451" t="s">
        <v>9819</v>
      </c>
      <c r="B6451" t="s">
        <v>2916</v>
      </c>
      <c r="C6451" t="s">
        <v>927</v>
      </c>
      <c r="D6451" t="s">
        <v>3052</v>
      </c>
      <c r="E6451" t="s">
        <v>3053</v>
      </c>
      <c r="F6451" t="s">
        <v>654</v>
      </c>
      <c r="G6451" t="s">
        <v>655</v>
      </c>
      <c r="H6451" t="s">
        <v>10141</v>
      </c>
      <c r="I6451">
        <v>735</v>
      </c>
      <c r="J6451">
        <v>625</v>
      </c>
      <c r="K6451">
        <v>0</v>
      </c>
      <c r="L6451">
        <v>0</v>
      </c>
      <c r="M6451">
        <v>0</v>
      </c>
      <c r="N6451">
        <v>1</v>
      </c>
      <c r="O6451">
        <v>110</v>
      </c>
    </row>
    <row r="6452" spans="1:15" x14ac:dyDescent="0.25">
      <c r="A6452" t="s">
        <v>1126</v>
      </c>
      <c r="B6452" t="s">
        <v>2130</v>
      </c>
      <c r="C6452" t="s">
        <v>927</v>
      </c>
      <c r="D6452" t="s">
        <v>3052</v>
      </c>
      <c r="E6452" t="s">
        <v>3053</v>
      </c>
      <c r="F6452" t="s">
        <v>654</v>
      </c>
      <c r="G6452" t="s">
        <v>655</v>
      </c>
      <c r="H6452" t="s">
        <v>11261</v>
      </c>
      <c r="I6452">
        <v>135</v>
      </c>
      <c r="J6452">
        <v>96</v>
      </c>
      <c r="K6452">
        <v>0</v>
      </c>
      <c r="L6452">
        <v>0</v>
      </c>
      <c r="M6452">
        <v>0</v>
      </c>
      <c r="N6452">
        <v>0</v>
      </c>
      <c r="O6452">
        <v>39</v>
      </c>
    </row>
    <row r="6453" spans="1:15" x14ac:dyDescent="0.25">
      <c r="A6453" t="s">
        <v>1025</v>
      </c>
      <c r="B6453" t="s">
        <v>2893</v>
      </c>
      <c r="C6453" t="s">
        <v>927</v>
      </c>
      <c r="D6453" t="s">
        <v>3052</v>
      </c>
      <c r="E6453" t="s">
        <v>3053</v>
      </c>
      <c r="F6453" t="s">
        <v>654</v>
      </c>
      <c r="G6453" t="s">
        <v>655</v>
      </c>
      <c r="H6453" t="s">
        <v>12280</v>
      </c>
      <c r="I6453">
        <v>41</v>
      </c>
      <c r="J6453">
        <v>12</v>
      </c>
      <c r="K6453">
        <v>0</v>
      </c>
      <c r="L6453">
        <v>0</v>
      </c>
      <c r="M6453">
        <v>0</v>
      </c>
      <c r="N6453">
        <v>0</v>
      </c>
      <c r="O6453">
        <v>29</v>
      </c>
    </row>
    <row r="6454" spans="1:15" x14ac:dyDescent="0.25">
      <c r="A6454" t="s">
        <v>1302</v>
      </c>
      <c r="B6454" t="s">
        <v>1961</v>
      </c>
      <c r="C6454" t="s">
        <v>923</v>
      </c>
      <c r="D6454" t="s">
        <v>3063</v>
      </c>
      <c r="E6454" t="s">
        <v>3053</v>
      </c>
      <c r="F6454" t="s">
        <v>654</v>
      </c>
      <c r="G6454" t="s">
        <v>655</v>
      </c>
      <c r="H6454" t="s">
        <v>7343</v>
      </c>
      <c r="I6454">
        <v>7</v>
      </c>
      <c r="J6454">
        <v>0</v>
      </c>
      <c r="K6454">
        <v>0</v>
      </c>
      <c r="L6454">
        <v>7</v>
      </c>
      <c r="M6454">
        <v>0</v>
      </c>
      <c r="N6454">
        <v>0</v>
      </c>
      <c r="O6454">
        <v>0</v>
      </c>
    </row>
    <row r="6455" spans="1:15" x14ac:dyDescent="0.25">
      <c r="A6455" t="s">
        <v>1520</v>
      </c>
      <c r="B6455" t="s">
        <v>2058</v>
      </c>
      <c r="C6455" t="s">
        <v>927</v>
      </c>
      <c r="D6455" t="s">
        <v>3052</v>
      </c>
      <c r="E6455" t="s">
        <v>3053</v>
      </c>
      <c r="F6455" t="s">
        <v>654</v>
      </c>
      <c r="G6455" t="s">
        <v>655</v>
      </c>
      <c r="H6455" t="s">
        <v>12281</v>
      </c>
      <c r="I6455">
        <v>11</v>
      </c>
      <c r="J6455">
        <v>11</v>
      </c>
      <c r="K6455">
        <v>0</v>
      </c>
      <c r="L6455">
        <v>0</v>
      </c>
      <c r="M6455">
        <v>0</v>
      </c>
      <c r="N6455">
        <v>0</v>
      </c>
      <c r="O6455">
        <v>0</v>
      </c>
    </row>
    <row r="6456" spans="1:15" x14ac:dyDescent="0.25">
      <c r="A6456" t="s">
        <v>1521</v>
      </c>
      <c r="B6456" t="s">
        <v>2920</v>
      </c>
      <c r="C6456" t="s">
        <v>927</v>
      </c>
      <c r="D6456" t="s">
        <v>3052</v>
      </c>
      <c r="E6456" t="s">
        <v>3053</v>
      </c>
      <c r="F6456" t="s">
        <v>654</v>
      </c>
      <c r="G6456" t="s">
        <v>655</v>
      </c>
      <c r="H6456" t="s">
        <v>7344</v>
      </c>
      <c r="I6456">
        <v>1054</v>
      </c>
      <c r="J6456">
        <v>893</v>
      </c>
      <c r="K6456">
        <v>0</v>
      </c>
      <c r="L6456">
        <v>26</v>
      </c>
      <c r="M6456">
        <v>55</v>
      </c>
      <c r="N6456">
        <v>0</v>
      </c>
      <c r="O6456">
        <v>80</v>
      </c>
    </row>
    <row r="6457" spans="1:15" x14ac:dyDescent="0.25">
      <c r="A6457" t="s">
        <v>1323</v>
      </c>
      <c r="B6457" t="s">
        <v>2612</v>
      </c>
      <c r="C6457" t="s">
        <v>923</v>
      </c>
      <c r="D6457" t="s">
        <v>3063</v>
      </c>
      <c r="E6457" t="s">
        <v>3053</v>
      </c>
      <c r="F6457" t="s">
        <v>654</v>
      </c>
      <c r="G6457" t="s">
        <v>655</v>
      </c>
      <c r="H6457" t="s">
        <v>7345</v>
      </c>
      <c r="I6457">
        <v>16</v>
      </c>
      <c r="J6457">
        <v>0</v>
      </c>
      <c r="K6457">
        <v>0</v>
      </c>
      <c r="L6457">
        <v>16</v>
      </c>
      <c r="M6457">
        <v>0</v>
      </c>
      <c r="N6457">
        <v>0</v>
      </c>
      <c r="O6457">
        <v>0</v>
      </c>
    </row>
    <row r="6458" spans="1:15" x14ac:dyDescent="0.25">
      <c r="A6458" t="s">
        <v>951</v>
      </c>
      <c r="B6458" t="s">
        <v>2680</v>
      </c>
      <c r="C6458" t="s">
        <v>927</v>
      </c>
      <c r="D6458" t="s">
        <v>3052</v>
      </c>
      <c r="E6458" t="s">
        <v>3053</v>
      </c>
      <c r="F6458" t="s">
        <v>654</v>
      </c>
      <c r="G6458" t="s">
        <v>655</v>
      </c>
      <c r="H6458" t="s">
        <v>7346</v>
      </c>
      <c r="I6458">
        <v>2327</v>
      </c>
      <c r="J6458">
        <v>1979</v>
      </c>
      <c r="K6458">
        <v>0</v>
      </c>
      <c r="L6458">
        <v>22</v>
      </c>
      <c r="M6458">
        <v>224</v>
      </c>
      <c r="N6458">
        <v>0</v>
      </c>
      <c r="O6458">
        <v>102</v>
      </c>
    </row>
    <row r="6459" spans="1:15" x14ac:dyDescent="0.25">
      <c r="A6459" t="s">
        <v>1048</v>
      </c>
      <c r="B6459" t="s">
        <v>2989</v>
      </c>
      <c r="C6459" t="s">
        <v>927</v>
      </c>
      <c r="D6459" t="s">
        <v>3052</v>
      </c>
      <c r="E6459" t="s">
        <v>3053</v>
      </c>
      <c r="F6459" t="s">
        <v>654</v>
      </c>
      <c r="G6459" t="s">
        <v>655</v>
      </c>
      <c r="H6459" t="s">
        <v>7347</v>
      </c>
      <c r="I6459">
        <v>194</v>
      </c>
      <c r="J6459">
        <v>2</v>
      </c>
      <c r="K6459">
        <v>0</v>
      </c>
      <c r="L6459">
        <v>152</v>
      </c>
      <c r="M6459">
        <v>40</v>
      </c>
      <c r="N6459">
        <v>0</v>
      </c>
      <c r="O6459">
        <v>0</v>
      </c>
    </row>
    <row r="6460" spans="1:15" x14ac:dyDescent="0.25">
      <c r="A6460" t="s">
        <v>1051</v>
      </c>
      <c r="B6460" t="s">
        <v>2995</v>
      </c>
      <c r="C6460" t="s">
        <v>927</v>
      </c>
      <c r="D6460" t="s">
        <v>3052</v>
      </c>
      <c r="E6460" t="s">
        <v>3053</v>
      </c>
      <c r="F6460" t="s">
        <v>654</v>
      </c>
      <c r="G6460" t="s">
        <v>655</v>
      </c>
      <c r="H6460" t="s">
        <v>7348</v>
      </c>
      <c r="I6460">
        <v>258</v>
      </c>
      <c r="J6460">
        <v>127</v>
      </c>
      <c r="K6460">
        <v>0</v>
      </c>
      <c r="L6460">
        <v>71</v>
      </c>
      <c r="M6460">
        <v>0</v>
      </c>
      <c r="N6460">
        <v>0</v>
      </c>
      <c r="O6460">
        <v>60</v>
      </c>
    </row>
    <row r="6461" spans="1:15" x14ac:dyDescent="0.25">
      <c r="A6461" t="s">
        <v>1529</v>
      </c>
      <c r="B6461" t="s">
        <v>1954</v>
      </c>
      <c r="C6461" t="s">
        <v>927</v>
      </c>
      <c r="D6461" t="s">
        <v>3052</v>
      </c>
      <c r="E6461" t="s">
        <v>3053</v>
      </c>
      <c r="F6461" t="s">
        <v>654</v>
      </c>
      <c r="G6461" t="s">
        <v>655</v>
      </c>
      <c r="H6461" t="s">
        <v>15088</v>
      </c>
      <c r="I6461">
        <v>14</v>
      </c>
      <c r="J6461">
        <v>14</v>
      </c>
      <c r="K6461">
        <v>0</v>
      </c>
      <c r="L6461">
        <v>0</v>
      </c>
      <c r="M6461">
        <v>0</v>
      </c>
      <c r="N6461">
        <v>0</v>
      </c>
      <c r="O6461">
        <v>0</v>
      </c>
    </row>
    <row r="6462" spans="1:15" x14ac:dyDescent="0.25">
      <c r="A6462" t="s">
        <v>11720</v>
      </c>
      <c r="B6462" t="s">
        <v>10718</v>
      </c>
      <c r="C6462" t="s">
        <v>927</v>
      </c>
      <c r="D6462" t="s">
        <v>3052</v>
      </c>
      <c r="E6462" t="s">
        <v>3053</v>
      </c>
      <c r="F6462" t="s">
        <v>654</v>
      </c>
      <c r="G6462" t="s">
        <v>655</v>
      </c>
      <c r="H6462" t="s">
        <v>15089</v>
      </c>
      <c r="I6462">
        <v>8</v>
      </c>
      <c r="J6462">
        <v>8</v>
      </c>
      <c r="K6462">
        <v>0</v>
      </c>
      <c r="L6462">
        <v>0</v>
      </c>
      <c r="M6462">
        <v>0</v>
      </c>
      <c r="N6462">
        <v>0</v>
      </c>
      <c r="O6462">
        <v>0</v>
      </c>
    </row>
    <row r="6463" spans="1:15" x14ac:dyDescent="0.25">
      <c r="A6463" t="s">
        <v>9788</v>
      </c>
      <c r="B6463" t="s">
        <v>9871</v>
      </c>
      <c r="C6463" t="s">
        <v>927</v>
      </c>
      <c r="D6463" t="s">
        <v>3052</v>
      </c>
      <c r="E6463" t="s">
        <v>3053</v>
      </c>
      <c r="F6463" t="s">
        <v>654</v>
      </c>
      <c r="G6463" t="s">
        <v>655</v>
      </c>
      <c r="H6463" t="s">
        <v>10368</v>
      </c>
      <c r="I6463">
        <v>44</v>
      </c>
      <c r="J6463">
        <v>44</v>
      </c>
      <c r="K6463">
        <v>0</v>
      </c>
      <c r="L6463">
        <v>0</v>
      </c>
      <c r="M6463">
        <v>0</v>
      </c>
      <c r="N6463">
        <v>0</v>
      </c>
      <c r="O6463">
        <v>0</v>
      </c>
    </row>
    <row r="6464" spans="1:15" x14ac:dyDescent="0.25">
      <c r="A6464" t="s">
        <v>1056</v>
      </c>
      <c r="B6464" t="s">
        <v>2966</v>
      </c>
      <c r="C6464" t="s">
        <v>927</v>
      </c>
      <c r="D6464" t="s">
        <v>3052</v>
      </c>
      <c r="E6464" t="s">
        <v>3053</v>
      </c>
      <c r="F6464" t="s">
        <v>654</v>
      </c>
      <c r="G6464" t="s">
        <v>655</v>
      </c>
      <c r="H6464" t="s">
        <v>7349</v>
      </c>
      <c r="I6464">
        <v>16</v>
      </c>
      <c r="J6464">
        <v>0</v>
      </c>
      <c r="K6464">
        <v>0</v>
      </c>
      <c r="L6464">
        <v>16</v>
      </c>
      <c r="M6464">
        <v>0</v>
      </c>
      <c r="N6464">
        <v>0</v>
      </c>
      <c r="O6464">
        <v>0</v>
      </c>
    </row>
    <row r="6465" spans="1:15" x14ac:dyDescent="0.25">
      <c r="A6465" t="s">
        <v>14374</v>
      </c>
      <c r="B6465" t="s">
        <v>1943</v>
      </c>
      <c r="C6465" t="s">
        <v>927</v>
      </c>
      <c r="D6465" t="s">
        <v>3052</v>
      </c>
      <c r="E6465" t="s">
        <v>3053</v>
      </c>
      <c r="F6465" t="s">
        <v>654</v>
      </c>
      <c r="G6465" t="s">
        <v>655</v>
      </c>
      <c r="H6465" t="s">
        <v>15090</v>
      </c>
      <c r="I6465">
        <v>42</v>
      </c>
      <c r="J6465">
        <v>0</v>
      </c>
      <c r="K6465">
        <v>0</v>
      </c>
      <c r="L6465">
        <v>0</v>
      </c>
      <c r="M6465">
        <v>0</v>
      </c>
      <c r="N6465">
        <v>0</v>
      </c>
      <c r="O6465">
        <v>42</v>
      </c>
    </row>
    <row r="6466" spans="1:15" x14ac:dyDescent="0.25">
      <c r="A6466" t="s">
        <v>1075</v>
      </c>
      <c r="B6466" t="s">
        <v>2830</v>
      </c>
      <c r="C6466" t="s">
        <v>927</v>
      </c>
      <c r="D6466" t="s">
        <v>3052</v>
      </c>
      <c r="E6466" t="s">
        <v>3053</v>
      </c>
      <c r="F6466" t="s">
        <v>654</v>
      </c>
      <c r="G6466" t="s">
        <v>655</v>
      </c>
      <c r="H6466" t="s">
        <v>7350</v>
      </c>
      <c r="I6466">
        <v>55</v>
      </c>
      <c r="J6466">
        <v>29</v>
      </c>
      <c r="K6466">
        <v>0</v>
      </c>
      <c r="L6466">
        <v>0</v>
      </c>
      <c r="M6466">
        <v>0</v>
      </c>
      <c r="N6466">
        <v>0</v>
      </c>
      <c r="O6466">
        <v>26</v>
      </c>
    </row>
    <row r="6467" spans="1:15" x14ac:dyDescent="0.25">
      <c r="A6467" t="s">
        <v>1083</v>
      </c>
      <c r="B6467" t="s">
        <v>2757</v>
      </c>
      <c r="C6467" t="s">
        <v>927</v>
      </c>
      <c r="D6467" t="s">
        <v>3052</v>
      </c>
      <c r="E6467" t="s">
        <v>3053</v>
      </c>
      <c r="F6467" t="s">
        <v>654</v>
      </c>
      <c r="G6467" t="s">
        <v>655</v>
      </c>
      <c r="H6467" t="s">
        <v>7351</v>
      </c>
      <c r="I6467">
        <v>960</v>
      </c>
      <c r="J6467">
        <v>610</v>
      </c>
      <c r="K6467">
        <v>0</v>
      </c>
      <c r="L6467">
        <v>31</v>
      </c>
      <c r="M6467">
        <v>251</v>
      </c>
      <c r="N6467">
        <v>0</v>
      </c>
      <c r="O6467">
        <v>68</v>
      </c>
    </row>
    <row r="6468" spans="1:15" x14ac:dyDescent="0.25">
      <c r="A6468" t="s">
        <v>1195</v>
      </c>
      <c r="B6468" t="s">
        <v>2924</v>
      </c>
      <c r="C6468" t="s">
        <v>927</v>
      </c>
      <c r="D6468" t="s">
        <v>3052</v>
      </c>
      <c r="E6468" t="s">
        <v>3053</v>
      </c>
      <c r="F6468" t="s">
        <v>656</v>
      </c>
      <c r="G6468" t="s">
        <v>657</v>
      </c>
      <c r="H6468" t="s">
        <v>7352</v>
      </c>
      <c r="I6468">
        <v>96</v>
      </c>
      <c r="J6468">
        <v>63</v>
      </c>
      <c r="K6468">
        <v>0</v>
      </c>
      <c r="L6468">
        <v>7</v>
      </c>
      <c r="M6468">
        <v>0</v>
      </c>
      <c r="N6468">
        <v>0</v>
      </c>
      <c r="O6468">
        <v>26</v>
      </c>
    </row>
    <row r="6469" spans="1:15" x14ac:dyDescent="0.25">
      <c r="A6469" t="s">
        <v>1564</v>
      </c>
      <c r="B6469" t="s">
        <v>3039</v>
      </c>
      <c r="C6469" t="s">
        <v>927</v>
      </c>
      <c r="D6469" t="s">
        <v>3052</v>
      </c>
      <c r="E6469" t="s">
        <v>3053</v>
      </c>
      <c r="F6469" t="s">
        <v>656</v>
      </c>
      <c r="G6469" t="s">
        <v>657</v>
      </c>
      <c r="H6469" t="s">
        <v>7353</v>
      </c>
      <c r="I6469">
        <v>45</v>
      </c>
      <c r="J6469">
        <v>16</v>
      </c>
      <c r="K6469">
        <v>0</v>
      </c>
      <c r="L6469">
        <v>0</v>
      </c>
      <c r="M6469">
        <v>0</v>
      </c>
      <c r="N6469">
        <v>0</v>
      </c>
      <c r="O6469">
        <v>29</v>
      </c>
    </row>
    <row r="6470" spans="1:15" x14ac:dyDescent="0.25">
      <c r="A6470" t="s">
        <v>1196</v>
      </c>
      <c r="B6470" t="s">
        <v>3004</v>
      </c>
      <c r="C6470" t="s">
        <v>927</v>
      </c>
      <c r="D6470" t="s">
        <v>3052</v>
      </c>
      <c r="E6470" t="s">
        <v>3053</v>
      </c>
      <c r="F6470" t="s">
        <v>656</v>
      </c>
      <c r="G6470" t="s">
        <v>657</v>
      </c>
      <c r="H6470" t="s">
        <v>7354</v>
      </c>
      <c r="I6470">
        <v>195</v>
      </c>
      <c r="J6470">
        <v>51</v>
      </c>
      <c r="K6470">
        <v>0</v>
      </c>
      <c r="L6470">
        <v>0</v>
      </c>
      <c r="M6470">
        <v>144</v>
      </c>
      <c r="N6470">
        <v>0</v>
      </c>
      <c r="O6470">
        <v>0</v>
      </c>
    </row>
    <row r="6471" spans="1:15" x14ac:dyDescent="0.25">
      <c r="A6471" t="s">
        <v>924</v>
      </c>
      <c r="B6471" t="s">
        <v>2963</v>
      </c>
      <c r="C6471" t="s">
        <v>923</v>
      </c>
      <c r="D6471" t="s">
        <v>3063</v>
      </c>
      <c r="E6471" t="s">
        <v>3053</v>
      </c>
      <c r="F6471" t="s">
        <v>656</v>
      </c>
      <c r="G6471" t="s">
        <v>657</v>
      </c>
      <c r="H6471" t="s">
        <v>7355</v>
      </c>
      <c r="I6471">
        <v>63</v>
      </c>
      <c r="J6471">
        <v>5</v>
      </c>
      <c r="K6471">
        <v>0</v>
      </c>
      <c r="L6471">
        <v>58</v>
      </c>
      <c r="M6471">
        <v>0</v>
      </c>
      <c r="N6471">
        <v>0</v>
      </c>
      <c r="O6471">
        <v>0</v>
      </c>
    </row>
    <row r="6472" spans="1:15" x14ac:dyDescent="0.25">
      <c r="A6472" t="s">
        <v>10568</v>
      </c>
      <c r="B6472" t="s">
        <v>10567</v>
      </c>
      <c r="C6472" t="s">
        <v>927</v>
      </c>
      <c r="D6472" t="s">
        <v>3052</v>
      </c>
      <c r="E6472" t="s">
        <v>3053</v>
      </c>
      <c r="F6472" t="s">
        <v>656</v>
      </c>
      <c r="G6472" t="s">
        <v>657</v>
      </c>
      <c r="H6472" t="s">
        <v>11262</v>
      </c>
      <c r="I6472">
        <v>125</v>
      </c>
      <c r="J6472">
        <v>90</v>
      </c>
      <c r="K6472">
        <v>0</v>
      </c>
      <c r="L6472">
        <v>8</v>
      </c>
      <c r="M6472">
        <v>0</v>
      </c>
      <c r="N6472">
        <v>0</v>
      </c>
      <c r="O6472">
        <v>27</v>
      </c>
    </row>
    <row r="6473" spans="1:15" x14ac:dyDescent="0.25">
      <c r="A6473" t="s">
        <v>926</v>
      </c>
      <c r="B6473" t="s">
        <v>2923</v>
      </c>
      <c r="C6473" t="s">
        <v>927</v>
      </c>
      <c r="D6473" t="s">
        <v>3052</v>
      </c>
      <c r="E6473" t="s">
        <v>3053</v>
      </c>
      <c r="F6473" t="s">
        <v>656</v>
      </c>
      <c r="G6473" t="s">
        <v>657</v>
      </c>
      <c r="H6473" t="s">
        <v>7356</v>
      </c>
      <c r="I6473">
        <v>1</v>
      </c>
      <c r="J6473">
        <v>0</v>
      </c>
      <c r="K6473">
        <v>0</v>
      </c>
      <c r="L6473">
        <v>0</v>
      </c>
      <c r="M6473">
        <v>0</v>
      </c>
      <c r="N6473">
        <v>0</v>
      </c>
      <c r="O6473">
        <v>1</v>
      </c>
    </row>
    <row r="6474" spans="1:15" x14ac:dyDescent="0.25">
      <c r="A6474" t="s">
        <v>929</v>
      </c>
      <c r="B6474" t="s">
        <v>2999</v>
      </c>
      <c r="C6474" t="s">
        <v>927</v>
      </c>
      <c r="D6474" t="s">
        <v>3052</v>
      </c>
      <c r="E6474" t="s">
        <v>3053</v>
      </c>
      <c r="F6474" t="s">
        <v>656</v>
      </c>
      <c r="G6474" t="s">
        <v>657</v>
      </c>
      <c r="H6474" t="s">
        <v>7357</v>
      </c>
      <c r="I6474">
        <v>86</v>
      </c>
      <c r="J6474">
        <v>0</v>
      </c>
      <c r="K6474">
        <v>0</v>
      </c>
      <c r="L6474">
        <v>0</v>
      </c>
      <c r="M6474">
        <v>86</v>
      </c>
      <c r="N6474">
        <v>0</v>
      </c>
      <c r="O6474">
        <v>0</v>
      </c>
    </row>
    <row r="6475" spans="1:15" x14ac:dyDescent="0.25">
      <c r="A6475" t="s">
        <v>9784</v>
      </c>
      <c r="B6475" t="s">
        <v>1994</v>
      </c>
      <c r="C6475" t="s">
        <v>927</v>
      </c>
      <c r="D6475" t="s">
        <v>3052</v>
      </c>
      <c r="E6475" t="s">
        <v>3053</v>
      </c>
      <c r="F6475" t="s">
        <v>656</v>
      </c>
      <c r="G6475" t="s">
        <v>657</v>
      </c>
      <c r="H6475" t="s">
        <v>9972</v>
      </c>
      <c r="I6475">
        <v>14</v>
      </c>
      <c r="J6475">
        <v>0</v>
      </c>
      <c r="K6475">
        <v>0</v>
      </c>
      <c r="L6475">
        <v>14</v>
      </c>
      <c r="M6475">
        <v>0</v>
      </c>
      <c r="N6475">
        <v>0</v>
      </c>
      <c r="O6475">
        <v>0</v>
      </c>
    </row>
    <row r="6476" spans="1:15" x14ac:dyDescent="0.25">
      <c r="A6476" t="s">
        <v>933</v>
      </c>
      <c r="B6476" t="s">
        <v>2106</v>
      </c>
      <c r="C6476" t="s">
        <v>927</v>
      </c>
      <c r="D6476" t="s">
        <v>3052</v>
      </c>
      <c r="E6476" t="s">
        <v>3053</v>
      </c>
      <c r="F6476" t="s">
        <v>656</v>
      </c>
      <c r="G6476" t="s">
        <v>657</v>
      </c>
      <c r="H6476" t="s">
        <v>7358</v>
      </c>
      <c r="I6476">
        <v>82</v>
      </c>
      <c r="J6476">
        <v>67</v>
      </c>
      <c r="K6476">
        <v>0</v>
      </c>
      <c r="L6476">
        <v>0</v>
      </c>
      <c r="M6476">
        <v>0</v>
      </c>
      <c r="N6476">
        <v>0</v>
      </c>
      <c r="O6476">
        <v>15</v>
      </c>
    </row>
    <row r="6477" spans="1:15" x14ac:dyDescent="0.25">
      <c r="A6477" t="s">
        <v>1104</v>
      </c>
      <c r="B6477" t="s">
        <v>2483</v>
      </c>
      <c r="C6477" t="s">
        <v>923</v>
      </c>
      <c r="D6477" t="s">
        <v>3063</v>
      </c>
      <c r="E6477" t="s">
        <v>3053</v>
      </c>
      <c r="F6477" t="s">
        <v>656</v>
      </c>
      <c r="G6477" t="s">
        <v>657</v>
      </c>
      <c r="H6477" t="s">
        <v>7359</v>
      </c>
      <c r="I6477">
        <v>59</v>
      </c>
      <c r="J6477">
        <v>59</v>
      </c>
      <c r="K6477">
        <v>0</v>
      </c>
      <c r="L6477">
        <v>0</v>
      </c>
      <c r="M6477">
        <v>0</v>
      </c>
      <c r="N6477">
        <v>1</v>
      </c>
      <c r="O6477">
        <v>0</v>
      </c>
    </row>
    <row r="6478" spans="1:15" x14ac:dyDescent="0.25">
      <c r="A6478" t="s">
        <v>991</v>
      </c>
      <c r="B6478" t="s">
        <v>1976</v>
      </c>
      <c r="C6478" t="s">
        <v>923</v>
      </c>
      <c r="D6478" t="s">
        <v>3063</v>
      </c>
      <c r="E6478" t="s">
        <v>3053</v>
      </c>
      <c r="F6478" t="s">
        <v>656</v>
      </c>
      <c r="G6478" t="s">
        <v>657</v>
      </c>
      <c r="H6478" t="s">
        <v>7360</v>
      </c>
      <c r="I6478">
        <v>13</v>
      </c>
      <c r="J6478">
        <v>0</v>
      </c>
      <c r="K6478">
        <v>0</v>
      </c>
      <c r="L6478">
        <v>13</v>
      </c>
      <c r="M6478">
        <v>0</v>
      </c>
      <c r="N6478">
        <v>0</v>
      </c>
      <c r="O6478">
        <v>0</v>
      </c>
    </row>
    <row r="6479" spans="1:15" x14ac:dyDescent="0.25">
      <c r="A6479" t="s">
        <v>996</v>
      </c>
      <c r="B6479" t="s">
        <v>1952</v>
      </c>
      <c r="C6479" t="s">
        <v>923</v>
      </c>
      <c r="D6479" t="s">
        <v>3063</v>
      </c>
      <c r="E6479" t="s">
        <v>3053</v>
      </c>
      <c r="F6479" t="s">
        <v>656</v>
      </c>
      <c r="G6479" t="s">
        <v>657</v>
      </c>
      <c r="H6479" t="s">
        <v>11263</v>
      </c>
      <c r="I6479">
        <v>6</v>
      </c>
      <c r="J6479">
        <v>0</v>
      </c>
      <c r="K6479">
        <v>0</v>
      </c>
      <c r="L6479">
        <v>6</v>
      </c>
      <c r="M6479">
        <v>0</v>
      </c>
      <c r="N6479">
        <v>0</v>
      </c>
      <c r="O6479">
        <v>0</v>
      </c>
    </row>
    <row r="6480" spans="1:15" x14ac:dyDescent="0.25">
      <c r="A6480" t="s">
        <v>937</v>
      </c>
      <c r="B6480" t="s">
        <v>1962</v>
      </c>
      <c r="C6480" t="s">
        <v>927</v>
      </c>
      <c r="D6480" t="s">
        <v>3052</v>
      </c>
      <c r="E6480" t="s">
        <v>3053</v>
      </c>
      <c r="F6480" t="s">
        <v>656</v>
      </c>
      <c r="G6480" t="s">
        <v>657</v>
      </c>
      <c r="H6480" t="s">
        <v>7361</v>
      </c>
      <c r="I6480">
        <v>2</v>
      </c>
      <c r="J6480">
        <v>0</v>
      </c>
      <c r="K6480">
        <v>0</v>
      </c>
      <c r="L6480">
        <v>0</v>
      </c>
      <c r="M6480">
        <v>0</v>
      </c>
      <c r="N6480">
        <v>0</v>
      </c>
      <c r="O6480">
        <v>2</v>
      </c>
    </row>
    <row r="6481" spans="1:15" x14ac:dyDescent="0.25">
      <c r="A6481" t="s">
        <v>938</v>
      </c>
      <c r="B6481" t="s">
        <v>2791</v>
      </c>
      <c r="C6481" t="s">
        <v>927</v>
      </c>
      <c r="D6481" t="s">
        <v>3052</v>
      </c>
      <c r="E6481" t="s">
        <v>3053</v>
      </c>
      <c r="F6481" t="s">
        <v>656</v>
      </c>
      <c r="G6481" t="s">
        <v>657</v>
      </c>
      <c r="H6481" t="s">
        <v>7362</v>
      </c>
      <c r="I6481">
        <v>431</v>
      </c>
      <c r="J6481">
        <v>247</v>
      </c>
      <c r="K6481">
        <v>0</v>
      </c>
      <c r="L6481">
        <v>0</v>
      </c>
      <c r="M6481">
        <v>118</v>
      </c>
      <c r="N6481">
        <v>0</v>
      </c>
      <c r="O6481">
        <v>66</v>
      </c>
    </row>
    <row r="6482" spans="1:15" x14ac:dyDescent="0.25">
      <c r="A6482" t="s">
        <v>1122</v>
      </c>
      <c r="B6482" t="s">
        <v>2823</v>
      </c>
      <c r="C6482" t="s">
        <v>927</v>
      </c>
      <c r="D6482" t="s">
        <v>3052</v>
      </c>
      <c r="E6482" t="s">
        <v>3053</v>
      </c>
      <c r="F6482" t="s">
        <v>656</v>
      </c>
      <c r="G6482" t="s">
        <v>657</v>
      </c>
      <c r="H6482" t="s">
        <v>7363</v>
      </c>
      <c r="I6482">
        <v>128</v>
      </c>
      <c r="J6482">
        <v>119</v>
      </c>
      <c r="K6482">
        <v>0</v>
      </c>
      <c r="L6482">
        <v>0</v>
      </c>
      <c r="M6482">
        <v>0</v>
      </c>
      <c r="N6482">
        <v>0</v>
      </c>
      <c r="O6482">
        <v>9</v>
      </c>
    </row>
    <row r="6483" spans="1:15" x14ac:dyDescent="0.25">
      <c r="A6483" t="s">
        <v>1025</v>
      </c>
      <c r="B6483" t="s">
        <v>2893</v>
      </c>
      <c r="C6483" t="s">
        <v>927</v>
      </c>
      <c r="D6483" t="s">
        <v>3052</v>
      </c>
      <c r="E6483" t="s">
        <v>3053</v>
      </c>
      <c r="F6483" t="s">
        <v>656</v>
      </c>
      <c r="G6483" t="s">
        <v>657</v>
      </c>
      <c r="H6483" t="s">
        <v>7364</v>
      </c>
      <c r="I6483">
        <v>466</v>
      </c>
      <c r="J6483">
        <v>265</v>
      </c>
      <c r="K6483">
        <v>0</v>
      </c>
      <c r="L6483">
        <v>0</v>
      </c>
      <c r="M6483">
        <v>0</v>
      </c>
      <c r="N6483">
        <v>28</v>
      </c>
      <c r="O6483">
        <v>201</v>
      </c>
    </row>
    <row r="6484" spans="1:15" x14ac:dyDescent="0.25">
      <c r="A6484" t="s">
        <v>1627</v>
      </c>
      <c r="B6484" t="s">
        <v>2035</v>
      </c>
      <c r="C6484" t="s">
        <v>923</v>
      </c>
      <c r="D6484" t="s">
        <v>3063</v>
      </c>
      <c r="E6484" t="s">
        <v>3053</v>
      </c>
      <c r="F6484" t="s">
        <v>656</v>
      </c>
      <c r="G6484" t="s">
        <v>657</v>
      </c>
      <c r="H6484" t="s">
        <v>7365</v>
      </c>
      <c r="I6484">
        <v>1</v>
      </c>
      <c r="J6484">
        <v>1</v>
      </c>
      <c r="K6484">
        <v>0</v>
      </c>
      <c r="L6484">
        <v>0</v>
      </c>
      <c r="M6484">
        <v>0</v>
      </c>
      <c r="N6484">
        <v>0</v>
      </c>
      <c r="O6484">
        <v>0</v>
      </c>
    </row>
    <row r="6485" spans="1:15" x14ac:dyDescent="0.25">
      <c r="A6485" t="s">
        <v>943</v>
      </c>
      <c r="B6485" t="s">
        <v>2694</v>
      </c>
      <c r="C6485" t="s">
        <v>927</v>
      </c>
      <c r="D6485" t="s">
        <v>3052</v>
      </c>
      <c r="E6485" t="s">
        <v>3053</v>
      </c>
      <c r="F6485" t="s">
        <v>656</v>
      </c>
      <c r="G6485" t="s">
        <v>657</v>
      </c>
      <c r="H6485" t="s">
        <v>7366</v>
      </c>
      <c r="I6485">
        <v>714</v>
      </c>
      <c r="J6485">
        <v>439</v>
      </c>
      <c r="K6485">
        <v>0</v>
      </c>
      <c r="L6485">
        <v>0</v>
      </c>
      <c r="M6485">
        <v>0</v>
      </c>
      <c r="N6485">
        <v>0</v>
      </c>
      <c r="O6485">
        <v>275</v>
      </c>
    </row>
    <row r="6486" spans="1:15" x14ac:dyDescent="0.25">
      <c r="A6486" t="s">
        <v>1031</v>
      </c>
      <c r="B6486" t="s">
        <v>2779</v>
      </c>
      <c r="C6486" t="s">
        <v>927</v>
      </c>
      <c r="D6486" t="s">
        <v>3052</v>
      </c>
      <c r="E6486" t="s">
        <v>3053</v>
      </c>
      <c r="F6486" t="s">
        <v>656</v>
      </c>
      <c r="G6486" t="s">
        <v>657</v>
      </c>
      <c r="H6486" t="s">
        <v>7367</v>
      </c>
      <c r="I6486">
        <v>52</v>
      </c>
      <c r="J6486">
        <v>52</v>
      </c>
      <c r="K6486">
        <v>0</v>
      </c>
      <c r="L6486">
        <v>0</v>
      </c>
      <c r="M6486">
        <v>0</v>
      </c>
      <c r="N6486">
        <v>0</v>
      </c>
      <c r="O6486">
        <v>0</v>
      </c>
    </row>
    <row r="6487" spans="1:15" x14ac:dyDescent="0.25">
      <c r="A6487" t="s">
        <v>1638</v>
      </c>
      <c r="B6487" t="s">
        <v>2359</v>
      </c>
      <c r="C6487" t="s">
        <v>923</v>
      </c>
      <c r="D6487" t="s">
        <v>3063</v>
      </c>
      <c r="E6487" t="s">
        <v>3053</v>
      </c>
      <c r="F6487" t="s">
        <v>656</v>
      </c>
      <c r="G6487" t="s">
        <v>657</v>
      </c>
      <c r="H6487" t="s">
        <v>7368</v>
      </c>
      <c r="I6487">
        <v>92</v>
      </c>
      <c r="J6487">
        <v>92</v>
      </c>
      <c r="K6487">
        <v>0</v>
      </c>
      <c r="L6487">
        <v>0</v>
      </c>
      <c r="M6487">
        <v>0</v>
      </c>
      <c r="N6487">
        <v>0</v>
      </c>
      <c r="O6487">
        <v>0</v>
      </c>
    </row>
    <row r="6488" spans="1:15" x14ac:dyDescent="0.25">
      <c r="A6488" t="s">
        <v>1043</v>
      </c>
      <c r="B6488" t="s">
        <v>2090</v>
      </c>
      <c r="C6488" t="s">
        <v>927</v>
      </c>
      <c r="D6488" t="s">
        <v>3052</v>
      </c>
      <c r="E6488" t="s">
        <v>3053</v>
      </c>
      <c r="F6488" t="s">
        <v>656</v>
      </c>
      <c r="G6488" t="s">
        <v>657</v>
      </c>
      <c r="H6488" t="s">
        <v>7369</v>
      </c>
      <c r="I6488">
        <v>26</v>
      </c>
      <c r="J6488">
        <v>26</v>
      </c>
      <c r="K6488">
        <v>0</v>
      </c>
      <c r="L6488">
        <v>0</v>
      </c>
      <c r="M6488">
        <v>0</v>
      </c>
      <c r="N6488">
        <v>0</v>
      </c>
      <c r="O6488">
        <v>0</v>
      </c>
    </row>
    <row r="6489" spans="1:15" x14ac:dyDescent="0.25">
      <c r="A6489" t="s">
        <v>1146</v>
      </c>
      <c r="B6489" t="s">
        <v>2117</v>
      </c>
      <c r="C6489" t="s">
        <v>927</v>
      </c>
      <c r="D6489" t="s">
        <v>3052</v>
      </c>
      <c r="E6489" t="s">
        <v>3053</v>
      </c>
      <c r="F6489" t="s">
        <v>656</v>
      </c>
      <c r="G6489" t="s">
        <v>657</v>
      </c>
      <c r="H6489" t="s">
        <v>15091</v>
      </c>
      <c r="I6489">
        <v>1019</v>
      </c>
      <c r="J6489">
        <v>757</v>
      </c>
      <c r="K6489">
        <v>0</v>
      </c>
      <c r="L6489">
        <v>0</v>
      </c>
      <c r="M6489">
        <v>91</v>
      </c>
      <c r="N6489">
        <v>14</v>
      </c>
      <c r="O6489">
        <v>171</v>
      </c>
    </row>
    <row r="6490" spans="1:15" x14ac:dyDescent="0.25">
      <c r="A6490" t="s">
        <v>951</v>
      </c>
      <c r="B6490" t="s">
        <v>2680</v>
      </c>
      <c r="C6490" t="s">
        <v>927</v>
      </c>
      <c r="D6490" t="s">
        <v>3052</v>
      </c>
      <c r="E6490" t="s">
        <v>3053</v>
      </c>
      <c r="F6490" t="s">
        <v>656</v>
      </c>
      <c r="G6490" t="s">
        <v>657</v>
      </c>
      <c r="H6490" t="s">
        <v>7370</v>
      </c>
      <c r="I6490">
        <v>16</v>
      </c>
      <c r="J6490">
        <v>0</v>
      </c>
      <c r="K6490">
        <v>0</v>
      </c>
      <c r="L6490">
        <v>0</v>
      </c>
      <c r="M6490">
        <v>0</v>
      </c>
      <c r="N6490">
        <v>0</v>
      </c>
      <c r="O6490">
        <v>16</v>
      </c>
    </row>
    <row r="6491" spans="1:15" x14ac:dyDescent="0.25">
      <c r="A6491" t="s">
        <v>1645</v>
      </c>
      <c r="B6491" t="s">
        <v>2906</v>
      </c>
      <c r="C6491" t="s">
        <v>923</v>
      </c>
      <c r="D6491" t="s">
        <v>3063</v>
      </c>
      <c r="E6491" t="s">
        <v>3053</v>
      </c>
      <c r="F6491" t="s">
        <v>656</v>
      </c>
      <c r="G6491" t="s">
        <v>657</v>
      </c>
      <c r="H6491" t="s">
        <v>7371</v>
      </c>
      <c r="I6491">
        <v>40</v>
      </c>
      <c r="J6491">
        <v>0</v>
      </c>
      <c r="K6491">
        <v>0</v>
      </c>
      <c r="L6491">
        <v>40</v>
      </c>
      <c r="M6491">
        <v>0</v>
      </c>
      <c r="N6491">
        <v>0</v>
      </c>
      <c r="O6491">
        <v>0</v>
      </c>
    </row>
    <row r="6492" spans="1:15" x14ac:dyDescent="0.25">
      <c r="A6492" t="s">
        <v>9788</v>
      </c>
      <c r="B6492" t="s">
        <v>9871</v>
      </c>
      <c r="C6492" t="s">
        <v>927</v>
      </c>
      <c r="D6492" t="s">
        <v>3052</v>
      </c>
      <c r="E6492" t="s">
        <v>3053</v>
      </c>
      <c r="F6492" t="s">
        <v>656</v>
      </c>
      <c r="G6492" t="s">
        <v>657</v>
      </c>
      <c r="H6492" t="s">
        <v>11264</v>
      </c>
      <c r="I6492">
        <v>20</v>
      </c>
      <c r="J6492">
        <v>20</v>
      </c>
      <c r="K6492">
        <v>0</v>
      </c>
      <c r="L6492">
        <v>0</v>
      </c>
      <c r="M6492">
        <v>0</v>
      </c>
      <c r="N6492">
        <v>0</v>
      </c>
      <c r="O6492">
        <v>0</v>
      </c>
    </row>
    <row r="6493" spans="1:15" x14ac:dyDescent="0.25">
      <c r="A6493" t="s">
        <v>1056</v>
      </c>
      <c r="B6493" t="s">
        <v>2966</v>
      </c>
      <c r="C6493" t="s">
        <v>927</v>
      </c>
      <c r="D6493" t="s">
        <v>3052</v>
      </c>
      <c r="E6493" t="s">
        <v>3053</v>
      </c>
      <c r="F6493" t="s">
        <v>656</v>
      </c>
      <c r="G6493" t="s">
        <v>657</v>
      </c>
      <c r="H6493" t="s">
        <v>7372</v>
      </c>
      <c r="I6493">
        <v>39</v>
      </c>
      <c r="J6493">
        <v>0</v>
      </c>
      <c r="K6493">
        <v>0</v>
      </c>
      <c r="L6493">
        <v>39</v>
      </c>
      <c r="M6493">
        <v>0</v>
      </c>
      <c r="N6493">
        <v>0</v>
      </c>
      <c r="O6493">
        <v>0</v>
      </c>
    </row>
    <row r="6494" spans="1:15" x14ac:dyDescent="0.25">
      <c r="A6494" t="s">
        <v>955</v>
      </c>
      <c r="B6494" t="s">
        <v>2660</v>
      </c>
      <c r="C6494" t="s">
        <v>927</v>
      </c>
      <c r="D6494" t="s">
        <v>3052</v>
      </c>
      <c r="E6494" t="s">
        <v>3053</v>
      </c>
      <c r="F6494" t="s">
        <v>656</v>
      </c>
      <c r="G6494" t="s">
        <v>657</v>
      </c>
      <c r="H6494" t="s">
        <v>7373</v>
      </c>
      <c r="I6494">
        <v>254</v>
      </c>
      <c r="J6494">
        <v>237</v>
      </c>
      <c r="K6494">
        <v>0</v>
      </c>
      <c r="L6494">
        <v>0</v>
      </c>
      <c r="M6494">
        <v>0</v>
      </c>
      <c r="N6494">
        <v>0</v>
      </c>
      <c r="O6494">
        <v>17</v>
      </c>
    </row>
    <row r="6495" spans="1:15" x14ac:dyDescent="0.25">
      <c r="A6495" t="s">
        <v>1660</v>
      </c>
      <c r="B6495" t="s">
        <v>2827</v>
      </c>
      <c r="C6495" t="s">
        <v>927</v>
      </c>
      <c r="D6495" t="s">
        <v>3052</v>
      </c>
      <c r="E6495" t="s">
        <v>3053</v>
      </c>
      <c r="F6495" t="s">
        <v>656</v>
      </c>
      <c r="G6495" t="s">
        <v>657</v>
      </c>
      <c r="H6495" t="s">
        <v>7374</v>
      </c>
      <c r="I6495">
        <v>1</v>
      </c>
      <c r="J6495">
        <v>0</v>
      </c>
      <c r="K6495">
        <v>0</v>
      </c>
      <c r="L6495">
        <v>0</v>
      </c>
      <c r="M6495">
        <v>0</v>
      </c>
      <c r="N6495">
        <v>0</v>
      </c>
      <c r="O6495">
        <v>1</v>
      </c>
    </row>
    <row r="6496" spans="1:15" x14ac:dyDescent="0.25">
      <c r="A6496" t="s">
        <v>11663</v>
      </c>
      <c r="B6496" t="s">
        <v>11768</v>
      </c>
      <c r="C6496" t="s">
        <v>927</v>
      </c>
      <c r="D6496" t="s">
        <v>3052</v>
      </c>
      <c r="E6496" t="s">
        <v>3053</v>
      </c>
      <c r="F6496" t="s">
        <v>656</v>
      </c>
      <c r="G6496" t="s">
        <v>657</v>
      </c>
      <c r="H6496" t="s">
        <v>12282</v>
      </c>
      <c r="I6496">
        <v>792</v>
      </c>
      <c r="J6496">
        <v>584</v>
      </c>
      <c r="K6496">
        <v>0</v>
      </c>
      <c r="L6496">
        <v>0</v>
      </c>
      <c r="M6496">
        <v>142</v>
      </c>
      <c r="N6496">
        <v>1</v>
      </c>
      <c r="O6496">
        <v>66</v>
      </c>
    </row>
    <row r="6497" spans="1:15" x14ac:dyDescent="0.25">
      <c r="A6497" t="s">
        <v>960</v>
      </c>
      <c r="B6497" t="s">
        <v>2080</v>
      </c>
      <c r="C6497" t="s">
        <v>927</v>
      </c>
      <c r="D6497" t="s">
        <v>3052</v>
      </c>
      <c r="E6497" t="s">
        <v>3053</v>
      </c>
      <c r="F6497" t="s">
        <v>656</v>
      </c>
      <c r="G6497" t="s">
        <v>657</v>
      </c>
      <c r="H6497" t="s">
        <v>7375</v>
      </c>
      <c r="I6497">
        <v>303</v>
      </c>
      <c r="J6497">
        <v>218</v>
      </c>
      <c r="K6497">
        <v>0</v>
      </c>
      <c r="L6497">
        <v>8</v>
      </c>
      <c r="M6497">
        <v>0</v>
      </c>
      <c r="N6497">
        <v>0</v>
      </c>
      <c r="O6497">
        <v>77</v>
      </c>
    </row>
    <row r="6498" spans="1:15" x14ac:dyDescent="0.25">
      <c r="A6498" t="s">
        <v>14380</v>
      </c>
      <c r="B6498" t="s">
        <v>2074</v>
      </c>
      <c r="C6498" t="s">
        <v>927</v>
      </c>
      <c r="D6498" t="s">
        <v>3052</v>
      </c>
      <c r="E6498" t="s">
        <v>3053</v>
      </c>
      <c r="F6498" t="s">
        <v>656</v>
      </c>
      <c r="G6498" t="s">
        <v>657</v>
      </c>
      <c r="H6498" t="s">
        <v>15092</v>
      </c>
      <c r="I6498">
        <v>42</v>
      </c>
      <c r="J6498">
        <v>0</v>
      </c>
      <c r="K6498">
        <v>0</v>
      </c>
      <c r="L6498">
        <v>0</v>
      </c>
      <c r="M6498">
        <v>0</v>
      </c>
      <c r="N6498">
        <v>0</v>
      </c>
      <c r="O6498">
        <v>42</v>
      </c>
    </row>
    <row r="6499" spans="1:15" x14ac:dyDescent="0.25">
      <c r="A6499" t="s">
        <v>14374</v>
      </c>
      <c r="B6499" t="s">
        <v>1943</v>
      </c>
      <c r="C6499" t="s">
        <v>927</v>
      </c>
      <c r="D6499" t="s">
        <v>3052</v>
      </c>
      <c r="E6499" t="s">
        <v>3053</v>
      </c>
      <c r="F6499" t="s">
        <v>656</v>
      </c>
      <c r="G6499" t="s">
        <v>657</v>
      </c>
      <c r="H6499" t="s">
        <v>15093</v>
      </c>
      <c r="I6499">
        <v>6</v>
      </c>
      <c r="J6499">
        <v>0</v>
      </c>
      <c r="K6499">
        <v>0</v>
      </c>
      <c r="L6499">
        <v>0</v>
      </c>
      <c r="M6499">
        <v>0</v>
      </c>
      <c r="N6499">
        <v>0</v>
      </c>
      <c r="O6499">
        <v>6</v>
      </c>
    </row>
    <row r="6500" spans="1:15" x14ac:dyDescent="0.25">
      <c r="A6500" t="s">
        <v>1158</v>
      </c>
      <c r="B6500" t="s">
        <v>2922</v>
      </c>
      <c r="C6500" t="s">
        <v>927</v>
      </c>
      <c r="D6500" t="s">
        <v>3052</v>
      </c>
      <c r="E6500" t="s">
        <v>3053</v>
      </c>
      <c r="F6500" t="s">
        <v>656</v>
      </c>
      <c r="G6500" t="s">
        <v>657</v>
      </c>
      <c r="H6500" t="s">
        <v>10427</v>
      </c>
      <c r="I6500">
        <v>10</v>
      </c>
      <c r="J6500">
        <v>0</v>
      </c>
      <c r="K6500">
        <v>0</v>
      </c>
      <c r="L6500">
        <v>10</v>
      </c>
      <c r="M6500">
        <v>0</v>
      </c>
      <c r="N6500">
        <v>0</v>
      </c>
      <c r="O6500">
        <v>0</v>
      </c>
    </row>
    <row r="6501" spans="1:15" x14ac:dyDescent="0.25">
      <c r="A6501" t="s">
        <v>962</v>
      </c>
      <c r="B6501" t="s">
        <v>2752</v>
      </c>
      <c r="C6501" t="s">
        <v>927</v>
      </c>
      <c r="D6501" t="s">
        <v>3052</v>
      </c>
      <c r="E6501" t="s">
        <v>3053</v>
      </c>
      <c r="F6501" t="s">
        <v>656</v>
      </c>
      <c r="G6501" t="s">
        <v>657</v>
      </c>
      <c r="H6501" t="s">
        <v>7376</v>
      </c>
      <c r="I6501">
        <v>510</v>
      </c>
      <c r="J6501">
        <v>466</v>
      </c>
      <c r="K6501">
        <v>0</v>
      </c>
      <c r="L6501">
        <v>0</v>
      </c>
      <c r="M6501">
        <v>28</v>
      </c>
      <c r="N6501">
        <v>0</v>
      </c>
      <c r="O6501">
        <v>16</v>
      </c>
    </row>
    <row r="6502" spans="1:15" x14ac:dyDescent="0.25">
      <c r="A6502" t="s">
        <v>966</v>
      </c>
      <c r="B6502" t="s">
        <v>2684</v>
      </c>
      <c r="C6502" t="s">
        <v>927</v>
      </c>
      <c r="D6502" t="s">
        <v>3052</v>
      </c>
      <c r="E6502" t="s">
        <v>3053</v>
      </c>
      <c r="F6502" t="s">
        <v>656</v>
      </c>
      <c r="G6502" t="s">
        <v>657</v>
      </c>
      <c r="H6502" t="s">
        <v>7377</v>
      </c>
      <c r="I6502">
        <v>9</v>
      </c>
      <c r="J6502">
        <v>9</v>
      </c>
      <c r="K6502">
        <v>0</v>
      </c>
      <c r="L6502">
        <v>0</v>
      </c>
      <c r="M6502">
        <v>0</v>
      </c>
      <c r="N6502">
        <v>0</v>
      </c>
      <c r="O6502">
        <v>0</v>
      </c>
    </row>
    <row r="6503" spans="1:15" x14ac:dyDescent="0.25">
      <c r="A6503" t="s">
        <v>1078</v>
      </c>
      <c r="B6503" t="s">
        <v>1950</v>
      </c>
      <c r="C6503" t="s">
        <v>923</v>
      </c>
      <c r="D6503" t="s">
        <v>3063</v>
      </c>
      <c r="E6503" t="s">
        <v>3053</v>
      </c>
      <c r="F6503" t="s">
        <v>656</v>
      </c>
      <c r="G6503" t="s">
        <v>657</v>
      </c>
      <c r="H6503" t="s">
        <v>7378</v>
      </c>
      <c r="I6503">
        <v>14</v>
      </c>
      <c r="J6503">
        <v>0</v>
      </c>
      <c r="K6503">
        <v>0</v>
      </c>
      <c r="L6503">
        <v>14</v>
      </c>
      <c r="M6503">
        <v>0</v>
      </c>
      <c r="N6503">
        <v>0</v>
      </c>
      <c r="O6503">
        <v>0</v>
      </c>
    </row>
    <row r="6504" spans="1:15" x14ac:dyDescent="0.25">
      <c r="A6504" t="s">
        <v>926</v>
      </c>
      <c r="B6504" t="s">
        <v>2923</v>
      </c>
      <c r="C6504" t="s">
        <v>927</v>
      </c>
      <c r="D6504" t="s">
        <v>3052</v>
      </c>
      <c r="E6504" t="s">
        <v>3053</v>
      </c>
      <c r="F6504" t="s">
        <v>658</v>
      </c>
      <c r="G6504" t="s">
        <v>659</v>
      </c>
      <c r="H6504" t="s">
        <v>7379</v>
      </c>
      <c r="I6504">
        <v>15</v>
      </c>
      <c r="J6504">
        <v>0</v>
      </c>
      <c r="K6504">
        <v>0</v>
      </c>
      <c r="L6504">
        <v>15</v>
      </c>
      <c r="M6504">
        <v>0</v>
      </c>
      <c r="N6504">
        <v>0</v>
      </c>
      <c r="O6504">
        <v>0</v>
      </c>
    </row>
    <row r="6505" spans="1:15" x14ac:dyDescent="0.25">
      <c r="A6505" t="s">
        <v>929</v>
      </c>
      <c r="B6505" t="s">
        <v>2999</v>
      </c>
      <c r="C6505" t="s">
        <v>927</v>
      </c>
      <c r="D6505" t="s">
        <v>3052</v>
      </c>
      <c r="E6505" t="s">
        <v>3053</v>
      </c>
      <c r="F6505" t="s">
        <v>658</v>
      </c>
      <c r="G6505" t="s">
        <v>659</v>
      </c>
      <c r="H6505" t="s">
        <v>7380</v>
      </c>
      <c r="I6505">
        <v>325</v>
      </c>
      <c r="J6505">
        <v>0</v>
      </c>
      <c r="K6505">
        <v>0</v>
      </c>
      <c r="L6505">
        <v>0</v>
      </c>
      <c r="M6505">
        <v>291</v>
      </c>
      <c r="N6505">
        <v>0</v>
      </c>
      <c r="O6505">
        <v>34</v>
      </c>
    </row>
    <row r="6506" spans="1:15" x14ac:dyDescent="0.25">
      <c r="A6506" t="s">
        <v>1219</v>
      </c>
      <c r="B6506" t="s">
        <v>2569</v>
      </c>
      <c r="C6506" t="s">
        <v>923</v>
      </c>
      <c r="D6506" t="s">
        <v>3063</v>
      </c>
      <c r="E6506" t="s">
        <v>3053</v>
      </c>
      <c r="F6506" t="s">
        <v>658</v>
      </c>
      <c r="G6506" t="s">
        <v>659</v>
      </c>
      <c r="H6506" t="s">
        <v>7381</v>
      </c>
      <c r="I6506">
        <v>67</v>
      </c>
      <c r="J6506">
        <v>2</v>
      </c>
      <c r="K6506">
        <v>0</v>
      </c>
      <c r="L6506">
        <v>65</v>
      </c>
      <c r="M6506">
        <v>0</v>
      </c>
      <c r="N6506">
        <v>0</v>
      </c>
      <c r="O6506">
        <v>0</v>
      </c>
    </row>
    <row r="6507" spans="1:15" x14ac:dyDescent="0.25">
      <c r="A6507" t="s">
        <v>933</v>
      </c>
      <c r="B6507" t="s">
        <v>2106</v>
      </c>
      <c r="C6507" t="s">
        <v>927</v>
      </c>
      <c r="D6507" t="s">
        <v>3052</v>
      </c>
      <c r="E6507" t="s">
        <v>3053</v>
      </c>
      <c r="F6507" t="s">
        <v>658</v>
      </c>
      <c r="G6507" t="s">
        <v>659</v>
      </c>
      <c r="H6507" t="s">
        <v>7382</v>
      </c>
      <c r="I6507">
        <v>479</v>
      </c>
      <c r="J6507">
        <v>396</v>
      </c>
      <c r="K6507">
        <v>0</v>
      </c>
      <c r="L6507">
        <v>0</v>
      </c>
      <c r="M6507">
        <v>0</v>
      </c>
      <c r="N6507">
        <v>6</v>
      </c>
      <c r="O6507">
        <v>83</v>
      </c>
    </row>
    <row r="6508" spans="1:15" x14ac:dyDescent="0.25">
      <c r="A6508" t="s">
        <v>1227</v>
      </c>
      <c r="B6508" t="s">
        <v>2023</v>
      </c>
      <c r="C6508" t="s">
        <v>923</v>
      </c>
      <c r="D6508" t="s">
        <v>3063</v>
      </c>
      <c r="E6508" t="s">
        <v>3053</v>
      </c>
      <c r="F6508" t="s">
        <v>658</v>
      </c>
      <c r="G6508" t="s">
        <v>659</v>
      </c>
      <c r="H6508" t="s">
        <v>10042</v>
      </c>
      <c r="I6508">
        <v>10</v>
      </c>
      <c r="J6508">
        <v>10</v>
      </c>
      <c r="K6508">
        <v>0</v>
      </c>
      <c r="L6508">
        <v>0</v>
      </c>
      <c r="M6508">
        <v>0</v>
      </c>
      <c r="N6508">
        <v>0</v>
      </c>
      <c r="O6508">
        <v>0</v>
      </c>
    </row>
    <row r="6509" spans="1:15" x14ac:dyDescent="0.25">
      <c r="A6509" t="s">
        <v>1111</v>
      </c>
      <c r="B6509" t="s">
        <v>2795</v>
      </c>
      <c r="C6509" t="s">
        <v>927</v>
      </c>
      <c r="D6509" t="s">
        <v>3052</v>
      </c>
      <c r="E6509" t="s">
        <v>3053</v>
      </c>
      <c r="F6509" t="s">
        <v>658</v>
      </c>
      <c r="G6509" t="s">
        <v>659</v>
      </c>
      <c r="H6509" t="s">
        <v>7383</v>
      </c>
      <c r="I6509">
        <v>42</v>
      </c>
      <c r="J6509">
        <v>42</v>
      </c>
      <c r="K6509">
        <v>0</v>
      </c>
      <c r="L6509">
        <v>0</v>
      </c>
      <c r="M6509">
        <v>0</v>
      </c>
      <c r="N6509">
        <v>0</v>
      </c>
      <c r="O6509">
        <v>0</v>
      </c>
    </row>
    <row r="6510" spans="1:15" x14ac:dyDescent="0.25">
      <c r="A6510" t="s">
        <v>1246</v>
      </c>
      <c r="B6510" t="s">
        <v>2652</v>
      </c>
      <c r="C6510" t="s">
        <v>923</v>
      </c>
      <c r="D6510" t="s">
        <v>3063</v>
      </c>
      <c r="E6510" t="s">
        <v>3053</v>
      </c>
      <c r="F6510" t="s">
        <v>658</v>
      </c>
      <c r="G6510" t="s">
        <v>659</v>
      </c>
      <c r="H6510" t="s">
        <v>7384</v>
      </c>
      <c r="I6510">
        <v>124</v>
      </c>
      <c r="J6510">
        <v>124</v>
      </c>
      <c r="K6510">
        <v>0</v>
      </c>
      <c r="L6510">
        <v>0</v>
      </c>
      <c r="M6510">
        <v>0</v>
      </c>
      <c r="N6510">
        <v>0</v>
      </c>
      <c r="O6510">
        <v>0</v>
      </c>
    </row>
    <row r="6511" spans="1:15" x14ac:dyDescent="0.25">
      <c r="A6511" t="s">
        <v>10638</v>
      </c>
      <c r="B6511" t="s">
        <v>2057</v>
      </c>
      <c r="C6511" t="s">
        <v>927</v>
      </c>
      <c r="D6511" t="s">
        <v>3052</v>
      </c>
      <c r="E6511" t="s">
        <v>3053</v>
      </c>
      <c r="F6511" t="s">
        <v>658</v>
      </c>
      <c r="G6511" t="s">
        <v>659</v>
      </c>
      <c r="H6511" t="s">
        <v>11265</v>
      </c>
      <c r="I6511">
        <v>17</v>
      </c>
      <c r="J6511">
        <v>0</v>
      </c>
      <c r="K6511">
        <v>0</v>
      </c>
      <c r="L6511">
        <v>17</v>
      </c>
      <c r="M6511">
        <v>0</v>
      </c>
      <c r="N6511">
        <v>0</v>
      </c>
      <c r="O6511">
        <v>0</v>
      </c>
    </row>
    <row r="6512" spans="1:15" x14ac:dyDescent="0.25">
      <c r="A6512" t="s">
        <v>1008</v>
      </c>
      <c r="B6512" t="s">
        <v>2928</v>
      </c>
      <c r="C6512" t="s">
        <v>927</v>
      </c>
      <c r="D6512" t="s">
        <v>3052</v>
      </c>
      <c r="E6512" t="s">
        <v>3053</v>
      </c>
      <c r="F6512" t="s">
        <v>658</v>
      </c>
      <c r="G6512" t="s">
        <v>659</v>
      </c>
      <c r="H6512" t="s">
        <v>7385</v>
      </c>
      <c r="I6512">
        <v>46</v>
      </c>
      <c r="J6512">
        <v>17</v>
      </c>
      <c r="K6512">
        <v>0</v>
      </c>
      <c r="L6512">
        <v>29</v>
      </c>
      <c r="M6512">
        <v>0</v>
      </c>
      <c r="N6512">
        <v>0</v>
      </c>
      <c r="O6512">
        <v>0</v>
      </c>
    </row>
    <row r="6513" spans="1:15" x14ac:dyDescent="0.25">
      <c r="A6513" t="s">
        <v>937</v>
      </c>
      <c r="B6513" t="s">
        <v>1962</v>
      </c>
      <c r="C6513" t="s">
        <v>927</v>
      </c>
      <c r="D6513" t="s">
        <v>3052</v>
      </c>
      <c r="E6513" t="s">
        <v>3053</v>
      </c>
      <c r="F6513" t="s">
        <v>658</v>
      </c>
      <c r="G6513" t="s">
        <v>659</v>
      </c>
      <c r="H6513" t="s">
        <v>7386</v>
      </c>
      <c r="I6513">
        <v>3</v>
      </c>
      <c r="J6513">
        <v>0</v>
      </c>
      <c r="K6513">
        <v>0</v>
      </c>
      <c r="L6513">
        <v>0</v>
      </c>
      <c r="M6513">
        <v>0</v>
      </c>
      <c r="N6513">
        <v>0</v>
      </c>
      <c r="O6513">
        <v>3</v>
      </c>
    </row>
    <row r="6514" spans="1:15" x14ac:dyDescent="0.25">
      <c r="A6514" t="s">
        <v>938</v>
      </c>
      <c r="B6514" t="s">
        <v>2791</v>
      </c>
      <c r="C6514" t="s">
        <v>927</v>
      </c>
      <c r="D6514" t="s">
        <v>3052</v>
      </c>
      <c r="E6514" t="s">
        <v>3053</v>
      </c>
      <c r="F6514" t="s">
        <v>658</v>
      </c>
      <c r="G6514" t="s">
        <v>659</v>
      </c>
      <c r="H6514" t="s">
        <v>7387</v>
      </c>
      <c r="I6514">
        <v>73</v>
      </c>
      <c r="J6514">
        <v>73</v>
      </c>
      <c r="K6514">
        <v>0</v>
      </c>
      <c r="L6514">
        <v>0</v>
      </c>
      <c r="M6514">
        <v>0</v>
      </c>
      <c r="N6514">
        <v>0</v>
      </c>
      <c r="O6514">
        <v>0</v>
      </c>
    </row>
    <row r="6515" spans="1:15" x14ac:dyDescent="0.25">
      <c r="A6515" t="s">
        <v>1270</v>
      </c>
      <c r="B6515" t="s">
        <v>2961</v>
      </c>
      <c r="C6515" t="s">
        <v>923</v>
      </c>
      <c r="D6515" t="s">
        <v>3063</v>
      </c>
      <c r="E6515" t="s">
        <v>3053</v>
      </c>
      <c r="F6515" t="s">
        <v>658</v>
      </c>
      <c r="G6515" t="s">
        <v>659</v>
      </c>
      <c r="H6515" t="s">
        <v>7388</v>
      </c>
      <c r="I6515">
        <v>70</v>
      </c>
      <c r="J6515">
        <v>0</v>
      </c>
      <c r="K6515">
        <v>0</v>
      </c>
      <c r="L6515">
        <v>0</v>
      </c>
      <c r="M6515">
        <v>70</v>
      </c>
      <c r="N6515">
        <v>0</v>
      </c>
      <c r="O6515">
        <v>0</v>
      </c>
    </row>
    <row r="6516" spans="1:15" x14ac:dyDescent="0.25">
      <c r="A6516" t="s">
        <v>940</v>
      </c>
      <c r="B6516" t="s">
        <v>2647</v>
      </c>
      <c r="C6516" t="s">
        <v>927</v>
      </c>
      <c r="D6516" t="s">
        <v>3052</v>
      </c>
      <c r="E6516" t="s">
        <v>3053</v>
      </c>
      <c r="F6516" t="s">
        <v>658</v>
      </c>
      <c r="G6516" t="s">
        <v>659</v>
      </c>
      <c r="H6516" t="s">
        <v>7389</v>
      </c>
      <c r="I6516">
        <v>232</v>
      </c>
      <c r="J6516">
        <v>0</v>
      </c>
      <c r="K6516">
        <v>0</v>
      </c>
      <c r="L6516">
        <v>0</v>
      </c>
      <c r="M6516">
        <v>220</v>
      </c>
      <c r="N6516">
        <v>0</v>
      </c>
      <c r="O6516">
        <v>12</v>
      </c>
    </row>
    <row r="6517" spans="1:15" x14ac:dyDescent="0.25">
      <c r="A6517" t="s">
        <v>1127</v>
      </c>
      <c r="B6517" t="s">
        <v>3034</v>
      </c>
      <c r="C6517" t="s">
        <v>927</v>
      </c>
      <c r="D6517" t="s">
        <v>3052</v>
      </c>
      <c r="E6517" t="s">
        <v>3053</v>
      </c>
      <c r="F6517" t="s">
        <v>658</v>
      </c>
      <c r="G6517" t="s">
        <v>659</v>
      </c>
      <c r="H6517" t="s">
        <v>7390</v>
      </c>
      <c r="I6517">
        <v>8</v>
      </c>
      <c r="J6517">
        <v>8</v>
      </c>
      <c r="K6517">
        <v>0</v>
      </c>
      <c r="L6517">
        <v>0</v>
      </c>
      <c r="M6517">
        <v>0</v>
      </c>
      <c r="N6517">
        <v>0</v>
      </c>
      <c r="O6517">
        <v>0</v>
      </c>
    </row>
    <row r="6518" spans="1:15" x14ac:dyDescent="0.25">
      <c r="A6518" t="s">
        <v>1025</v>
      </c>
      <c r="B6518" t="s">
        <v>2893</v>
      </c>
      <c r="C6518" t="s">
        <v>927</v>
      </c>
      <c r="D6518" t="s">
        <v>3052</v>
      </c>
      <c r="E6518" t="s">
        <v>3053</v>
      </c>
      <c r="F6518" t="s">
        <v>658</v>
      </c>
      <c r="G6518" t="s">
        <v>659</v>
      </c>
      <c r="H6518" t="s">
        <v>7391</v>
      </c>
      <c r="I6518">
        <v>2139</v>
      </c>
      <c r="J6518">
        <v>1469</v>
      </c>
      <c r="K6518">
        <v>0</v>
      </c>
      <c r="L6518">
        <v>78</v>
      </c>
      <c r="M6518">
        <v>176</v>
      </c>
      <c r="N6518">
        <v>1</v>
      </c>
      <c r="O6518">
        <v>416</v>
      </c>
    </row>
    <row r="6519" spans="1:15" x14ac:dyDescent="0.25">
      <c r="A6519" t="s">
        <v>1293</v>
      </c>
      <c r="B6519" t="s">
        <v>2910</v>
      </c>
      <c r="C6519" t="s">
        <v>927</v>
      </c>
      <c r="D6519" t="s">
        <v>3052</v>
      </c>
      <c r="E6519" t="s">
        <v>3053</v>
      </c>
      <c r="F6519" t="s">
        <v>658</v>
      </c>
      <c r="G6519" t="s">
        <v>659</v>
      </c>
      <c r="H6519" t="s">
        <v>7392</v>
      </c>
      <c r="I6519">
        <v>9</v>
      </c>
      <c r="J6519">
        <v>0</v>
      </c>
      <c r="K6519">
        <v>0</v>
      </c>
      <c r="L6519">
        <v>9</v>
      </c>
      <c r="M6519">
        <v>0</v>
      </c>
      <c r="N6519">
        <v>0</v>
      </c>
      <c r="O6519">
        <v>0</v>
      </c>
    </row>
    <row r="6520" spans="1:15" x14ac:dyDescent="0.25">
      <c r="A6520" t="s">
        <v>1294</v>
      </c>
      <c r="B6520" t="s">
        <v>1944</v>
      </c>
      <c r="C6520" t="s">
        <v>923</v>
      </c>
      <c r="D6520" t="s">
        <v>3063</v>
      </c>
      <c r="E6520" t="s">
        <v>3053</v>
      </c>
      <c r="F6520" t="s">
        <v>658</v>
      </c>
      <c r="G6520" t="s">
        <v>659</v>
      </c>
      <c r="H6520" t="s">
        <v>15094</v>
      </c>
      <c r="I6520">
        <v>7</v>
      </c>
      <c r="J6520">
        <v>7</v>
      </c>
      <c r="K6520">
        <v>0</v>
      </c>
      <c r="L6520">
        <v>0</v>
      </c>
      <c r="M6520">
        <v>0</v>
      </c>
      <c r="N6520">
        <v>0</v>
      </c>
      <c r="O6520">
        <v>0</v>
      </c>
    </row>
    <row r="6521" spans="1:15" x14ac:dyDescent="0.25">
      <c r="A6521" t="s">
        <v>943</v>
      </c>
      <c r="B6521" t="s">
        <v>2694</v>
      </c>
      <c r="C6521" t="s">
        <v>927</v>
      </c>
      <c r="D6521" t="s">
        <v>3052</v>
      </c>
      <c r="E6521" t="s">
        <v>3053</v>
      </c>
      <c r="F6521" t="s">
        <v>658</v>
      </c>
      <c r="G6521" t="s">
        <v>659</v>
      </c>
      <c r="H6521" t="s">
        <v>7393</v>
      </c>
      <c r="I6521">
        <v>172</v>
      </c>
      <c r="J6521">
        <v>104</v>
      </c>
      <c r="K6521">
        <v>0</v>
      </c>
      <c r="L6521">
        <v>0</v>
      </c>
      <c r="M6521">
        <v>0</v>
      </c>
      <c r="N6521">
        <v>0</v>
      </c>
      <c r="O6521">
        <v>68</v>
      </c>
    </row>
    <row r="6522" spans="1:15" x14ac:dyDescent="0.25">
      <c r="A6522" t="s">
        <v>1131</v>
      </c>
      <c r="B6522" t="s">
        <v>2637</v>
      </c>
      <c r="C6522" t="s">
        <v>927</v>
      </c>
      <c r="D6522" t="s">
        <v>3052</v>
      </c>
      <c r="E6522" t="s">
        <v>3053</v>
      </c>
      <c r="F6522" t="s">
        <v>658</v>
      </c>
      <c r="G6522" t="s">
        <v>659</v>
      </c>
      <c r="H6522" t="s">
        <v>7394</v>
      </c>
      <c r="I6522">
        <v>68</v>
      </c>
      <c r="J6522">
        <v>46</v>
      </c>
      <c r="K6522">
        <v>0</v>
      </c>
      <c r="L6522">
        <v>0</v>
      </c>
      <c r="M6522">
        <v>0</v>
      </c>
      <c r="N6522">
        <v>0</v>
      </c>
      <c r="O6522">
        <v>22</v>
      </c>
    </row>
    <row r="6523" spans="1:15" x14ac:dyDescent="0.25">
      <c r="A6523" t="s">
        <v>1134</v>
      </c>
      <c r="B6523" t="s">
        <v>2118</v>
      </c>
      <c r="C6523" t="s">
        <v>927</v>
      </c>
      <c r="D6523" t="s">
        <v>3052</v>
      </c>
      <c r="E6523" t="s">
        <v>3053</v>
      </c>
      <c r="F6523" t="s">
        <v>658</v>
      </c>
      <c r="G6523" t="s">
        <v>659</v>
      </c>
      <c r="H6523" t="s">
        <v>7395</v>
      </c>
      <c r="I6523">
        <v>398</v>
      </c>
      <c r="J6523">
        <v>215</v>
      </c>
      <c r="K6523">
        <v>0</v>
      </c>
      <c r="L6523">
        <v>17</v>
      </c>
      <c r="M6523">
        <v>145</v>
      </c>
      <c r="N6523">
        <v>0</v>
      </c>
      <c r="O6523">
        <v>21</v>
      </c>
    </row>
    <row r="6524" spans="1:15" x14ac:dyDescent="0.25">
      <c r="A6524" t="s">
        <v>949</v>
      </c>
      <c r="B6524" t="s">
        <v>3035</v>
      </c>
      <c r="C6524" t="s">
        <v>927</v>
      </c>
      <c r="D6524" t="s">
        <v>3052</v>
      </c>
      <c r="E6524" t="s">
        <v>3053</v>
      </c>
      <c r="F6524" t="s">
        <v>658</v>
      </c>
      <c r="G6524" t="s">
        <v>659</v>
      </c>
      <c r="H6524" t="s">
        <v>7396</v>
      </c>
      <c r="I6524">
        <v>1</v>
      </c>
      <c r="J6524">
        <v>0</v>
      </c>
      <c r="K6524">
        <v>0</v>
      </c>
      <c r="L6524">
        <v>0</v>
      </c>
      <c r="M6524">
        <v>0</v>
      </c>
      <c r="N6524">
        <v>0</v>
      </c>
      <c r="O6524">
        <v>1</v>
      </c>
    </row>
    <row r="6525" spans="1:15" x14ac:dyDescent="0.25">
      <c r="A6525" t="s">
        <v>1041</v>
      </c>
      <c r="B6525" t="s">
        <v>2826</v>
      </c>
      <c r="C6525" t="s">
        <v>927</v>
      </c>
      <c r="D6525" t="s">
        <v>3052</v>
      </c>
      <c r="E6525" t="s">
        <v>3053</v>
      </c>
      <c r="F6525" t="s">
        <v>658</v>
      </c>
      <c r="G6525" t="s">
        <v>659</v>
      </c>
      <c r="H6525" t="s">
        <v>7397</v>
      </c>
      <c r="I6525">
        <v>38</v>
      </c>
      <c r="J6525">
        <v>0</v>
      </c>
      <c r="K6525">
        <v>0</v>
      </c>
      <c r="L6525">
        <v>0</v>
      </c>
      <c r="M6525">
        <v>0</v>
      </c>
      <c r="N6525">
        <v>0</v>
      </c>
      <c r="O6525">
        <v>38</v>
      </c>
    </row>
    <row r="6526" spans="1:15" x14ac:dyDescent="0.25">
      <c r="A6526" t="s">
        <v>1140</v>
      </c>
      <c r="B6526" t="s">
        <v>2697</v>
      </c>
      <c r="C6526" t="s">
        <v>927</v>
      </c>
      <c r="D6526" t="s">
        <v>3052</v>
      </c>
      <c r="E6526" t="s">
        <v>3053</v>
      </c>
      <c r="F6526" t="s">
        <v>658</v>
      </c>
      <c r="G6526" t="s">
        <v>659</v>
      </c>
      <c r="H6526" t="s">
        <v>7398</v>
      </c>
      <c r="I6526">
        <v>1</v>
      </c>
      <c r="J6526">
        <v>0</v>
      </c>
      <c r="K6526">
        <v>0</v>
      </c>
      <c r="L6526">
        <v>0</v>
      </c>
      <c r="M6526">
        <v>0</v>
      </c>
      <c r="N6526">
        <v>0</v>
      </c>
      <c r="O6526">
        <v>1</v>
      </c>
    </row>
    <row r="6527" spans="1:15" x14ac:dyDescent="0.25">
      <c r="A6527" t="s">
        <v>1043</v>
      </c>
      <c r="B6527" t="s">
        <v>2090</v>
      </c>
      <c r="C6527" t="s">
        <v>927</v>
      </c>
      <c r="D6527" t="s">
        <v>3052</v>
      </c>
      <c r="E6527" t="s">
        <v>3053</v>
      </c>
      <c r="F6527" t="s">
        <v>658</v>
      </c>
      <c r="G6527" t="s">
        <v>659</v>
      </c>
      <c r="H6527" t="s">
        <v>7399</v>
      </c>
      <c r="I6527">
        <v>30</v>
      </c>
      <c r="J6527">
        <v>30</v>
      </c>
      <c r="K6527">
        <v>0</v>
      </c>
      <c r="L6527">
        <v>0</v>
      </c>
      <c r="M6527">
        <v>0</v>
      </c>
      <c r="N6527">
        <v>0</v>
      </c>
      <c r="O6527">
        <v>0</v>
      </c>
    </row>
    <row r="6528" spans="1:15" x14ac:dyDescent="0.25">
      <c r="A6528" t="s">
        <v>1146</v>
      </c>
      <c r="B6528" t="s">
        <v>2117</v>
      </c>
      <c r="C6528" t="s">
        <v>927</v>
      </c>
      <c r="D6528" t="s">
        <v>3052</v>
      </c>
      <c r="E6528" t="s">
        <v>3053</v>
      </c>
      <c r="F6528" t="s">
        <v>658</v>
      </c>
      <c r="G6528" t="s">
        <v>659</v>
      </c>
      <c r="H6528" t="s">
        <v>7400</v>
      </c>
      <c r="I6528">
        <v>343</v>
      </c>
      <c r="J6528">
        <v>270</v>
      </c>
      <c r="K6528">
        <v>0</v>
      </c>
      <c r="L6528">
        <v>41</v>
      </c>
      <c r="M6528">
        <v>32</v>
      </c>
      <c r="N6528">
        <v>0</v>
      </c>
      <c r="O6528">
        <v>0</v>
      </c>
    </row>
    <row r="6529" spans="1:15" x14ac:dyDescent="0.25">
      <c r="A6529" t="s">
        <v>951</v>
      </c>
      <c r="B6529" t="s">
        <v>2680</v>
      </c>
      <c r="C6529" t="s">
        <v>927</v>
      </c>
      <c r="D6529" t="s">
        <v>3052</v>
      </c>
      <c r="E6529" t="s">
        <v>3053</v>
      </c>
      <c r="F6529" t="s">
        <v>658</v>
      </c>
      <c r="G6529" t="s">
        <v>659</v>
      </c>
      <c r="H6529" t="s">
        <v>7401</v>
      </c>
      <c r="I6529">
        <v>27</v>
      </c>
      <c r="J6529">
        <v>27</v>
      </c>
      <c r="K6529">
        <v>0</v>
      </c>
      <c r="L6529">
        <v>0</v>
      </c>
      <c r="M6529">
        <v>0</v>
      </c>
      <c r="N6529">
        <v>0</v>
      </c>
      <c r="O6529">
        <v>0</v>
      </c>
    </row>
    <row r="6530" spans="1:15" x14ac:dyDescent="0.25">
      <c r="A6530" t="s">
        <v>1048</v>
      </c>
      <c r="B6530" t="s">
        <v>2989</v>
      </c>
      <c r="C6530" t="s">
        <v>927</v>
      </c>
      <c r="D6530" t="s">
        <v>3052</v>
      </c>
      <c r="E6530" t="s">
        <v>3053</v>
      </c>
      <c r="F6530" t="s">
        <v>658</v>
      </c>
      <c r="G6530" t="s">
        <v>659</v>
      </c>
      <c r="H6530" t="s">
        <v>7402</v>
      </c>
      <c r="I6530">
        <v>9</v>
      </c>
      <c r="J6530">
        <v>8</v>
      </c>
      <c r="K6530">
        <v>0</v>
      </c>
      <c r="L6530">
        <v>0</v>
      </c>
      <c r="M6530">
        <v>0</v>
      </c>
      <c r="N6530">
        <v>0</v>
      </c>
      <c r="O6530">
        <v>1</v>
      </c>
    </row>
    <row r="6531" spans="1:15" x14ac:dyDescent="0.25">
      <c r="A6531" t="s">
        <v>955</v>
      </c>
      <c r="B6531" t="s">
        <v>2660</v>
      </c>
      <c r="C6531" t="s">
        <v>927</v>
      </c>
      <c r="D6531" t="s">
        <v>3052</v>
      </c>
      <c r="E6531" t="s">
        <v>3053</v>
      </c>
      <c r="F6531" t="s">
        <v>658</v>
      </c>
      <c r="G6531" t="s">
        <v>659</v>
      </c>
      <c r="H6531" t="s">
        <v>7403</v>
      </c>
      <c r="I6531">
        <v>33</v>
      </c>
      <c r="J6531">
        <v>17</v>
      </c>
      <c r="K6531">
        <v>0</v>
      </c>
      <c r="L6531">
        <v>8</v>
      </c>
      <c r="M6531">
        <v>8</v>
      </c>
      <c r="N6531">
        <v>0</v>
      </c>
      <c r="O6531">
        <v>0</v>
      </c>
    </row>
    <row r="6532" spans="1:15" x14ac:dyDescent="0.25">
      <c r="A6532" t="s">
        <v>1155</v>
      </c>
      <c r="B6532" t="s">
        <v>2912</v>
      </c>
      <c r="C6532" t="s">
        <v>927</v>
      </c>
      <c r="D6532" t="s">
        <v>3052</v>
      </c>
      <c r="E6532" t="s">
        <v>3053</v>
      </c>
      <c r="F6532" t="s">
        <v>658</v>
      </c>
      <c r="G6532" t="s">
        <v>659</v>
      </c>
      <c r="H6532" t="s">
        <v>7404</v>
      </c>
      <c r="I6532">
        <v>1</v>
      </c>
      <c r="J6532">
        <v>0</v>
      </c>
      <c r="K6532">
        <v>0</v>
      </c>
      <c r="L6532">
        <v>0</v>
      </c>
      <c r="M6532">
        <v>0</v>
      </c>
      <c r="N6532">
        <v>0</v>
      </c>
      <c r="O6532">
        <v>1</v>
      </c>
    </row>
    <row r="6533" spans="1:15" x14ac:dyDescent="0.25">
      <c r="A6533" t="s">
        <v>11663</v>
      </c>
      <c r="B6533" t="s">
        <v>11768</v>
      </c>
      <c r="C6533" t="s">
        <v>927</v>
      </c>
      <c r="D6533" t="s">
        <v>3052</v>
      </c>
      <c r="E6533" t="s">
        <v>3053</v>
      </c>
      <c r="F6533" t="s">
        <v>658</v>
      </c>
      <c r="G6533" t="s">
        <v>659</v>
      </c>
      <c r="H6533" t="s">
        <v>12283</v>
      </c>
      <c r="I6533">
        <v>147</v>
      </c>
      <c r="J6533">
        <v>73</v>
      </c>
      <c r="K6533">
        <v>0</v>
      </c>
      <c r="L6533">
        <v>0</v>
      </c>
      <c r="M6533">
        <v>0</v>
      </c>
      <c r="N6533">
        <v>0</v>
      </c>
      <c r="O6533">
        <v>74</v>
      </c>
    </row>
    <row r="6534" spans="1:15" x14ac:dyDescent="0.25">
      <c r="A6534" t="s">
        <v>14380</v>
      </c>
      <c r="B6534" t="s">
        <v>2074</v>
      </c>
      <c r="C6534" t="s">
        <v>927</v>
      </c>
      <c r="D6534" t="s">
        <v>3052</v>
      </c>
      <c r="E6534" t="s">
        <v>3053</v>
      </c>
      <c r="F6534" t="s">
        <v>658</v>
      </c>
      <c r="G6534" t="s">
        <v>659</v>
      </c>
      <c r="H6534" t="s">
        <v>15095</v>
      </c>
      <c r="I6534">
        <v>43</v>
      </c>
      <c r="J6534">
        <v>43</v>
      </c>
      <c r="K6534">
        <v>0</v>
      </c>
      <c r="L6534">
        <v>0</v>
      </c>
      <c r="M6534">
        <v>0</v>
      </c>
      <c r="N6534">
        <v>0</v>
      </c>
      <c r="O6534">
        <v>0</v>
      </c>
    </row>
    <row r="6535" spans="1:15" x14ac:dyDescent="0.25">
      <c r="A6535" t="s">
        <v>1159</v>
      </c>
      <c r="B6535" t="s">
        <v>2829</v>
      </c>
      <c r="C6535" t="s">
        <v>927</v>
      </c>
      <c r="D6535" t="s">
        <v>3052</v>
      </c>
      <c r="E6535" t="s">
        <v>3053</v>
      </c>
      <c r="F6535" t="s">
        <v>658</v>
      </c>
      <c r="G6535" t="s">
        <v>659</v>
      </c>
      <c r="H6535" t="s">
        <v>7405</v>
      </c>
      <c r="I6535">
        <v>526</v>
      </c>
      <c r="J6535">
        <v>497</v>
      </c>
      <c r="K6535">
        <v>0</v>
      </c>
      <c r="L6535">
        <v>11</v>
      </c>
      <c r="M6535">
        <v>0</v>
      </c>
      <c r="N6535">
        <v>10</v>
      </c>
      <c r="O6535">
        <v>18</v>
      </c>
    </row>
    <row r="6536" spans="1:15" x14ac:dyDescent="0.25">
      <c r="A6536" t="s">
        <v>1066</v>
      </c>
      <c r="B6536" t="s">
        <v>2557</v>
      </c>
      <c r="C6536" t="s">
        <v>927</v>
      </c>
      <c r="D6536" t="s">
        <v>3052</v>
      </c>
      <c r="E6536" t="s">
        <v>3053</v>
      </c>
      <c r="F6536" t="s">
        <v>658</v>
      </c>
      <c r="G6536" t="s">
        <v>659</v>
      </c>
      <c r="H6536" t="s">
        <v>7406</v>
      </c>
      <c r="I6536">
        <v>10</v>
      </c>
      <c r="J6536">
        <v>0</v>
      </c>
      <c r="K6536">
        <v>0</v>
      </c>
      <c r="L6536">
        <v>0</v>
      </c>
      <c r="M6536">
        <v>10</v>
      </c>
      <c r="N6536">
        <v>0</v>
      </c>
      <c r="O6536">
        <v>0</v>
      </c>
    </row>
    <row r="6537" spans="1:15" x14ac:dyDescent="0.25">
      <c r="A6537" t="s">
        <v>1174</v>
      </c>
      <c r="B6537" t="s">
        <v>2663</v>
      </c>
      <c r="C6537" t="s">
        <v>927</v>
      </c>
      <c r="D6537" t="s">
        <v>3052</v>
      </c>
      <c r="E6537" t="s">
        <v>3053</v>
      </c>
      <c r="F6537" t="s">
        <v>658</v>
      </c>
      <c r="G6537" t="s">
        <v>659</v>
      </c>
      <c r="H6537" t="s">
        <v>7407</v>
      </c>
      <c r="I6537">
        <v>89</v>
      </c>
      <c r="J6537">
        <v>14</v>
      </c>
      <c r="K6537">
        <v>0</v>
      </c>
      <c r="L6537">
        <v>0</v>
      </c>
      <c r="M6537">
        <v>70</v>
      </c>
      <c r="N6537">
        <v>1</v>
      </c>
      <c r="O6537">
        <v>5</v>
      </c>
    </row>
    <row r="6538" spans="1:15" x14ac:dyDescent="0.25">
      <c r="A6538" t="s">
        <v>1072</v>
      </c>
      <c r="B6538" t="s">
        <v>2907</v>
      </c>
      <c r="C6538" t="s">
        <v>927</v>
      </c>
      <c r="D6538" t="s">
        <v>3052</v>
      </c>
      <c r="E6538" t="s">
        <v>3053</v>
      </c>
      <c r="F6538" t="s">
        <v>658</v>
      </c>
      <c r="G6538" t="s">
        <v>659</v>
      </c>
      <c r="H6538" t="s">
        <v>7408</v>
      </c>
      <c r="I6538">
        <v>60</v>
      </c>
      <c r="J6538">
        <v>12</v>
      </c>
      <c r="K6538">
        <v>0</v>
      </c>
      <c r="L6538">
        <v>0</v>
      </c>
      <c r="M6538">
        <v>36</v>
      </c>
      <c r="N6538">
        <v>0</v>
      </c>
      <c r="O6538">
        <v>12</v>
      </c>
    </row>
    <row r="6539" spans="1:15" x14ac:dyDescent="0.25">
      <c r="A6539" t="s">
        <v>1383</v>
      </c>
      <c r="B6539" t="s">
        <v>2156</v>
      </c>
      <c r="C6539" t="s">
        <v>923</v>
      </c>
      <c r="D6539" t="s">
        <v>3063</v>
      </c>
      <c r="E6539" t="s">
        <v>3053</v>
      </c>
      <c r="F6539" t="s">
        <v>658</v>
      </c>
      <c r="G6539" t="s">
        <v>659</v>
      </c>
      <c r="H6539" t="s">
        <v>7409</v>
      </c>
      <c r="I6539">
        <v>39</v>
      </c>
      <c r="J6539">
        <v>0</v>
      </c>
      <c r="K6539">
        <v>0</v>
      </c>
      <c r="L6539">
        <v>0</v>
      </c>
      <c r="M6539">
        <v>39</v>
      </c>
      <c r="N6539">
        <v>0</v>
      </c>
      <c r="O6539">
        <v>0</v>
      </c>
    </row>
    <row r="6540" spans="1:15" x14ac:dyDescent="0.25">
      <c r="A6540" t="s">
        <v>971</v>
      </c>
      <c r="B6540" t="s">
        <v>2956</v>
      </c>
      <c r="C6540" t="s">
        <v>927</v>
      </c>
      <c r="D6540" t="s">
        <v>3052</v>
      </c>
      <c r="E6540" t="s">
        <v>3053</v>
      </c>
      <c r="F6540" t="s">
        <v>660</v>
      </c>
      <c r="G6540" t="s">
        <v>661</v>
      </c>
      <c r="H6540" t="s">
        <v>7410</v>
      </c>
      <c r="I6540">
        <v>396</v>
      </c>
      <c r="J6540">
        <v>353</v>
      </c>
      <c r="K6540">
        <v>0</v>
      </c>
      <c r="L6540">
        <v>0</v>
      </c>
      <c r="M6540">
        <v>39</v>
      </c>
      <c r="N6540">
        <v>0</v>
      </c>
      <c r="O6540">
        <v>4</v>
      </c>
    </row>
    <row r="6541" spans="1:15" x14ac:dyDescent="0.25">
      <c r="A6541" t="s">
        <v>929</v>
      </c>
      <c r="B6541" t="s">
        <v>2999</v>
      </c>
      <c r="C6541" t="s">
        <v>927</v>
      </c>
      <c r="D6541" t="s">
        <v>3052</v>
      </c>
      <c r="E6541" t="s">
        <v>3053</v>
      </c>
      <c r="F6541" t="s">
        <v>660</v>
      </c>
      <c r="G6541" t="s">
        <v>661</v>
      </c>
      <c r="H6541" t="s">
        <v>7411</v>
      </c>
      <c r="I6541">
        <v>235</v>
      </c>
      <c r="J6541">
        <v>0</v>
      </c>
      <c r="K6541">
        <v>0</v>
      </c>
      <c r="L6541">
        <v>0</v>
      </c>
      <c r="M6541">
        <v>235</v>
      </c>
      <c r="N6541">
        <v>0</v>
      </c>
      <c r="O6541">
        <v>0</v>
      </c>
    </row>
    <row r="6542" spans="1:15" x14ac:dyDescent="0.25">
      <c r="A6542" t="s">
        <v>1407</v>
      </c>
      <c r="B6542" t="s">
        <v>2109</v>
      </c>
      <c r="C6542" t="s">
        <v>927</v>
      </c>
      <c r="D6542" t="s">
        <v>3052</v>
      </c>
      <c r="E6542" t="s">
        <v>3053</v>
      </c>
      <c r="F6542" t="s">
        <v>660</v>
      </c>
      <c r="G6542" t="s">
        <v>661</v>
      </c>
      <c r="H6542" t="s">
        <v>7412</v>
      </c>
      <c r="I6542">
        <v>32</v>
      </c>
      <c r="J6542">
        <v>8</v>
      </c>
      <c r="K6542">
        <v>0</v>
      </c>
      <c r="L6542">
        <v>24</v>
      </c>
      <c r="M6542">
        <v>0</v>
      </c>
      <c r="N6542">
        <v>0</v>
      </c>
      <c r="O6542">
        <v>0</v>
      </c>
    </row>
    <row r="6543" spans="1:15" x14ac:dyDescent="0.25">
      <c r="A6543" t="s">
        <v>9784</v>
      </c>
      <c r="B6543" t="s">
        <v>1994</v>
      </c>
      <c r="C6543" t="s">
        <v>927</v>
      </c>
      <c r="D6543" t="s">
        <v>3052</v>
      </c>
      <c r="E6543" t="s">
        <v>3053</v>
      </c>
      <c r="F6543" t="s">
        <v>660</v>
      </c>
      <c r="G6543" t="s">
        <v>661</v>
      </c>
      <c r="H6543" t="s">
        <v>9973</v>
      </c>
      <c r="I6543">
        <v>6</v>
      </c>
      <c r="J6543">
        <v>0</v>
      </c>
      <c r="K6543">
        <v>0</v>
      </c>
      <c r="L6543">
        <v>6</v>
      </c>
      <c r="M6543">
        <v>0</v>
      </c>
      <c r="N6543">
        <v>0</v>
      </c>
      <c r="O6543">
        <v>0</v>
      </c>
    </row>
    <row r="6544" spans="1:15" x14ac:dyDescent="0.25">
      <c r="A6544" t="s">
        <v>1408</v>
      </c>
      <c r="B6544" t="s">
        <v>3028</v>
      </c>
      <c r="C6544" t="s">
        <v>927</v>
      </c>
      <c r="D6544" t="s">
        <v>3052</v>
      </c>
      <c r="E6544" t="s">
        <v>3053</v>
      </c>
      <c r="F6544" t="s">
        <v>660</v>
      </c>
      <c r="G6544" t="s">
        <v>661</v>
      </c>
      <c r="H6544" t="s">
        <v>7413</v>
      </c>
      <c r="I6544">
        <v>10253</v>
      </c>
      <c r="J6544">
        <v>9919</v>
      </c>
      <c r="K6544">
        <v>0</v>
      </c>
      <c r="L6544">
        <v>120</v>
      </c>
      <c r="M6544">
        <v>70</v>
      </c>
      <c r="N6544">
        <v>0</v>
      </c>
      <c r="O6544">
        <v>144</v>
      </c>
    </row>
    <row r="6545" spans="1:15" x14ac:dyDescent="0.25">
      <c r="A6545" t="s">
        <v>1411</v>
      </c>
      <c r="B6545" t="s">
        <v>2993</v>
      </c>
      <c r="C6545" t="s">
        <v>927</v>
      </c>
      <c r="D6545" t="s">
        <v>3052</v>
      </c>
      <c r="E6545" t="s">
        <v>3053</v>
      </c>
      <c r="F6545" t="s">
        <v>660</v>
      </c>
      <c r="G6545" t="s">
        <v>661</v>
      </c>
      <c r="H6545" t="s">
        <v>7414</v>
      </c>
      <c r="I6545">
        <v>19</v>
      </c>
      <c r="J6545">
        <v>19</v>
      </c>
      <c r="K6545">
        <v>0</v>
      </c>
      <c r="L6545">
        <v>0</v>
      </c>
      <c r="M6545">
        <v>0</v>
      </c>
      <c r="N6545">
        <v>0</v>
      </c>
      <c r="O6545">
        <v>0</v>
      </c>
    </row>
    <row r="6546" spans="1:15" x14ac:dyDescent="0.25">
      <c r="A6546" t="s">
        <v>991</v>
      </c>
      <c r="B6546" t="s">
        <v>1976</v>
      </c>
      <c r="C6546" t="s">
        <v>923</v>
      </c>
      <c r="D6546" t="s">
        <v>3063</v>
      </c>
      <c r="E6546" t="s">
        <v>3053</v>
      </c>
      <c r="F6546" t="s">
        <v>660</v>
      </c>
      <c r="G6546" t="s">
        <v>661</v>
      </c>
      <c r="H6546" t="s">
        <v>7415</v>
      </c>
      <c r="I6546">
        <v>3</v>
      </c>
      <c r="J6546">
        <v>0</v>
      </c>
      <c r="K6546">
        <v>0</v>
      </c>
      <c r="L6546">
        <v>3</v>
      </c>
      <c r="M6546">
        <v>0</v>
      </c>
      <c r="N6546">
        <v>0</v>
      </c>
      <c r="O6546">
        <v>0</v>
      </c>
    </row>
    <row r="6547" spans="1:15" x14ac:dyDescent="0.25">
      <c r="A6547" t="s">
        <v>996</v>
      </c>
      <c r="B6547" t="s">
        <v>1952</v>
      </c>
      <c r="C6547" t="s">
        <v>923</v>
      </c>
      <c r="D6547" t="s">
        <v>3063</v>
      </c>
      <c r="E6547" t="s">
        <v>3053</v>
      </c>
      <c r="F6547" t="s">
        <v>660</v>
      </c>
      <c r="G6547" t="s">
        <v>661</v>
      </c>
      <c r="H6547" t="s">
        <v>12284</v>
      </c>
      <c r="I6547">
        <v>5</v>
      </c>
      <c r="J6547">
        <v>0</v>
      </c>
      <c r="K6547">
        <v>0</v>
      </c>
      <c r="L6547">
        <v>5</v>
      </c>
      <c r="M6547">
        <v>0</v>
      </c>
      <c r="N6547">
        <v>0</v>
      </c>
      <c r="O6547">
        <v>0</v>
      </c>
    </row>
    <row r="6548" spans="1:15" x14ac:dyDescent="0.25">
      <c r="A6548" t="s">
        <v>11660</v>
      </c>
      <c r="B6548" t="s">
        <v>2041</v>
      </c>
      <c r="C6548" t="s">
        <v>923</v>
      </c>
      <c r="D6548" t="s">
        <v>3063</v>
      </c>
      <c r="E6548" t="s">
        <v>3053</v>
      </c>
      <c r="F6548" t="s">
        <v>660</v>
      </c>
      <c r="G6548" t="s">
        <v>661</v>
      </c>
      <c r="H6548" t="s">
        <v>12285</v>
      </c>
      <c r="I6548">
        <v>44</v>
      </c>
      <c r="J6548">
        <v>0</v>
      </c>
      <c r="K6548">
        <v>0</v>
      </c>
      <c r="L6548">
        <v>44</v>
      </c>
      <c r="M6548">
        <v>0</v>
      </c>
      <c r="N6548">
        <v>0</v>
      </c>
      <c r="O6548">
        <v>0</v>
      </c>
    </row>
    <row r="6549" spans="1:15" x14ac:dyDescent="0.25">
      <c r="A6549" t="s">
        <v>1418</v>
      </c>
      <c r="B6549" t="s">
        <v>2854</v>
      </c>
      <c r="C6549" t="s">
        <v>927</v>
      </c>
      <c r="D6549" t="s">
        <v>3052</v>
      </c>
      <c r="E6549" t="s">
        <v>3053</v>
      </c>
      <c r="F6549" t="s">
        <v>660</v>
      </c>
      <c r="G6549" t="s">
        <v>661</v>
      </c>
      <c r="H6549" t="s">
        <v>7416</v>
      </c>
      <c r="I6549">
        <v>17</v>
      </c>
      <c r="J6549">
        <v>13</v>
      </c>
      <c r="K6549">
        <v>0</v>
      </c>
      <c r="L6549">
        <v>0</v>
      </c>
      <c r="M6549">
        <v>0</v>
      </c>
      <c r="N6549">
        <v>0</v>
      </c>
      <c r="O6549">
        <v>4</v>
      </c>
    </row>
    <row r="6550" spans="1:15" x14ac:dyDescent="0.25">
      <c r="A6550" t="s">
        <v>10638</v>
      </c>
      <c r="B6550" t="s">
        <v>2057</v>
      </c>
      <c r="C6550" t="s">
        <v>927</v>
      </c>
      <c r="D6550" t="s">
        <v>3052</v>
      </c>
      <c r="E6550" t="s">
        <v>3053</v>
      </c>
      <c r="F6550" t="s">
        <v>660</v>
      </c>
      <c r="G6550" t="s">
        <v>661</v>
      </c>
      <c r="H6550" t="s">
        <v>11266</v>
      </c>
      <c r="I6550">
        <v>6</v>
      </c>
      <c r="J6550">
        <v>0</v>
      </c>
      <c r="K6550">
        <v>0</v>
      </c>
      <c r="L6550">
        <v>6</v>
      </c>
      <c r="M6550">
        <v>0</v>
      </c>
      <c r="N6550">
        <v>0</v>
      </c>
      <c r="O6550">
        <v>0</v>
      </c>
    </row>
    <row r="6551" spans="1:15" x14ac:dyDescent="0.25">
      <c r="A6551" t="s">
        <v>937</v>
      </c>
      <c r="B6551" t="s">
        <v>1962</v>
      </c>
      <c r="C6551" t="s">
        <v>927</v>
      </c>
      <c r="D6551" t="s">
        <v>3052</v>
      </c>
      <c r="E6551" t="s">
        <v>3053</v>
      </c>
      <c r="F6551" t="s">
        <v>660</v>
      </c>
      <c r="G6551" t="s">
        <v>661</v>
      </c>
      <c r="H6551" t="s">
        <v>7417</v>
      </c>
      <c r="I6551">
        <v>11</v>
      </c>
      <c r="J6551">
        <v>0</v>
      </c>
      <c r="K6551">
        <v>0</v>
      </c>
      <c r="L6551">
        <v>0</v>
      </c>
      <c r="M6551">
        <v>0</v>
      </c>
      <c r="N6551">
        <v>0</v>
      </c>
      <c r="O6551">
        <v>11</v>
      </c>
    </row>
    <row r="6552" spans="1:15" x14ac:dyDescent="0.25">
      <c r="A6552" t="s">
        <v>1011</v>
      </c>
      <c r="B6552" t="s">
        <v>2020</v>
      </c>
      <c r="C6552" t="s">
        <v>927</v>
      </c>
      <c r="D6552" t="s">
        <v>3052</v>
      </c>
      <c r="E6552" t="s">
        <v>3053</v>
      </c>
      <c r="F6552" t="s">
        <v>660</v>
      </c>
      <c r="G6552" t="s">
        <v>661</v>
      </c>
      <c r="H6552" t="s">
        <v>15096</v>
      </c>
      <c r="I6552">
        <v>6</v>
      </c>
      <c r="J6552">
        <v>0</v>
      </c>
      <c r="K6552">
        <v>0</v>
      </c>
      <c r="L6552">
        <v>6</v>
      </c>
      <c r="M6552">
        <v>0</v>
      </c>
      <c r="N6552">
        <v>0</v>
      </c>
      <c r="O6552">
        <v>0</v>
      </c>
    </row>
    <row r="6553" spans="1:15" x14ac:dyDescent="0.25">
      <c r="A6553" t="s">
        <v>938</v>
      </c>
      <c r="B6553" t="s">
        <v>2791</v>
      </c>
      <c r="C6553" t="s">
        <v>927</v>
      </c>
      <c r="D6553" t="s">
        <v>3052</v>
      </c>
      <c r="E6553" t="s">
        <v>3053</v>
      </c>
      <c r="F6553" t="s">
        <v>660</v>
      </c>
      <c r="G6553" t="s">
        <v>661</v>
      </c>
      <c r="H6553" t="s">
        <v>7418</v>
      </c>
      <c r="I6553">
        <v>335</v>
      </c>
      <c r="J6553">
        <v>225</v>
      </c>
      <c r="K6553">
        <v>0</v>
      </c>
      <c r="L6553">
        <v>49</v>
      </c>
      <c r="M6553">
        <v>36</v>
      </c>
      <c r="N6553">
        <v>0</v>
      </c>
      <c r="O6553">
        <v>25</v>
      </c>
    </row>
    <row r="6554" spans="1:15" x14ac:dyDescent="0.25">
      <c r="A6554" t="s">
        <v>1013</v>
      </c>
      <c r="B6554" t="s">
        <v>1959</v>
      </c>
      <c r="C6554" t="s">
        <v>927</v>
      </c>
      <c r="D6554" t="s">
        <v>3052</v>
      </c>
      <c r="E6554" t="s">
        <v>3053</v>
      </c>
      <c r="F6554" t="s">
        <v>660</v>
      </c>
      <c r="G6554" t="s">
        <v>661</v>
      </c>
      <c r="H6554" t="s">
        <v>12286</v>
      </c>
      <c r="I6554">
        <v>14</v>
      </c>
      <c r="J6554">
        <v>0</v>
      </c>
      <c r="K6554">
        <v>0</v>
      </c>
      <c r="L6554">
        <v>14</v>
      </c>
      <c r="M6554">
        <v>0</v>
      </c>
      <c r="N6554">
        <v>0</v>
      </c>
      <c r="O6554">
        <v>0</v>
      </c>
    </row>
    <row r="6555" spans="1:15" x14ac:dyDescent="0.25">
      <c r="A6555" t="s">
        <v>1427</v>
      </c>
      <c r="B6555" t="s">
        <v>2087</v>
      </c>
      <c r="C6555" t="s">
        <v>927</v>
      </c>
      <c r="D6555" t="s">
        <v>3052</v>
      </c>
      <c r="E6555" t="s">
        <v>3053</v>
      </c>
      <c r="F6555" t="s">
        <v>660</v>
      </c>
      <c r="G6555" t="s">
        <v>661</v>
      </c>
      <c r="H6555" t="s">
        <v>7419</v>
      </c>
      <c r="I6555">
        <v>186</v>
      </c>
      <c r="J6555">
        <v>124</v>
      </c>
      <c r="K6555">
        <v>0</v>
      </c>
      <c r="L6555">
        <v>0</v>
      </c>
      <c r="M6555">
        <v>62</v>
      </c>
      <c r="N6555">
        <v>0</v>
      </c>
      <c r="O6555">
        <v>0</v>
      </c>
    </row>
    <row r="6556" spans="1:15" x14ac:dyDescent="0.25">
      <c r="A6556" t="s">
        <v>1025</v>
      </c>
      <c r="B6556" t="s">
        <v>2893</v>
      </c>
      <c r="C6556" t="s">
        <v>927</v>
      </c>
      <c r="D6556" t="s">
        <v>3052</v>
      </c>
      <c r="E6556" t="s">
        <v>3053</v>
      </c>
      <c r="F6556" t="s">
        <v>660</v>
      </c>
      <c r="G6556" t="s">
        <v>661</v>
      </c>
      <c r="H6556" t="s">
        <v>15097</v>
      </c>
      <c r="I6556">
        <v>1</v>
      </c>
      <c r="J6556">
        <v>0</v>
      </c>
      <c r="K6556">
        <v>0</v>
      </c>
      <c r="L6556">
        <v>0</v>
      </c>
      <c r="M6556">
        <v>0</v>
      </c>
      <c r="N6556">
        <v>0</v>
      </c>
      <c r="O6556">
        <v>1</v>
      </c>
    </row>
    <row r="6557" spans="1:15" x14ac:dyDescent="0.25">
      <c r="A6557" t="s">
        <v>1433</v>
      </c>
      <c r="B6557" t="s">
        <v>2914</v>
      </c>
      <c r="C6557" t="s">
        <v>927</v>
      </c>
      <c r="D6557" t="s">
        <v>3052</v>
      </c>
      <c r="E6557" t="s">
        <v>3053</v>
      </c>
      <c r="F6557" t="s">
        <v>660</v>
      </c>
      <c r="G6557" t="s">
        <v>661</v>
      </c>
      <c r="H6557" t="s">
        <v>7420</v>
      </c>
      <c r="I6557">
        <v>138</v>
      </c>
      <c r="J6557">
        <v>120</v>
      </c>
      <c r="K6557">
        <v>0</v>
      </c>
      <c r="L6557">
        <v>17</v>
      </c>
      <c r="M6557">
        <v>0</v>
      </c>
      <c r="N6557">
        <v>0</v>
      </c>
      <c r="O6557">
        <v>1</v>
      </c>
    </row>
    <row r="6558" spans="1:15" x14ac:dyDescent="0.25">
      <c r="A6558" t="s">
        <v>1046</v>
      </c>
      <c r="B6558" t="s">
        <v>2027</v>
      </c>
      <c r="C6558" t="s">
        <v>923</v>
      </c>
      <c r="D6558" t="s">
        <v>3063</v>
      </c>
      <c r="E6558" t="s">
        <v>3053</v>
      </c>
      <c r="F6558" t="s">
        <v>660</v>
      </c>
      <c r="G6558" t="s">
        <v>661</v>
      </c>
      <c r="H6558" t="s">
        <v>7421</v>
      </c>
      <c r="I6558">
        <v>10</v>
      </c>
      <c r="J6558">
        <v>0</v>
      </c>
      <c r="K6558">
        <v>0</v>
      </c>
      <c r="L6558">
        <v>10</v>
      </c>
      <c r="M6558">
        <v>0</v>
      </c>
      <c r="N6558">
        <v>0</v>
      </c>
      <c r="O6558">
        <v>0</v>
      </c>
    </row>
    <row r="6559" spans="1:15" x14ac:dyDescent="0.25">
      <c r="A6559" t="s">
        <v>951</v>
      </c>
      <c r="B6559" t="s">
        <v>2680</v>
      </c>
      <c r="C6559" t="s">
        <v>927</v>
      </c>
      <c r="D6559" t="s">
        <v>3052</v>
      </c>
      <c r="E6559" t="s">
        <v>3053</v>
      </c>
      <c r="F6559" t="s">
        <v>660</v>
      </c>
      <c r="G6559" t="s">
        <v>661</v>
      </c>
      <c r="H6559" t="s">
        <v>7422</v>
      </c>
      <c r="I6559">
        <v>4</v>
      </c>
      <c r="J6559">
        <v>2</v>
      </c>
      <c r="K6559">
        <v>0</v>
      </c>
      <c r="L6559">
        <v>0</v>
      </c>
      <c r="M6559">
        <v>0</v>
      </c>
      <c r="N6559">
        <v>0</v>
      </c>
      <c r="O6559">
        <v>2</v>
      </c>
    </row>
    <row r="6560" spans="1:15" x14ac:dyDescent="0.25">
      <c r="A6560" t="s">
        <v>1051</v>
      </c>
      <c r="B6560" t="s">
        <v>2995</v>
      </c>
      <c r="C6560" t="s">
        <v>927</v>
      </c>
      <c r="D6560" t="s">
        <v>3052</v>
      </c>
      <c r="E6560" t="s">
        <v>3053</v>
      </c>
      <c r="F6560" t="s">
        <v>660</v>
      </c>
      <c r="G6560" t="s">
        <v>661</v>
      </c>
      <c r="H6560" t="s">
        <v>7423</v>
      </c>
      <c r="I6560">
        <v>1</v>
      </c>
      <c r="J6560">
        <v>0</v>
      </c>
      <c r="K6560">
        <v>0</v>
      </c>
      <c r="L6560">
        <v>0</v>
      </c>
      <c r="M6560">
        <v>0</v>
      </c>
      <c r="N6560">
        <v>0</v>
      </c>
      <c r="O6560">
        <v>1</v>
      </c>
    </row>
    <row r="6561" spans="1:15" x14ac:dyDescent="0.25">
      <c r="A6561" t="s">
        <v>1436</v>
      </c>
      <c r="B6561" t="s">
        <v>2209</v>
      </c>
      <c r="C6561" t="s">
        <v>927</v>
      </c>
      <c r="D6561" t="s">
        <v>3052</v>
      </c>
      <c r="E6561" t="s">
        <v>3053</v>
      </c>
      <c r="F6561" t="s">
        <v>660</v>
      </c>
      <c r="G6561" t="s">
        <v>661</v>
      </c>
      <c r="H6561" t="s">
        <v>7424</v>
      </c>
      <c r="I6561">
        <v>24</v>
      </c>
      <c r="J6561">
        <v>0</v>
      </c>
      <c r="K6561">
        <v>0</v>
      </c>
      <c r="L6561">
        <v>0</v>
      </c>
      <c r="M6561">
        <v>24</v>
      </c>
      <c r="N6561">
        <v>5</v>
      </c>
      <c r="O6561">
        <v>0</v>
      </c>
    </row>
    <row r="6562" spans="1:15" x14ac:dyDescent="0.25">
      <c r="A6562" t="s">
        <v>953</v>
      </c>
      <c r="B6562" t="s">
        <v>2014</v>
      </c>
      <c r="C6562" t="s">
        <v>927</v>
      </c>
      <c r="D6562" t="s">
        <v>3052</v>
      </c>
      <c r="E6562" t="s">
        <v>3053</v>
      </c>
      <c r="F6562" t="s">
        <v>660</v>
      </c>
      <c r="G6562" t="s">
        <v>661</v>
      </c>
      <c r="H6562" t="s">
        <v>7425</v>
      </c>
      <c r="I6562">
        <v>7</v>
      </c>
      <c r="J6562">
        <v>0</v>
      </c>
      <c r="K6562">
        <v>0</v>
      </c>
      <c r="L6562">
        <v>7</v>
      </c>
      <c r="M6562">
        <v>0</v>
      </c>
      <c r="N6562">
        <v>0</v>
      </c>
      <c r="O6562">
        <v>0</v>
      </c>
    </row>
    <row r="6563" spans="1:15" x14ac:dyDescent="0.25">
      <c r="A6563" t="s">
        <v>11720</v>
      </c>
      <c r="B6563" t="s">
        <v>10718</v>
      </c>
      <c r="C6563" t="s">
        <v>927</v>
      </c>
      <c r="D6563" t="s">
        <v>3052</v>
      </c>
      <c r="E6563" t="s">
        <v>3053</v>
      </c>
      <c r="F6563" t="s">
        <v>660</v>
      </c>
      <c r="G6563" t="s">
        <v>661</v>
      </c>
      <c r="H6563" t="s">
        <v>15098</v>
      </c>
      <c r="I6563">
        <v>7</v>
      </c>
      <c r="J6563">
        <v>0</v>
      </c>
      <c r="K6563">
        <v>0</v>
      </c>
      <c r="L6563">
        <v>0</v>
      </c>
      <c r="M6563">
        <v>0</v>
      </c>
      <c r="N6563">
        <v>0</v>
      </c>
      <c r="O6563">
        <v>7</v>
      </c>
    </row>
    <row r="6564" spans="1:15" x14ac:dyDescent="0.25">
      <c r="A6564" t="s">
        <v>1439</v>
      </c>
      <c r="B6564" t="s">
        <v>2347</v>
      </c>
      <c r="C6564" t="s">
        <v>923</v>
      </c>
      <c r="D6564" t="s">
        <v>3063</v>
      </c>
      <c r="E6564" t="s">
        <v>3053</v>
      </c>
      <c r="F6564" t="s">
        <v>660</v>
      </c>
      <c r="G6564" t="s">
        <v>661</v>
      </c>
      <c r="H6564" t="s">
        <v>7426</v>
      </c>
      <c r="I6564">
        <v>25</v>
      </c>
      <c r="J6564">
        <v>0</v>
      </c>
      <c r="K6564">
        <v>0</v>
      </c>
      <c r="L6564">
        <v>0</v>
      </c>
      <c r="M6564">
        <v>25</v>
      </c>
      <c r="N6564">
        <v>0</v>
      </c>
      <c r="O6564">
        <v>0</v>
      </c>
    </row>
    <row r="6565" spans="1:15" x14ac:dyDescent="0.25">
      <c r="A6565" t="s">
        <v>1071</v>
      </c>
      <c r="B6565" t="s">
        <v>2571</v>
      </c>
      <c r="C6565" t="s">
        <v>923</v>
      </c>
      <c r="D6565" t="s">
        <v>3063</v>
      </c>
      <c r="E6565" t="s">
        <v>3053</v>
      </c>
      <c r="F6565" t="s">
        <v>660</v>
      </c>
      <c r="G6565" t="s">
        <v>661</v>
      </c>
      <c r="H6565" t="s">
        <v>7427</v>
      </c>
      <c r="I6565">
        <v>11</v>
      </c>
      <c r="J6565">
        <v>0</v>
      </c>
      <c r="K6565">
        <v>0</v>
      </c>
      <c r="L6565">
        <v>11</v>
      </c>
      <c r="M6565">
        <v>0</v>
      </c>
      <c r="N6565">
        <v>0</v>
      </c>
      <c r="O6565">
        <v>0</v>
      </c>
    </row>
    <row r="6566" spans="1:15" x14ac:dyDescent="0.25">
      <c r="A6566" t="s">
        <v>1072</v>
      </c>
      <c r="B6566" t="s">
        <v>2907</v>
      </c>
      <c r="C6566" t="s">
        <v>927</v>
      </c>
      <c r="D6566" t="s">
        <v>3052</v>
      </c>
      <c r="E6566" t="s">
        <v>3053</v>
      </c>
      <c r="F6566" t="s">
        <v>660</v>
      </c>
      <c r="G6566" t="s">
        <v>661</v>
      </c>
      <c r="H6566" t="s">
        <v>7428</v>
      </c>
      <c r="I6566">
        <v>49</v>
      </c>
      <c r="J6566">
        <v>0</v>
      </c>
      <c r="K6566">
        <v>0</v>
      </c>
      <c r="L6566">
        <v>6</v>
      </c>
      <c r="M6566">
        <v>43</v>
      </c>
      <c r="N6566">
        <v>0</v>
      </c>
      <c r="O6566">
        <v>0</v>
      </c>
    </row>
    <row r="6567" spans="1:15" x14ac:dyDescent="0.25">
      <c r="A6567" t="s">
        <v>1180</v>
      </c>
      <c r="B6567" t="s">
        <v>2896</v>
      </c>
      <c r="C6567" t="s">
        <v>927</v>
      </c>
      <c r="D6567" t="s">
        <v>3052</v>
      </c>
      <c r="E6567" t="s">
        <v>3053</v>
      </c>
      <c r="F6567" t="s">
        <v>660</v>
      </c>
      <c r="G6567" t="s">
        <v>661</v>
      </c>
      <c r="H6567" t="s">
        <v>7429</v>
      </c>
      <c r="I6567">
        <v>1212</v>
      </c>
      <c r="J6567">
        <v>895</v>
      </c>
      <c r="K6567">
        <v>0</v>
      </c>
      <c r="L6567">
        <v>35</v>
      </c>
      <c r="M6567">
        <v>101</v>
      </c>
      <c r="N6567">
        <v>0</v>
      </c>
      <c r="O6567">
        <v>181</v>
      </c>
    </row>
    <row r="6568" spans="1:15" x14ac:dyDescent="0.25">
      <c r="A6568" t="s">
        <v>926</v>
      </c>
      <c r="B6568" t="s">
        <v>2923</v>
      </c>
      <c r="C6568" t="s">
        <v>927</v>
      </c>
      <c r="D6568" t="s">
        <v>3052</v>
      </c>
      <c r="E6568" t="s">
        <v>3053</v>
      </c>
      <c r="F6568" t="s">
        <v>662</v>
      </c>
      <c r="G6568" t="s">
        <v>663</v>
      </c>
      <c r="H6568" t="s">
        <v>7430</v>
      </c>
      <c r="I6568">
        <v>13</v>
      </c>
      <c r="J6568">
        <v>0</v>
      </c>
      <c r="K6568">
        <v>0</v>
      </c>
      <c r="L6568">
        <v>13</v>
      </c>
      <c r="M6568">
        <v>0</v>
      </c>
      <c r="N6568">
        <v>0</v>
      </c>
      <c r="O6568">
        <v>0</v>
      </c>
    </row>
    <row r="6569" spans="1:15" x14ac:dyDescent="0.25">
      <c r="A6569" t="s">
        <v>929</v>
      </c>
      <c r="B6569" t="s">
        <v>2999</v>
      </c>
      <c r="C6569" t="s">
        <v>927</v>
      </c>
      <c r="D6569" t="s">
        <v>3052</v>
      </c>
      <c r="E6569" t="s">
        <v>3053</v>
      </c>
      <c r="F6569" t="s">
        <v>662</v>
      </c>
      <c r="G6569" t="s">
        <v>663</v>
      </c>
      <c r="H6569" t="s">
        <v>7431</v>
      </c>
      <c r="I6569">
        <v>58</v>
      </c>
      <c r="J6569">
        <v>0</v>
      </c>
      <c r="K6569">
        <v>0</v>
      </c>
      <c r="L6569">
        <v>0</v>
      </c>
      <c r="M6569">
        <v>58</v>
      </c>
      <c r="N6569">
        <v>0</v>
      </c>
      <c r="O6569">
        <v>0</v>
      </c>
    </row>
    <row r="6570" spans="1:15" x14ac:dyDescent="0.25">
      <c r="A6570" t="s">
        <v>983</v>
      </c>
      <c r="B6570" t="s">
        <v>2069</v>
      </c>
      <c r="C6570" t="s">
        <v>927</v>
      </c>
      <c r="D6570" t="s">
        <v>3052</v>
      </c>
      <c r="E6570" t="s">
        <v>3053</v>
      </c>
      <c r="F6570" t="s">
        <v>662</v>
      </c>
      <c r="G6570" t="s">
        <v>663</v>
      </c>
      <c r="H6570" t="s">
        <v>7432</v>
      </c>
      <c r="I6570">
        <v>250</v>
      </c>
      <c r="J6570">
        <v>220</v>
      </c>
      <c r="K6570">
        <v>0</v>
      </c>
      <c r="L6570">
        <v>16</v>
      </c>
      <c r="M6570">
        <v>0</v>
      </c>
      <c r="N6570">
        <v>0</v>
      </c>
      <c r="O6570">
        <v>14</v>
      </c>
    </row>
    <row r="6571" spans="1:15" x14ac:dyDescent="0.25">
      <c r="A6571" t="s">
        <v>1808</v>
      </c>
      <c r="B6571" t="s">
        <v>3032</v>
      </c>
      <c r="C6571" t="s">
        <v>927</v>
      </c>
      <c r="D6571" t="s">
        <v>3052</v>
      </c>
      <c r="E6571" t="s">
        <v>3053</v>
      </c>
      <c r="F6571" t="s">
        <v>662</v>
      </c>
      <c r="G6571" t="s">
        <v>663</v>
      </c>
      <c r="H6571" t="s">
        <v>7433</v>
      </c>
      <c r="I6571">
        <v>173</v>
      </c>
      <c r="J6571">
        <v>131</v>
      </c>
      <c r="K6571">
        <v>0</v>
      </c>
      <c r="L6571">
        <v>0</v>
      </c>
      <c r="M6571">
        <v>0</v>
      </c>
      <c r="N6571">
        <v>0</v>
      </c>
      <c r="O6571">
        <v>42</v>
      </c>
    </row>
    <row r="6572" spans="1:15" x14ac:dyDescent="0.25">
      <c r="A6572" t="s">
        <v>1715</v>
      </c>
      <c r="B6572" t="s">
        <v>2136</v>
      </c>
      <c r="C6572" t="s">
        <v>927</v>
      </c>
      <c r="D6572" t="s">
        <v>3052</v>
      </c>
      <c r="E6572" t="s">
        <v>3053</v>
      </c>
      <c r="F6572" t="s">
        <v>662</v>
      </c>
      <c r="G6572" t="s">
        <v>663</v>
      </c>
      <c r="H6572" t="s">
        <v>7434</v>
      </c>
      <c r="I6572">
        <v>146</v>
      </c>
      <c r="J6572">
        <v>136</v>
      </c>
      <c r="K6572">
        <v>0</v>
      </c>
      <c r="L6572">
        <v>1</v>
      </c>
      <c r="M6572">
        <v>0</v>
      </c>
      <c r="N6572">
        <v>0</v>
      </c>
      <c r="O6572">
        <v>9</v>
      </c>
    </row>
    <row r="6573" spans="1:15" x14ac:dyDescent="0.25">
      <c r="A6573" t="s">
        <v>996</v>
      </c>
      <c r="B6573" t="s">
        <v>1952</v>
      </c>
      <c r="C6573" t="s">
        <v>923</v>
      </c>
      <c r="D6573" t="s">
        <v>3063</v>
      </c>
      <c r="E6573" t="s">
        <v>3053</v>
      </c>
      <c r="F6573" t="s">
        <v>662</v>
      </c>
      <c r="G6573" t="s">
        <v>663</v>
      </c>
      <c r="H6573" t="s">
        <v>7435</v>
      </c>
      <c r="I6573">
        <v>2</v>
      </c>
      <c r="J6573">
        <v>0</v>
      </c>
      <c r="K6573">
        <v>0</v>
      </c>
      <c r="L6573">
        <v>2</v>
      </c>
      <c r="M6573">
        <v>0</v>
      </c>
      <c r="N6573">
        <v>0</v>
      </c>
      <c r="O6573">
        <v>0</v>
      </c>
    </row>
    <row r="6574" spans="1:15" x14ac:dyDescent="0.25">
      <c r="A6574" t="s">
        <v>11660</v>
      </c>
      <c r="B6574" t="s">
        <v>2041</v>
      </c>
      <c r="C6574" t="s">
        <v>923</v>
      </c>
      <c r="D6574" t="s">
        <v>3063</v>
      </c>
      <c r="E6574" t="s">
        <v>3053</v>
      </c>
      <c r="F6574" t="s">
        <v>662</v>
      </c>
      <c r="G6574" t="s">
        <v>663</v>
      </c>
      <c r="H6574" t="s">
        <v>12287</v>
      </c>
      <c r="I6574">
        <v>2</v>
      </c>
      <c r="J6574">
        <v>0</v>
      </c>
      <c r="K6574">
        <v>0</v>
      </c>
      <c r="L6574">
        <v>2</v>
      </c>
      <c r="M6574">
        <v>0</v>
      </c>
      <c r="N6574">
        <v>0</v>
      </c>
      <c r="O6574">
        <v>0</v>
      </c>
    </row>
    <row r="6575" spans="1:15" x14ac:dyDescent="0.25">
      <c r="A6575" t="s">
        <v>10643</v>
      </c>
      <c r="B6575" t="s">
        <v>2987</v>
      </c>
      <c r="C6575" t="s">
        <v>927</v>
      </c>
      <c r="D6575" t="s">
        <v>3052</v>
      </c>
      <c r="E6575" t="s">
        <v>3053</v>
      </c>
      <c r="F6575" t="s">
        <v>662</v>
      </c>
      <c r="G6575" t="s">
        <v>663</v>
      </c>
      <c r="H6575" t="s">
        <v>11267</v>
      </c>
      <c r="I6575">
        <v>678</v>
      </c>
      <c r="J6575">
        <v>633</v>
      </c>
      <c r="K6575">
        <v>0</v>
      </c>
      <c r="L6575">
        <v>0</v>
      </c>
      <c r="M6575">
        <v>0</v>
      </c>
      <c r="N6575">
        <v>0</v>
      </c>
      <c r="O6575">
        <v>45</v>
      </c>
    </row>
    <row r="6576" spans="1:15" x14ac:dyDescent="0.25">
      <c r="A6576" t="s">
        <v>1009</v>
      </c>
      <c r="B6576" t="s">
        <v>1958</v>
      </c>
      <c r="C6576" t="s">
        <v>923</v>
      </c>
      <c r="D6576" t="s">
        <v>3063</v>
      </c>
      <c r="E6576" t="s">
        <v>3053</v>
      </c>
      <c r="F6576" t="s">
        <v>662</v>
      </c>
      <c r="G6576" t="s">
        <v>663</v>
      </c>
      <c r="H6576" t="s">
        <v>7436</v>
      </c>
      <c r="I6576">
        <v>2</v>
      </c>
      <c r="J6576">
        <v>0</v>
      </c>
      <c r="K6576">
        <v>0</v>
      </c>
      <c r="L6576">
        <v>2</v>
      </c>
      <c r="M6576">
        <v>0</v>
      </c>
      <c r="N6576">
        <v>0</v>
      </c>
      <c r="O6576">
        <v>0</v>
      </c>
    </row>
    <row r="6577" spans="1:15" x14ac:dyDescent="0.25">
      <c r="A6577" t="s">
        <v>937</v>
      </c>
      <c r="B6577" t="s">
        <v>1962</v>
      </c>
      <c r="C6577" t="s">
        <v>927</v>
      </c>
      <c r="D6577" t="s">
        <v>3052</v>
      </c>
      <c r="E6577" t="s">
        <v>3053</v>
      </c>
      <c r="F6577" t="s">
        <v>662</v>
      </c>
      <c r="G6577" t="s">
        <v>663</v>
      </c>
      <c r="H6577" t="s">
        <v>7437</v>
      </c>
      <c r="I6577">
        <v>11</v>
      </c>
      <c r="J6577">
        <v>0</v>
      </c>
      <c r="K6577">
        <v>0</v>
      </c>
      <c r="L6577">
        <v>0</v>
      </c>
      <c r="M6577">
        <v>0</v>
      </c>
      <c r="N6577">
        <v>0</v>
      </c>
      <c r="O6577">
        <v>11</v>
      </c>
    </row>
    <row r="6578" spans="1:15" x14ac:dyDescent="0.25">
      <c r="A6578" t="s">
        <v>940</v>
      </c>
      <c r="B6578" t="s">
        <v>2647</v>
      </c>
      <c r="C6578" t="s">
        <v>927</v>
      </c>
      <c r="D6578" t="s">
        <v>3052</v>
      </c>
      <c r="E6578" t="s">
        <v>3053</v>
      </c>
      <c r="F6578" t="s">
        <v>662</v>
      </c>
      <c r="G6578" t="s">
        <v>663</v>
      </c>
      <c r="H6578" t="s">
        <v>7438</v>
      </c>
      <c r="I6578">
        <v>23</v>
      </c>
      <c r="J6578">
        <v>0</v>
      </c>
      <c r="K6578">
        <v>0</v>
      </c>
      <c r="L6578">
        <v>0</v>
      </c>
      <c r="M6578">
        <v>23</v>
      </c>
      <c r="N6578">
        <v>0</v>
      </c>
      <c r="O6578">
        <v>0</v>
      </c>
    </row>
    <row r="6579" spans="1:15" x14ac:dyDescent="0.25">
      <c r="A6579" t="s">
        <v>1013</v>
      </c>
      <c r="B6579" t="s">
        <v>1959</v>
      </c>
      <c r="C6579" t="s">
        <v>927</v>
      </c>
      <c r="D6579" t="s">
        <v>3052</v>
      </c>
      <c r="E6579" t="s">
        <v>3053</v>
      </c>
      <c r="F6579" t="s">
        <v>662</v>
      </c>
      <c r="G6579" t="s">
        <v>663</v>
      </c>
      <c r="H6579" t="s">
        <v>7439</v>
      </c>
      <c r="I6579">
        <v>46</v>
      </c>
      <c r="J6579">
        <v>0</v>
      </c>
      <c r="K6579">
        <v>0</v>
      </c>
      <c r="L6579">
        <v>46</v>
      </c>
      <c r="M6579">
        <v>0</v>
      </c>
      <c r="N6579">
        <v>0</v>
      </c>
      <c r="O6579">
        <v>0</v>
      </c>
    </row>
    <row r="6580" spans="1:15" x14ac:dyDescent="0.25">
      <c r="A6580" t="s">
        <v>1030</v>
      </c>
      <c r="B6580" t="s">
        <v>2880</v>
      </c>
      <c r="C6580" t="s">
        <v>927</v>
      </c>
      <c r="D6580" t="s">
        <v>3052</v>
      </c>
      <c r="E6580" t="s">
        <v>3053</v>
      </c>
      <c r="F6580" t="s">
        <v>662</v>
      </c>
      <c r="G6580" t="s">
        <v>663</v>
      </c>
      <c r="H6580" t="s">
        <v>7440</v>
      </c>
      <c r="I6580">
        <v>141</v>
      </c>
      <c r="J6580">
        <v>76</v>
      </c>
      <c r="K6580">
        <v>0</v>
      </c>
      <c r="L6580">
        <v>4</v>
      </c>
      <c r="M6580">
        <v>58</v>
      </c>
      <c r="N6580">
        <v>0</v>
      </c>
      <c r="O6580">
        <v>3</v>
      </c>
    </row>
    <row r="6581" spans="1:15" x14ac:dyDescent="0.25">
      <c r="A6581" t="s">
        <v>1830</v>
      </c>
      <c r="B6581" t="s">
        <v>2556</v>
      </c>
      <c r="C6581" t="s">
        <v>923</v>
      </c>
      <c r="D6581" t="s">
        <v>3063</v>
      </c>
      <c r="E6581" t="s">
        <v>3053</v>
      </c>
      <c r="F6581" t="s">
        <v>662</v>
      </c>
      <c r="G6581" t="s">
        <v>663</v>
      </c>
      <c r="H6581" t="s">
        <v>11268</v>
      </c>
      <c r="I6581">
        <v>51</v>
      </c>
      <c r="J6581">
        <v>51</v>
      </c>
      <c r="K6581">
        <v>0</v>
      </c>
      <c r="L6581">
        <v>0</v>
      </c>
      <c r="M6581">
        <v>0</v>
      </c>
      <c r="N6581">
        <v>0</v>
      </c>
      <c r="O6581">
        <v>0</v>
      </c>
    </row>
    <row r="6582" spans="1:15" x14ac:dyDescent="0.25">
      <c r="A6582" t="s">
        <v>9787</v>
      </c>
      <c r="B6582" t="s">
        <v>2822</v>
      </c>
      <c r="C6582" t="s">
        <v>927</v>
      </c>
      <c r="D6582" t="s">
        <v>3052</v>
      </c>
      <c r="E6582" t="s">
        <v>3053</v>
      </c>
      <c r="F6582" t="s">
        <v>662</v>
      </c>
      <c r="G6582" t="s">
        <v>663</v>
      </c>
      <c r="H6582" t="s">
        <v>10273</v>
      </c>
      <c r="I6582">
        <v>54</v>
      </c>
      <c r="J6582">
        <v>54</v>
      </c>
      <c r="K6582">
        <v>0</v>
      </c>
      <c r="L6582">
        <v>0</v>
      </c>
      <c r="M6582">
        <v>0</v>
      </c>
      <c r="N6582">
        <v>0</v>
      </c>
      <c r="O6582">
        <v>0</v>
      </c>
    </row>
    <row r="6583" spans="1:15" x14ac:dyDescent="0.25">
      <c r="A6583" t="s">
        <v>1049</v>
      </c>
      <c r="B6583" t="s">
        <v>2138</v>
      </c>
      <c r="C6583" t="s">
        <v>927</v>
      </c>
      <c r="D6583" t="s">
        <v>3052</v>
      </c>
      <c r="E6583" t="s">
        <v>3053</v>
      </c>
      <c r="F6583" t="s">
        <v>662</v>
      </c>
      <c r="G6583" t="s">
        <v>663</v>
      </c>
      <c r="H6583" t="s">
        <v>7441</v>
      </c>
      <c r="I6583">
        <v>459</v>
      </c>
      <c r="J6583">
        <v>364</v>
      </c>
      <c r="K6583">
        <v>0</v>
      </c>
      <c r="L6583">
        <v>0</v>
      </c>
      <c r="M6583">
        <v>0</v>
      </c>
      <c r="N6583">
        <v>0</v>
      </c>
      <c r="O6583">
        <v>95</v>
      </c>
    </row>
    <row r="6584" spans="1:15" x14ac:dyDescent="0.25">
      <c r="A6584" t="s">
        <v>1758</v>
      </c>
      <c r="B6584" t="s">
        <v>2997</v>
      </c>
      <c r="C6584" t="s">
        <v>927</v>
      </c>
      <c r="D6584" t="s">
        <v>3052</v>
      </c>
      <c r="E6584" t="s">
        <v>3053</v>
      </c>
      <c r="F6584" t="s">
        <v>662</v>
      </c>
      <c r="G6584" t="s">
        <v>663</v>
      </c>
      <c r="H6584" t="s">
        <v>7442</v>
      </c>
      <c r="I6584">
        <v>178</v>
      </c>
      <c r="J6584">
        <v>84</v>
      </c>
      <c r="K6584">
        <v>0</v>
      </c>
      <c r="L6584">
        <v>32</v>
      </c>
      <c r="M6584">
        <v>42</v>
      </c>
      <c r="N6584">
        <v>1</v>
      </c>
      <c r="O6584">
        <v>20</v>
      </c>
    </row>
    <row r="6585" spans="1:15" x14ac:dyDescent="0.25">
      <c r="A6585" t="s">
        <v>1057</v>
      </c>
      <c r="B6585" t="s">
        <v>1972</v>
      </c>
      <c r="C6585" t="s">
        <v>927</v>
      </c>
      <c r="D6585" t="s">
        <v>3052</v>
      </c>
      <c r="E6585" t="s">
        <v>3053</v>
      </c>
      <c r="F6585" t="s">
        <v>662</v>
      </c>
      <c r="G6585" t="s">
        <v>663</v>
      </c>
      <c r="H6585" t="s">
        <v>7443</v>
      </c>
      <c r="I6585">
        <v>11</v>
      </c>
      <c r="J6585">
        <v>0</v>
      </c>
      <c r="K6585">
        <v>0</v>
      </c>
      <c r="L6585">
        <v>0</v>
      </c>
      <c r="M6585">
        <v>0</v>
      </c>
      <c r="N6585">
        <v>0</v>
      </c>
      <c r="O6585">
        <v>11</v>
      </c>
    </row>
    <row r="6586" spans="1:15" x14ac:dyDescent="0.25">
      <c r="A6586" t="s">
        <v>955</v>
      </c>
      <c r="B6586" t="s">
        <v>2660</v>
      </c>
      <c r="C6586" t="s">
        <v>927</v>
      </c>
      <c r="D6586" t="s">
        <v>3052</v>
      </c>
      <c r="E6586" t="s">
        <v>3053</v>
      </c>
      <c r="F6586" t="s">
        <v>662</v>
      </c>
      <c r="G6586" t="s">
        <v>663</v>
      </c>
      <c r="H6586" t="s">
        <v>7444</v>
      </c>
      <c r="I6586">
        <v>23</v>
      </c>
      <c r="J6586">
        <v>23</v>
      </c>
      <c r="K6586">
        <v>0</v>
      </c>
      <c r="L6586">
        <v>0</v>
      </c>
      <c r="M6586">
        <v>0</v>
      </c>
      <c r="N6586">
        <v>0</v>
      </c>
      <c r="O6586">
        <v>0</v>
      </c>
    </row>
    <row r="6587" spans="1:15" x14ac:dyDescent="0.25">
      <c r="A6587" t="s">
        <v>962</v>
      </c>
      <c r="B6587" t="s">
        <v>2752</v>
      </c>
      <c r="C6587" t="s">
        <v>927</v>
      </c>
      <c r="D6587" t="s">
        <v>3052</v>
      </c>
      <c r="E6587" t="s">
        <v>3053</v>
      </c>
      <c r="F6587" t="s">
        <v>662</v>
      </c>
      <c r="G6587" t="s">
        <v>663</v>
      </c>
      <c r="H6587" t="s">
        <v>12288</v>
      </c>
      <c r="I6587">
        <v>28</v>
      </c>
      <c r="J6587">
        <v>28</v>
      </c>
      <c r="K6587">
        <v>0</v>
      </c>
      <c r="L6587">
        <v>0</v>
      </c>
      <c r="M6587">
        <v>0</v>
      </c>
      <c r="N6587">
        <v>0</v>
      </c>
      <c r="O6587">
        <v>0</v>
      </c>
    </row>
    <row r="6588" spans="1:15" x14ac:dyDescent="0.25">
      <c r="A6588" t="s">
        <v>1077</v>
      </c>
      <c r="B6588" t="s">
        <v>2711</v>
      </c>
      <c r="C6588" t="s">
        <v>927</v>
      </c>
      <c r="D6588" t="s">
        <v>3052</v>
      </c>
      <c r="E6588" t="s">
        <v>3053</v>
      </c>
      <c r="F6588" t="s">
        <v>662</v>
      </c>
      <c r="G6588" t="s">
        <v>663</v>
      </c>
      <c r="H6588" t="s">
        <v>7445</v>
      </c>
      <c r="I6588">
        <v>13</v>
      </c>
      <c r="J6588">
        <v>13</v>
      </c>
      <c r="K6588">
        <v>0</v>
      </c>
      <c r="L6588">
        <v>0</v>
      </c>
      <c r="M6588">
        <v>0</v>
      </c>
      <c r="N6588">
        <v>0</v>
      </c>
      <c r="O6588">
        <v>0</v>
      </c>
    </row>
    <row r="6589" spans="1:15" x14ac:dyDescent="0.25">
      <c r="A6589" t="s">
        <v>1865</v>
      </c>
      <c r="B6589" t="s">
        <v>2866</v>
      </c>
      <c r="C6589" t="s">
        <v>927</v>
      </c>
      <c r="D6589" t="s">
        <v>3052</v>
      </c>
      <c r="E6589" t="s">
        <v>3053</v>
      </c>
      <c r="F6589" t="s">
        <v>662</v>
      </c>
      <c r="G6589" t="s">
        <v>663</v>
      </c>
      <c r="H6589" t="s">
        <v>7446</v>
      </c>
      <c r="I6589">
        <v>121</v>
      </c>
      <c r="J6589">
        <v>95</v>
      </c>
      <c r="K6589">
        <v>0</v>
      </c>
      <c r="L6589">
        <v>0</v>
      </c>
      <c r="M6589">
        <v>0</v>
      </c>
      <c r="N6589">
        <v>0</v>
      </c>
      <c r="O6589">
        <v>26</v>
      </c>
    </row>
    <row r="6590" spans="1:15" x14ac:dyDescent="0.25">
      <c r="A6590" t="s">
        <v>1869</v>
      </c>
      <c r="B6590" t="s">
        <v>2974</v>
      </c>
      <c r="C6590" t="s">
        <v>923</v>
      </c>
      <c r="D6590" t="s">
        <v>3063</v>
      </c>
      <c r="E6590" t="s">
        <v>3053</v>
      </c>
      <c r="F6590" t="s">
        <v>662</v>
      </c>
      <c r="G6590" t="s">
        <v>663</v>
      </c>
      <c r="H6590" t="s">
        <v>7447</v>
      </c>
      <c r="I6590">
        <v>165</v>
      </c>
      <c r="J6590">
        <v>113</v>
      </c>
      <c r="K6590">
        <v>0</v>
      </c>
      <c r="L6590">
        <v>52</v>
      </c>
      <c r="M6590">
        <v>0</v>
      </c>
      <c r="N6590">
        <v>0</v>
      </c>
      <c r="O6590">
        <v>0</v>
      </c>
    </row>
    <row r="6591" spans="1:15" x14ac:dyDescent="0.25">
      <c r="A6591" t="s">
        <v>1564</v>
      </c>
      <c r="B6591" t="s">
        <v>3039</v>
      </c>
      <c r="C6591" t="s">
        <v>927</v>
      </c>
      <c r="D6591" t="s">
        <v>3052</v>
      </c>
      <c r="E6591" t="s">
        <v>3053</v>
      </c>
      <c r="F6591" t="s">
        <v>664</v>
      </c>
      <c r="G6591" t="s">
        <v>665</v>
      </c>
      <c r="H6591" t="s">
        <v>12289</v>
      </c>
      <c r="I6591">
        <v>43</v>
      </c>
      <c r="J6591">
        <v>0</v>
      </c>
      <c r="K6591">
        <v>0</v>
      </c>
      <c r="L6591">
        <v>0</v>
      </c>
      <c r="M6591">
        <v>0</v>
      </c>
      <c r="N6591">
        <v>0</v>
      </c>
      <c r="O6591">
        <v>43</v>
      </c>
    </row>
    <row r="6592" spans="1:15" x14ac:dyDescent="0.25">
      <c r="A6592" t="s">
        <v>1196</v>
      </c>
      <c r="B6592" t="s">
        <v>3004</v>
      </c>
      <c r="C6592" t="s">
        <v>927</v>
      </c>
      <c r="D6592" t="s">
        <v>3052</v>
      </c>
      <c r="E6592" t="s">
        <v>3053</v>
      </c>
      <c r="F6592" t="s">
        <v>664</v>
      </c>
      <c r="G6592" t="s">
        <v>665</v>
      </c>
      <c r="H6592" t="s">
        <v>7448</v>
      </c>
      <c r="I6592">
        <v>38</v>
      </c>
      <c r="J6592">
        <v>38</v>
      </c>
      <c r="K6592">
        <v>0</v>
      </c>
      <c r="L6592">
        <v>0</v>
      </c>
      <c r="M6592">
        <v>0</v>
      </c>
      <c r="N6592">
        <v>0</v>
      </c>
      <c r="O6592">
        <v>0</v>
      </c>
    </row>
    <row r="6593" spans="1:15" x14ac:dyDescent="0.25">
      <c r="A6593" t="s">
        <v>971</v>
      </c>
      <c r="B6593" t="s">
        <v>2956</v>
      </c>
      <c r="C6593" t="s">
        <v>927</v>
      </c>
      <c r="D6593" t="s">
        <v>3052</v>
      </c>
      <c r="E6593" t="s">
        <v>3053</v>
      </c>
      <c r="F6593" t="s">
        <v>664</v>
      </c>
      <c r="G6593" t="s">
        <v>665</v>
      </c>
      <c r="H6593" t="s">
        <v>7449</v>
      </c>
      <c r="I6593">
        <v>65</v>
      </c>
      <c r="J6593">
        <v>65</v>
      </c>
      <c r="K6593">
        <v>0</v>
      </c>
      <c r="L6593">
        <v>0</v>
      </c>
      <c r="M6593">
        <v>0</v>
      </c>
      <c r="N6593">
        <v>0</v>
      </c>
      <c r="O6593">
        <v>0</v>
      </c>
    </row>
    <row r="6594" spans="1:15" x14ac:dyDescent="0.25">
      <c r="A6594" t="s">
        <v>926</v>
      </c>
      <c r="B6594" t="s">
        <v>2923</v>
      </c>
      <c r="C6594" t="s">
        <v>927</v>
      </c>
      <c r="D6594" t="s">
        <v>3052</v>
      </c>
      <c r="E6594" t="s">
        <v>3053</v>
      </c>
      <c r="F6594" t="s">
        <v>664</v>
      </c>
      <c r="G6594" t="s">
        <v>665</v>
      </c>
      <c r="H6594" t="s">
        <v>7450</v>
      </c>
      <c r="I6594">
        <v>7</v>
      </c>
      <c r="J6594">
        <v>0</v>
      </c>
      <c r="K6594">
        <v>0</v>
      </c>
      <c r="L6594">
        <v>6</v>
      </c>
      <c r="M6594">
        <v>0</v>
      </c>
      <c r="N6594">
        <v>0</v>
      </c>
      <c r="O6594">
        <v>1</v>
      </c>
    </row>
    <row r="6595" spans="1:15" x14ac:dyDescent="0.25">
      <c r="A6595" t="s">
        <v>929</v>
      </c>
      <c r="B6595" t="s">
        <v>2999</v>
      </c>
      <c r="C6595" t="s">
        <v>927</v>
      </c>
      <c r="D6595" t="s">
        <v>3052</v>
      </c>
      <c r="E6595" t="s">
        <v>3053</v>
      </c>
      <c r="F6595" t="s">
        <v>664</v>
      </c>
      <c r="G6595" t="s">
        <v>665</v>
      </c>
      <c r="H6595" t="s">
        <v>7451</v>
      </c>
      <c r="I6595">
        <v>81</v>
      </c>
      <c r="J6595">
        <v>0</v>
      </c>
      <c r="K6595">
        <v>0</v>
      </c>
      <c r="L6595">
        <v>0</v>
      </c>
      <c r="M6595">
        <v>81</v>
      </c>
      <c r="N6595">
        <v>0</v>
      </c>
      <c r="O6595">
        <v>0</v>
      </c>
    </row>
    <row r="6596" spans="1:15" x14ac:dyDescent="0.25">
      <c r="A6596" t="s">
        <v>9790</v>
      </c>
      <c r="B6596" t="s">
        <v>1977</v>
      </c>
      <c r="C6596" t="s">
        <v>923</v>
      </c>
      <c r="D6596" t="s">
        <v>3063</v>
      </c>
      <c r="E6596" t="s">
        <v>3053</v>
      </c>
      <c r="F6596" t="s">
        <v>664</v>
      </c>
      <c r="G6596" t="s">
        <v>665</v>
      </c>
      <c r="H6596" t="s">
        <v>12290</v>
      </c>
      <c r="I6596">
        <v>11</v>
      </c>
      <c r="J6596">
        <v>0</v>
      </c>
      <c r="K6596">
        <v>0</v>
      </c>
      <c r="L6596">
        <v>11</v>
      </c>
      <c r="M6596">
        <v>0</v>
      </c>
      <c r="N6596">
        <v>0</v>
      </c>
      <c r="O6596">
        <v>0</v>
      </c>
    </row>
    <row r="6597" spans="1:15" x14ac:dyDescent="0.25">
      <c r="A6597" t="s">
        <v>9784</v>
      </c>
      <c r="B6597" t="s">
        <v>1994</v>
      </c>
      <c r="C6597" t="s">
        <v>927</v>
      </c>
      <c r="D6597" t="s">
        <v>3052</v>
      </c>
      <c r="E6597" t="s">
        <v>3053</v>
      </c>
      <c r="F6597" t="s">
        <v>664</v>
      </c>
      <c r="G6597" t="s">
        <v>665</v>
      </c>
      <c r="H6597" t="s">
        <v>9974</v>
      </c>
      <c r="I6597">
        <v>12</v>
      </c>
      <c r="J6597">
        <v>0</v>
      </c>
      <c r="K6597">
        <v>0</v>
      </c>
      <c r="L6597">
        <v>12</v>
      </c>
      <c r="M6597">
        <v>0</v>
      </c>
      <c r="N6597">
        <v>0</v>
      </c>
      <c r="O6597">
        <v>0</v>
      </c>
    </row>
    <row r="6598" spans="1:15" x14ac:dyDescent="0.25">
      <c r="A6598" t="s">
        <v>10638</v>
      </c>
      <c r="B6598" t="s">
        <v>2057</v>
      </c>
      <c r="C6598" t="s">
        <v>927</v>
      </c>
      <c r="D6598" t="s">
        <v>3052</v>
      </c>
      <c r="E6598" t="s">
        <v>3053</v>
      </c>
      <c r="F6598" t="s">
        <v>664</v>
      </c>
      <c r="G6598" t="s">
        <v>665</v>
      </c>
      <c r="H6598" t="s">
        <v>11269</v>
      </c>
      <c r="I6598">
        <v>1</v>
      </c>
      <c r="J6598">
        <v>0</v>
      </c>
      <c r="K6598">
        <v>0</v>
      </c>
      <c r="L6598">
        <v>1</v>
      </c>
      <c r="M6598">
        <v>0</v>
      </c>
      <c r="N6598">
        <v>0</v>
      </c>
      <c r="O6598">
        <v>0</v>
      </c>
    </row>
    <row r="6599" spans="1:15" x14ac:dyDescent="0.25">
      <c r="A6599" t="s">
        <v>937</v>
      </c>
      <c r="B6599" t="s">
        <v>1962</v>
      </c>
      <c r="C6599" t="s">
        <v>927</v>
      </c>
      <c r="D6599" t="s">
        <v>3052</v>
      </c>
      <c r="E6599" t="s">
        <v>3053</v>
      </c>
      <c r="F6599" t="s">
        <v>664</v>
      </c>
      <c r="G6599" t="s">
        <v>665</v>
      </c>
      <c r="H6599" t="s">
        <v>7452</v>
      </c>
      <c r="I6599">
        <v>58</v>
      </c>
      <c r="J6599">
        <v>0</v>
      </c>
      <c r="K6599">
        <v>0</v>
      </c>
      <c r="L6599">
        <v>0</v>
      </c>
      <c r="M6599">
        <v>0</v>
      </c>
      <c r="N6599">
        <v>0</v>
      </c>
      <c r="O6599">
        <v>58</v>
      </c>
    </row>
    <row r="6600" spans="1:15" x14ac:dyDescent="0.25">
      <c r="A6600" t="s">
        <v>1011</v>
      </c>
      <c r="B6600" t="s">
        <v>2020</v>
      </c>
      <c r="C6600" t="s">
        <v>927</v>
      </c>
      <c r="D6600" t="s">
        <v>3052</v>
      </c>
      <c r="E6600" t="s">
        <v>3053</v>
      </c>
      <c r="F6600" t="s">
        <v>664</v>
      </c>
      <c r="G6600" t="s">
        <v>665</v>
      </c>
      <c r="H6600" t="s">
        <v>7453</v>
      </c>
      <c r="I6600">
        <v>13</v>
      </c>
      <c r="J6600">
        <v>0</v>
      </c>
      <c r="K6600">
        <v>0</v>
      </c>
      <c r="L6600">
        <v>13</v>
      </c>
      <c r="M6600">
        <v>0</v>
      </c>
      <c r="N6600">
        <v>0</v>
      </c>
      <c r="O6600">
        <v>0</v>
      </c>
    </row>
    <row r="6601" spans="1:15" x14ac:dyDescent="0.25">
      <c r="A6601" t="s">
        <v>938</v>
      </c>
      <c r="B6601" t="s">
        <v>2791</v>
      </c>
      <c r="C6601" t="s">
        <v>927</v>
      </c>
      <c r="D6601" t="s">
        <v>3052</v>
      </c>
      <c r="E6601" t="s">
        <v>3053</v>
      </c>
      <c r="F6601" t="s">
        <v>664</v>
      </c>
      <c r="G6601" t="s">
        <v>665</v>
      </c>
      <c r="H6601" t="s">
        <v>7454</v>
      </c>
      <c r="I6601">
        <v>10</v>
      </c>
      <c r="J6601">
        <v>0</v>
      </c>
      <c r="K6601">
        <v>0</v>
      </c>
      <c r="L6601">
        <v>10</v>
      </c>
      <c r="M6601">
        <v>0</v>
      </c>
      <c r="N6601">
        <v>0</v>
      </c>
      <c r="O6601">
        <v>0</v>
      </c>
    </row>
    <row r="6602" spans="1:15" x14ac:dyDescent="0.25">
      <c r="A6602" t="s">
        <v>940</v>
      </c>
      <c r="B6602" t="s">
        <v>2647</v>
      </c>
      <c r="C6602" t="s">
        <v>927</v>
      </c>
      <c r="D6602" t="s">
        <v>3052</v>
      </c>
      <c r="E6602" t="s">
        <v>3053</v>
      </c>
      <c r="F6602" t="s">
        <v>664</v>
      </c>
      <c r="G6602" t="s">
        <v>665</v>
      </c>
      <c r="H6602" t="s">
        <v>7455</v>
      </c>
      <c r="I6602">
        <v>60</v>
      </c>
      <c r="J6602">
        <v>0</v>
      </c>
      <c r="K6602">
        <v>0</v>
      </c>
      <c r="L6602">
        <v>0</v>
      </c>
      <c r="M6602">
        <v>45</v>
      </c>
      <c r="N6602">
        <v>0</v>
      </c>
      <c r="O6602">
        <v>15</v>
      </c>
    </row>
    <row r="6603" spans="1:15" x14ac:dyDescent="0.25">
      <c r="A6603" t="s">
        <v>1012</v>
      </c>
      <c r="B6603" t="s">
        <v>2911</v>
      </c>
      <c r="C6603" t="s">
        <v>927</v>
      </c>
      <c r="D6603" t="s">
        <v>3052</v>
      </c>
      <c r="E6603" t="s">
        <v>3053</v>
      </c>
      <c r="F6603" t="s">
        <v>664</v>
      </c>
      <c r="G6603" t="s">
        <v>665</v>
      </c>
      <c r="H6603" t="s">
        <v>7456</v>
      </c>
      <c r="I6603">
        <v>341</v>
      </c>
      <c r="J6603">
        <v>264</v>
      </c>
      <c r="K6603">
        <v>0</v>
      </c>
      <c r="L6603">
        <v>30</v>
      </c>
      <c r="M6603">
        <v>17</v>
      </c>
      <c r="N6603">
        <v>5</v>
      </c>
      <c r="O6603">
        <v>30</v>
      </c>
    </row>
    <row r="6604" spans="1:15" x14ac:dyDescent="0.25">
      <c r="A6604" t="s">
        <v>1013</v>
      </c>
      <c r="B6604" t="s">
        <v>1959</v>
      </c>
      <c r="C6604" t="s">
        <v>927</v>
      </c>
      <c r="D6604" t="s">
        <v>3052</v>
      </c>
      <c r="E6604" t="s">
        <v>3053</v>
      </c>
      <c r="F6604" t="s">
        <v>664</v>
      </c>
      <c r="G6604" t="s">
        <v>665</v>
      </c>
      <c r="H6604" t="s">
        <v>11270</v>
      </c>
      <c r="I6604">
        <v>14</v>
      </c>
      <c r="J6604">
        <v>0</v>
      </c>
      <c r="K6604">
        <v>0</v>
      </c>
      <c r="L6604">
        <v>14</v>
      </c>
      <c r="M6604">
        <v>0</v>
      </c>
      <c r="N6604">
        <v>0</v>
      </c>
      <c r="O6604">
        <v>0</v>
      </c>
    </row>
    <row r="6605" spans="1:15" x14ac:dyDescent="0.25">
      <c r="A6605" t="s">
        <v>1126</v>
      </c>
      <c r="B6605" t="s">
        <v>2130</v>
      </c>
      <c r="C6605" t="s">
        <v>927</v>
      </c>
      <c r="D6605" t="s">
        <v>3052</v>
      </c>
      <c r="E6605" t="s">
        <v>3053</v>
      </c>
      <c r="F6605" t="s">
        <v>664</v>
      </c>
      <c r="G6605" t="s">
        <v>665</v>
      </c>
      <c r="H6605" t="s">
        <v>15099</v>
      </c>
      <c r="I6605">
        <v>24</v>
      </c>
      <c r="J6605">
        <v>7</v>
      </c>
      <c r="K6605">
        <v>0</v>
      </c>
      <c r="L6605">
        <v>0</v>
      </c>
      <c r="M6605">
        <v>0</v>
      </c>
      <c r="N6605">
        <v>0</v>
      </c>
      <c r="O6605">
        <v>17</v>
      </c>
    </row>
    <row r="6606" spans="1:15" x14ac:dyDescent="0.25">
      <c r="A6606" t="s">
        <v>1025</v>
      </c>
      <c r="B6606" t="s">
        <v>2893</v>
      </c>
      <c r="C6606" t="s">
        <v>927</v>
      </c>
      <c r="D6606" t="s">
        <v>3052</v>
      </c>
      <c r="E6606" t="s">
        <v>3053</v>
      </c>
      <c r="F6606" t="s">
        <v>664</v>
      </c>
      <c r="G6606" t="s">
        <v>665</v>
      </c>
      <c r="H6606" t="s">
        <v>7457</v>
      </c>
      <c r="I6606">
        <v>21</v>
      </c>
      <c r="J6606">
        <v>0</v>
      </c>
      <c r="K6606">
        <v>0</v>
      </c>
      <c r="L6606">
        <v>0</v>
      </c>
      <c r="M6606">
        <v>0</v>
      </c>
      <c r="N6606">
        <v>0</v>
      </c>
      <c r="O6606">
        <v>21</v>
      </c>
    </row>
    <row r="6607" spans="1:15" x14ac:dyDescent="0.25">
      <c r="A6607" t="s">
        <v>10681</v>
      </c>
      <c r="B6607" t="s">
        <v>10680</v>
      </c>
      <c r="C6607" t="s">
        <v>927</v>
      </c>
      <c r="D6607" t="s">
        <v>3052</v>
      </c>
      <c r="E6607" t="s">
        <v>3053</v>
      </c>
      <c r="F6607" t="s">
        <v>664</v>
      </c>
      <c r="G6607" t="s">
        <v>665</v>
      </c>
      <c r="H6607" t="s">
        <v>15100</v>
      </c>
      <c r="I6607">
        <v>10</v>
      </c>
      <c r="J6607">
        <v>0</v>
      </c>
      <c r="K6607">
        <v>0</v>
      </c>
      <c r="L6607">
        <v>0</v>
      </c>
      <c r="M6607">
        <v>0</v>
      </c>
      <c r="N6607">
        <v>0</v>
      </c>
      <c r="O6607">
        <v>10</v>
      </c>
    </row>
    <row r="6608" spans="1:15" x14ac:dyDescent="0.25">
      <c r="A6608" t="s">
        <v>943</v>
      </c>
      <c r="B6608" t="s">
        <v>2694</v>
      </c>
      <c r="C6608" t="s">
        <v>927</v>
      </c>
      <c r="D6608" t="s">
        <v>3052</v>
      </c>
      <c r="E6608" t="s">
        <v>3053</v>
      </c>
      <c r="F6608" t="s">
        <v>664</v>
      </c>
      <c r="G6608" t="s">
        <v>665</v>
      </c>
      <c r="H6608" t="s">
        <v>7458</v>
      </c>
      <c r="I6608">
        <v>343</v>
      </c>
      <c r="J6608">
        <v>115</v>
      </c>
      <c r="K6608">
        <v>0</v>
      </c>
      <c r="L6608">
        <v>17</v>
      </c>
      <c r="M6608">
        <v>0</v>
      </c>
      <c r="N6608">
        <v>0</v>
      </c>
      <c r="O6608">
        <v>211</v>
      </c>
    </row>
    <row r="6609" spans="1:15" x14ac:dyDescent="0.25">
      <c r="A6609" t="s">
        <v>945</v>
      </c>
      <c r="B6609" t="s">
        <v>2668</v>
      </c>
      <c r="C6609" t="s">
        <v>927</v>
      </c>
      <c r="D6609" t="s">
        <v>3052</v>
      </c>
      <c r="E6609" t="s">
        <v>3053</v>
      </c>
      <c r="F6609" t="s">
        <v>664</v>
      </c>
      <c r="G6609" t="s">
        <v>665</v>
      </c>
      <c r="H6609" t="s">
        <v>7459</v>
      </c>
      <c r="I6609">
        <v>1</v>
      </c>
      <c r="J6609">
        <v>0</v>
      </c>
      <c r="K6609">
        <v>0</v>
      </c>
      <c r="L6609">
        <v>0</v>
      </c>
      <c r="M6609">
        <v>0</v>
      </c>
      <c r="N6609">
        <v>0</v>
      </c>
      <c r="O6609">
        <v>1</v>
      </c>
    </row>
    <row r="6610" spans="1:15" x14ac:dyDescent="0.25">
      <c r="A6610" t="s">
        <v>1300</v>
      </c>
      <c r="B6610" t="s">
        <v>2644</v>
      </c>
      <c r="C6610" t="s">
        <v>927</v>
      </c>
      <c r="D6610" t="s">
        <v>3052</v>
      </c>
      <c r="E6610" t="s">
        <v>3053</v>
      </c>
      <c r="F6610" t="s">
        <v>664</v>
      </c>
      <c r="G6610" t="s">
        <v>665</v>
      </c>
      <c r="H6610" t="s">
        <v>7460</v>
      </c>
      <c r="I6610">
        <v>248</v>
      </c>
      <c r="J6610">
        <v>171</v>
      </c>
      <c r="K6610">
        <v>0</v>
      </c>
      <c r="L6610">
        <v>5</v>
      </c>
      <c r="M6610">
        <v>41</v>
      </c>
      <c r="N6610">
        <v>13</v>
      </c>
      <c r="O6610">
        <v>31</v>
      </c>
    </row>
    <row r="6611" spans="1:15" x14ac:dyDescent="0.25">
      <c r="A6611" t="s">
        <v>949</v>
      </c>
      <c r="B6611" t="s">
        <v>3035</v>
      </c>
      <c r="C6611" t="s">
        <v>927</v>
      </c>
      <c r="D6611" t="s">
        <v>3052</v>
      </c>
      <c r="E6611" t="s">
        <v>3053</v>
      </c>
      <c r="F6611" t="s">
        <v>664</v>
      </c>
      <c r="G6611" t="s">
        <v>665</v>
      </c>
      <c r="H6611" t="s">
        <v>7461</v>
      </c>
      <c r="I6611">
        <v>1</v>
      </c>
      <c r="J6611">
        <v>0</v>
      </c>
      <c r="K6611">
        <v>0</v>
      </c>
      <c r="L6611">
        <v>0</v>
      </c>
      <c r="M6611">
        <v>0</v>
      </c>
      <c r="N6611">
        <v>0</v>
      </c>
      <c r="O6611">
        <v>1</v>
      </c>
    </row>
    <row r="6612" spans="1:15" x14ac:dyDescent="0.25">
      <c r="A6612" t="s">
        <v>1041</v>
      </c>
      <c r="B6612" t="s">
        <v>2826</v>
      </c>
      <c r="C6612" t="s">
        <v>927</v>
      </c>
      <c r="D6612" t="s">
        <v>3052</v>
      </c>
      <c r="E6612" t="s">
        <v>3053</v>
      </c>
      <c r="F6612" t="s">
        <v>664</v>
      </c>
      <c r="G6612" t="s">
        <v>665</v>
      </c>
      <c r="H6612" t="s">
        <v>7462</v>
      </c>
      <c r="I6612">
        <v>91</v>
      </c>
      <c r="J6612">
        <v>0</v>
      </c>
      <c r="K6612">
        <v>0</v>
      </c>
      <c r="L6612">
        <v>0</v>
      </c>
      <c r="M6612">
        <v>0</v>
      </c>
      <c r="N6612">
        <v>0</v>
      </c>
      <c r="O6612">
        <v>91</v>
      </c>
    </row>
    <row r="6613" spans="1:15" x14ac:dyDescent="0.25">
      <c r="A6613" t="s">
        <v>9787</v>
      </c>
      <c r="B6613" t="s">
        <v>2822</v>
      </c>
      <c r="C6613" t="s">
        <v>927</v>
      </c>
      <c r="D6613" t="s">
        <v>3052</v>
      </c>
      <c r="E6613" t="s">
        <v>3053</v>
      </c>
      <c r="F6613" t="s">
        <v>664</v>
      </c>
      <c r="G6613" t="s">
        <v>665</v>
      </c>
      <c r="H6613" t="s">
        <v>10274</v>
      </c>
      <c r="I6613">
        <v>256</v>
      </c>
      <c r="J6613">
        <v>229</v>
      </c>
      <c r="K6613">
        <v>0</v>
      </c>
      <c r="L6613">
        <v>8</v>
      </c>
      <c r="M6613">
        <v>19</v>
      </c>
      <c r="N6613">
        <v>0</v>
      </c>
      <c r="O6613">
        <v>0</v>
      </c>
    </row>
    <row r="6614" spans="1:15" x14ac:dyDescent="0.25">
      <c r="A6614" t="s">
        <v>1331</v>
      </c>
      <c r="B6614" t="s">
        <v>2856</v>
      </c>
      <c r="C6614" t="s">
        <v>927</v>
      </c>
      <c r="D6614" t="s">
        <v>3052</v>
      </c>
      <c r="E6614" t="s">
        <v>3053</v>
      </c>
      <c r="F6614" t="s">
        <v>664</v>
      </c>
      <c r="G6614" t="s">
        <v>665</v>
      </c>
      <c r="H6614" t="s">
        <v>7463</v>
      </c>
      <c r="I6614">
        <v>5102</v>
      </c>
      <c r="J6614">
        <v>4554</v>
      </c>
      <c r="K6614">
        <v>0</v>
      </c>
      <c r="L6614">
        <v>0</v>
      </c>
      <c r="M6614">
        <v>339</v>
      </c>
      <c r="N6614">
        <v>29</v>
      </c>
      <c r="O6614">
        <v>209</v>
      </c>
    </row>
    <row r="6615" spans="1:15" x14ac:dyDescent="0.25">
      <c r="A6615" t="s">
        <v>953</v>
      </c>
      <c r="B6615" t="s">
        <v>2014</v>
      </c>
      <c r="C6615" t="s">
        <v>927</v>
      </c>
      <c r="D6615" t="s">
        <v>3052</v>
      </c>
      <c r="E6615" t="s">
        <v>3053</v>
      </c>
      <c r="F6615" t="s">
        <v>664</v>
      </c>
      <c r="G6615" t="s">
        <v>665</v>
      </c>
      <c r="H6615" t="s">
        <v>7464</v>
      </c>
      <c r="I6615">
        <v>45</v>
      </c>
      <c r="J6615">
        <v>0</v>
      </c>
      <c r="K6615">
        <v>0</v>
      </c>
      <c r="L6615">
        <v>45</v>
      </c>
      <c r="M6615">
        <v>0</v>
      </c>
      <c r="N6615">
        <v>0</v>
      </c>
      <c r="O6615">
        <v>0</v>
      </c>
    </row>
    <row r="6616" spans="1:15" x14ac:dyDescent="0.25">
      <c r="A6616" t="s">
        <v>11720</v>
      </c>
      <c r="B6616" t="s">
        <v>10718</v>
      </c>
      <c r="C6616" t="s">
        <v>927</v>
      </c>
      <c r="D6616" t="s">
        <v>3052</v>
      </c>
      <c r="E6616" t="s">
        <v>3053</v>
      </c>
      <c r="F6616" t="s">
        <v>664</v>
      </c>
      <c r="G6616" t="s">
        <v>665</v>
      </c>
      <c r="H6616" t="s">
        <v>15101</v>
      </c>
      <c r="I6616">
        <v>12</v>
      </c>
      <c r="J6616">
        <v>0</v>
      </c>
      <c r="K6616">
        <v>0</v>
      </c>
      <c r="L6616">
        <v>0</v>
      </c>
      <c r="M6616">
        <v>0</v>
      </c>
      <c r="N6616">
        <v>0</v>
      </c>
      <c r="O6616">
        <v>12</v>
      </c>
    </row>
    <row r="6617" spans="1:15" x14ac:dyDescent="0.25">
      <c r="A6617" t="s">
        <v>9788</v>
      </c>
      <c r="B6617" t="s">
        <v>9871</v>
      </c>
      <c r="C6617" t="s">
        <v>927</v>
      </c>
      <c r="D6617" t="s">
        <v>3052</v>
      </c>
      <c r="E6617" t="s">
        <v>3053</v>
      </c>
      <c r="F6617" t="s">
        <v>664</v>
      </c>
      <c r="G6617" t="s">
        <v>665</v>
      </c>
      <c r="H6617" t="s">
        <v>15102</v>
      </c>
      <c r="I6617">
        <v>30</v>
      </c>
      <c r="J6617">
        <v>30</v>
      </c>
      <c r="K6617">
        <v>0</v>
      </c>
      <c r="L6617">
        <v>0</v>
      </c>
      <c r="M6617">
        <v>0</v>
      </c>
      <c r="N6617">
        <v>0</v>
      </c>
      <c r="O6617">
        <v>0</v>
      </c>
    </row>
    <row r="6618" spans="1:15" x14ac:dyDescent="0.25">
      <c r="A6618" t="s">
        <v>1057</v>
      </c>
      <c r="B6618" t="s">
        <v>1972</v>
      </c>
      <c r="C6618" t="s">
        <v>927</v>
      </c>
      <c r="D6618" t="s">
        <v>3052</v>
      </c>
      <c r="E6618" t="s">
        <v>3053</v>
      </c>
      <c r="F6618" t="s">
        <v>664</v>
      </c>
      <c r="G6618" t="s">
        <v>665</v>
      </c>
      <c r="H6618" t="s">
        <v>10403</v>
      </c>
      <c r="I6618">
        <v>13</v>
      </c>
      <c r="J6618">
        <v>0</v>
      </c>
      <c r="K6618">
        <v>0</v>
      </c>
      <c r="L6618">
        <v>0</v>
      </c>
      <c r="M6618">
        <v>0</v>
      </c>
      <c r="N6618">
        <v>0</v>
      </c>
      <c r="O6618">
        <v>13</v>
      </c>
    </row>
    <row r="6619" spans="1:15" x14ac:dyDescent="0.25">
      <c r="A6619" t="s">
        <v>11663</v>
      </c>
      <c r="B6619" t="s">
        <v>11768</v>
      </c>
      <c r="C6619" t="s">
        <v>927</v>
      </c>
      <c r="D6619" t="s">
        <v>3052</v>
      </c>
      <c r="E6619" t="s">
        <v>3053</v>
      </c>
      <c r="F6619" t="s">
        <v>664</v>
      </c>
      <c r="G6619" t="s">
        <v>665</v>
      </c>
      <c r="H6619" t="s">
        <v>12291</v>
      </c>
      <c r="I6619">
        <v>840</v>
      </c>
      <c r="J6619">
        <v>627</v>
      </c>
      <c r="K6619">
        <v>0</v>
      </c>
      <c r="L6619">
        <v>27</v>
      </c>
      <c r="M6619">
        <v>0</v>
      </c>
      <c r="N6619">
        <v>3</v>
      </c>
      <c r="O6619">
        <v>186</v>
      </c>
    </row>
    <row r="6620" spans="1:15" x14ac:dyDescent="0.25">
      <c r="A6620" t="s">
        <v>14374</v>
      </c>
      <c r="B6620" t="s">
        <v>1943</v>
      </c>
      <c r="C6620" t="s">
        <v>927</v>
      </c>
      <c r="D6620" t="s">
        <v>3052</v>
      </c>
      <c r="E6620" t="s">
        <v>3053</v>
      </c>
      <c r="F6620" t="s">
        <v>664</v>
      </c>
      <c r="G6620" t="s">
        <v>665</v>
      </c>
      <c r="H6620" t="s">
        <v>15103</v>
      </c>
      <c r="I6620">
        <v>34</v>
      </c>
      <c r="J6620">
        <v>0</v>
      </c>
      <c r="K6620">
        <v>0</v>
      </c>
      <c r="L6620">
        <v>0</v>
      </c>
      <c r="M6620">
        <v>0</v>
      </c>
      <c r="N6620">
        <v>0</v>
      </c>
      <c r="O6620">
        <v>34</v>
      </c>
    </row>
    <row r="6621" spans="1:15" x14ac:dyDescent="0.25">
      <c r="A6621" t="s">
        <v>962</v>
      </c>
      <c r="B6621" t="s">
        <v>2752</v>
      </c>
      <c r="C6621" t="s">
        <v>927</v>
      </c>
      <c r="D6621" t="s">
        <v>3052</v>
      </c>
      <c r="E6621" t="s">
        <v>3053</v>
      </c>
      <c r="F6621" t="s">
        <v>664</v>
      </c>
      <c r="G6621" t="s">
        <v>665</v>
      </c>
      <c r="H6621" t="s">
        <v>7465</v>
      </c>
      <c r="I6621">
        <v>47</v>
      </c>
      <c r="J6621">
        <v>40</v>
      </c>
      <c r="K6621">
        <v>0</v>
      </c>
      <c r="L6621">
        <v>0</v>
      </c>
      <c r="M6621">
        <v>0</v>
      </c>
      <c r="N6621">
        <v>0</v>
      </c>
      <c r="O6621">
        <v>7</v>
      </c>
    </row>
    <row r="6622" spans="1:15" x14ac:dyDescent="0.25">
      <c r="A6622" t="s">
        <v>964</v>
      </c>
      <c r="B6622" t="s">
        <v>1969</v>
      </c>
      <c r="C6622" t="s">
        <v>927</v>
      </c>
      <c r="D6622" t="s">
        <v>3052</v>
      </c>
      <c r="E6622" t="s">
        <v>3053</v>
      </c>
      <c r="F6622" t="s">
        <v>664</v>
      </c>
      <c r="G6622" t="s">
        <v>665</v>
      </c>
      <c r="H6622" t="s">
        <v>12292</v>
      </c>
      <c r="I6622">
        <v>25</v>
      </c>
      <c r="J6622">
        <v>10</v>
      </c>
      <c r="K6622">
        <v>0</v>
      </c>
      <c r="L6622">
        <v>0</v>
      </c>
      <c r="M6622">
        <v>0</v>
      </c>
      <c r="N6622">
        <v>0</v>
      </c>
      <c r="O6622">
        <v>15</v>
      </c>
    </row>
    <row r="6623" spans="1:15" x14ac:dyDescent="0.25">
      <c r="A6623" t="s">
        <v>1170</v>
      </c>
      <c r="B6623" t="s">
        <v>2968</v>
      </c>
      <c r="C6623" t="s">
        <v>923</v>
      </c>
      <c r="D6623" t="s">
        <v>3063</v>
      </c>
      <c r="E6623" t="s">
        <v>3053</v>
      </c>
      <c r="F6623" t="s">
        <v>664</v>
      </c>
      <c r="G6623" t="s">
        <v>665</v>
      </c>
      <c r="H6623" t="s">
        <v>7466</v>
      </c>
      <c r="I6623">
        <v>36</v>
      </c>
      <c r="J6623">
        <v>0</v>
      </c>
      <c r="K6623">
        <v>0</v>
      </c>
      <c r="L6623">
        <v>31</v>
      </c>
      <c r="M6623">
        <v>5</v>
      </c>
      <c r="N6623">
        <v>0</v>
      </c>
      <c r="O6623">
        <v>0</v>
      </c>
    </row>
    <row r="6624" spans="1:15" x14ac:dyDescent="0.25">
      <c r="A6624" t="s">
        <v>1069</v>
      </c>
      <c r="B6624" t="s">
        <v>2001</v>
      </c>
      <c r="C6624" t="s">
        <v>927</v>
      </c>
      <c r="D6624" t="s">
        <v>3052</v>
      </c>
      <c r="E6624" t="s">
        <v>3053</v>
      </c>
      <c r="F6624" t="s">
        <v>664</v>
      </c>
      <c r="G6624" t="s">
        <v>665</v>
      </c>
      <c r="H6624" t="s">
        <v>7467</v>
      </c>
      <c r="I6624">
        <v>130</v>
      </c>
      <c r="J6624">
        <v>92</v>
      </c>
      <c r="K6624">
        <v>0</v>
      </c>
      <c r="L6624">
        <v>0</v>
      </c>
      <c r="M6624">
        <v>0</v>
      </c>
      <c r="N6624">
        <v>0</v>
      </c>
      <c r="O6624">
        <v>38</v>
      </c>
    </row>
    <row r="6625" spans="1:15" x14ac:dyDescent="0.25">
      <c r="A6625" t="s">
        <v>1684</v>
      </c>
      <c r="B6625" t="s">
        <v>2845</v>
      </c>
      <c r="C6625" t="s">
        <v>927</v>
      </c>
      <c r="D6625" t="s">
        <v>3052</v>
      </c>
      <c r="E6625" t="s">
        <v>3053</v>
      </c>
      <c r="F6625" t="s">
        <v>664</v>
      </c>
      <c r="G6625" t="s">
        <v>665</v>
      </c>
      <c r="H6625" t="s">
        <v>15104</v>
      </c>
      <c r="I6625">
        <v>42</v>
      </c>
      <c r="J6625">
        <v>21</v>
      </c>
      <c r="K6625">
        <v>0</v>
      </c>
      <c r="L6625">
        <v>0</v>
      </c>
      <c r="M6625">
        <v>0</v>
      </c>
      <c r="N6625">
        <v>0</v>
      </c>
      <c r="O6625">
        <v>21</v>
      </c>
    </row>
    <row r="6626" spans="1:15" x14ac:dyDescent="0.25">
      <c r="A6626" t="s">
        <v>1374</v>
      </c>
      <c r="B6626" t="s">
        <v>2580</v>
      </c>
      <c r="C6626" t="s">
        <v>923</v>
      </c>
      <c r="D6626" t="s">
        <v>3063</v>
      </c>
      <c r="E6626" t="s">
        <v>3053</v>
      </c>
      <c r="F6626" t="s">
        <v>664</v>
      </c>
      <c r="G6626" t="s">
        <v>665</v>
      </c>
      <c r="H6626" t="s">
        <v>7468</v>
      </c>
      <c r="I6626">
        <v>186</v>
      </c>
      <c r="J6626">
        <v>0</v>
      </c>
      <c r="K6626">
        <v>0</v>
      </c>
      <c r="L6626">
        <v>125</v>
      </c>
      <c r="M6626">
        <v>61</v>
      </c>
      <c r="N6626">
        <v>0</v>
      </c>
      <c r="O6626">
        <v>0</v>
      </c>
    </row>
    <row r="6627" spans="1:15" x14ac:dyDescent="0.25">
      <c r="A6627" t="s">
        <v>1080</v>
      </c>
      <c r="B6627" t="s">
        <v>2030</v>
      </c>
      <c r="C6627" t="s">
        <v>923</v>
      </c>
      <c r="D6627" t="s">
        <v>3063</v>
      </c>
      <c r="E6627" t="s">
        <v>3053</v>
      </c>
      <c r="F6627" t="s">
        <v>664</v>
      </c>
      <c r="G6627" t="s">
        <v>665</v>
      </c>
      <c r="H6627" t="s">
        <v>7469</v>
      </c>
      <c r="I6627">
        <v>4</v>
      </c>
      <c r="J6627">
        <v>0</v>
      </c>
      <c r="K6627">
        <v>0</v>
      </c>
      <c r="L6627">
        <v>4</v>
      </c>
      <c r="M6627">
        <v>0</v>
      </c>
      <c r="N6627">
        <v>0</v>
      </c>
      <c r="O6627">
        <v>0</v>
      </c>
    </row>
    <row r="6628" spans="1:15" x14ac:dyDescent="0.25">
      <c r="A6628" t="s">
        <v>1700</v>
      </c>
      <c r="B6628" t="s">
        <v>2095</v>
      </c>
      <c r="C6628" t="s">
        <v>923</v>
      </c>
      <c r="D6628" t="s">
        <v>3063</v>
      </c>
      <c r="E6628" t="s">
        <v>3053</v>
      </c>
      <c r="F6628" t="s">
        <v>664</v>
      </c>
      <c r="G6628" t="s">
        <v>665</v>
      </c>
      <c r="H6628" t="s">
        <v>7470</v>
      </c>
      <c r="I6628">
        <v>69</v>
      </c>
      <c r="J6628">
        <v>0</v>
      </c>
      <c r="K6628">
        <v>0</v>
      </c>
      <c r="L6628">
        <v>69</v>
      </c>
      <c r="M6628">
        <v>0</v>
      </c>
      <c r="N6628">
        <v>0</v>
      </c>
      <c r="O6628">
        <v>0</v>
      </c>
    </row>
    <row r="6629" spans="1:15" x14ac:dyDescent="0.25">
      <c r="A6629" t="s">
        <v>971</v>
      </c>
      <c r="B6629" t="s">
        <v>2956</v>
      </c>
      <c r="C6629" t="s">
        <v>927</v>
      </c>
      <c r="D6629" t="s">
        <v>3052</v>
      </c>
      <c r="E6629" t="s">
        <v>3053</v>
      </c>
      <c r="F6629" t="s">
        <v>666</v>
      </c>
      <c r="G6629" t="s">
        <v>667</v>
      </c>
      <c r="H6629" t="s">
        <v>7471</v>
      </c>
      <c r="I6629">
        <v>76</v>
      </c>
      <c r="J6629">
        <v>72</v>
      </c>
      <c r="K6629">
        <v>0</v>
      </c>
      <c r="L6629">
        <v>0</v>
      </c>
      <c r="M6629">
        <v>0</v>
      </c>
      <c r="N6629">
        <v>0</v>
      </c>
      <c r="O6629">
        <v>4</v>
      </c>
    </row>
    <row r="6630" spans="1:15" x14ac:dyDescent="0.25">
      <c r="A6630" t="s">
        <v>1463</v>
      </c>
      <c r="B6630" t="s">
        <v>2846</v>
      </c>
      <c r="C6630" t="s">
        <v>927</v>
      </c>
      <c r="D6630" t="s">
        <v>3052</v>
      </c>
      <c r="E6630" t="s">
        <v>3053</v>
      </c>
      <c r="F6630" t="s">
        <v>666</v>
      </c>
      <c r="G6630" t="s">
        <v>667</v>
      </c>
      <c r="H6630" t="s">
        <v>7472</v>
      </c>
      <c r="I6630">
        <v>33</v>
      </c>
      <c r="J6630">
        <v>31</v>
      </c>
      <c r="K6630">
        <v>0</v>
      </c>
      <c r="L6630">
        <v>0</v>
      </c>
      <c r="M6630">
        <v>0</v>
      </c>
      <c r="N6630">
        <v>0</v>
      </c>
      <c r="O6630">
        <v>2</v>
      </c>
    </row>
    <row r="6631" spans="1:15" x14ac:dyDescent="0.25">
      <c r="A6631" t="s">
        <v>985</v>
      </c>
      <c r="B6631" t="s">
        <v>1964</v>
      </c>
      <c r="C6631" t="s">
        <v>923</v>
      </c>
      <c r="D6631" t="s">
        <v>3063</v>
      </c>
      <c r="E6631" t="s">
        <v>3053</v>
      </c>
      <c r="F6631" t="s">
        <v>666</v>
      </c>
      <c r="G6631" t="s">
        <v>667</v>
      </c>
      <c r="H6631" t="s">
        <v>7473</v>
      </c>
      <c r="I6631">
        <v>11</v>
      </c>
      <c r="J6631">
        <v>0</v>
      </c>
      <c r="K6631">
        <v>0</v>
      </c>
      <c r="L6631">
        <v>11</v>
      </c>
      <c r="M6631">
        <v>0</v>
      </c>
      <c r="N6631">
        <v>0</v>
      </c>
      <c r="O6631">
        <v>0</v>
      </c>
    </row>
    <row r="6632" spans="1:15" x14ac:dyDescent="0.25">
      <c r="A6632" t="s">
        <v>10638</v>
      </c>
      <c r="B6632" t="s">
        <v>2057</v>
      </c>
      <c r="C6632" t="s">
        <v>927</v>
      </c>
      <c r="D6632" t="s">
        <v>3052</v>
      </c>
      <c r="E6632" t="s">
        <v>3053</v>
      </c>
      <c r="F6632" t="s">
        <v>666</v>
      </c>
      <c r="G6632" t="s">
        <v>667</v>
      </c>
      <c r="H6632" t="s">
        <v>11271</v>
      </c>
      <c r="I6632">
        <v>3</v>
      </c>
      <c r="J6632">
        <v>0</v>
      </c>
      <c r="K6632">
        <v>0</v>
      </c>
      <c r="L6632">
        <v>3</v>
      </c>
      <c r="M6632">
        <v>0</v>
      </c>
      <c r="N6632">
        <v>0</v>
      </c>
      <c r="O6632">
        <v>0</v>
      </c>
    </row>
    <row r="6633" spans="1:15" x14ac:dyDescent="0.25">
      <c r="A6633" t="s">
        <v>1006</v>
      </c>
      <c r="B6633" t="s">
        <v>2724</v>
      </c>
      <c r="C6633" t="s">
        <v>927</v>
      </c>
      <c r="D6633" t="s">
        <v>3052</v>
      </c>
      <c r="E6633" t="s">
        <v>3053</v>
      </c>
      <c r="F6633" t="s">
        <v>666</v>
      </c>
      <c r="G6633" t="s">
        <v>667</v>
      </c>
      <c r="H6633" t="s">
        <v>7474</v>
      </c>
      <c r="I6633">
        <v>337</v>
      </c>
      <c r="J6633">
        <v>178</v>
      </c>
      <c r="K6633">
        <v>0</v>
      </c>
      <c r="L6633">
        <v>9</v>
      </c>
      <c r="M6633">
        <v>0</v>
      </c>
      <c r="N6633">
        <v>1</v>
      </c>
      <c r="O6633">
        <v>150</v>
      </c>
    </row>
    <row r="6634" spans="1:15" x14ac:dyDescent="0.25">
      <c r="A6634" t="s">
        <v>937</v>
      </c>
      <c r="B6634" t="s">
        <v>1962</v>
      </c>
      <c r="C6634" t="s">
        <v>927</v>
      </c>
      <c r="D6634" t="s">
        <v>3052</v>
      </c>
      <c r="E6634" t="s">
        <v>3053</v>
      </c>
      <c r="F6634" t="s">
        <v>666</v>
      </c>
      <c r="G6634" t="s">
        <v>667</v>
      </c>
      <c r="H6634" t="s">
        <v>7475</v>
      </c>
      <c r="I6634">
        <v>142</v>
      </c>
      <c r="J6634">
        <v>0</v>
      </c>
      <c r="K6634">
        <v>0</v>
      </c>
      <c r="L6634">
        <v>0</v>
      </c>
      <c r="M6634">
        <v>0</v>
      </c>
      <c r="N6634">
        <v>0</v>
      </c>
      <c r="O6634">
        <v>142</v>
      </c>
    </row>
    <row r="6635" spans="1:15" x14ac:dyDescent="0.25">
      <c r="A6635" t="s">
        <v>940</v>
      </c>
      <c r="B6635" t="s">
        <v>2647</v>
      </c>
      <c r="C6635" t="s">
        <v>927</v>
      </c>
      <c r="D6635" t="s">
        <v>3052</v>
      </c>
      <c r="E6635" t="s">
        <v>3053</v>
      </c>
      <c r="F6635" t="s">
        <v>666</v>
      </c>
      <c r="G6635" t="s">
        <v>667</v>
      </c>
      <c r="H6635" t="s">
        <v>7476</v>
      </c>
      <c r="I6635">
        <v>40</v>
      </c>
      <c r="J6635">
        <v>0</v>
      </c>
      <c r="K6635">
        <v>0</v>
      </c>
      <c r="L6635">
        <v>0</v>
      </c>
      <c r="M6635">
        <v>40</v>
      </c>
      <c r="N6635">
        <v>0</v>
      </c>
      <c r="O6635">
        <v>0</v>
      </c>
    </row>
    <row r="6636" spans="1:15" x14ac:dyDescent="0.25">
      <c r="A6636" t="s">
        <v>9819</v>
      </c>
      <c r="B6636" t="s">
        <v>2916</v>
      </c>
      <c r="C6636" t="s">
        <v>927</v>
      </c>
      <c r="D6636" t="s">
        <v>3052</v>
      </c>
      <c r="E6636" t="s">
        <v>3053</v>
      </c>
      <c r="F6636" t="s">
        <v>666</v>
      </c>
      <c r="G6636" t="s">
        <v>667</v>
      </c>
      <c r="H6636" t="s">
        <v>10142</v>
      </c>
      <c r="I6636">
        <v>269</v>
      </c>
      <c r="J6636">
        <v>211</v>
      </c>
      <c r="K6636">
        <v>0</v>
      </c>
      <c r="L6636">
        <v>0</v>
      </c>
      <c r="M6636">
        <v>0</v>
      </c>
      <c r="N6636">
        <v>7</v>
      </c>
      <c r="O6636">
        <v>58</v>
      </c>
    </row>
    <row r="6637" spans="1:15" x14ac:dyDescent="0.25">
      <c r="A6637" t="s">
        <v>1025</v>
      </c>
      <c r="B6637" t="s">
        <v>2893</v>
      </c>
      <c r="C6637" t="s">
        <v>927</v>
      </c>
      <c r="D6637" t="s">
        <v>3052</v>
      </c>
      <c r="E6637" t="s">
        <v>3053</v>
      </c>
      <c r="F6637" t="s">
        <v>666</v>
      </c>
      <c r="G6637" t="s">
        <v>667</v>
      </c>
      <c r="H6637" t="s">
        <v>12293</v>
      </c>
      <c r="I6637">
        <v>19</v>
      </c>
      <c r="J6637">
        <v>19</v>
      </c>
      <c r="K6637">
        <v>0</v>
      </c>
      <c r="L6637">
        <v>0</v>
      </c>
      <c r="M6637">
        <v>0</v>
      </c>
      <c r="N6637">
        <v>0</v>
      </c>
      <c r="O6637">
        <v>0</v>
      </c>
    </row>
    <row r="6638" spans="1:15" x14ac:dyDescent="0.25">
      <c r="A6638" t="s">
        <v>1516</v>
      </c>
      <c r="B6638" t="s">
        <v>2098</v>
      </c>
      <c r="C6638" t="s">
        <v>927</v>
      </c>
      <c r="D6638" t="s">
        <v>3052</v>
      </c>
      <c r="E6638" t="s">
        <v>3053</v>
      </c>
      <c r="F6638" t="s">
        <v>666</v>
      </c>
      <c r="G6638" t="s">
        <v>667</v>
      </c>
      <c r="H6638" t="s">
        <v>7477</v>
      </c>
      <c r="I6638">
        <v>363</v>
      </c>
      <c r="J6638">
        <v>250</v>
      </c>
      <c r="K6638">
        <v>0</v>
      </c>
      <c r="L6638">
        <v>4</v>
      </c>
      <c r="M6638">
        <v>48</v>
      </c>
      <c r="N6638">
        <v>0</v>
      </c>
      <c r="O6638">
        <v>61</v>
      </c>
    </row>
    <row r="6639" spans="1:15" x14ac:dyDescent="0.25">
      <c r="A6639" t="s">
        <v>1302</v>
      </c>
      <c r="B6639" t="s">
        <v>1961</v>
      </c>
      <c r="C6639" t="s">
        <v>923</v>
      </c>
      <c r="D6639" t="s">
        <v>3063</v>
      </c>
      <c r="E6639" t="s">
        <v>3053</v>
      </c>
      <c r="F6639" t="s">
        <v>666</v>
      </c>
      <c r="G6639" t="s">
        <v>667</v>
      </c>
      <c r="H6639" t="s">
        <v>7478</v>
      </c>
      <c r="I6639">
        <v>2</v>
      </c>
      <c r="J6639">
        <v>0</v>
      </c>
      <c r="K6639">
        <v>0</v>
      </c>
      <c r="L6639">
        <v>2</v>
      </c>
      <c r="M6639">
        <v>0</v>
      </c>
      <c r="N6639">
        <v>0</v>
      </c>
      <c r="O6639">
        <v>0</v>
      </c>
    </row>
    <row r="6640" spans="1:15" x14ac:dyDescent="0.25">
      <c r="A6640" t="s">
        <v>1521</v>
      </c>
      <c r="B6640" t="s">
        <v>2920</v>
      </c>
      <c r="C6640" t="s">
        <v>927</v>
      </c>
      <c r="D6640" t="s">
        <v>3052</v>
      </c>
      <c r="E6640" t="s">
        <v>3053</v>
      </c>
      <c r="F6640" t="s">
        <v>666</v>
      </c>
      <c r="G6640" t="s">
        <v>667</v>
      </c>
      <c r="H6640" t="s">
        <v>7479</v>
      </c>
      <c r="I6640">
        <v>1291</v>
      </c>
      <c r="J6640">
        <v>608</v>
      </c>
      <c r="K6640">
        <v>0</v>
      </c>
      <c r="L6640">
        <v>11</v>
      </c>
      <c r="M6640">
        <v>604</v>
      </c>
      <c r="N6640">
        <v>0</v>
      </c>
      <c r="O6640">
        <v>68</v>
      </c>
    </row>
    <row r="6641" spans="1:15" x14ac:dyDescent="0.25">
      <c r="A6641" t="s">
        <v>951</v>
      </c>
      <c r="B6641" t="s">
        <v>2680</v>
      </c>
      <c r="C6641" t="s">
        <v>927</v>
      </c>
      <c r="D6641" t="s">
        <v>3052</v>
      </c>
      <c r="E6641" t="s">
        <v>3053</v>
      </c>
      <c r="F6641" t="s">
        <v>666</v>
      </c>
      <c r="G6641" t="s">
        <v>667</v>
      </c>
      <c r="H6641" t="s">
        <v>7480</v>
      </c>
      <c r="I6641">
        <v>28</v>
      </c>
      <c r="J6641">
        <v>25</v>
      </c>
      <c r="K6641">
        <v>0</v>
      </c>
      <c r="L6641">
        <v>0</v>
      </c>
      <c r="M6641">
        <v>0</v>
      </c>
      <c r="N6641">
        <v>0</v>
      </c>
      <c r="O6641">
        <v>3</v>
      </c>
    </row>
    <row r="6642" spans="1:15" x14ac:dyDescent="0.25">
      <c r="A6642" t="s">
        <v>1048</v>
      </c>
      <c r="B6642" t="s">
        <v>2989</v>
      </c>
      <c r="C6642" t="s">
        <v>927</v>
      </c>
      <c r="D6642" t="s">
        <v>3052</v>
      </c>
      <c r="E6642" t="s">
        <v>3053</v>
      </c>
      <c r="F6642" t="s">
        <v>666</v>
      </c>
      <c r="G6642" t="s">
        <v>667</v>
      </c>
      <c r="H6642" t="s">
        <v>7481</v>
      </c>
      <c r="I6642">
        <v>18</v>
      </c>
      <c r="J6642">
        <v>0</v>
      </c>
      <c r="K6642">
        <v>0</v>
      </c>
      <c r="L6642">
        <v>18</v>
      </c>
      <c r="M6642">
        <v>0</v>
      </c>
      <c r="N6642">
        <v>0</v>
      </c>
      <c r="O6642">
        <v>0</v>
      </c>
    </row>
    <row r="6643" spans="1:15" x14ac:dyDescent="0.25">
      <c r="A6643" t="s">
        <v>1051</v>
      </c>
      <c r="B6643" t="s">
        <v>2995</v>
      </c>
      <c r="C6643" t="s">
        <v>927</v>
      </c>
      <c r="D6643" t="s">
        <v>3052</v>
      </c>
      <c r="E6643" t="s">
        <v>3053</v>
      </c>
      <c r="F6643" t="s">
        <v>666</v>
      </c>
      <c r="G6643" t="s">
        <v>667</v>
      </c>
      <c r="H6643" t="s">
        <v>7482</v>
      </c>
      <c r="I6643">
        <v>51</v>
      </c>
      <c r="J6643">
        <v>17</v>
      </c>
      <c r="K6643">
        <v>0</v>
      </c>
      <c r="L6643">
        <v>12</v>
      </c>
      <c r="M6643">
        <v>0</v>
      </c>
      <c r="N6643">
        <v>0</v>
      </c>
      <c r="O6643">
        <v>22</v>
      </c>
    </row>
    <row r="6644" spans="1:15" x14ac:dyDescent="0.25">
      <c r="A6644" t="s">
        <v>1529</v>
      </c>
      <c r="B6644" t="s">
        <v>1954</v>
      </c>
      <c r="C6644" t="s">
        <v>927</v>
      </c>
      <c r="D6644" t="s">
        <v>3052</v>
      </c>
      <c r="E6644" t="s">
        <v>3053</v>
      </c>
      <c r="F6644" t="s">
        <v>666</v>
      </c>
      <c r="G6644" t="s">
        <v>667</v>
      </c>
      <c r="H6644" t="s">
        <v>7483</v>
      </c>
      <c r="I6644">
        <v>8</v>
      </c>
      <c r="J6644">
        <v>0</v>
      </c>
      <c r="K6644">
        <v>0</v>
      </c>
      <c r="L6644">
        <v>8</v>
      </c>
      <c r="M6644">
        <v>0</v>
      </c>
      <c r="N6644">
        <v>0</v>
      </c>
      <c r="O6644">
        <v>0</v>
      </c>
    </row>
    <row r="6645" spans="1:15" x14ac:dyDescent="0.25">
      <c r="A6645" t="s">
        <v>9788</v>
      </c>
      <c r="B6645" t="s">
        <v>9871</v>
      </c>
      <c r="C6645" t="s">
        <v>927</v>
      </c>
      <c r="D6645" t="s">
        <v>3052</v>
      </c>
      <c r="E6645" t="s">
        <v>3053</v>
      </c>
      <c r="F6645" t="s">
        <v>666</v>
      </c>
      <c r="G6645" t="s">
        <v>667</v>
      </c>
      <c r="H6645" t="s">
        <v>10369</v>
      </c>
      <c r="I6645">
        <v>34</v>
      </c>
      <c r="J6645">
        <v>34</v>
      </c>
      <c r="K6645">
        <v>0</v>
      </c>
      <c r="L6645">
        <v>0</v>
      </c>
      <c r="M6645">
        <v>0</v>
      </c>
      <c r="N6645">
        <v>0</v>
      </c>
      <c r="O6645">
        <v>0</v>
      </c>
    </row>
    <row r="6646" spans="1:15" x14ac:dyDescent="0.25">
      <c r="A6646" t="s">
        <v>955</v>
      </c>
      <c r="B6646" t="s">
        <v>2660</v>
      </c>
      <c r="C6646" t="s">
        <v>927</v>
      </c>
      <c r="D6646" t="s">
        <v>3052</v>
      </c>
      <c r="E6646" t="s">
        <v>3053</v>
      </c>
      <c r="F6646" t="s">
        <v>666</v>
      </c>
      <c r="G6646" t="s">
        <v>667</v>
      </c>
      <c r="H6646" t="s">
        <v>7484</v>
      </c>
      <c r="I6646">
        <v>6</v>
      </c>
      <c r="J6646">
        <v>6</v>
      </c>
      <c r="K6646">
        <v>0</v>
      </c>
      <c r="L6646">
        <v>0</v>
      </c>
      <c r="M6646">
        <v>0</v>
      </c>
      <c r="N6646">
        <v>0</v>
      </c>
      <c r="O6646">
        <v>0</v>
      </c>
    </row>
    <row r="6647" spans="1:15" x14ac:dyDescent="0.25">
      <c r="A6647" t="s">
        <v>14374</v>
      </c>
      <c r="B6647" t="s">
        <v>1943</v>
      </c>
      <c r="C6647" t="s">
        <v>927</v>
      </c>
      <c r="D6647" t="s">
        <v>3052</v>
      </c>
      <c r="E6647" t="s">
        <v>3053</v>
      </c>
      <c r="F6647" t="s">
        <v>666</v>
      </c>
      <c r="G6647" t="s">
        <v>667</v>
      </c>
      <c r="H6647" t="s">
        <v>15105</v>
      </c>
      <c r="I6647">
        <v>31</v>
      </c>
      <c r="J6647">
        <v>0</v>
      </c>
      <c r="K6647">
        <v>0</v>
      </c>
      <c r="L6647">
        <v>0</v>
      </c>
      <c r="M6647">
        <v>0</v>
      </c>
      <c r="N6647">
        <v>0</v>
      </c>
      <c r="O6647">
        <v>31</v>
      </c>
    </row>
    <row r="6648" spans="1:15" x14ac:dyDescent="0.25">
      <c r="A6648" t="s">
        <v>10747</v>
      </c>
      <c r="B6648" t="s">
        <v>10746</v>
      </c>
      <c r="C6648" t="s">
        <v>923</v>
      </c>
      <c r="D6648" t="s">
        <v>3063</v>
      </c>
      <c r="E6648" t="s">
        <v>3053</v>
      </c>
      <c r="F6648" t="s">
        <v>666</v>
      </c>
      <c r="G6648" t="s">
        <v>667</v>
      </c>
      <c r="H6648" t="s">
        <v>15106</v>
      </c>
      <c r="I6648">
        <v>10</v>
      </c>
      <c r="J6648">
        <v>0</v>
      </c>
      <c r="K6648">
        <v>0</v>
      </c>
      <c r="L6648">
        <v>0</v>
      </c>
      <c r="M6648">
        <v>10</v>
      </c>
      <c r="N6648">
        <v>0</v>
      </c>
      <c r="O6648">
        <v>0</v>
      </c>
    </row>
    <row r="6649" spans="1:15" x14ac:dyDescent="0.25">
      <c r="A6649" t="s">
        <v>1075</v>
      </c>
      <c r="B6649" t="s">
        <v>2830</v>
      </c>
      <c r="C6649" t="s">
        <v>927</v>
      </c>
      <c r="D6649" t="s">
        <v>3052</v>
      </c>
      <c r="E6649" t="s">
        <v>3053</v>
      </c>
      <c r="F6649" t="s">
        <v>666</v>
      </c>
      <c r="G6649" t="s">
        <v>667</v>
      </c>
      <c r="H6649" t="s">
        <v>7485</v>
      </c>
      <c r="I6649">
        <v>110</v>
      </c>
      <c r="J6649">
        <v>40</v>
      </c>
      <c r="K6649">
        <v>0</v>
      </c>
      <c r="L6649">
        <v>0</v>
      </c>
      <c r="M6649">
        <v>0</v>
      </c>
      <c r="N6649">
        <v>0</v>
      </c>
      <c r="O6649">
        <v>70</v>
      </c>
    </row>
    <row r="6650" spans="1:15" x14ac:dyDescent="0.25">
      <c r="A6650" t="s">
        <v>1555</v>
      </c>
      <c r="B6650" t="s">
        <v>2294</v>
      </c>
      <c r="C6650" t="s">
        <v>923</v>
      </c>
      <c r="D6650" t="s">
        <v>3063</v>
      </c>
      <c r="E6650" t="s">
        <v>3053</v>
      </c>
      <c r="F6650" t="s">
        <v>666</v>
      </c>
      <c r="G6650" t="s">
        <v>667</v>
      </c>
      <c r="H6650" t="s">
        <v>7486</v>
      </c>
      <c r="I6650">
        <v>25</v>
      </c>
      <c r="J6650">
        <v>0</v>
      </c>
      <c r="K6650">
        <v>0</v>
      </c>
      <c r="L6650">
        <v>0</v>
      </c>
      <c r="M6650">
        <v>25</v>
      </c>
      <c r="N6650">
        <v>0</v>
      </c>
      <c r="O6650">
        <v>0</v>
      </c>
    </row>
    <row r="6651" spans="1:15" x14ac:dyDescent="0.25">
      <c r="A6651" t="s">
        <v>1083</v>
      </c>
      <c r="B6651" t="s">
        <v>2757</v>
      </c>
      <c r="C6651" t="s">
        <v>927</v>
      </c>
      <c r="D6651" t="s">
        <v>3052</v>
      </c>
      <c r="E6651" t="s">
        <v>3053</v>
      </c>
      <c r="F6651" t="s">
        <v>666</v>
      </c>
      <c r="G6651" t="s">
        <v>667</v>
      </c>
      <c r="H6651" t="s">
        <v>7487</v>
      </c>
      <c r="I6651">
        <v>39</v>
      </c>
      <c r="J6651">
        <v>14</v>
      </c>
      <c r="K6651">
        <v>0</v>
      </c>
      <c r="L6651">
        <v>0</v>
      </c>
      <c r="M6651">
        <v>25</v>
      </c>
      <c r="N6651">
        <v>0</v>
      </c>
      <c r="O6651">
        <v>0</v>
      </c>
    </row>
    <row r="6652" spans="1:15" x14ac:dyDescent="0.25">
      <c r="A6652" t="s">
        <v>1195</v>
      </c>
      <c r="B6652" t="s">
        <v>2924</v>
      </c>
      <c r="C6652" t="s">
        <v>927</v>
      </c>
      <c r="D6652" t="s">
        <v>3052</v>
      </c>
      <c r="E6652" t="s">
        <v>3053</v>
      </c>
      <c r="F6652" t="s">
        <v>668</v>
      </c>
      <c r="G6652" t="s">
        <v>669</v>
      </c>
      <c r="H6652" t="s">
        <v>7488</v>
      </c>
      <c r="I6652">
        <v>58</v>
      </c>
      <c r="J6652">
        <v>31</v>
      </c>
      <c r="K6652">
        <v>0</v>
      </c>
      <c r="L6652">
        <v>27</v>
      </c>
      <c r="M6652">
        <v>0</v>
      </c>
      <c r="N6652">
        <v>0</v>
      </c>
      <c r="O6652">
        <v>0</v>
      </c>
    </row>
    <row r="6653" spans="1:15" x14ac:dyDescent="0.25">
      <c r="A6653" t="s">
        <v>1196</v>
      </c>
      <c r="B6653" t="s">
        <v>3004</v>
      </c>
      <c r="C6653" t="s">
        <v>927</v>
      </c>
      <c r="D6653" t="s">
        <v>3052</v>
      </c>
      <c r="E6653" t="s">
        <v>3053</v>
      </c>
      <c r="F6653" t="s">
        <v>668</v>
      </c>
      <c r="G6653" t="s">
        <v>669</v>
      </c>
      <c r="H6653" t="s">
        <v>7489</v>
      </c>
      <c r="I6653">
        <v>78</v>
      </c>
      <c r="J6653">
        <v>68</v>
      </c>
      <c r="K6653">
        <v>0</v>
      </c>
      <c r="L6653">
        <v>0</v>
      </c>
      <c r="M6653">
        <v>0</v>
      </c>
      <c r="N6653">
        <v>0</v>
      </c>
      <c r="O6653">
        <v>10</v>
      </c>
    </row>
    <row r="6654" spans="1:15" x14ac:dyDescent="0.25">
      <c r="A6654" t="s">
        <v>929</v>
      </c>
      <c r="B6654" t="s">
        <v>2999</v>
      </c>
      <c r="C6654" t="s">
        <v>927</v>
      </c>
      <c r="D6654" t="s">
        <v>3052</v>
      </c>
      <c r="E6654" t="s">
        <v>3053</v>
      </c>
      <c r="F6654" t="s">
        <v>668</v>
      </c>
      <c r="G6654" t="s">
        <v>669</v>
      </c>
      <c r="H6654" t="s">
        <v>7490</v>
      </c>
      <c r="I6654">
        <v>39</v>
      </c>
      <c r="J6654">
        <v>0</v>
      </c>
      <c r="K6654">
        <v>0</v>
      </c>
      <c r="L6654">
        <v>0</v>
      </c>
      <c r="M6654">
        <v>39</v>
      </c>
      <c r="N6654">
        <v>0</v>
      </c>
      <c r="O6654">
        <v>0</v>
      </c>
    </row>
    <row r="6655" spans="1:15" x14ac:dyDescent="0.25">
      <c r="A6655" t="s">
        <v>1218</v>
      </c>
      <c r="B6655" t="s">
        <v>2565</v>
      </c>
      <c r="C6655" t="s">
        <v>927</v>
      </c>
      <c r="D6655" t="s">
        <v>3052</v>
      </c>
      <c r="E6655" t="s">
        <v>3053</v>
      </c>
      <c r="F6655" t="s">
        <v>668</v>
      </c>
      <c r="G6655" t="s">
        <v>669</v>
      </c>
      <c r="H6655" t="s">
        <v>7491</v>
      </c>
      <c r="I6655">
        <v>21</v>
      </c>
      <c r="J6655">
        <v>1</v>
      </c>
      <c r="K6655">
        <v>0</v>
      </c>
      <c r="L6655">
        <v>0</v>
      </c>
      <c r="M6655">
        <v>20</v>
      </c>
      <c r="N6655">
        <v>0</v>
      </c>
      <c r="O6655">
        <v>0</v>
      </c>
    </row>
    <row r="6656" spans="1:15" x14ac:dyDescent="0.25">
      <c r="A6656" t="s">
        <v>1227</v>
      </c>
      <c r="B6656" t="s">
        <v>2023</v>
      </c>
      <c r="C6656" t="s">
        <v>923</v>
      </c>
      <c r="D6656" t="s">
        <v>3063</v>
      </c>
      <c r="E6656" t="s">
        <v>3053</v>
      </c>
      <c r="F6656" t="s">
        <v>668</v>
      </c>
      <c r="G6656" t="s">
        <v>669</v>
      </c>
      <c r="H6656" t="s">
        <v>12294</v>
      </c>
      <c r="I6656">
        <v>1</v>
      </c>
      <c r="J6656">
        <v>1</v>
      </c>
      <c r="K6656">
        <v>0</v>
      </c>
      <c r="L6656">
        <v>0</v>
      </c>
      <c r="M6656">
        <v>0</v>
      </c>
      <c r="N6656">
        <v>0</v>
      </c>
      <c r="O6656">
        <v>0</v>
      </c>
    </row>
    <row r="6657" spans="1:15" x14ac:dyDescent="0.25">
      <c r="A6657" t="s">
        <v>10638</v>
      </c>
      <c r="B6657" t="s">
        <v>2057</v>
      </c>
      <c r="C6657" t="s">
        <v>927</v>
      </c>
      <c r="D6657" t="s">
        <v>3052</v>
      </c>
      <c r="E6657" t="s">
        <v>3053</v>
      </c>
      <c r="F6657" t="s">
        <v>668</v>
      </c>
      <c r="G6657" t="s">
        <v>669</v>
      </c>
      <c r="H6657" t="s">
        <v>11272</v>
      </c>
      <c r="I6657">
        <v>6</v>
      </c>
      <c r="J6657">
        <v>0</v>
      </c>
      <c r="K6657">
        <v>0</v>
      </c>
      <c r="L6657">
        <v>6</v>
      </c>
      <c r="M6657">
        <v>0</v>
      </c>
      <c r="N6657">
        <v>0</v>
      </c>
      <c r="O6657">
        <v>0</v>
      </c>
    </row>
    <row r="6658" spans="1:15" x14ac:dyDescent="0.25">
      <c r="A6658" t="s">
        <v>1010</v>
      </c>
      <c r="B6658" t="s">
        <v>2639</v>
      </c>
      <c r="C6658" t="s">
        <v>927</v>
      </c>
      <c r="D6658" t="s">
        <v>3052</v>
      </c>
      <c r="E6658" t="s">
        <v>3053</v>
      </c>
      <c r="F6658" t="s">
        <v>668</v>
      </c>
      <c r="G6658" t="s">
        <v>669</v>
      </c>
      <c r="H6658" t="s">
        <v>7492</v>
      </c>
      <c r="I6658">
        <v>30</v>
      </c>
      <c r="J6658">
        <v>30</v>
      </c>
      <c r="K6658">
        <v>0</v>
      </c>
      <c r="L6658">
        <v>0</v>
      </c>
      <c r="M6658">
        <v>0</v>
      </c>
      <c r="N6658">
        <v>0</v>
      </c>
      <c r="O6658">
        <v>0</v>
      </c>
    </row>
    <row r="6659" spans="1:15" x14ac:dyDescent="0.25">
      <c r="A6659" t="s">
        <v>938</v>
      </c>
      <c r="B6659" t="s">
        <v>2791</v>
      </c>
      <c r="C6659" t="s">
        <v>927</v>
      </c>
      <c r="D6659" t="s">
        <v>3052</v>
      </c>
      <c r="E6659" t="s">
        <v>3053</v>
      </c>
      <c r="F6659" t="s">
        <v>668</v>
      </c>
      <c r="G6659" t="s">
        <v>669</v>
      </c>
      <c r="H6659" t="s">
        <v>7493</v>
      </c>
      <c r="I6659">
        <v>11</v>
      </c>
      <c r="J6659">
        <v>0</v>
      </c>
      <c r="K6659">
        <v>0</v>
      </c>
      <c r="L6659">
        <v>11</v>
      </c>
      <c r="M6659">
        <v>0</v>
      </c>
      <c r="N6659">
        <v>0</v>
      </c>
      <c r="O6659">
        <v>0</v>
      </c>
    </row>
    <row r="6660" spans="1:15" x14ac:dyDescent="0.25">
      <c r="A6660" t="s">
        <v>940</v>
      </c>
      <c r="B6660" t="s">
        <v>2647</v>
      </c>
      <c r="C6660" t="s">
        <v>927</v>
      </c>
      <c r="D6660" t="s">
        <v>3052</v>
      </c>
      <c r="E6660" t="s">
        <v>3053</v>
      </c>
      <c r="F6660" t="s">
        <v>668</v>
      </c>
      <c r="G6660" t="s">
        <v>669</v>
      </c>
      <c r="H6660" t="s">
        <v>7494</v>
      </c>
      <c r="I6660">
        <v>1</v>
      </c>
      <c r="J6660">
        <v>0</v>
      </c>
      <c r="K6660">
        <v>0</v>
      </c>
      <c r="L6660">
        <v>0</v>
      </c>
      <c r="M6660">
        <v>1</v>
      </c>
      <c r="N6660">
        <v>0</v>
      </c>
      <c r="O6660">
        <v>0</v>
      </c>
    </row>
    <row r="6661" spans="1:15" x14ac:dyDescent="0.25">
      <c r="A6661" t="s">
        <v>14385</v>
      </c>
      <c r="B6661" t="s">
        <v>3027</v>
      </c>
      <c r="C6661" t="s">
        <v>923</v>
      </c>
      <c r="D6661" t="s">
        <v>3063</v>
      </c>
      <c r="E6661" t="s">
        <v>3053</v>
      </c>
      <c r="F6661" t="s">
        <v>668</v>
      </c>
      <c r="G6661" t="s">
        <v>669</v>
      </c>
      <c r="H6661" t="s">
        <v>15107</v>
      </c>
      <c r="I6661">
        <v>15</v>
      </c>
      <c r="J6661">
        <v>0</v>
      </c>
      <c r="K6661">
        <v>0</v>
      </c>
      <c r="L6661">
        <v>15</v>
      </c>
      <c r="M6661">
        <v>0</v>
      </c>
      <c r="N6661">
        <v>0</v>
      </c>
      <c r="O6661">
        <v>0</v>
      </c>
    </row>
    <row r="6662" spans="1:15" x14ac:dyDescent="0.25">
      <c r="A6662" t="s">
        <v>14386</v>
      </c>
      <c r="B6662" t="s">
        <v>2975</v>
      </c>
      <c r="C6662" t="s">
        <v>927</v>
      </c>
      <c r="D6662" t="s">
        <v>3052</v>
      </c>
      <c r="E6662" t="s">
        <v>3053</v>
      </c>
      <c r="F6662" t="s">
        <v>668</v>
      </c>
      <c r="G6662" t="s">
        <v>669</v>
      </c>
      <c r="H6662" t="s">
        <v>15108</v>
      </c>
      <c r="I6662">
        <v>30</v>
      </c>
      <c r="J6662">
        <v>27</v>
      </c>
      <c r="K6662">
        <v>0</v>
      </c>
      <c r="L6662">
        <v>0</v>
      </c>
      <c r="M6662">
        <v>0</v>
      </c>
      <c r="N6662">
        <v>0</v>
      </c>
      <c r="O6662">
        <v>3</v>
      </c>
    </row>
    <row r="6663" spans="1:15" x14ac:dyDescent="0.25">
      <c r="A6663" t="s">
        <v>1025</v>
      </c>
      <c r="B6663" t="s">
        <v>2893</v>
      </c>
      <c r="C6663" t="s">
        <v>927</v>
      </c>
      <c r="D6663" t="s">
        <v>3052</v>
      </c>
      <c r="E6663" t="s">
        <v>3053</v>
      </c>
      <c r="F6663" t="s">
        <v>668</v>
      </c>
      <c r="G6663" t="s">
        <v>669</v>
      </c>
      <c r="H6663" t="s">
        <v>7495</v>
      </c>
      <c r="I6663">
        <v>634</v>
      </c>
      <c r="J6663">
        <v>496</v>
      </c>
      <c r="K6663">
        <v>0</v>
      </c>
      <c r="L6663">
        <v>25</v>
      </c>
      <c r="M6663">
        <v>84</v>
      </c>
      <c r="N6663">
        <v>0</v>
      </c>
      <c r="O6663">
        <v>29</v>
      </c>
    </row>
    <row r="6664" spans="1:15" x14ac:dyDescent="0.25">
      <c r="A6664" t="s">
        <v>1293</v>
      </c>
      <c r="B6664" t="s">
        <v>2910</v>
      </c>
      <c r="C6664" t="s">
        <v>927</v>
      </c>
      <c r="D6664" t="s">
        <v>3052</v>
      </c>
      <c r="E6664" t="s">
        <v>3053</v>
      </c>
      <c r="F6664" t="s">
        <v>668</v>
      </c>
      <c r="G6664" t="s">
        <v>669</v>
      </c>
      <c r="H6664" t="s">
        <v>7496</v>
      </c>
      <c r="I6664">
        <v>12</v>
      </c>
      <c r="J6664">
        <v>0</v>
      </c>
      <c r="K6664">
        <v>0</v>
      </c>
      <c r="L6664">
        <v>12</v>
      </c>
      <c r="M6664">
        <v>0</v>
      </c>
      <c r="N6664">
        <v>0</v>
      </c>
      <c r="O6664">
        <v>0</v>
      </c>
    </row>
    <row r="6665" spans="1:15" x14ac:dyDescent="0.25">
      <c r="A6665" t="s">
        <v>943</v>
      </c>
      <c r="B6665" t="s">
        <v>2694</v>
      </c>
      <c r="C6665" t="s">
        <v>927</v>
      </c>
      <c r="D6665" t="s">
        <v>3052</v>
      </c>
      <c r="E6665" t="s">
        <v>3053</v>
      </c>
      <c r="F6665" t="s">
        <v>668</v>
      </c>
      <c r="G6665" t="s">
        <v>669</v>
      </c>
      <c r="H6665" t="s">
        <v>7497</v>
      </c>
      <c r="I6665">
        <v>532</v>
      </c>
      <c r="J6665">
        <v>348</v>
      </c>
      <c r="K6665">
        <v>0</v>
      </c>
      <c r="L6665">
        <v>25</v>
      </c>
      <c r="M6665">
        <v>0</v>
      </c>
      <c r="N6665">
        <v>0</v>
      </c>
      <c r="O6665">
        <v>159</v>
      </c>
    </row>
    <row r="6666" spans="1:15" x14ac:dyDescent="0.25">
      <c r="A6666" t="s">
        <v>1300</v>
      </c>
      <c r="B6666" t="s">
        <v>2644</v>
      </c>
      <c r="C6666" t="s">
        <v>927</v>
      </c>
      <c r="D6666" t="s">
        <v>3052</v>
      </c>
      <c r="E6666" t="s">
        <v>3053</v>
      </c>
      <c r="F6666" t="s">
        <v>668</v>
      </c>
      <c r="G6666" t="s">
        <v>669</v>
      </c>
      <c r="H6666" t="s">
        <v>7498</v>
      </c>
      <c r="I6666">
        <v>5</v>
      </c>
      <c r="J6666">
        <v>5</v>
      </c>
      <c r="K6666">
        <v>0</v>
      </c>
      <c r="L6666">
        <v>0</v>
      </c>
      <c r="M6666">
        <v>0</v>
      </c>
      <c r="N6666">
        <v>0</v>
      </c>
      <c r="O6666">
        <v>0</v>
      </c>
    </row>
    <row r="6667" spans="1:15" x14ac:dyDescent="0.25">
      <c r="A6667" t="s">
        <v>1134</v>
      </c>
      <c r="B6667" t="s">
        <v>2118</v>
      </c>
      <c r="C6667" t="s">
        <v>927</v>
      </c>
      <c r="D6667" t="s">
        <v>3052</v>
      </c>
      <c r="E6667" t="s">
        <v>3053</v>
      </c>
      <c r="F6667" t="s">
        <v>668</v>
      </c>
      <c r="G6667" t="s">
        <v>669</v>
      </c>
      <c r="H6667" t="s">
        <v>7499</v>
      </c>
      <c r="I6667">
        <v>79</v>
      </c>
      <c r="J6667">
        <v>79</v>
      </c>
      <c r="K6667">
        <v>0</v>
      </c>
      <c r="L6667">
        <v>0</v>
      </c>
      <c r="M6667">
        <v>0</v>
      </c>
      <c r="N6667">
        <v>0</v>
      </c>
      <c r="O6667">
        <v>0</v>
      </c>
    </row>
    <row r="6668" spans="1:15" x14ac:dyDescent="0.25">
      <c r="A6668" t="s">
        <v>949</v>
      </c>
      <c r="B6668" t="s">
        <v>3035</v>
      </c>
      <c r="C6668" t="s">
        <v>927</v>
      </c>
      <c r="D6668" t="s">
        <v>3052</v>
      </c>
      <c r="E6668" t="s">
        <v>3053</v>
      </c>
      <c r="F6668" t="s">
        <v>668</v>
      </c>
      <c r="G6668" t="s">
        <v>669</v>
      </c>
      <c r="H6668" t="s">
        <v>7500</v>
      </c>
      <c r="I6668">
        <v>46</v>
      </c>
      <c r="J6668">
        <v>0</v>
      </c>
      <c r="K6668">
        <v>0</v>
      </c>
      <c r="L6668">
        <v>0</v>
      </c>
      <c r="M6668">
        <v>0</v>
      </c>
      <c r="N6668">
        <v>0</v>
      </c>
      <c r="O6668">
        <v>46</v>
      </c>
    </row>
    <row r="6669" spans="1:15" x14ac:dyDescent="0.25">
      <c r="A6669" t="s">
        <v>1043</v>
      </c>
      <c r="B6669" t="s">
        <v>2090</v>
      </c>
      <c r="C6669" t="s">
        <v>927</v>
      </c>
      <c r="D6669" t="s">
        <v>3052</v>
      </c>
      <c r="E6669" t="s">
        <v>3053</v>
      </c>
      <c r="F6669" t="s">
        <v>668</v>
      </c>
      <c r="G6669" t="s">
        <v>669</v>
      </c>
      <c r="H6669" t="s">
        <v>7501</v>
      </c>
      <c r="I6669">
        <v>1843</v>
      </c>
      <c r="J6669">
        <v>1421</v>
      </c>
      <c r="K6669">
        <v>0</v>
      </c>
      <c r="L6669">
        <v>109</v>
      </c>
      <c r="M6669">
        <v>196</v>
      </c>
      <c r="N6669">
        <v>0</v>
      </c>
      <c r="O6669">
        <v>117</v>
      </c>
    </row>
    <row r="6670" spans="1:15" x14ac:dyDescent="0.25">
      <c r="A6670" t="s">
        <v>1146</v>
      </c>
      <c r="B6670" t="s">
        <v>2117</v>
      </c>
      <c r="C6670" t="s">
        <v>927</v>
      </c>
      <c r="D6670" t="s">
        <v>3052</v>
      </c>
      <c r="E6670" t="s">
        <v>3053</v>
      </c>
      <c r="F6670" t="s">
        <v>668</v>
      </c>
      <c r="G6670" t="s">
        <v>669</v>
      </c>
      <c r="H6670" t="s">
        <v>15109</v>
      </c>
      <c r="I6670">
        <v>3</v>
      </c>
      <c r="J6670">
        <v>0</v>
      </c>
      <c r="K6670">
        <v>0</v>
      </c>
      <c r="L6670">
        <v>0</v>
      </c>
      <c r="M6670">
        <v>0</v>
      </c>
      <c r="N6670">
        <v>0</v>
      </c>
      <c r="O6670">
        <v>3</v>
      </c>
    </row>
    <row r="6671" spans="1:15" x14ac:dyDescent="0.25">
      <c r="A6671" t="s">
        <v>951</v>
      </c>
      <c r="B6671" t="s">
        <v>2680</v>
      </c>
      <c r="C6671" t="s">
        <v>927</v>
      </c>
      <c r="D6671" t="s">
        <v>3052</v>
      </c>
      <c r="E6671" t="s">
        <v>3053</v>
      </c>
      <c r="F6671" t="s">
        <v>668</v>
      </c>
      <c r="G6671" t="s">
        <v>669</v>
      </c>
      <c r="H6671" t="s">
        <v>7502</v>
      </c>
      <c r="I6671">
        <v>145</v>
      </c>
      <c r="J6671">
        <v>145</v>
      </c>
      <c r="K6671">
        <v>0</v>
      </c>
      <c r="L6671">
        <v>0</v>
      </c>
      <c r="M6671">
        <v>0</v>
      </c>
      <c r="N6671">
        <v>0</v>
      </c>
      <c r="O6671">
        <v>0</v>
      </c>
    </row>
    <row r="6672" spans="1:15" x14ac:dyDescent="0.25">
      <c r="A6672" t="s">
        <v>953</v>
      </c>
      <c r="B6672" t="s">
        <v>2014</v>
      </c>
      <c r="C6672" t="s">
        <v>927</v>
      </c>
      <c r="D6672" t="s">
        <v>3052</v>
      </c>
      <c r="E6672" t="s">
        <v>3053</v>
      </c>
      <c r="F6672" t="s">
        <v>668</v>
      </c>
      <c r="G6672" t="s">
        <v>669</v>
      </c>
      <c r="H6672" t="s">
        <v>7503</v>
      </c>
      <c r="I6672">
        <v>11</v>
      </c>
      <c r="J6672">
        <v>0</v>
      </c>
      <c r="K6672">
        <v>0</v>
      </c>
      <c r="L6672">
        <v>11</v>
      </c>
      <c r="M6672">
        <v>0</v>
      </c>
      <c r="N6672">
        <v>0</v>
      </c>
      <c r="O6672">
        <v>0</v>
      </c>
    </row>
    <row r="6673" spans="1:15" x14ac:dyDescent="0.25">
      <c r="A6673" t="s">
        <v>9810</v>
      </c>
      <c r="B6673" t="s">
        <v>9870</v>
      </c>
      <c r="C6673" t="s">
        <v>923</v>
      </c>
      <c r="D6673" t="s">
        <v>3063</v>
      </c>
      <c r="E6673" t="s">
        <v>3053</v>
      </c>
      <c r="F6673" t="s">
        <v>668</v>
      </c>
      <c r="G6673" t="s">
        <v>669</v>
      </c>
      <c r="H6673" t="s">
        <v>10325</v>
      </c>
      <c r="I6673">
        <v>25</v>
      </c>
      <c r="J6673">
        <v>25</v>
      </c>
      <c r="K6673">
        <v>0</v>
      </c>
      <c r="L6673">
        <v>0</v>
      </c>
      <c r="M6673">
        <v>0</v>
      </c>
      <c r="N6673">
        <v>0</v>
      </c>
      <c r="O6673">
        <v>0</v>
      </c>
    </row>
    <row r="6674" spans="1:15" x14ac:dyDescent="0.25">
      <c r="A6674" t="s">
        <v>1334</v>
      </c>
      <c r="B6674" t="s">
        <v>2849</v>
      </c>
      <c r="C6674" t="s">
        <v>927</v>
      </c>
      <c r="D6674" t="s">
        <v>3052</v>
      </c>
      <c r="E6674" t="s">
        <v>3053</v>
      </c>
      <c r="F6674" t="s">
        <v>668</v>
      </c>
      <c r="G6674" t="s">
        <v>669</v>
      </c>
      <c r="H6674" t="s">
        <v>7504</v>
      </c>
      <c r="I6674">
        <v>6343</v>
      </c>
      <c r="J6674">
        <v>5898</v>
      </c>
      <c r="K6674">
        <v>0</v>
      </c>
      <c r="L6674">
        <v>0</v>
      </c>
      <c r="M6674">
        <v>390</v>
      </c>
      <c r="N6674">
        <v>18</v>
      </c>
      <c r="O6674">
        <v>55</v>
      </c>
    </row>
    <row r="6675" spans="1:15" x14ac:dyDescent="0.25">
      <c r="A6675" t="s">
        <v>1155</v>
      </c>
      <c r="B6675" t="s">
        <v>2912</v>
      </c>
      <c r="C6675" t="s">
        <v>927</v>
      </c>
      <c r="D6675" t="s">
        <v>3052</v>
      </c>
      <c r="E6675" t="s">
        <v>3053</v>
      </c>
      <c r="F6675" t="s">
        <v>668</v>
      </c>
      <c r="G6675" t="s">
        <v>669</v>
      </c>
      <c r="H6675" t="s">
        <v>7505</v>
      </c>
      <c r="I6675">
        <v>32</v>
      </c>
      <c r="J6675">
        <v>5</v>
      </c>
      <c r="K6675">
        <v>0</v>
      </c>
      <c r="L6675">
        <v>5</v>
      </c>
      <c r="M6675">
        <v>0</v>
      </c>
      <c r="N6675">
        <v>0</v>
      </c>
      <c r="O6675">
        <v>22</v>
      </c>
    </row>
    <row r="6676" spans="1:15" x14ac:dyDescent="0.25">
      <c r="A6676" t="s">
        <v>11663</v>
      </c>
      <c r="B6676" t="s">
        <v>11768</v>
      </c>
      <c r="C6676" t="s">
        <v>927</v>
      </c>
      <c r="D6676" t="s">
        <v>3052</v>
      </c>
      <c r="E6676" t="s">
        <v>3053</v>
      </c>
      <c r="F6676" t="s">
        <v>668</v>
      </c>
      <c r="G6676" t="s">
        <v>669</v>
      </c>
      <c r="H6676" t="s">
        <v>15110</v>
      </c>
      <c r="I6676">
        <v>1</v>
      </c>
      <c r="J6676">
        <v>0</v>
      </c>
      <c r="K6676">
        <v>0</v>
      </c>
      <c r="L6676">
        <v>0</v>
      </c>
      <c r="M6676">
        <v>0</v>
      </c>
      <c r="N6676">
        <v>0</v>
      </c>
      <c r="O6676">
        <v>1</v>
      </c>
    </row>
    <row r="6677" spans="1:15" x14ac:dyDescent="0.25">
      <c r="A6677" t="s">
        <v>14380</v>
      </c>
      <c r="B6677" t="s">
        <v>2074</v>
      </c>
      <c r="C6677" t="s">
        <v>927</v>
      </c>
      <c r="D6677" t="s">
        <v>3052</v>
      </c>
      <c r="E6677" t="s">
        <v>3053</v>
      </c>
      <c r="F6677" t="s">
        <v>668</v>
      </c>
      <c r="G6677" t="s">
        <v>669</v>
      </c>
      <c r="H6677" t="s">
        <v>15111</v>
      </c>
      <c r="I6677">
        <v>113</v>
      </c>
      <c r="J6677">
        <v>107</v>
      </c>
      <c r="K6677">
        <v>0</v>
      </c>
      <c r="L6677">
        <v>0</v>
      </c>
      <c r="M6677">
        <v>0</v>
      </c>
      <c r="N6677">
        <v>3</v>
      </c>
      <c r="O6677">
        <v>6</v>
      </c>
    </row>
    <row r="6678" spans="1:15" x14ac:dyDescent="0.25">
      <c r="A6678" t="s">
        <v>1066</v>
      </c>
      <c r="B6678" t="s">
        <v>2557</v>
      </c>
      <c r="C6678" t="s">
        <v>927</v>
      </c>
      <c r="D6678" t="s">
        <v>3052</v>
      </c>
      <c r="E6678" t="s">
        <v>3053</v>
      </c>
      <c r="F6678" t="s">
        <v>668</v>
      </c>
      <c r="G6678" t="s">
        <v>669</v>
      </c>
      <c r="H6678" t="s">
        <v>7506</v>
      </c>
      <c r="I6678">
        <v>9</v>
      </c>
      <c r="J6678">
        <v>0</v>
      </c>
      <c r="K6678">
        <v>0</v>
      </c>
      <c r="L6678">
        <v>0</v>
      </c>
      <c r="M6678">
        <v>9</v>
      </c>
      <c r="N6678">
        <v>0</v>
      </c>
      <c r="O6678">
        <v>0</v>
      </c>
    </row>
    <row r="6679" spans="1:15" x14ac:dyDescent="0.25">
      <c r="A6679" t="s">
        <v>1360</v>
      </c>
      <c r="B6679" t="s">
        <v>2216</v>
      </c>
      <c r="C6679" t="s">
        <v>923</v>
      </c>
      <c r="D6679" t="s">
        <v>3063</v>
      </c>
      <c r="E6679" t="s">
        <v>3053</v>
      </c>
      <c r="F6679" t="s">
        <v>668</v>
      </c>
      <c r="G6679" t="s">
        <v>669</v>
      </c>
      <c r="H6679" t="s">
        <v>7507</v>
      </c>
      <c r="I6679">
        <v>33</v>
      </c>
      <c r="J6679">
        <v>0</v>
      </c>
      <c r="K6679">
        <v>0</v>
      </c>
      <c r="L6679">
        <v>0</v>
      </c>
      <c r="M6679">
        <v>33</v>
      </c>
      <c r="N6679">
        <v>0</v>
      </c>
      <c r="O6679">
        <v>0</v>
      </c>
    </row>
    <row r="6680" spans="1:15" x14ac:dyDescent="0.25">
      <c r="A6680" t="s">
        <v>1069</v>
      </c>
      <c r="B6680" t="s">
        <v>2001</v>
      </c>
      <c r="C6680" t="s">
        <v>927</v>
      </c>
      <c r="D6680" t="s">
        <v>3052</v>
      </c>
      <c r="E6680" t="s">
        <v>3053</v>
      </c>
      <c r="F6680" t="s">
        <v>668</v>
      </c>
      <c r="G6680" t="s">
        <v>669</v>
      </c>
      <c r="H6680" t="s">
        <v>7508</v>
      </c>
      <c r="I6680">
        <v>174</v>
      </c>
      <c r="J6680">
        <v>146</v>
      </c>
      <c r="K6680">
        <v>0</v>
      </c>
      <c r="L6680">
        <v>0</v>
      </c>
      <c r="M6680">
        <v>28</v>
      </c>
      <c r="N6680">
        <v>0</v>
      </c>
      <c r="O6680">
        <v>0</v>
      </c>
    </row>
    <row r="6681" spans="1:15" x14ac:dyDescent="0.25">
      <c r="A6681" t="s">
        <v>1364</v>
      </c>
      <c r="B6681" t="s">
        <v>2204</v>
      </c>
      <c r="C6681" t="s">
        <v>923</v>
      </c>
      <c r="D6681" t="s">
        <v>3063</v>
      </c>
      <c r="E6681" t="s">
        <v>3053</v>
      </c>
      <c r="F6681" t="s">
        <v>668</v>
      </c>
      <c r="G6681" t="s">
        <v>669</v>
      </c>
      <c r="H6681" t="s">
        <v>7509</v>
      </c>
      <c r="I6681">
        <v>12</v>
      </c>
      <c r="J6681">
        <v>0</v>
      </c>
      <c r="K6681">
        <v>0</v>
      </c>
      <c r="L6681">
        <v>0</v>
      </c>
      <c r="M6681">
        <v>12</v>
      </c>
      <c r="N6681">
        <v>0</v>
      </c>
      <c r="O6681">
        <v>0</v>
      </c>
    </row>
    <row r="6682" spans="1:15" x14ac:dyDescent="0.25">
      <c r="A6682" t="s">
        <v>1368</v>
      </c>
      <c r="B6682" t="s">
        <v>3022</v>
      </c>
      <c r="C6682" t="s">
        <v>923</v>
      </c>
      <c r="D6682" t="s">
        <v>3063</v>
      </c>
      <c r="E6682" t="s">
        <v>3053</v>
      </c>
      <c r="F6682" t="s">
        <v>668</v>
      </c>
      <c r="G6682" t="s">
        <v>669</v>
      </c>
      <c r="H6682" t="s">
        <v>7510</v>
      </c>
      <c r="I6682">
        <v>37</v>
      </c>
      <c r="J6682">
        <v>21</v>
      </c>
      <c r="K6682">
        <v>0</v>
      </c>
      <c r="L6682">
        <v>16</v>
      </c>
      <c r="M6682">
        <v>0</v>
      </c>
      <c r="N6682">
        <v>2</v>
      </c>
      <c r="O6682">
        <v>0</v>
      </c>
    </row>
    <row r="6683" spans="1:15" x14ac:dyDescent="0.25">
      <c r="A6683" t="s">
        <v>1016</v>
      </c>
      <c r="B6683" t="s">
        <v>2725</v>
      </c>
      <c r="C6683" t="s">
        <v>927</v>
      </c>
      <c r="D6683" t="s">
        <v>3052</v>
      </c>
      <c r="E6683" t="s">
        <v>3053</v>
      </c>
      <c r="F6683" t="s">
        <v>670</v>
      </c>
      <c r="G6683" t="s">
        <v>671</v>
      </c>
      <c r="H6683" t="s">
        <v>7522</v>
      </c>
      <c r="I6683">
        <v>46</v>
      </c>
      <c r="J6683">
        <v>0</v>
      </c>
      <c r="K6683">
        <v>0</v>
      </c>
      <c r="L6683">
        <v>0</v>
      </c>
      <c r="M6683">
        <v>46</v>
      </c>
      <c r="N6683">
        <v>0</v>
      </c>
      <c r="O6683">
        <v>0</v>
      </c>
    </row>
    <row r="6684" spans="1:15" x14ac:dyDescent="0.25">
      <c r="A6684" t="s">
        <v>971</v>
      </c>
      <c r="B6684" t="s">
        <v>2956</v>
      </c>
      <c r="C6684" t="s">
        <v>927</v>
      </c>
      <c r="D6684" t="s">
        <v>3052</v>
      </c>
      <c r="E6684" t="s">
        <v>3053</v>
      </c>
      <c r="F6684" t="s">
        <v>670</v>
      </c>
      <c r="G6684" t="s">
        <v>671</v>
      </c>
      <c r="H6684" t="s">
        <v>7511</v>
      </c>
      <c r="I6684">
        <v>55</v>
      </c>
      <c r="J6684">
        <v>55</v>
      </c>
      <c r="K6684">
        <v>0</v>
      </c>
      <c r="L6684">
        <v>0</v>
      </c>
      <c r="M6684">
        <v>0</v>
      </c>
      <c r="N6684">
        <v>0</v>
      </c>
      <c r="O6684">
        <v>0</v>
      </c>
    </row>
    <row r="6685" spans="1:15" x14ac:dyDescent="0.25">
      <c r="A6685" t="s">
        <v>929</v>
      </c>
      <c r="B6685" t="s">
        <v>2999</v>
      </c>
      <c r="C6685" t="s">
        <v>927</v>
      </c>
      <c r="D6685" t="s">
        <v>3052</v>
      </c>
      <c r="E6685" t="s">
        <v>3053</v>
      </c>
      <c r="F6685" t="s">
        <v>670</v>
      </c>
      <c r="G6685" t="s">
        <v>671</v>
      </c>
      <c r="H6685" t="s">
        <v>7512</v>
      </c>
      <c r="I6685">
        <v>224</v>
      </c>
      <c r="J6685">
        <v>0</v>
      </c>
      <c r="K6685">
        <v>0</v>
      </c>
      <c r="L6685">
        <v>0</v>
      </c>
      <c r="M6685">
        <v>224</v>
      </c>
      <c r="N6685">
        <v>0</v>
      </c>
      <c r="O6685">
        <v>0</v>
      </c>
    </row>
    <row r="6686" spans="1:15" x14ac:dyDescent="0.25">
      <c r="A6686" t="s">
        <v>1460</v>
      </c>
      <c r="B6686" t="s">
        <v>1995</v>
      </c>
      <c r="C6686" t="s">
        <v>923</v>
      </c>
      <c r="D6686" t="s">
        <v>3063</v>
      </c>
      <c r="E6686" t="s">
        <v>3053</v>
      </c>
      <c r="F6686" t="s">
        <v>670</v>
      </c>
      <c r="G6686" t="s">
        <v>671</v>
      </c>
      <c r="H6686" t="s">
        <v>7513</v>
      </c>
      <c r="I6686">
        <v>44</v>
      </c>
      <c r="J6686">
        <v>0</v>
      </c>
      <c r="K6686">
        <v>0</v>
      </c>
      <c r="L6686">
        <v>44</v>
      </c>
      <c r="M6686">
        <v>0</v>
      </c>
      <c r="N6686">
        <v>0</v>
      </c>
      <c r="O6686">
        <v>0</v>
      </c>
    </row>
    <row r="6687" spans="1:15" x14ac:dyDescent="0.25">
      <c r="A6687" t="s">
        <v>1461</v>
      </c>
      <c r="B6687" t="s">
        <v>1927</v>
      </c>
      <c r="C6687" t="s">
        <v>927</v>
      </c>
      <c r="D6687" t="s">
        <v>3052</v>
      </c>
      <c r="E6687" t="s">
        <v>3053</v>
      </c>
      <c r="F6687" t="s">
        <v>670</v>
      </c>
      <c r="G6687" t="s">
        <v>671</v>
      </c>
      <c r="H6687" t="s">
        <v>12295</v>
      </c>
      <c r="I6687">
        <v>184</v>
      </c>
      <c r="J6687">
        <v>184</v>
      </c>
      <c r="K6687">
        <v>0</v>
      </c>
      <c r="L6687">
        <v>0</v>
      </c>
      <c r="M6687">
        <v>0</v>
      </c>
      <c r="N6687">
        <v>30</v>
      </c>
      <c r="O6687">
        <v>0</v>
      </c>
    </row>
    <row r="6688" spans="1:15" x14ac:dyDescent="0.25">
      <c r="A6688" t="s">
        <v>9804</v>
      </c>
      <c r="B6688" t="s">
        <v>2043</v>
      </c>
      <c r="C6688" t="s">
        <v>923</v>
      </c>
      <c r="D6688" t="s">
        <v>3063</v>
      </c>
      <c r="E6688" t="s">
        <v>3053</v>
      </c>
      <c r="F6688" t="s">
        <v>670</v>
      </c>
      <c r="G6688" t="s">
        <v>671</v>
      </c>
      <c r="H6688" t="s">
        <v>10052</v>
      </c>
      <c r="I6688">
        <v>56</v>
      </c>
      <c r="J6688">
        <v>0</v>
      </c>
      <c r="K6688">
        <v>0</v>
      </c>
      <c r="L6688">
        <v>56</v>
      </c>
      <c r="M6688">
        <v>0</v>
      </c>
      <c r="N6688">
        <v>0</v>
      </c>
      <c r="O6688">
        <v>0</v>
      </c>
    </row>
    <row r="6689" spans="1:15" x14ac:dyDescent="0.25">
      <c r="A6689" t="s">
        <v>1416</v>
      </c>
      <c r="B6689" t="s">
        <v>2029</v>
      </c>
      <c r="C6689" t="s">
        <v>923</v>
      </c>
      <c r="D6689" t="s">
        <v>3063</v>
      </c>
      <c r="E6689" t="s">
        <v>3053</v>
      </c>
      <c r="F6689" t="s">
        <v>670</v>
      </c>
      <c r="G6689" t="s">
        <v>671</v>
      </c>
      <c r="H6689" t="s">
        <v>7514</v>
      </c>
      <c r="I6689">
        <v>10</v>
      </c>
      <c r="J6689">
        <v>0</v>
      </c>
      <c r="K6689">
        <v>0</v>
      </c>
      <c r="L6689">
        <v>10</v>
      </c>
      <c r="M6689">
        <v>0</v>
      </c>
      <c r="N6689">
        <v>0</v>
      </c>
      <c r="O6689">
        <v>0</v>
      </c>
    </row>
    <row r="6690" spans="1:15" x14ac:dyDescent="0.25">
      <c r="A6690" t="s">
        <v>1483</v>
      </c>
      <c r="B6690" t="s">
        <v>1932</v>
      </c>
      <c r="C6690" t="s">
        <v>927</v>
      </c>
      <c r="D6690" t="s">
        <v>3052</v>
      </c>
      <c r="E6690" t="s">
        <v>3053</v>
      </c>
      <c r="F6690" t="s">
        <v>670</v>
      </c>
      <c r="G6690" t="s">
        <v>671</v>
      </c>
      <c r="H6690" t="s">
        <v>7515</v>
      </c>
      <c r="I6690">
        <v>172</v>
      </c>
      <c r="J6690">
        <v>141</v>
      </c>
      <c r="K6690">
        <v>0</v>
      </c>
      <c r="L6690">
        <v>0</v>
      </c>
      <c r="M6690">
        <v>0</v>
      </c>
      <c r="N6690">
        <v>0</v>
      </c>
      <c r="O6690">
        <v>31</v>
      </c>
    </row>
    <row r="6691" spans="1:15" x14ac:dyDescent="0.25">
      <c r="A6691" t="s">
        <v>10638</v>
      </c>
      <c r="B6691" t="s">
        <v>2057</v>
      </c>
      <c r="C6691" t="s">
        <v>927</v>
      </c>
      <c r="D6691" t="s">
        <v>3052</v>
      </c>
      <c r="E6691" t="s">
        <v>3053</v>
      </c>
      <c r="F6691" t="s">
        <v>670</v>
      </c>
      <c r="G6691" t="s">
        <v>671</v>
      </c>
      <c r="H6691" t="s">
        <v>11273</v>
      </c>
      <c r="I6691">
        <v>13</v>
      </c>
      <c r="J6691">
        <v>0</v>
      </c>
      <c r="K6691">
        <v>0</v>
      </c>
      <c r="L6691">
        <v>13</v>
      </c>
      <c r="M6691">
        <v>0</v>
      </c>
      <c r="N6691">
        <v>0</v>
      </c>
      <c r="O6691">
        <v>0</v>
      </c>
    </row>
    <row r="6692" spans="1:15" x14ac:dyDescent="0.25">
      <c r="A6692" t="s">
        <v>1006</v>
      </c>
      <c r="B6692" t="s">
        <v>2724</v>
      </c>
      <c r="C6692" t="s">
        <v>927</v>
      </c>
      <c r="D6692" t="s">
        <v>3052</v>
      </c>
      <c r="E6692" t="s">
        <v>3053</v>
      </c>
      <c r="F6692" t="s">
        <v>670</v>
      </c>
      <c r="G6692" t="s">
        <v>671</v>
      </c>
      <c r="H6692" t="s">
        <v>7516</v>
      </c>
      <c r="I6692">
        <v>745</v>
      </c>
      <c r="J6692">
        <v>676</v>
      </c>
      <c r="K6692">
        <v>0</v>
      </c>
      <c r="L6692">
        <v>3</v>
      </c>
      <c r="M6692">
        <v>0</v>
      </c>
      <c r="N6692">
        <v>0</v>
      </c>
      <c r="O6692">
        <v>66</v>
      </c>
    </row>
    <row r="6693" spans="1:15" x14ac:dyDescent="0.25">
      <c r="A6693" t="s">
        <v>1009</v>
      </c>
      <c r="B6693" t="s">
        <v>1958</v>
      </c>
      <c r="C6693" t="s">
        <v>923</v>
      </c>
      <c r="D6693" t="s">
        <v>3063</v>
      </c>
      <c r="E6693" t="s">
        <v>3053</v>
      </c>
      <c r="F6693" t="s">
        <v>670</v>
      </c>
      <c r="G6693" t="s">
        <v>671</v>
      </c>
      <c r="H6693" t="s">
        <v>7517</v>
      </c>
      <c r="I6693">
        <v>19</v>
      </c>
      <c r="J6693">
        <v>0</v>
      </c>
      <c r="K6693">
        <v>0</v>
      </c>
      <c r="L6693">
        <v>19</v>
      </c>
      <c r="M6693">
        <v>0</v>
      </c>
      <c r="N6693">
        <v>0</v>
      </c>
      <c r="O6693">
        <v>0</v>
      </c>
    </row>
    <row r="6694" spans="1:15" x14ac:dyDescent="0.25">
      <c r="A6694" t="s">
        <v>937</v>
      </c>
      <c r="B6694" t="s">
        <v>1962</v>
      </c>
      <c r="C6694" t="s">
        <v>927</v>
      </c>
      <c r="D6694" t="s">
        <v>3052</v>
      </c>
      <c r="E6694" t="s">
        <v>3053</v>
      </c>
      <c r="F6694" t="s">
        <v>670</v>
      </c>
      <c r="G6694" t="s">
        <v>671</v>
      </c>
      <c r="H6694" t="s">
        <v>7518</v>
      </c>
      <c r="I6694">
        <v>18</v>
      </c>
      <c r="J6694">
        <v>0</v>
      </c>
      <c r="K6694">
        <v>0</v>
      </c>
      <c r="L6694">
        <v>0</v>
      </c>
      <c r="M6694">
        <v>0</v>
      </c>
      <c r="N6694">
        <v>0</v>
      </c>
      <c r="O6694">
        <v>18</v>
      </c>
    </row>
    <row r="6695" spans="1:15" x14ac:dyDescent="0.25">
      <c r="A6695" t="s">
        <v>940</v>
      </c>
      <c r="B6695" t="s">
        <v>2647</v>
      </c>
      <c r="C6695" t="s">
        <v>927</v>
      </c>
      <c r="D6695" t="s">
        <v>3052</v>
      </c>
      <c r="E6695" t="s">
        <v>3053</v>
      </c>
      <c r="F6695" t="s">
        <v>670</v>
      </c>
      <c r="G6695" t="s">
        <v>671</v>
      </c>
      <c r="H6695" t="s">
        <v>7519</v>
      </c>
      <c r="I6695">
        <v>94</v>
      </c>
      <c r="J6695">
        <v>0</v>
      </c>
      <c r="K6695">
        <v>0</v>
      </c>
      <c r="L6695">
        <v>0</v>
      </c>
      <c r="M6695">
        <v>94</v>
      </c>
      <c r="N6695">
        <v>0</v>
      </c>
      <c r="O6695">
        <v>0</v>
      </c>
    </row>
    <row r="6696" spans="1:15" x14ac:dyDescent="0.25">
      <c r="A6696" t="s">
        <v>1013</v>
      </c>
      <c r="B6696" t="s">
        <v>1959</v>
      </c>
      <c r="C6696" t="s">
        <v>927</v>
      </c>
      <c r="D6696" t="s">
        <v>3052</v>
      </c>
      <c r="E6696" t="s">
        <v>3053</v>
      </c>
      <c r="F6696" t="s">
        <v>670</v>
      </c>
      <c r="G6696" t="s">
        <v>671</v>
      </c>
      <c r="H6696" t="s">
        <v>7520</v>
      </c>
      <c r="I6696">
        <v>19</v>
      </c>
      <c r="J6696">
        <v>0</v>
      </c>
      <c r="K6696">
        <v>0</v>
      </c>
      <c r="L6696">
        <v>19</v>
      </c>
      <c r="M6696">
        <v>0</v>
      </c>
      <c r="N6696">
        <v>0</v>
      </c>
      <c r="O6696">
        <v>0</v>
      </c>
    </row>
    <row r="6697" spans="1:15" x14ac:dyDescent="0.25">
      <c r="A6697" t="s">
        <v>1496</v>
      </c>
      <c r="B6697" t="s">
        <v>2007</v>
      </c>
      <c r="C6697" t="s">
        <v>923</v>
      </c>
      <c r="D6697" t="s">
        <v>3063</v>
      </c>
      <c r="E6697" t="s">
        <v>3053</v>
      </c>
      <c r="F6697" t="s">
        <v>670</v>
      </c>
      <c r="G6697" t="s">
        <v>671</v>
      </c>
      <c r="H6697" t="s">
        <v>7521</v>
      </c>
      <c r="I6697">
        <v>130</v>
      </c>
      <c r="J6697">
        <v>130</v>
      </c>
      <c r="K6697">
        <v>0</v>
      </c>
      <c r="L6697">
        <v>0</v>
      </c>
      <c r="M6697">
        <v>0</v>
      </c>
      <c r="N6697">
        <v>0</v>
      </c>
      <c r="O6697">
        <v>0</v>
      </c>
    </row>
    <row r="6698" spans="1:15" x14ac:dyDescent="0.25">
      <c r="A6698" t="s">
        <v>9819</v>
      </c>
      <c r="B6698" t="s">
        <v>2916</v>
      </c>
      <c r="C6698" t="s">
        <v>927</v>
      </c>
      <c r="D6698" t="s">
        <v>3052</v>
      </c>
      <c r="E6698" t="s">
        <v>3053</v>
      </c>
      <c r="F6698" t="s">
        <v>670</v>
      </c>
      <c r="G6698" t="s">
        <v>671</v>
      </c>
      <c r="H6698" t="s">
        <v>10143</v>
      </c>
      <c r="I6698">
        <v>25</v>
      </c>
      <c r="J6698">
        <v>23</v>
      </c>
      <c r="K6698">
        <v>0</v>
      </c>
      <c r="L6698">
        <v>2</v>
      </c>
      <c r="M6698">
        <v>0</v>
      </c>
      <c r="N6698">
        <v>0</v>
      </c>
      <c r="O6698">
        <v>0</v>
      </c>
    </row>
    <row r="6699" spans="1:15" x14ac:dyDescent="0.25">
      <c r="A6699" t="s">
        <v>1018</v>
      </c>
      <c r="B6699" t="s">
        <v>1980</v>
      </c>
      <c r="C6699" t="s">
        <v>923</v>
      </c>
      <c r="D6699" t="s">
        <v>3063</v>
      </c>
      <c r="E6699" t="s">
        <v>3053</v>
      </c>
      <c r="F6699" t="s">
        <v>670</v>
      </c>
      <c r="G6699" t="s">
        <v>671</v>
      </c>
      <c r="H6699" t="s">
        <v>7523</v>
      </c>
      <c r="I6699">
        <v>43</v>
      </c>
      <c r="J6699">
        <v>0</v>
      </c>
      <c r="K6699">
        <v>0</v>
      </c>
      <c r="L6699">
        <v>43</v>
      </c>
      <c r="M6699">
        <v>0</v>
      </c>
      <c r="N6699">
        <v>0</v>
      </c>
      <c r="O6699">
        <v>0</v>
      </c>
    </row>
    <row r="6700" spans="1:15" x14ac:dyDescent="0.25">
      <c r="A6700" t="s">
        <v>1516</v>
      </c>
      <c r="B6700" t="s">
        <v>2098</v>
      </c>
      <c r="C6700" t="s">
        <v>927</v>
      </c>
      <c r="D6700" t="s">
        <v>3052</v>
      </c>
      <c r="E6700" t="s">
        <v>3053</v>
      </c>
      <c r="F6700" t="s">
        <v>670</v>
      </c>
      <c r="G6700" t="s">
        <v>671</v>
      </c>
      <c r="H6700" t="s">
        <v>7524</v>
      </c>
      <c r="I6700">
        <v>793</v>
      </c>
      <c r="J6700">
        <v>530</v>
      </c>
      <c r="K6700">
        <v>0</v>
      </c>
      <c r="L6700">
        <v>138</v>
      </c>
      <c r="M6700">
        <v>119</v>
      </c>
      <c r="N6700">
        <v>0</v>
      </c>
      <c r="O6700">
        <v>6</v>
      </c>
    </row>
    <row r="6701" spans="1:15" x14ac:dyDescent="0.25">
      <c r="A6701" t="s">
        <v>1521</v>
      </c>
      <c r="B6701" t="s">
        <v>2920</v>
      </c>
      <c r="C6701" t="s">
        <v>927</v>
      </c>
      <c r="D6701" t="s">
        <v>3052</v>
      </c>
      <c r="E6701" t="s">
        <v>3053</v>
      </c>
      <c r="F6701" t="s">
        <v>670</v>
      </c>
      <c r="G6701" t="s">
        <v>671</v>
      </c>
      <c r="H6701" t="s">
        <v>11274</v>
      </c>
      <c r="I6701">
        <v>877</v>
      </c>
      <c r="J6701">
        <v>473</v>
      </c>
      <c r="K6701">
        <v>0</v>
      </c>
      <c r="L6701">
        <v>54</v>
      </c>
      <c r="M6701">
        <v>266</v>
      </c>
      <c r="N6701">
        <v>1</v>
      </c>
      <c r="O6701">
        <v>84</v>
      </c>
    </row>
    <row r="6702" spans="1:15" x14ac:dyDescent="0.25">
      <c r="A6702" t="s">
        <v>1046</v>
      </c>
      <c r="B6702" t="s">
        <v>2027</v>
      </c>
      <c r="C6702" t="s">
        <v>923</v>
      </c>
      <c r="D6702" t="s">
        <v>3063</v>
      </c>
      <c r="E6702" t="s">
        <v>3053</v>
      </c>
      <c r="F6702" t="s">
        <v>670</v>
      </c>
      <c r="G6702" t="s">
        <v>671</v>
      </c>
      <c r="H6702" t="s">
        <v>7525</v>
      </c>
      <c r="I6702">
        <v>60</v>
      </c>
      <c r="J6702">
        <v>1</v>
      </c>
      <c r="K6702">
        <v>0</v>
      </c>
      <c r="L6702">
        <v>59</v>
      </c>
      <c r="M6702">
        <v>0</v>
      </c>
      <c r="N6702">
        <v>0</v>
      </c>
      <c r="O6702">
        <v>0</v>
      </c>
    </row>
    <row r="6703" spans="1:15" x14ac:dyDescent="0.25">
      <c r="A6703" t="s">
        <v>951</v>
      </c>
      <c r="B6703" t="s">
        <v>2680</v>
      </c>
      <c r="C6703" t="s">
        <v>927</v>
      </c>
      <c r="D6703" t="s">
        <v>3052</v>
      </c>
      <c r="E6703" t="s">
        <v>3053</v>
      </c>
      <c r="F6703" t="s">
        <v>670</v>
      </c>
      <c r="G6703" t="s">
        <v>671</v>
      </c>
      <c r="H6703" t="s">
        <v>7526</v>
      </c>
      <c r="I6703">
        <v>1</v>
      </c>
      <c r="J6703">
        <v>1</v>
      </c>
      <c r="K6703">
        <v>0</v>
      </c>
      <c r="L6703">
        <v>0</v>
      </c>
      <c r="M6703">
        <v>0</v>
      </c>
      <c r="N6703">
        <v>0</v>
      </c>
      <c r="O6703">
        <v>0</v>
      </c>
    </row>
    <row r="6704" spans="1:15" x14ac:dyDescent="0.25">
      <c r="A6704" t="s">
        <v>1051</v>
      </c>
      <c r="B6704" t="s">
        <v>2995</v>
      </c>
      <c r="C6704" t="s">
        <v>927</v>
      </c>
      <c r="D6704" t="s">
        <v>3052</v>
      </c>
      <c r="E6704" t="s">
        <v>3053</v>
      </c>
      <c r="F6704" t="s">
        <v>670</v>
      </c>
      <c r="G6704" t="s">
        <v>671</v>
      </c>
      <c r="H6704" t="s">
        <v>7527</v>
      </c>
      <c r="I6704">
        <v>46</v>
      </c>
      <c r="J6704">
        <v>0</v>
      </c>
      <c r="K6704">
        <v>0</v>
      </c>
      <c r="L6704">
        <v>45</v>
      </c>
      <c r="M6704">
        <v>0</v>
      </c>
      <c r="N6704">
        <v>0</v>
      </c>
      <c r="O6704">
        <v>1</v>
      </c>
    </row>
    <row r="6705" spans="1:15" x14ac:dyDescent="0.25">
      <c r="A6705" t="s">
        <v>1528</v>
      </c>
      <c r="B6705" t="s">
        <v>2698</v>
      </c>
      <c r="C6705" t="s">
        <v>923</v>
      </c>
      <c r="D6705" t="s">
        <v>3063</v>
      </c>
      <c r="E6705" t="s">
        <v>3053</v>
      </c>
      <c r="F6705" t="s">
        <v>670</v>
      </c>
      <c r="G6705" t="s">
        <v>671</v>
      </c>
      <c r="H6705" t="s">
        <v>10321</v>
      </c>
      <c r="I6705">
        <v>2</v>
      </c>
      <c r="J6705">
        <v>2</v>
      </c>
      <c r="K6705">
        <v>0</v>
      </c>
      <c r="L6705">
        <v>0</v>
      </c>
      <c r="M6705">
        <v>0</v>
      </c>
      <c r="N6705">
        <v>0</v>
      </c>
      <c r="O6705">
        <v>0</v>
      </c>
    </row>
    <row r="6706" spans="1:15" x14ac:dyDescent="0.25">
      <c r="A6706" t="s">
        <v>1529</v>
      </c>
      <c r="B6706" t="s">
        <v>1954</v>
      </c>
      <c r="C6706" t="s">
        <v>927</v>
      </c>
      <c r="D6706" t="s">
        <v>3052</v>
      </c>
      <c r="E6706" t="s">
        <v>3053</v>
      </c>
      <c r="F6706" t="s">
        <v>670</v>
      </c>
      <c r="G6706" t="s">
        <v>671</v>
      </c>
      <c r="H6706" t="s">
        <v>7528</v>
      </c>
      <c r="I6706">
        <v>642</v>
      </c>
      <c r="J6706">
        <v>492</v>
      </c>
      <c r="K6706">
        <v>0</v>
      </c>
      <c r="L6706">
        <v>123</v>
      </c>
      <c r="M6706">
        <v>26</v>
      </c>
      <c r="N6706">
        <v>0</v>
      </c>
      <c r="O6706">
        <v>1</v>
      </c>
    </row>
    <row r="6707" spans="1:15" x14ac:dyDescent="0.25">
      <c r="A6707" t="s">
        <v>953</v>
      </c>
      <c r="B6707" t="s">
        <v>2014</v>
      </c>
      <c r="C6707" t="s">
        <v>927</v>
      </c>
      <c r="D6707" t="s">
        <v>3052</v>
      </c>
      <c r="E6707" t="s">
        <v>3053</v>
      </c>
      <c r="F6707" t="s">
        <v>670</v>
      </c>
      <c r="G6707" t="s">
        <v>671</v>
      </c>
      <c r="H6707" t="s">
        <v>7529</v>
      </c>
      <c r="I6707">
        <v>12</v>
      </c>
      <c r="J6707">
        <v>0</v>
      </c>
      <c r="K6707">
        <v>0</v>
      </c>
      <c r="L6707">
        <v>12</v>
      </c>
      <c r="M6707">
        <v>0</v>
      </c>
      <c r="N6707">
        <v>0</v>
      </c>
      <c r="O6707">
        <v>0</v>
      </c>
    </row>
    <row r="6708" spans="1:15" x14ac:dyDescent="0.25">
      <c r="A6708" t="s">
        <v>1530</v>
      </c>
      <c r="B6708" t="s">
        <v>1934</v>
      </c>
      <c r="C6708" t="s">
        <v>927</v>
      </c>
      <c r="D6708" t="s">
        <v>3052</v>
      </c>
      <c r="E6708" t="s">
        <v>3053</v>
      </c>
      <c r="F6708" t="s">
        <v>670</v>
      </c>
      <c r="G6708" t="s">
        <v>671</v>
      </c>
      <c r="H6708" t="s">
        <v>7530</v>
      </c>
      <c r="I6708">
        <v>12300</v>
      </c>
      <c r="J6708">
        <v>11389</v>
      </c>
      <c r="K6708">
        <v>0</v>
      </c>
      <c r="L6708">
        <v>0</v>
      </c>
      <c r="M6708">
        <v>911</v>
      </c>
      <c r="N6708">
        <v>131</v>
      </c>
      <c r="O6708">
        <v>0</v>
      </c>
    </row>
    <row r="6709" spans="1:15" x14ac:dyDescent="0.25">
      <c r="A6709" t="s">
        <v>11698</v>
      </c>
      <c r="B6709" t="s">
        <v>11765</v>
      </c>
      <c r="C6709" t="s">
        <v>923</v>
      </c>
      <c r="D6709" t="s">
        <v>3063</v>
      </c>
      <c r="E6709" t="s">
        <v>3053</v>
      </c>
      <c r="F6709" t="s">
        <v>670</v>
      </c>
      <c r="G6709" t="s">
        <v>671</v>
      </c>
      <c r="H6709" t="s">
        <v>12296</v>
      </c>
      <c r="I6709">
        <v>25</v>
      </c>
      <c r="J6709">
        <v>0</v>
      </c>
      <c r="K6709">
        <v>0</v>
      </c>
      <c r="L6709">
        <v>25</v>
      </c>
      <c r="M6709">
        <v>0</v>
      </c>
      <c r="N6709">
        <v>0</v>
      </c>
      <c r="O6709">
        <v>0</v>
      </c>
    </row>
    <row r="6710" spans="1:15" x14ac:dyDescent="0.25">
      <c r="A6710" t="s">
        <v>1542</v>
      </c>
      <c r="B6710" t="s">
        <v>3036</v>
      </c>
      <c r="C6710" t="s">
        <v>923</v>
      </c>
      <c r="D6710" t="s">
        <v>3063</v>
      </c>
      <c r="E6710" t="s">
        <v>3053</v>
      </c>
      <c r="F6710" t="s">
        <v>670</v>
      </c>
      <c r="G6710" t="s">
        <v>671</v>
      </c>
      <c r="H6710" t="s">
        <v>7531</v>
      </c>
      <c r="I6710">
        <v>30</v>
      </c>
      <c r="J6710">
        <v>30</v>
      </c>
      <c r="K6710">
        <v>0</v>
      </c>
      <c r="L6710">
        <v>0</v>
      </c>
      <c r="M6710">
        <v>0</v>
      </c>
      <c r="N6710">
        <v>0</v>
      </c>
      <c r="O6710">
        <v>0</v>
      </c>
    </row>
    <row r="6711" spans="1:15" x14ac:dyDescent="0.25">
      <c r="A6711" t="s">
        <v>1069</v>
      </c>
      <c r="B6711" t="s">
        <v>2001</v>
      </c>
      <c r="C6711" t="s">
        <v>927</v>
      </c>
      <c r="D6711" t="s">
        <v>3052</v>
      </c>
      <c r="E6711" t="s">
        <v>3053</v>
      </c>
      <c r="F6711" t="s">
        <v>670</v>
      </c>
      <c r="G6711" t="s">
        <v>671</v>
      </c>
      <c r="H6711" t="s">
        <v>7532</v>
      </c>
      <c r="I6711">
        <v>2131</v>
      </c>
      <c r="J6711">
        <v>1772</v>
      </c>
      <c r="K6711">
        <v>0</v>
      </c>
      <c r="L6711">
        <v>32</v>
      </c>
      <c r="M6711">
        <v>256</v>
      </c>
      <c r="N6711">
        <v>0</v>
      </c>
      <c r="O6711">
        <v>71</v>
      </c>
    </row>
    <row r="6712" spans="1:15" x14ac:dyDescent="0.25">
      <c r="A6712" t="s">
        <v>1072</v>
      </c>
      <c r="B6712" t="s">
        <v>2907</v>
      </c>
      <c r="C6712" t="s">
        <v>927</v>
      </c>
      <c r="D6712" t="s">
        <v>3052</v>
      </c>
      <c r="E6712" t="s">
        <v>3053</v>
      </c>
      <c r="F6712" t="s">
        <v>670</v>
      </c>
      <c r="G6712" t="s">
        <v>671</v>
      </c>
      <c r="H6712" t="s">
        <v>7533</v>
      </c>
      <c r="I6712">
        <v>2212</v>
      </c>
      <c r="J6712">
        <v>2061</v>
      </c>
      <c r="K6712">
        <v>0</v>
      </c>
      <c r="L6712">
        <v>111</v>
      </c>
      <c r="M6712">
        <v>19</v>
      </c>
      <c r="N6712">
        <v>2</v>
      </c>
      <c r="O6712">
        <v>21</v>
      </c>
    </row>
    <row r="6713" spans="1:15" x14ac:dyDescent="0.25">
      <c r="A6713" t="s">
        <v>1078</v>
      </c>
      <c r="B6713" t="s">
        <v>1950</v>
      </c>
      <c r="C6713" t="s">
        <v>923</v>
      </c>
      <c r="D6713" t="s">
        <v>3063</v>
      </c>
      <c r="E6713" t="s">
        <v>3053</v>
      </c>
      <c r="F6713" t="s">
        <v>670</v>
      </c>
      <c r="G6713" t="s">
        <v>671</v>
      </c>
      <c r="H6713" t="s">
        <v>7534</v>
      </c>
      <c r="I6713">
        <v>6</v>
      </c>
      <c r="J6713">
        <v>0</v>
      </c>
      <c r="K6713">
        <v>0</v>
      </c>
      <c r="L6713">
        <v>6</v>
      </c>
      <c r="M6713">
        <v>0</v>
      </c>
      <c r="N6713">
        <v>0</v>
      </c>
      <c r="O6713">
        <v>0</v>
      </c>
    </row>
    <row r="6714" spans="1:15" x14ac:dyDescent="0.25">
      <c r="A6714" t="s">
        <v>1083</v>
      </c>
      <c r="B6714" t="s">
        <v>2757</v>
      </c>
      <c r="C6714" t="s">
        <v>927</v>
      </c>
      <c r="D6714" t="s">
        <v>3052</v>
      </c>
      <c r="E6714" t="s">
        <v>3053</v>
      </c>
      <c r="F6714" t="s">
        <v>670</v>
      </c>
      <c r="G6714" t="s">
        <v>671</v>
      </c>
      <c r="H6714" t="s">
        <v>7535</v>
      </c>
      <c r="I6714">
        <v>65</v>
      </c>
      <c r="J6714">
        <v>65</v>
      </c>
      <c r="K6714">
        <v>0</v>
      </c>
      <c r="L6714">
        <v>0</v>
      </c>
      <c r="M6714">
        <v>0</v>
      </c>
      <c r="N6714">
        <v>0</v>
      </c>
      <c r="O6714">
        <v>0</v>
      </c>
    </row>
    <row r="6715" spans="1:15" x14ac:dyDescent="0.25">
      <c r="A6715" t="s">
        <v>926</v>
      </c>
      <c r="B6715" t="s">
        <v>2923</v>
      </c>
      <c r="C6715" t="s">
        <v>927</v>
      </c>
      <c r="D6715" t="s">
        <v>3052</v>
      </c>
      <c r="E6715" t="s">
        <v>3053</v>
      </c>
      <c r="F6715" t="s">
        <v>672</v>
      </c>
      <c r="G6715" t="s">
        <v>673</v>
      </c>
      <c r="H6715" t="s">
        <v>7536</v>
      </c>
      <c r="I6715">
        <v>2</v>
      </c>
      <c r="J6715">
        <v>0</v>
      </c>
      <c r="K6715">
        <v>0</v>
      </c>
      <c r="L6715">
        <v>2</v>
      </c>
      <c r="M6715">
        <v>0</v>
      </c>
      <c r="N6715">
        <v>0</v>
      </c>
      <c r="O6715">
        <v>0</v>
      </c>
    </row>
    <row r="6716" spans="1:15" x14ac:dyDescent="0.25">
      <c r="A6716" t="s">
        <v>929</v>
      </c>
      <c r="B6716" t="s">
        <v>2999</v>
      </c>
      <c r="C6716" t="s">
        <v>927</v>
      </c>
      <c r="D6716" t="s">
        <v>3052</v>
      </c>
      <c r="E6716" t="s">
        <v>3053</v>
      </c>
      <c r="F6716" t="s">
        <v>672</v>
      </c>
      <c r="G6716" t="s">
        <v>673</v>
      </c>
      <c r="H6716" t="s">
        <v>7537</v>
      </c>
      <c r="I6716">
        <v>20</v>
      </c>
      <c r="J6716">
        <v>0</v>
      </c>
      <c r="K6716">
        <v>0</v>
      </c>
      <c r="L6716">
        <v>0</v>
      </c>
      <c r="M6716">
        <v>20</v>
      </c>
      <c r="N6716">
        <v>0</v>
      </c>
      <c r="O6716">
        <v>0</v>
      </c>
    </row>
    <row r="6717" spans="1:15" x14ac:dyDescent="0.25">
      <c r="A6717" t="s">
        <v>1100</v>
      </c>
      <c r="B6717" t="s">
        <v>2855</v>
      </c>
      <c r="C6717" t="s">
        <v>927</v>
      </c>
      <c r="D6717" t="s">
        <v>3052</v>
      </c>
      <c r="E6717" t="s">
        <v>3053</v>
      </c>
      <c r="F6717" t="s">
        <v>672</v>
      </c>
      <c r="G6717" t="s">
        <v>673</v>
      </c>
      <c r="H6717" t="s">
        <v>7538</v>
      </c>
      <c r="I6717">
        <v>339</v>
      </c>
      <c r="J6717">
        <v>313</v>
      </c>
      <c r="K6717">
        <v>0</v>
      </c>
      <c r="L6717">
        <v>0</v>
      </c>
      <c r="M6717">
        <v>0</v>
      </c>
      <c r="N6717">
        <v>0</v>
      </c>
      <c r="O6717">
        <v>26</v>
      </c>
    </row>
    <row r="6718" spans="1:15" x14ac:dyDescent="0.25">
      <c r="A6718" t="s">
        <v>933</v>
      </c>
      <c r="B6718" t="s">
        <v>2106</v>
      </c>
      <c r="C6718" t="s">
        <v>927</v>
      </c>
      <c r="D6718" t="s">
        <v>3052</v>
      </c>
      <c r="E6718" t="s">
        <v>3053</v>
      </c>
      <c r="F6718" t="s">
        <v>672</v>
      </c>
      <c r="G6718" t="s">
        <v>673</v>
      </c>
      <c r="H6718" t="s">
        <v>7539</v>
      </c>
      <c r="I6718">
        <v>26</v>
      </c>
      <c r="J6718">
        <v>0</v>
      </c>
      <c r="K6718">
        <v>0</v>
      </c>
      <c r="L6718">
        <v>0</v>
      </c>
      <c r="M6718">
        <v>0</v>
      </c>
      <c r="N6718">
        <v>0</v>
      </c>
      <c r="O6718">
        <v>26</v>
      </c>
    </row>
    <row r="6719" spans="1:15" x14ac:dyDescent="0.25">
      <c r="A6719" t="s">
        <v>1110</v>
      </c>
      <c r="B6719" t="s">
        <v>2888</v>
      </c>
      <c r="C6719" t="s">
        <v>927</v>
      </c>
      <c r="D6719" t="s">
        <v>3052</v>
      </c>
      <c r="E6719" t="s">
        <v>3053</v>
      </c>
      <c r="F6719" t="s">
        <v>672</v>
      </c>
      <c r="G6719" t="s">
        <v>673</v>
      </c>
      <c r="H6719" t="s">
        <v>15112</v>
      </c>
      <c r="I6719">
        <v>16</v>
      </c>
      <c r="J6719">
        <v>13</v>
      </c>
      <c r="K6719">
        <v>0</v>
      </c>
      <c r="L6719">
        <v>0</v>
      </c>
      <c r="M6719">
        <v>0</v>
      </c>
      <c r="N6719">
        <v>0</v>
      </c>
      <c r="O6719">
        <v>3</v>
      </c>
    </row>
    <row r="6720" spans="1:15" x14ac:dyDescent="0.25">
      <c r="A6720" t="s">
        <v>935</v>
      </c>
      <c r="B6720" t="s">
        <v>1960</v>
      </c>
      <c r="C6720" t="s">
        <v>923</v>
      </c>
      <c r="D6720" t="s">
        <v>3063</v>
      </c>
      <c r="E6720" t="s">
        <v>3053</v>
      </c>
      <c r="F6720" t="s">
        <v>672</v>
      </c>
      <c r="G6720" t="s">
        <v>673</v>
      </c>
      <c r="H6720" t="s">
        <v>7540</v>
      </c>
      <c r="I6720">
        <v>3</v>
      </c>
      <c r="J6720">
        <v>0</v>
      </c>
      <c r="K6720">
        <v>0</v>
      </c>
      <c r="L6720">
        <v>3</v>
      </c>
      <c r="M6720">
        <v>0</v>
      </c>
      <c r="N6720">
        <v>0</v>
      </c>
      <c r="O6720">
        <v>0</v>
      </c>
    </row>
    <row r="6721" spans="1:15" x14ac:dyDescent="0.25">
      <c r="A6721" t="s">
        <v>1111</v>
      </c>
      <c r="B6721" t="s">
        <v>2795</v>
      </c>
      <c r="C6721" t="s">
        <v>927</v>
      </c>
      <c r="D6721" t="s">
        <v>3052</v>
      </c>
      <c r="E6721" t="s">
        <v>3053</v>
      </c>
      <c r="F6721" t="s">
        <v>672</v>
      </c>
      <c r="G6721" t="s">
        <v>673</v>
      </c>
      <c r="H6721" t="s">
        <v>7541</v>
      </c>
      <c r="I6721">
        <v>55</v>
      </c>
      <c r="J6721">
        <v>18</v>
      </c>
      <c r="K6721">
        <v>0</v>
      </c>
      <c r="L6721">
        <v>4</v>
      </c>
      <c r="M6721">
        <v>20</v>
      </c>
      <c r="N6721">
        <v>0</v>
      </c>
      <c r="O6721">
        <v>13</v>
      </c>
    </row>
    <row r="6722" spans="1:15" x14ac:dyDescent="0.25">
      <c r="A6722" t="s">
        <v>1008</v>
      </c>
      <c r="B6722" t="s">
        <v>2928</v>
      </c>
      <c r="C6722" t="s">
        <v>927</v>
      </c>
      <c r="D6722" t="s">
        <v>3052</v>
      </c>
      <c r="E6722" t="s">
        <v>3053</v>
      </c>
      <c r="F6722" t="s">
        <v>672</v>
      </c>
      <c r="G6722" t="s">
        <v>673</v>
      </c>
      <c r="H6722" t="s">
        <v>7542</v>
      </c>
      <c r="I6722">
        <v>19</v>
      </c>
      <c r="J6722">
        <v>19</v>
      </c>
      <c r="K6722">
        <v>0</v>
      </c>
      <c r="L6722">
        <v>0</v>
      </c>
      <c r="M6722">
        <v>0</v>
      </c>
      <c r="N6722">
        <v>0</v>
      </c>
      <c r="O6722">
        <v>0</v>
      </c>
    </row>
    <row r="6723" spans="1:15" x14ac:dyDescent="0.25">
      <c r="A6723" t="s">
        <v>940</v>
      </c>
      <c r="B6723" t="s">
        <v>2647</v>
      </c>
      <c r="C6723" t="s">
        <v>927</v>
      </c>
      <c r="D6723" t="s">
        <v>3052</v>
      </c>
      <c r="E6723" t="s">
        <v>3053</v>
      </c>
      <c r="F6723" t="s">
        <v>672</v>
      </c>
      <c r="G6723" t="s">
        <v>673</v>
      </c>
      <c r="H6723" t="s">
        <v>7543</v>
      </c>
      <c r="I6723">
        <v>34</v>
      </c>
      <c r="J6723">
        <v>0</v>
      </c>
      <c r="K6723">
        <v>0</v>
      </c>
      <c r="L6723">
        <v>0</v>
      </c>
      <c r="M6723">
        <v>34</v>
      </c>
      <c r="N6723">
        <v>0</v>
      </c>
      <c r="O6723">
        <v>0</v>
      </c>
    </row>
    <row r="6724" spans="1:15" x14ac:dyDescent="0.25">
      <c r="A6724" t="s">
        <v>1126</v>
      </c>
      <c r="B6724" t="s">
        <v>2130</v>
      </c>
      <c r="C6724" t="s">
        <v>927</v>
      </c>
      <c r="D6724" t="s">
        <v>3052</v>
      </c>
      <c r="E6724" t="s">
        <v>3053</v>
      </c>
      <c r="F6724" t="s">
        <v>672</v>
      </c>
      <c r="G6724" t="s">
        <v>673</v>
      </c>
      <c r="H6724" t="s">
        <v>11275</v>
      </c>
      <c r="I6724">
        <v>34</v>
      </c>
      <c r="J6724">
        <v>0</v>
      </c>
      <c r="K6724">
        <v>0</v>
      </c>
      <c r="L6724">
        <v>0</v>
      </c>
      <c r="M6724">
        <v>0</v>
      </c>
      <c r="N6724">
        <v>0</v>
      </c>
      <c r="O6724">
        <v>34</v>
      </c>
    </row>
    <row r="6725" spans="1:15" x14ac:dyDescent="0.25">
      <c r="A6725" t="s">
        <v>1025</v>
      </c>
      <c r="B6725" t="s">
        <v>2893</v>
      </c>
      <c r="C6725" t="s">
        <v>927</v>
      </c>
      <c r="D6725" t="s">
        <v>3052</v>
      </c>
      <c r="E6725" t="s">
        <v>3053</v>
      </c>
      <c r="F6725" t="s">
        <v>672</v>
      </c>
      <c r="G6725" t="s">
        <v>673</v>
      </c>
      <c r="H6725" t="s">
        <v>7544</v>
      </c>
      <c r="I6725">
        <v>1</v>
      </c>
      <c r="J6725">
        <v>0</v>
      </c>
      <c r="K6725">
        <v>0</v>
      </c>
      <c r="L6725">
        <v>0</v>
      </c>
      <c r="M6725">
        <v>0</v>
      </c>
      <c r="N6725">
        <v>0</v>
      </c>
      <c r="O6725">
        <v>1</v>
      </c>
    </row>
    <row r="6726" spans="1:15" x14ac:dyDescent="0.25">
      <c r="A6726" t="s">
        <v>10681</v>
      </c>
      <c r="B6726" t="s">
        <v>10680</v>
      </c>
      <c r="C6726" t="s">
        <v>927</v>
      </c>
      <c r="D6726" t="s">
        <v>3052</v>
      </c>
      <c r="E6726" t="s">
        <v>3053</v>
      </c>
      <c r="F6726" t="s">
        <v>672</v>
      </c>
      <c r="G6726" t="s">
        <v>673</v>
      </c>
      <c r="H6726" t="s">
        <v>15113</v>
      </c>
      <c r="I6726">
        <v>26</v>
      </c>
      <c r="J6726">
        <v>0</v>
      </c>
      <c r="K6726">
        <v>0</v>
      </c>
      <c r="L6726">
        <v>0</v>
      </c>
      <c r="M6726">
        <v>0</v>
      </c>
      <c r="N6726">
        <v>0</v>
      </c>
      <c r="O6726">
        <v>26</v>
      </c>
    </row>
    <row r="6727" spans="1:15" x14ac:dyDescent="0.25">
      <c r="A6727" t="s">
        <v>945</v>
      </c>
      <c r="B6727" t="s">
        <v>2668</v>
      </c>
      <c r="C6727" t="s">
        <v>927</v>
      </c>
      <c r="D6727" t="s">
        <v>3052</v>
      </c>
      <c r="E6727" t="s">
        <v>3053</v>
      </c>
      <c r="F6727" t="s">
        <v>672</v>
      </c>
      <c r="G6727" t="s">
        <v>673</v>
      </c>
      <c r="H6727" t="s">
        <v>7545</v>
      </c>
      <c r="I6727">
        <v>196</v>
      </c>
      <c r="J6727">
        <v>173</v>
      </c>
      <c r="K6727">
        <v>0</v>
      </c>
      <c r="L6727">
        <v>0</v>
      </c>
      <c r="M6727">
        <v>0</v>
      </c>
      <c r="N6727">
        <v>0</v>
      </c>
      <c r="O6727">
        <v>23</v>
      </c>
    </row>
    <row r="6728" spans="1:15" x14ac:dyDescent="0.25">
      <c r="A6728" t="s">
        <v>1134</v>
      </c>
      <c r="B6728" t="s">
        <v>2118</v>
      </c>
      <c r="C6728" t="s">
        <v>927</v>
      </c>
      <c r="D6728" t="s">
        <v>3052</v>
      </c>
      <c r="E6728" t="s">
        <v>3053</v>
      </c>
      <c r="F6728" t="s">
        <v>672</v>
      </c>
      <c r="G6728" t="s">
        <v>673</v>
      </c>
      <c r="H6728" t="s">
        <v>7546</v>
      </c>
      <c r="I6728">
        <v>652</v>
      </c>
      <c r="J6728">
        <v>372</v>
      </c>
      <c r="K6728">
        <v>0</v>
      </c>
      <c r="L6728">
        <v>17</v>
      </c>
      <c r="M6728">
        <v>146</v>
      </c>
      <c r="N6728">
        <v>4</v>
      </c>
      <c r="O6728">
        <v>117</v>
      </c>
    </row>
    <row r="6729" spans="1:15" x14ac:dyDescent="0.25">
      <c r="A6729" t="s">
        <v>951</v>
      </c>
      <c r="B6729" t="s">
        <v>2680</v>
      </c>
      <c r="C6729" t="s">
        <v>927</v>
      </c>
      <c r="D6729" t="s">
        <v>3052</v>
      </c>
      <c r="E6729" t="s">
        <v>3053</v>
      </c>
      <c r="F6729" t="s">
        <v>672</v>
      </c>
      <c r="G6729" t="s">
        <v>673</v>
      </c>
      <c r="H6729" t="s">
        <v>7547</v>
      </c>
      <c r="I6729">
        <v>2</v>
      </c>
      <c r="J6729">
        <v>2</v>
      </c>
      <c r="K6729">
        <v>0</v>
      </c>
      <c r="L6729">
        <v>0</v>
      </c>
      <c r="M6729">
        <v>0</v>
      </c>
      <c r="N6729">
        <v>0</v>
      </c>
      <c r="O6729">
        <v>0</v>
      </c>
    </row>
    <row r="6730" spans="1:15" x14ac:dyDescent="0.25">
      <c r="A6730" t="s">
        <v>1530</v>
      </c>
      <c r="B6730" t="s">
        <v>1934</v>
      </c>
      <c r="C6730" t="s">
        <v>927</v>
      </c>
      <c r="D6730" t="s">
        <v>3052</v>
      </c>
      <c r="E6730" t="s">
        <v>3053</v>
      </c>
      <c r="F6730" t="s">
        <v>672</v>
      </c>
      <c r="G6730" t="s">
        <v>673</v>
      </c>
      <c r="H6730" t="s">
        <v>15114</v>
      </c>
      <c r="I6730">
        <v>46</v>
      </c>
      <c r="J6730">
        <v>0</v>
      </c>
      <c r="K6730">
        <v>0</v>
      </c>
      <c r="L6730">
        <v>0</v>
      </c>
      <c r="M6730">
        <v>0</v>
      </c>
      <c r="N6730">
        <v>0</v>
      </c>
      <c r="O6730">
        <v>46</v>
      </c>
    </row>
    <row r="6731" spans="1:15" x14ac:dyDescent="0.25">
      <c r="A6731" t="s">
        <v>11720</v>
      </c>
      <c r="B6731" t="s">
        <v>10718</v>
      </c>
      <c r="C6731" t="s">
        <v>927</v>
      </c>
      <c r="D6731" t="s">
        <v>3052</v>
      </c>
      <c r="E6731" t="s">
        <v>3053</v>
      </c>
      <c r="F6731" t="s">
        <v>672</v>
      </c>
      <c r="G6731" t="s">
        <v>673</v>
      </c>
      <c r="H6731" t="s">
        <v>15115</v>
      </c>
      <c r="I6731">
        <v>2</v>
      </c>
      <c r="J6731">
        <v>0</v>
      </c>
      <c r="K6731">
        <v>0</v>
      </c>
      <c r="L6731">
        <v>0</v>
      </c>
      <c r="M6731">
        <v>0</v>
      </c>
      <c r="N6731">
        <v>0</v>
      </c>
      <c r="O6731">
        <v>2</v>
      </c>
    </row>
    <row r="6732" spans="1:15" x14ac:dyDescent="0.25">
      <c r="A6732" t="s">
        <v>1057</v>
      </c>
      <c r="B6732" t="s">
        <v>1972</v>
      </c>
      <c r="C6732" t="s">
        <v>927</v>
      </c>
      <c r="D6732" t="s">
        <v>3052</v>
      </c>
      <c r="E6732" t="s">
        <v>3053</v>
      </c>
      <c r="F6732" t="s">
        <v>672</v>
      </c>
      <c r="G6732" t="s">
        <v>673</v>
      </c>
      <c r="H6732" t="s">
        <v>7548</v>
      </c>
      <c r="I6732">
        <v>389</v>
      </c>
      <c r="J6732">
        <v>284</v>
      </c>
      <c r="K6732">
        <v>0</v>
      </c>
      <c r="L6732">
        <v>0</v>
      </c>
      <c r="M6732">
        <v>0</v>
      </c>
      <c r="N6732">
        <v>0</v>
      </c>
      <c r="O6732">
        <v>105</v>
      </c>
    </row>
    <row r="6733" spans="1:15" x14ac:dyDescent="0.25">
      <c r="A6733" t="s">
        <v>955</v>
      </c>
      <c r="B6733" t="s">
        <v>2660</v>
      </c>
      <c r="C6733" t="s">
        <v>927</v>
      </c>
      <c r="D6733" t="s">
        <v>3052</v>
      </c>
      <c r="E6733" t="s">
        <v>3053</v>
      </c>
      <c r="F6733" t="s">
        <v>672</v>
      </c>
      <c r="G6733" t="s">
        <v>673</v>
      </c>
      <c r="H6733" t="s">
        <v>7549</v>
      </c>
      <c r="I6733">
        <v>1800</v>
      </c>
      <c r="J6733">
        <v>1347</v>
      </c>
      <c r="K6733">
        <v>0</v>
      </c>
      <c r="L6733">
        <v>0</v>
      </c>
      <c r="M6733">
        <v>449</v>
      </c>
      <c r="N6733">
        <v>2</v>
      </c>
      <c r="O6733">
        <v>4</v>
      </c>
    </row>
    <row r="6734" spans="1:15" x14ac:dyDescent="0.25">
      <c r="A6734" t="s">
        <v>11663</v>
      </c>
      <c r="B6734" t="s">
        <v>11768</v>
      </c>
      <c r="C6734" t="s">
        <v>927</v>
      </c>
      <c r="D6734" t="s">
        <v>3052</v>
      </c>
      <c r="E6734" t="s">
        <v>3053</v>
      </c>
      <c r="F6734" t="s">
        <v>672</v>
      </c>
      <c r="G6734" t="s">
        <v>673</v>
      </c>
      <c r="H6734" t="s">
        <v>12297</v>
      </c>
      <c r="I6734">
        <v>1</v>
      </c>
      <c r="J6734">
        <v>0</v>
      </c>
      <c r="K6734">
        <v>0</v>
      </c>
      <c r="L6734">
        <v>0</v>
      </c>
      <c r="M6734">
        <v>0</v>
      </c>
      <c r="N6734">
        <v>0</v>
      </c>
      <c r="O6734">
        <v>1</v>
      </c>
    </row>
    <row r="6735" spans="1:15" x14ac:dyDescent="0.25">
      <c r="A6735" t="s">
        <v>1159</v>
      </c>
      <c r="B6735" t="s">
        <v>2829</v>
      </c>
      <c r="C6735" t="s">
        <v>927</v>
      </c>
      <c r="D6735" t="s">
        <v>3052</v>
      </c>
      <c r="E6735" t="s">
        <v>3053</v>
      </c>
      <c r="F6735" t="s">
        <v>672</v>
      </c>
      <c r="G6735" t="s">
        <v>673</v>
      </c>
      <c r="H6735" t="s">
        <v>7550</v>
      </c>
      <c r="I6735">
        <v>132</v>
      </c>
      <c r="J6735">
        <v>79</v>
      </c>
      <c r="K6735">
        <v>0</v>
      </c>
      <c r="L6735">
        <v>23</v>
      </c>
      <c r="M6735">
        <v>30</v>
      </c>
      <c r="N6735">
        <v>1</v>
      </c>
      <c r="O6735">
        <v>0</v>
      </c>
    </row>
    <row r="6736" spans="1:15" x14ac:dyDescent="0.25">
      <c r="A6736" t="s">
        <v>929</v>
      </c>
      <c r="B6736" t="s">
        <v>2999</v>
      </c>
      <c r="C6736" t="s">
        <v>927</v>
      </c>
      <c r="D6736" t="s">
        <v>3052</v>
      </c>
      <c r="E6736" t="s">
        <v>3053</v>
      </c>
      <c r="F6736" t="s">
        <v>674</v>
      </c>
      <c r="G6736" t="s">
        <v>675</v>
      </c>
      <c r="H6736" t="s">
        <v>7551</v>
      </c>
      <c r="I6736">
        <v>71</v>
      </c>
      <c r="J6736">
        <v>0</v>
      </c>
      <c r="K6736">
        <v>0</v>
      </c>
      <c r="L6736">
        <v>0</v>
      </c>
      <c r="M6736">
        <v>71</v>
      </c>
      <c r="N6736">
        <v>0</v>
      </c>
      <c r="O6736">
        <v>0</v>
      </c>
    </row>
    <row r="6737" spans="1:15" x14ac:dyDescent="0.25">
      <c r="A6737" t="s">
        <v>1463</v>
      </c>
      <c r="B6737" t="s">
        <v>2846</v>
      </c>
      <c r="C6737" t="s">
        <v>927</v>
      </c>
      <c r="D6737" t="s">
        <v>3052</v>
      </c>
      <c r="E6737" t="s">
        <v>3053</v>
      </c>
      <c r="F6737" t="s">
        <v>674</v>
      </c>
      <c r="G6737" t="s">
        <v>675</v>
      </c>
      <c r="H6737" t="s">
        <v>7552</v>
      </c>
      <c r="I6737">
        <v>121</v>
      </c>
      <c r="J6737">
        <v>119</v>
      </c>
      <c r="K6737">
        <v>0</v>
      </c>
      <c r="L6737">
        <v>2</v>
      </c>
      <c r="M6737">
        <v>0</v>
      </c>
      <c r="N6737">
        <v>0</v>
      </c>
      <c r="O6737">
        <v>0</v>
      </c>
    </row>
    <row r="6738" spans="1:15" x14ac:dyDescent="0.25">
      <c r="A6738" t="s">
        <v>985</v>
      </c>
      <c r="B6738" t="s">
        <v>1964</v>
      </c>
      <c r="C6738" t="s">
        <v>923</v>
      </c>
      <c r="D6738" t="s">
        <v>3063</v>
      </c>
      <c r="E6738" t="s">
        <v>3053</v>
      </c>
      <c r="F6738" t="s">
        <v>674</v>
      </c>
      <c r="G6738" t="s">
        <v>675</v>
      </c>
      <c r="H6738" t="s">
        <v>7553</v>
      </c>
      <c r="I6738">
        <v>14</v>
      </c>
      <c r="J6738">
        <v>0</v>
      </c>
      <c r="K6738">
        <v>0</v>
      </c>
      <c r="L6738">
        <v>14</v>
      </c>
      <c r="M6738">
        <v>0</v>
      </c>
      <c r="N6738">
        <v>0</v>
      </c>
      <c r="O6738">
        <v>0</v>
      </c>
    </row>
    <row r="6739" spans="1:15" x14ac:dyDescent="0.25">
      <c r="A6739" t="s">
        <v>1474</v>
      </c>
      <c r="B6739" t="s">
        <v>2038</v>
      </c>
      <c r="C6739" t="s">
        <v>923</v>
      </c>
      <c r="D6739" t="s">
        <v>3063</v>
      </c>
      <c r="E6739" t="s">
        <v>3053</v>
      </c>
      <c r="F6739" t="s">
        <v>674</v>
      </c>
      <c r="G6739" t="s">
        <v>675</v>
      </c>
      <c r="H6739" t="s">
        <v>7554</v>
      </c>
      <c r="I6739">
        <v>4</v>
      </c>
      <c r="J6739">
        <v>4</v>
      </c>
      <c r="K6739">
        <v>0</v>
      </c>
      <c r="L6739">
        <v>0</v>
      </c>
      <c r="M6739">
        <v>0</v>
      </c>
      <c r="N6739">
        <v>1</v>
      </c>
      <c r="O6739">
        <v>0</v>
      </c>
    </row>
    <row r="6740" spans="1:15" x14ac:dyDescent="0.25">
      <c r="A6740" t="s">
        <v>935</v>
      </c>
      <c r="B6740" t="s">
        <v>1960</v>
      </c>
      <c r="C6740" t="s">
        <v>923</v>
      </c>
      <c r="D6740" t="s">
        <v>3063</v>
      </c>
      <c r="E6740" t="s">
        <v>3053</v>
      </c>
      <c r="F6740" t="s">
        <v>674</v>
      </c>
      <c r="G6740" t="s">
        <v>675</v>
      </c>
      <c r="H6740" t="s">
        <v>7555</v>
      </c>
      <c r="I6740">
        <v>7</v>
      </c>
      <c r="J6740">
        <v>0</v>
      </c>
      <c r="K6740">
        <v>0</v>
      </c>
      <c r="L6740">
        <v>7</v>
      </c>
      <c r="M6740">
        <v>0</v>
      </c>
      <c r="N6740">
        <v>0</v>
      </c>
      <c r="O6740">
        <v>0</v>
      </c>
    </row>
    <row r="6741" spans="1:15" x14ac:dyDescent="0.25">
      <c r="A6741" t="s">
        <v>1006</v>
      </c>
      <c r="B6741" t="s">
        <v>2724</v>
      </c>
      <c r="C6741" t="s">
        <v>927</v>
      </c>
      <c r="D6741" t="s">
        <v>3052</v>
      </c>
      <c r="E6741" t="s">
        <v>3053</v>
      </c>
      <c r="F6741" t="s">
        <v>674</v>
      </c>
      <c r="G6741" t="s">
        <v>675</v>
      </c>
      <c r="H6741" t="s">
        <v>7556</v>
      </c>
      <c r="I6741">
        <v>57</v>
      </c>
      <c r="J6741">
        <v>45</v>
      </c>
      <c r="K6741">
        <v>0</v>
      </c>
      <c r="L6741">
        <v>0</v>
      </c>
      <c r="M6741">
        <v>0</v>
      </c>
      <c r="N6741">
        <v>0</v>
      </c>
      <c r="O6741">
        <v>12</v>
      </c>
    </row>
    <row r="6742" spans="1:15" x14ac:dyDescent="0.25">
      <c r="A6742" t="s">
        <v>1009</v>
      </c>
      <c r="B6742" t="s">
        <v>1958</v>
      </c>
      <c r="C6742" t="s">
        <v>923</v>
      </c>
      <c r="D6742" t="s">
        <v>3063</v>
      </c>
      <c r="E6742" t="s">
        <v>3053</v>
      </c>
      <c r="F6742" t="s">
        <v>674</v>
      </c>
      <c r="G6742" t="s">
        <v>675</v>
      </c>
      <c r="H6742" t="s">
        <v>7557</v>
      </c>
      <c r="I6742">
        <v>6</v>
      </c>
      <c r="J6742">
        <v>0</v>
      </c>
      <c r="K6742">
        <v>0</v>
      </c>
      <c r="L6742">
        <v>6</v>
      </c>
      <c r="M6742">
        <v>0</v>
      </c>
      <c r="N6742">
        <v>0</v>
      </c>
      <c r="O6742">
        <v>0</v>
      </c>
    </row>
    <row r="6743" spans="1:15" x14ac:dyDescent="0.25">
      <c r="A6743" t="s">
        <v>937</v>
      </c>
      <c r="B6743" t="s">
        <v>1962</v>
      </c>
      <c r="C6743" t="s">
        <v>927</v>
      </c>
      <c r="D6743" t="s">
        <v>3052</v>
      </c>
      <c r="E6743" t="s">
        <v>3053</v>
      </c>
      <c r="F6743" t="s">
        <v>674</v>
      </c>
      <c r="G6743" t="s">
        <v>675</v>
      </c>
      <c r="H6743" t="s">
        <v>15116</v>
      </c>
      <c r="I6743">
        <v>9</v>
      </c>
      <c r="J6743">
        <v>0</v>
      </c>
      <c r="K6743">
        <v>0</v>
      </c>
      <c r="L6743">
        <v>0</v>
      </c>
      <c r="M6743">
        <v>0</v>
      </c>
      <c r="N6743">
        <v>0</v>
      </c>
      <c r="O6743">
        <v>9</v>
      </c>
    </row>
    <row r="6744" spans="1:15" x14ac:dyDescent="0.25">
      <c r="A6744" t="s">
        <v>940</v>
      </c>
      <c r="B6744" t="s">
        <v>2647</v>
      </c>
      <c r="C6744" t="s">
        <v>927</v>
      </c>
      <c r="D6744" t="s">
        <v>3052</v>
      </c>
      <c r="E6744" t="s">
        <v>3053</v>
      </c>
      <c r="F6744" t="s">
        <v>674</v>
      </c>
      <c r="G6744" t="s">
        <v>675</v>
      </c>
      <c r="H6744" t="s">
        <v>7558</v>
      </c>
      <c r="I6744">
        <v>99</v>
      </c>
      <c r="J6744">
        <v>0</v>
      </c>
      <c r="K6744">
        <v>0</v>
      </c>
      <c r="L6744">
        <v>0</v>
      </c>
      <c r="M6744">
        <v>99</v>
      </c>
      <c r="N6744">
        <v>0</v>
      </c>
      <c r="O6744">
        <v>0</v>
      </c>
    </row>
    <row r="6745" spans="1:15" x14ac:dyDescent="0.25">
      <c r="A6745" t="s">
        <v>1495</v>
      </c>
      <c r="B6745" t="s">
        <v>2648</v>
      </c>
      <c r="C6745" t="s">
        <v>927</v>
      </c>
      <c r="D6745" t="s">
        <v>3052</v>
      </c>
      <c r="E6745" t="s">
        <v>3053</v>
      </c>
      <c r="F6745" t="s">
        <v>674</v>
      </c>
      <c r="G6745" t="s">
        <v>675</v>
      </c>
      <c r="H6745" t="s">
        <v>7559</v>
      </c>
      <c r="I6745">
        <v>5</v>
      </c>
      <c r="J6745">
        <v>5</v>
      </c>
      <c r="K6745">
        <v>0</v>
      </c>
      <c r="L6745">
        <v>0</v>
      </c>
      <c r="M6745">
        <v>0</v>
      </c>
      <c r="N6745">
        <v>0</v>
      </c>
      <c r="O6745">
        <v>0</v>
      </c>
    </row>
    <row r="6746" spans="1:15" x14ac:dyDescent="0.25">
      <c r="A6746" t="s">
        <v>9819</v>
      </c>
      <c r="B6746" t="s">
        <v>2916</v>
      </c>
      <c r="C6746" t="s">
        <v>927</v>
      </c>
      <c r="D6746" t="s">
        <v>3052</v>
      </c>
      <c r="E6746" t="s">
        <v>3053</v>
      </c>
      <c r="F6746" t="s">
        <v>674</v>
      </c>
      <c r="G6746" t="s">
        <v>675</v>
      </c>
      <c r="H6746" t="s">
        <v>15117</v>
      </c>
      <c r="I6746">
        <v>37</v>
      </c>
      <c r="J6746">
        <v>37</v>
      </c>
      <c r="K6746">
        <v>0</v>
      </c>
      <c r="L6746">
        <v>0</v>
      </c>
      <c r="M6746">
        <v>0</v>
      </c>
      <c r="N6746">
        <v>0</v>
      </c>
      <c r="O6746">
        <v>0</v>
      </c>
    </row>
    <row r="6747" spans="1:15" x14ac:dyDescent="0.25">
      <c r="A6747" t="s">
        <v>1018</v>
      </c>
      <c r="B6747" t="s">
        <v>1980</v>
      </c>
      <c r="C6747" t="s">
        <v>923</v>
      </c>
      <c r="D6747" t="s">
        <v>3063</v>
      </c>
      <c r="E6747" t="s">
        <v>3053</v>
      </c>
      <c r="F6747" t="s">
        <v>674</v>
      </c>
      <c r="G6747" t="s">
        <v>675</v>
      </c>
      <c r="H6747" t="s">
        <v>7560</v>
      </c>
      <c r="I6747">
        <v>3</v>
      </c>
      <c r="J6747">
        <v>0</v>
      </c>
      <c r="K6747">
        <v>0</v>
      </c>
      <c r="L6747">
        <v>3</v>
      </c>
      <c r="M6747">
        <v>0</v>
      </c>
      <c r="N6747">
        <v>0</v>
      </c>
      <c r="O6747">
        <v>0</v>
      </c>
    </row>
    <row r="6748" spans="1:15" x14ac:dyDescent="0.25">
      <c r="A6748" t="s">
        <v>1516</v>
      </c>
      <c r="B6748" t="s">
        <v>2098</v>
      </c>
      <c r="C6748" t="s">
        <v>927</v>
      </c>
      <c r="D6748" t="s">
        <v>3052</v>
      </c>
      <c r="E6748" t="s">
        <v>3053</v>
      </c>
      <c r="F6748" t="s">
        <v>674</v>
      </c>
      <c r="G6748" t="s">
        <v>675</v>
      </c>
      <c r="H6748" t="s">
        <v>7561</v>
      </c>
      <c r="I6748">
        <v>46</v>
      </c>
      <c r="J6748">
        <v>46</v>
      </c>
      <c r="K6748">
        <v>0</v>
      </c>
      <c r="L6748">
        <v>0</v>
      </c>
      <c r="M6748">
        <v>0</v>
      </c>
      <c r="N6748">
        <v>0</v>
      </c>
      <c r="O6748">
        <v>0</v>
      </c>
    </row>
    <row r="6749" spans="1:15" x14ac:dyDescent="0.25">
      <c r="A6749" t="s">
        <v>1302</v>
      </c>
      <c r="B6749" t="s">
        <v>1961</v>
      </c>
      <c r="C6749" t="s">
        <v>923</v>
      </c>
      <c r="D6749" t="s">
        <v>3063</v>
      </c>
      <c r="E6749" t="s">
        <v>3053</v>
      </c>
      <c r="F6749" t="s">
        <v>674</v>
      </c>
      <c r="G6749" t="s">
        <v>675</v>
      </c>
      <c r="H6749" t="s">
        <v>7562</v>
      </c>
      <c r="I6749">
        <v>3</v>
      </c>
      <c r="J6749">
        <v>0</v>
      </c>
      <c r="K6749">
        <v>0</v>
      </c>
      <c r="L6749">
        <v>3</v>
      </c>
      <c r="M6749">
        <v>0</v>
      </c>
      <c r="N6749">
        <v>0</v>
      </c>
      <c r="O6749">
        <v>0</v>
      </c>
    </row>
    <row r="6750" spans="1:15" x14ac:dyDescent="0.25">
      <c r="A6750" t="s">
        <v>1521</v>
      </c>
      <c r="B6750" t="s">
        <v>2920</v>
      </c>
      <c r="C6750" t="s">
        <v>927</v>
      </c>
      <c r="D6750" t="s">
        <v>3052</v>
      </c>
      <c r="E6750" t="s">
        <v>3053</v>
      </c>
      <c r="F6750" t="s">
        <v>674</v>
      </c>
      <c r="G6750" t="s">
        <v>675</v>
      </c>
      <c r="H6750" t="s">
        <v>7563</v>
      </c>
      <c r="I6750">
        <v>2</v>
      </c>
      <c r="J6750">
        <v>0</v>
      </c>
      <c r="K6750">
        <v>0</v>
      </c>
      <c r="L6750">
        <v>2</v>
      </c>
      <c r="M6750">
        <v>0</v>
      </c>
      <c r="N6750">
        <v>0</v>
      </c>
      <c r="O6750">
        <v>0</v>
      </c>
    </row>
    <row r="6751" spans="1:15" x14ac:dyDescent="0.25">
      <c r="A6751" t="s">
        <v>1046</v>
      </c>
      <c r="B6751" t="s">
        <v>2027</v>
      </c>
      <c r="C6751" t="s">
        <v>923</v>
      </c>
      <c r="D6751" t="s">
        <v>3063</v>
      </c>
      <c r="E6751" t="s">
        <v>3053</v>
      </c>
      <c r="F6751" t="s">
        <v>674</v>
      </c>
      <c r="G6751" t="s">
        <v>675</v>
      </c>
      <c r="H6751" t="s">
        <v>7564</v>
      </c>
      <c r="I6751">
        <v>7</v>
      </c>
      <c r="J6751">
        <v>1</v>
      </c>
      <c r="K6751">
        <v>0</v>
      </c>
      <c r="L6751">
        <v>6</v>
      </c>
      <c r="M6751">
        <v>0</v>
      </c>
      <c r="N6751">
        <v>0</v>
      </c>
      <c r="O6751">
        <v>0</v>
      </c>
    </row>
    <row r="6752" spans="1:15" x14ac:dyDescent="0.25">
      <c r="A6752" t="s">
        <v>951</v>
      </c>
      <c r="B6752" t="s">
        <v>2680</v>
      </c>
      <c r="C6752" t="s">
        <v>927</v>
      </c>
      <c r="D6752" t="s">
        <v>3052</v>
      </c>
      <c r="E6752" t="s">
        <v>3053</v>
      </c>
      <c r="F6752" t="s">
        <v>674</v>
      </c>
      <c r="G6752" t="s">
        <v>675</v>
      </c>
      <c r="H6752" t="s">
        <v>7565</v>
      </c>
      <c r="I6752">
        <v>190</v>
      </c>
      <c r="J6752">
        <v>65</v>
      </c>
      <c r="K6752">
        <v>0</v>
      </c>
      <c r="L6752">
        <v>3</v>
      </c>
      <c r="M6752">
        <v>103</v>
      </c>
      <c r="N6752">
        <v>0</v>
      </c>
      <c r="O6752">
        <v>19</v>
      </c>
    </row>
    <row r="6753" spans="1:15" x14ac:dyDescent="0.25">
      <c r="A6753" t="s">
        <v>1048</v>
      </c>
      <c r="B6753" t="s">
        <v>2989</v>
      </c>
      <c r="C6753" t="s">
        <v>927</v>
      </c>
      <c r="D6753" t="s">
        <v>3052</v>
      </c>
      <c r="E6753" t="s">
        <v>3053</v>
      </c>
      <c r="F6753" t="s">
        <v>674</v>
      </c>
      <c r="G6753" t="s">
        <v>675</v>
      </c>
      <c r="H6753" t="s">
        <v>7566</v>
      </c>
      <c r="I6753">
        <v>11</v>
      </c>
      <c r="J6753">
        <v>0</v>
      </c>
      <c r="K6753">
        <v>0</v>
      </c>
      <c r="L6753">
        <v>11</v>
      </c>
      <c r="M6753">
        <v>0</v>
      </c>
      <c r="N6753">
        <v>0</v>
      </c>
      <c r="O6753">
        <v>0</v>
      </c>
    </row>
    <row r="6754" spans="1:15" x14ac:dyDescent="0.25">
      <c r="A6754" t="s">
        <v>1051</v>
      </c>
      <c r="B6754" t="s">
        <v>2995</v>
      </c>
      <c r="C6754" t="s">
        <v>927</v>
      </c>
      <c r="D6754" t="s">
        <v>3052</v>
      </c>
      <c r="E6754" t="s">
        <v>3053</v>
      </c>
      <c r="F6754" t="s">
        <v>674</v>
      </c>
      <c r="G6754" t="s">
        <v>675</v>
      </c>
      <c r="H6754" t="s">
        <v>7567</v>
      </c>
      <c r="I6754">
        <v>2</v>
      </c>
      <c r="J6754">
        <v>0</v>
      </c>
      <c r="K6754">
        <v>0</v>
      </c>
      <c r="L6754">
        <v>2</v>
      </c>
      <c r="M6754">
        <v>0</v>
      </c>
      <c r="N6754">
        <v>0</v>
      </c>
      <c r="O6754">
        <v>0</v>
      </c>
    </row>
    <row r="6755" spans="1:15" x14ac:dyDescent="0.25">
      <c r="A6755" t="s">
        <v>1529</v>
      </c>
      <c r="B6755" t="s">
        <v>1954</v>
      </c>
      <c r="C6755" t="s">
        <v>927</v>
      </c>
      <c r="D6755" t="s">
        <v>3052</v>
      </c>
      <c r="E6755" t="s">
        <v>3053</v>
      </c>
      <c r="F6755" t="s">
        <v>674</v>
      </c>
      <c r="G6755" t="s">
        <v>675</v>
      </c>
      <c r="H6755" t="s">
        <v>7568</v>
      </c>
      <c r="I6755">
        <v>178</v>
      </c>
      <c r="J6755">
        <v>123</v>
      </c>
      <c r="K6755">
        <v>0</v>
      </c>
      <c r="L6755">
        <v>16</v>
      </c>
      <c r="M6755">
        <v>39</v>
      </c>
      <c r="N6755">
        <v>0</v>
      </c>
      <c r="O6755">
        <v>0</v>
      </c>
    </row>
    <row r="6756" spans="1:15" x14ac:dyDescent="0.25">
      <c r="A6756" t="s">
        <v>1069</v>
      </c>
      <c r="B6756" t="s">
        <v>2001</v>
      </c>
      <c r="C6756" t="s">
        <v>927</v>
      </c>
      <c r="D6756" t="s">
        <v>3052</v>
      </c>
      <c r="E6756" t="s">
        <v>3053</v>
      </c>
      <c r="F6756" t="s">
        <v>674</v>
      </c>
      <c r="G6756" t="s">
        <v>675</v>
      </c>
      <c r="H6756" t="s">
        <v>7569</v>
      </c>
      <c r="I6756">
        <v>68</v>
      </c>
      <c r="J6756">
        <v>44</v>
      </c>
      <c r="K6756">
        <v>0</v>
      </c>
      <c r="L6756">
        <v>0</v>
      </c>
      <c r="M6756">
        <v>24</v>
      </c>
      <c r="N6756">
        <v>0</v>
      </c>
      <c r="O6756">
        <v>0</v>
      </c>
    </row>
    <row r="6757" spans="1:15" x14ac:dyDescent="0.25">
      <c r="A6757" t="s">
        <v>1075</v>
      </c>
      <c r="B6757" t="s">
        <v>2830</v>
      </c>
      <c r="C6757" t="s">
        <v>927</v>
      </c>
      <c r="D6757" t="s">
        <v>3052</v>
      </c>
      <c r="E6757" t="s">
        <v>3053</v>
      </c>
      <c r="F6757" t="s">
        <v>674</v>
      </c>
      <c r="G6757" t="s">
        <v>675</v>
      </c>
      <c r="H6757" t="s">
        <v>7570</v>
      </c>
      <c r="I6757">
        <v>3674</v>
      </c>
      <c r="J6757">
        <v>3632</v>
      </c>
      <c r="K6757">
        <v>0</v>
      </c>
      <c r="L6757">
        <v>0</v>
      </c>
      <c r="M6757">
        <v>42</v>
      </c>
      <c r="N6757">
        <v>0</v>
      </c>
      <c r="O6757">
        <v>0</v>
      </c>
    </row>
    <row r="6758" spans="1:15" x14ac:dyDescent="0.25">
      <c r="A6758" t="s">
        <v>1083</v>
      </c>
      <c r="B6758" t="s">
        <v>2757</v>
      </c>
      <c r="C6758" t="s">
        <v>927</v>
      </c>
      <c r="D6758" t="s">
        <v>3052</v>
      </c>
      <c r="E6758" t="s">
        <v>3053</v>
      </c>
      <c r="F6758" t="s">
        <v>674</v>
      </c>
      <c r="G6758" t="s">
        <v>675</v>
      </c>
      <c r="H6758" t="s">
        <v>7571</v>
      </c>
      <c r="I6758">
        <v>175</v>
      </c>
      <c r="J6758">
        <v>173</v>
      </c>
      <c r="K6758">
        <v>0</v>
      </c>
      <c r="L6758">
        <v>2</v>
      </c>
      <c r="M6758">
        <v>0</v>
      </c>
      <c r="N6758">
        <v>0</v>
      </c>
      <c r="O6758">
        <v>0</v>
      </c>
    </row>
    <row r="6759" spans="1:15" x14ac:dyDescent="0.25">
      <c r="A6759" t="s">
        <v>924</v>
      </c>
      <c r="B6759" t="s">
        <v>2963</v>
      </c>
      <c r="C6759" t="s">
        <v>923</v>
      </c>
      <c r="D6759" t="s">
        <v>3063</v>
      </c>
      <c r="E6759" t="s">
        <v>3053</v>
      </c>
      <c r="F6759" t="s">
        <v>676</v>
      </c>
      <c r="G6759" t="s">
        <v>677</v>
      </c>
      <c r="H6759" t="s">
        <v>7572</v>
      </c>
      <c r="I6759">
        <v>13</v>
      </c>
      <c r="J6759">
        <v>0</v>
      </c>
      <c r="K6759">
        <v>0</v>
      </c>
      <c r="L6759">
        <v>13</v>
      </c>
      <c r="M6759">
        <v>0</v>
      </c>
      <c r="N6759">
        <v>0</v>
      </c>
      <c r="O6759">
        <v>0</v>
      </c>
    </row>
    <row r="6760" spans="1:15" x14ac:dyDescent="0.25">
      <c r="A6760" t="s">
        <v>9784</v>
      </c>
      <c r="B6760" t="s">
        <v>1994</v>
      </c>
      <c r="C6760" t="s">
        <v>927</v>
      </c>
      <c r="D6760" t="s">
        <v>3052</v>
      </c>
      <c r="E6760" t="s">
        <v>3053</v>
      </c>
      <c r="F6760" t="s">
        <v>676</v>
      </c>
      <c r="G6760" t="s">
        <v>677</v>
      </c>
      <c r="H6760" t="s">
        <v>9975</v>
      </c>
      <c r="I6760">
        <v>12</v>
      </c>
      <c r="J6760">
        <v>0</v>
      </c>
      <c r="K6760">
        <v>0</v>
      </c>
      <c r="L6760">
        <v>12</v>
      </c>
      <c r="M6760">
        <v>0</v>
      </c>
      <c r="N6760">
        <v>12</v>
      </c>
      <c r="O6760">
        <v>0</v>
      </c>
    </row>
    <row r="6761" spans="1:15" x14ac:dyDescent="0.25">
      <c r="A6761" t="s">
        <v>998</v>
      </c>
      <c r="B6761" t="s">
        <v>2820</v>
      </c>
      <c r="C6761" t="s">
        <v>927</v>
      </c>
      <c r="D6761" t="s">
        <v>3052</v>
      </c>
      <c r="E6761" t="s">
        <v>3053</v>
      </c>
      <c r="F6761" t="s">
        <v>676</v>
      </c>
      <c r="G6761" t="s">
        <v>677</v>
      </c>
      <c r="H6761" t="s">
        <v>7573</v>
      </c>
      <c r="I6761">
        <v>7</v>
      </c>
      <c r="J6761">
        <v>7</v>
      </c>
      <c r="K6761">
        <v>0</v>
      </c>
      <c r="L6761">
        <v>0</v>
      </c>
      <c r="M6761">
        <v>0</v>
      </c>
      <c r="N6761">
        <v>0</v>
      </c>
      <c r="O6761">
        <v>0</v>
      </c>
    </row>
    <row r="6762" spans="1:15" x14ac:dyDescent="0.25">
      <c r="A6762" t="s">
        <v>1416</v>
      </c>
      <c r="B6762" t="s">
        <v>2029</v>
      </c>
      <c r="C6762" t="s">
        <v>923</v>
      </c>
      <c r="D6762" t="s">
        <v>3063</v>
      </c>
      <c r="E6762" t="s">
        <v>3053</v>
      </c>
      <c r="F6762" t="s">
        <v>676</v>
      </c>
      <c r="G6762" t="s">
        <v>677</v>
      </c>
      <c r="H6762" t="s">
        <v>12298</v>
      </c>
      <c r="I6762">
        <v>5</v>
      </c>
      <c r="J6762">
        <v>0</v>
      </c>
      <c r="K6762">
        <v>0</v>
      </c>
      <c r="L6762">
        <v>5</v>
      </c>
      <c r="M6762">
        <v>0</v>
      </c>
      <c r="N6762">
        <v>0</v>
      </c>
      <c r="O6762">
        <v>0</v>
      </c>
    </row>
    <row r="6763" spans="1:15" x14ac:dyDescent="0.25">
      <c r="A6763" t="s">
        <v>1605</v>
      </c>
      <c r="B6763" t="s">
        <v>2780</v>
      </c>
      <c r="C6763" t="s">
        <v>923</v>
      </c>
      <c r="D6763" t="s">
        <v>3063</v>
      </c>
      <c r="E6763" t="s">
        <v>3053</v>
      </c>
      <c r="F6763" t="s">
        <v>676</v>
      </c>
      <c r="G6763" t="s">
        <v>677</v>
      </c>
      <c r="H6763" t="s">
        <v>7574</v>
      </c>
      <c r="I6763">
        <v>52</v>
      </c>
      <c r="J6763">
        <v>0</v>
      </c>
      <c r="K6763">
        <v>0</v>
      </c>
      <c r="L6763">
        <v>0</v>
      </c>
      <c r="M6763">
        <v>52</v>
      </c>
      <c r="N6763">
        <v>0</v>
      </c>
      <c r="O6763">
        <v>0</v>
      </c>
    </row>
    <row r="6764" spans="1:15" x14ac:dyDescent="0.25">
      <c r="A6764" t="s">
        <v>1010</v>
      </c>
      <c r="B6764" t="s">
        <v>2639</v>
      </c>
      <c r="C6764" t="s">
        <v>927</v>
      </c>
      <c r="D6764" t="s">
        <v>3052</v>
      </c>
      <c r="E6764" t="s">
        <v>3053</v>
      </c>
      <c r="F6764" t="s">
        <v>676</v>
      </c>
      <c r="G6764" t="s">
        <v>677</v>
      </c>
      <c r="H6764" t="s">
        <v>7575</v>
      </c>
      <c r="I6764">
        <v>90</v>
      </c>
      <c r="J6764">
        <v>66</v>
      </c>
      <c r="K6764">
        <v>0</v>
      </c>
      <c r="L6764">
        <v>0</v>
      </c>
      <c r="M6764">
        <v>0</v>
      </c>
      <c r="N6764">
        <v>0</v>
      </c>
      <c r="O6764">
        <v>24</v>
      </c>
    </row>
    <row r="6765" spans="1:15" x14ac:dyDescent="0.25">
      <c r="A6765" t="s">
        <v>937</v>
      </c>
      <c r="B6765" t="s">
        <v>1962</v>
      </c>
      <c r="C6765" t="s">
        <v>927</v>
      </c>
      <c r="D6765" t="s">
        <v>3052</v>
      </c>
      <c r="E6765" t="s">
        <v>3053</v>
      </c>
      <c r="F6765" t="s">
        <v>676</v>
      </c>
      <c r="G6765" t="s">
        <v>677</v>
      </c>
      <c r="H6765" t="s">
        <v>7576</v>
      </c>
      <c r="I6765">
        <v>22</v>
      </c>
      <c r="J6765">
        <v>0</v>
      </c>
      <c r="K6765">
        <v>0</v>
      </c>
      <c r="L6765">
        <v>0</v>
      </c>
      <c r="M6765">
        <v>0</v>
      </c>
      <c r="N6765">
        <v>0</v>
      </c>
      <c r="O6765">
        <v>22</v>
      </c>
    </row>
    <row r="6766" spans="1:15" x14ac:dyDescent="0.25">
      <c r="A6766" t="s">
        <v>938</v>
      </c>
      <c r="B6766" t="s">
        <v>2791</v>
      </c>
      <c r="C6766" t="s">
        <v>927</v>
      </c>
      <c r="D6766" t="s">
        <v>3052</v>
      </c>
      <c r="E6766" t="s">
        <v>3053</v>
      </c>
      <c r="F6766" t="s">
        <v>676</v>
      </c>
      <c r="G6766" t="s">
        <v>677</v>
      </c>
      <c r="H6766" t="s">
        <v>7577</v>
      </c>
      <c r="I6766">
        <v>2</v>
      </c>
      <c r="J6766">
        <v>2</v>
      </c>
      <c r="K6766">
        <v>0</v>
      </c>
      <c r="L6766">
        <v>0</v>
      </c>
      <c r="M6766">
        <v>0</v>
      </c>
      <c r="N6766">
        <v>0</v>
      </c>
      <c r="O6766">
        <v>0</v>
      </c>
    </row>
    <row r="6767" spans="1:15" x14ac:dyDescent="0.25">
      <c r="A6767" t="s">
        <v>940</v>
      </c>
      <c r="B6767" t="s">
        <v>2647</v>
      </c>
      <c r="C6767" t="s">
        <v>927</v>
      </c>
      <c r="D6767" t="s">
        <v>3052</v>
      </c>
      <c r="E6767" t="s">
        <v>3053</v>
      </c>
      <c r="F6767" t="s">
        <v>676</v>
      </c>
      <c r="G6767" t="s">
        <v>677</v>
      </c>
      <c r="H6767" t="s">
        <v>7578</v>
      </c>
      <c r="I6767">
        <v>41</v>
      </c>
      <c r="J6767">
        <v>0</v>
      </c>
      <c r="K6767">
        <v>0</v>
      </c>
      <c r="L6767">
        <v>0</v>
      </c>
      <c r="M6767">
        <v>41</v>
      </c>
      <c r="N6767">
        <v>0</v>
      </c>
      <c r="O6767">
        <v>0</v>
      </c>
    </row>
    <row r="6768" spans="1:15" x14ac:dyDescent="0.25">
      <c r="A6768" t="s">
        <v>1126</v>
      </c>
      <c r="B6768" t="s">
        <v>2130</v>
      </c>
      <c r="C6768" t="s">
        <v>927</v>
      </c>
      <c r="D6768" t="s">
        <v>3052</v>
      </c>
      <c r="E6768" t="s">
        <v>3053</v>
      </c>
      <c r="F6768" t="s">
        <v>676</v>
      </c>
      <c r="G6768" t="s">
        <v>677</v>
      </c>
      <c r="H6768" t="s">
        <v>11276</v>
      </c>
      <c r="I6768">
        <v>8</v>
      </c>
      <c r="J6768">
        <v>3</v>
      </c>
      <c r="K6768">
        <v>0</v>
      </c>
      <c r="L6768">
        <v>0</v>
      </c>
      <c r="M6768">
        <v>0</v>
      </c>
      <c r="N6768">
        <v>0</v>
      </c>
      <c r="O6768">
        <v>5</v>
      </c>
    </row>
    <row r="6769" spans="1:15" x14ac:dyDescent="0.25">
      <c r="A6769" t="s">
        <v>1025</v>
      </c>
      <c r="B6769" t="s">
        <v>2893</v>
      </c>
      <c r="C6769" t="s">
        <v>927</v>
      </c>
      <c r="D6769" t="s">
        <v>3052</v>
      </c>
      <c r="E6769" t="s">
        <v>3053</v>
      </c>
      <c r="F6769" t="s">
        <v>676</v>
      </c>
      <c r="G6769" t="s">
        <v>677</v>
      </c>
      <c r="H6769" t="s">
        <v>10192</v>
      </c>
      <c r="I6769">
        <v>2</v>
      </c>
      <c r="J6769">
        <v>0</v>
      </c>
      <c r="K6769">
        <v>0</v>
      </c>
      <c r="L6769">
        <v>0</v>
      </c>
      <c r="M6769">
        <v>0</v>
      </c>
      <c r="N6769">
        <v>0</v>
      </c>
      <c r="O6769">
        <v>2</v>
      </c>
    </row>
    <row r="6770" spans="1:15" x14ac:dyDescent="0.25">
      <c r="A6770" t="s">
        <v>1041</v>
      </c>
      <c r="B6770" t="s">
        <v>2826</v>
      </c>
      <c r="C6770" t="s">
        <v>927</v>
      </c>
      <c r="D6770" t="s">
        <v>3052</v>
      </c>
      <c r="E6770" t="s">
        <v>3053</v>
      </c>
      <c r="F6770" t="s">
        <v>676</v>
      </c>
      <c r="G6770" t="s">
        <v>677</v>
      </c>
      <c r="H6770" t="s">
        <v>7579</v>
      </c>
      <c r="I6770">
        <v>92</v>
      </c>
      <c r="J6770">
        <v>0</v>
      </c>
      <c r="K6770">
        <v>0</v>
      </c>
      <c r="L6770">
        <v>0</v>
      </c>
      <c r="M6770">
        <v>0</v>
      </c>
      <c r="N6770">
        <v>0</v>
      </c>
      <c r="O6770">
        <v>92</v>
      </c>
    </row>
    <row r="6771" spans="1:15" x14ac:dyDescent="0.25">
      <c r="A6771" t="s">
        <v>9787</v>
      </c>
      <c r="B6771" t="s">
        <v>2822</v>
      </c>
      <c r="C6771" t="s">
        <v>927</v>
      </c>
      <c r="D6771" t="s">
        <v>3052</v>
      </c>
      <c r="E6771" t="s">
        <v>3053</v>
      </c>
      <c r="F6771" t="s">
        <v>676</v>
      </c>
      <c r="G6771" t="s">
        <v>677</v>
      </c>
      <c r="H6771" t="s">
        <v>10275</v>
      </c>
      <c r="I6771">
        <v>508</v>
      </c>
      <c r="J6771">
        <v>501</v>
      </c>
      <c r="K6771">
        <v>0</v>
      </c>
      <c r="L6771">
        <v>7</v>
      </c>
      <c r="M6771">
        <v>0</v>
      </c>
      <c r="N6771">
        <v>6</v>
      </c>
      <c r="O6771">
        <v>0</v>
      </c>
    </row>
    <row r="6772" spans="1:15" x14ac:dyDescent="0.25">
      <c r="A6772" t="s">
        <v>1146</v>
      </c>
      <c r="B6772" t="s">
        <v>2117</v>
      </c>
      <c r="C6772" t="s">
        <v>927</v>
      </c>
      <c r="D6772" t="s">
        <v>3052</v>
      </c>
      <c r="E6772" t="s">
        <v>3053</v>
      </c>
      <c r="F6772" t="s">
        <v>676</v>
      </c>
      <c r="G6772" t="s">
        <v>677</v>
      </c>
      <c r="H6772" t="s">
        <v>11277</v>
      </c>
      <c r="I6772">
        <v>14</v>
      </c>
      <c r="J6772">
        <v>0</v>
      </c>
      <c r="K6772">
        <v>0</v>
      </c>
      <c r="L6772">
        <v>14</v>
      </c>
      <c r="M6772">
        <v>0</v>
      </c>
      <c r="N6772">
        <v>0</v>
      </c>
      <c r="O6772">
        <v>0</v>
      </c>
    </row>
    <row r="6773" spans="1:15" x14ac:dyDescent="0.25">
      <c r="A6773" t="s">
        <v>951</v>
      </c>
      <c r="B6773" t="s">
        <v>2680</v>
      </c>
      <c r="C6773" t="s">
        <v>927</v>
      </c>
      <c r="D6773" t="s">
        <v>3052</v>
      </c>
      <c r="E6773" t="s">
        <v>3053</v>
      </c>
      <c r="F6773" t="s">
        <v>676</v>
      </c>
      <c r="G6773" t="s">
        <v>677</v>
      </c>
      <c r="H6773" t="s">
        <v>11278</v>
      </c>
      <c r="I6773">
        <v>359</v>
      </c>
      <c r="J6773">
        <v>359</v>
      </c>
      <c r="K6773">
        <v>0</v>
      </c>
      <c r="L6773">
        <v>0</v>
      </c>
      <c r="M6773">
        <v>0</v>
      </c>
      <c r="N6773">
        <v>2</v>
      </c>
      <c r="O6773">
        <v>0</v>
      </c>
    </row>
    <row r="6774" spans="1:15" x14ac:dyDescent="0.25">
      <c r="A6774" t="s">
        <v>11720</v>
      </c>
      <c r="B6774" t="s">
        <v>10718</v>
      </c>
      <c r="C6774" t="s">
        <v>927</v>
      </c>
      <c r="D6774" t="s">
        <v>3052</v>
      </c>
      <c r="E6774" t="s">
        <v>3053</v>
      </c>
      <c r="F6774" t="s">
        <v>676</v>
      </c>
      <c r="G6774" t="s">
        <v>677</v>
      </c>
      <c r="H6774" t="s">
        <v>15118</v>
      </c>
      <c r="I6774">
        <v>54</v>
      </c>
      <c r="J6774">
        <v>0</v>
      </c>
      <c r="K6774">
        <v>0</v>
      </c>
      <c r="L6774">
        <v>0</v>
      </c>
      <c r="M6774">
        <v>0</v>
      </c>
      <c r="N6774">
        <v>0</v>
      </c>
      <c r="O6774">
        <v>54</v>
      </c>
    </row>
    <row r="6775" spans="1:15" x14ac:dyDescent="0.25">
      <c r="A6775" t="s">
        <v>9788</v>
      </c>
      <c r="B6775" t="s">
        <v>9871</v>
      </c>
      <c r="C6775" t="s">
        <v>927</v>
      </c>
      <c r="D6775" t="s">
        <v>3052</v>
      </c>
      <c r="E6775" t="s">
        <v>3053</v>
      </c>
      <c r="F6775" t="s">
        <v>676</v>
      </c>
      <c r="G6775" t="s">
        <v>677</v>
      </c>
      <c r="H6775" t="s">
        <v>15119</v>
      </c>
      <c r="I6775">
        <v>15</v>
      </c>
      <c r="J6775">
        <v>15</v>
      </c>
      <c r="K6775">
        <v>0</v>
      </c>
      <c r="L6775">
        <v>0</v>
      </c>
      <c r="M6775">
        <v>0</v>
      </c>
      <c r="N6775">
        <v>0</v>
      </c>
      <c r="O6775">
        <v>0</v>
      </c>
    </row>
    <row r="6776" spans="1:15" x14ac:dyDescent="0.25">
      <c r="A6776" t="s">
        <v>955</v>
      </c>
      <c r="B6776" t="s">
        <v>2660</v>
      </c>
      <c r="C6776" t="s">
        <v>927</v>
      </c>
      <c r="D6776" t="s">
        <v>3052</v>
      </c>
      <c r="E6776" t="s">
        <v>3053</v>
      </c>
      <c r="F6776" t="s">
        <v>676</v>
      </c>
      <c r="G6776" t="s">
        <v>677</v>
      </c>
      <c r="H6776" t="s">
        <v>7580</v>
      </c>
      <c r="I6776">
        <v>109</v>
      </c>
      <c r="J6776">
        <v>37</v>
      </c>
      <c r="K6776">
        <v>0</v>
      </c>
      <c r="L6776">
        <v>13</v>
      </c>
      <c r="M6776">
        <v>40</v>
      </c>
      <c r="N6776">
        <v>0</v>
      </c>
      <c r="O6776">
        <v>19</v>
      </c>
    </row>
    <row r="6777" spans="1:15" x14ac:dyDescent="0.25">
      <c r="A6777" t="s">
        <v>11663</v>
      </c>
      <c r="B6777" t="s">
        <v>11768</v>
      </c>
      <c r="C6777" t="s">
        <v>927</v>
      </c>
      <c r="D6777" t="s">
        <v>3052</v>
      </c>
      <c r="E6777" t="s">
        <v>3053</v>
      </c>
      <c r="F6777" t="s">
        <v>676</v>
      </c>
      <c r="G6777" t="s">
        <v>677</v>
      </c>
      <c r="H6777" t="s">
        <v>12299</v>
      </c>
      <c r="I6777">
        <v>3532</v>
      </c>
      <c r="J6777">
        <v>2822</v>
      </c>
      <c r="K6777">
        <v>0</v>
      </c>
      <c r="L6777">
        <v>12</v>
      </c>
      <c r="M6777">
        <v>487</v>
      </c>
      <c r="N6777">
        <v>9</v>
      </c>
      <c r="O6777">
        <v>211</v>
      </c>
    </row>
    <row r="6778" spans="1:15" x14ac:dyDescent="0.25">
      <c r="A6778" t="s">
        <v>14374</v>
      </c>
      <c r="B6778" t="s">
        <v>1943</v>
      </c>
      <c r="C6778" t="s">
        <v>927</v>
      </c>
      <c r="D6778" t="s">
        <v>3052</v>
      </c>
      <c r="E6778" t="s">
        <v>3053</v>
      </c>
      <c r="F6778" t="s">
        <v>676</v>
      </c>
      <c r="G6778" t="s">
        <v>677</v>
      </c>
      <c r="H6778" t="s">
        <v>15120</v>
      </c>
      <c r="I6778">
        <v>12</v>
      </c>
      <c r="J6778">
        <v>0</v>
      </c>
      <c r="K6778">
        <v>0</v>
      </c>
      <c r="L6778">
        <v>0</v>
      </c>
      <c r="M6778">
        <v>0</v>
      </c>
      <c r="N6778">
        <v>0</v>
      </c>
      <c r="O6778">
        <v>12</v>
      </c>
    </row>
    <row r="6779" spans="1:15" x14ac:dyDescent="0.25">
      <c r="A6779" t="s">
        <v>962</v>
      </c>
      <c r="B6779" t="s">
        <v>2752</v>
      </c>
      <c r="C6779" t="s">
        <v>927</v>
      </c>
      <c r="D6779" t="s">
        <v>3052</v>
      </c>
      <c r="E6779" t="s">
        <v>3053</v>
      </c>
      <c r="F6779" t="s">
        <v>676</v>
      </c>
      <c r="G6779" t="s">
        <v>677</v>
      </c>
      <c r="H6779" t="s">
        <v>7581</v>
      </c>
      <c r="I6779">
        <v>2</v>
      </c>
      <c r="J6779">
        <v>1</v>
      </c>
      <c r="K6779">
        <v>0</v>
      </c>
      <c r="L6779">
        <v>0</v>
      </c>
      <c r="M6779">
        <v>0</v>
      </c>
      <c r="N6779">
        <v>0</v>
      </c>
      <c r="O6779">
        <v>1</v>
      </c>
    </row>
    <row r="6780" spans="1:15" x14ac:dyDescent="0.25">
      <c r="A6780" t="s">
        <v>11709</v>
      </c>
      <c r="B6780" t="s">
        <v>2913</v>
      </c>
      <c r="C6780" t="s">
        <v>923</v>
      </c>
      <c r="D6780" t="s">
        <v>3063</v>
      </c>
      <c r="E6780" t="s">
        <v>3053</v>
      </c>
      <c r="F6780" t="s">
        <v>676</v>
      </c>
      <c r="G6780" t="s">
        <v>677</v>
      </c>
      <c r="H6780" t="s">
        <v>12300</v>
      </c>
      <c r="I6780">
        <v>64</v>
      </c>
      <c r="J6780">
        <v>0</v>
      </c>
      <c r="K6780">
        <v>0</v>
      </c>
      <c r="L6780">
        <v>0</v>
      </c>
      <c r="M6780">
        <v>64</v>
      </c>
      <c r="N6780">
        <v>0</v>
      </c>
      <c r="O6780">
        <v>0</v>
      </c>
    </row>
    <row r="6781" spans="1:15" x14ac:dyDescent="0.25">
      <c r="A6781" t="s">
        <v>1016</v>
      </c>
      <c r="B6781" t="s">
        <v>2725</v>
      </c>
      <c r="C6781" t="s">
        <v>927</v>
      </c>
      <c r="D6781" t="s">
        <v>3052</v>
      </c>
      <c r="E6781" t="s">
        <v>3053</v>
      </c>
      <c r="F6781" t="s">
        <v>678</v>
      </c>
      <c r="G6781" t="s">
        <v>679</v>
      </c>
      <c r="H6781" t="s">
        <v>7590</v>
      </c>
      <c r="I6781">
        <v>380</v>
      </c>
      <c r="J6781">
        <v>106</v>
      </c>
      <c r="K6781">
        <v>0</v>
      </c>
      <c r="L6781">
        <v>3</v>
      </c>
      <c r="M6781">
        <v>208</v>
      </c>
      <c r="N6781">
        <v>0</v>
      </c>
      <c r="O6781">
        <v>63</v>
      </c>
    </row>
    <row r="6782" spans="1:15" x14ac:dyDescent="0.25">
      <c r="A6782" t="s">
        <v>972</v>
      </c>
      <c r="B6782" t="s">
        <v>2842</v>
      </c>
      <c r="C6782" t="s">
        <v>927</v>
      </c>
      <c r="D6782" t="s">
        <v>3052</v>
      </c>
      <c r="E6782" t="s">
        <v>3053</v>
      </c>
      <c r="F6782" t="s">
        <v>678</v>
      </c>
      <c r="G6782" t="s">
        <v>679</v>
      </c>
      <c r="H6782" t="s">
        <v>7582</v>
      </c>
      <c r="I6782">
        <v>158</v>
      </c>
      <c r="J6782">
        <v>129</v>
      </c>
      <c r="K6782">
        <v>0</v>
      </c>
      <c r="L6782">
        <v>0</v>
      </c>
      <c r="M6782">
        <v>0</v>
      </c>
      <c r="N6782">
        <v>0</v>
      </c>
      <c r="O6782">
        <v>29</v>
      </c>
    </row>
    <row r="6783" spans="1:15" x14ac:dyDescent="0.25">
      <c r="A6783" t="s">
        <v>973</v>
      </c>
      <c r="B6783" t="s">
        <v>1957</v>
      </c>
      <c r="C6783" t="s">
        <v>923</v>
      </c>
      <c r="D6783" t="s">
        <v>3063</v>
      </c>
      <c r="E6783" t="s">
        <v>3053</v>
      </c>
      <c r="F6783" t="s">
        <v>678</v>
      </c>
      <c r="G6783" t="s">
        <v>679</v>
      </c>
      <c r="H6783" t="s">
        <v>7583</v>
      </c>
      <c r="I6783">
        <v>61</v>
      </c>
      <c r="J6783">
        <v>28</v>
      </c>
      <c r="K6783">
        <v>0</v>
      </c>
      <c r="L6783">
        <v>33</v>
      </c>
      <c r="M6783">
        <v>0</v>
      </c>
      <c r="N6783">
        <v>0</v>
      </c>
      <c r="O6783">
        <v>0</v>
      </c>
    </row>
    <row r="6784" spans="1:15" x14ac:dyDescent="0.25">
      <c r="A6784" t="s">
        <v>975</v>
      </c>
      <c r="B6784" t="s">
        <v>2010</v>
      </c>
      <c r="C6784" t="s">
        <v>923</v>
      </c>
      <c r="D6784" t="s">
        <v>3063</v>
      </c>
      <c r="E6784" t="s">
        <v>3053</v>
      </c>
      <c r="F6784" t="s">
        <v>678</v>
      </c>
      <c r="G6784" t="s">
        <v>679</v>
      </c>
      <c r="H6784" t="s">
        <v>7584</v>
      </c>
      <c r="I6784">
        <v>26</v>
      </c>
      <c r="J6784">
        <v>26</v>
      </c>
      <c r="K6784">
        <v>0</v>
      </c>
      <c r="L6784">
        <v>0</v>
      </c>
      <c r="M6784">
        <v>0</v>
      </c>
      <c r="N6784">
        <v>0</v>
      </c>
      <c r="O6784">
        <v>0</v>
      </c>
    </row>
    <row r="6785" spans="1:15" x14ac:dyDescent="0.25">
      <c r="A6785" t="s">
        <v>929</v>
      </c>
      <c r="B6785" t="s">
        <v>2999</v>
      </c>
      <c r="C6785" t="s">
        <v>927</v>
      </c>
      <c r="D6785" t="s">
        <v>3052</v>
      </c>
      <c r="E6785" t="s">
        <v>3053</v>
      </c>
      <c r="F6785" t="s">
        <v>678</v>
      </c>
      <c r="G6785" t="s">
        <v>679</v>
      </c>
      <c r="H6785" t="s">
        <v>7585</v>
      </c>
      <c r="I6785">
        <v>161</v>
      </c>
      <c r="J6785">
        <v>8</v>
      </c>
      <c r="K6785">
        <v>0</v>
      </c>
      <c r="L6785">
        <v>0</v>
      </c>
      <c r="M6785">
        <v>153</v>
      </c>
      <c r="N6785">
        <v>0</v>
      </c>
      <c r="O6785">
        <v>0</v>
      </c>
    </row>
    <row r="6786" spans="1:15" x14ac:dyDescent="0.25">
      <c r="A6786" t="s">
        <v>976</v>
      </c>
      <c r="B6786" t="s">
        <v>2936</v>
      </c>
      <c r="C6786" t="s">
        <v>927</v>
      </c>
      <c r="D6786" t="s">
        <v>3052</v>
      </c>
      <c r="E6786" t="s">
        <v>3053</v>
      </c>
      <c r="F6786" t="s">
        <v>678</v>
      </c>
      <c r="G6786" t="s">
        <v>679</v>
      </c>
      <c r="H6786" t="s">
        <v>7586</v>
      </c>
      <c r="I6786">
        <v>361</v>
      </c>
      <c r="J6786">
        <v>287</v>
      </c>
      <c r="K6786">
        <v>0</v>
      </c>
      <c r="L6786">
        <v>0</v>
      </c>
      <c r="M6786">
        <v>0</v>
      </c>
      <c r="N6786">
        <v>0</v>
      </c>
      <c r="O6786">
        <v>74</v>
      </c>
    </row>
    <row r="6787" spans="1:15" x14ac:dyDescent="0.25">
      <c r="A6787" t="s">
        <v>9790</v>
      </c>
      <c r="B6787" t="s">
        <v>1977</v>
      </c>
      <c r="C6787" t="s">
        <v>923</v>
      </c>
      <c r="D6787" t="s">
        <v>3063</v>
      </c>
      <c r="E6787" t="s">
        <v>3053</v>
      </c>
      <c r="F6787" t="s">
        <v>678</v>
      </c>
      <c r="G6787" t="s">
        <v>679</v>
      </c>
      <c r="H6787" t="s">
        <v>12301</v>
      </c>
      <c r="I6787">
        <v>3</v>
      </c>
      <c r="J6787">
        <v>0</v>
      </c>
      <c r="K6787">
        <v>0</v>
      </c>
      <c r="L6787">
        <v>3</v>
      </c>
      <c r="M6787">
        <v>0</v>
      </c>
      <c r="N6787">
        <v>0</v>
      </c>
      <c r="O6787">
        <v>0</v>
      </c>
    </row>
    <row r="6788" spans="1:15" x14ac:dyDescent="0.25">
      <c r="A6788" t="s">
        <v>1458</v>
      </c>
      <c r="B6788" t="s">
        <v>2024</v>
      </c>
      <c r="C6788" t="s">
        <v>923</v>
      </c>
      <c r="D6788" t="s">
        <v>3063</v>
      </c>
      <c r="E6788" t="s">
        <v>3053</v>
      </c>
      <c r="F6788" t="s">
        <v>678</v>
      </c>
      <c r="G6788" t="s">
        <v>679</v>
      </c>
      <c r="H6788" t="s">
        <v>15121</v>
      </c>
      <c r="I6788">
        <v>3</v>
      </c>
      <c r="J6788">
        <v>3</v>
      </c>
      <c r="K6788">
        <v>0</v>
      </c>
      <c r="L6788">
        <v>0</v>
      </c>
      <c r="M6788">
        <v>0</v>
      </c>
      <c r="N6788">
        <v>0</v>
      </c>
      <c r="O6788">
        <v>0</v>
      </c>
    </row>
    <row r="6789" spans="1:15" x14ac:dyDescent="0.25">
      <c r="A6789" t="s">
        <v>9784</v>
      </c>
      <c r="B6789" t="s">
        <v>1994</v>
      </c>
      <c r="C6789" t="s">
        <v>927</v>
      </c>
      <c r="D6789" t="s">
        <v>3052</v>
      </c>
      <c r="E6789" t="s">
        <v>3053</v>
      </c>
      <c r="F6789" t="s">
        <v>678</v>
      </c>
      <c r="G6789" t="s">
        <v>679</v>
      </c>
      <c r="H6789" t="s">
        <v>9976</v>
      </c>
      <c r="I6789">
        <v>17</v>
      </c>
      <c r="J6789">
        <v>0</v>
      </c>
      <c r="K6789">
        <v>0</v>
      </c>
      <c r="L6789">
        <v>17</v>
      </c>
      <c r="M6789">
        <v>0</v>
      </c>
      <c r="N6789">
        <v>0</v>
      </c>
      <c r="O6789">
        <v>0</v>
      </c>
    </row>
    <row r="6790" spans="1:15" x14ac:dyDescent="0.25">
      <c r="A6790" t="s">
        <v>1416</v>
      </c>
      <c r="B6790" t="s">
        <v>2029</v>
      </c>
      <c r="C6790" t="s">
        <v>923</v>
      </c>
      <c r="D6790" t="s">
        <v>3063</v>
      </c>
      <c r="E6790" t="s">
        <v>3053</v>
      </c>
      <c r="F6790" t="s">
        <v>678</v>
      </c>
      <c r="G6790" t="s">
        <v>679</v>
      </c>
      <c r="H6790" t="s">
        <v>12302</v>
      </c>
      <c r="I6790">
        <v>1</v>
      </c>
      <c r="J6790">
        <v>0</v>
      </c>
      <c r="K6790">
        <v>0</v>
      </c>
      <c r="L6790">
        <v>1</v>
      </c>
      <c r="M6790">
        <v>0</v>
      </c>
      <c r="N6790">
        <v>0</v>
      </c>
      <c r="O6790">
        <v>0</v>
      </c>
    </row>
    <row r="6791" spans="1:15" x14ac:dyDescent="0.25">
      <c r="A6791" t="s">
        <v>10638</v>
      </c>
      <c r="B6791" t="s">
        <v>2057</v>
      </c>
      <c r="C6791" t="s">
        <v>927</v>
      </c>
      <c r="D6791" t="s">
        <v>3052</v>
      </c>
      <c r="E6791" t="s">
        <v>3053</v>
      </c>
      <c r="F6791" t="s">
        <v>678</v>
      </c>
      <c r="G6791" t="s">
        <v>679</v>
      </c>
      <c r="H6791" t="s">
        <v>11279</v>
      </c>
      <c r="I6791">
        <v>87</v>
      </c>
      <c r="J6791">
        <v>0</v>
      </c>
      <c r="K6791">
        <v>0</v>
      </c>
      <c r="L6791">
        <v>87</v>
      </c>
      <c r="M6791">
        <v>0</v>
      </c>
      <c r="N6791">
        <v>0</v>
      </c>
      <c r="O6791">
        <v>0</v>
      </c>
    </row>
    <row r="6792" spans="1:15" x14ac:dyDescent="0.25">
      <c r="A6792" t="s">
        <v>1006</v>
      </c>
      <c r="B6792" t="s">
        <v>2724</v>
      </c>
      <c r="C6792" t="s">
        <v>927</v>
      </c>
      <c r="D6792" t="s">
        <v>3052</v>
      </c>
      <c r="E6792" t="s">
        <v>3053</v>
      </c>
      <c r="F6792" t="s">
        <v>678</v>
      </c>
      <c r="G6792" t="s">
        <v>679</v>
      </c>
      <c r="H6792" t="s">
        <v>7587</v>
      </c>
      <c r="I6792">
        <v>503</v>
      </c>
      <c r="J6792">
        <v>433</v>
      </c>
      <c r="K6792">
        <v>0</v>
      </c>
      <c r="L6792">
        <v>10</v>
      </c>
      <c r="M6792">
        <v>0</v>
      </c>
      <c r="N6792">
        <v>0</v>
      </c>
      <c r="O6792">
        <v>60</v>
      </c>
    </row>
    <row r="6793" spans="1:15" x14ac:dyDescent="0.25">
      <c r="A6793" t="s">
        <v>1008</v>
      </c>
      <c r="B6793" t="s">
        <v>2928</v>
      </c>
      <c r="C6793" t="s">
        <v>927</v>
      </c>
      <c r="D6793" t="s">
        <v>3052</v>
      </c>
      <c r="E6793" t="s">
        <v>3053</v>
      </c>
      <c r="F6793" t="s">
        <v>678</v>
      </c>
      <c r="G6793" t="s">
        <v>679</v>
      </c>
      <c r="H6793" t="s">
        <v>7588</v>
      </c>
      <c r="I6793">
        <v>46</v>
      </c>
      <c r="J6793">
        <v>36</v>
      </c>
      <c r="K6793">
        <v>0</v>
      </c>
      <c r="L6793">
        <v>2</v>
      </c>
      <c r="M6793">
        <v>8</v>
      </c>
      <c r="N6793">
        <v>1</v>
      </c>
      <c r="O6793">
        <v>0</v>
      </c>
    </row>
    <row r="6794" spans="1:15" x14ac:dyDescent="0.25">
      <c r="A6794" t="s">
        <v>937</v>
      </c>
      <c r="B6794" t="s">
        <v>1962</v>
      </c>
      <c r="C6794" t="s">
        <v>927</v>
      </c>
      <c r="D6794" t="s">
        <v>3052</v>
      </c>
      <c r="E6794" t="s">
        <v>3053</v>
      </c>
      <c r="F6794" t="s">
        <v>678</v>
      </c>
      <c r="G6794" t="s">
        <v>679</v>
      </c>
      <c r="H6794" t="s">
        <v>10100</v>
      </c>
      <c r="I6794">
        <v>6</v>
      </c>
      <c r="J6794">
        <v>0</v>
      </c>
      <c r="K6794">
        <v>0</v>
      </c>
      <c r="L6794">
        <v>0</v>
      </c>
      <c r="M6794">
        <v>0</v>
      </c>
      <c r="N6794">
        <v>0</v>
      </c>
      <c r="O6794">
        <v>6</v>
      </c>
    </row>
    <row r="6795" spans="1:15" x14ac:dyDescent="0.25">
      <c r="A6795" t="s">
        <v>1011</v>
      </c>
      <c r="B6795" t="s">
        <v>2020</v>
      </c>
      <c r="C6795" t="s">
        <v>927</v>
      </c>
      <c r="D6795" t="s">
        <v>3052</v>
      </c>
      <c r="E6795" t="s">
        <v>3053</v>
      </c>
      <c r="F6795" t="s">
        <v>678</v>
      </c>
      <c r="G6795" t="s">
        <v>679</v>
      </c>
      <c r="H6795" t="s">
        <v>11280</v>
      </c>
      <c r="I6795">
        <v>14</v>
      </c>
      <c r="J6795">
        <v>0</v>
      </c>
      <c r="K6795">
        <v>0</v>
      </c>
      <c r="L6795">
        <v>14</v>
      </c>
      <c r="M6795">
        <v>0</v>
      </c>
      <c r="N6795">
        <v>0</v>
      </c>
      <c r="O6795">
        <v>0</v>
      </c>
    </row>
    <row r="6796" spans="1:15" x14ac:dyDescent="0.25">
      <c r="A6796" t="s">
        <v>940</v>
      </c>
      <c r="B6796" t="s">
        <v>2647</v>
      </c>
      <c r="C6796" t="s">
        <v>927</v>
      </c>
      <c r="D6796" t="s">
        <v>3052</v>
      </c>
      <c r="E6796" t="s">
        <v>3053</v>
      </c>
      <c r="F6796" t="s">
        <v>678</v>
      </c>
      <c r="G6796" t="s">
        <v>679</v>
      </c>
      <c r="H6796" t="s">
        <v>7589</v>
      </c>
      <c r="I6796">
        <v>122</v>
      </c>
      <c r="J6796">
        <v>0</v>
      </c>
      <c r="K6796">
        <v>0</v>
      </c>
      <c r="L6796">
        <v>0</v>
      </c>
      <c r="M6796">
        <v>122</v>
      </c>
      <c r="N6796">
        <v>0</v>
      </c>
      <c r="O6796">
        <v>0</v>
      </c>
    </row>
    <row r="6797" spans="1:15" x14ac:dyDescent="0.25">
      <c r="A6797" t="s">
        <v>1423</v>
      </c>
      <c r="B6797" t="s">
        <v>2071</v>
      </c>
      <c r="C6797" t="s">
        <v>923</v>
      </c>
      <c r="D6797" t="s">
        <v>3063</v>
      </c>
      <c r="E6797" t="s">
        <v>3053</v>
      </c>
      <c r="F6797" t="s">
        <v>678</v>
      </c>
      <c r="G6797" t="s">
        <v>679</v>
      </c>
      <c r="H6797" t="s">
        <v>15122</v>
      </c>
      <c r="I6797">
        <v>8</v>
      </c>
      <c r="J6797">
        <v>0</v>
      </c>
      <c r="K6797">
        <v>0</v>
      </c>
      <c r="L6797">
        <v>8</v>
      </c>
      <c r="M6797">
        <v>0</v>
      </c>
      <c r="N6797">
        <v>0</v>
      </c>
      <c r="O6797">
        <v>0</v>
      </c>
    </row>
    <row r="6798" spans="1:15" x14ac:dyDescent="0.25">
      <c r="A6798" t="s">
        <v>1897</v>
      </c>
      <c r="B6798" t="s">
        <v>2883</v>
      </c>
      <c r="C6798" t="s">
        <v>927</v>
      </c>
      <c r="D6798" t="s">
        <v>3052</v>
      </c>
      <c r="E6798" t="s">
        <v>3053</v>
      </c>
      <c r="F6798" t="s">
        <v>678</v>
      </c>
      <c r="G6798" t="s">
        <v>679</v>
      </c>
      <c r="H6798" t="s">
        <v>11281</v>
      </c>
      <c r="I6798">
        <v>37</v>
      </c>
      <c r="J6798">
        <v>37</v>
      </c>
      <c r="K6798">
        <v>0</v>
      </c>
      <c r="L6798">
        <v>0</v>
      </c>
      <c r="M6798">
        <v>0</v>
      </c>
      <c r="N6798">
        <v>0</v>
      </c>
      <c r="O6798">
        <v>0</v>
      </c>
    </row>
    <row r="6799" spans="1:15" x14ac:dyDescent="0.25">
      <c r="A6799" t="s">
        <v>1046</v>
      </c>
      <c r="B6799" t="s">
        <v>2027</v>
      </c>
      <c r="C6799" t="s">
        <v>923</v>
      </c>
      <c r="D6799" t="s">
        <v>3063</v>
      </c>
      <c r="E6799" t="s">
        <v>3053</v>
      </c>
      <c r="F6799" t="s">
        <v>678</v>
      </c>
      <c r="G6799" t="s">
        <v>679</v>
      </c>
      <c r="H6799" t="s">
        <v>7591</v>
      </c>
      <c r="I6799">
        <v>4</v>
      </c>
      <c r="J6799">
        <v>0</v>
      </c>
      <c r="K6799">
        <v>0</v>
      </c>
      <c r="L6799">
        <v>4</v>
      </c>
      <c r="M6799">
        <v>0</v>
      </c>
      <c r="N6799">
        <v>0</v>
      </c>
      <c r="O6799">
        <v>0</v>
      </c>
    </row>
    <row r="6800" spans="1:15" x14ac:dyDescent="0.25">
      <c r="A6800" t="s">
        <v>951</v>
      </c>
      <c r="B6800" t="s">
        <v>2680</v>
      </c>
      <c r="C6800" t="s">
        <v>927</v>
      </c>
      <c r="D6800" t="s">
        <v>3052</v>
      </c>
      <c r="E6800" t="s">
        <v>3053</v>
      </c>
      <c r="F6800" t="s">
        <v>678</v>
      </c>
      <c r="G6800" t="s">
        <v>679</v>
      </c>
      <c r="H6800" t="s">
        <v>7592</v>
      </c>
      <c r="I6800">
        <v>207</v>
      </c>
      <c r="J6800">
        <v>167</v>
      </c>
      <c r="K6800">
        <v>0</v>
      </c>
      <c r="L6800">
        <v>0</v>
      </c>
      <c r="M6800">
        <v>40</v>
      </c>
      <c r="N6800">
        <v>0</v>
      </c>
      <c r="O6800">
        <v>0</v>
      </c>
    </row>
    <row r="6801" spans="1:15" x14ac:dyDescent="0.25">
      <c r="A6801" t="s">
        <v>1048</v>
      </c>
      <c r="B6801" t="s">
        <v>2989</v>
      </c>
      <c r="C6801" t="s">
        <v>927</v>
      </c>
      <c r="D6801" t="s">
        <v>3052</v>
      </c>
      <c r="E6801" t="s">
        <v>3053</v>
      </c>
      <c r="F6801" t="s">
        <v>678</v>
      </c>
      <c r="G6801" t="s">
        <v>679</v>
      </c>
      <c r="H6801" t="s">
        <v>7593</v>
      </c>
      <c r="I6801">
        <v>48</v>
      </c>
      <c r="J6801">
        <v>0</v>
      </c>
      <c r="K6801">
        <v>0</v>
      </c>
      <c r="L6801">
        <v>1</v>
      </c>
      <c r="M6801">
        <v>47</v>
      </c>
      <c r="N6801">
        <v>0</v>
      </c>
      <c r="O6801">
        <v>0</v>
      </c>
    </row>
    <row r="6802" spans="1:15" x14ac:dyDescent="0.25">
      <c r="A6802" t="s">
        <v>1051</v>
      </c>
      <c r="B6802" t="s">
        <v>2995</v>
      </c>
      <c r="C6802" t="s">
        <v>927</v>
      </c>
      <c r="D6802" t="s">
        <v>3052</v>
      </c>
      <c r="E6802" t="s">
        <v>3053</v>
      </c>
      <c r="F6802" t="s">
        <v>678</v>
      </c>
      <c r="G6802" t="s">
        <v>679</v>
      </c>
      <c r="H6802" t="s">
        <v>7594</v>
      </c>
      <c r="I6802">
        <v>18</v>
      </c>
      <c r="J6802">
        <v>0</v>
      </c>
      <c r="K6802">
        <v>0</v>
      </c>
      <c r="L6802">
        <v>18</v>
      </c>
      <c r="M6802">
        <v>0</v>
      </c>
      <c r="N6802">
        <v>0</v>
      </c>
      <c r="O6802">
        <v>0</v>
      </c>
    </row>
    <row r="6803" spans="1:15" x14ac:dyDescent="0.25">
      <c r="A6803" t="s">
        <v>1056</v>
      </c>
      <c r="B6803" t="s">
        <v>2966</v>
      </c>
      <c r="C6803" t="s">
        <v>927</v>
      </c>
      <c r="D6803" t="s">
        <v>3052</v>
      </c>
      <c r="E6803" t="s">
        <v>3053</v>
      </c>
      <c r="F6803" t="s">
        <v>678</v>
      </c>
      <c r="G6803" t="s">
        <v>679</v>
      </c>
      <c r="H6803" t="s">
        <v>7595</v>
      </c>
      <c r="I6803">
        <v>8</v>
      </c>
      <c r="J6803">
        <v>0</v>
      </c>
      <c r="K6803">
        <v>0</v>
      </c>
      <c r="L6803">
        <v>0</v>
      </c>
      <c r="M6803">
        <v>8</v>
      </c>
      <c r="N6803">
        <v>0</v>
      </c>
      <c r="O6803">
        <v>0</v>
      </c>
    </row>
    <row r="6804" spans="1:15" x14ac:dyDescent="0.25">
      <c r="A6804" t="s">
        <v>1057</v>
      </c>
      <c r="B6804" t="s">
        <v>1972</v>
      </c>
      <c r="C6804" t="s">
        <v>927</v>
      </c>
      <c r="D6804" t="s">
        <v>3052</v>
      </c>
      <c r="E6804" t="s">
        <v>3053</v>
      </c>
      <c r="F6804" t="s">
        <v>678</v>
      </c>
      <c r="G6804" t="s">
        <v>679</v>
      </c>
      <c r="H6804" t="s">
        <v>12303</v>
      </c>
      <c r="I6804">
        <v>73</v>
      </c>
      <c r="J6804">
        <v>62</v>
      </c>
      <c r="K6804">
        <v>0</v>
      </c>
      <c r="L6804">
        <v>0</v>
      </c>
      <c r="M6804">
        <v>0</v>
      </c>
      <c r="N6804">
        <v>0</v>
      </c>
      <c r="O6804">
        <v>11</v>
      </c>
    </row>
    <row r="6805" spans="1:15" x14ac:dyDescent="0.25">
      <c r="A6805" t="s">
        <v>955</v>
      </c>
      <c r="B6805" t="s">
        <v>2660</v>
      </c>
      <c r="C6805" t="s">
        <v>927</v>
      </c>
      <c r="D6805" t="s">
        <v>3052</v>
      </c>
      <c r="E6805" t="s">
        <v>3053</v>
      </c>
      <c r="F6805" t="s">
        <v>678</v>
      </c>
      <c r="G6805" t="s">
        <v>679</v>
      </c>
      <c r="H6805" t="s">
        <v>7596</v>
      </c>
      <c r="I6805">
        <v>351</v>
      </c>
      <c r="J6805">
        <v>300</v>
      </c>
      <c r="K6805">
        <v>0</v>
      </c>
      <c r="L6805">
        <v>0</v>
      </c>
      <c r="M6805">
        <v>51</v>
      </c>
      <c r="N6805">
        <v>2</v>
      </c>
      <c r="O6805">
        <v>0</v>
      </c>
    </row>
    <row r="6806" spans="1:15" x14ac:dyDescent="0.25">
      <c r="A6806" t="s">
        <v>1060</v>
      </c>
      <c r="B6806" t="s">
        <v>2651</v>
      </c>
      <c r="C6806" t="s">
        <v>927</v>
      </c>
      <c r="D6806" t="s">
        <v>3052</v>
      </c>
      <c r="E6806" t="s">
        <v>3053</v>
      </c>
      <c r="F6806" t="s">
        <v>678</v>
      </c>
      <c r="G6806" t="s">
        <v>679</v>
      </c>
      <c r="H6806" t="s">
        <v>7597</v>
      </c>
      <c r="I6806">
        <v>1202</v>
      </c>
      <c r="J6806">
        <v>955</v>
      </c>
      <c r="K6806">
        <v>0</v>
      </c>
      <c r="L6806">
        <v>206</v>
      </c>
      <c r="M6806">
        <v>0</v>
      </c>
      <c r="N6806">
        <v>0</v>
      </c>
      <c r="O6806">
        <v>41</v>
      </c>
    </row>
    <row r="6807" spans="1:15" x14ac:dyDescent="0.25">
      <c r="A6807" t="s">
        <v>962</v>
      </c>
      <c r="B6807" t="s">
        <v>2752</v>
      </c>
      <c r="C6807" t="s">
        <v>927</v>
      </c>
      <c r="D6807" t="s">
        <v>3052</v>
      </c>
      <c r="E6807" t="s">
        <v>3053</v>
      </c>
      <c r="F6807" t="s">
        <v>678</v>
      </c>
      <c r="G6807" t="s">
        <v>679</v>
      </c>
      <c r="H6807" t="s">
        <v>10449</v>
      </c>
      <c r="I6807">
        <v>38</v>
      </c>
      <c r="J6807">
        <v>30</v>
      </c>
      <c r="K6807">
        <v>0</v>
      </c>
      <c r="L6807">
        <v>0</v>
      </c>
      <c r="M6807">
        <v>0</v>
      </c>
      <c r="N6807">
        <v>0</v>
      </c>
      <c r="O6807">
        <v>8</v>
      </c>
    </row>
    <row r="6808" spans="1:15" x14ac:dyDescent="0.25">
      <c r="A6808" t="s">
        <v>1911</v>
      </c>
      <c r="B6808" t="s">
        <v>1968</v>
      </c>
      <c r="C6808" t="s">
        <v>923</v>
      </c>
      <c r="D6808" t="s">
        <v>3063</v>
      </c>
      <c r="E6808" t="s">
        <v>3053</v>
      </c>
      <c r="F6808" t="s">
        <v>678</v>
      </c>
      <c r="G6808" t="s">
        <v>679</v>
      </c>
      <c r="H6808" t="s">
        <v>7598</v>
      </c>
      <c r="I6808">
        <v>17</v>
      </c>
      <c r="J6808">
        <v>0</v>
      </c>
      <c r="K6808">
        <v>0</v>
      </c>
      <c r="L6808">
        <v>17</v>
      </c>
      <c r="M6808">
        <v>0</v>
      </c>
      <c r="N6808">
        <v>0</v>
      </c>
      <c r="O6808">
        <v>0</v>
      </c>
    </row>
    <row r="6809" spans="1:15" x14ac:dyDescent="0.25">
      <c r="A6809" t="s">
        <v>1069</v>
      </c>
      <c r="B6809" t="s">
        <v>2001</v>
      </c>
      <c r="C6809" t="s">
        <v>927</v>
      </c>
      <c r="D6809" t="s">
        <v>3052</v>
      </c>
      <c r="E6809" t="s">
        <v>3053</v>
      </c>
      <c r="F6809" t="s">
        <v>678</v>
      </c>
      <c r="G6809" t="s">
        <v>679</v>
      </c>
      <c r="H6809" t="s">
        <v>7599</v>
      </c>
      <c r="I6809">
        <v>760</v>
      </c>
      <c r="J6809">
        <v>586</v>
      </c>
      <c r="K6809">
        <v>0</v>
      </c>
      <c r="L6809">
        <v>0</v>
      </c>
      <c r="M6809">
        <v>125</v>
      </c>
      <c r="N6809">
        <v>0</v>
      </c>
      <c r="O6809">
        <v>49</v>
      </c>
    </row>
    <row r="6810" spans="1:15" x14ac:dyDescent="0.25">
      <c r="A6810" t="s">
        <v>1075</v>
      </c>
      <c r="B6810" t="s">
        <v>2830</v>
      </c>
      <c r="C6810" t="s">
        <v>927</v>
      </c>
      <c r="D6810" t="s">
        <v>3052</v>
      </c>
      <c r="E6810" t="s">
        <v>3053</v>
      </c>
      <c r="F6810" t="s">
        <v>678</v>
      </c>
      <c r="G6810" t="s">
        <v>679</v>
      </c>
      <c r="H6810" t="s">
        <v>7600</v>
      </c>
      <c r="I6810">
        <v>568</v>
      </c>
      <c r="J6810">
        <v>375</v>
      </c>
      <c r="K6810">
        <v>0</v>
      </c>
      <c r="L6810">
        <v>58</v>
      </c>
      <c r="M6810">
        <v>109</v>
      </c>
      <c r="N6810">
        <v>0</v>
      </c>
      <c r="O6810">
        <v>26</v>
      </c>
    </row>
    <row r="6811" spans="1:15" x14ac:dyDescent="0.25">
      <c r="A6811" t="s">
        <v>1920</v>
      </c>
      <c r="B6811" t="s">
        <v>2871</v>
      </c>
      <c r="C6811" t="s">
        <v>927</v>
      </c>
      <c r="D6811" t="s">
        <v>3052</v>
      </c>
      <c r="E6811" t="s">
        <v>3053</v>
      </c>
      <c r="F6811" t="s">
        <v>678</v>
      </c>
      <c r="G6811" t="s">
        <v>679</v>
      </c>
      <c r="H6811" t="s">
        <v>7601</v>
      </c>
      <c r="I6811">
        <v>23</v>
      </c>
      <c r="J6811">
        <v>13</v>
      </c>
      <c r="K6811">
        <v>0</v>
      </c>
      <c r="L6811">
        <v>0</v>
      </c>
      <c r="M6811">
        <v>0</v>
      </c>
      <c r="N6811">
        <v>0</v>
      </c>
      <c r="O6811">
        <v>10</v>
      </c>
    </row>
    <row r="6812" spans="1:15" x14ac:dyDescent="0.25">
      <c r="A6812" t="s">
        <v>1563</v>
      </c>
      <c r="B6812" t="s">
        <v>2895</v>
      </c>
      <c r="C6812" t="s">
        <v>927</v>
      </c>
      <c r="D6812" t="s">
        <v>3052</v>
      </c>
      <c r="E6812" t="s">
        <v>3053</v>
      </c>
      <c r="F6812" t="s">
        <v>678</v>
      </c>
      <c r="G6812" t="s">
        <v>679</v>
      </c>
      <c r="H6812" t="s">
        <v>7602</v>
      </c>
      <c r="I6812">
        <v>190</v>
      </c>
      <c r="J6812">
        <v>175</v>
      </c>
      <c r="K6812">
        <v>0</v>
      </c>
      <c r="L6812">
        <v>0</v>
      </c>
      <c r="M6812">
        <v>0</v>
      </c>
      <c r="N6812">
        <v>0</v>
      </c>
      <c r="O6812">
        <v>15</v>
      </c>
    </row>
    <row r="6813" spans="1:15" x14ac:dyDescent="0.25">
      <c r="A6813" t="s">
        <v>926</v>
      </c>
      <c r="B6813" t="s">
        <v>2923</v>
      </c>
      <c r="C6813" t="s">
        <v>927</v>
      </c>
      <c r="D6813" t="s">
        <v>3052</v>
      </c>
      <c r="E6813" t="s">
        <v>3053</v>
      </c>
      <c r="F6813" t="s">
        <v>680</v>
      </c>
      <c r="G6813" t="s">
        <v>681</v>
      </c>
      <c r="H6813" t="s">
        <v>7603</v>
      </c>
      <c r="I6813">
        <v>8</v>
      </c>
      <c r="J6813">
        <v>0</v>
      </c>
      <c r="K6813">
        <v>0</v>
      </c>
      <c r="L6813">
        <v>1</v>
      </c>
      <c r="M6813">
        <v>0</v>
      </c>
      <c r="N6813">
        <v>0</v>
      </c>
      <c r="O6813">
        <v>7</v>
      </c>
    </row>
    <row r="6814" spans="1:15" x14ac:dyDescent="0.25">
      <c r="A6814" t="s">
        <v>929</v>
      </c>
      <c r="B6814" t="s">
        <v>2999</v>
      </c>
      <c r="C6814" t="s">
        <v>927</v>
      </c>
      <c r="D6814" t="s">
        <v>3052</v>
      </c>
      <c r="E6814" t="s">
        <v>3053</v>
      </c>
      <c r="F6814" t="s">
        <v>680</v>
      </c>
      <c r="G6814" t="s">
        <v>681</v>
      </c>
      <c r="H6814" t="s">
        <v>7604</v>
      </c>
      <c r="I6814">
        <v>20</v>
      </c>
      <c r="J6814">
        <v>0</v>
      </c>
      <c r="K6814">
        <v>0</v>
      </c>
      <c r="L6814">
        <v>0</v>
      </c>
      <c r="M6814">
        <v>20</v>
      </c>
      <c r="N6814">
        <v>0</v>
      </c>
      <c r="O6814">
        <v>0</v>
      </c>
    </row>
    <row r="6815" spans="1:15" x14ac:dyDescent="0.25">
      <c r="A6815" t="s">
        <v>11687</v>
      </c>
      <c r="B6815" t="s">
        <v>2977</v>
      </c>
      <c r="C6815" t="s">
        <v>923</v>
      </c>
      <c r="D6815" t="s">
        <v>3063</v>
      </c>
      <c r="E6815" t="s">
        <v>3053</v>
      </c>
      <c r="F6815" t="s">
        <v>680</v>
      </c>
      <c r="G6815" t="s">
        <v>681</v>
      </c>
      <c r="H6815" t="s">
        <v>12304</v>
      </c>
      <c r="I6815">
        <v>22</v>
      </c>
      <c r="J6815">
        <v>0</v>
      </c>
      <c r="K6815">
        <v>0</v>
      </c>
      <c r="L6815">
        <v>0</v>
      </c>
      <c r="M6815">
        <v>22</v>
      </c>
      <c r="N6815">
        <v>0</v>
      </c>
      <c r="O6815">
        <v>0</v>
      </c>
    </row>
    <row r="6816" spans="1:15" x14ac:dyDescent="0.25">
      <c r="A6816" t="s">
        <v>983</v>
      </c>
      <c r="B6816" t="s">
        <v>2069</v>
      </c>
      <c r="C6816" t="s">
        <v>927</v>
      </c>
      <c r="D6816" t="s">
        <v>3052</v>
      </c>
      <c r="E6816" t="s">
        <v>3053</v>
      </c>
      <c r="F6816" t="s">
        <v>680</v>
      </c>
      <c r="G6816" t="s">
        <v>681</v>
      </c>
      <c r="H6816" t="s">
        <v>7605</v>
      </c>
      <c r="I6816">
        <v>93</v>
      </c>
      <c r="J6816">
        <v>45</v>
      </c>
      <c r="K6816">
        <v>0</v>
      </c>
      <c r="L6816">
        <v>0</v>
      </c>
      <c r="M6816">
        <v>0</v>
      </c>
      <c r="N6816">
        <v>0</v>
      </c>
      <c r="O6816">
        <v>48</v>
      </c>
    </row>
    <row r="6817" spans="1:15" x14ac:dyDescent="0.25">
      <c r="A6817" t="s">
        <v>1810</v>
      </c>
      <c r="B6817" t="s">
        <v>2119</v>
      </c>
      <c r="C6817" t="s">
        <v>923</v>
      </c>
      <c r="D6817" t="s">
        <v>3063</v>
      </c>
      <c r="E6817" t="s">
        <v>3053</v>
      </c>
      <c r="F6817" t="s">
        <v>680</v>
      </c>
      <c r="G6817" t="s">
        <v>681</v>
      </c>
      <c r="H6817" t="s">
        <v>7606</v>
      </c>
      <c r="I6817">
        <v>12</v>
      </c>
      <c r="J6817">
        <v>12</v>
      </c>
      <c r="K6817">
        <v>0</v>
      </c>
      <c r="L6817">
        <v>0</v>
      </c>
      <c r="M6817">
        <v>0</v>
      </c>
      <c r="N6817">
        <v>0</v>
      </c>
      <c r="O6817">
        <v>0</v>
      </c>
    </row>
    <row r="6818" spans="1:15" x14ac:dyDescent="0.25">
      <c r="A6818" t="s">
        <v>1715</v>
      </c>
      <c r="B6818" t="s">
        <v>2136</v>
      </c>
      <c r="C6818" t="s">
        <v>927</v>
      </c>
      <c r="D6818" t="s">
        <v>3052</v>
      </c>
      <c r="E6818" t="s">
        <v>3053</v>
      </c>
      <c r="F6818" t="s">
        <v>680</v>
      </c>
      <c r="G6818" t="s">
        <v>681</v>
      </c>
      <c r="H6818" t="s">
        <v>7607</v>
      </c>
      <c r="I6818">
        <v>172</v>
      </c>
      <c r="J6818">
        <v>115</v>
      </c>
      <c r="K6818">
        <v>0</v>
      </c>
      <c r="L6818">
        <v>0</v>
      </c>
      <c r="M6818">
        <v>0</v>
      </c>
      <c r="N6818">
        <v>0</v>
      </c>
      <c r="O6818">
        <v>57</v>
      </c>
    </row>
    <row r="6819" spans="1:15" x14ac:dyDescent="0.25">
      <c r="A6819" t="s">
        <v>933</v>
      </c>
      <c r="B6819" t="s">
        <v>2106</v>
      </c>
      <c r="C6819" t="s">
        <v>927</v>
      </c>
      <c r="D6819" t="s">
        <v>3052</v>
      </c>
      <c r="E6819" t="s">
        <v>3053</v>
      </c>
      <c r="F6819" t="s">
        <v>680</v>
      </c>
      <c r="G6819" t="s">
        <v>681</v>
      </c>
      <c r="H6819" t="s">
        <v>7608</v>
      </c>
      <c r="I6819">
        <v>679</v>
      </c>
      <c r="J6819">
        <v>582</v>
      </c>
      <c r="K6819">
        <v>0</v>
      </c>
      <c r="L6819">
        <v>0</v>
      </c>
      <c r="M6819">
        <v>0</v>
      </c>
      <c r="N6819">
        <v>6</v>
      </c>
      <c r="O6819">
        <v>97</v>
      </c>
    </row>
    <row r="6820" spans="1:15" x14ac:dyDescent="0.25">
      <c r="A6820" t="s">
        <v>11718</v>
      </c>
      <c r="B6820" t="s">
        <v>2185</v>
      </c>
      <c r="C6820" t="s">
        <v>923</v>
      </c>
      <c r="D6820" t="s">
        <v>3063</v>
      </c>
      <c r="E6820" t="s">
        <v>3053</v>
      </c>
      <c r="F6820" t="s">
        <v>680</v>
      </c>
      <c r="G6820" t="s">
        <v>681</v>
      </c>
      <c r="H6820" t="s">
        <v>12305</v>
      </c>
      <c r="I6820">
        <v>16</v>
      </c>
      <c r="J6820">
        <v>16</v>
      </c>
      <c r="K6820">
        <v>0</v>
      </c>
      <c r="L6820">
        <v>0</v>
      </c>
      <c r="M6820">
        <v>0</v>
      </c>
      <c r="N6820">
        <v>0</v>
      </c>
      <c r="O6820">
        <v>0</v>
      </c>
    </row>
    <row r="6821" spans="1:15" x14ac:dyDescent="0.25">
      <c r="A6821" t="s">
        <v>991</v>
      </c>
      <c r="B6821" t="s">
        <v>1976</v>
      </c>
      <c r="C6821" t="s">
        <v>923</v>
      </c>
      <c r="D6821" t="s">
        <v>3063</v>
      </c>
      <c r="E6821" t="s">
        <v>3053</v>
      </c>
      <c r="F6821" t="s">
        <v>680</v>
      </c>
      <c r="G6821" t="s">
        <v>681</v>
      </c>
      <c r="H6821" t="s">
        <v>7609</v>
      </c>
      <c r="I6821">
        <v>17</v>
      </c>
      <c r="J6821">
        <v>0</v>
      </c>
      <c r="K6821">
        <v>0</v>
      </c>
      <c r="L6821">
        <v>17</v>
      </c>
      <c r="M6821">
        <v>0</v>
      </c>
      <c r="N6821">
        <v>0</v>
      </c>
      <c r="O6821">
        <v>0</v>
      </c>
    </row>
    <row r="6822" spans="1:15" x14ac:dyDescent="0.25">
      <c r="A6822" t="s">
        <v>1416</v>
      </c>
      <c r="B6822" t="s">
        <v>2029</v>
      </c>
      <c r="C6822" t="s">
        <v>923</v>
      </c>
      <c r="D6822" t="s">
        <v>3063</v>
      </c>
      <c r="E6822" t="s">
        <v>3053</v>
      </c>
      <c r="F6822" t="s">
        <v>680</v>
      </c>
      <c r="G6822" t="s">
        <v>681</v>
      </c>
      <c r="H6822" t="s">
        <v>12306</v>
      </c>
      <c r="I6822">
        <v>1</v>
      </c>
      <c r="J6822">
        <v>0</v>
      </c>
      <c r="K6822">
        <v>0</v>
      </c>
      <c r="L6822">
        <v>1</v>
      </c>
      <c r="M6822">
        <v>0</v>
      </c>
      <c r="N6822">
        <v>0</v>
      </c>
      <c r="O6822">
        <v>0</v>
      </c>
    </row>
    <row r="6823" spans="1:15" x14ac:dyDescent="0.25">
      <c r="A6823" t="s">
        <v>10638</v>
      </c>
      <c r="B6823" t="s">
        <v>2057</v>
      </c>
      <c r="C6823" t="s">
        <v>927</v>
      </c>
      <c r="D6823" t="s">
        <v>3052</v>
      </c>
      <c r="E6823" t="s">
        <v>3053</v>
      </c>
      <c r="F6823" t="s">
        <v>680</v>
      </c>
      <c r="G6823" t="s">
        <v>681</v>
      </c>
      <c r="H6823" t="s">
        <v>11282</v>
      </c>
      <c r="I6823">
        <v>15</v>
      </c>
      <c r="J6823">
        <v>0</v>
      </c>
      <c r="K6823">
        <v>0</v>
      </c>
      <c r="L6823">
        <v>15</v>
      </c>
      <c r="M6823">
        <v>0</v>
      </c>
      <c r="N6823">
        <v>0</v>
      </c>
      <c r="O6823">
        <v>0</v>
      </c>
    </row>
    <row r="6824" spans="1:15" x14ac:dyDescent="0.25">
      <c r="A6824" t="s">
        <v>937</v>
      </c>
      <c r="B6824" t="s">
        <v>1962</v>
      </c>
      <c r="C6824" t="s">
        <v>927</v>
      </c>
      <c r="D6824" t="s">
        <v>3052</v>
      </c>
      <c r="E6824" t="s">
        <v>3053</v>
      </c>
      <c r="F6824" t="s">
        <v>680</v>
      </c>
      <c r="G6824" t="s">
        <v>681</v>
      </c>
      <c r="H6824" t="s">
        <v>7610</v>
      </c>
      <c r="I6824">
        <v>22</v>
      </c>
      <c r="J6824">
        <v>0</v>
      </c>
      <c r="K6824">
        <v>0</v>
      </c>
      <c r="L6824">
        <v>0</v>
      </c>
      <c r="M6824">
        <v>0</v>
      </c>
      <c r="N6824">
        <v>0</v>
      </c>
      <c r="O6824">
        <v>22</v>
      </c>
    </row>
    <row r="6825" spans="1:15" x14ac:dyDescent="0.25">
      <c r="A6825" t="s">
        <v>940</v>
      </c>
      <c r="B6825" t="s">
        <v>2647</v>
      </c>
      <c r="C6825" t="s">
        <v>927</v>
      </c>
      <c r="D6825" t="s">
        <v>3052</v>
      </c>
      <c r="E6825" t="s">
        <v>3053</v>
      </c>
      <c r="F6825" t="s">
        <v>680</v>
      </c>
      <c r="G6825" t="s">
        <v>681</v>
      </c>
      <c r="H6825" t="s">
        <v>7611</v>
      </c>
      <c r="I6825">
        <v>107</v>
      </c>
      <c r="J6825">
        <v>0</v>
      </c>
      <c r="K6825">
        <v>0</v>
      </c>
      <c r="L6825">
        <v>1</v>
      </c>
      <c r="M6825">
        <v>86</v>
      </c>
      <c r="N6825">
        <v>0</v>
      </c>
      <c r="O6825">
        <v>20</v>
      </c>
    </row>
    <row r="6826" spans="1:15" x14ac:dyDescent="0.25">
      <c r="A6826" t="s">
        <v>1126</v>
      </c>
      <c r="B6826" t="s">
        <v>2130</v>
      </c>
      <c r="C6826" t="s">
        <v>927</v>
      </c>
      <c r="D6826" t="s">
        <v>3052</v>
      </c>
      <c r="E6826" t="s">
        <v>3053</v>
      </c>
      <c r="F6826" t="s">
        <v>680</v>
      </c>
      <c r="G6826" t="s">
        <v>681</v>
      </c>
      <c r="H6826" t="s">
        <v>15123</v>
      </c>
      <c r="I6826">
        <v>31</v>
      </c>
      <c r="J6826">
        <v>0</v>
      </c>
      <c r="K6826">
        <v>0</v>
      </c>
      <c r="L6826">
        <v>0</v>
      </c>
      <c r="M6826">
        <v>0</v>
      </c>
      <c r="N6826">
        <v>0</v>
      </c>
      <c r="O6826">
        <v>31</v>
      </c>
    </row>
    <row r="6827" spans="1:15" x14ac:dyDescent="0.25">
      <c r="A6827" t="s">
        <v>1025</v>
      </c>
      <c r="B6827" t="s">
        <v>2893</v>
      </c>
      <c r="C6827" t="s">
        <v>927</v>
      </c>
      <c r="D6827" t="s">
        <v>3052</v>
      </c>
      <c r="E6827" t="s">
        <v>3053</v>
      </c>
      <c r="F6827" t="s">
        <v>680</v>
      </c>
      <c r="G6827" t="s">
        <v>681</v>
      </c>
      <c r="H6827" t="s">
        <v>11283</v>
      </c>
      <c r="I6827">
        <v>210</v>
      </c>
      <c r="J6827">
        <v>175</v>
      </c>
      <c r="K6827">
        <v>0</v>
      </c>
      <c r="L6827">
        <v>0</v>
      </c>
      <c r="M6827">
        <v>0</v>
      </c>
      <c r="N6827">
        <v>0</v>
      </c>
      <c r="O6827">
        <v>35</v>
      </c>
    </row>
    <row r="6828" spans="1:15" x14ac:dyDescent="0.25">
      <c r="A6828" t="s">
        <v>1026</v>
      </c>
      <c r="B6828" t="s">
        <v>2848</v>
      </c>
      <c r="C6828" t="s">
        <v>927</v>
      </c>
      <c r="D6828" t="s">
        <v>3052</v>
      </c>
      <c r="E6828" t="s">
        <v>3053</v>
      </c>
      <c r="F6828" t="s">
        <v>680</v>
      </c>
      <c r="G6828" t="s">
        <v>681</v>
      </c>
      <c r="H6828" t="s">
        <v>7612</v>
      </c>
      <c r="I6828">
        <v>6</v>
      </c>
      <c r="J6828">
        <v>0</v>
      </c>
      <c r="K6828">
        <v>0</v>
      </c>
      <c r="L6828">
        <v>6</v>
      </c>
      <c r="M6828">
        <v>0</v>
      </c>
      <c r="N6828">
        <v>0</v>
      </c>
      <c r="O6828">
        <v>0</v>
      </c>
    </row>
    <row r="6829" spans="1:15" x14ac:dyDescent="0.25">
      <c r="A6829" t="s">
        <v>1030</v>
      </c>
      <c r="B6829" t="s">
        <v>2880</v>
      </c>
      <c r="C6829" t="s">
        <v>927</v>
      </c>
      <c r="D6829" t="s">
        <v>3052</v>
      </c>
      <c r="E6829" t="s">
        <v>3053</v>
      </c>
      <c r="F6829" t="s">
        <v>680</v>
      </c>
      <c r="G6829" t="s">
        <v>681</v>
      </c>
      <c r="H6829" t="s">
        <v>7613</v>
      </c>
      <c r="I6829">
        <v>701</v>
      </c>
      <c r="J6829">
        <v>545</v>
      </c>
      <c r="K6829">
        <v>0</v>
      </c>
      <c r="L6829">
        <v>12</v>
      </c>
      <c r="M6829">
        <v>16</v>
      </c>
      <c r="N6829">
        <v>0</v>
      </c>
      <c r="O6829">
        <v>128</v>
      </c>
    </row>
    <row r="6830" spans="1:15" x14ac:dyDescent="0.25">
      <c r="A6830" t="s">
        <v>1041</v>
      </c>
      <c r="B6830" t="s">
        <v>2826</v>
      </c>
      <c r="C6830" t="s">
        <v>927</v>
      </c>
      <c r="D6830" t="s">
        <v>3052</v>
      </c>
      <c r="E6830" t="s">
        <v>3053</v>
      </c>
      <c r="F6830" t="s">
        <v>680</v>
      </c>
      <c r="G6830" t="s">
        <v>681</v>
      </c>
      <c r="H6830" t="s">
        <v>7614</v>
      </c>
      <c r="I6830">
        <v>195</v>
      </c>
      <c r="J6830">
        <v>0</v>
      </c>
      <c r="K6830">
        <v>0</v>
      </c>
      <c r="L6830">
        <v>0</v>
      </c>
      <c r="M6830">
        <v>0</v>
      </c>
      <c r="N6830">
        <v>0</v>
      </c>
      <c r="O6830">
        <v>195</v>
      </c>
    </row>
    <row r="6831" spans="1:15" x14ac:dyDescent="0.25">
      <c r="A6831" t="s">
        <v>9787</v>
      </c>
      <c r="B6831" t="s">
        <v>2822</v>
      </c>
      <c r="C6831" t="s">
        <v>927</v>
      </c>
      <c r="D6831" t="s">
        <v>3052</v>
      </c>
      <c r="E6831" t="s">
        <v>3053</v>
      </c>
      <c r="F6831" t="s">
        <v>680</v>
      </c>
      <c r="G6831" t="s">
        <v>681</v>
      </c>
      <c r="H6831" t="s">
        <v>10276</v>
      </c>
      <c r="I6831">
        <v>1150</v>
      </c>
      <c r="J6831">
        <v>1065</v>
      </c>
      <c r="K6831">
        <v>0</v>
      </c>
      <c r="L6831">
        <v>0</v>
      </c>
      <c r="M6831">
        <v>85</v>
      </c>
      <c r="N6831">
        <v>0</v>
      </c>
      <c r="O6831">
        <v>0</v>
      </c>
    </row>
    <row r="6832" spans="1:15" x14ac:dyDescent="0.25">
      <c r="A6832" t="s">
        <v>1043</v>
      </c>
      <c r="B6832" t="s">
        <v>2090</v>
      </c>
      <c r="C6832" t="s">
        <v>927</v>
      </c>
      <c r="D6832" t="s">
        <v>3052</v>
      </c>
      <c r="E6832" t="s">
        <v>3053</v>
      </c>
      <c r="F6832" t="s">
        <v>680</v>
      </c>
      <c r="G6832" t="s">
        <v>681</v>
      </c>
      <c r="H6832" t="s">
        <v>7615</v>
      </c>
      <c r="I6832">
        <v>56</v>
      </c>
      <c r="J6832">
        <v>52</v>
      </c>
      <c r="K6832">
        <v>0</v>
      </c>
      <c r="L6832">
        <v>4</v>
      </c>
      <c r="M6832">
        <v>0</v>
      </c>
      <c r="N6832">
        <v>0</v>
      </c>
      <c r="O6832">
        <v>0</v>
      </c>
    </row>
    <row r="6833" spans="1:15" x14ac:dyDescent="0.25">
      <c r="A6833" t="s">
        <v>1048</v>
      </c>
      <c r="B6833" t="s">
        <v>2989</v>
      </c>
      <c r="C6833" t="s">
        <v>927</v>
      </c>
      <c r="D6833" t="s">
        <v>3052</v>
      </c>
      <c r="E6833" t="s">
        <v>3053</v>
      </c>
      <c r="F6833" t="s">
        <v>680</v>
      </c>
      <c r="G6833" t="s">
        <v>681</v>
      </c>
      <c r="H6833" t="s">
        <v>12307</v>
      </c>
      <c r="I6833">
        <v>24</v>
      </c>
      <c r="J6833">
        <v>12</v>
      </c>
      <c r="K6833">
        <v>0</v>
      </c>
      <c r="L6833">
        <v>0</v>
      </c>
      <c r="M6833">
        <v>0</v>
      </c>
      <c r="N6833">
        <v>0</v>
      </c>
      <c r="O6833">
        <v>12</v>
      </c>
    </row>
    <row r="6834" spans="1:15" x14ac:dyDescent="0.25">
      <c r="A6834" t="s">
        <v>1049</v>
      </c>
      <c r="B6834" t="s">
        <v>2138</v>
      </c>
      <c r="C6834" t="s">
        <v>927</v>
      </c>
      <c r="D6834" t="s">
        <v>3052</v>
      </c>
      <c r="E6834" t="s">
        <v>3053</v>
      </c>
      <c r="F6834" t="s">
        <v>680</v>
      </c>
      <c r="G6834" t="s">
        <v>681</v>
      </c>
      <c r="H6834" t="s">
        <v>7616</v>
      </c>
      <c r="I6834">
        <v>195</v>
      </c>
      <c r="J6834">
        <v>118</v>
      </c>
      <c r="K6834">
        <v>0</v>
      </c>
      <c r="L6834">
        <v>0</v>
      </c>
      <c r="M6834">
        <v>0</v>
      </c>
      <c r="N6834">
        <v>0</v>
      </c>
      <c r="O6834">
        <v>77</v>
      </c>
    </row>
    <row r="6835" spans="1:15" x14ac:dyDescent="0.25">
      <c r="A6835" t="s">
        <v>11720</v>
      </c>
      <c r="B6835" t="s">
        <v>10718</v>
      </c>
      <c r="C6835" t="s">
        <v>927</v>
      </c>
      <c r="D6835" t="s">
        <v>3052</v>
      </c>
      <c r="E6835" t="s">
        <v>3053</v>
      </c>
      <c r="F6835" t="s">
        <v>680</v>
      </c>
      <c r="G6835" t="s">
        <v>681</v>
      </c>
      <c r="H6835" t="s">
        <v>15124</v>
      </c>
      <c r="I6835">
        <v>22</v>
      </c>
      <c r="J6835">
        <v>15</v>
      </c>
      <c r="K6835">
        <v>0</v>
      </c>
      <c r="L6835">
        <v>0</v>
      </c>
      <c r="M6835">
        <v>0</v>
      </c>
      <c r="N6835">
        <v>0</v>
      </c>
      <c r="O6835">
        <v>7</v>
      </c>
    </row>
    <row r="6836" spans="1:15" x14ac:dyDescent="0.25">
      <c r="A6836" t="s">
        <v>9788</v>
      </c>
      <c r="B6836" t="s">
        <v>9871</v>
      </c>
      <c r="C6836" t="s">
        <v>927</v>
      </c>
      <c r="D6836" t="s">
        <v>3052</v>
      </c>
      <c r="E6836" t="s">
        <v>3053</v>
      </c>
      <c r="F6836" t="s">
        <v>680</v>
      </c>
      <c r="G6836" t="s">
        <v>681</v>
      </c>
      <c r="H6836" t="s">
        <v>10370</v>
      </c>
      <c r="I6836">
        <v>15</v>
      </c>
      <c r="J6836">
        <v>15</v>
      </c>
      <c r="K6836">
        <v>0</v>
      </c>
      <c r="L6836">
        <v>0</v>
      </c>
      <c r="M6836">
        <v>0</v>
      </c>
      <c r="N6836">
        <v>0</v>
      </c>
      <c r="O6836">
        <v>0</v>
      </c>
    </row>
    <row r="6837" spans="1:15" x14ac:dyDescent="0.25">
      <c r="A6837" t="s">
        <v>1057</v>
      </c>
      <c r="B6837" t="s">
        <v>1972</v>
      </c>
      <c r="C6837" t="s">
        <v>927</v>
      </c>
      <c r="D6837" t="s">
        <v>3052</v>
      </c>
      <c r="E6837" t="s">
        <v>3053</v>
      </c>
      <c r="F6837" t="s">
        <v>680</v>
      </c>
      <c r="G6837" t="s">
        <v>681</v>
      </c>
      <c r="H6837" t="s">
        <v>7617</v>
      </c>
      <c r="I6837">
        <v>10</v>
      </c>
      <c r="J6837">
        <v>10</v>
      </c>
      <c r="K6837">
        <v>0</v>
      </c>
      <c r="L6837">
        <v>0</v>
      </c>
      <c r="M6837">
        <v>0</v>
      </c>
      <c r="N6837">
        <v>0</v>
      </c>
      <c r="O6837">
        <v>0</v>
      </c>
    </row>
    <row r="6838" spans="1:15" x14ac:dyDescent="0.25">
      <c r="A6838" t="s">
        <v>955</v>
      </c>
      <c r="B6838" t="s">
        <v>2660</v>
      </c>
      <c r="C6838" t="s">
        <v>927</v>
      </c>
      <c r="D6838" t="s">
        <v>3052</v>
      </c>
      <c r="E6838" t="s">
        <v>3053</v>
      </c>
      <c r="F6838" t="s">
        <v>680</v>
      </c>
      <c r="G6838" t="s">
        <v>681</v>
      </c>
      <c r="H6838" t="s">
        <v>7618</v>
      </c>
      <c r="I6838">
        <v>123</v>
      </c>
      <c r="J6838">
        <v>123</v>
      </c>
      <c r="K6838">
        <v>0</v>
      </c>
      <c r="L6838">
        <v>0</v>
      </c>
      <c r="M6838">
        <v>0</v>
      </c>
      <c r="N6838">
        <v>0</v>
      </c>
      <c r="O6838">
        <v>0</v>
      </c>
    </row>
    <row r="6839" spans="1:15" x14ac:dyDescent="0.25">
      <c r="A6839" t="s">
        <v>14374</v>
      </c>
      <c r="B6839" t="s">
        <v>1943</v>
      </c>
      <c r="C6839" t="s">
        <v>927</v>
      </c>
      <c r="D6839" t="s">
        <v>3052</v>
      </c>
      <c r="E6839" t="s">
        <v>3053</v>
      </c>
      <c r="F6839" t="s">
        <v>680</v>
      </c>
      <c r="G6839" t="s">
        <v>681</v>
      </c>
      <c r="H6839" t="s">
        <v>15125</v>
      </c>
      <c r="I6839">
        <v>12</v>
      </c>
      <c r="J6839">
        <v>0</v>
      </c>
      <c r="K6839">
        <v>0</v>
      </c>
      <c r="L6839">
        <v>0</v>
      </c>
      <c r="M6839">
        <v>0</v>
      </c>
      <c r="N6839">
        <v>0</v>
      </c>
      <c r="O6839">
        <v>12</v>
      </c>
    </row>
    <row r="6840" spans="1:15" x14ac:dyDescent="0.25">
      <c r="A6840" t="s">
        <v>962</v>
      </c>
      <c r="B6840" t="s">
        <v>2752</v>
      </c>
      <c r="C6840" t="s">
        <v>927</v>
      </c>
      <c r="D6840" t="s">
        <v>3052</v>
      </c>
      <c r="E6840" t="s">
        <v>3053</v>
      </c>
      <c r="F6840" t="s">
        <v>680</v>
      </c>
      <c r="G6840" t="s">
        <v>681</v>
      </c>
      <c r="H6840" t="s">
        <v>12308</v>
      </c>
      <c r="I6840">
        <v>11</v>
      </c>
      <c r="J6840">
        <v>0</v>
      </c>
      <c r="K6840">
        <v>0</v>
      </c>
      <c r="L6840">
        <v>0</v>
      </c>
      <c r="M6840">
        <v>0</v>
      </c>
      <c r="N6840">
        <v>0</v>
      </c>
      <c r="O6840">
        <v>11</v>
      </c>
    </row>
    <row r="6841" spans="1:15" x14ac:dyDescent="0.25">
      <c r="A6841" t="s">
        <v>1069</v>
      </c>
      <c r="B6841" t="s">
        <v>2001</v>
      </c>
      <c r="C6841" t="s">
        <v>927</v>
      </c>
      <c r="D6841" t="s">
        <v>3052</v>
      </c>
      <c r="E6841" t="s">
        <v>3053</v>
      </c>
      <c r="F6841" t="s">
        <v>680</v>
      </c>
      <c r="G6841" t="s">
        <v>681</v>
      </c>
      <c r="H6841" t="s">
        <v>7619</v>
      </c>
      <c r="I6841">
        <v>13</v>
      </c>
      <c r="J6841">
        <v>0</v>
      </c>
      <c r="K6841">
        <v>0</v>
      </c>
      <c r="L6841">
        <v>0</v>
      </c>
      <c r="M6841">
        <v>0</v>
      </c>
      <c r="N6841">
        <v>0</v>
      </c>
      <c r="O6841">
        <v>13</v>
      </c>
    </row>
    <row r="6842" spans="1:15" x14ac:dyDescent="0.25">
      <c r="A6842" t="s">
        <v>1072</v>
      </c>
      <c r="B6842" t="s">
        <v>2907</v>
      </c>
      <c r="C6842" t="s">
        <v>927</v>
      </c>
      <c r="D6842" t="s">
        <v>3052</v>
      </c>
      <c r="E6842" t="s">
        <v>3053</v>
      </c>
      <c r="F6842" t="s">
        <v>680</v>
      </c>
      <c r="G6842" t="s">
        <v>681</v>
      </c>
      <c r="H6842" t="s">
        <v>7620</v>
      </c>
      <c r="I6842">
        <v>6</v>
      </c>
      <c r="J6842">
        <v>0</v>
      </c>
      <c r="K6842">
        <v>0</v>
      </c>
      <c r="L6842">
        <v>0</v>
      </c>
      <c r="M6842">
        <v>6</v>
      </c>
      <c r="N6842">
        <v>0</v>
      </c>
      <c r="O6842">
        <v>0</v>
      </c>
    </row>
    <row r="6843" spans="1:15" x14ac:dyDescent="0.25">
      <c r="A6843" t="s">
        <v>1865</v>
      </c>
      <c r="B6843" t="s">
        <v>2866</v>
      </c>
      <c r="C6843" t="s">
        <v>927</v>
      </c>
      <c r="D6843" t="s">
        <v>3052</v>
      </c>
      <c r="E6843" t="s">
        <v>3053</v>
      </c>
      <c r="F6843" t="s">
        <v>680</v>
      </c>
      <c r="G6843" t="s">
        <v>681</v>
      </c>
      <c r="H6843" t="s">
        <v>12309</v>
      </c>
      <c r="I6843">
        <v>67</v>
      </c>
      <c r="J6843">
        <v>56</v>
      </c>
      <c r="K6843">
        <v>0</v>
      </c>
      <c r="L6843">
        <v>0</v>
      </c>
      <c r="M6843">
        <v>0</v>
      </c>
      <c r="N6843">
        <v>0</v>
      </c>
      <c r="O6843">
        <v>11</v>
      </c>
    </row>
    <row r="6844" spans="1:15" x14ac:dyDescent="0.25">
      <c r="A6844" t="s">
        <v>1866</v>
      </c>
      <c r="B6844" t="s">
        <v>2813</v>
      </c>
      <c r="C6844" t="s">
        <v>923</v>
      </c>
      <c r="D6844" t="s">
        <v>3063</v>
      </c>
      <c r="E6844" t="s">
        <v>3053</v>
      </c>
      <c r="F6844" t="s">
        <v>680</v>
      </c>
      <c r="G6844" t="s">
        <v>681</v>
      </c>
      <c r="H6844" t="s">
        <v>7621</v>
      </c>
      <c r="I6844">
        <v>21</v>
      </c>
      <c r="J6844">
        <v>21</v>
      </c>
      <c r="K6844">
        <v>0</v>
      </c>
      <c r="L6844">
        <v>0</v>
      </c>
      <c r="M6844">
        <v>0</v>
      </c>
      <c r="N6844">
        <v>0</v>
      </c>
      <c r="O6844">
        <v>0</v>
      </c>
    </row>
    <row r="6845" spans="1:15" x14ac:dyDescent="0.25">
      <c r="A6845" t="s">
        <v>1195</v>
      </c>
      <c r="B6845" t="s">
        <v>2924</v>
      </c>
      <c r="C6845" t="s">
        <v>927</v>
      </c>
      <c r="D6845" t="s">
        <v>3052</v>
      </c>
      <c r="E6845" t="s">
        <v>3053</v>
      </c>
      <c r="F6845" t="s">
        <v>682</v>
      </c>
      <c r="G6845" t="s">
        <v>683</v>
      </c>
      <c r="H6845" t="s">
        <v>7622</v>
      </c>
      <c r="I6845">
        <v>1</v>
      </c>
      <c r="J6845">
        <v>0</v>
      </c>
      <c r="K6845">
        <v>0</v>
      </c>
      <c r="L6845">
        <v>0</v>
      </c>
      <c r="M6845">
        <v>0</v>
      </c>
      <c r="N6845">
        <v>0</v>
      </c>
      <c r="O6845">
        <v>1</v>
      </c>
    </row>
    <row r="6846" spans="1:15" x14ac:dyDescent="0.25">
      <c r="A6846" t="s">
        <v>1564</v>
      </c>
      <c r="B6846" t="s">
        <v>3039</v>
      </c>
      <c r="C6846" t="s">
        <v>927</v>
      </c>
      <c r="D6846" t="s">
        <v>3052</v>
      </c>
      <c r="E6846" t="s">
        <v>3053</v>
      </c>
      <c r="F6846" t="s">
        <v>682</v>
      </c>
      <c r="G6846" t="s">
        <v>683</v>
      </c>
      <c r="H6846" t="s">
        <v>12310</v>
      </c>
      <c r="I6846">
        <v>19</v>
      </c>
      <c r="J6846">
        <v>0</v>
      </c>
      <c r="K6846">
        <v>0</v>
      </c>
      <c r="L6846">
        <v>0</v>
      </c>
      <c r="M6846">
        <v>0</v>
      </c>
      <c r="N6846">
        <v>0</v>
      </c>
      <c r="O6846">
        <v>19</v>
      </c>
    </row>
    <row r="6847" spans="1:15" x14ac:dyDescent="0.25">
      <c r="A6847" t="s">
        <v>1196</v>
      </c>
      <c r="B6847" t="s">
        <v>3004</v>
      </c>
      <c r="C6847" t="s">
        <v>927</v>
      </c>
      <c r="D6847" t="s">
        <v>3052</v>
      </c>
      <c r="E6847" t="s">
        <v>3053</v>
      </c>
      <c r="F6847" t="s">
        <v>682</v>
      </c>
      <c r="G6847" t="s">
        <v>683</v>
      </c>
      <c r="H6847" t="s">
        <v>7623</v>
      </c>
      <c r="I6847">
        <v>473</v>
      </c>
      <c r="J6847">
        <v>429</v>
      </c>
      <c r="K6847">
        <v>0</v>
      </c>
      <c r="L6847">
        <v>10</v>
      </c>
      <c r="M6847">
        <v>28</v>
      </c>
      <c r="N6847">
        <v>0</v>
      </c>
      <c r="O6847">
        <v>6</v>
      </c>
    </row>
    <row r="6848" spans="1:15" x14ac:dyDescent="0.25">
      <c r="A6848" t="s">
        <v>971</v>
      </c>
      <c r="B6848" t="s">
        <v>2956</v>
      </c>
      <c r="C6848" t="s">
        <v>927</v>
      </c>
      <c r="D6848" t="s">
        <v>3052</v>
      </c>
      <c r="E6848" t="s">
        <v>3053</v>
      </c>
      <c r="F6848" t="s">
        <v>682</v>
      </c>
      <c r="G6848" t="s">
        <v>683</v>
      </c>
      <c r="H6848" t="s">
        <v>7624</v>
      </c>
      <c r="I6848">
        <v>241</v>
      </c>
      <c r="J6848">
        <v>152</v>
      </c>
      <c r="K6848">
        <v>0</v>
      </c>
      <c r="L6848">
        <v>0</v>
      </c>
      <c r="M6848">
        <v>0</v>
      </c>
      <c r="N6848">
        <v>0</v>
      </c>
      <c r="O6848">
        <v>89</v>
      </c>
    </row>
    <row r="6849" spans="1:15" x14ac:dyDescent="0.25">
      <c r="A6849" t="s">
        <v>929</v>
      </c>
      <c r="B6849" t="s">
        <v>2999</v>
      </c>
      <c r="C6849" t="s">
        <v>927</v>
      </c>
      <c r="D6849" t="s">
        <v>3052</v>
      </c>
      <c r="E6849" t="s">
        <v>3053</v>
      </c>
      <c r="F6849" t="s">
        <v>682</v>
      </c>
      <c r="G6849" t="s">
        <v>683</v>
      </c>
      <c r="H6849" t="s">
        <v>7625</v>
      </c>
      <c r="I6849">
        <v>169</v>
      </c>
      <c r="J6849">
        <v>1</v>
      </c>
      <c r="K6849">
        <v>0</v>
      </c>
      <c r="L6849">
        <v>0</v>
      </c>
      <c r="M6849">
        <v>165</v>
      </c>
      <c r="N6849">
        <v>0</v>
      </c>
      <c r="O6849">
        <v>3</v>
      </c>
    </row>
    <row r="6850" spans="1:15" x14ac:dyDescent="0.25">
      <c r="A6850" t="s">
        <v>10638</v>
      </c>
      <c r="B6850" t="s">
        <v>2057</v>
      </c>
      <c r="C6850" t="s">
        <v>927</v>
      </c>
      <c r="D6850" t="s">
        <v>3052</v>
      </c>
      <c r="E6850" t="s">
        <v>3053</v>
      </c>
      <c r="F6850" t="s">
        <v>682</v>
      </c>
      <c r="G6850" t="s">
        <v>683</v>
      </c>
      <c r="H6850" t="s">
        <v>11284</v>
      </c>
      <c r="I6850">
        <v>3</v>
      </c>
      <c r="J6850">
        <v>0</v>
      </c>
      <c r="K6850">
        <v>0</v>
      </c>
      <c r="L6850">
        <v>3</v>
      </c>
      <c r="M6850">
        <v>0</v>
      </c>
      <c r="N6850">
        <v>0</v>
      </c>
      <c r="O6850">
        <v>0</v>
      </c>
    </row>
    <row r="6851" spans="1:15" x14ac:dyDescent="0.25">
      <c r="A6851" t="s">
        <v>940</v>
      </c>
      <c r="B6851" t="s">
        <v>2647</v>
      </c>
      <c r="C6851" t="s">
        <v>927</v>
      </c>
      <c r="D6851" t="s">
        <v>3052</v>
      </c>
      <c r="E6851" t="s">
        <v>3053</v>
      </c>
      <c r="F6851" t="s">
        <v>682</v>
      </c>
      <c r="G6851" t="s">
        <v>683</v>
      </c>
      <c r="H6851" t="s">
        <v>7626</v>
      </c>
      <c r="I6851">
        <v>40</v>
      </c>
      <c r="J6851">
        <v>0</v>
      </c>
      <c r="K6851">
        <v>0</v>
      </c>
      <c r="L6851">
        <v>0</v>
      </c>
      <c r="M6851">
        <v>40</v>
      </c>
      <c r="N6851">
        <v>0</v>
      </c>
      <c r="O6851">
        <v>0</v>
      </c>
    </row>
    <row r="6852" spans="1:15" x14ac:dyDescent="0.25">
      <c r="A6852" t="s">
        <v>11755</v>
      </c>
      <c r="B6852" t="s">
        <v>11754</v>
      </c>
      <c r="C6852" t="s">
        <v>923</v>
      </c>
      <c r="D6852" t="s">
        <v>3063</v>
      </c>
      <c r="E6852" t="s">
        <v>3053</v>
      </c>
      <c r="F6852" t="s">
        <v>682</v>
      </c>
      <c r="G6852" t="s">
        <v>683</v>
      </c>
      <c r="H6852" t="s">
        <v>15126</v>
      </c>
      <c r="I6852">
        <v>8</v>
      </c>
      <c r="J6852">
        <v>0</v>
      </c>
      <c r="K6852">
        <v>0</v>
      </c>
      <c r="L6852">
        <v>8</v>
      </c>
      <c r="M6852">
        <v>0</v>
      </c>
      <c r="N6852">
        <v>0</v>
      </c>
      <c r="O6852">
        <v>0</v>
      </c>
    </row>
    <row r="6853" spans="1:15" x14ac:dyDescent="0.25">
      <c r="A6853" t="s">
        <v>1025</v>
      </c>
      <c r="B6853" t="s">
        <v>2893</v>
      </c>
      <c r="C6853" t="s">
        <v>927</v>
      </c>
      <c r="D6853" t="s">
        <v>3052</v>
      </c>
      <c r="E6853" t="s">
        <v>3053</v>
      </c>
      <c r="F6853" t="s">
        <v>682</v>
      </c>
      <c r="G6853" t="s">
        <v>683</v>
      </c>
      <c r="H6853" t="s">
        <v>7627</v>
      </c>
      <c r="I6853">
        <v>2</v>
      </c>
      <c r="J6853">
        <v>0</v>
      </c>
      <c r="K6853">
        <v>0</v>
      </c>
      <c r="L6853">
        <v>0</v>
      </c>
      <c r="M6853">
        <v>0</v>
      </c>
      <c r="N6853">
        <v>0</v>
      </c>
      <c r="O6853">
        <v>2</v>
      </c>
    </row>
    <row r="6854" spans="1:15" x14ac:dyDescent="0.25">
      <c r="A6854" t="s">
        <v>943</v>
      </c>
      <c r="B6854" t="s">
        <v>2694</v>
      </c>
      <c r="C6854" t="s">
        <v>927</v>
      </c>
      <c r="D6854" t="s">
        <v>3052</v>
      </c>
      <c r="E6854" t="s">
        <v>3053</v>
      </c>
      <c r="F6854" t="s">
        <v>682</v>
      </c>
      <c r="G6854" t="s">
        <v>683</v>
      </c>
      <c r="H6854" t="s">
        <v>7628</v>
      </c>
      <c r="I6854">
        <v>471</v>
      </c>
      <c r="J6854">
        <v>321</v>
      </c>
      <c r="K6854">
        <v>0</v>
      </c>
      <c r="L6854">
        <v>0</v>
      </c>
      <c r="M6854">
        <v>0</v>
      </c>
      <c r="N6854">
        <v>0</v>
      </c>
      <c r="O6854">
        <v>150</v>
      </c>
    </row>
    <row r="6855" spans="1:15" x14ac:dyDescent="0.25">
      <c r="A6855" t="s">
        <v>1300</v>
      </c>
      <c r="B6855" t="s">
        <v>2644</v>
      </c>
      <c r="C6855" t="s">
        <v>927</v>
      </c>
      <c r="D6855" t="s">
        <v>3052</v>
      </c>
      <c r="E6855" t="s">
        <v>3053</v>
      </c>
      <c r="F6855" t="s">
        <v>682</v>
      </c>
      <c r="G6855" t="s">
        <v>683</v>
      </c>
      <c r="H6855" t="s">
        <v>7629</v>
      </c>
      <c r="I6855">
        <v>78</v>
      </c>
      <c r="J6855">
        <v>60</v>
      </c>
      <c r="K6855">
        <v>0</v>
      </c>
      <c r="L6855">
        <v>16</v>
      </c>
      <c r="M6855">
        <v>0</v>
      </c>
      <c r="N6855">
        <v>0</v>
      </c>
      <c r="O6855">
        <v>2</v>
      </c>
    </row>
    <row r="6856" spans="1:15" x14ac:dyDescent="0.25">
      <c r="A6856" t="s">
        <v>949</v>
      </c>
      <c r="B6856" t="s">
        <v>3035</v>
      </c>
      <c r="C6856" t="s">
        <v>927</v>
      </c>
      <c r="D6856" t="s">
        <v>3052</v>
      </c>
      <c r="E6856" t="s">
        <v>3053</v>
      </c>
      <c r="F6856" t="s">
        <v>682</v>
      </c>
      <c r="G6856" t="s">
        <v>683</v>
      </c>
      <c r="H6856" t="s">
        <v>7630</v>
      </c>
      <c r="I6856">
        <v>1</v>
      </c>
      <c r="J6856">
        <v>0</v>
      </c>
      <c r="K6856">
        <v>0</v>
      </c>
      <c r="L6856">
        <v>0</v>
      </c>
      <c r="M6856">
        <v>0</v>
      </c>
      <c r="N6856">
        <v>0</v>
      </c>
      <c r="O6856">
        <v>1</v>
      </c>
    </row>
    <row r="6857" spans="1:15" x14ac:dyDescent="0.25">
      <c r="A6857" t="s">
        <v>1136</v>
      </c>
      <c r="B6857" t="s">
        <v>1942</v>
      </c>
      <c r="C6857" t="s">
        <v>923</v>
      </c>
      <c r="D6857" t="s">
        <v>3063</v>
      </c>
      <c r="E6857" t="s">
        <v>3053</v>
      </c>
      <c r="F6857" t="s">
        <v>682</v>
      </c>
      <c r="G6857" t="s">
        <v>683</v>
      </c>
      <c r="H6857" t="s">
        <v>11285</v>
      </c>
      <c r="I6857">
        <v>1</v>
      </c>
      <c r="J6857">
        <v>1</v>
      </c>
      <c r="K6857">
        <v>0</v>
      </c>
      <c r="L6857">
        <v>0</v>
      </c>
      <c r="M6857">
        <v>0</v>
      </c>
      <c r="N6857">
        <v>0</v>
      </c>
      <c r="O6857">
        <v>0</v>
      </c>
    </row>
    <row r="6858" spans="1:15" x14ac:dyDescent="0.25">
      <c r="A6858" t="s">
        <v>1043</v>
      </c>
      <c r="B6858" t="s">
        <v>2090</v>
      </c>
      <c r="C6858" t="s">
        <v>927</v>
      </c>
      <c r="D6858" t="s">
        <v>3052</v>
      </c>
      <c r="E6858" t="s">
        <v>3053</v>
      </c>
      <c r="F6858" t="s">
        <v>682</v>
      </c>
      <c r="G6858" t="s">
        <v>683</v>
      </c>
      <c r="H6858" t="s">
        <v>7631</v>
      </c>
      <c r="I6858">
        <v>220</v>
      </c>
      <c r="J6858">
        <v>140</v>
      </c>
      <c r="K6858">
        <v>0</v>
      </c>
      <c r="L6858">
        <v>0</v>
      </c>
      <c r="M6858">
        <v>0</v>
      </c>
      <c r="N6858">
        <v>0</v>
      </c>
      <c r="O6858">
        <v>80</v>
      </c>
    </row>
    <row r="6859" spans="1:15" x14ac:dyDescent="0.25">
      <c r="A6859" t="s">
        <v>1146</v>
      </c>
      <c r="B6859" t="s">
        <v>2117</v>
      </c>
      <c r="C6859" t="s">
        <v>927</v>
      </c>
      <c r="D6859" t="s">
        <v>3052</v>
      </c>
      <c r="E6859" t="s">
        <v>3053</v>
      </c>
      <c r="F6859" t="s">
        <v>682</v>
      </c>
      <c r="G6859" t="s">
        <v>683</v>
      </c>
      <c r="H6859" t="s">
        <v>15127</v>
      </c>
      <c r="I6859">
        <v>1</v>
      </c>
      <c r="J6859">
        <v>0</v>
      </c>
      <c r="K6859">
        <v>0</v>
      </c>
      <c r="L6859">
        <v>0</v>
      </c>
      <c r="M6859">
        <v>0</v>
      </c>
      <c r="N6859">
        <v>0</v>
      </c>
      <c r="O6859">
        <v>1</v>
      </c>
    </row>
    <row r="6860" spans="1:15" x14ac:dyDescent="0.25">
      <c r="A6860" t="s">
        <v>9788</v>
      </c>
      <c r="B6860" t="s">
        <v>9871</v>
      </c>
      <c r="C6860" t="s">
        <v>927</v>
      </c>
      <c r="D6860" t="s">
        <v>3052</v>
      </c>
      <c r="E6860" t="s">
        <v>3053</v>
      </c>
      <c r="F6860" t="s">
        <v>682</v>
      </c>
      <c r="G6860" t="s">
        <v>683</v>
      </c>
      <c r="H6860" t="s">
        <v>15128</v>
      </c>
      <c r="I6860">
        <v>36</v>
      </c>
      <c r="J6860">
        <v>36</v>
      </c>
      <c r="K6860">
        <v>0</v>
      </c>
      <c r="L6860">
        <v>0</v>
      </c>
      <c r="M6860">
        <v>0</v>
      </c>
      <c r="N6860">
        <v>0</v>
      </c>
      <c r="O6860">
        <v>0</v>
      </c>
    </row>
    <row r="6861" spans="1:15" x14ac:dyDescent="0.25">
      <c r="A6861" t="s">
        <v>1341</v>
      </c>
      <c r="B6861" t="s">
        <v>2954</v>
      </c>
      <c r="C6861" t="s">
        <v>923</v>
      </c>
      <c r="D6861" t="s">
        <v>3063</v>
      </c>
      <c r="E6861" t="s">
        <v>3053</v>
      </c>
      <c r="F6861" t="s">
        <v>682</v>
      </c>
      <c r="G6861" t="s">
        <v>683</v>
      </c>
      <c r="H6861" t="s">
        <v>11286</v>
      </c>
      <c r="I6861">
        <v>7</v>
      </c>
      <c r="J6861">
        <v>7</v>
      </c>
      <c r="K6861">
        <v>0</v>
      </c>
      <c r="L6861">
        <v>0</v>
      </c>
      <c r="M6861">
        <v>0</v>
      </c>
      <c r="N6861">
        <v>0</v>
      </c>
      <c r="O6861">
        <v>0</v>
      </c>
    </row>
    <row r="6862" spans="1:15" x14ac:dyDescent="0.25">
      <c r="A6862" t="s">
        <v>11663</v>
      </c>
      <c r="B6862" t="s">
        <v>11768</v>
      </c>
      <c r="C6862" t="s">
        <v>927</v>
      </c>
      <c r="D6862" t="s">
        <v>3052</v>
      </c>
      <c r="E6862" t="s">
        <v>3053</v>
      </c>
      <c r="F6862" t="s">
        <v>682</v>
      </c>
      <c r="G6862" t="s">
        <v>683</v>
      </c>
      <c r="H6862" t="s">
        <v>12311</v>
      </c>
      <c r="I6862">
        <v>572</v>
      </c>
      <c r="J6862">
        <v>201</v>
      </c>
      <c r="K6862">
        <v>288</v>
      </c>
      <c r="L6862">
        <v>0</v>
      </c>
      <c r="M6862">
        <v>46</v>
      </c>
      <c r="N6862">
        <v>0</v>
      </c>
      <c r="O6862">
        <v>37</v>
      </c>
    </row>
    <row r="6863" spans="1:15" x14ac:dyDescent="0.25">
      <c r="A6863" t="s">
        <v>14374</v>
      </c>
      <c r="B6863" t="s">
        <v>1943</v>
      </c>
      <c r="C6863" t="s">
        <v>927</v>
      </c>
      <c r="D6863" t="s">
        <v>3052</v>
      </c>
      <c r="E6863" t="s">
        <v>3053</v>
      </c>
      <c r="F6863" t="s">
        <v>682</v>
      </c>
      <c r="G6863" t="s">
        <v>683</v>
      </c>
      <c r="H6863" t="s">
        <v>15129</v>
      </c>
      <c r="I6863">
        <v>19</v>
      </c>
      <c r="J6863">
        <v>0</v>
      </c>
      <c r="K6863">
        <v>0</v>
      </c>
      <c r="L6863">
        <v>0</v>
      </c>
      <c r="M6863">
        <v>0</v>
      </c>
      <c r="N6863">
        <v>0</v>
      </c>
      <c r="O6863">
        <v>19</v>
      </c>
    </row>
    <row r="6864" spans="1:15" x14ac:dyDescent="0.25">
      <c r="A6864" t="s">
        <v>1664</v>
      </c>
      <c r="B6864" t="s">
        <v>2308</v>
      </c>
      <c r="C6864" t="s">
        <v>923</v>
      </c>
      <c r="D6864" t="s">
        <v>3063</v>
      </c>
      <c r="E6864" t="s">
        <v>3053</v>
      </c>
      <c r="F6864" t="s">
        <v>682</v>
      </c>
      <c r="G6864" t="s">
        <v>683</v>
      </c>
      <c r="H6864" t="s">
        <v>7632</v>
      </c>
      <c r="I6864">
        <v>11</v>
      </c>
      <c r="J6864">
        <v>11</v>
      </c>
      <c r="K6864">
        <v>0</v>
      </c>
      <c r="L6864">
        <v>0</v>
      </c>
      <c r="M6864">
        <v>0</v>
      </c>
      <c r="N6864">
        <v>0</v>
      </c>
      <c r="O6864">
        <v>0</v>
      </c>
    </row>
    <row r="6865" spans="1:15" x14ac:dyDescent="0.25">
      <c r="A6865" t="s">
        <v>962</v>
      </c>
      <c r="B6865" t="s">
        <v>2752</v>
      </c>
      <c r="C6865" t="s">
        <v>927</v>
      </c>
      <c r="D6865" t="s">
        <v>3052</v>
      </c>
      <c r="E6865" t="s">
        <v>3053</v>
      </c>
      <c r="F6865" t="s">
        <v>682</v>
      </c>
      <c r="G6865" t="s">
        <v>683</v>
      </c>
      <c r="H6865" t="s">
        <v>12312</v>
      </c>
      <c r="I6865">
        <v>4</v>
      </c>
      <c r="J6865">
        <v>0</v>
      </c>
      <c r="K6865">
        <v>0</v>
      </c>
      <c r="L6865">
        <v>0</v>
      </c>
      <c r="M6865">
        <v>0</v>
      </c>
      <c r="N6865">
        <v>0</v>
      </c>
      <c r="O6865">
        <v>4</v>
      </c>
    </row>
    <row r="6866" spans="1:15" x14ac:dyDescent="0.25">
      <c r="A6866" t="s">
        <v>1072</v>
      </c>
      <c r="B6866" t="s">
        <v>2907</v>
      </c>
      <c r="C6866" t="s">
        <v>927</v>
      </c>
      <c r="D6866" t="s">
        <v>3052</v>
      </c>
      <c r="E6866" t="s">
        <v>3053</v>
      </c>
      <c r="F6866" t="s">
        <v>682</v>
      </c>
      <c r="G6866" t="s">
        <v>683</v>
      </c>
      <c r="H6866" t="s">
        <v>7633</v>
      </c>
      <c r="I6866">
        <v>13</v>
      </c>
      <c r="J6866">
        <v>0</v>
      </c>
      <c r="K6866">
        <v>0</v>
      </c>
      <c r="L6866">
        <v>6</v>
      </c>
      <c r="M6866">
        <v>7</v>
      </c>
      <c r="N6866">
        <v>0</v>
      </c>
      <c r="O6866">
        <v>0</v>
      </c>
    </row>
    <row r="6867" spans="1:15" x14ac:dyDescent="0.25">
      <c r="A6867" t="s">
        <v>1684</v>
      </c>
      <c r="B6867" t="s">
        <v>2845</v>
      </c>
      <c r="C6867" t="s">
        <v>927</v>
      </c>
      <c r="D6867" t="s">
        <v>3052</v>
      </c>
      <c r="E6867" t="s">
        <v>3053</v>
      </c>
      <c r="F6867" t="s">
        <v>682</v>
      </c>
      <c r="G6867" t="s">
        <v>683</v>
      </c>
      <c r="H6867" t="s">
        <v>15130</v>
      </c>
      <c r="I6867">
        <v>17</v>
      </c>
      <c r="J6867">
        <v>17</v>
      </c>
      <c r="K6867">
        <v>0</v>
      </c>
      <c r="L6867">
        <v>0</v>
      </c>
      <c r="M6867">
        <v>0</v>
      </c>
      <c r="N6867">
        <v>0</v>
      </c>
      <c r="O6867">
        <v>0</v>
      </c>
    </row>
    <row r="6868" spans="1:15" x14ac:dyDescent="0.25">
      <c r="A6868" t="s">
        <v>1374</v>
      </c>
      <c r="B6868" t="s">
        <v>2580</v>
      </c>
      <c r="C6868" t="s">
        <v>923</v>
      </c>
      <c r="D6868" t="s">
        <v>3063</v>
      </c>
      <c r="E6868" t="s">
        <v>3053</v>
      </c>
      <c r="F6868" t="s">
        <v>682</v>
      </c>
      <c r="G6868" t="s">
        <v>683</v>
      </c>
      <c r="H6868" t="s">
        <v>7634</v>
      </c>
      <c r="I6868">
        <v>56</v>
      </c>
      <c r="J6868">
        <v>1</v>
      </c>
      <c r="K6868">
        <v>0</v>
      </c>
      <c r="L6868">
        <v>55</v>
      </c>
      <c r="M6868">
        <v>0</v>
      </c>
      <c r="N6868">
        <v>0</v>
      </c>
      <c r="O6868">
        <v>0</v>
      </c>
    </row>
    <row r="6869" spans="1:15" x14ac:dyDescent="0.25">
      <c r="A6869" t="s">
        <v>968</v>
      </c>
      <c r="B6869" t="s">
        <v>2091</v>
      </c>
      <c r="C6869" t="s">
        <v>927</v>
      </c>
      <c r="D6869" t="s">
        <v>3052</v>
      </c>
      <c r="E6869" t="s">
        <v>3053</v>
      </c>
      <c r="F6869" t="s">
        <v>682</v>
      </c>
      <c r="G6869" t="s">
        <v>683</v>
      </c>
      <c r="H6869" t="s">
        <v>7635</v>
      </c>
      <c r="I6869">
        <v>83</v>
      </c>
      <c r="J6869">
        <v>83</v>
      </c>
      <c r="K6869">
        <v>0</v>
      </c>
      <c r="L6869">
        <v>0</v>
      </c>
      <c r="M6869">
        <v>0</v>
      </c>
      <c r="N6869">
        <v>0</v>
      </c>
      <c r="O6869">
        <v>0</v>
      </c>
    </row>
    <row r="6870" spans="1:15" x14ac:dyDescent="0.25">
      <c r="A6870" t="s">
        <v>971</v>
      </c>
      <c r="B6870" t="s">
        <v>2956</v>
      </c>
      <c r="C6870" t="s">
        <v>927</v>
      </c>
      <c r="D6870" t="s">
        <v>3052</v>
      </c>
      <c r="E6870" t="s">
        <v>3053</v>
      </c>
      <c r="F6870" t="s">
        <v>684</v>
      </c>
      <c r="G6870" t="s">
        <v>685</v>
      </c>
      <c r="H6870" t="s">
        <v>7636</v>
      </c>
      <c r="I6870">
        <v>40</v>
      </c>
      <c r="J6870">
        <v>40</v>
      </c>
      <c r="K6870">
        <v>0</v>
      </c>
      <c r="L6870">
        <v>0</v>
      </c>
      <c r="M6870">
        <v>0</v>
      </c>
      <c r="N6870">
        <v>0</v>
      </c>
      <c r="O6870">
        <v>0</v>
      </c>
    </row>
    <row r="6871" spans="1:15" x14ac:dyDescent="0.25">
      <c r="A6871" t="s">
        <v>972</v>
      </c>
      <c r="B6871" t="s">
        <v>2842</v>
      </c>
      <c r="C6871" t="s">
        <v>927</v>
      </c>
      <c r="D6871" t="s">
        <v>3052</v>
      </c>
      <c r="E6871" t="s">
        <v>3053</v>
      </c>
      <c r="F6871" t="s">
        <v>684</v>
      </c>
      <c r="G6871" t="s">
        <v>685</v>
      </c>
      <c r="H6871" t="s">
        <v>7637</v>
      </c>
      <c r="I6871">
        <v>85</v>
      </c>
      <c r="J6871">
        <v>52</v>
      </c>
      <c r="K6871">
        <v>0</v>
      </c>
      <c r="L6871">
        <v>0</v>
      </c>
      <c r="M6871">
        <v>0</v>
      </c>
      <c r="N6871">
        <v>0</v>
      </c>
      <c r="O6871">
        <v>33</v>
      </c>
    </row>
    <row r="6872" spans="1:15" x14ac:dyDescent="0.25">
      <c r="A6872" t="s">
        <v>926</v>
      </c>
      <c r="B6872" t="s">
        <v>2923</v>
      </c>
      <c r="C6872" t="s">
        <v>927</v>
      </c>
      <c r="D6872" t="s">
        <v>3052</v>
      </c>
      <c r="E6872" t="s">
        <v>3053</v>
      </c>
      <c r="F6872" t="s">
        <v>684</v>
      </c>
      <c r="G6872" t="s">
        <v>685</v>
      </c>
      <c r="H6872" t="s">
        <v>7638</v>
      </c>
      <c r="I6872">
        <v>2</v>
      </c>
      <c r="J6872">
        <v>0</v>
      </c>
      <c r="K6872">
        <v>0</v>
      </c>
      <c r="L6872">
        <v>0</v>
      </c>
      <c r="M6872">
        <v>0</v>
      </c>
      <c r="N6872">
        <v>0</v>
      </c>
      <c r="O6872">
        <v>2</v>
      </c>
    </row>
    <row r="6873" spans="1:15" x14ac:dyDescent="0.25">
      <c r="A6873" t="s">
        <v>929</v>
      </c>
      <c r="B6873" t="s">
        <v>2999</v>
      </c>
      <c r="C6873" t="s">
        <v>927</v>
      </c>
      <c r="D6873" t="s">
        <v>3052</v>
      </c>
      <c r="E6873" t="s">
        <v>3053</v>
      </c>
      <c r="F6873" t="s">
        <v>684</v>
      </c>
      <c r="G6873" t="s">
        <v>685</v>
      </c>
      <c r="H6873" t="s">
        <v>7639</v>
      </c>
      <c r="I6873">
        <v>53</v>
      </c>
      <c r="J6873">
        <v>0</v>
      </c>
      <c r="K6873">
        <v>0</v>
      </c>
      <c r="L6873">
        <v>0</v>
      </c>
      <c r="M6873">
        <v>53</v>
      </c>
      <c r="N6873">
        <v>0</v>
      </c>
      <c r="O6873">
        <v>0</v>
      </c>
    </row>
    <row r="6874" spans="1:15" x14ac:dyDescent="0.25">
      <c r="A6874" t="s">
        <v>9790</v>
      </c>
      <c r="B6874" t="s">
        <v>1977</v>
      </c>
      <c r="C6874" t="s">
        <v>923</v>
      </c>
      <c r="D6874" t="s">
        <v>3063</v>
      </c>
      <c r="E6874" t="s">
        <v>3053</v>
      </c>
      <c r="F6874" t="s">
        <v>684</v>
      </c>
      <c r="G6874" t="s">
        <v>685</v>
      </c>
      <c r="H6874" t="s">
        <v>12313</v>
      </c>
      <c r="I6874">
        <v>4</v>
      </c>
      <c r="J6874">
        <v>0</v>
      </c>
      <c r="K6874">
        <v>0</v>
      </c>
      <c r="L6874">
        <v>4</v>
      </c>
      <c r="M6874">
        <v>0</v>
      </c>
      <c r="N6874">
        <v>0</v>
      </c>
      <c r="O6874">
        <v>0</v>
      </c>
    </row>
    <row r="6875" spans="1:15" x14ac:dyDescent="0.25">
      <c r="A6875" t="s">
        <v>997</v>
      </c>
      <c r="B6875" t="s">
        <v>2033</v>
      </c>
      <c r="C6875" t="s">
        <v>927</v>
      </c>
      <c r="D6875" t="s">
        <v>3052</v>
      </c>
      <c r="E6875" t="s">
        <v>3053</v>
      </c>
      <c r="F6875" t="s">
        <v>684</v>
      </c>
      <c r="G6875" t="s">
        <v>685</v>
      </c>
      <c r="H6875" t="s">
        <v>7640</v>
      </c>
      <c r="I6875">
        <v>70</v>
      </c>
      <c r="J6875">
        <v>34</v>
      </c>
      <c r="K6875">
        <v>0</v>
      </c>
      <c r="L6875">
        <v>0</v>
      </c>
      <c r="M6875">
        <v>0</v>
      </c>
      <c r="N6875">
        <v>0</v>
      </c>
      <c r="O6875">
        <v>36</v>
      </c>
    </row>
    <row r="6876" spans="1:15" x14ac:dyDescent="0.25">
      <c r="A6876" t="s">
        <v>935</v>
      </c>
      <c r="B6876" t="s">
        <v>1960</v>
      </c>
      <c r="C6876" t="s">
        <v>923</v>
      </c>
      <c r="D6876" t="s">
        <v>3063</v>
      </c>
      <c r="E6876" t="s">
        <v>3053</v>
      </c>
      <c r="F6876" t="s">
        <v>684</v>
      </c>
      <c r="G6876" t="s">
        <v>685</v>
      </c>
      <c r="H6876" t="s">
        <v>11287</v>
      </c>
      <c r="I6876">
        <v>2</v>
      </c>
      <c r="J6876">
        <v>0</v>
      </c>
      <c r="K6876">
        <v>0</v>
      </c>
      <c r="L6876">
        <v>2</v>
      </c>
      <c r="M6876">
        <v>0</v>
      </c>
      <c r="N6876">
        <v>0</v>
      </c>
      <c r="O6876">
        <v>0</v>
      </c>
    </row>
    <row r="6877" spans="1:15" x14ac:dyDescent="0.25">
      <c r="A6877" t="s">
        <v>998</v>
      </c>
      <c r="B6877" t="s">
        <v>2820</v>
      </c>
      <c r="C6877" t="s">
        <v>927</v>
      </c>
      <c r="D6877" t="s">
        <v>3052</v>
      </c>
      <c r="E6877" t="s">
        <v>3053</v>
      </c>
      <c r="F6877" t="s">
        <v>684</v>
      </c>
      <c r="G6877" t="s">
        <v>685</v>
      </c>
      <c r="H6877" t="s">
        <v>7641</v>
      </c>
      <c r="I6877">
        <v>5</v>
      </c>
      <c r="J6877">
        <v>4</v>
      </c>
      <c r="K6877">
        <v>0</v>
      </c>
      <c r="L6877">
        <v>0</v>
      </c>
      <c r="M6877">
        <v>0</v>
      </c>
      <c r="N6877">
        <v>0</v>
      </c>
      <c r="O6877">
        <v>1</v>
      </c>
    </row>
    <row r="6878" spans="1:15" x14ac:dyDescent="0.25">
      <c r="A6878" t="s">
        <v>1001</v>
      </c>
      <c r="B6878" t="s">
        <v>3007</v>
      </c>
      <c r="C6878" t="s">
        <v>927</v>
      </c>
      <c r="D6878" t="s">
        <v>3052</v>
      </c>
      <c r="E6878" t="s">
        <v>3053</v>
      </c>
      <c r="F6878" t="s">
        <v>684</v>
      </c>
      <c r="G6878" t="s">
        <v>685</v>
      </c>
      <c r="H6878" t="s">
        <v>7642</v>
      </c>
      <c r="I6878">
        <v>31</v>
      </c>
      <c r="J6878">
        <v>0</v>
      </c>
      <c r="K6878">
        <v>0</v>
      </c>
      <c r="L6878">
        <v>31</v>
      </c>
      <c r="M6878">
        <v>0</v>
      </c>
      <c r="N6878">
        <v>0</v>
      </c>
      <c r="O6878">
        <v>0</v>
      </c>
    </row>
    <row r="6879" spans="1:15" x14ac:dyDescent="0.25">
      <c r="A6879" t="s">
        <v>1003</v>
      </c>
      <c r="B6879" t="s">
        <v>2862</v>
      </c>
      <c r="C6879" t="s">
        <v>927</v>
      </c>
      <c r="D6879" t="s">
        <v>3052</v>
      </c>
      <c r="E6879" t="s">
        <v>3053</v>
      </c>
      <c r="F6879" t="s">
        <v>684</v>
      </c>
      <c r="G6879" t="s">
        <v>685</v>
      </c>
      <c r="H6879" t="s">
        <v>10067</v>
      </c>
      <c r="I6879">
        <v>18</v>
      </c>
      <c r="J6879">
        <v>18</v>
      </c>
      <c r="K6879">
        <v>0</v>
      </c>
      <c r="L6879">
        <v>0</v>
      </c>
      <c r="M6879">
        <v>0</v>
      </c>
      <c r="N6879">
        <v>0</v>
      </c>
      <c r="O6879">
        <v>0</v>
      </c>
    </row>
    <row r="6880" spans="1:15" x14ac:dyDescent="0.25">
      <c r="A6880" t="s">
        <v>10638</v>
      </c>
      <c r="B6880" t="s">
        <v>2057</v>
      </c>
      <c r="C6880" t="s">
        <v>927</v>
      </c>
      <c r="D6880" t="s">
        <v>3052</v>
      </c>
      <c r="E6880" t="s">
        <v>3053</v>
      </c>
      <c r="F6880" t="s">
        <v>684</v>
      </c>
      <c r="G6880" t="s">
        <v>685</v>
      </c>
      <c r="H6880" t="s">
        <v>11288</v>
      </c>
      <c r="I6880">
        <v>23</v>
      </c>
      <c r="J6880">
        <v>0</v>
      </c>
      <c r="K6880">
        <v>0</v>
      </c>
      <c r="L6880">
        <v>23</v>
      </c>
      <c r="M6880">
        <v>0</v>
      </c>
      <c r="N6880">
        <v>0</v>
      </c>
      <c r="O6880">
        <v>0</v>
      </c>
    </row>
    <row r="6881" spans="1:15" x14ac:dyDescent="0.25">
      <c r="A6881" t="s">
        <v>937</v>
      </c>
      <c r="B6881" t="s">
        <v>1962</v>
      </c>
      <c r="C6881" t="s">
        <v>927</v>
      </c>
      <c r="D6881" t="s">
        <v>3052</v>
      </c>
      <c r="E6881" t="s">
        <v>3053</v>
      </c>
      <c r="F6881" t="s">
        <v>684</v>
      </c>
      <c r="G6881" t="s">
        <v>685</v>
      </c>
      <c r="H6881" t="s">
        <v>7643</v>
      </c>
      <c r="I6881">
        <v>65</v>
      </c>
      <c r="J6881">
        <v>0</v>
      </c>
      <c r="K6881">
        <v>0</v>
      </c>
      <c r="L6881">
        <v>0</v>
      </c>
      <c r="M6881">
        <v>0</v>
      </c>
      <c r="N6881">
        <v>0</v>
      </c>
      <c r="O6881">
        <v>65</v>
      </c>
    </row>
    <row r="6882" spans="1:15" x14ac:dyDescent="0.25">
      <c r="A6882" t="s">
        <v>1011</v>
      </c>
      <c r="B6882" t="s">
        <v>2020</v>
      </c>
      <c r="C6882" t="s">
        <v>927</v>
      </c>
      <c r="D6882" t="s">
        <v>3052</v>
      </c>
      <c r="E6882" t="s">
        <v>3053</v>
      </c>
      <c r="F6882" t="s">
        <v>684</v>
      </c>
      <c r="G6882" t="s">
        <v>685</v>
      </c>
      <c r="H6882" t="s">
        <v>15131</v>
      </c>
      <c r="I6882">
        <v>2</v>
      </c>
      <c r="J6882">
        <v>0</v>
      </c>
      <c r="K6882">
        <v>0</v>
      </c>
      <c r="L6882">
        <v>2</v>
      </c>
      <c r="M6882">
        <v>0</v>
      </c>
      <c r="N6882">
        <v>0</v>
      </c>
      <c r="O6882">
        <v>0</v>
      </c>
    </row>
    <row r="6883" spans="1:15" x14ac:dyDescent="0.25">
      <c r="A6883" t="s">
        <v>1013</v>
      </c>
      <c r="B6883" t="s">
        <v>1959</v>
      </c>
      <c r="C6883" t="s">
        <v>927</v>
      </c>
      <c r="D6883" t="s">
        <v>3052</v>
      </c>
      <c r="E6883" t="s">
        <v>3053</v>
      </c>
      <c r="F6883" t="s">
        <v>684</v>
      </c>
      <c r="G6883" t="s">
        <v>685</v>
      </c>
      <c r="H6883" t="s">
        <v>7644</v>
      </c>
      <c r="I6883">
        <v>13</v>
      </c>
      <c r="J6883">
        <v>0</v>
      </c>
      <c r="K6883">
        <v>0</v>
      </c>
      <c r="L6883">
        <v>13</v>
      </c>
      <c r="M6883">
        <v>0</v>
      </c>
      <c r="N6883">
        <v>0</v>
      </c>
      <c r="O6883">
        <v>0</v>
      </c>
    </row>
    <row r="6884" spans="1:15" x14ac:dyDescent="0.25">
      <c r="A6884" t="s">
        <v>1014</v>
      </c>
      <c r="B6884" t="s">
        <v>2898</v>
      </c>
      <c r="C6884" t="s">
        <v>927</v>
      </c>
      <c r="D6884" t="s">
        <v>3052</v>
      </c>
      <c r="E6884" t="s">
        <v>3053</v>
      </c>
      <c r="F6884" t="s">
        <v>684</v>
      </c>
      <c r="G6884" t="s">
        <v>685</v>
      </c>
      <c r="H6884" t="s">
        <v>7645</v>
      </c>
      <c r="I6884">
        <v>40</v>
      </c>
      <c r="J6884">
        <v>21</v>
      </c>
      <c r="K6884">
        <v>0</v>
      </c>
      <c r="L6884">
        <v>0</v>
      </c>
      <c r="M6884">
        <v>0</v>
      </c>
      <c r="N6884">
        <v>0</v>
      </c>
      <c r="O6884">
        <v>19</v>
      </c>
    </row>
    <row r="6885" spans="1:15" x14ac:dyDescent="0.25">
      <c r="A6885" t="s">
        <v>10667</v>
      </c>
      <c r="B6885" t="s">
        <v>10666</v>
      </c>
      <c r="C6885" t="s">
        <v>927</v>
      </c>
      <c r="D6885" t="s">
        <v>3052</v>
      </c>
      <c r="E6885" t="s">
        <v>3053</v>
      </c>
      <c r="F6885" t="s">
        <v>684</v>
      </c>
      <c r="G6885" t="s">
        <v>685</v>
      </c>
      <c r="H6885" t="s">
        <v>12314</v>
      </c>
      <c r="I6885">
        <v>22</v>
      </c>
      <c r="J6885">
        <v>22</v>
      </c>
      <c r="K6885">
        <v>0</v>
      </c>
      <c r="L6885">
        <v>0</v>
      </c>
      <c r="M6885">
        <v>0</v>
      </c>
      <c r="N6885">
        <v>0</v>
      </c>
      <c r="O6885">
        <v>0</v>
      </c>
    </row>
    <row r="6886" spans="1:15" x14ac:dyDescent="0.25">
      <c r="A6886" t="s">
        <v>1126</v>
      </c>
      <c r="B6886" t="s">
        <v>2130</v>
      </c>
      <c r="C6886" t="s">
        <v>927</v>
      </c>
      <c r="D6886" t="s">
        <v>3052</v>
      </c>
      <c r="E6886" t="s">
        <v>3053</v>
      </c>
      <c r="F6886" t="s">
        <v>684</v>
      </c>
      <c r="G6886" t="s">
        <v>685</v>
      </c>
      <c r="H6886" t="s">
        <v>11289</v>
      </c>
      <c r="I6886">
        <v>29</v>
      </c>
      <c r="J6886">
        <v>10</v>
      </c>
      <c r="K6886">
        <v>0</v>
      </c>
      <c r="L6886">
        <v>0</v>
      </c>
      <c r="M6886">
        <v>0</v>
      </c>
      <c r="N6886">
        <v>0</v>
      </c>
      <c r="O6886">
        <v>19</v>
      </c>
    </row>
    <row r="6887" spans="1:15" x14ac:dyDescent="0.25">
      <c r="A6887" t="s">
        <v>1026</v>
      </c>
      <c r="B6887" t="s">
        <v>2848</v>
      </c>
      <c r="C6887" t="s">
        <v>927</v>
      </c>
      <c r="D6887" t="s">
        <v>3052</v>
      </c>
      <c r="E6887" t="s">
        <v>3053</v>
      </c>
      <c r="F6887" t="s">
        <v>684</v>
      </c>
      <c r="G6887" t="s">
        <v>685</v>
      </c>
      <c r="H6887" t="s">
        <v>7646</v>
      </c>
      <c r="I6887">
        <v>145</v>
      </c>
      <c r="J6887">
        <v>110</v>
      </c>
      <c r="K6887">
        <v>0</v>
      </c>
      <c r="L6887">
        <v>0</v>
      </c>
      <c r="M6887">
        <v>0</v>
      </c>
      <c r="N6887">
        <v>0</v>
      </c>
      <c r="O6887">
        <v>35</v>
      </c>
    </row>
    <row r="6888" spans="1:15" x14ac:dyDescent="0.25">
      <c r="A6888" t="s">
        <v>10681</v>
      </c>
      <c r="B6888" t="s">
        <v>10680</v>
      </c>
      <c r="C6888" t="s">
        <v>927</v>
      </c>
      <c r="D6888" t="s">
        <v>3052</v>
      </c>
      <c r="E6888" t="s">
        <v>3053</v>
      </c>
      <c r="F6888" t="s">
        <v>684</v>
      </c>
      <c r="G6888" t="s">
        <v>685</v>
      </c>
      <c r="H6888" t="s">
        <v>15132</v>
      </c>
      <c r="I6888">
        <v>6</v>
      </c>
      <c r="J6888">
        <v>0</v>
      </c>
      <c r="K6888">
        <v>0</v>
      </c>
      <c r="L6888">
        <v>0</v>
      </c>
      <c r="M6888">
        <v>0</v>
      </c>
      <c r="N6888">
        <v>0</v>
      </c>
      <c r="O6888">
        <v>6</v>
      </c>
    </row>
    <row r="6889" spans="1:15" x14ac:dyDescent="0.25">
      <c r="A6889" t="s">
        <v>943</v>
      </c>
      <c r="B6889" t="s">
        <v>2694</v>
      </c>
      <c r="C6889" t="s">
        <v>927</v>
      </c>
      <c r="D6889" t="s">
        <v>3052</v>
      </c>
      <c r="E6889" t="s">
        <v>3053</v>
      </c>
      <c r="F6889" t="s">
        <v>684</v>
      </c>
      <c r="G6889" t="s">
        <v>685</v>
      </c>
      <c r="H6889" t="s">
        <v>7647</v>
      </c>
      <c r="I6889">
        <v>3826</v>
      </c>
      <c r="J6889">
        <v>2361</v>
      </c>
      <c r="K6889">
        <v>0</v>
      </c>
      <c r="L6889">
        <v>16</v>
      </c>
      <c r="M6889">
        <v>1219</v>
      </c>
      <c r="N6889">
        <v>0</v>
      </c>
      <c r="O6889">
        <v>230</v>
      </c>
    </row>
    <row r="6890" spans="1:15" x14ac:dyDescent="0.25">
      <c r="A6890" t="s">
        <v>1038</v>
      </c>
      <c r="B6890" t="s">
        <v>2068</v>
      </c>
      <c r="C6890" t="s">
        <v>927</v>
      </c>
      <c r="D6890" t="s">
        <v>3052</v>
      </c>
      <c r="E6890" t="s">
        <v>3053</v>
      </c>
      <c r="F6890" t="s">
        <v>684</v>
      </c>
      <c r="G6890" t="s">
        <v>685</v>
      </c>
      <c r="H6890" t="s">
        <v>7648</v>
      </c>
      <c r="I6890">
        <v>41</v>
      </c>
      <c r="J6890">
        <v>36</v>
      </c>
      <c r="K6890">
        <v>0</v>
      </c>
      <c r="L6890">
        <v>5</v>
      </c>
      <c r="M6890">
        <v>0</v>
      </c>
      <c r="N6890">
        <v>0</v>
      </c>
      <c r="O6890">
        <v>0</v>
      </c>
    </row>
    <row r="6891" spans="1:15" x14ac:dyDescent="0.25">
      <c r="A6891" t="s">
        <v>1043</v>
      </c>
      <c r="B6891" t="s">
        <v>2090</v>
      </c>
      <c r="C6891" t="s">
        <v>927</v>
      </c>
      <c r="D6891" t="s">
        <v>3052</v>
      </c>
      <c r="E6891" t="s">
        <v>3053</v>
      </c>
      <c r="F6891" t="s">
        <v>684</v>
      </c>
      <c r="G6891" t="s">
        <v>685</v>
      </c>
      <c r="H6891" t="s">
        <v>7649</v>
      </c>
      <c r="I6891">
        <v>21</v>
      </c>
      <c r="J6891">
        <v>19</v>
      </c>
      <c r="K6891">
        <v>0</v>
      </c>
      <c r="L6891">
        <v>0</v>
      </c>
      <c r="M6891">
        <v>0</v>
      </c>
      <c r="N6891">
        <v>0</v>
      </c>
      <c r="O6891">
        <v>2</v>
      </c>
    </row>
    <row r="6892" spans="1:15" x14ac:dyDescent="0.25">
      <c r="A6892" t="s">
        <v>951</v>
      </c>
      <c r="B6892" t="s">
        <v>2680</v>
      </c>
      <c r="C6892" t="s">
        <v>927</v>
      </c>
      <c r="D6892" t="s">
        <v>3052</v>
      </c>
      <c r="E6892" t="s">
        <v>3053</v>
      </c>
      <c r="F6892" t="s">
        <v>684</v>
      </c>
      <c r="G6892" t="s">
        <v>685</v>
      </c>
      <c r="H6892" t="s">
        <v>7650</v>
      </c>
      <c r="I6892">
        <v>7</v>
      </c>
      <c r="J6892">
        <v>7</v>
      </c>
      <c r="K6892">
        <v>0</v>
      </c>
      <c r="L6892">
        <v>0</v>
      </c>
      <c r="M6892">
        <v>0</v>
      </c>
      <c r="N6892">
        <v>0</v>
      </c>
      <c r="O6892">
        <v>0</v>
      </c>
    </row>
    <row r="6893" spans="1:15" x14ac:dyDescent="0.25">
      <c r="A6893" t="s">
        <v>1048</v>
      </c>
      <c r="B6893" t="s">
        <v>2989</v>
      </c>
      <c r="C6893" t="s">
        <v>927</v>
      </c>
      <c r="D6893" t="s">
        <v>3052</v>
      </c>
      <c r="E6893" t="s">
        <v>3053</v>
      </c>
      <c r="F6893" t="s">
        <v>684</v>
      </c>
      <c r="G6893" t="s">
        <v>685</v>
      </c>
      <c r="H6893" t="s">
        <v>12315</v>
      </c>
      <c r="I6893">
        <v>20</v>
      </c>
      <c r="J6893">
        <v>20</v>
      </c>
      <c r="K6893">
        <v>0</v>
      </c>
      <c r="L6893">
        <v>0</v>
      </c>
      <c r="M6893">
        <v>0</v>
      </c>
      <c r="N6893">
        <v>0</v>
      </c>
      <c r="O6893">
        <v>0</v>
      </c>
    </row>
    <row r="6894" spans="1:15" x14ac:dyDescent="0.25">
      <c r="A6894" t="s">
        <v>1049</v>
      </c>
      <c r="B6894" t="s">
        <v>2138</v>
      </c>
      <c r="C6894" t="s">
        <v>927</v>
      </c>
      <c r="D6894" t="s">
        <v>3052</v>
      </c>
      <c r="E6894" t="s">
        <v>3053</v>
      </c>
      <c r="F6894" t="s">
        <v>684</v>
      </c>
      <c r="G6894" t="s">
        <v>685</v>
      </c>
      <c r="H6894" t="s">
        <v>7651</v>
      </c>
      <c r="I6894">
        <v>707</v>
      </c>
      <c r="J6894">
        <v>430</v>
      </c>
      <c r="K6894">
        <v>0</v>
      </c>
      <c r="L6894">
        <v>0</v>
      </c>
      <c r="M6894">
        <v>87</v>
      </c>
      <c r="N6894">
        <v>0</v>
      </c>
      <c r="O6894">
        <v>190</v>
      </c>
    </row>
    <row r="6895" spans="1:15" x14ac:dyDescent="0.25">
      <c r="A6895" t="s">
        <v>1051</v>
      </c>
      <c r="B6895" t="s">
        <v>2995</v>
      </c>
      <c r="C6895" t="s">
        <v>927</v>
      </c>
      <c r="D6895" t="s">
        <v>3052</v>
      </c>
      <c r="E6895" t="s">
        <v>3053</v>
      </c>
      <c r="F6895" t="s">
        <v>684</v>
      </c>
      <c r="G6895" t="s">
        <v>685</v>
      </c>
      <c r="H6895" t="s">
        <v>7652</v>
      </c>
      <c r="I6895">
        <v>17</v>
      </c>
      <c r="J6895">
        <v>0</v>
      </c>
      <c r="K6895">
        <v>0</v>
      </c>
      <c r="L6895">
        <v>17</v>
      </c>
      <c r="M6895">
        <v>0</v>
      </c>
      <c r="N6895">
        <v>0</v>
      </c>
      <c r="O6895">
        <v>0</v>
      </c>
    </row>
    <row r="6896" spans="1:15" x14ac:dyDescent="0.25">
      <c r="A6896" t="s">
        <v>11720</v>
      </c>
      <c r="B6896" t="s">
        <v>10718</v>
      </c>
      <c r="C6896" t="s">
        <v>927</v>
      </c>
      <c r="D6896" t="s">
        <v>3052</v>
      </c>
      <c r="E6896" t="s">
        <v>3053</v>
      </c>
      <c r="F6896" t="s">
        <v>684</v>
      </c>
      <c r="G6896" t="s">
        <v>685</v>
      </c>
      <c r="H6896" t="s">
        <v>15133</v>
      </c>
      <c r="I6896">
        <v>76</v>
      </c>
      <c r="J6896">
        <v>35</v>
      </c>
      <c r="K6896">
        <v>0</v>
      </c>
      <c r="L6896">
        <v>0</v>
      </c>
      <c r="M6896">
        <v>0</v>
      </c>
      <c r="N6896">
        <v>0</v>
      </c>
      <c r="O6896">
        <v>41</v>
      </c>
    </row>
    <row r="6897" spans="1:15" x14ac:dyDescent="0.25">
      <c r="A6897" t="s">
        <v>9788</v>
      </c>
      <c r="B6897" t="s">
        <v>9871</v>
      </c>
      <c r="C6897" t="s">
        <v>927</v>
      </c>
      <c r="D6897" t="s">
        <v>3052</v>
      </c>
      <c r="E6897" t="s">
        <v>3053</v>
      </c>
      <c r="F6897" t="s">
        <v>684</v>
      </c>
      <c r="G6897" t="s">
        <v>685</v>
      </c>
      <c r="H6897" t="s">
        <v>10371</v>
      </c>
      <c r="I6897">
        <v>183</v>
      </c>
      <c r="J6897">
        <v>183</v>
      </c>
      <c r="K6897">
        <v>0</v>
      </c>
      <c r="L6897">
        <v>0</v>
      </c>
      <c r="M6897">
        <v>0</v>
      </c>
      <c r="N6897">
        <v>0</v>
      </c>
      <c r="O6897">
        <v>0</v>
      </c>
    </row>
    <row r="6898" spans="1:15" x14ac:dyDescent="0.25">
      <c r="A6898" t="s">
        <v>14374</v>
      </c>
      <c r="B6898" t="s">
        <v>1943</v>
      </c>
      <c r="C6898" t="s">
        <v>927</v>
      </c>
      <c r="D6898" t="s">
        <v>3052</v>
      </c>
      <c r="E6898" t="s">
        <v>3053</v>
      </c>
      <c r="F6898" t="s">
        <v>684</v>
      </c>
      <c r="G6898" t="s">
        <v>685</v>
      </c>
      <c r="H6898" t="s">
        <v>15134</v>
      </c>
      <c r="I6898">
        <v>72</v>
      </c>
      <c r="J6898">
        <v>0</v>
      </c>
      <c r="K6898">
        <v>0</v>
      </c>
      <c r="L6898">
        <v>0</v>
      </c>
      <c r="M6898">
        <v>0</v>
      </c>
      <c r="N6898">
        <v>0</v>
      </c>
      <c r="O6898">
        <v>72</v>
      </c>
    </row>
    <row r="6899" spans="1:15" x14ac:dyDescent="0.25">
      <c r="A6899" t="s">
        <v>962</v>
      </c>
      <c r="B6899" t="s">
        <v>2752</v>
      </c>
      <c r="C6899" t="s">
        <v>927</v>
      </c>
      <c r="D6899" t="s">
        <v>3052</v>
      </c>
      <c r="E6899" t="s">
        <v>3053</v>
      </c>
      <c r="F6899" t="s">
        <v>684</v>
      </c>
      <c r="G6899" t="s">
        <v>685</v>
      </c>
      <c r="H6899" t="s">
        <v>7653</v>
      </c>
      <c r="I6899">
        <v>79</v>
      </c>
      <c r="J6899">
        <v>49</v>
      </c>
      <c r="K6899">
        <v>0</v>
      </c>
      <c r="L6899">
        <v>0</v>
      </c>
      <c r="M6899">
        <v>0</v>
      </c>
      <c r="N6899">
        <v>0</v>
      </c>
      <c r="O6899">
        <v>30</v>
      </c>
    </row>
    <row r="6900" spans="1:15" x14ac:dyDescent="0.25">
      <c r="A6900" t="s">
        <v>11665</v>
      </c>
      <c r="B6900" t="s">
        <v>10811</v>
      </c>
      <c r="C6900" t="s">
        <v>923</v>
      </c>
      <c r="D6900" t="s">
        <v>3063</v>
      </c>
      <c r="E6900" t="s">
        <v>3053</v>
      </c>
      <c r="F6900" t="s">
        <v>684</v>
      </c>
      <c r="G6900" t="s">
        <v>685</v>
      </c>
      <c r="H6900" t="s">
        <v>12316</v>
      </c>
      <c r="I6900">
        <v>12</v>
      </c>
      <c r="J6900">
        <v>0</v>
      </c>
      <c r="K6900">
        <v>0</v>
      </c>
      <c r="L6900">
        <v>12</v>
      </c>
      <c r="M6900">
        <v>0</v>
      </c>
      <c r="N6900">
        <v>0</v>
      </c>
      <c r="O6900">
        <v>0</v>
      </c>
    </row>
    <row r="6901" spans="1:15" x14ac:dyDescent="0.25">
      <c r="A6901" t="s">
        <v>1072</v>
      </c>
      <c r="B6901" t="s">
        <v>2907</v>
      </c>
      <c r="C6901" t="s">
        <v>927</v>
      </c>
      <c r="D6901" t="s">
        <v>3052</v>
      </c>
      <c r="E6901" t="s">
        <v>3053</v>
      </c>
      <c r="F6901" t="s">
        <v>684</v>
      </c>
      <c r="G6901" t="s">
        <v>685</v>
      </c>
      <c r="H6901" t="s">
        <v>7654</v>
      </c>
      <c r="I6901">
        <v>135</v>
      </c>
      <c r="J6901">
        <v>86</v>
      </c>
      <c r="K6901">
        <v>0</v>
      </c>
      <c r="L6901">
        <v>0</v>
      </c>
      <c r="M6901">
        <v>0</v>
      </c>
      <c r="N6901">
        <v>0</v>
      </c>
      <c r="O6901">
        <v>49</v>
      </c>
    </row>
    <row r="6902" spans="1:15" x14ac:dyDescent="0.25">
      <c r="A6902" t="s">
        <v>1079</v>
      </c>
      <c r="B6902" t="s">
        <v>2810</v>
      </c>
      <c r="C6902" t="s">
        <v>927</v>
      </c>
      <c r="D6902" t="s">
        <v>3052</v>
      </c>
      <c r="E6902" t="s">
        <v>3053</v>
      </c>
      <c r="F6902" t="s">
        <v>684</v>
      </c>
      <c r="G6902" t="s">
        <v>685</v>
      </c>
      <c r="H6902" t="s">
        <v>7655</v>
      </c>
      <c r="I6902">
        <v>18</v>
      </c>
      <c r="J6902">
        <v>15</v>
      </c>
      <c r="K6902">
        <v>0</v>
      </c>
      <c r="L6902">
        <v>0</v>
      </c>
      <c r="M6902">
        <v>0</v>
      </c>
      <c r="N6902">
        <v>0</v>
      </c>
      <c r="O6902">
        <v>3</v>
      </c>
    </row>
    <row r="6903" spans="1:15" x14ac:dyDescent="0.25">
      <c r="A6903" t="s">
        <v>1080</v>
      </c>
      <c r="B6903" t="s">
        <v>2030</v>
      </c>
      <c r="C6903" t="s">
        <v>923</v>
      </c>
      <c r="D6903" t="s">
        <v>3063</v>
      </c>
      <c r="E6903" t="s">
        <v>3053</v>
      </c>
      <c r="F6903" t="s">
        <v>684</v>
      </c>
      <c r="G6903" t="s">
        <v>685</v>
      </c>
      <c r="H6903" t="s">
        <v>7656</v>
      </c>
      <c r="I6903">
        <v>1</v>
      </c>
      <c r="J6903">
        <v>0</v>
      </c>
      <c r="K6903">
        <v>0</v>
      </c>
      <c r="L6903">
        <v>1</v>
      </c>
      <c r="M6903">
        <v>0</v>
      </c>
      <c r="N6903">
        <v>0</v>
      </c>
      <c r="O6903">
        <v>0</v>
      </c>
    </row>
    <row r="6904" spans="1:15" x14ac:dyDescent="0.25">
      <c r="A6904" t="s">
        <v>1196</v>
      </c>
      <c r="B6904" t="s">
        <v>3004</v>
      </c>
      <c r="C6904" t="s">
        <v>927</v>
      </c>
      <c r="D6904" t="s">
        <v>3052</v>
      </c>
      <c r="E6904" t="s">
        <v>3053</v>
      </c>
      <c r="F6904" t="s">
        <v>686</v>
      </c>
      <c r="G6904" t="s">
        <v>687</v>
      </c>
      <c r="H6904" t="s">
        <v>7657</v>
      </c>
      <c r="I6904">
        <v>256</v>
      </c>
      <c r="J6904">
        <v>183</v>
      </c>
      <c r="K6904">
        <v>0</v>
      </c>
      <c r="L6904">
        <v>0</v>
      </c>
      <c r="M6904">
        <v>0</v>
      </c>
      <c r="N6904">
        <v>0</v>
      </c>
      <c r="O6904">
        <v>73</v>
      </c>
    </row>
    <row r="6905" spans="1:15" x14ac:dyDescent="0.25">
      <c r="A6905" t="s">
        <v>10568</v>
      </c>
      <c r="B6905" t="s">
        <v>10567</v>
      </c>
      <c r="C6905" t="s">
        <v>927</v>
      </c>
      <c r="D6905" t="s">
        <v>3052</v>
      </c>
      <c r="E6905" t="s">
        <v>3053</v>
      </c>
      <c r="F6905" t="s">
        <v>686</v>
      </c>
      <c r="G6905" t="s">
        <v>687</v>
      </c>
      <c r="H6905" t="s">
        <v>11290</v>
      </c>
      <c r="I6905">
        <v>104</v>
      </c>
      <c r="J6905">
        <v>95</v>
      </c>
      <c r="K6905">
        <v>0</v>
      </c>
      <c r="L6905">
        <v>0</v>
      </c>
      <c r="M6905">
        <v>0</v>
      </c>
      <c r="N6905">
        <v>0</v>
      </c>
      <c r="O6905">
        <v>9</v>
      </c>
    </row>
    <row r="6906" spans="1:15" x14ac:dyDescent="0.25">
      <c r="A6906" t="s">
        <v>971</v>
      </c>
      <c r="B6906" t="s">
        <v>2956</v>
      </c>
      <c r="C6906" t="s">
        <v>927</v>
      </c>
      <c r="D6906" t="s">
        <v>3052</v>
      </c>
      <c r="E6906" t="s">
        <v>3053</v>
      </c>
      <c r="F6906" t="s">
        <v>686</v>
      </c>
      <c r="G6906" t="s">
        <v>687</v>
      </c>
      <c r="H6906" t="s">
        <v>7658</v>
      </c>
      <c r="I6906">
        <v>130</v>
      </c>
      <c r="J6906">
        <v>96</v>
      </c>
      <c r="K6906">
        <v>0</v>
      </c>
      <c r="L6906">
        <v>0</v>
      </c>
      <c r="M6906">
        <v>0</v>
      </c>
      <c r="N6906">
        <v>0</v>
      </c>
      <c r="O6906">
        <v>34</v>
      </c>
    </row>
    <row r="6907" spans="1:15" x14ac:dyDescent="0.25">
      <c r="A6907" t="s">
        <v>926</v>
      </c>
      <c r="B6907" t="s">
        <v>2923</v>
      </c>
      <c r="C6907" t="s">
        <v>927</v>
      </c>
      <c r="D6907" t="s">
        <v>3052</v>
      </c>
      <c r="E6907" t="s">
        <v>3053</v>
      </c>
      <c r="F6907" t="s">
        <v>686</v>
      </c>
      <c r="G6907" t="s">
        <v>687</v>
      </c>
      <c r="H6907" t="s">
        <v>7659</v>
      </c>
      <c r="I6907">
        <v>14</v>
      </c>
      <c r="J6907">
        <v>0</v>
      </c>
      <c r="K6907">
        <v>0</v>
      </c>
      <c r="L6907">
        <v>11</v>
      </c>
      <c r="M6907">
        <v>0</v>
      </c>
      <c r="N6907">
        <v>0</v>
      </c>
      <c r="O6907">
        <v>3</v>
      </c>
    </row>
    <row r="6908" spans="1:15" x14ac:dyDescent="0.25">
      <c r="A6908" t="s">
        <v>929</v>
      </c>
      <c r="B6908" t="s">
        <v>2999</v>
      </c>
      <c r="C6908" t="s">
        <v>927</v>
      </c>
      <c r="D6908" t="s">
        <v>3052</v>
      </c>
      <c r="E6908" t="s">
        <v>3053</v>
      </c>
      <c r="F6908" t="s">
        <v>686</v>
      </c>
      <c r="G6908" t="s">
        <v>687</v>
      </c>
      <c r="H6908" t="s">
        <v>7660</v>
      </c>
      <c r="I6908">
        <v>111</v>
      </c>
      <c r="J6908">
        <v>0</v>
      </c>
      <c r="K6908">
        <v>0</v>
      </c>
      <c r="L6908">
        <v>0</v>
      </c>
      <c r="M6908">
        <v>111</v>
      </c>
      <c r="N6908">
        <v>0</v>
      </c>
      <c r="O6908">
        <v>0</v>
      </c>
    </row>
    <row r="6909" spans="1:15" x14ac:dyDescent="0.25">
      <c r="A6909" t="s">
        <v>1599</v>
      </c>
      <c r="B6909" t="s">
        <v>2423</v>
      </c>
      <c r="C6909" t="s">
        <v>923</v>
      </c>
      <c r="D6909" t="s">
        <v>3063</v>
      </c>
      <c r="E6909" t="s">
        <v>3053</v>
      </c>
      <c r="F6909" t="s">
        <v>686</v>
      </c>
      <c r="G6909" t="s">
        <v>687</v>
      </c>
      <c r="H6909" t="s">
        <v>7661</v>
      </c>
      <c r="I6909">
        <v>21</v>
      </c>
      <c r="J6909">
        <v>21</v>
      </c>
      <c r="K6909">
        <v>0</v>
      </c>
      <c r="L6909">
        <v>0</v>
      </c>
      <c r="M6909">
        <v>0</v>
      </c>
      <c r="N6909">
        <v>0</v>
      </c>
      <c r="O6909">
        <v>0</v>
      </c>
    </row>
    <row r="6910" spans="1:15" x14ac:dyDescent="0.25">
      <c r="A6910" t="s">
        <v>10638</v>
      </c>
      <c r="B6910" t="s">
        <v>2057</v>
      </c>
      <c r="C6910" t="s">
        <v>927</v>
      </c>
      <c r="D6910" t="s">
        <v>3052</v>
      </c>
      <c r="E6910" t="s">
        <v>3053</v>
      </c>
      <c r="F6910" t="s">
        <v>686</v>
      </c>
      <c r="G6910" t="s">
        <v>687</v>
      </c>
      <c r="H6910" t="s">
        <v>11291</v>
      </c>
      <c r="I6910">
        <v>14</v>
      </c>
      <c r="J6910">
        <v>0</v>
      </c>
      <c r="K6910">
        <v>0</v>
      </c>
      <c r="L6910">
        <v>14</v>
      </c>
      <c r="M6910">
        <v>0</v>
      </c>
      <c r="N6910">
        <v>0</v>
      </c>
      <c r="O6910">
        <v>0</v>
      </c>
    </row>
    <row r="6911" spans="1:15" x14ac:dyDescent="0.25">
      <c r="A6911" t="s">
        <v>1250</v>
      </c>
      <c r="B6911" t="s">
        <v>2012</v>
      </c>
      <c r="C6911" t="s">
        <v>923</v>
      </c>
      <c r="D6911" t="s">
        <v>3063</v>
      </c>
      <c r="E6911" t="s">
        <v>3053</v>
      </c>
      <c r="F6911" t="s">
        <v>686</v>
      </c>
      <c r="G6911" t="s">
        <v>687</v>
      </c>
      <c r="H6911" t="s">
        <v>7662</v>
      </c>
      <c r="I6911">
        <v>262</v>
      </c>
      <c r="J6911">
        <v>256</v>
      </c>
      <c r="K6911">
        <v>0</v>
      </c>
      <c r="L6911">
        <v>6</v>
      </c>
      <c r="M6911">
        <v>0</v>
      </c>
      <c r="N6911">
        <v>0</v>
      </c>
      <c r="O6911">
        <v>0</v>
      </c>
    </row>
    <row r="6912" spans="1:15" x14ac:dyDescent="0.25">
      <c r="A6912" t="s">
        <v>937</v>
      </c>
      <c r="B6912" t="s">
        <v>1962</v>
      </c>
      <c r="C6912" t="s">
        <v>927</v>
      </c>
      <c r="D6912" t="s">
        <v>3052</v>
      </c>
      <c r="E6912" t="s">
        <v>3053</v>
      </c>
      <c r="F6912" t="s">
        <v>686</v>
      </c>
      <c r="G6912" t="s">
        <v>687</v>
      </c>
      <c r="H6912" t="s">
        <v>10101</v>
      </c>
      <c r="I6912">
        <v>23</v>
      </c>
      <c r="J6912">
        <v>0</v>
      </c>
      <c r="K6912">
        <v>0</v>
      </c>
      <c r="L6912">
        <v>0</v>
      </c>
      <c r="M6912">
        <v>0</v>
      </c>
      <c r="N6912">
        <v>0</v>
      </c>
      <c r="O6912">
        <v>23</v>
      </c>
    </row>
    <row r="6913" spans="1:15" x14ac:dyDescent="0.25">
      <c r="A6913" t="s">
        <v>938</v>
      </c>
      <c r="B6913" t="s">
        <v>2791</v>
      </c>
      <c r="C6913" t="s">
        <v>927</v>
      </c>
      <c r="D6913" t="s">
        <v>3052</v>
      </c>
      <c r="E6913" t="s">
        <v>3053</v>
      </c>
      <c r="F6913" t="s">
        <v>686</v>
      </c>
      <c r="G6913" t="s">
        <v>687</v>
      </c>
      <c r="H6913" t="s">
        <v>7663</v>
      </c>
      <c r="I6913">
        <v>72</v>
      </c>
      <c r="J6913">
        <v>0</v>
      </c>
      <c r="K6913">
        <v>0</v>
      </c>
      <c r="L6913">
        <v>72</v>
      </c>
      <c r="M6913">
        <v>0</v>
      </c>
      <c r="N6913">
        <v>0</v>
      </c>
      <c r="O6913">
        <v>0</v>
      </c>
    </row>
    <row r="6914" spans="1:15" x14ac:dyDescent="0.25">
      <c r="A6914" t="s">
        <v>940</v>
      </c>
      <c r="B6914" t="s">
        <v>2647</v>
      </c>
      <c r="C6914" t="s">
        <v>927</v>
      </c>
      <c r="D6914" t="s">
        <v>3052</v>
      </c>
      <c r="E6914" t="s">
        <v>3053</v>
      </c>
      <c r="F6914" t="s">
        <v>686</v>
      </c>
      <c r="G6914" t="s">
        <v>687</v>
      </c>
      <c r="H6914" t="s">
        <v>7664</v>
      </c>
      <c r="I6914">
        <v>38</v>
      </c>
      <c r="J6914">
        <v>0</v>
      </c>
      <c r="K6914">
        <v>0</v>
      </c>
      <c r="L6914">
        <v>0</v>
      </c>
      <c r="M6914">
        <v>38</v>
      </c>
      <c r="N6914">
        <v>0</v>
      </c>
      <c r="O6914">
        <v>0</v>
      </c>
    </row>
    <row r="6915" spans="1:15" x14ac:dyDescent="0.25">
      <c r="A6915" t="s">
        <v>11755</v>
      </c>
      <c r="B6915" t="s">
        <v>11754</v>
      </c>
      <c r="C6915" t="s">
        <v>923</v>
      </c>
      <c r="D6915" t="s">
        <v>3063</v>
      </c>
      <c r="E6915" t="s">
        <v>3053</v>
      </c>
      <c r="F6915" t="s">
        <v>686</v>
      </c>
      <c r="G6915" t="s">
        <v>687</v>
      </c>
      <c r="H6915" t="s">
        <v>15135</v>
      </c>
      <c r="I6915">
        <v>6</v>
      </c>
      <c r="J6915">
        <v>0</v>
      </c>
      <c r="K6915">
        <v>0</v>
      </c>
      <c r="L6915">
        <v>6</v>
      </c>
      <c r="M6915">
        <v>0</v>
      </c>
      <c r="N6915">
        <v>0</v>
      </c>
      <c r="O6915">
        <v>0</v>
      </c>
    </row>
    <row r="6916" spans="1:15" x14ac:dyDescent="0.25">
      <c r="A6916" t="s">
        <v>1025</v>
      </c>
      <c r="B6916" t="s">
        <v>2893</v>
      </c>
      <c r="C6916" t="s">
        <v>927</v>
      </c>
      <c r="D6916" t="s">
        <v>3052</v>
      </c>
      <c r="E6916" t="s">
        <v>3053</v>
      </c>
      <c r="F6916" t="s">
        <v>686</v>
      </c>
      <c r="G6916" t="s">
        <v>687</v>
      </c>
      <c r="H6916" t="s">
        <v>7665</v>
      </c>
      <c r="I6916">
        <v>1</v>
      </c>
      <c r="J6916">
        <v>0</v>
      </c>
      <c r="K6916">
        <v>0</v>
      </c>
      <c r="L6916">
        <v>0</v>
      </c>
      <c r="M6916">
        <v>0</v>
      </c>
      <c r="N6916">
        <v>0</v>
      </c>
      <c r="O6916">
        <v>1</v>
      </c>
    </row>
    <row r="6917" spans="1:15" x14ac:dyDescent="0.25">
      <c r="A6917" t="s">
        <v>943</v>
      </c>
      <c r="B6917" t="s">
        <v>2694</v>
      </c>
      <c r="C6917" t="s">
        <v>927</v>
      </c>
      <c r="D6917" t="s">
        <v>3052</v>
      </c>
      <c r="E6917" t="s">
        <v>3053</v>
      </c>
      <c r="F6917" t="s">
        <v>686</v>
      </c>
      <c r="G6917" t="s">
        <v>687</v>
      </c>
      <c r="H6917" t="s">
        <v>7666</v>
      </c>
      <c r="I6917">
        <v>576</v>
      </c>
      <c r="J6917">
        <v>450</v>
      </c>
      <c r="K6917">
        <v>0</v>
      </c>
      <c r="L6917">
        <v>0</v>
      </c>
      <c r="M6917">
        <v>18</v>
      </c>
      <c r="N6917">
        <v>2</v>
      </c>
      <c r="O6917">
        <v>108</v>
      </c>
    </row>
    <row r="6918" spans="1:15" x14ac:dyDescent="0.25">
      <c r="A6918" t="s">
        <v>945</v>
      </c>
      <c r="B6918" t="s">
        <v>2668</v>
      </c>
      <c r="C6918" t="s">
        <v>927</v>
      </c>
      <c r="D6918" t="s">
        <v>3052</v>
      </c>
      <c r="E6918" t="s">
        <v>3053</v>
      </c>
      <c r="F6918" t="s">
        <v>686</v>
      </c>
      <c r="G6918" t="s">
        <v>687</v>
      </c>
      <c r="H6918" t="s">
        <v>7667</v>
      </c>
      <c r="I6918">
        <v>4</v>
      </c>
      <c r="J6918">
        <v>0</v>
      </c>
      <c r="K6918">
        <v>0</v>
      </c>
      <c r="L6918">
        <v>0</v>
      </c>
      <c r="M6918">
        <v>0</v>
      </c>
      <c r="N6918">
        <v>0</v>
      </c>
      <c r="O6918">
        <v>4</v>
      </c>
    </row>
    <row r="6919" spans="1:15" x14ac:dyDescent="0.25">
      <c r="A6919" t="s">
        <v>1300</v>
      </c>
      <c r="B6919" t="s">
        <v>2644</v>
      </c>
      <c r="C6919" t="s">
        <v>927</v>
      </c>
      <c r="D6919" t="s">
        <v>3052</v>
      </c>
      <c r="E6919" t="s">
        <v>3053</v>
      </c>
      <c r="F6919" t="s">
        <v>686</v>
      </c>
      <c r="G6919" t="s">
        <v>687</v>
      </c>
      <c r="H6919" t="s">
        <v>12317</v>
      </c>
      <c r="I6919">
        <v>20</v>
      </c>
      <c r="J6919">
        <v>14</v>
      </c>
      <c r="K6919">
        <v>0</v>
      </c>
      <c r="L6919">
        <v>0</v>
      </c>
      <c r="M6919">
        <v>0</v>
      </c>
      <c r="N6919">
        <v>0</v>
      </c>
      <c r="O6919">
        <v>6</v>
      </c>
    </row>
    <row r="6920" spans="1:15" x14ac:dyDescent="0.25">
      <c r="A6920" t="s">
        <v>949</v>
      </c>
      <c r="B6920" t="s">
        <v>3035</v>
      </c>
      <c r="C6920" t="s">
        <v>927</v>
      </c>
      <c r="D6920" t="s">
        <v>3052</v>
      </c>
      <c r="E6920" t="s">
        <v>3053</v>
      </c>
      <c r="F6920" t="s">
        <v>686</v>
      </c>
      <c r="G6920" t="s">
        <v>687</v>
      </c>
      <c r="H6920" t="s">
        <v>7668</v>
      </c>
      <c r="I6920">
        <v>1</v>
      </c>
      <c r="J6920">
        <v>0</v>
      </c>
      <c r="K6920">
        <v>0</v>
      </c>
      <c r="L6920">
        <v>0</v>
      </c>
      <c r="M6920">
        <v>0</v>
      </c>
      <c r="N6920">
        <v>0</v>
      </c>
      <c r="O6920">
        <v>1</v>
      </c>
    </row>
    <row r="6921" spans="1:15" x14ac:dyDescent="0.25">
      <c r="A6921" t="s">
        <v>1136</v>
      </c>
      <c r="B6921" t="s">
        <v>1942</v>
      </c>
      <c r="C6921" t="s">
        <v>923</v>
      </c>
      <c r="D6921" t="s">
        <v>3063</v>
      </c>
      <c r="E6921" t="s">
        <v>3053</v>
      </c>
      <c r="F6921" t="s">
        <v>686</v>
      </c>
      <c r="G6921" t="s">
        <v>687</v>
      </c>
      <c r="H6921" t="s">
        <v>7669</v>
      </c>
      <c r="I6921">
        <v>45</v>
      </c>
      <c r="J6921">
        <v>45</v>
      </c>
      <c r="K6921">
        <v>0</v>
      </c>
      <c r="L6921">
        <v>0</v>
      </c>
      <c r="M6921">
        <v>0</v>
      </c>
      <c r="N6921">
        <v>0</v>
      </c>
      <c r="O6921">
        <v>0</v>
      </c>
    </row>
    <row r="6922" spans="1:15" x14ac:dyDescent="0.25">
      <c r="A6922" t="s">
        <v>1146</v>
      </c>
      <c r="B6922" t="s">
        <v>2117</v>
      </c>
      <c r="C6922" t="s">
        <v>927</v>
      </c>
      <c r="D6922" t="s">
        <v>3052</v>
      </c>
      <c r="E6922" t="s">
        <v>3053</v>
      </c>
      <c r="F6922" t="s">
        <v>686</v>
      </c>
      <c r="G6922" t="s">
        <v>687</v>
      </c>
      <c r="H6922" t="s">
        <v>15136</v>
      </c>
      <c r="I6922">
        <v>1</v>
      </c>
      <c r="J6922">
        <v>0</v>
      </c>
      <c r="K6922">
        <v>0</v>
      </c>
      <c r="L6922">
        <v>0</v>
      </c>
      <c r="M6922">
        <v>0</v>
      </c>
      <c r="N6922">
        <v>0</v>
      </c>
      <c r="O6922">
        <v>1</v>
      </c>
    </row>
    <row r="6923" spans="1:15" x14ac:dyDescent="0.25">
      <c r="A6923" t="s">
        <v>1050</v>
      </c>
      <c r="B6923" t="s">
        <v>2018</v>
      </c>
      <c r="C6923" t="s">
        <v>923</v>
      </c>
      <c r="D6923" t="s">
        <v>3063</v>
      </c>
      <c r="E6923" t="s">
        <v>3053</v>
      </c>
      <c r="F6923" t="s">
        <v>686</v>
      </c>
      <c r="G6923" t="s">
        <v>687</v>
      </c>
      <c r="H6923" t="s">
        <v>7670</v>
      </c>
      <c r="I6923">
        <v>50</v>
      </c>
      <c r="J6923">
        <v>50</v>
      </c>
      <c r="K6923">
        <v>0</v>
      </c>
      <c r="L6923">
        <v>0</v>
      </c>
      <c r="M6923">
        <v>0</v>
      </c>
      <c r="N6923">
        <v>0</v>
      </c>
      <c r="O6923">
        <v>0</v>
      </c>
    </row>
    <row r="6924" spans="1:15" x14ac:dyDescent="0.25">
      <c r="A6924" t="s">
        <v>953</v>
      </c>
      <c r="B6924" t="s">
        <v>2014</v>
      </c>
      <c r="C6924" t="s">
        <v>927</v>
      </c>
      <c r="D6924" t="s">
        <v>3052</v>
      </c>
      <c r="E6924" t="s">
        <v>3053</v>
      </c>
      <c r="F6924" t="s">
        <v>686</v>
      </c>
      <c r="G6924" t="s">
        <v>687</v>
      </c>
      <c r="H6924" t="s">
        <v>7671</v>
      </c>
      <c r="I6924">
        <v>6</v>
      </c>
      <c r="J6924">
        <v>0</v>
      </c>
      <c r="K6924">
        <v>0</v>
      </c>
      <c r="L6924">
        <v>6</v>
      </c>
      <c r="M6924">
        <v>0</v>
      </c>
      <c r="N6924">
        <v>0</v>
      </c>
      <c r="O6924">
        <v>0</v>
      </c>
    </row>
    <row r="6925" spans="1:15" x14ac:dyDescent="0.25">
      <c r="A6925" t="s">
        <v>955</v>
      </c>
      <c r="B6925" t="s">
        <v>2660</v>
      </c>
      <c r="C6925" t="s">
        <v>927</v>
      </c>
      <c r="D6925" t="s">
        <v>3052</v>
      </c>
      <c r="E6925" t="s">
        <v>3053</v>
      </c>
      <c r="F6925" t="s">
        <v>686</v>
      </c>
      <c r="G6925" t="s">
        <v>687</v>
      </c>
      <c r="H6925" t="s">
        <v>7672</v>
      </c>
      <c r="I6925">
        <v>158</v>
      </c>
      <c r="J6925">
        <v>0</v>
      </c>
      <c r="K6925">
        <v>0</v>
      </c>
      <c r="L6925">
        <v>0</v>
      </c>
      <c r="M6925">
        <v>133</v>
      </c>
      <c r="N6925">
        <v>0</v>
      </c>
      <c r="O6925">
        <v>25</v>
      </c>
    </row>
    <row r="6926" spans="1:15" x14ac:dyDescent="0.25">
      <c r="A6926" t="s">
        <v>1341</v>
      </c>
      <c r="B6926" t="s">
        <v>2954</v>
      </c>
      <c r="C6926" t="s">
        <v>923</v>
      </c>
      <c r="D6926" t="s">
        <v>3063</v>
      </c>
      <c r="E6926" t="s">
        <v>3053</v>
      </c>
      <c r="F6926" t="s">
        <v>686</v>
      </c>
      <c r="G6926" t="s">
        <v>687</v>
      </c>
      <c r="H6926" t="s">
        <v>12318</v>
      </c>
      <c r="I6926">
        <v>36</v>
      </c>
      <c r="J6926">
        <v>36</v>
      </c>
      <c r="K6926">
        <v>0</v>
      </c>
      <c r="L6926">
        <v>0</v>
      </c>
      <c r="M6926">
        <v>0</v>
      </c>
      <c r="N6926">
        <v>0</v>
      </c>
      <c r="O6926">
        <v>0</v>
      </c>
    </row>
    <row r="6927" spans="1:15" x14ac:dyDescent="0.25">
      <c r="A6927" t="s">
        <v>11663</v>
      </c>
      <c r="B6927" t="s">
        <v>11768</v>
      </c>
      <c r="C6927" t="s">
        <v>927</v>
      </c>
      <c r="D6927" t="s">
        <v>3052</v>
      </c>
      <c r="E6927" t="s">
        <v>3053</v>
      </c>
      <c r="F6927" t="s">
        <v>686</v>
      </c>
      <c r="G6927" t="s">
        <v>687</v>
      </c>
      <c r="H6927" t="s">
        <v>12319</v>
      </c>
      <c r="I6927">
        <v>257</v>
      </c>
      <c r="J6927">
        <v>212</v>
      </c>
      <c r="K6927">
        <v>0</v>
      </c>
      <c r="L6927">
        <v>24</v>
      </c>
      <c r="M6927">
        <v>0</v>
      </c>
      <c r="N6927">
        <v>2</v>
      </c>
      <c r="O6927">
        <v>21</v>
      </c>
    </row>
    <row r="6928" spans="1:15" x14ac:dyDescent="0.25">
      <c r="A6928" t="s">
        <v>960</v>
      </c>
      <c r="B6928" t="s">
        <v>2080</v>
      </c>
      <c r="C6928" t="s">
        <v>927</v>
      </c>
      <c r="D6928" t="s">
        <v>3052</v>
      </c>
      <c r="E6928" t="s">
        <v>3053</v>
      </c>
      <c r="F6928" t="s">
        <v>686</v>
      </c>
      <c r="G6928" t="s">
        <v>687</v>
      </c>
      <c r="H6928" t="s">
        <v>7673</v>
      </c>
      <c r="I6928">
        <v>7</v>
      </c>
      <c r="J6928">
        <v>2</v>
      </c>
      <c r="K6928">
        <v>0</v>
      </c>
      <c r="L6928">
        <v>5</v>
      </c>
      <c r="M6928">
        <v>0</v>
      </c>
      <c r="N6928">
        <v>0</v>
      </c>
      <c r="O6928">
        <v>0</v>
      </c>
    </row>
    <row r="6929" spans="1:15" x14ac:dyDescent="0.25">
      <c r="A6929" t="s">
        <v>962</v>
      </c>
      <c r="B6929" t="s">
        <v>2752</v>
      </c>
      <c r="C6929" t="s">
        <v>927</v>
      </c>
      <c r="D6929" t="s">
        <v>3052</v>
      </c>
      <c r="E6929" t="s">
        <v>3053</v>
      </c>
      <c r="F6929" t="s">
        <v>686</v>
      </c>
      <c r="G6929" t="s">
        <v>687</v>
      </c>
      <c r="H6929" t="s">
        <v>7674</v>
      </c>
      <c r="I6929">
        <v>101</v>
      </c>
      <c r="J6929">
        <v>77</v>
      </c>
      <c r="K6929">
        <v>0</v>
      </c>
      <c r="L6929">
        <v>0</v>
      </c>
      <c r="M6929">
        <v>23</v>
      </c>
      <c r="N6929">
        <v>0</v>
      </c>
      <c r="O6929">
        <v>1</v>
      </c>
    </row>
    <row r="6930" spans="1:15" x14ac:dyDescent="0.25">
      <c r="A6930" t="s">
        <v>964</v>
      </c>
      <c r="B6930" t="s">
        <v>1969</v>
      </c>
      <c r="C6930" t="s">
        <v>927</v>
      </c>
      <c r="D6930" t="s">
        <v>3052</v>
      </c>
      <c r="E6930" t="s">
        <v>3053</v>
      </c>
      <c r="F6930" t="s">
        <v>686</v>
      </c>
      <c r="G6930" t="s">
        <v>687</v>
      </c>
      <c r="H6930" t="s">
        <v>7675</v>
      </c>
      <c r="I6930">
        <v>23</v>
      </c>
      <c r="J6930">
        <v>18</v>
      </c>
      <c r="K6930">
        <v>0</v>
      </c>
      <c r="L6930">
        <v>0</v>
      </c>
      <c r="M6930">
        <v>0</v>
      </c>
      <c r="N6930">
        <v>0</v>
      </c>
      <c r="O6930">
        <v>5</v>
      </c>
    </row>
    <row r="6931" spans="1:15" x14ac:dyDescent="0.25">
      <c r="A6931" t="s">
        <v>1072</v>
      </c>
      <c r="B6931" t="s">
        <v>2907</v>
      </c>
      <c r="C6931" t="s">
        <v>927</v>
      </c>
      <c r="D6931" t="s">
        <v>3052</v>
      </c>
      <c r="E6931" t="s">
        <v>3053</v>
      </c>
      <c r="F6931" t="s">
        <v>686</v>
      </c>
      <c r="G6931" t="s">
        <v>687</v>
      </c>
      <c r="H6931" t="s">
        <v>7676</v>
      </c>
      <c r="I6931">
        <v>25</v>
      </c>
      <c r="J6931">
        <v>0</v>
      </c>
      <c r="K6931">
        <v>0</v>
      </c>
      <c r="L6931">
        <v>25</v>
      </c>
      <c r="M6931">
        <v>0</v>
      </c>
      <c r="N6931">
        <v>0</v>
      </c>
      <c r="O6931">
        <v>0</v>
      </c>
    </row>
    <row r="6932" spans="1:15" x14ac:dyDescent="0.25">
      <c r="A6932" t="s">
        <v>10765</v>
      </c>
      <c r="B6932" t="s">
        <v>2281</v>
      </c>
      <c r="C6932" t="s">
        <v>923</v>
      </c>
      <c r="D6932" t="s">
        <v>3063</v>
      </c>
      <c r="E6932" t="s">
        <v>3053</v>
      </c>
      <c r="F6932" t="s">
        <v>686</v>
      </c>
      <c r="G6932" t="s">
        <v>687</v>
      </c>
      <c r="H6932" t="s">
        <v>11292</v>
      </c>
      <c r="I6932">
        <v>34</v>
      </c>
      <c r="J6932">
        <v>0</v>
      </c>
      <c r="K6932">
        <v>0</v>
      </c>
      <c r="L6932">
        <v>34</v>
      </c>
      <c r="M6932">
        <v>0</v>
      </c>
      <c r="N6932">
        <v>4</v>
      </c>
      <c r="O6932">
        <v>0</v>
      </c>
    </row>
    <row r="6933" spans="1:15" x14ac:dyDescent="0.25">
      <c r="A6933" t="s">
        <v>1681</v>
      </c>
      <c r="B6933" t="s">
        <v>3021</v>
      </c>
      <c r="C6933" t="s">
        <v>923</v>
      </c>
      <c r="D6933" t="s">
        <v>3063</v>
      </c>
      <c r="E6933" t="s">
        <v>3053</v>
      </c>
      <c r="F6933" t="s">
        <v>686</v>
      </c>
      <c r="G6933" t="s">
        <v>687</v>
      </c>
      <c r="H6933" t="s">
        <v>7677</v>
      </c>
      <c r="I6933">
        <v>13</v>
      </c>
      <c r="J6933">
        <v>0</v>
      </c>
      <c r="K6933">
        <v>5</v>
      </c>
      <c r="L6933">
        <v>8</v>
      </c>
      <c r="M6933">
        <v>0</v>
      </c>
      <c r="N6933">
        <v>0</v>
      </c>
      <c r="O6933">
        <v>0</v>
      </c>
    </row>
    <row r="6934" spans="1:15" x14ac:dyDescent="0.25">
      <c r="A6934" t="s">
        <v>966</v>
      </c>
      <c r="B6934" t="s">
        <v>2684</v>
      </c>
      <c r="C6934" t="s">
        <v>927</v>
      </c>
      <c r="D6934" t="s">
        <v>3052</v>
      </c>
      <c r="E6934" t="s">
        <v>3053</v>
      </c>
      <c r="F6934" t="s">
        <v>686</v>
      </c>
      <c r="G6934" t="s">
        <v>687</v>
      </c>
      <c r="H6934" t="s">
        <v>7678</v>
      </c>
      <c r="I6934">
        <v>46</v>
      </c>
      <c r="J6934">
        <v>10</v>
      </c>
      <c r="K6934">
        <v>0</v>
      </c>
      <c r="L6934">
        <v>0</v>
      </c>
      <c r="M6934">
        <v>0</v>
      </c>
      <c r="N6934">
        <v>0</v>
      </c>
      <c r="O6934">
        <v>36</v>
      </c>
    </row>
    <row r="6935" spans="1:15" x14ac:dyDescent="0.25">
      <c r="A6935" t="s">
        <v>968</v>
      </c>
      <c r="B6935" t="s">
        <v>2091</v>
      </c>
      <c r="C6935" t="s">
        <v>927</v>
      </c>
      <c r="D6935" t="s">
        <v>3052</v>
      </c>
      <c r="E6935" t="s">
        <v>3053</v>
      </c>
      <c r="F6935" t="s">
        <v>686</v>
      </c>
      <c r="G6935" t="s">
        <v>687</v>
      </c>
      <c r="H6935" t="s">
        <v>7679</v>
      </c>
      <c r="I6935">
        <v>4964</v>
      </c>
      <c r="J6935">
        <v>4317</v>
      </c>
      <c r="K6935">
        <v>0</v>
      </c>
      <c r="L6935">
        <v>31</v>
      </c>
      <c r="M6935">
        <v>325</v>
      </c>
      <c r="N6935">
        <v>2</v>
      </c>
      <c r="O6935">
        <v>291</v>
      </c>
    </row>
    <row r="6936" spans="1:15" x14ac:dyDescent="0.25">
      <c r="A6936" t="s">
        <v>971</v>
      </c>
      <c r="B6936" t="s">
        <v>2956</v>
      </c>
      <c r="C6936" t="s">
        <v>927</v>
      </c>
      <c r="D6936" t="s">
        <v>3052</v>
      </c>
      <c r="E6936" t="s">
        <v>3053</v>
      </c>
      <c r="F6936" t="s">
        <v>688</v>
      </c>
      <c r="G6936" t="s">
        <v>689</v>
      </c>
      <c r="H6936" t="s">
        <v>7680</v>
      </c>
      <c r="I6936">
        <v>103</v>
      </c>
      <c r="J6936">
        <v>91</v>
      </c>
      <c r="K6936">
        <v>0</v>
      </c>
      <c r="L6936">
        <v>0</v>
      </c>
      <c r="M6936">
        <v>0</v>
      </c>
      <c r="N6936">
        <v>0</v>
      </c>
      <c r="O6936">
        <v>12</v>
      </c>
    </row>
    <row r="6937" spans="1:15" x14ac:dyDescent="0.25">
      <c r="A6937" t="s">
        <v>926</v>
      </c>
      <c r="B6937" t="s">
        <v>2923</v>
      </c>
      <c r="C6937" t="s">
        <v>927</v>
      </c>
      <c r="D6937" t="s">
        <v>3052</v>
      </c>
      <c r="E6937" t="s">
        <v>3053</v>
      </c>
      <c r="F6937" t="s">
        <v>688</v>
      </c>
      <c r="G6937" t="s">
        <v>689</v>
      </c>
      <c r="H6937" t="s">
        <v>7681</v>
      </c>
      <c r="I6937">
        <v>9</v>
      </c>
      <c r="J6937">
        <v>0</v>
      </c>
      <c r="K6937">
        <v>0</v>
      </c>
      <c r="L6937">
        <v>7</v>
      </c>
      <c r="M6937">
        <v>0</v>
      </c>
      <c r="N6937">
        <v>0</v>
      </c>
      <c r="O6937">
        <v>2</v>
      </c>
    </row>
    <row r="6938" spans="1:15" x14ac:dyDescent="0.25">
      <c r="A6938" t="s">
        <v>992</v>
      </c>
      <c r="B6938" t="s">
        <v>3033</v>
      </c>
      <c r="C6938" t="s">
        <v>927</v>
      </c>
      <c r="D6938" t="s">
        <v>3052</v>
      </c>
      <c r="E6938" t="s">
        <v>3053</v>
      </c>
      <c r="F6938" t="s">
        <v>688</v>
      </c>
      <c r="G6938" t="s">
        <v>689</v>
      </c>
      <c r="H6938" t="s">
        <v>7682</v>
      </c>
      <c r="I6938">
        <v>15</v>
      </c>
      <c r="J6938">
        <v>9</v>
      </c>
      <c r="K6938">
        <v>0</v>
      </c>
      <c r="L6938">
        <v>0</v>
      </c>
      <c r="M6938">
        <v>0</v>
      </c>
      <c r="N6938">
        <v>0</v>
      </c>
      <c r="O6938">
        <v>6</v>
      </c>
    </row>
    <row r="6939" spans="1:15" x14ac:dyDescent="0.25">
      <c r="A6939" t="s">
        <v>997</v>
      </c>
      <c r="B6939" t="s">
        <v>2033</v>
      </c>
      <c r="C6939" t="s">
        <v>927</v>
      </c>
      <c r="D6939" t="s">
        <v>3052</v>
      </c>
      <c r="E6939" t="s">
        <v>3053</v>
      </c>
      <c r="F6939" t="s">
        <v>688</v>
      </c>
      <c r="G6939" t="s">
        <v>689</v>
      </c>
      <c r="H6939" t="s">
        <v>7683</v>
      </c>
      <c r="I6939">
        <v>9</v>
      </c>
      <c r="J6939">
        <v>3</v>
      </c>
      <c r="K6939">
        <v>0</v>
      </c>
      <c r="L6939">
        <v>0</v>
      </c>
      <c r="M6939">
        <v>0</v>
      </c>
      <c r="N6939">
        <v>0</v>
      </c>
      <c r="O6939">
        <v>6</v>
      </c>
    </row>
    <row r="6940" spans="1:15" x14ac:dyDescent="0.25">
      <c r="A6940" t="s">
        <v>10638</v>
      </c>
      <c r="B6940" t="s">
        <v>2057</v>
      </c>
      <c r="C6940" t="s">
        <v>927</v>
      </c>
      <c r="D6940" t="s">
        <v>3052</v>
      </c>
      <c r="E6940" t="s">
        <v>3053</v>
      </c>
      <c r="F6940" t="s">
        <v>688</v>
      </c>
      <c r="G6940" t="s">
        <v>689</v>
      </c>
      <c r="H6940" t="s">
        <v>11293</v>
      </c>
      <c r="I6940">
        <v>2</v>
      </c>
      <c r="J6940">
        <v>0</v>
      </c>
      <c r="K6940">
        <v>0</v>
      </c>
      <c r="L6940">
        <v>2</v>
      </c>
      <c r="M6940">
        <v>0</v>
      </c>
      <c r="N6940">
        <v>0</v>
      </c>
      <c r="O6940">
        <v>0</v>
      </c>
    </row>
    <row r="6941" spans="1:15" x14ac:dyDescent="0.25">
      <c r="A6941" t="s">
        <v>937</v>
      </c>
      <c r="B6941" t="s">
        <v>1962</v>
      </c>
      <c r="C6941" t="s">
        <v>927</v>
      </c>
      <c r="D6941" t="s">
        <v>3052</v>
      </c>
      <c r="E6941" t="s">
        <v>3053</v>
      </c>
      <c r="F6941" t="s">
        <v>688</v>
      </c>
      <c r="G6941" t="s">
        <v>689</v>
      </c>
      <c r="H6941" t="s">
        <v>10102</v>
      </c>
      <c r="I6941">
        <v>11</v>
      </c>
      <c r="J6941">
        <v>0</v>
      </c>
      <c r="K6941">
        <v>0</v>
      </c>
      <c r="L6941">
        <v>0</v>
      </c>
      <c r="M6941">
        <v>0</v>
      </c>
      <c r="N6941">
        <v>0</v>
      </c>
      <c r="O6941">
        <v>11</v>
      </c>
    </row>
    <row r="6942" spans="1:15" x14ac:dyDescent="0.25">
      <c r="A6942" t="s">
        <v>1023</v>
      </c>
      <c r="B6942" t="s">
        <v>2803</v>
      </c>
      <c r="C6942" t="s">
        <v>923</v>
      </c>
      <c r="D6942" t="s">
        <v>3063</v>
      </c>
      <c r="E6942" t="s">
        <v>3053</v>
      </c>
      <c r="F6942" t="s">
        <v>688</v>
      </c>
      <c r="G6942" t="s">
        <v>689</v>
      </c>
      <c r="H6942" t="s">
        <v>7684</v>
      </c>
      <c r="I6942">
        <v>13</v>
      </c>
      <c r="J6942">
        <v>13</v>
      </c>
      <c r="K6942">
        <v>0</v>
      </c>
      <c r="L6942">
        <v>0</v>
      </c>
      <c r="M6942">
        <v>0</v>
      </c>
      <c r="N6942">
        <v>0</v>
      </c>
      <c r="O6942">
        <v>0</v>
      </c>
    </row>
    <row r="6943" spans="1:15" x14ac:dyDescent="0.25">
      <c r="A6943" t="s">
        <v>1026</v>
      </c>
      <c r="B6943" t="s">
        <v>2848</v>
      </c>
      <c r="C6943" t="s">
        <v>927</v>
      </c>
      <c r="D6943" t="s">
        <v>3052</v>
      </c>
      <c r="E6943" t="s">
        <v>3053</v>
      </c>
      <c r="F6943" t="s">
        <v>688</v>
      </c>
      <c r="G6943" t="s">
        <v>689</v>
      </c>
      <c r="H6943" t="s">
        <v>7685</v>
      </c>
      <c r="I6943">
        <v>1394</v>
      </c>
      <c r="J6943">
        <v>1137</v>
      </c>
      <c r="K6943">
        <v>0</v>
      </c>
      <c r="L6943">
        <v>8</v>
      </c>
      <c r="M6943">
        <v>164</v>
      </c>
      <c r="N6943">
        <v>5</v>
      </c>
      <c r="O6943">
        <v>85</v>
      </c>
    </row>
    <row r="6944" spans="1:15" x14ac:dyDescent="0.25">
      <c r="A6944" t="s">
        <v>1038</v>
      </c>
      <c r="B6944" t="s">
        <v>2068</v>
      </c>
      <c r="C6944" t="s">
        <v>927</v>
      </c>
      <c r="D6944" t="s">
        <v>3052</v>
      </c>
      <c r="E6944" t="s">
        <v>3053</v>
      </c>
      <c r="F6944" t="s">
        <v>688</v>
      </c>
      <c r="G6944" t="s">
        <v>689</v>
      </c>
      <c r="H6944" t="s">
        <v>7686</v>
      </c>
      <c r="I6944">
        <v>149</v>
      </c>
      <c r="J6944">
        <v>111</v>
      </c>
      <c r="K6944">
        <v>0</v>
      </c>
      <c r="L6944">
        <v>14</v>
      </c>
      <c r="M6944">
        <v>0</v>
      </c>
      <c r="N6944">
        <v>0</v>
      </c>
      <c r="O6944">
        <v>24</v>
      </c>
    </row>
    <row r="6945" spans="1:15" x14ac:dyDescent="0.25">
      <c r="A6945" t="s">
        <v>1043</v>
      </c>
      <c r="B6945" t="s">
        <v>2090</v>
      </c>
      <c r="C6945" t="s">
        <v>927</v>
      </c>
      <c r="D6945" t="s">
        <v>3052</v>
      </c>
      <c r="E6945" t="s">
        <v>3053</v>
      </c>
      <c r="F6945" t="s">
        <v>688</v>
      </c>
      <c r="G6945" t="s">
        <v>689</v>
      </c>
      <c r="H6945" t="s">
        <v>7687</v>
      </c>
      <c r="I6945">
        <v>13</v>
      </c>
      <c r="J6945">
        <v>6</v>
      </c>
      <c r="K6945">
        <v>0</v>
      </c>
      <c r="L6945">
        <v>0</v>
      </c>
      <c r="M6945">
        <v>0</v>
      </c>
      <c r="N6945">
        <v>0</v>
      </c>
      <c r="O6945">
        <v>7</v>
      </c>
    </row>
    <row r="6946" spans="1:15" x14ac:dyDescent="0.25">
      <c r="A6946" t="s">
        <v>1049</v>
      </c>
      <c r="B6946" t="s">
        <v>2138</v>
      </c>
      <c r="C6946" t="s">
        <v>927</v>
      </c>
      <c r="D6946" t="s">
        <v>3052</v>
      </c>
      <c r="E6946" t="s">
        <v>3053</v>
      </c>
      <c r="F6946" t="s">
        <v>688</v>
      </c>
      <c r="G6946" t="s">
        <v>689</v>
      </c>
      <c r="H6946" t="s">
        <v>7688</v>
      </c>
      <c r="I6946">
        <v>185</v>
      </c>
      <c r="J6946">
        <v>131</v>
      </c>
      <c r="K6946">
        <v>0</v>
      </c>
      <c r="L6946">
        <v>0</v>
      </c>
      <c r="M6946">
        <v>0</v>
      </c>
      <c r="N6946">
        <v>0</v>
      </c>
      <c r="O6946">
        <v>54</v>
      </c>
    </row>
    <row r="6947" spans="1:15" x14ac:dyDescent="0.25">
      <c r="A6947" t="s">
        <v>1051</v>
      </c>
      <c r="B6947" t="s">
        <v>2995</v>
      </c>
      <c r="C6947" t="s">
        <v>927</v>
      </c>
      <c r="D6947" t="s">
        <v>3052</v>
      </c>
      <c r="E6947" t="s">
        <v>3053</v>
      </c>
      <c r="F6947" t="s">
        <v>688</v>
      </c>
      <c r="G6947" t="s">
        <v>689</v>
      </c>
      <c r="H6947" t="s">
        <v>7689</v>
      </c>
      <c r="I6947">
        <v>7</v>
      </c>
      <c r="J6947">
        <v>0</v>
      </c>
      <c r="K6947">
        <v>0</v>
      </c>
      <c r="L6947">
        <v>7</v>
      </c>
      <c r="M6947">
        <v>0</v>
      </c>
      <c r="N6947">
        <v>0</v>
      </c>
      <c r="O6947">
        <v>0</v>
      </c>
    </row>
    <row r="6948" spans="1:15" x14ac:dyDescent="0.25">
      <c r="A6948" t="s">
        <v>962</v>
      </c>
      <c r="B6948" t="s">
        <v>2752</v>
      </c>
      <c r="C6948" t="s">
        <v>927</v>
      </c>
      <c r="D6948" t="s">
        <v>3052</v>
      </c>
      <c r="E6948" t="s">
        <v>3053</v>
      </c>
      <c r="F6948" t="s">
        <v>688</v>
      </c>
      <c r="G6948" t="s">
        <v>689</v>
      </c>
      <c r="H6948" t="s">
        <v>7690</v>
      </c>
      <c r="I6948">
        <v>20</v>
      </c>
      <c r="J6948">
        <v>20</v>
      </c>
      <c r="K6948">
        <v>0</v>
      </c>
      <c r="L6948">
        <v>0</v>
      </c>
      <c r="M6948">
        <v>0</v>
      </c>
      <c r="N6948">
        <v>0</v>
      </c>
      <c r="O6948">
        <v>0</v>
      </c>
    </row>
    <row r="6949" spans="1:15" x14ac:dyDescent="0.25">
      <c r="A6949" t="s">
        <v>11668</v>
      </c>
      <c r="B6949" t="s">
        <v>2174</v>
      </c>
      <c r="C6949" t="s">
        <v>923</v>
      </c>
      <c r="D6949" t="s">
        <v>3063</v>
      </c>
      <c r="E6949" t="s">
        <v>3053</v>
      </c>
      <c r="F6949" t="s">
        <v>688</v>
      </c>
      <c r="G6949" t="s">
        <v>689</v>
      </c>
      <c r="H6949" t="s">
        <v>12320</v>
      </c>
      <c r="I6949">
        <v>103</v>
      </c>
      <c r="J6949">
        <v>0</v>
      </c>
      <c r="K6949">
        <v>0</v>
      </c>
      <c r="L6949">
        <v>0</v>
      </c>
      <c r="M6949">
        <v>103</v>
      </c>
      <c r="N6949">
        <v>0</v>
      </c>
      <c r="O6949">
        <v>0</v>
      </c>
    </row>
    <row r="6950" spans="1:15" x14ac:dyDescent="0.25">
      <c r="A6950" t="s">
        <v>974</v>
      </c>
      <c r="B6950" t="s">
        <v>2949</v>
      </c>
      <c r="C6950" t="s">
        <v>923</v>
      </c>
      <c r="D6950" t="s">
        <v>3063</v>
      </c>
      <c r="E6950" t="s">
        <v>3053</v>
      </c>
      <c r="F6950" t="s">
        <v>690</v>
      </c>
      <c r="G6950" t="s">
        <v>691</v>
      </c>
      <c r="H6950" t="s">
        <v>7691</v>
      </c>
      <c r="I6950">
        <v>16</v>
      </c>
      <c r="J6950">
        <v>0</v>
      </c>
      <c r="K6950">
        <v>0</v>
      </c>
      <c r="L6950">
        <v>16</v>
      </c>
      <c r="M6950">
        <v>0</v>
      </c>
      <c r="N6950">
        <v>0</v>
      </c>
      <c r="O6950">
        <v>0</v>
      </c>
    </row>
    <row r="6951" spans="1:15" x14ac:dyDescent="0.25">
      <c r="A6951" t="s">
        <v>1201</v>
      </c>
      <c r="B6951" t="s">
        <v>2972</v>
      </c>
      <c r="C6951" t="s">
        <v>923</v>
      </c>
      <c r="D6951" t="s">
        <v>3063</v>
      </c>
      <c r="E6951" t="s">
        <v>3053</v>
      </c>
      <c r="F6951" t="s">
        <v>690</v>
      </c>
      <c r="G6951" t="s">
        <v>691</v>
      </c>
      <c r="H6951" t="s">
        <v>7692</v>
      </c>
      <c r="I6951">
        <v>65</v>
      </c>
      <c r="J6951">
        <v>55</v>
      </c>
      <c r="K6951">
        <v>0</v>
      </c>
      <c r="L6951">
        <v>0</v>
      </c>
      <c r="M6951">
        <v>10</v>
      </c>
      <c r="N6951">
        <v>0</v>
      </c>
      <c r="O6951">
        <v>0</v>
      </c>
    </row>
    <row r="6952" spans="1:15" x14ac:dyDescent="0.25">
      <c r="A6952" t="s">
        <v>929</v>
      </c>
      <c r="B6952" t="s">
        <v>2999</v>
      </c>
      <c r="C6952" t="s">
        <v>927</v>
      </c>
      <c r="D6952" t="s">
        <v>3052</v>
      </c>
      <c r="E6952" t="s">
        <v>3053</v>
      </c>
      <c r="F6952" t="s">
        <v>690</v>
      </c>
      <c r="G6952" t="s">
        <v>691</v>
      </c>
      <c r="H6952" t="s">
        <v>7693</v>
      </c>
      <c r="I6952">
        <v>248</v>
      </c>
      <c r="J6952">
        <v>0</v>
      </c>
      <c r="K6952">
        <v>0</v>
      </c>
      <c r="L6952">
        <v>0</v>
      </c>
      <c r="M6952">
        <v>248</v>
      </c>
      <c r="N6952">
        <v>0</v>
      </c>
      <c r="O6952">
        <v>0</v>
      </c>
    </row>
    <row r="6953" spans="1:15" x14ac:dyDescent="0.25">
      <c r="A6953" t="s">
        <v>1458</v>
      </c>
      <c r="B6953" t="s">
        <v>2024</v>
      </c>
      <c r="C6953" t="s">
        <v>923</v>
      </c>
      <c r="D6953" t="s">
        <v>3063</v>
      </c>
      <c r="E6953" t="s">
        <v>3053</v>
      </c>
      <c r="F6953" t="s">
        <v>690</v>
      </c>
      <c r="G6953" t="s">
        <v>691</v>
      </c>
      <c r="H6953" t="s">
        <v>12321</v>
      </c>
      <c r="I6953">
        <v>2</v>
      </c>
      <c r="J6953">
        <v>2</v>
      </c>
      <c r="K6953">
        <v>0</v>
      </c>
      <c r="L6953">
        <v>0</v>
      </c>
      <c r="M6953">
        <v>0</v>
      </c>
      <c r="N6953">
        <v>0</v>
      </c>
      <c r="O6953">
        <v>0</v>
      </c>
    </row>
    <row r="6954" spans="1:15" x14ac:dyDescent="0.25">
      <c r="A6954" t="s">
        <v>1461</v>
      </c>
      <c r="B6954" t="s">
        <v>1927</v>
      </c>
      <c r="C6954" t="s">
        <v>927</v>
      </c>
      <c r="D6954" t="s">
        <v>3052</v>
      </c>
      <c r="E6954" t="s">
        <v>3053</v>
      </c>
      <c r="F6954" t="s">
        <v>690</v>
      </c>
      <c r="G6954" t="s">
        <v>691</v>
      </c>
      <c r="H6954" t="s">
        <v>15137</v>
      </c>
      <c r="I6954">
        <v>116</v>
      </c>
      <c r="J6954">
        <v>104</v>
      </c>
      <c r="K6954">
        <v>0</v>
      </c>
      <c r="L6954">
        <v>0</v>
      </c>
      <c r="M6954">
        <v>0</v>
      </c>
      <c r="N6954">
        <v>8</v>
      </c>
      <c r="O6954">
        <v>12</v>
      </c>
    </row>
    <row r="6955" spans="1:15" x14ac:dyDescent="0.25">
      <c r="A6955" t="s">
        <v>933</v>
      </c>
      <c r="B6955" t="s">
        <v>2106</v>
      </c>
      <c r="C6955" t="s">
        <v>927</v>
      </c>
      <c r="D6955" t="s">
        <v>3052</v>
      </c>
      <c r="E6955" t="s">
        <v>3053</v>
      </c>
      <c r="F6955" t="s">
        <v>690</v>
      </c>
      <c r="G6955" t="s">
        <v>691</v>
      </c>
      <c r="H6955" t="s">
        <v>7694</v>
      </c>
      <c r="I6955">
        <v>484</v>
      </c>
      <c r="J6955">
        <v>284</v>
      </c>
      <c r="K6955">
        <v>0</v>
      </c>
      <c r="L6955">
        <v>0</v>
      </c>
      <c r="M6955">
        <v>0</v>
      </c>
      <c r="N6955">
        <v>0</v>
      </c>
      <c r="O6955">
        <v>200</v>
      </c>
    </row>
    <row r="6956" spans="1:15" x14ac:dyDescent="0.25">
      <c r="A6956" t="s">
        <v>991</v>
      </c>
      <c r="B6956" t="s">
        <v>1976</v>
      </c>
      <c r="C6956" t="s">
        <v>923</v>
      </c>
      <c r="D6956" t="s">
        <v>3063</v>
      </c>
      <c r="E6956" t="s">
        <v>3053</v>
      </c>
      <c r="F6956" t="s">
        <v>690</v>
      </c>
      <c r="G6956" t="s">
        <v>691</v>
      </c>
      <c r="H6956" t="s">
        <v>7695</v>
      </c>
      <c r="I6956">
        <v>36</v>
      </c>
      <c r="J6956">
        <v>0</v>
      </c>
      <c r="K6956">
        <v>0</v>
      </c>
      <c r="L6956">
        <v>36</v>
      </c>
      <c r="M6956">
        <v>0</v>
      </c>
      <c r="N6956">
        <v>0</v>
      </c>
      <c r="O6956">
        <v>0</v>
      </c>
    </row>
    <row r="6957" spans="1:15" x14ac:dyDescent="0.25">
      <c r="A6957" t="s">
        <v>1227</v>
      </c>
      <c r="B6957" t="s">
        <v>2023</v>
      </c>
      <c r="C6957" t="s">
        <v>923</v>
      </c>
      <c r="D6957" t="s">
        <v>3063</v>
      </c>
      <c r="E6957" t="s">
        <v>3053</v>
      </c>
      <c r="F6957" t="s">
        <v>690</v>
      </c>
      <c r="G6957" t="s">
        <v>691</v>
      </c>
      <c r="H6957" t="s">
        <v>12322</v>
      </c>
      <c r="I6957">
        <v>16</v>
      </c>
      <c r="J6957">
        <v>0</v>
      </c>
      <c r="K6957">
        <v>0</v>
      </c>
      <c r="L6957">
        <v>16</v>
      </c>
      <c r="M6957">
        <v>0</v>
      </c>
      <c r="N6957">
        <v>0</v>
      </c>
      <c r="O6957">
        <v>0</v>
      </c>
    </row>
    <row r="6958" spans="1:15" x14ac:dyDescent="0.25">
      <c r="A6958" t="s">
        <v>11746</v>
      </c>
      <c r="B6958" t="s">
        <v>11745</v>
      </c>
      <c r="C6958" t="s">
        <v>923</v>
      </c>
      <c r="D6958" t="s">
        <v>3063</v>
      </c>
      <c r="E6958" t="s">
        <v>3053</v>
      </c>
      <c r="F6958" t="s">
        <v>690</v>
      </c>
      <c r="G6958" t="s">
        <v>691</v>
      </c>
      <c r="H6958" t="s">
        <v>15138</v>
      </c>
      <c r="I6958">
        <v>104</v>
      </c>
      <c r="J6958">
        <v>104</v>
      </c>
      <c r="K6958">
        <v>0</v>
      </c>
      <c r="L6958">
        <v>0</v>
      </c>
      <c r="M6958">
        <v>0</v>
      </c>
      <c r="N6958">
        <v>0</v>
      </c>
      <c r="O6958">
        <v>0</v>
      </c>
    </row>
    <row r="6959" spans="1:15" x14ac:dyDescent="0.25">
      <c r="A6959" t="s">
        <v>935</v>
      </c>
      <c r="B6959" t="s">
        <v>1960</v>
      </c>
      <c r="C6959" t="s">
        <v>923</v>
      </c>
      <c r="D6959" t="s">
        <v>3063</v>
      </c>
      <c r="E6959" t="s">
        <v>3053</v>
      </c>
      <c r="F6959" t="s">
        <v>690</v>
      </c>
      <c r="G6959" t="s">
        <v>691</v>
      </c>
      <c r="H6959" t="s">
        <v>7696</v>
      </c>
      <c r="I6959">
        <v>9</v>
      </c>
      <c r="J6959">
        <v>0</v>
      </c>
      <c r="K6959">
        <v>0</v>
      </c>
      <c r="L6959">
        <v>9</v>
      </c>
      <c r="M6959">
        <v>0</v>
      </c>
      <c r="N6959">
        <v>0</v>
      </c>
      <c r="O6959">
        <v>0</v>
      </c>
    </row>
    <row r="6960" spans="1:15" x14ac:dyDescent="0.25">
      <c r="A6960" t="s">
        <v>1416</v>
      </c>
      <c r="B6960" t="s">
        <v>2029</v>
      </c>
      <c r="C6960" t="s">
        <v>923</v>
      </c>
      <c r="D6960" t="s">
        <v>3063</v>
      </c>
      <c r="E6960" t="s">
        <v>3053</v>
      </c>
      <c r="F6960" t="s">
        <v>690</v>
      </c>
      <c r="G6960" t="s">
        <v>691</v>
      </c>
      <c r="H6960" t="s">
        <v>12323</v>
      </c>
      <c r="I6960">
        <v>1</v>
      </c>
      <c r="J6960">
        <v>0</v>
      </c>
      <c r="K6960">
        <v>0</v>
      </c>
      <c r="L6960">
        <v>1</v>
      </c>
      <c r="M6960">
        <v>0</v>
      </c>
      <c r="N6960">
        <v>0</v>
      </c>
      <c r="O6960">
        <v>0</v>
      </c>
    </row>
    <row r="6961" spans="1:15" x14ac:dyDescent="0.25">
      <c r="A6961" t="s">
        <v>1484</v>
      </c>
      <c r="B6961" t="s">
        <v>2897</v>
      </c>
      <c r="C6961" t="s">
        <v>927</v>
      </c>
      <c r="D6961" t="s">
        <v>3052</v>
      </c>
      <c r="E6961" t="s">
        <v>3053</v>
      </c>
      <c r="F6961" t="s">
        <v>690</v>
      </c>
      <c r="G6961" t="s">
        <v>691</v>
      </c>
      <c r="H6961" t="s">
        <v>7697</v>
      </c>
      <c r="I6961">
        <v>14623</v>
      </c>
      <c r="J6961">
        <v>13340</v>
      </c>
      <c r="K6961">
        <v>0</v>
      </c>
      <c r="L6961">
        <v>1236</v>
      </c>
      <c r="M6961">
        <v>0</v>
      </c>
      <c r="N6961">
        <v>0</v>
      </c>
      <c r="O6961">
        <v>47</v>
      </c>
    </row>
    <row r="6962" spans="1:15" x14ac:dyDescent="0.25">
      <c r="A6962" t="s">
        <v>10638</v>
      </c>
      <c r="B6962" t="s">
        <v>2057</v>
      </c>
      <c r="C6962" t="s">
        <v>927</v>
      </c>
      <c r="D6962" t="s">
        <v>3052</v>
      </c>
      <c r="E6962" t="s">
        <v>3053</v>
      </c>
      <c r="F6962" t="s">
        <v>690</v>
      </c>
      <c r="G6962" t="s">
        <v>691</v>
      </c>
      <c r="H6962" t="s">
        <v>11294</v>
      </c>
      <c r="I6962">
        <v>1</v>
      </c>
      <c r="J6962">
        <v>0</v>
      </c>
      <c r="K6962">
        <v>0</v>
      </c>
      <c r="L6962">
        <v>1</v>
      </c>
      <c r="M6962">
        <v>0</v>
      </c>
      <c r="N6962">
        <v>0</v>
      </c>
      <c r="O6962">
        <v>0</v>
      </c>
    </row>
    <row r="6963" spans="1:15" x14ac:dyDescent="0.25">
      <c r="A6963" t="s">
        <v>1006</v>
      </c>
      <c r="B6963" t="s">
        <v>2724</v>
      </c>
      <c r="C6963" t="s">
        <v>927</v>
      </c>
      <c r="D6963" t="s">
        <v>3052</v>
      </c>
      <c r="E6963" t="s">
        <v>3053</v>
      </c>
      <c r="F6963" t="s">
        <v>690</v>
      </c>
      <c r="G6963" t="s">
        <v>691</v>
      </c>
      <c r="H6963" t="s">
        <v>7698</v>
      </c>
      <c r="I6963">
        <v>2573</v>
      </c>
      <c r="J6963">
        <v>2091</v>
      </c>
      <c r="K6963">
        <v>0</v>
      </c>
      <c r="L6963">
        <v>61</v>
      </c>
      <c r="M6963">
        <v>135</v>
      </c>
      <c r="N6963">
        <v>0</v>
      </c>
      <c r="O6963">
        <v>286</v>
      </c>
    </row>
    <row r="6964" spans="1:15" x14ac:dyDescent="0.25">
      <c r="A6964" t="s">
        <v>1011</v>
      </c>
      <c r="B6964" t="s">
        <v>2020</v>
      </c>
      <c r="C6964" t="s">
        <v>927</v>
      </c>
      <c r="D6964" t="s">
        <v>3052</v>
      </c>
      <c r="E6964" t="s">
        <v>3053</v>
      </c>
      <c r="F6964" t="s">
        <v>690</v>
      </c>
      <c r="G6964" t="s">
        <v>691</v>
      </c>
      <c r="H6964" t="s">
        <v>10111</v>
      </c>
      <c r="I6964">
        <v>13</v>
      </c>
      <c r="J6964">
        <v>0</v>
      </c>
      <c r="K6964">
        <v>0</v>
      </c>
      <c r="L6964">
        <v>13</v>
      </c>
      <c r="M6964">
        <v>0</v>
      </c>
      <c r="N6964">
        <v>0</v>
      </c>
      <c r="O6964">
        <v>0</v>
      </c>
    </row>
    <row r="6965" spans="1:15" x14ac:dyDescent="0.25">
      <c r="A6965" t="s">
        <v>940</v>
      </c>
      <c r="B6965" t="s">
        <v>2647</v>
      </c>
      <c r="C6965" t="s">
        <v>927</v>
      </c>
      <c r="D6965" t="s">
        <v>3052</v>
      </c>
      <c r="E6965" t="s">
        <v>3053</v>
      </c>
      <c r="F6965" t="s">
        <v>690</v>
      </c>
      <c r="G6965" t="s">
        <v>691</v>
      </c>
      <c r="H6965" t="s">
        <v>7699</v>
      </c>
      <c r="I6965">
        <v>115</v>
      </c>
      <c r="J6965">
        <v>0</v>
      </c>
      <c r="K6965">
        <v>0</v>
      </c>
      <c r="L6965">
        <v>0</v>
      </c>
      <c r="M6965">
        <v>115</v>
      </c>
      <c r="N6965">
        <v>0</v>
      </c>
      <c r="O6965">
        <v>0</v>
      </c>
    </row>
    <row r="6966" spans="1:15" x14ac:dyDescent="0.25">
      <c r="A6966" t="s">
        <v>1494</v>
      </c>
      <c r="B6966" t="s">
        <v>2181</v>
      </c>
      <c r="C6966" t="s">
        <v>923</v>
      </c>
      <c r="D6966" t="s">
        <v>3063</v>
      </c>
      <c r="E6966" t="s">
        <v>3053</v>
      </c>
      <c r="F6966" t="s">
        <v>690</v>
      </c>
      <c r="G6966" t="s">
        <v>691</v>
      </c>
      <c r="H6966" t="s">
        <v>7700</v>
      </c>
      <c r="I6966">
        <v>44</v>
      </c>
      <c r="J6966">
        <v>44</v>
      </c>
      <c r="K6966">
        <v>0</v>
      </c>
      <c r="L6966">
        <v>0</v>
      </c>
      <c r="M6966">
        <v>0</v>
      </c>
      <c r="N6966">
        <v>0</v>
      </c>
      <c r="O6966">
        <v>0</v>
      </c>
    </row>
    <row r="6967" spans="1:15" x14ac:dyDescent="0.25">
      <c r="A6967" t="s">
        <v>1495</v>
      </c>
      <c r="B6967" t="s">
        <v>2648</v>
      </c>
      <c r="C6967" t="s">
        <v>927</v>
      </c>
      <c r="D6967" t="s">
        <v>3052</v>
      </c>
      <c r="E6967" t="s">
        <v>3053</v>
      </c>
      <c r="F6967" t="s">
        <v>690</v>
      </c>
      <c r="G6967" t="s">
        <v>691</v>
      </c>
      <c r="H6967" t="s">
        <v>7701</v>
      </c>
      <c r="I6967">
        <v>1264</v>
      </c>
      <c r="J6967">
        <v>1079</v>
      </c>
      <c r="K6967">
        <v>0</v>
      </c>
      <c r="L6967">
        <v>67</v>
      </c>
      <c r="M6967">
        <v>95</v>
      </c>
      <c r="N6967">
        <v>5</v>
      </c>
      <c r="O6967">
        <v>23</v>
      </c>
    </row>
    <row r="6968" spans="1:15" x14ac:dyDescent="0.25">
      <c r="A6968" t="s">
        <v>9819</v>
      </c>
      <c r="B6968" t="s">
        <v>2916</v>
      </c>
      <c r="C6968" t="s">
        <v>927</v>
      </c>
      <c r="D6968" t="s">
        <v>3052</v>
      </c>
      <c r="E6968" t="s">
        <v>3053</v>
      </c>
      <c r="F6968" t="s">
        <v>690</v>
      </c>
      <c r="G6968" t="s">
        <v>691</v>
      </c>
      <c r="H6968" t="s">
        <v>10144</v>
      </c>
      <c r="I6968">
        <v>26</v>
      </c>
      <c r="J6968">
        <v>17</v>
      </c>
      <c r="K6968">
        <v>0</v>
      </c>
      <c r="L6968">
        <v>6</v>
      </c>
      <c r="M6968">
        <v>0</v>
      </c>
      <c r="N6968">
        <v>0</v>
      </c>
      <c r="O6968">
        <v>3</v>
      </c>
    </row>
    <row r="6969" spans="1:15" x14ac:dyDescent="0.25">
      <c r="A6969" t="s">
        <v>1025</v>
      </c>
      <c r="B6969" t="s">
        <v>2893</v>
      </c>
      <c r="C6969" t="s">
        <v>927</v>
      </c>
      <c r="D6969" t="s">
        <v>3052</v>
      </c>
      <c r="E6969" t="s">
        <v>3053</v>
      </c>
      <c r="F6969" t="s">
        <v>690</v>
      </c>
      <c r="G6969" t="s">
        <v>691</v>
      </c>
      <c r="H6969" t="s">
        <v>12324</v>
      </c>
      <c r="I6969">
        <v>9</v>
      </c>
      <c r="J6969">
        <v>3</v>
      </c>
      <c r="K6969">
        <v>0</v>
      </c>
      <c r="L6969">
        <v>0</v>
      </c>
      <c r="M6969">
        <v>0</v>
      </c>
      <c r="N6969">
        <v>0</v>
      </c>
      <c r="O6969">
        <v>6</v>
      </c>
    </row>
    <row r="6970" spans="1:15" x14ac:dyDescent="0.25">
      <c r="A6970" t="s">
        <v>1513</v>
      </c>
      <c r="B6970" t="s">
        <v>2758</v>
      </c>
      <c r="C6970" t="s">
        <v>923</v>
      </c>
      <c r="D6970" t="s">
        <v>3063</v>
      </c>
      <c r="E6970" t="s">
        <v>3053</v>
      </c>
      <c r="F6970" t="s">
        <v>690</v>
      </c>
      <c r="G6970" t="s">
        <v>691</v>
      </c>
      <c r="H6970" t="s">
        <v>7702</v>
      </c>
      <c r="I6970">
        <v>58</v>
      </c>
      <c r="J6970">
        <v>2</v>
      </c>
      <c r="K6970">
        <v>0</v>
      </c>
      <c r="L6970">
        <v>0</v>
      </c>
      <c r="M6970">
        <v>56</v>
      </c>
      <c r="N6970">
        <v>0</v>
      </c>
      <c r="O6970">
        <v>0</v>
      </c>
    </row>
    <row r="6971" spans="1:15" x14ac:dyDescent="0.25">
      <c r="A6971" t="s">
        <v>1516</v>
      </c>
      <c r="B6971" t="s">
        <v>2098</v>
      </c>
      <c r="C6971" t="s">
        <v>927</v>
      </c>
      <c r="D6971" t="s">
        <v>3052</v>
      </c>
      <c r="E6971" t="s">
        <v>3053</v>
      </c>
      <c r="F6971" t="s">
        <v>690</v>
      </c>
      <c r="G6971" t="s">
        <v>691</v>
      </c>
      <c r="H6971" t="s">
        <v>7703</v>
      </c>
      <c r="I6971">
        <v>299</v>
      </c>
      <c r="J6971">
        <v>224</v>
      </c>
      <c r="K6971">
        <v>0</v>
      </c>
      <c r="L6971">
        <v>4</v>
      </c>
      <c r="M6971">
        <v>71</v>
      </c>
      <c r="N6971">
        <v>0</v>
      </c>
      <c r="O6971">
        <v>0</v>
      </c>
    </row>
    <row r="6972" spans="1:15" x14ac:dyDescent="0.25">
      <c r="A6972" t="s">
        <v>1521</v>
      </c>
      <c r="B6972" t="s">
        <v>2920</v>
      </c>
      <c r="C6972" t="s">
        <v>927</v>
      </c>
      <c r="D6972" t="s">
        <v>3052</v>
      </c>
      <c r="E6972" t="s">
        <v>3053</v>
      </c>
      <c r="F6972" t="s">
        <v>690</v>
      </c>
      <c r="G6972" t="s">
        <v>691</v>
      </c>
      <c r="H6972" t="s">
        <v>11295</v>
      </c>
      <c r="I6972">
        <v>957</v>
      </c>
      <c r="J6972">
        <v>743</v>
      </c>
      <c r="K6972">
        <v>0</v>
      </c>
      <c r="L6972">
        <v>54</v>
      </c>
      <c r="M6972">
        <v>156</v>
      </c>
      <c r="N6972">
        <v>0</v>
      </c>
      <c r="O6972">
        <v>4</v>
      </c>
    </row>
    <row r="6973" spans="1:15" x14ac:dyDescent="0.25">
      <c r="A6973" t="s">
        <v>951</v>
      </c>
      <c r="B6973" t="s">
        <v>2680</v>
      </c>
      <c r="C6973" t="s">
        <v>927</v>
      </c>
      <c r="D6973" t="s">
        <v>3052</v>
      </c>
      <c r="E6973" t="s">
        <v>3053</v>
      </c>
      <c r="F6973" t="s">
        <v>690</v>
      </c>
      <c r="G6973" t="s">
        <v>691</v>
      </c>
      <c r="H6973" t="s">
        <v>7704</v>
      </c>
      <c r="I6973">
        <v>103</v>
      </c>
      <c r="J6973">
        <v>96</v>
      </c>
      <c r="K6973">
        <v>0</v>
      </c>
      <c r="L6973">
        <v>4</v>
      </c>
      <c r="M6973">
        <v>0</v>
      </c>
      <c r="N6973">
        <v>0</v>
      </c>
      <c r="O6973">
        <v>3</v>
      </c>
    </row>
    <row r="6974" spans="1:15" x14ac:dyDescent="0.25">
      <c r="A6974" t="s">
        <v>1048</v>
      </c>
      <c r="B6974" t="s">
        <v>2989</v>
      </c>
      <c r="C6974" t="s">
        <v>927</v>
      </c>
      <c r="D6974" t="s">
        <v>3052</v>
      </c>
      <c r="E6974" t="s">
        <v>3053</v>
      </c>
      <c r="F6974" t="s">
        <v>690</v>
      </c>
      <c r="G6974" t="s">
        <v>691</v>
      </c>
      <c r="H6974" t="s">
        <v>7705</v>
      </c>
      <c r="I6974">
        <v>51</v>
      </c>
      <c r="J6974">
        <v>0</v>
      </c>
      <c r="K6974">
        <v>0</v>
      </c>
      <c r="L6974">
        <v>51</v>
      </c>
      <c r="M6974">
        <v>0</v>
      </c>
      <c r="N6974">
        <v>0</v>
      </c>
      <c r="O6974">
        <v>0</v>
      </c>
    </row>
    <row r="6975" spans="1:15" x14ac:dyDescent="0.25">
      <c r="A6975" t="s">
        <v>1051</v>
      </c>
      <c r="B6975" t="s">
        <v>2995</v>
      </c>
      <c r="C6975" t="s">
        <v>927</v>
      </c>
      <c r="D6975" t="s">
        <v>3052</v>
      </c>
      <c r="E6975" t="s">
        <v>3053</v>
      </c>
      <c r="F6975" t="s">
        <v>690</v>
      </c>
      <c r="G6975" t="s">
        <v>691</v>
      </c>
      <c r="H6975" t="s">
        <v>7706</v>
      </c>
      <c r="I6975">
        <v>88</v>
      </c>
      <c r="J6975">
        <v>0</v>
      </c>
      <c r="K6975">
        <v>0</v>
      </c>
      <c r="L6975">
        <v>88</v>
      </c>
      <c r="M6975">
        <v>0</v>
      </c>
      <c r="N6975">
        <v>0</v>
      </c>
      <c r="O6975">
        <v>0</v>
      </c>
    </row>
    <row r="6976" spans="1:15" x14ac:dyDescent="0.25">
      <c r="A6976" t="s">
        <v>1527</v>
      </c>
      <c r="B6976" t="s">
        <v>2055</v>
      </c>
      <c r="C6976" t="s">
        <v>923</v>
      </c>
      <c r="D6976" t="s">
        <v>3063</v>
      </c>
      <c r="E6976" t="s">
        <v>3053</v>
      </c>
      <c r="F6976" t="s">
        <v>690</v>
      </c>
      <c r="G6976" t="s">
        <v>691</v>
      </c>
      <c r="H6976" t="s">
        <v>7707</v>
      </c>
      <c r="I6976">
        <v>35</v>
      </c>
      <c r="J6976">
        <v>0</v>
      </c>
      <c r="K6976">
        <v>0</v>
      </c>
      <c r="L6976">
        <v>35</v>
      </c>
      <c r="M6976">
        <v>0</v>
      </c>
      <c r="N6976">
        <v>0</v>
      </c>
      <c r="O6976">
        <v>0</v>
      </c>
    </row>
    <row r="6977" spans="1:15" x14ac:dyDescent="0.25">
      <c r="A6977" t="s">
        <v>1529</v>
      </c>
      <c r="B6977" t="s">
        <v>1954</v>
      </c>
      <c r="C6977" t="s">
        <v>927</v>
      </c>
      <c r="D6977" t="s">
        <v>3052</v>
      </c>
      <c r="E6977" t="s">
        <v>3053</v>
      </c>
      <c r="F6977" t="s">
        <v>690</v>
      </c>
      <c r="G6977" t="s">
        <v>691</v>
      </c>
      <c r="H6977" t="s">
        <v>7708</v>
      </c>
      <c r="I6977">
        <v>2</v>
      </c>
      <c r="J6977">
        <v>0</v>
      </c>
      <c r="K6977">
        <v>0</v>
      </c>
      <c r="L6977">
        <v>2</v>
      </c>
      <c r="M6977">
        <v>0</v>
      </c>
      <c r="N6977">
        <v>0</v>
      </c>
      <c r="O6977">
        <v>0</v>
      </c>
    </row>
    <row r="6978" spans="1:15" x14ac:dyDescent="0.25">
      <c r="A6978" t="s">
        <v>953</v>
      </c>
      <c r="B6978" t="s">
        <v>2014</v>
      </c>
      <c r="C6978" t="s">
        <v>927</v>
      </c>
      <c r="D6978" t="s">
        <v>3052</v>
      </c>
      <c r="E6978" t="s">
        <v>3053</v>
      </c>
      <c r="F6978" t="s">
        <v>690</v>
      </c>
      <c r="G6978" t="s">
        <v>691</v>
      </c>
      <c r="H6978" t="s">
        <v>10323</v>
      </c>
      <c r="I6978">
        <v>1</v>
      </c>
      <c r="J6978">
        <v>0</v>
      </c>
      <c r="K6978">
        <v>0</v>
      </c>
      <c r="L6978">
        <v>1</v>
      </c>
      <c r="M6978">
        <v>0</v>
      </c>
      <c r="N6978">
        <v>0</v>
      </c>
      <c r="O6978">
        <v>0</v>
      </c>
    </row>
    <row r="6979" spans="1:15" x14ac:dyDescent="0.25">
      <c r="A6979" t="s">
        <v>1053</v>
      </c>
      <c r="B6979" t="s">
        <v>2860</v>
      </c>
      <c r="C6979" t="s">
        <v>923</v>
      </c>
      <c r="D6979" t="s">
        <v>3063</v>
      </c>
      <c r="E6979" t="s">
        <v>3053</v>
      </c>
      <c r="F6979" t="s">
        <v>690</v>
      </c>
      <c r="G6979" t="s">
        <v>691</v>
      </c>
      <c r="H6979" t="s">
        <v>7709</v>
      </c>
      <c r="I6979">
        <v>51</v>
      </c>
      <c r="J6979">
        <v>0</v>
      </c>
      <c r="K6979">
        <v>0</v>
      </c>
      <c r="L6979">
        <v>0</v>
      </c>
      <c r="M6979">
        <v>51</v>
      </c>
      <c r="N6979">
        <v>0</v>
      </c>
      <c r="O6979">
        <v>0</v>
      </c>
    </row>
    <row r="6980" spans="1:15" x14ac:dyDescent="0.25">
      <c r="A6980" t="s">
        <v>1532</v>
      </c>
      <c r="B6980" t="s">
        <v>1936</v>
      </c>
      <c r="C6980" t="s">
        <v>927</v>
      </c>
      <c r="D6980" t="s">
        <v>3052</v>
      </c>
      <c r="E6980" t="s">
        <v>3053</v>
      </c>
      <c r="F6980" t="s">
        <v>690</v>
      </c>
      <c r="G6980" t="s">
        <v>691</v>
      </c>
      <c r="H6980" t="s">
        <v>7710</v>
      </c>
      <c r="I6980">
        <v>7940</v>
      </c>
      <c r="J6980">
        <v>7627</v>
      </c>
      <c r="K6980">
        <v>14</v>
      </c>
      <c r="L6980">
        <v>0</v>
      </c>
      <c r="M6980">
        <v>299</v>
      </c>
      <c r="N6980">
        <v>12</v>
      </c>
      <c r="O6980">
        <v>0</v>
      </c>
    </row>
    <row r="6981" spans="1:15" x14ac:dyDescent="0.25">
      <c r="A6981" t="s">
        <v>1056</v>
      </c>
      <c r="B6981" t="s">
        <v>2966</v>
      </c>
      <c r="C6981" t="s">
        <v>927</v>
      </c>
      <c r="D6981" t="s">
        <v>3052</v>
      </c>
      <c r="E6981" t="s">
        <v>3053</v>
      </c>
      <c r="F6981" t="s">
        <v>690</v>
      </c>
      <c r="G6981" t="s">
        <v>691</v>
      </c>
      <c r="H6981" t="s">
        <v>7711</v>
      </c>
      <c r="I6981">
        <v>36</v>
      </c>
      <c r="J6981">
        <v>16</v>
      </c>
      <c r="K6981">
        <v>0</v>
      </c>
      <c r="L6981">
        <v>20</v>
      </c>
      <c r="M6981">
        <v>0</v>
      </c>
      <c r="N6981">
        <v>0</v>
      </c>
      <c r="O6981">
        <v>0</v>
      </c>
    </row>
    <row r="6982" spans="1:15" x14ac:dyDescent="0.25">
      <c r="A6982" t="s">
        <v>955</v>
      </c>
      <c r="B6982" t="s">
        <v>2660</v>
      </c>
      <c r="C6982" t="s">
        <v>927</v>
      </c>
      <c r="D6982" t="s">
        <v>3052</v>
      </c>
      <c r="E6982" t="s">
        <v>3053</v>
      </c>
      <c r="F6982" t="s">
        <v>690</v>
      </c>
      <c r="G6982" t="s">
        <v>691</v>
      </c>
      <c r="H6982" t="s">
        <v>7712</v>
      </c>
      <c r="I6982">
        <v>21</v>
      </c>
      <c r="J6982">
        <v>0</v>
      </c>
      <c r="K6982">
        <v>0</v>
      </c>
      <c r="L6982">
        <v>21</v>
      </c>
      <c r="M6982">
        <v>0</v>
      </c>
      <c r="N6982">
        <v>0</v>
      </c>
      <c r="O6982">
        <v>0</v>
      </c>
    </row>
    <row r="6983" spans="1:15" x14ac:dyDescent="0.25">
      <c r="A6983" t="s">
        <v>1541</v>
      </c>
      <c r="B6983" t="s">
        <v>2890</v>
      </c>
      <c r="C6983" t="s">
        <v>927</v>
      </c>
      <c r="D6983" t="s">
        <v>3052</v>
      </c>
      <c r="E6983" t="s">
        <v>3053</v>
      </c>
      <c r="F6983" t="s">
        <v>690</v>
      </c>
      <c r="G6983" t="s">
        <v>691</v>
      </c>
      <c r="H6983" t="s">
        <v>15139</v>
      </c>
      <c r="I6983">
        <v>37</v>
      </c>
      <c r="J6983">
        <v>0</v>
      </c>
      <c r="K6983">
        <v>0</v>
      </c>
      <c r="L6983">
        <v>0</v>
      </c>
      <c r="M6983">
        <v>0</v>
      </c>
      <c r="N6983">
        <v>0</v>
      </c>
      <c r="O6983">
        <v>37</v>
      </c>
    </row>
    <row r="6984" spans="1:15" x14ac:dyDescent="0.25">
      <c r="A6984" t="s">
        <v>1069</v>
      </c>
      <c r="B6984" t="s">
        <v>2001</v>
      </c>
      <c r="C6984" t="s">
        <v>927</v>
      </c>
      <c r="D6984" t="s">
        <v>3052</v>
      </c>
      <c r="E6984" t="s">
        <v>3053</v>
      </c>
      <c r="F6984" t="s">
        <v>690</v>
      </c>
      <c r="G6984" t="s">
        <v>691</v>
      </c>
      <c r="H6984" t="s">
        <v>7713</v>
      </c>
      <c r="I6984">
        <v>601</v>
      </c>
      <c r="J6984">
        <v>581</v>
      </c>
      <c r="K6984">
        <v>0</v>
      </c>
      <c r="L6984">
        <v>0</v>
      </c>
      <c r="M6984">
        <v>15</v>
      </c>
      <c r="N6984">
        <v>0</v>
      </c>
      <c r="O6984">
        <v>5</v>
      </c>
    </row>
    <row r="6985" spans="1:15" x14ac:dyDescent="0.25">
      <c r="A6985" t="s">
        <v>1072</v>
      </c>
      <c r="B6985" t="s">
        <v>2907</v>
      </c>
      <c r="C6985" t="s">
        <v>927</v>
      </c>
      <c r="D6985" t="s">
        <v>3052</v>
      </c>
      <c r="E6985" t="s">
        <v>3053</v>
      </c>
      <c r="F6985" t="s">
        <v>690</v>
      </c>
      <c r="G6985" t="s">
        <v>691</v>
      </c>
      <c r="H6985" t="s">
        <v>7714</v>
      </c>
      <c r="I6985">
        <v>37</v>
      </c>
      <c r="J6985">
        <v>0</v>
      </c>
      <c r="K6985">
        <v>0</v>
      </c>
      <c r="L6985">
        <v>17</v>
      </c>
      <c r="M6985">
        <v>20</v>
      </c>
      <c r="N6985">
        <v>0</v>
      </c>
      <c r="O6985">
        <v>0</v>
      </c>
    </row>
    <row r="6986" spans="1:15" x14ac:dyDescent="0.25">
      <c r="A6986" t="s">
        <v>1075</v>
      </c>
      <c r="B6986" t="s">
        <v>2830</v>
      </c>
      <c r="C6986" t="s">
        <v>927</v>
      </c>
      <c r="D6986" t="s">
        <v>3052</v>
      </c>
      <c r="E6986" t="s">
        <v>3053</v>
      </c>
      <c r="F6986" t="s">
        <v>690</v>
      </c>
      <c r="G6986" t="s">
        <v>691</v>
      </c>
      <c r="H6986" t="s">
        <v>7715</v>
      </c>
      <c r="I6986">
        <v>177</v>
      </c>
      <c r="J6986">
        <v>177</v>
      </c>
      <c r="K6986">
        <v>0</v>
      </c>
      <c r="L6986">
        <v>0</v>
      </c>
      <c r="M6986">
        <v>0</v>
      </c>
      <c r="N6986">
        <v>0</v>
      </c>
      <c r="O6986">
        <v>0</v>
      </c>
    </row>
    <row r="6987" spans="1:15" x14ac:dyDescent="0.25">
      <c r="A6987" t="s">
        <v>1078</v>
      </c>
      <c r="B6987" t="s">
        <v>1950</v>
      </c>
      <c r="C6987" t="s">
        <v>923</v>
      </c>
      <c r="D6987" t="s">
        <v>3063</v>
      </c>
      <c r="E6987" t="s">
        <v>3053</v>
      </c>
      <c r="F6987" t="s">
        <v>690</v>
      </c>
      <c r="G6987" t="s">
        <v>691</v>
      </c>
      <c r="H6987" t="s">
        <v>7716</v>
      </c>
      <c r="I6987">
        <v>3</v>
      </c>
      <c r="J6987">
        <v>0</v>
      </c>
      <c r="K6987">
        <v>0</v>
      </c>
      <c r="L6987">
        <v>3</v>
      </c>
      <c r="M6987">
        <v>0</v>
      </c>
      <c r="N6987">
        <v>0</v>
      </c>
      <c r="O6987">
        <v>0</v>
      </c>
    </row>
    <row r="6988" spans="1:15" x14ac:dyDescent="0.25">
      <c r="A6988" t="s">
        <v>1083</v>
      </c>
      <c r="B6988" t="s">
        <v>2757</v>
      </c>
      <c r="C6988" t="s">
        <v>927</v>
      </c>
      <c r="D6988" t="s">
        <v>3052</v>
      </c>
      <c r="E6988" t="s">
        <v>3053</v>
      </c>
      <c r="F6988" t="s">
        <v>690</v>
      </c>
      <c r="G6988" t="s">
        <v>691</v>
      </c>
      <c r="H6988" t="s">
        <v>7717</v>
      </c>
      <c r="I6988">
        <v>277</v>
      </c>
      <c r="J6988">
        <v>220</v>
      </c>
      <c r="K6988">
        <v>0</v>
      </c>
      <c r="L6988">
        <v>0</v>
      </c>
      <c r="M6988">
        <v>56</v>
      </c>
      <c r="N6988">
        <v>0</v>
      </c>
      <c r="O6988">
        <v>1</v>
      </c>
    </row>
    <row r="6989" spans="1:15" x14ac:dyDescent="0.25">
      <c r="A6989" t="s">
        <v>974</v>
      </c>
      <c r="B6989" t="s">
        <v>2949</v>
      </c>
      <c r="C6989" t="s">
        <v>923</v>
      </c>
      <c r="D6989" t="s">
        <v>3063</v>
      </c>
      <c r="E6989" t="s">
        <v>3053</v>
      </c>
      <c r="F6989" t="s">
        <v>692</v>
      </c>
      <c r="G6989" t="s">
        <v>693</v>
      </c>
      <c r="H6989" t="s">
        <v>7718</v>
      </c>
      <c r="I6989">
        <v>16</v>
      </c>
      <c r="J6989">
        <v>0</v>
      </c>
      <c r="K6989">
        <v>4</v>
      </c>
      <c r="L6989">
        <v>12</v>
      </c>
      <c r="M6989">
        <v>0</v>
      </c>
      <c r="N6989">
        <v>0</v>
      </c>
      <c r="O6989">
        <v>0</v>
      </c>
    </row>
    <row r="6990" spans="1:15" x14ac:dyDescent="0.25">
      <c r="A6990" t="s">
        <v>926</v>
      </c>
      <c r="B6990" t="s">
        <v>2923</v>
      </c>
      <c r="C6990" t="s">
        <v>927</v>
      </c>
      <c r="D6990" t="s">
        <v>3052</v>
      </c>
      <c r="E6990" t="s">
        <v>3053</v>
      </c>
      <c r="F6990" t="s">
        <v>692</v>
      </c>
      <c r="G6990" t="s">
        <v>693</v>
      </c>
      <c r="H6990" t="s">
        <v>7719</v>
      </c>
      <c r="I6990">
        <v>1</v>
      </c>
      <c r="J6990">
        <v>0</v>
      </c>
      <c r="K6990">
        <v>0</v>
      </c>
      <c r="L6990">
        <v>0</v>
      </c>
      <c r="M6990">
        <v>0</v>
      </c>
      <c r="N6990">
        <v>0</v>
      </c>
      <c r="O6990">
        <v>1</v>
      </c>
    </row>
    <row r="6991" spans="1:15" x14ac:dyDescent="0.25">
      <c r="A6991" t="s">
        <v>929</v>
      </c>
      <c r="B6991" t="s">
        <v>2999</v>
      </c>
      <c r="C6991" t="s">
        <v>927</v>
      </c>
      <c r="D6991" t="s">
        <v>3052</v>
      </c>
      <c r="E6991" t="s">
        <v>3053</v>
      </c>
      <c r="F6991" t="s">
        <v>692</v>
      </c>
      <c r="G6991" t="s">
        <v>693</v>
      </c>
      <c r="H6991" t="s">
        <v>7720</v>
      </c>
      <c r="I6991">
        <v>99</v>
      </c>
      <c r="J6991">
        <v>0</v>
      </c>
      <c r="K6991">
        <v>0</v>
      </c>
      <c r="L6991">
        <v>0</v>
      </c>
      <c r="M6991">
        <v>64</v>
      </c>
      <c r="N6991">
        <v>0</v>
      </c>
      <c r="O6991">
        <v>35</v>
      </c>
    </row>
    <row r="6992" spans="1:15" x14ac:dyDescent="0.25">
      <c r="A6992" t="s">
        <v>9784</v>
      </c>
      <c r="B6992" t="s">
        <v>1994</v>
      </c>
      <c r="C6992" t="s">
        <v>927</v>
      </c>
      <c r="D6992" t="s">
        <v>3052</v>
      </c>
      <c r="E6992" t="s">
        <v>3053</v>
      </c>
      <c r="F6992" t="s">
        <v>692</v>
      </c>
      <c r="G6992" t="s">
        <v>693</v>
      </c>
      <c r="H6992" t="s">
        <v>9977</v>
      </c>
      <c r="I6992">
        <v>8</v>
      </c>
      <c r="J6992">
        <v>0</v>
      </c>
      <c r="K6992">
        <v>0</v>
      </c>
      <c r="L6992">
        <v>8</v>
      </c>
      <c r="M6992">
        <v>0</v>
      </c>
      <c r="N6992">
        <v>0</v>
      </c>
      <c r="O6992">
        <v>0</v>
      </c>
    </row>
    <row r="6993" spans="1:15" x14ac:dyDescent="0.25">
      <c r="A6993" t="s">
        <v>1802</v>
      </c>
      <c r="B6993" t="s">
        <v>2754</v>
      </c>
      <c r="C6993" t="s">
        <v>927</v>
      </c>
      <c r="D6993" t="s">
        <v>3052</v>
      </c>
      <c r="E6993" t="s">
        <v>3053</v>
      </c>
      <c r="F6993" t="s">
        <v>692</v>
      </c>
      <c r="G6993" t="s">
        <v>693</v>
      </c>
      <c r="H6993" t="s">
        <v>7721</v>
      </c>
      <c r="I6993">
        <v>1196</v>
      </c>
      <c r="J6993">
        <v>997</v>
      </c>
      <c r="K6993">
        <v>0</v>
      </c>
      <c r="L6993">
        <v>32</v>
      </c>
      <c r="M6993">
        <v>113</v>
      </c>
      <c r="N6993">
        <v>0</v>
      </c>
      <c r="O6993">
        <v>54</v>
      </c>
    </row>
    <row r="6994" spans="1:15" x14ac:dyDescent="0.25">
      <c r="A6994" t="s">
        <v>983</v>
      </c>
      <c r="B6994" t="s">
        <v>2069</v>
      </c>
      <c r="C6994" t="s">
        <v>927</v>
      </c>
      <c r="D6994" t="s">
        <v>3052</v>
      </c>
      <c r="E6994" t="s">
        <v>3053</v>
      </c>
      <c r="F6994" t="s">
        <v>692</v>
      </c>
      <c r="G6994" t="s">
        <v>693</v>
      </c>
      <c r="H6994" t="s">
        <v>7722</v>
      </c>
      <c r="I6994">
        <v>422</v>
      </c>
      <c r="J6994">
        <v>353</v>
      </c>
      <c r="K6994">
        <v>0</v>
      </c>
      <c r="L6994">
        <v>20</v>
      </c>
      <c r="M6994">
        <v>0</v>
      </c>
      <c r="N6994">
        <v>0</v>
      </c>
      <c r="O6994">
        <v>49</v>
      </c>
    </row>
    <row r="6995" spans="1:15" x14ac:dyDescent="0.25">
      <c r="A6995" t="s">
        <v>1715</v>
      </c>
      <c r="B6995" t="s">
        <v>2136</v>
      </c>
      <c r="C6995" t="s">
        <v>927</v>
      </c>
      <c r="D6995" t="s">
        <v>3052</v>
      </c>
      <c r="E6995" t="s">
        <v>3053</v>
      </c>
      <c r="F6995" t="s">
        <v>692</v>
      </c>
      <c r="G6995" t="s">
        <v>693</v>
      </c>
      <c r="H6995" t="s">
        <v>7723</v>
      </c>
      <c r="I6995">
        <v>258</v>
      </c>
      <c r="J6995">
        <v>232</v>
      </c>
      <c r="K6995">
        <v>0</v>
      </c>
      <c r="L6995">
        <v>3</v>
      </c>
      <c r="M6995">
        <v>0</v>
      </c>
      <c r="N6995">
        <v>0</v>
      </c>
      <c r="O6995">
        <v>23</v>
      </c>
    </row>
    <row r="6996" spans="1:15" x14ac:dyDescent="0.25">
      <c r="A6996" t="s">
        <v>933</v>
      </c>
      <c r="B6996" t="s">
        <v>2106</v>
      </c>
      <c r="C6996" t="s">
        <v>927</v>
      </c>
      <c r="D6996" t="s">
        <v>3052</v>
      </c>
      <c r="E6996" t="s">
        <v>3053</v>
      </c>
      <c r="F6996" t="s">
        <v>692</v>
      </c>
      <c r="G6996" t="s">
        <v>693</v>
      </c>
      <c r="H6996" t="s">
        <v>7724</v>
      </c>
      <c r="I6996">
        <v>42</v>
      </c>
      <c r="J6996">
        <v>40</v>
      </c>
      <c r="K6996">
        <v>0</v>
      </c>
      <c r="L6996">
        <v>0</v>
      </c>
      <c r="M6996">
        <v>0</v>
      </c>
      <c r="N6996">
        <v>0</v>
      </c>
      <c r="O6996">
        <v>2</v>
      </c>
    </row>
    <row r="6997" spans="1:15" x14ac:dyDescent="0.25">
      <c r="A6997" t="s">
        <v>11660</v>
      </c>
      <c r="B6997" t="s">
        <v>2041</v>
      </c>
      <c r="C6997" t="s">
        <v>923</v>
      </c>
      <c r="D6997" t="s">
        <v>3063</v>
      </c>
      <c r="E6997" t="s">
        <v>3053</v>
      </c>
      <c r="F6997" t="s">
        <v>692</v>
      </c>
      <c r="G6997" t="s">
        <v>693</v>
      </c>
      <c r="H6997" t="s">
        <v>12325</v>
      </c>
      <c r="I6997">
        <v>19</v>
      </c>
      <c r="J6997">
        <v>0</v>
      </c>
      <c r="K6997">
        <v>0</v>
      </c>
      <c r="L6997">
        <v>19</v>
      </c>
      <c r="M6997">
        <v>0</v>
      </c>
      <c r="N6997">
        <v>0</v>
      </c>
      <c r="O6997">
        <v>0</v>
      </c>
    </row>
    <row r="6998" spans="1:15" x14ac:dyDescent="0.25">
      <c r="A6998" t="s">
        <v>10638</v>
      </c>
      <c r="B6998" t="s">
        <v>2057</v>
      </c>
      <c r="C6998" t="s">
        <v>927</v>
      </c>
      <c r="D6998" t="s">
        <v>3052</v>
      </c>
      <c r="E6998" t="s">
        <v>3053</v>
      </c>
      <c r="F6998" t="s">
        <v>692</v>
      </c>
      <c r="G6998" t="s">
        <v>693</v>
      </c>
      <c r="H6998" t="s">
        <v>11296</v>
      </c>
      <c r="I6998">
        <v>3</v>
      </c>
      <c r="J6998">
        <v>0</v>
      </c>
      <c r="K6998">
        <v>0</v>
      </c>
      <c r="L6998">
        <v>3</v>
      </c>
      <c r="M6998">
        <v>0</v>
      </c>
      <c r="N6998">
        <v>0</v>
      </c>
      <c r="O6998">
        <v>0</v>
      </c>
    </row>
    <row r="6999" spans="1:15" x14ac:dyDescent="0.25">
      <c r="A6999" t="s">
        <v>10643</v>
      </c>
      <c r="B6999" t="s">
        <v>2987</v>
      </c>
      <c r="C6999" t="s">
        <v>927</v>
      </c>
      <c r="D6999" t="s">
        <v>3052</v>
      </c>
      <c r="E6999" t="s">
        <v>3053</v>
      </c>
      <c r="F6999" t="s">
        <v>692</v>
      </c>
      <c r="G6999" t="s">
        <v>693</v>
      </c>
      <c r="H6999" t="s">
        <v>11297</v>
      </c>
      <c r="I6999">
        <v>1269</v>
      </c>
      <c r="J6999">
        <v>967</v>
      </c>
      <c r="K6999">
        <v>0</v>
      </c>
      <c r="L6999">
        <v>20</v>
      </c>
      <c r="M6999">
        <v>169</v>
      </c>
      <c r="N6999">
        <v>18</v>
      </c>
      <c r="O6999">
        <v>113</v>
      </c>
    </row>
    <row r="7000" spans="1:15" x14ac:dyDescent="0.25">
      <c r="A7000" t="s">
        <v>1008</v>
      </c>
      <c r="B7000" t="s">
        <v>2928</v>
      </c>
      <c r="C7000" t="s">
        <v>927</v>
      </c>
      <c r="D7000" t="s">
        <v>3052</v>
      </c>
      <c r="E7000" t="s">
        <v>3053</v>
      </c>
      <c r="F7000" t="s">
        <v>692</v>
      </c>
      <c r="G7000" t="s">
        <v>693</v>
      </c>
      <c r="H7000" t="s">
        <v>7725</v>
      </c>
      <c r="I7000">
        <v>2</v>
      </c>
      <c r="J7000">
        <v>1</v>
      </c>
      <c r="K7000">
        <v>0</v>
      </c>
      <c r="L7000">
        <v>1</v>
      </c>
      <c r="M7000">
        <v>0</v>
      </c>
      <c r="N7000">
        <v>0</v>
      </c>
      <c r="O7000">
        <v>0</v>
      </c>
    </row>
    <row r="7001" spans="1:15" x14ac:dyDescent="0.25">
      <c r="A7001" t="s">
        <v>937</v>
      </c>
      <c r="B7001" t="s">
        <v>1962</v>
      </c>
      <c r="C7001" t="s">
        <v>927</v>
      </c>
      <c r="D7001" t="s">
        <v>3052</v>
      </c>
      <c r="E7001" t="s">
        <v>3053</v>
      </c>
      <c r="F7001" t="s">
        <v>692</v>
      </c>
      <c r="G7001" t="s">
        <v>693</v>
      </c>
      <c r="H7001" t="s">
        <v>7726</v>
      </c>
      <c r="I7001">
        <v>7</v>
      </c>
      <c r="J7001">
        <v>0</v>
      </c>
      <c r="K7001">
        <v>0</v>
      </c>
      <c r="L7001">
        <v>0</v>
      </c>
      <c r="M7001">
        <v>0</v>
      </c>
      <c r="N7001">
        <v>0</v>
      </c>
      <c r="O7001">
        <v>7</v>
      </c>
    </row>
    <row r="7002" spans="1:15" x14ac:dyDescent="0.25">
      <c r="A7002" t="s">
        <v>940</v>
      </c>
      <c r="B7002" t="s">
        <v>2647</v>
      </c>
      <c r="C7002" t="s">
        <v>927</v>
      </c>
      <c r="D7002" t="s">
        <v>3052</v>
      </c>
      <c r="E7002" t="s">
        <v>3053</v>
      </c>
      <c r="F7002" t="s">
        <v>692</v>
      </c>
      <c r="G7002" t="s">
        <v>693</v>
      </c>
      <c r="H7002" t="s">
        <v>7727</v>
      </c>
      <c r="I7002">
        <v>289</v>
      </c>
      <c r="J7002">
        <v>0</v>
      </c>
      <c r="K7002">
        <v>0</v>
      </c>
      <c r="L7002">
        <v>29</v>
      </c>
      <c r="M7002">
        <v>206</v>
      </c>
      <c r="N7002">
        <v>0</v>
      </c>
      <c r="O7002">
        <v>54</v>
      </c>
    </row>
    <row r="7003" spans="1:15" x14ac:dyDescent="0.25">
      <c r="A7003" t="s">
        <v>1013</v>
      </c>
      <c r="B7003" t="s">
        <v>1959</v>
      </c>
      <c r="C7003" t="s">
        <v>927</v>
      </c>
      <c r="D7003" t="s">
        <v>3052</v>
      </c>
      <c r="E7003" t="s">
        <v>3053</v>
      </c>
      <c r="F7003" t="s">
        <v>692</v>
      </c>
      <c r="G7003" t="s">
        <v>693</v>
      </c>
      <c r="H7003" t="s">
        <v>7728</v>
      </c>
      <c r="I7003">
        <v>35</v>
      </c>
      <c r="J7003">
        <v>0</v>
      </c>
      <c r="K7003">
        <v>0</v>
      </c>
      <c r="L7003">
        <v>35</v>
      </c>
      <c r="M7003">
        <v>0</v>
      </c>
      <c r="N7003">
        <v>0</v>
      </c>
      <c r="O7003">
        <v>0</v>
      </c>
    </row>
    <row r="7004" spans="1:15" x14ac:dyDescent="0.25">
      <c r="A7004" t="s">
        <v>1126</v>
      </c>
      <c r="B7004" t="s">
        <v>2130</v>
      </c>
      <c r="C7004" t="s">
        <v>927</v>
      </c>
      <c r="D7004" t="s">
        <v>3052</v>
      </c>
      <c r="E7004" t="s">
        <v>3053</v>
      </c>
      <c r="F7004" t="s">
        <v>692</v>
      </c>
      <c r="G7004" t="s">
        <v>693</v>
      </c>
      <c r="H7004" t="s">
        <v>15140</v>
      </c>
      <c r="I7004">
        <v>21</v>
      </c>
      <c r="J7004">
        <v>16</v>
      </c>
      <c r="K7004">
        <v>0</v>
      </c>
      <c r="L7004">
        <v>0</v>
      </c>
      <c r="M7004">
        <v>0</v>
      </c>
      <c r="N7004">
        <v>0</v>
      </c>
      <c r="O7004">
        <v>5</v>
      </c>
    </row>
    <row r="7005" spans="1:15" x14ac:dyDescent="0.25">
      <c r="A7005" t="s">
        <v>1827</v>
      </c>
      <c r="B7005" t="s">
        <v>2867</v>
      </c>
      <c r="C7005" t="s">
        <v>923</v>
      </c>
      <c r="D7005" t="s">
        <v>3063</v>
      </c>
      <c r="E7005" t="s">
        <v>3053</v>
      </c>
      <c r="F7005" t="s">
        <v>692</v>
      </c>
      <c r="G7005" t="s">
        <v>693</v>
      </c>
      <c r="H7005" t="s">
        <v>7729</v>
      </c>
      <c r="I7005">
        <v>200</v>
      </c>
      <c r="J7005">
        <v>200</v>
      </c>
      <c r="K7005">
        <v>0</v>
      </c>
      <c r="L7005">
        <v>0</v>
      </c>
      <c r="M7005">
        <v>0</v>
      </c>
      <c r="N7005">
        <v>0</v>
      </c>
      <c r="O7005">
        <v>0</v>
      </c>
    </row>
    <row r="7006" spans="1:15" x14ac:dyDescent="0.25">
      <c r="A7006" t="s">
        <v>1030</v>
      </c>
      <c r="B7006" t="s">
        <v>2880</v>
      </c>
      <c r="C7006" t="s">
        <v>927</v>
      </c>
      <c r="D7006" t="s">
        <v>3052</v>
      </c>
      <c r="E7006" t="s">
        <v>3053</v>
      </c>
      <c r="F7006" t="s">
        <v>692</v>
      </c>
      <c r="G7006" t="s">
        <v>693</v>
      </c>
      <c r="H7006" t="s">
        <v>7730</v>
      </c>
      <c r="I7006">
        <v>1540</v>
      </c>
      <c r="J7006">
        <v>1294</v>
      </c>
      <c r="K7006">
        <v>0</v>
      </c>
      <c r="L7006">
        <v>70</v>
      </c>
      <c r="M7006">
        <v>95</v>
      </c>
      <c r="N7006">
        <v>0</v>
      </c>
      <c r="O7006">
        <v>81</v>
      </c>
    </row>
    <row r="7007" spans="1:15" x14ac:dyDescent="0.25">
      <c r="A7007" t="s">
        <v>1829</v>
      </c>
      <c r="B7007" t="s">
        <v>2811</v>
      </c>
      <c r="C7007" t="s">
        <v>927</v>
      </c>
      <c r="D7007" t="s">
        <v>3052</v>
      </c>
      <c r="E7007" t="s">
        <v>3053</v>
      </c>
      <c r="F7007" t="s">
        <v>692</v>
      </c>
      <c r="G7007" t="s">
        <v>693</v>
      </c>
      <c r="H7007" t="s">
        <v>7731</v>
      </c>
      <c r="I7007">
        <v>128</v>
      </c>
      <c r="J7007">
        <v>83</v>
      </c>
      <c r="K7007">
        <v>0</v>
      </c>
      <c r="L7007">
        <v>0</v>
      </c>
      <c r="M7007">
        <v>45</v>
      </c>
      <c r="N7007">
        <v>0</v>
      </c>
      <c r="O7007">
        <v>0</v>
      </c>
    </row>
    <row r="7008" spans="1:15" x14ac:dyDescent="0.25">
      <c r="A7008" t="s">
        <v>951</v>
      </c>
      <c r="B7008" t="s">
        <v>2680</v>
      </c>
      <c r="C7008" t="s">
        <v>927</v>
      </c>
      <c r="D7008" t="s">
        <v>3052</v>
      </c>
      <c r="E7008" t="s">
        <v>3053</v>
      </c>
      <c r="F7008" t="s">
        <v>692</v>
      </c>
      <c r="G7008" t="s">
        <v>693</v>
      </c>
      <c r="H7008" t="s">
        <v>7732</v>
      </c>
      <c r="I7008">
        <v>1</v>
      </c>
      <c r="J7008">
        <v>1</v>
      </c>
      <c r="K7008">
        <v>0</v>
      </c>
      <c r="L7008">
        <v>0</v>
      </c>
      <c r="M7008">
        <v>0</v>
      </c>
      <c r="N7008">
        <v>0</v>
      </c>
      <c r="O7008">
        <v>0</v>
      </c>
    </row>
    <row r="7009" spans="1:15" x14ac:dyDescent="0.25">
      <c r="A7009" t="s">
        <v>1049</v>
      </c>
      <c r="B7009" t="s">
        <v>2138</v>
      </c>
      <c r="C7009" t="s">
        <v>927</v>
      </c>
      <c r="D7009" t="s">
        <v>3052</v>
      </c>
      <c r="E7009" t="s">
        <v>3053</v>
      </c>
      <c r="F7009" t="s">
        <v>692</v>
      </c>
      <c r="G7009" t="s">
        <v>693</v>
      </c>
      <c r="H7009" t="s">
        <v>7733</v>
      </c>
      <c r="I7009">
        <v>124</v>
      </c>
      <c r="J7009">
        <v>97</v>
      </c>
      <c r="K7009">
        <v>0</v>
      </c>
      <c r="L7009">
        <v>0</v>
      </c>
      <c r="M7009">
        <v>0</v>
      </c>
      <c r="N7009">
        <v>0</v>
      </c>
      <c r="O7009">
        <v>27</v>
      </c>
    </row>
    <row r="7010" spans="1:15" x14ac:dyDescent="0.25">
      <c r="A7010" t="s">
        <v>1057</v>
      </c>
      <c r="B7010" t="s">
        <v>1972</v>
      </c>
      <c r="C7010" t="s">
        <v>927</v>
      </c>
      <c r="D7010" t="s">
        <v>3052</v>
      </c>
      <c r="E7010" t="s">
        <v>3053</v>
      </c>
      <c r="F7010" t="s">
        <v>692</v>
      </c>
      <c r="G7010" t="s">
        <v>693</v>
      </c>
      <c r="H7010" t="s">
        <v>10404</v>
      </c>
      <c r="I7010">
        <v>70</v>
      </c>
      <c r="J7010">
        <v>70</v>
      </c>
      <c r="K7010">
        <v>0</v>
      </c>
      <c r="L7010">
        <v>0</v>
      </c>
      <c r="M7010">
        <v>0</v>
      </c>
      <c r="N7010">
        <v>0</v>
      </c>
      <c r="O7010">
        <v>0</v>
      </c>
    </row>
    <row r="7011" spans="1:15" x14ac:dyDescent="0.25">
      <c r="A7011" t="s">
        <v>955</v>
      </c>
      <c r="B7011" t="s">
        <v>2660</v>
      </c>
      <c r="C7011" t="s">
        <v>927</v>
      </c>
      <c r="D7011" t="s">
        <v>3052</v>
      </c>
      <c r="E7011" t="s">
        <v>3053</v>
      </c>
      <c r="F7011" t="s">
        <v>692</v>
      </c>
      <c r="G7011" t="s">
        <v>693</v>
      </c>
      <c r="H7011" t="s">
        <v>7734</v>
      </c>
      <c r="I7011">
        <v>544</v>
      </c>
      <c r="J7011">
        <v>383</v>
      </c>
      <c r="K7011">
        <v>0</v>
      </c>
      <c r="L7011">
        <v>7</v>
      </c>
      <c r="M7011">
        <v>148</v>
      </c>
      <c r="N7011">
        <v>4</v>
      </c>
      <c r="O7011">
        <v>6</v>
      </c>
    </row>
    <row r="7012" spans="1:15" x14ac:dyDescent="0.25">
      <c r="A7012" t="s">
        <v>1836</v>
      </c>
      <c r="B7012" t="s">
        <v>2122</v>
      </c>
      <c r="C7012" t="s">
        <v>923</v>
      </c>
      <c r="D7012" t="s">
        <v>3063</v>
      </c>
      <c r="E7012" t="s">
        <v>3053</v>
      </c>
      <c r="F7012" t="s">
        <v>692</v>
      </c>
      <c r="G7012" t="s">
        <v>693</v>
      </c>
      <c r="H7012" t="s">
        <v>7735</v>
      </c>
      <c r="I7012">
        <v>21</v>
      </c>
      <c r="J7012">
        <v>2</v>
      </c>
      <c r="K7012">
        <v>0</v>
      </c>
      <c r="L7012">
        <v>19</v>
      </c>
      <c r="M7012">
        <v>0</v>
      </c>
      <c r="N7012">
        <v>0</v>
      </c>
      <c r="O7012">
        <v>0</v>
      </c>
    </row>
    <row r="7013" spans="1:15" x14ac:dyDescent="0.25">
      <c r="A7013" t="s">
        <v>11663</v>
      </c>
      <c r="B7013" t="s">
        <v>11768</v>
      </c>
      <c r="C7013" t="s">
        <v>927</v>
      </c>
      <c r="D7013" t="s">
        <v>3052</v>
      </c>
      <c r="E7013" t="s">
        <v>3053</v>
      </c>
      <c r="F7013" t="s">
        <v>692</v>
      </c>
      <c r="G7013" t="s">
        <v>693</v>
      </c>
      <c r="H7013" t="s">
        <v>12326</v>
      </c>
      <c r="I7013">
        <v>148</v>
      </c>
      <c r="J7013">
        <v>36</v>
      </c>
      <c r="K7013">
        <v>0</v>
      </c>
      <c r="L7013">
        <v>0</v>
      </c>
      <c r="M7013">
        <v>112</v>
      </c>
      <c r="N7013">
        <v>0</v>
      </c>
      <c r="O7013">
        <v>0</v>
      </c>
    </row>
    <row r="7014" spans="1:15" x14ac:dyDescent="0.25">
      <c r="A7014" t="s">
        <v>1848</v>
      </c>
      <c r="B7014" t="s">
        <v>2620</v>
      </c>
      <c r="C7014" t="s">
        <v>923</v>
      </c>
      <c r="D7014" t="s">
        <v>3063</v>
      </c>
      <c r="E7014" t="s">
        <v>3053</v>
      </c>
      <c r="F7014" t="s">
        <v>692</v>
      </c>
      <c r="G7014" t="s">
        <v>693</v>
      </c>
      <c r="H7014" t="s">
        <v>10424</v>
      </c>
      <c r="I7014">
        <v>32</v>
      </c>
      <c r="J7014">
        <v>0</v>
      </c>
      <c r="K7014">
        <v>32</v>
      </c>
      <c r="L7014">
        <v>0</v>
      </c>
      <c r="M7014">
        <v>0</v>
      </c>
      <c r="N7014">
        <v>0</v>
      </c>
      <c r="O7014">
        <v>0</v>
      </c>
    </row>
    <row r="7015" spans="1:15" x14ac:dyDescent="0.25">
      <c r="A7015" t="s">
        <v>962</v>
      </c>
      <c r="B7015" t="s">
        <v>2752</v>
      </c>
      <c r="C7015" t="s">
        <v>927</v>
      </c>
      <c r="D7015" t="s">
        <v>3052</v>
      </c>
      <c r="E7015" t="s">
        <v>3053</v>
      </c>
      <c r="F7015" t="s">
        <v>692</v>
      </c>
      <c r="G7015" t="s">
        <v>693</v>
      </c>
      <c r="H7015" t="s">
        <v>10450</v>
      </c>
      <c r="I7015">
        <v>1030</v>
      </c>
      <c r="J7015">
        <v>890</v>
      </c>
      <c r="K7015">
        <v>0</v>
      </c>
      <c r="L7015">
        <v>9</v>
      </c>
      <c r="M7015">
        <v>31</v>
      </c>
      <c r="N7015">
        <v>0</v>
      </c>
      <c r="O7015">
        <v>100</v>
      </c>
    </row>
    <row r="7016" spans="1:15" x14ac:dyDescent="0.25">
      <c r="A7016" t="s">
        <v>1858</v>
      </c>
      <c r="B7016" t="s">
        <v>2268</v>
      </c>
      <c r="C7016" t="s">
        <v>923</v>
      </c>
      <c r="D7016" t="s">
        <v>3063</v>
      </c>
      <c r="E7016" t="s">
        <v>3053</v>
      </c>
      <c r="F7016" t="s">
        <v>692</v>
      </c>
      <c r="G7016" t="s">
        <v>693</v>
      </c>
      <c r="H7016" t="s">
        <v>7736</v>
      </c>
      <c r="I7016">
        <v>61</v>
      </c>
      <c r="J7016">
        <v>0</v>
      </c>
      <c r="K7016">
        <v>0</v>
      </c>
      <c r="L7016">
        <v>0</v>
      </c>
      <c r="M7016">
        <v>61</v>
      </c>
      <c r="N7016">
        <v>0</v>
      </c>
      <c r="O7016">
        <v>0</v>
      </c>
    </row>
    <row r="7017" spans="1:15" x14ac:dyDescent="0.25">
      <c r="A7017" t="s">
        <v>1072</v>
      </c>
      <c r="B7017" t="s">
        <v>2907</v>
      </c>
      <c r="C7017" t="s">
        <v>927</v>
      </c>
      <c r="D7017" t="s">
        <v>3052</v>
      </c>
      <c r="E7017" t="s">
        <v>3053</v>
      </c>
      <c r="F7017" t="s">
        <v>692</v>
      </c>
      <c r="G7017" t="s">
        <v>693</v>
      </c>
      <c r="H7017" t="s">
        <v>7737</v>
      </c>
      <c r="I7017">
        <v>29</v>
      </c>
      <c r="J7017">
        <v>29</v>
      </c>
      <c r="K7017">
        <v>0</v>
      </c>
      <c r="L7017">
        <v>0</v>
      </c>
      <c r="M7017">
        <v>0</v>
      </c>
      <c r="N7017">
        <v>0</v>
      </c>
      <c r="O7017">
        <v>0</v>
      </c>
    </row>
    <row r="7018" spans="1:15" x14ac:dyDescent="0.25">
      <c r="A7018" t="s">
        <v>1077</v>
      </c>
      <c r="B7018" t="s">
        <v>2711</v>
      </c>
      <c r="C7018" t="s">
        <v>927</v>
      </c>
      <c r="D7018" t="s">
        <v>3052</v>
      </c>
      <c r="E7018" t="s">
        <v>3053</v>
      </c>
      <c r="F7018" t="s">
        <v>692</v>
      </c>
      <c r="G7018" t="s">
        <v>693</v>
      </c>
      <c r="H7018" t="s">
        <v>7738</v>
      </c>
      <c r="I7018">
        <v>436</v>
      </c>
      <c r="J7018">
        <v>384</v>
      </c>
      <c r="K7018">
        <v>0</v>
      </c>
      <c r="L7018">
        <v>47</v>
      </c>
      <c r="M7018">
        <v>0</v>
      </c>
      <c r="N7018">
        <v>0</v>
      </c>
      <c r="O7018">
        <v>5</v>
      </c>
    </row>
    <row r="7019" spans="1:15" x14ac:dyDescent="0.25">
      <c r="A7019" t="s">
        <v>1078</v>
      </c>
      <c r="B7019" t="s">
        <v>1950</v>
      </c>
      <c r="C7019" t="s">
        <v>923</v>
      </c>
      <c r="D7019" t="s">
        <v>3063</v>
      </c>
      <c r="E7019" t="s">
        <v>3053</v>
      </c>
      <c r="F7019" t="s">
        <v>692</v>
      </c>
      <c r="G7019" t="s">
        <v>693</v>
      </c>
      <c r="H7019" t="s">
        <v>7739</v>
      </c>
      <c r="I7019">
        <v>9</v>
      </c>
      <c r="J7019">
        <v>0</v>
      </c>
      <c r="K7019">
        <v>0</v>
      </c>
      <c r="L7019">
        <v>9</v>
      </c>
      <c r="M7019">
        <v>0</v>
      </c>
      <c r="N7019">
        <v>0</v>
      </c>
      <c r="O7019">
        <v>0</v>
      </c>
    </row>
    <row r="7020" spans="1:15" x14ac:dyDescent="0.25">
      <c r="A7020" t="s">
        <v>1865</v>
      </c>
      <c r="B7020" t="s">
        <v>2866</v>
      </c>
      <c r="C7020" t="s">
        <v>927</v>
      </c>
      <c r="D7020" t="s">
        <v>3052</v>
      </c>
      <c r="E7020" t="s">
        <v>3053</v>
      </c>
      <c r="F7020" t="s">
        <v>692</v>
      </c>
      <c r="G7020" t="s">
        <v>693</v>
      </c>
      <c r="H7020" t="s">
        <v>7740</v>
      </c>
      <c r="I7020">
        <v>11</v>
      </c>
      <c r="J7020">
        <v>11</v>
      </c>
      <c r="K7020">
        <v>0</v>
      </c>
      <c r="L7020">
        <v>0</v>
      </c>
      <c r="M7020">
        <v>0</v>
      </c>
      <c r="N7020">
        <v>0</v>
      </c>
      <c r="O7020">
        <v>0</v>
      </c>
    </row>
    <row r="7021" spans="1:15" x14ac:dyDescent="0.25">
      <c r="A7021" t="s">
        <v>14377</v>
      </c>
      <c r="B7021" t="s">
        <v>14444</v>
      </c>
      <c r="C7021" t="s">
        <v>923</v>
      </c>
      <c r="D7021" t="s">
        <v>3063</v>
      </c>
      <c r="E7021" t="s">
        <v>3053</v>
      </c>
      <c r="F7021" t="s">
        <v>692</v>
      </c>
      <c r="G7021" t="s">
        <v>693</v>
      </c>
      <c r="H7021" t="s">
        <v>15141</v>
      </c>
      <c r="I7021">
        <v>3</v>
      </c>
      <c r="J7021">
        <v>0</v>
      </c>
      <c r="K7021">
        <v>0</v>
      </c>
      <c r="L7021">
        <v>3</v>
      </c>
      <c r="M7021">
        <v>0</v>
      </c>
      <c r="N7021">
        <v>0</v>
      </c>
      <c r="O7021">
        <v>0</v>
      </c>
    </row>
    <row r="7022" spans="1:15" x14ac:dyDescent="0.25">
      <c r="A7022" t="s">
        <v>1871</v>
      </c>
      <c r="B7022" t="s">
        <v>2905</v>
      </c>
      <c r="C7022" t="s">
        <v>923</v>
      </c>
      <c r="D7022" t="s">
        <v>3063</v>
      </c>
      <c r="E7022" t="s">
        <v>3053</v>
      </c>
      <c r="F7022" t="s">
        <v>692</v>
      </c>
      <c r="G7022" t="s">
        <v>693</v>
      </c>
      <c r="H7022" t="s">
        <v>7741</v>
      </c>
      <c r="I7022">
        <v>157</v>
      </c>
      <c r="J7022">
        <v>27</v>
      </c>
      <c r="K7022">
        <v>20</v>
      </c>
      <c r="L7022">
        <v>110</v>
      </c>
      <c r="M7022">
        <v>0</v>
      </c>
      <c r="N7022">
        <v>0</v>
      </c>
      <c r="O7022">
        <v>0</v>
      </c>
    </row>
    <row r="7023" spans="1:15" x14ac:dyDescent="0.25">
      <c r="A7023" t="s">
        <v>929</v>
      </c>
      <c r="B7023" t="s">
        <v>2999</v>
      </c>
      <c r="C7023" t="s">
        <v>927</v>
      </c>
      <c r="D7023" t="s">
        <v>3052</v>
      </c>
      <c r="E7023" t="s">
        <v>3053</v>
      </c>
      <c r="F7023" t="s">
        <v>694</v>
      </c>
      <c r="G7023" t="s">
        <v>695</v>
      </c>
      <c r="H7023" t="s">
        <v>7742</v>
      </c>
      <c r="I7023">
        <v>477</v>
      </c>
      <c r="J7023">
        <v>4</v>
      </c>
      <c r="K7023">
        <v>0</v>
      </c>
      <c r="L7023">
        <v>0</v>
      </c>
      <c r="M7023">
        <v>441</v>
      </c>
      <c r="N7023">
        <v>0</v>
      </c>
      <c r="O7023">
        <v>32</v>
      </c>
    </row>
    <row r="7024" spans="1:15" x14ac:dyDescent="0.25">
      <c r="A7024" t="s">
        <v>1457</v>
      </c>
      <c r="B7024" t="s">
        <v>2003</v>
      </c>
      <c r="C7024" t="s">
        <v>923</v>
      </c>
      <c r="D7024" t="s">
        <v>3063</v>
      </c>
      <c r="E7024" t="s">
        <v>3053</v>
      </c>
      <c r="F7024" t="s">
        <v>694</v>
      </c>
      <c r="G7024" t="s">
        <v>695</v>
      </c>
      <c r="H7024" t="s">
        <v>15142</v>
      </c>
      <c r="I7024">
        <v>2</v>
      </c>
      <c r="J7024">
        <v>0</v>
      </c>
      <c r="K7024">
        <v>0</v>
      </c>
      <c r="L7024">
        <v>2</v>
      </c>
      <c r="M7024">
        <v>0</v>
      </c>
      <c r="N7024">
        <v>0</v>
      </c>
      <c r="O7024">
        <v>0</v>
      </c>
    </row>
    <row r="7025" spans="1:15" x14ac:dyDescent="0.25">
      <c r="A7025" t="s">
        <v>1459</v>
      </c>
      <c r="B7025" t="s">
        <v>2732</v>
      </c>
      <c r="C7025" t="s">
        <v>923</v>
      </c>
      <c r="D7025" t="s">
        <v>3063</v>
      </c>
      <c r="E7025" t="s">
        <v>3053</v>
      </c>
      <c r="F7025" t="s">
        <v>694</v>
      </c>
      <c r="G7025" t="s">
        <v>695</v>
      </c>
      <c r="H7025" t="s">
        <v>7743</v>
      </c>
      <c r="I7025">
        <v>1</v>
      </c>
      <c r="J7025">
        <v>0</v>
      </c>
      <c r="K7025">
        <v>0</v>
      </c>
      <c r="L7025">
        <v>1</v>
      </c>
      <c r="M7025">
        <v>0</v>
      </c>
      <c r="N7025">
        <v>0</v>
      </c>
      <c r="O7025">
        <v>0</v>
      </c>
    </row>
    <row r="7026" spans="1:15" x14ac:dyDescent="0.25">
      <c r="A7026" t="s">
        <v>1212</v>
      </c>
      <c r="B7026" t="s">
        <v>2004</v>
      </c>
      <c r="C7026" t="s">
        <v>923</v>
      </c>
      <c r="D7026" t="s">
        <v>3063</v>
      </c>
      <c r="E7026" t="s">
        <v>3053</v>
      </c>
      <c r="F7026" t="s">
        <v>694</v>
      </c>
      <c r="G7026" t="s">
        <v>695</v>
      </c>
      <c r="H7026" t="s">
        <v>7744</v>
      </c>
      <c r="I7026">
        <v>5</v>
      </c>
      <c r="J7026">
        <v>0</v>
      </c>
      <c r="K7026">
        <v>0</v>
      </c>
      <c r="L7026">
        <v>5</v>
      </c>
      <c r="M7026">
        <v>0</v>
      </c>
      <c r="N7026">
        <v>0</v>
      </c>
      <c r="O7026">
        <v>0</v>
      </c>
    </row>
    <row r="7027" spans="1:15" x14ac:dyDescent="0.25">
      <c r="A7027" t="s">
        <v>1476</v>
      </c>
      <c r="B7027" t="s">
        <v>2760</v>
      </c>
      <c r="C7027" t="s">
        <v>923</v>
      </c>
      <c r="D7027" t="s">
        <v>3063</v>
      </c>
      <c r="E7027" t="s">
        <v>3053</v>
      </c>
      <c r="F7027" t="s">
        <v>694</v>
      </c>
      <c r="G7027" t="s">
        <v>695</v>
      </c>
      <c r="H7027" t="s">
        <v>7745</v>
      </c>
      <c r="I7027">
        <v>422</v>
      </c>
      <c r="J7027">
        <v>357</v>
      </c>
      <c r="K7027">
        <v>0</v>
      </c>
      <c r="L7027">
        <v>65</v>
      </c>
      <c r="M7027">
        <v>0</v>
      </c>
      <c r="N7027">
        <v>0</v>
      </c>
      <c r="O7027">
        <v>0</v>
      </c>
    </row>
    <row r="7028" spans="1:15" x14ac:dyDescent="0.25">
      <c r="A7028" t="s">
        <v>1479</v>
      </c>
      <c r="B7028" t="s">
        <v>2050</v>
      </c>
      <c r="C7028" t="s">
        <v>923</v>
      </c>
      <c r="D7028" t="s">
        <v>3063</v>
      </c>
      <c r="E7028" t="s">
        <v>3053</v>
      </c>
      <c r="F7028" t="s">
        <v>694</v>
      </c>
      <c r="G7028" t="s">
        <v>695</v>
      </c>
      <c r="H7028" t="s">
        <v>7746</v>
      </c>
      <c r="I7028">
        <v>93</v>
      </c>
      <c r="J7028">
        <v>0</v>
      </c>
      <c r="K7028">
        <v>0</v>
      </c>
      <c r="L7028">
        <v>93</v>
      </c>
      <c r="M7028">
        <v>0</v>
      </c>
      <c r="N7028">
        <v>0</v>
      </c>
      <c r="O7028">
        <v>0</v>
      </c>
    </row>
    <row r="7029" spans="1:15" x14ac:dyDescent="0.25">
      <c r="A7029" t="s">
        <v>1416</v>
      </c>
      <c r="B7029" t="s">
        <v>2029</v>
      </c>
      <c r="C7029" t="s">
        <v>923</v>
      </c>
      <c r="D7029" t="s">
        <v>3063</v>
      </c>
      <c r="E7029" t="s">
        <v>3053</v>
      </c>
      <c r="F7029" t="s">
        <v>694</v>
      </c>
      <c r="G7029" t="s">
        <v>695</v>
      </c>
      <c r="H7029" t="s">
        <v>12327</v>
      </c>
      <c r="I7029">
        <v>5</v>
      </c>
      <c r="J7029">
        <v>0</v>
      </c>
      <c r="K7029">
        <v>0</v>
      </c>
      <c r="L7029">
        <v>5</v>
      </c>
      <c r="M7029">
        <v>0</v>
      </c>
      <c r="N7029">
        <v>0</v>
      </c>
      <c r="O7029">
        <v>0</v>
      </c>
    </row>
    <row r="7030" spans="1:15" x14ac:dyDescent="0.25">
      <c r="A7030" t="s">
        <v>10638</v>
      </c>
      <c r="B7030" t="s">
        <v>2057</v>
      </c>
      <c r="C7030" t="s">
        <v>927</v>
      </c>
      <c r="D7030" t="s">
        <v>3052</v>
      </c>
      <c r="E7030" t="s">
        <v>3053</v>
      </c>
      <c r="F7030" t="s">
        <v>694</v>
      </c>
      <c r="G7030" t="s">
        <v>695</v>
      </c>
      <c r="H7030" t="s">
        <v>11298</v>
      </c>
      <c r="I7030">
        <v>3</v>
      </c>
      <c r="J7030">
        <v>0</v>
      </c>
      <c r="K7030">
        <v>0</v>
      </c>
      <c r="L7030">
        <v>3</v>
      </c>
      <c r="M7030">
        <v>0</v>
      </c>
      <c r="N7030">
        <v>0</v>
      </c>
      <c r="O7030">
        <v>0</v>
      </c>
    </row>
    <row r="7031" spans="1:15" x14ac:dyDescent="0.25">
      <c r="A7031" t="s">
        <v>1006</v>
      </c>
      <c r="B7031" t="s">
        <v>2724</v>
      </c>
      <c r="C7031" t="s">
        <v>927</v>
      </c>
      <c r="D7031" t="s">
        <v>3052</v>
      </c>
      <c r="E7031" t="s">
        <v>3053</v>
      </c>
      <c r="F7031" t="s">
        <v>694</v>
      </c>
      <c r="G7031" t="s">
        <v>695</v>
      </c>
      <c r="H7031" t="s">
        <v>10079</v>
      </c>
      <c r="I7031">
        <v>132</v>
      </c>
      <c r="J7031">
        <v>91</v>
      </c>
      <c r="K7031">
        <v>0</v>
      </c>
      <c r="L7031">
        <v>0</v>
      </c>
      <c r="M7031">
        <v>0</v>
      </c>
      <c r="N7031">
        <v>0</v>
      </c>
      <c r="O7031">
        <v>41</v>
      </c>
    </row>
    <row r="7032" spans="1:15" x14ac:dyDescent="0.25">
      <c r="A7032" t="s">
        <v>1008</v>
      </c>
      <c r="B7032" t="s">
        <v>2928</v>
      </c>
      <c r="C7032" t="s">
        <v>927</v>
      </c>
      <c r="D7032" t="s">
        <v>3052</v>
      </c>
      <c r="E7032" t="s">
        <v>3053</v>
      </c>
      <c r="F7032" t="s">
        <v>694</v>
      </c>
      <c r="G7032" t="s">
        <v>695</v>
      </c>
      <c r="H7032" t="s">
        <v>7747</v>
      </c>
      <c r="I7032">
        <v>41</v>
      </c>
      <c r="J7032">
        <v>34</v>
      </c>
      <c r="K7032">
        <v>0</v>
      </c>
      <c r="L7032">
        <v>6</v>
      </c>
      <c r="M7032">
        <v>1</v>
      </c>
      <c r="N7032">
        <v>0</v>
      </c>
      <c r="O7032">
        <v>0</v>
      </c>
    </row>
    <row r="7033" spans="1:15" x14ac:dyDescent="0.25">
      <c r="A7033" t="s">
        <v>1009</v>
      </c>
      <c r="B7033" t="s">
        <v>1958</v>
      </c>
      <c r="C7033" t="s">
        <v>923</v>
      </c>
      <c r="D7033" t="s">
        <v>3063</v>
      </c>
      <c r="E7033" t="s">
        <v>3053</v>
      </c>
      <c r="F7033" t="s">
        <v>694</v>
      </c>
      <c r="G7033" t="s">
        <v>695</v>
      </c>
      <c r="H7033" t="s">
        <v>7748</v>
      </c>
      <c r="I7033">
        <v>67</v>
      </c>
      <c r="J7033">
        <v>0</v>
      </c>
      <c r="K7033">
        <v>0</v>
      </c>
      <c r="L7033">
        <v>67</v>
      </c>
      <c r="M7033">
        <v>0</v>
      </c>
      <c r="N7033">
        <v>0</v>
      </c>
      <c r="O7033">
        <v>0</v>
      </c>
    </row>
    <row r="7034" spans="1:15" x14ac:dyDescent="0.25">
      <c r="A7034" t="s">
        <v>1489</v>
      </c>
      <c r="B7034" t="s">
        <v>2047</v>
      </c>
      <c r="C7034" t="s">
        <v>923</v>
      </c>
      <c r="D7034" t="s">
        <v>3063</v>
      </c>
      <c r="E7034" t="s">
        <v>3053</v>
      </c>
      <c r="F7034" t="s">
        <v>694</v>
      </c>
      <c r="G7034" t="s">
        <v>695</v>
      </c>
      <c r="H7034" t="s">
        <v>7749</v>
      </c>
      <c r="I7034">
        <v>97</v>
      </c>
      <c r="J7034">
        <v>0</v>
      </c>
      <c r="K7034">
        <v>0</v>
      </c>
      <c r="L7034">
        <v>97</v>
      </c>
      <c r="M7034">
        <v>0</v>
      </c>
      <c r="N7034">
        <v>0</v>
      </c>
      <c r="O7034">
        <v>0</v>
      </c>
    </row>
    <row r="7035" spans="1:15" x14ac:dyDescent="0.25">
      <c r="A7035" t="s">
        <v>937</v>
      </c>
      <c r="B7035" t="s">
        <v>1962</v>
      </c>
      <c r="C7035" t="s">
        <v>927</v>
      </c>
      <c r="D7035" t="s">
        <v>3052</v>
      </c>
      <c r="E7035" t="s">
        <v>3053</v>
      </c>
      <c r="F7035" t="s">
        <v>694</v>
      </c>
      <c r="G7035" t="s">
        <v>695</v>
      </c>
      <c r="H7035" t="s">
        <v>12328</v>
      </c>
      <c r="I7035">
        <v>43</v>
      </c>
      <c r="J7035">
        <v>0</v>
      </c>
      <c r="K7035">
        <v>0</v>
      </c>
      <c r="L7035">
        <v>0</v>
      </c>
      <c r="M7035">
        <v>0</v>
      </c>
      <c r="N7035">
        <v>0</v>
      </c>
      <c r="O7035">
        <v>43</v>
      </c>
    </row>
    <row r="7036" spans="1:15" x14ac:dyDescent="0.25">
      <c r="A7036" t="s">
        <v>1011</v>
      </c>
      <c r="B7036" t="s">
        <v>2020</v>
      </c>
      <c r="C7036" t="s">
        <v>927</v>
      </c>
      <c r="D7036" t="s">
        <v>3052</v>
      </c>
      <c r="E7036" t="s">
        <v>3053</v>
      </c>
      <c r="F7036" t="s">
        <v>694</v>
      </c>
      <c r="G7036" t="s">
        <v>695</v>
      </c>
      <c r="H7036" t="s">
        <v>7750</v>
      </c>
      <c r="I7036">
        <v>11</v>
      </c>
      <c r="J7036">
        <v>0</v>
      </c>
      <c r="K7036">
        <v>0</v>
      </c>
      <c r="L7036">
        <v>11</v>
      </c>
      <c r="M7036">
        <v>0</v>
      </c>
      <c r="N7036">
        <v>0</v>
      </c>
      <c r="O7036">
        <v>0</v>
      </c>
    </row>
    <row r="7037" spans="1:15" x14ac:dyDescent="0.25">
      <c r="A7037" t="s">
        <v>940</v>
      </c>
      <c r="B7037" t="s">
        <v>2647</v>
      </c>
      <c r="C7037" t="s">
        <v>927</v>
      </c>
      <c r="D7037" t="s">
        <v>3052</v>
      </c>
      <c r="E7037" t="s">
        <v>3053</v>
      </c>
      <c r="F7037" t="s">
        <v>694</v>
      </c>
      <c r="G7037" t="s">
        <v>695</v>
      </c>
      <c r="H7037" t="s">
        <v>7751</v>
      </c>
      <c r="I7037">
        <v>196</v>
      </c>
      <c r="J7037">
        <v>0</v>
      </c>
      <c r="K7037">
        <v>0</v>
      </c>
      <c r="L7037">
        <v>0</v>
      </c>
      <c r="M7037">
        <v>196</v>
      </c>
      <c r="N7037">
        <v>0</v>
      </c>
      <c r="O7037">
        <v>0</v>
      </c>
    </row>
    <row r="7038" spans="1:15" x14ac:dyDescent="0.25">
      <c r="A7038" t="s">
        <v>1422</v>
      </c>
      <c r="B7038" t="s">
        <v>1990</v>
      </c>
      <c r="C7038" t="s">
        <v>923</v>
      </c>
      <c r="D7038" t="s">
        <v>3063</v>
      </c>
      <c r="E7038" t="s">
        <v>3053</v>
      </c>
      <c r="F7038" t="s">
        <v>694</v>
      </c>
      <c r="G7038" t="s">
        <v>695</v>
      </c>
      <c r="H7038" t="s">
        <v>7752</v>
      </c>
      <c r="I7038">
        <v>5</v>
      </c>
      <c r="J7038">
        <v>0</v>
      </c>
      <c r="K7038">
        <v>0</v>
      </c>
      <c r="L7038">
        <v>5</v>
      </c>
      <c r="M7038">
        <v>0</v>
      </c>
      <c r="N7038">
        <v>0</v>
      </c>
      <c r="O7038">
        <v>0</v>
      </c>
    </row>
    <row r="7039" spans="1:15" x14ac:dyDescent="0.25">
      <c r="A7039" t="s">
        <v>1013</v>
      </c>
      <c r="B7039" t="s">
        <v>1959</v>
      </c>
      <c r="C7039" t="s">
        <v>927</v>
      </c>
      <c r="D7039" t="s">
        <v>3052</v>
      </c>
      <c r="E7039" t="s">
        <v>3053</v>
      </c>
      <c r="F7039" t="s">
        <v>694</v>
      </c>
      <c r="G7039" t="s">
        <v>695</v>
      </c>
      <c r="H7039" t="s">
        <v>15143</v>
      </c>
      <c r="I7039">
        <v>1</v>
      </c>
      <c r="J7039">
        <v>0</v>
      </c>
      <c r="K7039">
        <v>0</v>
      </c>
      <c r="L7039">
        <v>1</v>
      </c>
      <c r="M7039">
        <v>0</v>
      </c>
      <c r="N7039">
        <v>0</v>
      </c>
      <c r="O7039">
        <v>0</v>
      </c>
    </row>
    <row r="7040" spans="1:15" x14ac:dyDescent="0.25">
      <c r="A7040" t="s">
        <v>9819</v>
      </c>
      <c r="B7040" t="s">
        <v>2916</v>
      </c>
      <c r="C7040" t="s">
        <v>927</v>
      </c>
      <c r="D7040" t="s">
        <v>3052</v>
      </c>
      <c r="E7040" t="s">
        <v>3053</v>
      </c>
      <c r="F7040" t="s">
        <v>694</v>
      </c>
      <c r="G7040" t="s">
        <v>695</v>
      </c>
      <c r="H7040" t="s">
        <v>10145</v>
      </c>
      <c r="I7040">
        <v>1575</v>
      </c>
      <c r="J7040">
        <v>1105</v>
      </c>
      <c r="K7040">
        <v>0</v>
      </c>
      <c r="L7040">
        <v>51</v>
      </c>
      <c r="M7040">
        <v>283</v>
      </c>
      <c r="N7040">
        <v>0</v>
      </c>
      <c r="O7040">
        <v>136</v>
      </c>
    </row>
    <row r="7041" spans="1:15" x14ac:dyDescent="0.25">
      <c r="A7041" t="s">
        <v>1506</v>
      </c>
      <c r="B7041" t="s">
        <v>2402</v>
      </c>
      <c r="C7041" t="s">
        <v>923</v>
      </c>
      <c r="D7041" t="s">
        <v>3063</v>
      </c>
      <c r="E7041" t="s">
        <v>3053</v>
      </c>
      <c r="F7041" t="s">
        <v>694</v>
      </c>
      <c r="G7041" t="s">
        <v>695</v>
      </c>
      <c r="H7041" t="s">
        <v>7753</v>
      </c>
      <c r="I7041">
        <v>13</v>
      </c>
      <c r="J7041">
        <v>13</v>
      </c>
      <c r="K7041">
        <v>0</v>
      </c>
      <c r="L7041">
        <v>0</v>
      </c>
      <c r="M7041">
        <v>0</v>
      </c>
      <c r="N7041">
        <v>0</v>
      </c>
      <c r="O7041">
        <v>0</v>
      </c>
    </row>
    <row r="7042" spans="1:15" x14ac:dyDescent="0.25">
      <c r="A7042" t="s">
        <v>1508</v>
      </c>
      <c r="B7042" t="s">
        <v>3024</v>
      </c>
      <c r="C7042" t="s">
        <v>927</v>
      </c>
      <c r="D7042" t="s">
        <v>3052</v>
      </c>
      <c r="E7042" t="s">
        <v>3053</v>
      </c>
      <c r="F7042" t="s">
        <v>694</v>
      </c>
      <c r="G7042" t="s">
        <v>695</v>
      </c>
      <c r="H7042" t="s">
        <v>15144</v>
      </c>
      <c r="I7042">
        <v>42</v>
      </c>
      <c r="J7042">
        <v>25</v>
      </c>
      <c r="K7042">
        <v>0</v>
      </c>
      <c r="L7042">
        <v>0</v>
      </c>
      <c r="M7042">
        <v>0</v>
      </c>
      <c r="N7042">
        <v>0</v>
      </c>
      <c r="O7042">
        <v>17</v>
      </c>
    </row>
    <row r="7043" spans="1:15" x14ac:dyDescent="0.25">
      <c r="A7043" t="s">
        <v>1520</v>
      </c>
      <c r="B7043" t="s">
        <v>2058</v>
      </c>
      <c r="C7043" t="s">
        <v>927</v>
      </c>
      <c r="D7043" t="s">
        <v>3052</v>
      </c>
      <c r="E7043" t="s">
        <v>3053</v>
      </c>
      <c r="F7043" t="s">
        <v>694</v>
      </c>
      <c r="G7043" t="s">
        <v>695</v>
      </c>
      <c r="H7043" t="s">
        <v>7754</v>
      </c>
      <c r="I7043">
        <v>10634</v>
      </c>
      <c r="J7043">
        <v>9702</v>
      </c>
      <c r="K7043">
        <v>0</v>
      </c>
      <c r="L7043">
        <v>849</v>
      </c>
      <c r="M7043">
        <v>0</v>
      </c>
      <c r="N7043">
        <v>0</v>
      </c>
      <c r="O7043">
        <v>83</v>
      </c>
    </row>
    <row r="7044" spans="1:15" x14ac:dyDescent="0.25">
      <c r="A7044" t="s">
        <v>1521</v>
      </c>
      <c r="B7044" t="s">
        <v>2920</v>
      </c>
      <c r="C7044" t="s">
        <v>927</v>
      </c>
      <c r="D7044" t="s">
        <v>3052</v>
      </c>
      <c r="E7044" t="s">
        <v>3053</v>
      </c>
      <c r="F7044" t="s">
        <v>694</v>
      </c>
      <c r="G7044" t="s">
        <v>695</v>
      </c>
      <c r="H7044" t="s">
        <v>7755</v>
      </c>
      <c r="I7044">
        <v>414</v>
      </c>
      <c r="J7044">
        <v>273</v>
      </c>
      <c r="K7044">
        <v>0</v>
      </c>
      <c r="L7044">
        <v>93</v>
      </c>
      <c r="M7044">
        <v>0</v>
      </c>
      <c r="N7044">
        <v>0</v>
      </c>
      <c r="O7044">
        <v>48</v>
      </c>
    </row>
    <row r="7045" spans="1:15" x14ac:dyDescent="0.25">
      <c r="A7045" t="s">
        <v>951</v>
      </c>
      <c r="B7045" t="s">
        <v>2680</v>
      </c>
      <c r="C7045" t="s">
        <v>927</v>
      </c>
      <c r="D7045" t="s">
        <v>3052</v>
      </c>
      <c r="E7045" t="s">
        <v>3053</v>
      </c>
      <c r="F7045" t="s">
        <v>694</v>
      </c>
      <c r="G7045" t="s">
        <v>695</v>
      </c>
      <c r="H7045" t="s">
        <v>7756</v>
      </c>
      <c r="I7045">
        <v>145</v>
      </c>
      <c r="J7045">
        <v>145</v>
      </c>
      <c r="K7045">
        <v>0</v>
      </c>
      <c r="L7045">
        <v>0</v>
      </c>
      <c r="M7045">
        <v>0</v>
      </c>
      <c r="N7045">
        <v>0</v>
      </c>
      <c r="O7045">
        <v>0</v>
      </c>
    </row>
    <row r="7046" spans="1:15" x14ac:dyDescent="0.25">
      <c r="A7046" t="s">
        <v>1525</v>
      </c>
      <c r="B7046" t="s">
        <v>2908</v>
      </c>
      <c r="C7046" t="s">
        <v>927</v>
      </c>
      <c r="D7046" t="s">
        <v>3052</v>
      </c>
      <c r="E7046" t="s">
        <v>3053</v>
      </c>
      <c r="F7046" t="s">
        <v>694</v>
      </c>
      <c r="G7046" t="s">
        <v>695</v>
      </c>
      <c r="H7046" t="s">
        <v>7757</v>
      </c>
      <c r="I7046">
        <v>858</v>
      </c>
      <c r="J7046">
        <v>771</v>
      </c>
      <c r="K7046">
        <v>0</v>
      </c>
      <c r="L7046">
        <v>29</v>
      </c>
      <c r="M7046">
        <v>45</v>
      </c>
      <c r="N7046">
        <v>0</v>
      </c>
      <c r="O7046">
        <v>13</v>
      </c>
    </row>
    <row r="7047" spans="1:15" x14ac:dyDescent="0.25">
      <c r="A7047" t="s">
        <v>10707</v>
      </c>
      <c r="B7047" t="s">
        <v>2714</v>
      </c>
      <c r="C7047" t="s">
        <v>927</v>
      </c>
      <c r="D7047" t="s">
        <v>3052</v>
      </c>
      <c r="E7047" t="s">
        <v>3053</v>
      </c>
      <c r="F7047" t="s">
        <v>694</v>
      </c>
      <c r="G7047" t="s">
        <v>695</v>
      </c>
      <c r="H7047" t="s">
        <v>11299</v>
      </c>
      <c r="I7047">
        <v>574</v>
      </c>
      <c r="J7047">
        <v>408</v>
      </c>
      <c r="K7047">
        <v>0</v>
      </c>
      <c r="L7047">
        <v>16</v>
      </c>
      <c r="M7047">
        <v>144</v>
      </c>
      <c r="N7047">
        <v>0</v>
      </c>
      <c r="O7047">
        <v>6</v>
      </c>
    </row>
    <row r="7048" spans="1:15" x14ac:dyDescent="0.25">
      <c r="A7048" t="s">
        <v>1051</v>
      </c>
      <c r="B7048" t="s">
        <v>2995</v>
      </c>
      <c r="C7048" t="s">
        <v>927</v>
      </c>
      <c r="D7048" t="s">
        <v>3052</v>
      </c>
      <c r="E7048" t="s">
        <v>3053</v>
      </c>
      <c r="F7048" t="s">
        <v>694</v>
      </c>
      <c r="G7048" t="s">
        <v>695</v>
      </c>
      <c r="H7048" t="s">
        <v>7758</v>
      </c>
      <c r="I7048">
        <v>26</v>
      </c>
      <c r="J7048">
        <v>0</v>
      </c>
      <c r="K7048">
        <v>0</v>
      </c>
      <c r="L7048">
        <v>26</v>
      </c>
      <c r="M7048">
        <v>0</v>
      </c>
      <c r="N7048">
        <v>0</v>
      </c>
      <c r="O7048">
        <v>0</v>
      </c>
    </row>
    <row r="7049" spans="1:15" x14ac:dyDescent="0.25">
      <c r="A7049" t="s">
        <v>1528</v>
      </c>
      <c r="B7049" t="s">
        <v>2698</v>
      </c>
      <c r="C7049" t="s">
        <v>923</v>
      </c>
      <c r="D7049" t="s">
        <v>3063</v>
      </c>
      <c r="E7049" t="s">
        <v>3053</v>
      </c>
      <c r="F7049" t="s">
        <v>694</v>
      </c>
      <c r="G7049" t="s">
        <v>695</v>
      </c>
      <c r="H7049" t="s">
        <v>7759</v>
      </c>
      <c r="I7049">
        <v>43</v>
      </c>
      <c r="J7049">
        <v>43</v>
      </c>
      <c r="K7049">
        <v>0</v>
      </c>
      <c r="L7049">
        <v>0</v>
      </c>
      <c r="M7049">
        <v>0</v>
      </c>
      <c r="N7049">
        <v>0</v>
      </c>
      <c r="O7049">
        <v>0</v>
      </c>
    </row>
    <row r="7050" spans="1:15" x14ac:dyDescent="0.25">
      <c r="A7050" t="s">
        <v>1529</v>
      </c>
      <c r="B7050" t="s">
        <v>1954</v>
      </c>
      <c r="C7050" t="s">
        <v>927</v>
      </c>
      <c r="D7050" t="s">
        <v>3052</v>
      </c>
      <c r="E7050" t="s">
        <v>3053</v>
      </c>
      <c r="F7050" t="s">
        <v>694</v>
      </c>
      <c r="G7050" t="s">
        <v>695</v>
      </c>
      <c r="H7050" t="s">
        <v>7760</v>
      </c>
      <c r="I7050">
        <v>389</v>
      </c>
      <c r="J7050">
        <v>225</v>
      </c>
      <c r="K7050">
        <v>0</v>
      </c>
      <c r="L7050">
        <v>6</v>
      </c>
      <c r="M7050">
        <v>0</v>
      </c>
      <c r="N7050">
        <v>0</v>
      </c>
      <c r="O7050">
        <v>158</v>
      </c>
    </row>
    <row r="7051" spans="1:15" x14ac:dyDescent="0.25">
      <c r="A7051" t="s">
        <v>955</v>
      </c>
      <c r="B7051" t="s">
        <v>2660</v>
      </c>
      <c r="C7051" t="s">
        <v>927</v>
      </c>
      <c r="D7051" t="s">
        <v>3052</v>
      </c>
      <c r="E7051" t="s">
        <v>3053</v>
      </c>
      <c r="F7051" t="s">
        <v>694</v>
      </c>
      <c r="G7051" t="s">
        <v>695</v>
      </c>
      <c r="H7051" t="s">
        <v>7761</v>
      </c>
      <c r="I7051">
        <v>369</v>
      </c>
      <c r="J7051">
        <v>274</v>
      </c>
      <c r="K7051">
        <v>0</v>
      </c>
      <c r="L7051">
        <v>86</v>
      </c>
      <c r="M7051">
        <v>0</v>
      </c>
      <c r="N7051">
        <v>0</v>
      </c>
      <c r="O7051">
        <v>9</v>
      </c>
    </row>
    <row r="7052" spans="1:15" x14ac:dyDescent="0.25">
      <c r="A7052" t="s">
        <v>1066</v>
      </c>
      <c r="B7052" t="s">
        <v>2557</v>
      </c>
      <c r="C7052" t="s">
        <v>927</v>
      </c>
      <c r="D7052" t="s">
        <v>3052</v>
      </c>
      <c r="E7052" t="s">
        <v>3053</v>
      </c>
      <c r="F7052" t="s">
        <v>694</v>
      </c>
      <c r="G7052" t="s">
        <v>695</v>
      </c>
      <c r="H7052" t="s">
        <v>7762</v>
      </c>
      <c r="I7052">
        <v>52</v>
      </c>
      <c r="J7052">
        <v>0</v>
      </c>
      <c r="K7052">
        <v>0</v>
      </c>
      <c r="L7052">
        <v>0</v>
      </c>
      <c r="M7052">
        <v>52</v>
      </c>
      <c r="N7052">
        <v>0</v>
      </c>
      <c r="O7052">
        <v>0</v>
      </c>
    </row>
    <row r="7053" spans="1:15" x14ac:dyDescent="0.25">
      <c r="A7053" t="s">
        <v>1072</v>
      </c>
      <c r="B7053" t="s">
        <v>2907</v>
      </c>
      <c r="C7053" t="s">
        <v>927</v>
      </c>
      <c r="D7053" t="s">
        <v>3052</v>
      </c>
      <c r="E7053" t="s">
        <v>3053</v>
      </c>
      <c r="F7053" t="s">
        <v>694</v>
      </c>
      <c r="G7053" t="s">
        <v>695</v>
      </c>
      <c r="H7053" t="s">
        <v>7763</v>
      </c>
      <c r="I7053">
        <v>2379</v>
      </c>
      <c r="J7053">
        <v>1666</v>
      </c>
      <c r="K7053">
        <v>0</v>
      </c>
      <c r="L7053">
        <v>104</v>
      </c>
      <c r="M7053">
        <v>458</v>
      </c>
      <c r="N7053">
        <v>2</v>
      </c>
      <c r="O7053">
        <v>151</v>
      </c>
    </row>
    <row r="7054" spans="1:15" x14ac:dyDescent="0.25">
      <c r="A7054" t="s">
        <v>1075</v>
      </c>
      <c r="B7054" t="s">
        <v>2830</v>
      </c>
      <c r="C7054" t="s">
        <v>927</v>
      </c>
      <c r="D7054" t="s">
        <v>3052</v>
      </c>
      <c r="E7054" t="s">
        <v>3053</v>
      </c>
      <c r="F7054" t="s">
        <v>694</v>
      </c>
      <c r="G7054" t="s">
        <v>695</v>
      </c>
      <c r="H7054" t="s">
        <v>12329</v>
      </c>
      <c r="I7054">
        <v>25</v>
      </c>
      <c r="J7054">
        <v>16</v>
      </c>
      <c r="K7054">
        <v>0</v>
      </c>
      <c r="L7054">
        <v>0</v>
      </c>
      <c r="M7054">
        <v>0</v>
      </c>
      <c r="N7054">
        <v>0</v>
      </c>
      <c r="O7054">
        <v>9</v>
      </c>
    </row>
    <row r="7055" spans="1:15" x14ac:dyDescent="0.25">
      <c r="A7055" t="s">
        <v>1553</v>
      </c>
      <c r="B7055" t="s">
        <v>2132</v>
      </c>
      <c r="C7055" t="s">
        <v>927</v>
      </c>
      <c r="D7055" t="s">
        <v>3052</v>
      </c>
      <c r="E7055" t="s">
        <v>3053</v>
      </c>
      <c r="F7055" t="s">
        <v>694</v>
      </c>
      <c r="G7055" t="s">
        <v>695</v>
      </c>
      <c r="H7055" t="s">
        <v>7764</v>
      </c>
      <c r="I7055">
        <v>272</v>
      </c>
      <c r="J7055">
        <v>153</v>
      </c>
      <c r="K7055">
        <v>0</v>
      </c>
      <c r="L7055">
        <v>0</v>
      </c>
      <c r="M7055">
        <v>0</v>
      </c>
      <c r="N7055">
        <v>0</v>
      </c>
      <c r="O7055">
        <v>119</v>
      </c>
    </row>
    <row r="7056" spans="1:15" x14ac:dyDescent="0.25">
      <c r="A7056" t="s">
        <v>1078</v>
      </c>
      <c r="B7056" t="s">
        <v>1950</v>
      </c>
      <c r="C7056" t="s">
        <v>923</v>
      </c>
      <c r="D7056" t="s">
        <v>3063</v>
      </c>
      <c r="E7056" t="s">
        <v>3053</v>
      </c>
      <c r="F7056" t="s">
        <v>694</v>
      </c>
      <c r="G7056" t="s">
        <v>695</v>
      </c>
      <c r="H7056" t="s">
        <v>7765</v>
      </c>
      <c r="I7056">
        <v>3</v>
      </c>
      <c r="J7056">
        <v>0</v>
      </c>
      <c r="K7056">
        <v>0</v>
      </c>
      <c r="L7056">
        <v>3</v>
      </c>
      <c r="M7056">
        <v>0</v>
      </c>
      <c r="N7056">
        <v>0</v>
      </c>
      <c r="O7056">
        <v>0</v>
      </c>
    </row>
    <row r="7057" spans="1:15" x14ac:dyDescent="0.25">
      <c r="A7057" t="s">
        <v>1083</v>
      </c>
      <c r="B7057" t="s">
        <v>2757</v>
      </c>
      <c r="C7057" t="s">
        <v>927</v>
      </c>
      <c r="D7057" t="s">
        <v>3052</v>
      </c>
      <c r="E7057" t="s">
        <v>3053</v>
      </c>
      <c r="F7057" t="s">
        <v>694</v>
      </c>
      <c r="G7057" t="s">
        <v>695</v>
      </c>
      <c r="H7057" t="s">
        <v>7766</v>
      </c>
      <c r="I7057">
        <v>418</v>
      </c>
      <c r="J7057">
        <v>361</v>
      </c>
      <c r="K7057">
        <v>0</v>
      </c>
      <c r="L7057">
        <v>24</v>
      </c>
      <c r="M7057">
        <v>0</v>
      </c>
      <c r="N7057">
        <v>0</v>
      </c>
      <c r="O7057">
        <v>33</v>
      </c>
    </row>
    <row r="7058" spans="1:15" x14ac:dyDescent="0.25">
      <c r="A7058" t="s">
        <v>926</v>
      </c>
      <c r="B7058" t="s">
        <v>2923</v>
      </c>
      <c r="C7058" t="s">
        <v>927</v>
      </c>
      <c r="D7058" t="s">
        <v>3052</v>
      </c>
      <c r="E7058" t="s">
        <v>3053</v>
      </c>
      <c r="F7058" t="s">
        <v>696</v>
      </c>
      <c r="G7058" t="s">
        <v>697</v>
      </c>
      <c r="H7058" t="s">
        <v>7767</v>
      </c>
      <c r="I7058">
        <v>2</v>
      </c>
      <c r="J7058">
        <v>0</v>
      </c>
      <c r="K7058">
        <v>0</v>
      </c>
      <c r="L7058">
        <v>0</v>
      </c>
      <c r="M7058">
        <v>0</v>
      </c>
      <c r="N7058">
        <v>0</v>
      </c>
      <c r="O7058">
        <v>2</v>
      </c>
    </row>
    <row r="7059" spans="1:15" x14ac:dyDescent="0.25">
      <c r="A7059" t="s">
        <v>929</v>
      </c>
      <c r="B7059" t="s">
        <v>2999</v>
      </c>
      <c r="C7059" t="s">
        <v>927</v>
      </c>
      <c r="D7059" t="s">
        <v>3052</v>
      </c>
      <c r="E7059" t="s">
        <v>3053</v>
      </c>
      <c r="F7059" t="s">
        <v>696</v>
      </c>
      <c r="G7059" t="s">
        <v>697</v>
      </c>
      <c r="H7059" t="s">
        <v>7768</v>
      </c>
      <c r="I7059">
        <v>83</v>
      </c>
      <c r="J7059">
        <v>0</v>
      </c>
      <c r="K7059">
        <v>0</v>
      </c>
      <c r="L7059">
        <v>0</v>
      </c>
      <c r="M7059">
        <v>83</v>
      </c>
      <c r="N7059">
        <v>0</v>
      </c>
      <c r="O7059">
        <v>0</v>
      </c>
    </row>
    <row r="7060" spans="1:15" x14ac:dyDescent="0.25">
      <c r="A7060" t="s">
        <v>1577</v>
      </c>
      <c r="B7060" t="s">
        <v>2703</v>
      </c>
      <c r="C7060" t="s">
        <v>923</v>
      </c>
      <c r="D7060" t="s">
        <v>3063</v>
      </c>
      <c r="E7060" t="s">
        <v>3053</v>
      </c>
      <c r="F7060" t="s">
        <v>696</v>
      </c>
      <c r="G7060" t="s">
        <v>697</v>
      </c>
      <c r="H7060" t="s">
        <v>7769</v>
      </c>
      <c r="I7060">
        <v>8</v>
      </c>
      <c r="J7060">
        <v>8</v>
      </c>
      <c r="K7060">
        <v>0</v>
      </c>
      <c r="L7060">
        <v>0</v>
      </c>
      <c r="M7060">
        <v>0</v>
      </c>
      <c r="N7060">
        <v>0</v>
      </c>
      <c r="O7060">
        <v>0</v>
      </c>
    </row>
    <row r="7061" spans="1:15" x14ac:dyDescent="0.25">
      <c r="A7061" t="s">
        <v>996</v>
      </c>
      <c r="B7061" t="s">
        <v>1952</v>
      </c>
      <c r="C7061" t="s">
        <v>923</v>
      </c>
      <c r="D7061" t="s">
        <v>3063</v>
      </c>
      <c r="E7061" t="s">
        <v>3053</v>
      </c>
      <c r="F7061" t="s">
        <v>696</v>
      </c>
      <c r="G7061" t="s">
        <v>697</v>
      </c>
      <c r="H7061" t="s">
        <v>7770</v>
      </c>
      <c r="I7061">
        <v>8</v>
      </c>
      <c r="J7061">
        <v>0</v>
      </c>
      <c r="K7061">
        <v>0</v>
      </c>
      <c r="L7061">
        <v>8</v>
      </c>
      <c r="M7061">
        <v>0</v>
      </c>
      <c r="N7061">
        <v>0</v>
      </c>
      <c r="O7061">
        <v>0</v>
      </c>
    </row>
    <row r="7062" spans="1:15" x14ac:dyDescent="0.25">
      <c r="A7062" t="s">
        <v>998</v>
      </c>
      <c r="B7062" t="s">
        <v>2820</v>
      </c>
      <c r="C7062" t="s">
        <v>927</v>
      </c>
      <c r="D7062" t="s">
        <v>3052</v>
      </c>
      <c r="E7062" t="s">
        <v>3053</v>
      </c>
      <c r="F7062" t="s">
        <v>696</v>
      </c>
      <c r="G7062" t="s">
        <v>697</v>
      </c>
      <c r="H7062" t="s">
        <v>7771</v>
      </c>
      <c r="I7062">
        <v>18</v>
      </c>
      <c r="J7062">
        <v>11</v>
      </c>
      <c r="K7062">
        <v>0</v>
      </c>
      <c r="L7062">
        <v>0</v>
      </c>
      <c r="M7062">
        <v>0</v>
      </c>
      <c r="N7062">
        <v>0</v>
      </c>
      <c r="O7062">
        <v>7</v>
      </c>
    </row>
    <row r="7063" spans="1:15" x14ac:dyDescent="0.25">
      <c r="A7063" t="s">
        <v>10638</v>
      </c>
      <c r="B7063" t="s">
        <v>2057</v>
      </c>
      <c r="C7063" t="s">
        <v>927</v>
      </c>
      <c r="D7063" t="s">
        <v>3052</v>
      </c>
      <c r="E7063" t="s">
        <v>3053</v>
      </c>
      <c r="F7063" t="s">
        <v>696</v>
      </c>
      <c r="G7063" t="s">
        <v>697</v>
      </c>
      <c r="H7063" t="s">
        <v>11300</v>
      </c>
      <c r="I7063">
        <v>2</v>
      </c>
      <c r="J7063">
        <v>0</v>
      </c>
      <c r="K7063">
        <v>0</v>
      </c>
      <c r="L7063">
        <v>2</v>
      </c>
      <c r="M7063">
        <v>0</v>
      </c>
      <c r="N7063">
        <v>0</v>
      </c>
      <c r="O7063">
        <v>0</v>
      </c>
    </row>
    <row r="7064" spans="1:15" x14ac:dyDescent="0.25">
      <c r="A7064" t="s">
        <v>1249</v>
      </c>
      <c r="B7064" t="s">
        <v>3029</v>
      </c>
      <c r="C7064" t="s">
        <v>927</v>
      </c>
      <c r="D7064" t="s">
        <v>3052</v>
      </c>
      <c r="E7064" t="s">
        <v>3053</v>
      </c>
      <c r="F7064" t="s">
        <v>696</v>
      </c>
      <c r="G7064" t="s">
        <v>697</v>
      </c>
      <c r="H7064" t="s">
        <v>7772</v>
      </c>
      <c r="I7064">
        <v>27</v>
      </c>
      <c r="J7064">
        <v>16</v>
      </c>
      <c r="K7064">
        <v>0</v>
      </c>
      <c r="L7064">
        <v>0</v>
      </c>
      <c r="M7064">
        <v>0</v>
      </c>
      <c r="N7064">
        <v>0</v>
      </c>
      <c r="O7064">
        <v>11</v>
      </c>
    </row>
    <row r="7065" spans="1:15" x14ac:dyDescent="0.25">
      <c r="A7065" t="s">
        <v>1005</v>
      </c>
      <c r="B7065" t="s">
        <v>2128</v>
      </c>
      <c r="C7065" t="s">
        <v>927</v>
      </c>
      <c r="D7065" t="s">
        <v>3052</v>
      </c>
      <c r="E7065" t="s">
        <v>3053</v>
      </c>
      <c r="F7065" t="s">
        <v>696</v>
      </c>
      <c r="G7065" t="s">
        <v>697</v>
      </c>
      <c r="H7065" t="s">
        <v>7773</v>
      </c>
      <c r="I7065">
        <v>8</v>
      </c>
      <c r="J7065">
        <v>0</v>
      </c>
      <c r="K7065">
        <v>0</v>
      </c>
      <c r="L7065">
        <v>8</v>
      </c>
      <c r="M7065">
        <v>0</v>
      </c>
      <c r="N7065">
        <v>0</v>
      </c>
      <c r="O7065">
        <v>0</v>
      </c>
    </row>
    <row r="7066" spans="1:15" x14ac:dyDescent="0.25">
      <c r="A7066" t="s">
        <v>1012</v>
      </c>
      <c r="B7066" t="s">
        <v>2911</v>
      </c>
      <c r="C7066" t="s">
        <v>927</v>
      </c>
      <c r="D7066" t="s">
        <v>3052</v>
      </c>
      <c r="E7066" t="s">
        <v>3053</v>
      </c>
      <c r="F7066" t="s">
        <v>696</v>
      </c>
      <c r="G7066" t="s">
        <v>697</v>
      </c>
      <c r="H7066" t="s">
        <v>7774</v>
      </c>
      <c r="I7066">
        <v>15</v>
      </c>
      <c r="J7066">
        <v>6</v>
      </c>
      <c r="K7066">
        <v>0</v>
      </c>
      <c r="L7066">
        <v>0</v>
      </c>
      <c r="M7066">
        <v>0</v>
      </c>
      <c r="N7066">
        <v>0</v>
      </c>
      <c r="O7066">
        <v>9</v>
      </c>
    </row>
    <row r="7067" spans="1:15" x14ac:dyDescent="0.25">
      <c r="A7067" t="s">
        <v>1126</v>
      </c>
      <c r="B7067" t="s">
        <v>2130</v>
      </c>
      <c r="C7067" t="s">
        <v>927</v>
      </c>
      <c r="D7067" t="s">
        <v>3052</v>
      </c>
      <c r="E7067" t="s">
        <v>3053</v>
      </c>
      <c r="F7067" t="s">
        <v>696</v>
      </c>
      <c r="G7067" t="s">
        <v>697</v>
      </c>
      <c r="H7067" t="s">
        <v>15145</v>
      </c>
      <c r="I7067">
        <v>8</v>
      </c>
      <c r="J7067">
        <v>0</v>
      </c>
      <c r="K7067">
        <v>0</v>
      </c>
      <c r="L7067">
        <v>0</v>
      </c>
      <c r="M7067">
        <v>0</v>
      </c>
      <c r="N7067">
        <v>0</v>
      </c>
      <c r="O7067">
        <v>8</v>
      </c>
    </row>
    <row r="7068" spans="1:15" x14ac:dyDescent="0.25">
      <c r="A7068" t="s">
        <v>1025</v>
      </c>
      <c r="B7068" t="s">
        <v>2893</v>
      </c>
      <c r="C7068" t="s">
        <v>927</v>
      </c>
      <c r="D7068" t="s">
        <v>3052</v>
      </c>
      <c r="E7068" t="s">
        <v>3053</v>
      </c>
      <c r="F7068" t="s">
        <v>696</v>
      </c>
      <c r="G7068" t="s">
        <v>697</v>
      </c>
      <c r="H7068" t="s">
        <v>7775</v>
      </c>
      <c r="I7068">
        <v>27</v>
      </c>
      <c r="J7068">
        <v>0</v>
      </c>
      <c r="K7068">
        <v>0</v>
      </c>
      <c r="L7068">
        <v>0</v>
      </c>
      <c r="M7068">
        <v>0</v>
      </c>
      <c r="N7068">
        <v>0</v>
      </c>
      <c r="O7068">
        <v>27</v>
      </c>
    </row>
    <row r="7069" spans="1:15" x14ac:dyDescent="0.25">
      <c r="A7069" t="s">
        <v>9826</v>
      </c>
      <c r="B7069" t="s">
        <v>2279</v>
      </c>
      <c r="C7069" t="s">
        <v>923</v>
      </c>
      <c r="D7069" t="s">
        <v>3063</v>
      </c>
      <c r="E7069" t="s">
        <v>3053</v>
      </c>
      <c r="F7069" t="s">
        <v>696</v>
      </c>
      <c r="G7069" t="s">
        <v>697</v>
      </c>
      <c r="H7069" t="s">
        <v>10204</v>
      </c>
      <c r="I7069">
        <v>4</v>
      </c>
      <c r="J7069">
        <v>4</v>
      </c>
      <c r="K7069">
        <v>0</v>
      </c>
      <c r="L7069">
        <v>0</v>
      </c>
      <c r="M7069">
        <v>0</v>
      </c>
      <c r="N7069">
        <v>0</v>
      </c>
      <c r="O7069">
        <v>0</v>
      </c>
    </row>
    <row r="7070" spans="1:15" x14ac:dyDescent="0.25">
      <c r="A7070" t="s">
        <v>943</v>
      </c>
      <c r="B7070" t="s">
        <v>2694</v>
      </c>
      <c r="C7070" t="s">
        <v>927</v>
      </c>
      <c r="D7070" t="s">
        <v>3052</v>
      </c>
      <c r="E7070" t="s">
        <v>3053</v>
      </c>
      <c r="F7070" t="s">
        <v>696</v>
      </c>
      <c r="G7070" t="s">
        <v>697</v>
      </c>
      <c r="H7070" t="s">
        <v>7776</v>
      </c>
      <c r="I7070">
        <v>1</v>
      </c>
      <c r="J7070">
        <v>0</v>
      </c>
      <c r="K7070">
        <v>0</v>
      </c>
      <c r="L7070">
        <v>0</v>
      </c>
      <c r="M7070">
        <v>0</v>
      </c>
      <c r="N7070">
        <v>0</v>
      </c>
      <c r="O7070">
        <v>1</v>
      </c>
    </row>
    <row r="7071" spans="1:15" x14ac:dyDescent="0.25">
      <c r="A7071" t="s">
        <v>945</v>
      </c>
      <c r="B7071" t="s">
        <v>2668</v>
      </c>
      <c r="C7071" t="s">
        <v>927</v>
      </c>
      <c r="D7071" t="s">
        <v>3052</v>
      </c>
      <c r="E7071" t="s">
        <v>3053</v>
      </c>
      <c r="F7071" t="s">
        <v>696</v>
      </c>
      <c r="G7071" t="s">
        <v>697</v>
      </c>
      <c r="H7071" t="s">
        <v>7777</v>
      </c>
      <c r="I7071">
        <v>985</v>
      </c>
      <c r="J7071">
        <v>421</v>
      </c>
      <c r="K7071">
        <v>0</v>
      </c>
      <c r="L7071">
        <v>9</v>
      </c>
      <c r="M7071">
        <v>99</v>
      </c>
      <c r="N7071">
        <v>0</v>
      </c>
      <c r="O7071">
        <v>456</v>
      </c>
    </row>
    <row r="7072" spans="1:15" x14ac:dyDescent="0.25">
      <c r="A7072" t="s">
        <v>1041</v>
      </c>
      <c r="B7072" t="s">
        <v>2826</v>
      </c>
      <c r="C7072" t="s">
        <v>927</v>
      </c>
      <c r="D7072" t="s">
        <v>3052</v>
      </c>
      <c r="E7072" t="s">
        <v>3053</v>
      </c>
      <c r="F7072" t="s">
        <v>696</v>
      </c>
      <c r="G7072" t="s">
        <v>697</v>
      </c>
      <c r="H7072" t="s">
        <v>7778</v>
      </c>
      <c r="I7072">
        <v>95</v>
      </c>
      <c r="J7072">
        <v>0</v>
      </c>
      <c r="K7072">
        <v>0</v>
      </c>
      <c r="L7072">
        <v>0</v>
      </c>
      <c r="M7072">
        <v>0</v>
      </c>
      <c r="N7072">
        <v>0</v>
      </c>
      <c r="O7072">
        <v>95</v>
      </c>
    </row>
    <row r="7073" spans="1:15" x14ac:dyDescent="0.25">
      <c r="A7073" t="s">
        <v>9787</v>
      </c>
      <c r="B7073" t="s">
        <v>2822</v>
      </c>
      <c r="C7073" t="s">
        <v>927</v>
      </c>
      <c r="D7073" t="s">
        <v>3052</v>
      </c>
      <c r="E7073" t="s">
        <v>3053</v>
      </c>
      <c r="F7073" t="s">
        <v>696</v>
      </c>
      <c r="G7073" t="s">
        <v>697</v>
      </c>
      <c r="H7073" t="s">
        <v>10277</v>
      </c>
      <c r="I7073">
        <v>96</v>
      </c>
      <c r="J7073">
        <v>96</v>
      </c>
      <c r="K7073">
        <v>0</v>
      </c>
      <c r="L7073">
        <v>0</v>
      </c>
      <c r="M7073">
        <v>0</v>
      </c>
      <c r="N7073">
        <v>1</v>
      </c>
      <c r="O7073">
        <v>0</v>
      </c>
    </row>
    <row r="7074" spans="1:15" x14ac:dyDescent="0.25">
      <c r="A7074" t="s">
        <v>951</v>
      </c>
      <c r="B7074" t="s">
        <v>2680</v>
      </c>
      <c r="C7074" t="s">
        <v>927</v>
      </c>
      <c r="D7074" t="s">
        <v>3052</v>
      </c>
      <c r="E7074" t="s">
        <v>3053</v>
      </c>
      <c r="F7074" t="s">
        <v>696</v>
      </c>
      <c r="G7074" t="s">
        <v>697</v>
      </c>
      <c r="H7074" t="s">
        <v>7779</v>
      </c>
      <c r="I7074">
        <v>164</v>
      </c>
      <c r="J7074">
        <v>164</v>
      </c>
      <c r="K7074">
        <v>0</v>
      </c>
      <c r="L7074">
        <v>0</v>
      </c>
      <c r="M7074">
        <v>0</v>
      </c>
      <c r="N7074">
        <v>1</v>
      </c>
      <c r="O7074">
        <v>0</v>
      </c>
    </row>
    <row r="7075" spans="1:15" x14ac:dyDescent="0.25">
      <c r="A7075" t="s">
        <v>1330</v>
      </c>
      <c r="B7075" t="s">
        <v>2776</v>
      </c>
      <c r="C7075" t="s">
        <v>923</v>
      </c>
      <c r="D7075" t="s">
        <v>3063</v>
      </c>
      <c r="E7075" t="s">
        <v>3053</v>
      </c>
      <c r="F7075" t="s">
        <v>696</v>
      </c>
      <c r="G7075" t="s">
        <v>697</v>
      </c>
      <c r="H7075" t="s">
        <v>7780</v>
      </c>
      <c r="I7075">
        <v>4</v>
      </c>
      <c r="J7075">
        <v>4</v>
      </c>
      <c r="K7075">
        <v>0</v>
      </c>
      <c r="L7075">
        <v>0</v>
      </c>
      <c r="M7075">
        <v>0</v>
      </c>
      <c r="N7075">
        <v>0</v>
      </c>
      <c r="O7075">
        <v>0</v>
      </c>
    </row>
    <row r="7076" spans="1:15" x14ac:dyDescent="0.25">
      <c r="A7076" t="s">
        <v>1648</v>
      </c>
      <c r="B7076" t="s">
        <v>2934</v>
      </c>
      <c r="C7076" t="s">
        <v>923</v>
      </c>
      <c r="D7076" t="s">
        <v>3063</v>
      </c>
      <c r="E7076" t="s">
        <v>3053</v>
      </c>
      <c r="F7076" t="s">
        <v>696</v>
      </c>
      <c r="G7076" t="s">
        <v>697</v>
      </c>
      <c r="H7076" t="s">
        <v>7781</v>
      </c>
      <c r="I7076">
        <v>126</v>
      </c>
      <c r="J7076">
        <v>0</v>
      </c>
      <c r="K7076">
        <v>0</v>
      </c>
      <c r="L7076">
        <v>0</v>
      </c>
      <c r="M7076">
        <v>126</v>
      </c>
      <c r="N7076">
        <v>0</v>
      </c>
      <c r="O7076">
        <v>0</v>
      </c>
    </row>
    <row r="7077" spans="1:15" x14ac:dyDescent="0.25">
      <c r="A7077" t="s">
        <v>11663</v>
      </c>
      <c r="B7077" t="s">
        <v>11768</v>
      </c>
      <c r="C7077" t="s">
        <v>927</v>
      </c>
      <c r="D7077" t="s">
        <v>3052</v>
      </c>
      <c r="E7077" t="s">
        <v>3053</v>
      </c>
      <c r="F7077" t="s">
        <v>696</v>
      </c>
      <c r="G7077" t="s">
        <v>697</v>
      </c>
      <c r="H7077" t="s">
        <v>12330</v>
      </c>
      <c r="I7077">
        <v>51</v>
      </c>
      <c r="J7077">
        <v>8</v>
      </c>
      <c r="K7077">
        <v>0</v>
      </c>
      <c r="L7077">
        <v>21</v>
      </c>
      <c r="M7077">
        <v>0</v>
      </c>
      <c r="N7077">
        <v>0</v>
      </c>
      <c r="O7077">
        <v>22</v>
      </c>
    </row>
    <row r="7078" spans="1:15" x14ac:dyDescent="0.25">
      <c r="A7078" t="s">
        <v>1071</v>
      </c>
      <c r="B7078" t="s">
        <v>2571</v>
      </c>
      <c r="C7078" t="s">
        <v>923</v>
      </c>
      <c r="D7078" t="s">
        <v>3063</v>
      </c>
      <c r="E7078" t="s">
        <v>3053</v>
      </c>
      <c r="F7078" t="s">
        <v>696</v>
      </c>
      <c r="G7078" t="s">
        <v>697</v>
      </c>
      <c r="H7078" t="s">
        <v>7782</v>
      </c>
      <c r="I7078">
        <v>15</v>
      </c>
      <c r="J7078">
        <v>0</v>
      </c>
      <c r="K7078">
        <v>0</v>
      </c>
      <c r="L7078">
        <v>15</v>
      </c>
      <c r="M7078">
        <v>0</v>
      </c>
      <c r="N7078">
        <v>0</v>
      </c>
      <c r="O7078">
        <v>0</v>
      </c>
    </row>
    <row r="7079" spans="1:15" x14ac:dyDescent="0.25">
      <c r="A7079" t="s">
        <v>1072</v>
      </c>
      <c r="B7079" t="s">
        <v>2907</v>
      </c>
      <c r="C7079" t="s">
        <v>927</v>
      </c>
      <c r="D7079" t="s">
        <v>3052</v>
      </c>
      <c r="E7079" t="s">
        <v>3053</v>
      </c>
      <c r="F7079" t="s">
        <v>696</v>
      </c>
      <c r="G7079" t="s">
        <v>697</v>
      </c>
      <c r="H7079" t="s">
        <v>15146</v>
      </c>
      <c r="I7079">
        <v>37</v>
      </c>
      <c r="J7079">
        <v>0</v>
      </c>
      <c r="K7079">
        <v>0</v>
      </c>
      <c r="L7079">
        <v>0</v>
      </c>
      <c r="M7079">
        <v>0</v>
      </c>
      <c r="N7079">
        <v>0</v>
      </c>
      <c r="O7079">
        <v>37</v>
      </c>
    </row>
    <row r="7080" spans="1:15" x14ac:dyDescent="0.25">
      <c r="A7080" t="s">
        <v>1684</v>
      </c>
      <c r="B7080" t="s">
        <v>2845</v>
      </c>
      <c r="C7080" t="s">
        <v>927</v>
      </c>
      <c r="D7080" t="s">
        <v>3052</v>
      </c>
      <c r="E7080" t="s">
        <v>3053</v>
      </c>
      <c r="F7080" t="s">
        <v>696</v>
      </c>
      <c r="G7080" t="s">
        <v>697</v>
      </c>
      <c r="H7080" t="s">
        <v>7783</v>
      </c>
      <c r="I7080">
        <v>13</v>
      </c>
      <c r="J7080">
        <v>10</v>
      </c>
      <c r="K7080">
        <v>0</v>
      </c>
      <c r="L7080">
        <v>0</v>
      </c>
      <c r="M7080">
        <v>0</v>
      </c>
      <c r="N7080">
        <v>0</v>
      </c>
      <c r="O7080">
        <v>3</v>
      </c>
    </row>
    <row r="7081" spans="1:15" x14ac:dyDescent="0.25">
      <c r="A7081" t="s">
        <v>1691</v>
      </c>
      <c r="B7081" t="s">
        <v>2980</v>
      </c>
      <c r="C7081" t="s">
        <v>927</v>
      </c>
      <c r="D7081" t="s">
        <v>3052</v>
      </c>
      <c r="E7081" t="s">
        <v>3053</v>
      </c>
      <c r="F7081" t="s">
        <v>696</v>
      </c>
      <c r="G7081" t="s">
        <v>697</v>
      </c>
      <c r="H7081" t="s">
        <v>7784</v>
      </c>
      <c r="I7081">
        <v>5769</v>
      </c>
      <c r="J7081">
        <v>5122</v>
      </c>
      <c r="K7081">
        <v>0</v>
      </c>
      <c r="L7081">
        <v>23</v>
      </c>
      <c r="M7081">
        <v>429</v>
      </c>
      <c r="N7081">
        <v>0</v>
      </c>
      <c r="O7081">
        <v>195</v>
      </c>
    </row>
    <row r="7082" spans="1:15" x14ac:dyDescent="0.25">
      <c r="A7082" t="s">
        <v>1016</v>
      </c>
      <c r="B7082" t="s">
        <v>2725</v>
      </c>
      <c r="C7082" t="s">
        <v>927</v>
      </c>
      <c r="D7082" t="s">
        <v>3052</v>
      </c>
      <c r="E7082" t="s">
        <v>3053</v>
      </c>
      <c r="F7082" t="s">
        <v>698</v>
      </c>
      <c r="G7082" t="s">
        <v>699</v>
      </c>
      <c r="H7082" t="s">
        <v>7803</v>
      </c>
      <c r="I7082">
        <v>162</v>
      </c>
      <c r="J7082">
        <v>64</v>
      </c>
      <c r="K7082">
        <v>0</v>
      </c>
      <c r="L7082">
        <v>1</v>
      </c>
      <c r="M7082">
        <v>97</v>
      </c>
      <c r="N7082">
        <v>0</v>
      </c>
      <c r="O7082">
        <v>0</v>
      </c>
    </row>
    <row r="7083" spans="1:15" x14ac:dyDescent="0.25">
      <c r="A7083" t="s">
        <v>972</v>
      </c>
      <c r="B7083" t="s">
        <v>2842</v>
      </c>
      <c r="C7083" t="s">
        <v>927</v>
      </c>
      <c r="D7083" t="s">
        <v>3052</v>
      </c>
      <c r="E7083" t="s">
        <v>3053</v>
      </c>
      <c r="F7083" t="s">
        <v>698</v>
      </c>
      <c r="G7083" t="s">
        <v>699</v>
      </c>
      <c r="H7083" t="s">
        <v>7785</v>
      </c>
      <c r="I7083">
        <v>1117</v>
      </c>
      <c r="J7083">
        <v>1117</v>
      </c>
      <c r="K7083">
        <v>0</v>
      </c>
      <c r="L7083">
        <v>0</v>
      </c>
      <c r="M7083">
        <v>0</v>
      </c>
      <c r="N7083">
        <v>0</v>
      </c>
      <c r="O7083">
        <v>0</v>
      </c>
    </row>
    <row r="7084" spans="1:15" x14ac:dyDescent="0.25">
      <c r="A7084" t="s">
        <v>973</v>
      </c>
      <c r="B7084" t="s">
        <v>1957</v>
      </c>
      <c r="C7084" t="s">
        <v>923</v>
      </c>
      <c r="D7084" t="s">
        <v>3063</v>
      </c>
      <c r="E7084" t="s">
        <v>3053</v>
      </c>
      <c r="F7084" t="s">
        <v>698</v>
      </c>
      <c r="G7084" t="s">
        <v>699</v>
      </c>
      <c r="H7084" t="s">
        <v>7786</v>
      </c>
      <c r="I7084">
        <v>12</v>
      </c>
      <c r="J7084">
        <v>2</v>
      </c>
      <c r="K7084">
        <v>0</v>
      </c>
      <c r="L7084">
        <v>10</v>
      </c>
      <c r="M7084">
        <v>0</v>
      </c>
      <c r="N7084">
        <v>0</v>
      </c>
      <c r="O7084">
        <v>0</v>
      </c>
    </row>
    <row r="7085" spans="1:15" x14ac:dyDescent="0.25">
      <c r="A7085" t="s">
        <v>926</v>
      </c>
      <c r="B7085" t="s">
        <v>2923</v>
      </c>
      <c r="C7085" t="s">
        <v>927</v>
      </c>
      <c r="D7085" t="s">
        <v>3052</v>
      </c>
      <c r="E7085" t="s">
        <v>3053</v>
      </c>
      <c r="F7085" t="s">
        <v>698</v>
      </c>
      <c r="G7085" t="s">
        <v>699</v>
      </c>
      <c r="H7085" t="s">
        <v>7787</v>
      </c>
      <c r="I7085">
        <v>1</v>
      </c>
      <c r="J7085">
        <v>0</v>
      </c>
      <c r="K7085">
        <v>0</v>
      </c>
      <c r="L7085">
        <v>0</v>
      </c>
      <c r="M7085">
        <v>0</v>
      </c>
      <c r="N7085">
        <v>0</v>
      </c>
      <c r="O7085">
        <v>1</v>
      </c>
    </row>
    <row r="7086" spans="1:15" x14ac:dyDescent="0.25">
      <c r="A7086" t="s">
        <v>975</v>
      </c>
      <c r="B7086" t="s">
        <v>2010</v>
      </c>
      <c r="C7086" t="s">
        <v>923</v>
      </c>
      <c r="D7086" t="s">
        <v>3063</v>
      </c>
      <c r="E7086" t="s">
        <v>3053</v>
      </c>
      <c r="F7086" t="s">
        <v>698</v>
      </c>
      <c r="G7086" t="s">
        <v>699</v>
      </c>
      <c r="H7086" t="s">
        <v>7788</v>
      </c>
      <c r="I7086">
        <v>61</v>
      </c>
      <c r="J7086">
        <v>61</v>
      </c>
      <c r="K7086">
        <v>0</v>
      </c>
      <c r="L7086">
        <v>0</v>
      </c>
      <c r="M7086">
        <v>0</v>
      </c>
      <c r="N7086">
        <v>0</v>
      </c>
      <c r="O7086">
        <v>0</v>
      </c>
    </row>
    <row r="7087" spans="1:15" x14ac:dyDescent="0.25">
      <c r="A7087" t="s">
        <v>1452</v>
      </c>
      <c r="B7087" t="s">
        <v>2721</v>
      </c>
      <c r="C7087" t="s">
        <v>923</v>
      </c>
      <c r="D7087" t="s">
        <v>3063</v>
      </c>
      <c r="E7087" t="s">
        <v>3053</v>
      </c>
      <c r="F7087" t="s">
        <v>698</v>
      </c>
      <c r="G7087" t="s">
        <v>699</v>
      </c>
      <c r="H7087" t="s">
        <v>7789</v>
      </c>
      <c r="I7087">
        <v>46</v>
      </c>
      <c r="J7087">
        <v>0</v>
      </c>
      <c r="K7087">
        <v>0</v>
      </c>
      <c r="L7087">
        <v>0</v>
      </c>
      <c r="M7087">
        <v>46</v>
      </c>
      <c r="N7087">
        <v>0</v>
      </c>
      <c r="O7087">
        <v>0</v>
      </c>
    </row>
    <row r="7088" spans="1:15" x14ac:dyDescent="0.25">
      <c r="A7088" t="s">
        <v>929</v>
      </c>
      <c r="B7088" t="s">
        <v>2999</v>
      </c>
      <c r="C7088" t="s">
        <v>927</v>
      </c>
      <c r="D7088" t="s">
        <v>3052</v>
      </c>
      <c r="E7088" t="s">
        <v>3053</v>
      </c>
      <c r="F7088" t="s">
        <v>698</v>
      </c>
      <c r="G7088" t="s">
        <v>699</v>
      </c>
      <c r="H7088" t="s">
        <v>7790</v>
      </c>
      <c r="I7088">
        <v>63</v>
      </c>
      <c r="J7088">
        <v>0</v>
      </c>
      <c r="K7088">
        <v>0</v>
      </c>
      <c r="L7088">
        <v>0</v>
      </c>
      <c r="M7088">
        <v>63</v>
      </c>
      <c r="N7088">
        <v>0</v>
      </c>
      <c r="O7088">
        <v>0</v>
      </c>
    </row>
    <row r="7089" spans="1:15" x14ac:dyDescent="0.25">
      <c r="A7089" t="s">
        <v>976</v>
      </c>
      <c r="B7089" t="s">
        <v>2936</v>
      </c>
      <c r="C7089" t="s">
        <v>927</v>
      </c>
      <c r="D7089" t="s">
        <v>3052</v>
      </c>
      <c r="E7089" t="s">
        <v>3053</v>
      </c>
      <c r="F7089" t="s">
        <v>698</v>
      </c>
      <c r="G7089" t="s">
        <v>699</v>
      </c>
      <c r="H7089" t="s">
        <v>7791</v>
      </c>
      <c r="I7089">
        <v>946</v>
      </c>
      <c r="J7089">
        <v>878</v>
      </c>
      <c r="K7089">
        <v>0</v>
      </c>
      <c r="L7089">
        <v>44</v>
      </c>
      <c r="M7089">
        <v>0</v>
      </c>
      <c r="N7089">
        <v>0</v>
      </c>
      <c r="O7089">
        <v>24</v>
      </c>
    </row>
    <row r="7090" spans="1:15" x14ac:dyDescent="0.25">
      <c r="A7090" t="s">
        <v>9784</v>
      </c>
      <c r="B7090" t="s">
        <v>1994</v>
      </c>
      <c r="C7090" t="s">
        <v>927</v>
      </c>
      <c r="D7090" t="s">
        <v>3052</v>
      </c>
      <c r="E7090" t="s">
        <v>3053</v>
      </c>
      <c r="F7090" t="s">
        <v>698</v>
      </c>
      <c r="G7090" t="s">
        <v>699</v>
      </c>
      <c r="H7090" t="s">
        <v>9978</v>
      </c>
      <c r="I7090">
        <v>14</v>
      </c>
      <c r="J7090">
        <v>0</v>
      </c>
      <c r="K7090">
        <v>0</v>
      </c>
      <c r="L7090">
        <v>14</v>
      </c>
      <c r="M7090">
        <v>0</v>
      </c>
      <c r="N7090">
        <v>14</v>
      </c>
      <c r="O7090">
        <v>0</v>
      </c>
    </row>
    <row r="7091" spans="1:15" x14ac:dyDescent="0.25">
      <c r="A7091" t="s">
        <v>933</v>
      </c>
      <c r="B7091" t="s">
        <v>2106</v>
      </c>
      <c r="C7091" t="s">
        <v>927</v>
      </c>
      <c r="D7091" t="s">
        <v>3052</v>
      </c>
      <c r="E7091" t="s">
        <v>3053</v>
      </c>
      <c r="F7091" t="s">
        <v>698</v>
      </c>
      <c r="G7091" t="s">
        <v>699</v>
      </c>
      <c r="H7091" t="s">
        <v>7793</v>
      </c>
      <c r="I7091">
        <v>333</v>
      </c>
      <c r="J7091">
        <v>314</v>
      </c>
      <c r="K7091">
        <v>0</v>
      </c>
      <c r="L7091">
        <v>0</v>
      </c>
      <c r="M7091">
        <v>19</v>
      </c>
      <c r="N7091">
        <v>2</v>
      </c>
      <c r="O7091">
        <v>0</v>
      </c>
    </row>
    <row r="7092" spans="1:15" x14ac:dyDescent="0.25">
      <c r="A7092" t="s">
        <v>996</v>
      </c>
      <c r="B7092" t="s">
        <v>1952</v>
      </c>
      <c r="C7092" t="s">
        <v>923</v>
      </c>
      <c r="D7092" t="s">
        <v>3063</v>
      </c>
      <c r="E7092" t="s">
        <v>3053</v>
      </c>
      <c r="F7092" t="s">
        <v>698</v>
      </c>
      <c r="G7092" t="s">
        <v>699</v>
      </c>
      <c r="H7092" t="s">
        <v>7794</v>
      </c>
      <c r="I7092">
        <v>66</v>
      </c>
      <c r="J7092">
        <v>0</v>
      </c>
      <c r="K7092">
        <v>0</v>
      </c>
      <c r="L7092">
        <v>66</v>
      </c>
      <c r="M7092">
        <v>0</v>
      </c>
      <c r="N7092">
        <v>0</v>
      </c>
      <c r="O7092">
        <v>0</v>
      </c>
    </row>
    <row r="7093" spans="1:15" x14ac:dyDescent="0.25">
      <c r="A7093" t="s">
        <v>997</v>
      </c>
      <c r="B7093" t="s">
        <v>2033</v>
      </c>
      <c r="C7093" t="s">
        <v>927</v>
      </c>
      <c r="D7093" t="s">
        <v>3052</v>
      </c>
      <c r="E7093" t="s">
        <v>3053</v>
      </c>
      <c r="F7093" t="s">
        <v>698</v>
      </c>
      <c r="G7093" t="s">
        <v>699</v>
      </c>
      <c r="H7093" t="s">
        <v>7795</v>
      </c>
      <c r="I7093">
        <v>1</v>
      </c>
      <c r="J7093">
        <v>0</v>
      </c>
      <c r="K7093">
        <v>0</v>
      </c>
      <c r="L7093">
        <v>0</v>
      </c>
      <c r="M7093">
        <v>0</v>
      </c>
      <c r="N7093">
        <v>0</v>
      </c>
      <c r="O7093">
        <v>1</v>
      </c>
    </row>
    <row r="7094" spans="1:15" x14ac:dyDescent="0.25">
      <c r="A7094" t="s">
        <v>11660</v>
      </c>
      <c r="B7094" t="s">
        <v>2041</v>
      </c>
      <c r="C7094" t="s">
        <v>923</v>
      </c>
      <c r="D7094" t="s">
        <v>3063</v>
      </c>
      <c r="E7094" t="s">
        <v>3053</v>
      </c>
      <c r="F7094" t="s">
        <v>698</v>
      </c>
      <c r="G7094" t="s">
        <v>699</v>
      </c>
      <c r="H7094" t="s">
        <v>15147</v>
      </c>
      <c r="I7094">
        <v>4</v>
      </c>
      <c r="J7094">
        <v>0</v>
      </c>
      <c r="K7094">
        <v>0</v>
      </c>
      <c r="L7094">
        <v>4</v>
      </c>
      <c r="M7094">
        <v>0</v>
      </c>
      <c r="N7094">
        <v>0</v>
      </c>
      <c r="O7094">
        <v>0</v>
      </c>
    </row>
    <row r="7095" spans="1:15" x14ac:dyDescent="0.25">
      <c r="A7095" t="s">
        <v>1416</v>
      </c>
      <c r="B7095" t="s">
        <v>2029</v>
      </c>
      <c r="C7095" t="s">
        <v>923</v>
      </c>
      <c r="D7095" t="s">
        <v>3063</v>
      </c>
      <c r="E7095" t="s">
        <v>3053</v>
      </c>
      <c r="F7095" t="s">
        <v>698</v>
      </c>
      <c r="G7095" t="s">
        <v>699</v>
      </c>
      <c r="H7095" t="s">
        <v>12331</v>
      </c>
      <c r="I7095">
        <v>32</v>
      </c>
      <c r="J7095">
        <v>0</v>
      </c>
      <c r="K7095">
        <v>0</v>
      </c>
      <c r="L7095">
        <v>32</v>
      </c>
      <c r="M7095">
        <v>0</v>
      </c>
      <c r="N7095">
        <v>0</v>
      </c>
      <c r="O7095">
        <v>0</v>
      </c>
    </row>
    <row r="7096" spans="1:15" x14ac:dyDescent="0.25">
      <c r="A7096" t="s">
        <v>10638</v>
      </c>
      <c r="B7096" t="s">
        <v>2057</v>
      </c>
      <c r="C7096" t="s">
        <v>927</v>
      </c>
      <c r="D7096" t="s">
        <v>3052</v>
      </c>
      <c r="E7096" t="s">
        <v>3053</v>
      </c>
      <c r="F7096" t="s">
        <v>698</v>
      </c>
      <c r="G7096" t="s">
        <v>699</v>
      </c>
      <c r="H7096" t="s">
        <v>11301</v>
      </c>
      <c r="I7096">
        <v>49</v>
      </c>
      <c r="J7096">
        <v>0</v>
      </c>
      <c r="K7096">
        <v>0</v>
      </c>
      <c r="L7096">
        <v>49</v>
      </c>
      <c r="M7096">
        <v>0</v>
      </c>
      <c r="N7096">
        <v>0</v>
      </c>
      <c r="O7096">
        <v>0</v>
      </c>
    </row>
    <row r="7097" spans="1:15" x14ac:dyDescent="0.25">
      <c r="A7097" t="s">
        <v>1006</v>
      </c>
      <c r="B7097" t="s">
        <v>2724</v>
      </c>
      <c r="C7097" t="s">
        <v>927</v>
      </c>
      <c r="D7097" t="s">
        <v>3052</v>
      </c>
      <c r="E7097" t="s">
        <v>3053</v>
      </c>
      <c r="F7097" t="s">
        <v>698</v>
      </c>
      <c r="G7097" t="s">
        <v>699</v>
      </c>
      <c r="H7097" t="s">
        <v>7796</v>
      </c>
      <c r="I7097">
        <v>2140</v>
      </c>
      <c r="J7097">
        <v>2045</v>
      </c>
      <c r="K7097">
        <v>0</v>
      </c>
      <c r="L7097">
        <v>14</v>
      </c>
      <c r="M7097">
        <v>0</v>
      </c>
      <c r="N7097">
        <v>2</v>
      </c>
      <c r="O7097">
        <v>81</v>
      </c>
    </row>
    <row r="7098" spans="1:15" x14ac:dyDescent="0.25">
      <c r="A7098" t="s">
        <v>1009</v>
      </c>
      <c r="B7098" t="s">
        <v>1958</v>
      </c>
      <c r="C7098" t="s">
        <v>923</v>
      </c>
      <c r="D7098" t="s">
        <v>3063</v>
      </c>
      <c r="E7098" t="s">
        <v>3053</v>
      </c>
      <c r="F7098" t="s">
        <v>698</v>
      </c>
      <c r="G7098" t="s">
        <v>699</v>
      </c>
      <c r="H7098" t="s">
        <v>7797</v>
      </c>
      <c r="I7098">
        <v>11</v>
      </c>
      <c r="J7098">
        <v>0</v>
      </c>
      <c r="K7098">
        <v>0</v>
      </c>
      <c r="L7098">
        <v>11</v>
      </c>
      <c r="M7098">
        <v>0</v>
      </c>
      <c r="N7098">
        <v>0</v>
      </c>
      <c r="O7098">
        <v>0</v>
      </c>
    </row>
    <row r="7099" spans="1:15" x14ac:dyDescent="0.25">
      <c r="A7099" t="s">
        <v>938</v>
      </c>
      <c r="B7099" t="s">
        <v>2791</v>
      </c>
      <c r="C7099" t="s">
        <v>927</v>
      </c>
      <c r="D7099" t="s">
        <v>3052</v>
      </c>
      <c r="E7099" t="s">
        <v>3053</v>
      </c>
      <c r="F7099" t="s">
        <v>698</v>
      </c>
      <c r="G7099" t="s">
        <v>699</v>
      </c>
      <c r="H7099" t="s">
        <v>7798</v>
      </c>
      <c r="I7099">
        <v>322</v>
      </c>
      <c r="J7099">
        <v>245</v>
      </c>
      <c r="K7099">
        <v>0</v>
      </c>
      <c r="L7099">
        <v>6</v>
      </c>
      <c r="M7099">
        <v>0</v>
      </c>
      <c r="N7099">
        <v>0</v>
      </c>
      <c r="O7099">
        <v>71</v>
      </c>
    </row>
    <row r="7100" spans="1:15" x14ac:dyDescent="0.25">
      <c r="A7100" t="s">
        <v>940</v>
      </c>
      <c r="B7100" t="s">
        <v>2647</v>
      </c>
      <c r="C7100" t="s">
        <v>927</v>
      </c>
      <c r="D7100" t="s">
        <v>3052</v>
      </c>
      <c r="E7100" t="s">
        <v>3053</v>
      </c>
      <c r="F7100" t="s">
        <v>698</v>
      </c>
      <c r="G7100" t="s">
        <v>699</v>
      </c>
      <c r="H7100" t="s">
        <v>7799</v>
      </c>
      <c r="I7100">
        <v>40</v>
      </c>
      <c r="J7100">
        <v>0</v>
      </c>
      <c r="K7100">
        <v>0</v>
      </c>
      <c r="L7100">
        <v>0</v>
      </c>
      <c r="M7100">
        <v>40</v>
      </c>
      <c r="N7100">
        <v>0</v>
      </c>
      <c r="O7100">
        <v>0</v>
      </c>
    </row>
    <row r="7101" spans="1:15" x14ac:dyDescent="0.25">
      <c r="A7101" t="s">
        <v>1423</v>
      </c>
      <c r="B7101" t="s">
        <v>2071</v>
      </c>
      <c r="C7101" t="s">
        <v>923</v>
      </c>
      <c r="D7101" t="s">
        <v>3063</v>
      </c>
      <c r="E7101" t="s">
        <v>3053</v>
      </c>
      <c r="F7101" t="s">
        <v>698</v>
      </c>
      <c r="G7101" t="s">
        <v>699</v>
      </c>
      <c r="H7101" t="s">
        <v>7800</v>
      </c>
      <c r="I7101">
        <v>3</v>
      </c>
      <c r="J7101">
        <v>0</v>
      </c>
      <c r="K7101">
        <v>0</v>
      </c>
      <c r="L7101">
        <v>3</v>
      </c>
      <c r="M7101">
        <v>0</v>
      </c>
      <c r="N7101">
        <v>0</v>
      </c>
      <c r="O7101">
        <v>0</v>
      </c>
    </row>
    <row r="7102" spans="1:15" x14ac:dyDescent="0.25">
      <c r="A7102" t="s">
        <v>1013</v>
      </c>
      <c r="B7102" t="s">
        <v>1959</v>
      </c>
      <c r="C7102" t="s">
        <v>927</v>
      </c>
      <c r="D7102" t="s">
        <v>3052</v>
      </c>
      <c r="E7102" t="s">
        <v>3053</v>
      </c>
      <c r="F7102" t="s">
        <v>698</v>
      </c>
      <c r="G7102" t="s">
        <v>699</v>
      </c>
      <c r="H7102" t="s">
        <v>7801</v>
      </c>
      <c r="I7102">
        <v>3</v>
      </c>
      <c r="J7102">
        <v>0</v>
      </c>
      <c r="K7102">
        <v>0</v>
      </c>
      <c r="L7102">
        <v>3</v>
      </c>
      <c r="M7102">
        <v>0</v>
      </c>
      <c r="N7102">
        <v>0</v>
      </c>
      <c r="O7102">
        <v>0</v>
      </c>
    </row>
    <row r="7103" spans="1:15" x14ac:dyDescent="0.25">
      <c r="A7103" t="s">
        <v>1897</v>
      </c>
      <c r="B7103" t="s">
        <v>2883</v>
      </c>
      <c r="C7103" t="s">
        <v>927</v>
      </c>
      <c r="D7103" t="s">
        <v>3052</v>
      </c>
      <c r="E7103" t="s">
        <v>3053</v>
      </c>
      <c r="F7103" t="s">
        <v>698</v>
      </c>
      <c r="G7103" t="s">
        <v>699</v>
      </c>
      <c r="H7103" t="s">
        <v>7802</v>
      </c>
      <c r="I7103">
        <v>114</v>
      </c>
      <c r="J7103">
        <v>105</v>
      </c>
      <c r="K7103">
        <v>0</v>
      </c>
      <c r="L7103">
        <v>9</v>
      </c>
      <c r="M7103">
        <v>0</v>
      </c>
      <c r="N7103">
        <v>0</v>
      </c>
      <c r="O7103">
        <v>0</v>
      </c>
    </row>
    <row r="7104" spans="1:15" x14ac:dyDescent="0.25">
      <c r="A7104" t="s">
        <v>1020</v>
      </c>
      <c r="B7104" t="s">
        <v>2104</v>
      </c>
      <c r="C7104" t="s">
        <v>923</v>
      </c>
      <c r="D7104" t="s">
        <v>3063</v>
      </c>
      <c r="E7104" t="s">
        <v>3053</v>
      </c>
      <c r="F7104" t="s">
        <v>698</v>
      </c>
      <c r="G7104" t="s">
        <v>699</v>
      </c>
      <c r="H7104" t="s">
        <v>7804</v>
      </c>
      <c r="I7104">
        <v>13</v>
      </c>
      <c r="J7104">
        <v>0</v>
      </c>
      <c r="K7104">
        <v>0</v>
      </c>
      <c r="L7104">
        <v>13</v>
      </c>
      <c r="M7104">
        <v>0</v>
      </c>
      <c r="N7104">
        <v>0</v>
      </c>
      <c r="O7104">
        <v>0</v>
      </c>
    </row>
    <row r="7105" spans="1:15" x14ac:dyDescent="0.25">
      <c r="A7105" t="s">
        <v>10681</v>
      </c>
      <c r="B7105" t="s">
        <v>10680</v>
      </c>
      <c r="C7105" t="s">
        <v>927</v>
      </c>
      <c r="D7105" t="s">
        <v>3052</v>
      </c>
      <c r="E7105" t="s">
        <v>3053</v>
      </c>
      <c r="F7105" t="s">
        <v>698</v>
      </c>
      <c r="G7105" t="s">
        <v>699</v>
      </c>
      <c r="H7105" t="s">
        <v>15148</v>
      </c>
      <c r="I7105">
        <v>24</v>
      </c>
      <c r="J7105">
        <v>0</v>
      </c>
      <c r="K7105">
        <v>0</v>
      </c>
      <c r="L7105">
        <v>0</v>
      </c>
      <c r="M7105">
        <v>0</v>
      </c>
      <c r="N7105">
        <v>0</v>
      </c>
      <c r="O7105">
        <v>24</v>
      </c>
    </row>
    <row r="7106" spans="1:15" x14ac:dyDescent="0.25">
      <c r="A7106" t="s">
        <v>943</v>
      </c>
      <c r="B7106" t="s">
        <v>2694</v>
      </c>
      <c r="C7106" t="s">
        <v>927</v>
      </c>
      <c r="D7106" t="s">
        <v>3052</v>
      </c>
      <c r="E7106" t="s">
        <v>3053</v>
      </c>
      <c r="F7106" t="s">
        <v>698</v>
      </c>
      <c r="G7106" t="s">
        <v>699</v>
      </c>
      <c r="H7106" t="s">
        <v>7805</v>
      </c>
      <c r="I7106">
        <v>11</v>
      </c>
      <c r="J7106">
        <v>0</v>
      </c>
      <c r="K7106">
        <v>0</v>
      </c>
      <c r="L7106">
        <v>11</v>
      </c>
      <c r="M7106">
        <v>0</v>
      </c>
      <c r="N7106">
        <v>0</v>
      </c>
      <c r="O7106">
        <v>0</v>
      </c>
    </row>
    <row r="7107" spans="1:15" x14ac:dyDescent="0.25">
      <c r="A7107" t="s">
        <v>1046</v>
      </c>
      <c r="B7107" t="s">
        <v>2027</v>
      </c>
      <c r="C7107" t="s">
        <v>923</v>
      </c>
      <c r="D7107" t="s">
        <v>3063</v>
      </c>
      <c r="E7107" t="s">
        <v>3053</v>
      </c>
      <c r="F7107" t="s">
        <v>698</v>
      </c>
      <c r="G7107" t="s">
        <v>699</v>
      </c>
      <c r="H7107" t="s">
        <v>7806</v>
      </c>
      <c r="I7107">
        <v>4</v>
      </c>
      <c r="J7107">
        <v>0</v>
      </c>
      <c r="K7107">
        <v>0</v>
      </c>
      <c r="L7107">
        <v>4</v>
      </c>
      <c r="M7107">
        <v>0</v>
      </c>
      <c r="N7107">
        <v>0</v>
      </c>
      <c r="O7107">
        <v>0</v>
      </c>
    </row>
    <row r="7108" spans="1:15" x14ac:dyDescent="0.25">
      <c r="A7108" t="s">
        <v>1047</v>
      </c>
      <c r="B7108" t="s">
        <v>2815</v>
      </c>
      <c r="C7108" t="s">
        <v>923</v>
      </c>
      <c r="D7108" t="s">
        <v>3063</v>
      </c>
      <c r="E7108" t="s">
        <v>3053</v>
      </c>
      <c r="F7108" t="s">
        <v>698</v>
      </c>
      <c r="G7108" t="s">
        <v>699</v>
      </c>
      <c r="H7108" t="s">
        <v>7807</v>
      </c>
      <c r="I7108">
        <v>8</v>
      </c>
      <c r="J7108">
        <v>8</v>
      </c>
      <c r="K7108">
        <v>0</v>
      </c>
      <c r="L7108">
        <v>0</v>
      </c>
      <c r="M7108">
        <v>0</v>
      </c>
      <c r="N7108">
        <v>0</v>
      </c>
      <c r="O7108">
        <v>0</v>
      </c>
    </row>
    <row r="7109" spans="1:15" x14ac:dyDescent="0.25">
      <c r="A7109" t="s">
        <v>951</v>
      </c>
      <c r="B7109" t="s">
        <v>2680</v>
      </c>
      <c r="C7109" t="s">
        <v>927</v>
      </c>
      <c r="D7109" t="s">
        <v>3052</v>
      </c>
      <c r="E7109" t="s">
        <v>3053</v>
      </c>
      <c r="F7109" t="s">
        <v>698</v>
      </c>
      <c r="G7109" t="s">
        <v>699</v>
      </c>
      <c r="H7109" t="s">
        <v>7808</v>
      </c>
      <c r="I7109">
        <v>2564</v>
      </c>
      <c r="J7109">
        <v>2303</v>
      </c>
      <c r="K7109">
        <v>0</v>
      </c>
      <c r="L7109">
        <v>24</v>
      </c>
      <c r="M7109">
        <v>177</v>
      </c>
      <c r="N7109">
        <v>0</v>
      </c>
      <c r="O7109">
        <v>60</v>
      </c>
    </row>
    <row r="7110" spans="1:15" x14ac:dyDescent="0.25">
      <c r="A7110" t="s">
        <v>1048</v>
      </c>
      <c r="B7110" t="s">
        <v>2989</v>
      </c>
      <c r="C7110" t="s">
        <v>927</v>
      </c>
      <c r="D7110" t="s">
        <v>3052</v>
      </c>
      <c r="E7110" t="s">
        <v>3053</v>
      </c>
      <c r="F7110" t="s">
        <v>698</v>
      </c>
      <c r="G7110" t="s">
        <v>699</v>
      </c>
      <c r="H7110" t="s">
        <v>7809</v>
      </c>
      <c r="I7110">
        <v>80</v>
      </c>
      <c r="J7110">
        <v>10</v>
      </c>
      <c r="K7110">
        <v>1</v>
      </c>
      <c r="L7110">
        <v>46</v>
      </c>
      <c r="M7110">
        <v>0</v>
      </c>
      <c r="N7110">
        <v>0</v>
      </c>
      <c r="O7110">
        <v>23</v>
      </c>
    </row>
    <row r="7111" spans="1:15" x14ac:dyDescent="0.25">
      <c r="A7111" t="s">
        <v>1051</v>
      </c>
      <c r="B7111" t="s">
        <v>2995</v>
      </c>
      <c r="C7111" t="s">
        <v>927</v>
      </c>
      <c r="D7111" t="s">
        <v>3052</v>
      </c>
      <c r="E7111" t="s">
        <v>3053</v>
      </c>
      <c r="F7111" t="s">
        <v>698</v>
      </c>
      <c r="G7111" t="s">
        <v>699</v>
      </c>
      <c r="H7111" t="s">
        <v>7810</v>
      </c>
      <c r="I7111">
        <v>37</v>
      </c>
      <c r="J7111">
        <v>0</v>
      </c>
      <c r="K7111">
        <v>0</v>
      </c>
      <c r="L7111">
        <v>34</v>
      </c>
      <c r="M7111">
        <v>0</v>
      </c>
      <c r="N7111">
        <v>0</v>
      </c>
      <c r="O7111">
        <v>3</v>
      </c>
    </row>
    <row r="7112" spans="1:15" x14ac:dyDescent="0.25">
      <c r="A7112" t="s">
        <v>1056</v>
      </c>
      <c r="B7112" t="s">
        <v>2966</v>
      </c>
      <c r="C7112" t="s">
        <v>927</v>
      </c>
      <c r="D7112" t="s">
        <v>3052</v>
      </c>
      <c r="E7112" t="s">
        <v>3053</v>
      </c>
      <c r="F7112" t="s">
        <v>698</v>
      </c>
      <c r="G7112" t="s">
        <v>699</v>
      </c>
      <c r="H7112" t="s">
        <v>7811</v>
      </c>
      <c r="I7112">
        <v>57</v>
      </c>
      <c r="J7112">
        <v>0</v>
      </c>
      <c r="K7112">
        <v>0</v>
      </c>
      <c r="L7112">
        <v>57</v>
      </c>
      <c r="M7112">
        <v>0</v>
      </c>
      <c r="N7112">
        <v>0</v>
      </c>
      <c r="O7112">
        <v>0</v>
      </c>
    </row>
    <row r="7113" spans="1:15" x14ac:dyDescent="0.25">
      <c r="A7113" t="s">
        <v>1057</v>
      </c>
      <c r="B7113" t="s">
        <v>1972</v>
      </c>
      <c r="C7113" t="s">
        <v>927</v>
      </c>
      <c r="D7113" t="s">
        <v>3052</v>
      </c>
      <c r="E7113" t="s">
        <v>3053</v>
      </c>
      <c r="F7113" t="s">
        <v>698</v>
      </c>
      <c r="G7113" t="s">
        <v>699</v>
      </c>
      <c r="H7113" t="s">
        <v>7812</v>
      </c>
      <c r="I7113">
        <v>300</v>
      </c>
      <c r="J7113">
        <v>280</v>
      </c>
      <c r="K7113">
        <v>0</v>
      </c>
      <c r="L7113">
        <v>20</v>
      </c>
      <c r="M7113">
        <v>0</v>
      </c>
      <c r="N7113">
        <v>1</v>
      </c>
      <c r="O7113">
        <v>0</v>
      </c>
    </row>
    <row r="7114" spans="1:15" x14ac:dyDescent="0.25">
      <c r="A7114" t="s">
        <v>955</v>
      </c>
      <c r="B7114" t="s">
        <v>2660</v>
      </c>
      <c r="C7114" t="s">
        <v>927</v>
      </c>
      <c r="D7114" t="s">
        <v>3052</v>
      </c>
      <c r="E7114" t="s">
        <v>3053</v>
      </c>
      <c r="F7114" t="s">
        <v>698</v>
      </c>
      <c r="G7114" t="s">
        <v>699</v>
      </c>
      <c r="H7114" t="s">
        <v>7813</v>
      </c>
      <c r="I7114">
        <v>2545</v>
      </c>
      <c r="J7114">
        <v>2445</v>
      </c>
      <c r="K7114">
        <v>0</v>
      </c>
      <c r="L7114">
        <v>17</v>
      </c>
      <c r="M7114">
        <v>71</v>
      </c>
      <c r="N7114">
        <v>2</v>
      </c>
      <c r="O7114">
        <v>12</v>
      </c>
    </row>
    <row r="7115" spans="1:15" x14ac:dyDescent="0.25">
      <c r="A7115" t="s">
        <v>1060</v>
      </c>
      <c r="B7115" t="s">
        <v>2651</v>
      </c>
      <c r="C7115" t="s">
        <v>927</v>
      </c>
      <c r="D7115" t="s">
        <v>3052</v>
      </c>
      <c r="E7115" t="s">
        <v>3053</v>
      </c>
      <c r="F7115" t="s">
        <v>698</v>
      </c>
      <c r="G7115" t="s">
        <v>699</v>
      </c>
      <c r="H7115" t="s">
        <v>7814</v>
      </c>
      <c r="I7115">
        <v>2008</v>
      </c>
      <c r="J7115">
        <v>1342</v>
      </c>
      <c r="K7115">
        <v>0</v>
      </c>
      <c r="L7115">
        <v>513</v>
      </c>
      <c r="M7115">
        <v>89</v>
      </c>
      <c r="N7115">
        <v>2</v>
      </c>
      <c r="O7115">
        <v>64</v>
      </c>
    </row>
    <row r="7116" spans="1:15" x14ac:dyDescent="0.25">
      <c r="A7116" t="s">
        <v>11663</v>
      </c>
      <c r="B7116" t="s">
        <v>11768</v>
      </c>
      <c r="C7116" t="s">
        <v>927</v>
      </c>
      <c r="D7116" t="s">
        <v>3052</v>
      </c>
      <c r="E7116" t="s">
        <v>3053</v>
      </c>
      <c r="F7116" t="s">
        <v>698</v>
      </c>
      <c r="G7116" t="s">
        <v>699</v>
      </c>
      <c r="H7116" t="s">
        <v>12332</v>
      </c>
      <c r="I7116">
        <v>1</v>
      </c>
      <c r="J7116">
        <v>0</v>
      </c>
      <c r="K7116">
        <v>0</v>
      </c>
      <c r="L7116">
        <v>0</v>
      </c>
      <c r="M7116">
        <v>0</v>
      </c>
      <c r="N7116">
        <v>0</v>
      </c>
      <c r="O7116">
        <v>1</v>
      </c>
    </row>
    <row r="7117" spans="1:15" x14ac:dyDescent="0.25">
      <c r="A7117" t="s">
        <v>9849</v>
      </c>
      <c r="B7117" t="s">
        <v>2595</v>
      </c>
      <c r="C7117" t="s">
        <v>923</v>
      </c>
      <c r="D7117" t="s">
        <v>3063</v>
      </c>
      <c r="E7117" t="s">
        <v>3053</v>
      </c>
      <c r="F7117" t="s">
        <v>698</v>
      </c>
      <c r="G7117" t="s">
        <v>699</v>
      </c>
      <c r="H7117" t="s">
        <v>10422</v>
      </c>
      <c r="I7117">
        <v>66</v>
      </c>
      <c r="J7117">
        <v>0</v>
      </c>
      <c r="K7117">
        <v>0</v>
      </c>
      <c r="L7117">
        <v>66</v>
      </c>
      <c r="M7117">
        <v>0</v>
      </c>
      <c r="N7117">
        <v>0</v>
      </c>
      <c r="O7117">
        <v>0</v>
      </c>
    </row>
    <row r="7118" spans="1:15" x14ac:dyDescent="0.25">
      <c r="A7118" t="s">
        <v>1911</v>
      </c>
      <c r="B7118" t="s">
        <v>1968</v>
      </c>
      <c r="C7118" t="s">
        <v>923</v>
      </c>
      <c r="D7118" t="s">
        <v>3063</v>
      </c>
      <c r="E7118" t="s">
        <v>3053</v>
      </c>
      <c r="F7118" t="s">
        <v>698</v>
      </c>
      <c r="G7118" t="s">
        <v>699</v>
      </c>
      <c r="H7118" t="s">
        <v>7815</v>
      </c>
      <c r="I7118">
        <v>51</v>
      </c>
      <c r="J7118">
        <v>0</v>
      </c>
      <c r="K7118">
        <v>0</v>
      </c>
      <c r="L7118">
        <v>51</v>
      </c>
      <c r="M7118">
        <v>0</v>
      </c>
      <c r="N7118">
        <v>0</v>
      </c>
      <c r="O7118">
        <v>0</v>
      </c>
    </row>
    <row r="7119" spans="1:15" x14ac:dyDescent="0.25">
      <c r="A7119" t="s">
        <v>1069</v>
      </c>
      <c r="B7119" t="s">
        <v>2001</v>
      </c>
      <c r="C7119" t="s">
        <v>927</v>
      </c>
      <c r="D7119" t="s">
        <v>3052</v>
      </c>
      <c r="E7119" t="s">
        <v>3053</v>
      </c>
      <c r="F7119" t="s">
        <v>698</v>
      </c>
      <c r="G7119" t="s">
        <v>699</v>
      </c>
      <c r="H7119" t="s">
        <v>7816</v>
      </c>
      <c r="I7119">
        <v>2359</v>
      </c>
      <c r="J7119">
        <v>1795</v>
      </c>
      <c r="K7119">
        <v>1</v>
      </c>
      <c r="L7119">
        <v>136</v>
      </c>
      <c r="M7119">
        <v>297</v>
      </c>
      <c r="N7119">
        <v>3</v>
      </c>
      <c r="O7119">
        <v>130</v>
      </c>
    </row>
    <row r="7120" spans="1:15" x14ac:dyDescent="0.25">
      <c r="A7120" t="s">
        <v>1075</v>
      </c>
      <c r="B7120" t="s">
        <v>2830</v>
      </c>
      <c r="C7120" t="s">
        <v>927</v>
      </c>
      <c r="D7120" t="s">
        <v>3052</v>
      </c>
      <c r="E7120" t="s">
        <v>3053</v>
      </c>
      <c r="F7120" t="s">
        <v>698</v>
      </c>
      <c r="G7120" t="s">
        <v>699</v>
      </c>
      <c r="H7120" t="s">
        <v>7817</v>
      </c>
      <c r="I7120">
        <v>1955</v>
      </c>
      <c r="J7120">
        <v>1940</v>
      </c>
      <c r="K7120">
        <v>0</v>
      </c>
      <c r="L7120">
        <v>8</v>
      </c>
      <c r="M7120">
        <v>0</v>
      </c>
      <c r="N7120">
        <v>0</v>
      </c>
      <c r="O7120">
        <v>7</v>
      </c>
    </row>
    <row r="7121" spans="1:15" x14ac:dyDescent="0.25">
      <c r="A7121" t="s">
        <v>1078</v>
      </c>
      <c r="B7121" t="s">
        <v>1950</v>
      </c>
      <c r="C7121" t="s">
        <v>923</v>
      </c>
      <c r="D7121" t="s">
        <v>3063</v>
      </c>
      <c r="E7121" t="s">
        <v>3053</v>
      </c>
      <c r="F7121" t="s">
        <v>698</v>
      </c>
      <c r="G7121" t="s">
        <v>699</v>
      </c>
      <c r="H7121" t="s">
        <v>7818</v>
      </c>
      <c r="I7121">
        <v>22</v>
      </c>
      <c r="J7121">
        <v>0</v>
      </c>
      <c r="K7121">
        <v>0</v>
      </c>
      <c r="L7121">
        <v>22</v>
      </c>
      <c r="M7121">
        <v>0</v>
      </c>
      <c r="N7121">
        <v>0</v>
      </c>
      <c r="O7121">
        <v>0</v>
      </c>
    </row>
    <row r="7122" spans="1:15" x14ac:dyDescent="0.25">
      <c r="A7122" t="s">
        <v>1563</v>
      </c>
      <c r="B7122" t="s">
        <v>2895</v>
      </c>
      <c r="C7122" t="s">
        <v>927</v>
      </c>
      <c r="D7122" t="s">
        <v>3052</v>
      </c>
      <c r="E7122" t="s">
        <v>3053</v>
      </c>
      <c r="F7122" t="s">
        <v>698</v>
      </c>
      <c r="G7122" t="s">
        <v>699</v>
      </c>
      <c r="H7122" t="s">
        <v>7819</v>
      </c>
      <c r="I7122">
        <v>608</v>
      </c>
      <c r="J7122">
        <v>566</v>
      </c>
      <c r="K7122">
        <v>0</v>
      </c>
      <c r="L7122">
        <v>36</v>
      </c>
      <c r="M7122">
        <v>0</v>
      </c>
      <c r="N7122">
        <v>0</v>
      </c>
      <c r="O7122">
        <v>6</v>
      </c>
    </row>
    <row r="7123" spans="1:15" x14ac:dyDescent="0.25">
      <c r="A7123" t="s">
        <v>1083</v>
      </c>
      <c r="B7123" t="s">
        <v>2757</v>
      </c>
      <c r="C7123" t="s">
        <v>927</v>
      </c>
      <c r="D7123" t="s">
        <v>3052</v>
      </c>
      <c r="E7123" t="s">
        <v>3053</v>
      </c>
      <c r="F7123" t="s">
        <v>698</v>
      </c>
      <c r="G7123" t="s">
        <v>699</v>
      </c>
      <c r="H7123" t="s">
        <v>7820</v>
      </c>
      <c r="I7123">
        <v>207</v>
      </c>
      <c r="J7123">
        <v>0</v>
      </c>
      <c r="K7123">
        <v>0</v>
      </c>
      <c r="L7123">
        <v>0</v>
      </c>
      <c r="M7123">
        <v>176</v>
      </c>
      <c r="N7123">
        <v>0</v>
      </c>
      <c r="O7123">
        <v>31</v>
      </c>
    </row>
    <row r="7124" spans="1:15" x14ac:dyDescent="0.25">
      <c r="A7124" t="s">
        <v>981</v>
      </c>
      <c r="B7124" t="s">
        <v>2985</v>
      </c>
      <c r="C7124" t="s">
        <v>927</v>
      </c>
      <c r="D7124" t="s">
        <v>3052</v>
      </c>
      <c r="E7124" t="s">
        <v>3053</v>
      </c>
      <c r="F7124" t="s">
        <v>698</v>
      </c>
      <c r="G7124" t="s">
        <v>699</v>
      </c>
      <c r="H7124" t="s">
        <v>7792</v>
      </c>
      <c r="I7124">
        <v>1</v>
      </c>
      <c r="J7124">
        <v>0</v>
      </c>
      <c r="K7124">
        <v>0</v>
      </c>
      <c r="L7124">
        <v>0</v>
      </c>
      <c r="M7124">
        <v>0</v>
      </c>
      <c r="N7124">
        <v>0</v>
      </c>
      <c r="O7124">
        <v>1</v>
      </c>
    </row>
    <row r="7125" spans="1:15" x14ac:dyDescent="0.25">
      <c r="A7125" t="s">
        <v>1452</v>
      </c>
      <c r="B7125" t="s">
        <v>2721</v>
      </c>
      <c r="C7125" t="s">
        <v>923</v>
      </c>
      <c r="D7125" t="s">
        <v>3063</v>
      </c>
      <c r="E7125" t="s">
        <v>3053</v>
      </c>
      <c r="F7125" t="s">
        <v>700</v>
      </c>
      <c r="G7125" t="s">
        <v>701</v>
      </c>
      <c r="H7125" t="s">
        <v>7821</v>
      </c>
      <c r="I7125">
        <v>11</v>
      </c>
      <c r="J7125">
        <v>0</v>
      </c>
      <c r="K7125">
        <v>0</v>
      </c>
      <c r="L7125">
        <v>0</v>
      </c>
      <c r="M7125">
        <v>11</v>
      </c>
      <c r="N7125">
        <v>0</v>
      </c>
      <c r="O7125">
        <v>0</v>
      </c>
    </row>
    <row r="7126" spans="1:15" x14ac:dyDescent="0.25">
      <c r="A7126" t="s">
        <v>929</v>
      </c>
      <c r="B7126" t="s">
        <v>2999</v>
      </c>
      <c r="C7126" t="s">
        <v>927</v>
      </c>
      <c r="D7126" t="s">
        <v>3052</v>
      </c>
      <c r="E7126" t="s">
        <v>3053</v>
      </c>
      <c r="F7126" t="s">
        <v>700</v>
      </c>
      <c r="G7126" t="s">
        <v>701</v>
      </c>
      <c r="H7126" t="s">
        <v>7822</v>
      </c>
      <c r="I7126">
        <v>155</v>
      </c>
      <c r="J7126">
        <v>0</v>
      </c>
      <c r="K7126">
        <v>0</v>
      </c>
      <c r="L7126">
        <v>0</v>
      </c>
      <c r="M7126">
        <v>155</v>
      </c>
      <c r="N7126">
        <v>0</v>
      </c>
      <c r="O7126">
        <v>0</v>
      </c>
    </row>
    <row r="7127" spans="1:15" x14ac:dyDescent="0.25">
      <c r="A7127" t="s">
        <v>1094</v>
      </c>
      <c r="B7127" t="s">
        <v>2742</v>
      </c>
      <c r="C7127" t="s">
        <v>923</v>
      </c>
      <c r="D7127" t="s">
        <v>3063</v>
      </c>
      <c r="E7127" t="s">
        <v>3053</v>
      </c>
      <c r="F7127" t="s">
        <v>700</v>
      </c>
      <c r="G7127" t="s">
        <v>701</v>
      </c>
      <c r="H7127" t="s">
        <v>7823</v>
      </c>
      <c r="I7127">
        <v>15</v>
      </c>
      <c r="J7127">
        <v>15</v>
      </c>
      <c r="K7127">
        <v>0</v>
      </c>
      <c r="L7127">
        <v>0</v>
      </c>
      <c r="M7127">
        <v>0</v>
      </c>
      <c r="N7127">
        <v>0</v>
      </c>
      <c r="O7127">
        <v>0</v>
      </c>
    </row>
    <row r="7128" spans="1:15" x14ac:dyDescent="0.25">
      <c r="A7128" t="s">
        <v>983</v>
      </c>
      <c r="B7128" t="s">
        <v>2069</v>
      </c>
      <c r="C7128" t="s">
        <v>927</v>
      </c>
      <c r="D7128" t="s">
        <v>3052</v>
      </c>
      <c r="E7128" t="s">
        <v>3053</v>
      </c>
      <c r="F7128" t="s">
        <v>700</v>
      </c>
      <c r="G7128" t="s">
        <v>701</v>
      </c>
      <c r="H7128" t="s">
        <v>7824</v>
      </c>
      <c r="I7128">
        <v>1249</v>
      </c>
      <c r="J7128">
        <v>1072</v>
      </c>
      <c r="K7128">
        <v>0</v>
      </c>
      <c r="L7128">
        <v>30</v>
      </c>
      <c r="M7128">
        <v>33</v>
      </c>
      <c r="N7128">
        <v>0</v>
      </c>
      <c r="O7128">
        <v>114</v>
      </c>
    </row>
    <row r="7129" spans="1:15" x14ac:dyDescent="0.25">
      <c r="A7129" t="s">
        <v>1715</v>
      </c>
      <c r="B7129" t="s">
        <v>2136</v>
      </c>
      <c r="C7129" t="s">
        <v>927</v>
      </c>
      <c r="D7129" t="s">
        <v>3052</v>
      </c>
      <c r="E7129" t="s">
        <v>3053</v>
      </c>
      <c r="F7129" t="s">
        <v>700</v>
      </c>
      <c r="G7129" t="s">
        <v>701</v>
      </c>
      <c r="H7129" t="s">
        <v>7825</v>
      </c>
      <c r="I7129">
        <v>29</v>
      </c>
      <c r="J7129">
        <v>12</v>
      </c>
      <c r="K7129">
        <v>0</v>
      </c>
      <c r="L7129">
        <v>0</v>
      </c>
      <c r="M7129">
        <v>0</v>
      </c>
      <c r="N7129">
        <v>0</v>
      </c>
      <c r="O7129">
        <v>17</v>
      </c>
    </row>
    <row r="7130" spans="1:15" x14ac:dyDescent="0.25">
      <c r="A7130" t="s">
        <v>933</v>
      </c>
      <c r="B7130" t="s">
        <v>2106</v>
      </c>
      <c r="C7130" t="s">
        <v>927</v>
      </c>
      <c r="D7130" t="s">
        <v>3052</v>
      </c>
      <c r="E7130" t="s">
        <v>3053</v>
      </c>
      <c r="F7130" t="s">
        <v>700</v>
      </c>
      <c r="G7130" t="s">
        <v>701</v>
      </c>
      <c r="H7130" t="s">
        <v>7826</v>
      </c>
      <c r="I7130">
        <v>28</v>
      </c>
      <c r="J7130">
        <v>28</v>
      </c>
      <c r="K7130">
        <v>0</v>
      </c>
      <c r="L7130">
        <v>0</v>
      </c>
      <c r="M7130">
        <v>0</v>
      </c>
      <c r="N7130">
        <v>0</v>
      </c>
      <c r="O7130">
        <v>0</v>
      </c>
    </row>
    <row r="7131" spans="1:15" x14ac:dyDescent="0.25">
      <c r="A7131" t="s">
        <v>9841</v>
      </c>
      <c r="B7131" t="s">
        <v>3026</v>
      </c>
      <c r="C7131" t="s">
        <v>927</v>
      </c>
      <c r="D7131" t="s">
        <v>3052</v>
      </c>
      <c r="E7131" t="s">
        <v>3053</v>
      </c>
      <c r="F7131" t="s">
        <v>700</v>
      </c>
      <c r="G7131" t="s">
        <v>701</v>
      </c>
      <c r="H7131" t="s">
        <v>11302</v>
      </c>
      <c r="I7131">
        <v>4930</v>
      </c>
      <c r="J7131">
        <v>3945</v>
      </c>
      <c r="K7131">
        <v>0</v>
      </c>
      <c r="L7131">
        <v>62</v>
      </c>
      <c r="M7131">
        <v>611</v>
      </c>
      <c r="N7131">
        <v>85</v>
      </c>
      <c r="O7131">
        <v>312</v>
      </c>
    </row>
    <row r="7132" spans="1:15" x14ac:dyDescent="0.25">
      <c r="A7132" t="s">
        <v>10638</v>
      </c>
      <c r="B7132" t="s">
        <v>2057</v>
      </c>
      <c r="C7132" t="s">
        <v>927</v>
      </c>
      <c r="D7132" t="s">
        <v>3052</v>
      </c>
      <c r="E7132" t="s">
        <v>3053</v>
      </c>
      <c r="F7132" t="s">
        <v>700</v>
      </c>
      <c r="G7132" t="s">
        <v>701</v>
      </c>
      <c r="H7132" t="s">
        <v>11303</v>
      </c>
      <c r="I7132">
        <v>18</v>
      </c>
      <c r="J7132">
        <v>0</v>
      </c>
      <c r="K7132">
        <v>0</v>
      </c>
      <c r="L7132">
        <v>18</v>
      </c>
      <c r="M7132">
        <v>0</v>
      </c>
      <c r="N7132">
        <v>0</v>
      </c>
      <c r="O7132">
        <v>0</v>
      </c>
    </row>
    <row r="7133" spans="1:15" x14ac:dyDescent="0.25">
      <c r="A7133" t="s">
        <v>1006</v>
      </c>
      <c r="B7133" t="s">
        <v>2724</v>
      </c>
      <c r="C7133" t="s">
        <v>927</v>
      </c>
      <c r="D7133" t="s">
        <v>3052</v>
      </c>
      <c r="E7133" t="s">
        <v>3053</v>
      </c>
      <c r="F7133" t="s">
        <v>700</v>
      </c>
      <c r="G7133" t="s">
        <v>701</v>
      </c>
      <c r="H7133" t="s">
        <v>10080</v>
      </c>
      <c r="I7133">
        <v>86</v>
      </c>
      <c r="J7133">
        <v>5</v>
      </c>
      <c r="K7133">
        <v>0</v>
      </c>
      <c r="L7133">
        <v>0</v>
      </c>
      <c r="M7133">
        <v>0</v>
      </c>
      <c r="N7133">
        <v>0</v>
      </c>
      <c r="O7133">
        <v>81</v>
      </c>
    </row>
    <row r="7134" spans="1:15" x14ac:dyDescent="0.25">
      <c r="A7134" t="s">
        <v>10643</v>
      </c>
      <c r="B7134" t="s">
        <v>2987</v>
      </c>
      <c r="C7134" t="s">
        <v>927</v>
      </c>
      <c r="D7134" t="s">
        <v>3052</v>
      </c>
      <c r="E7134" t="s">
        <v>3053</v>
      </c>
      <c r="F7134" t="s">
        <v>700</v>
      </c>
      <c r="G7134" t="s">
        <v>701</v>
      </c>
      <c r="H7134" t="s">
        <v>11304</v>
      </c>
      <c r="I7134">
        <v>48</v>
      </c>
      <c r="J7134">
        <v>28</v>
      </c>
      <c r="K7134">
        <v>0</v>
      </c>
      <c r="L7134">
        <v>0</v>
      </c>
      <c r="M7134">
        <v>0</v>
      </c>
      <c r="N7134">
        <v>1</v>
      </c>
      <c r="O7134">
        <v>20</v>
      </c>
    </row>
    <row r="7135" spans="1:15" x14ac:dyDescent="0.25">
      <c r="A7135" t="s">
        <v>1008</v>
      </c>
      <c r="B7135" t="s">
        <v>2928</v>
      </c>
      <c r="C7135" t="s">
        <v>927</v>
      </c>
      <c r="D7135" t="s">
        <v>3052</v>
      </c>
      <c r="E7135" t="s">
        <v>3053</v>
      </c>
      <c r="F7135" t="s">
        <v>700</v>
      </c>
      <c r="G7135" t="s">
        <v>701</v>
      </c>
      <c r="H7135" t="s">
        <v>7827</v>
      </c>
      <c r="I7135">
        <v>30</v>
      </c>
      <c r="J7135">
        <v>30</v>
      </c>
      <c r="K7135">
        <v>0</v>
      </c>
      <c r="L7135">
        <v>0</v>
      </c>
      <c r="M7135">
        <v>0</v>
      </c>
      <c r="N7135">
        <v>0</v>
      </c>
      <c r="O7135">
        <v>0</v>
      </c>
    </row>
    <row r="7136" spans="1:15" x14ac:dyDescent="0.25">
      <c r="A7136" t="s">
        <v>937</v>
      </c>
      <c r="B7136" t="s">
        <v>1962</v>
      </c>
      <c r="C7136" t="s">
        <v>927</v>
      </c>
      <c r="D7136" t="s">
        <v>3052</v>
      </c>
      <c r="E7136" t="s">
        <v>3053</v>
      </c>
      <c r="F7136" t="s">
        <v>700</v>
      </c>
      <c r="G7136" t="s">
        <v>701</v>
      </c>
      <c r="H7136" t="s">
        <v>7828</v>
      </c>
      <c r="I7136">
        <v>61</v>
      </c>
      <c r="J7136">
        <v>0</v>
      </c>
      <c r="K7136">
        <v>0</v>
      </c>
      <c r="L7136">
        <v>0</v>
      </c>
      <c r="M7136">
        <v>0</v>
      </c>
      <c r="N7136">
        <v>0</v>
      </c>
      <c r="O7136">
        <v>61</v>
      </c>
    </row>
    <row r="7137" spans="1:15" x14ac:dyDescent="0.25">
      <c r="A7137" t="s">
        <v>10652</v>
      </c>
      <c r="B7137" t="s">
        <v>3002</v>
      </c>
      <c r="C7137" t="s">
        <v>927</v>
      </c>
      <c r="D7137" t="s">
        <v>3052</v>
      </c>
      <c r="E7137" t="s">
        <v>3053</v>
      </c>
      <c r="F7137" t="s">
        <v>700</v>
      </c>
      <c r="G7137" t="s">
        <v>701</v>
      </c>
      <c r="H7137" t="s">
        <v>11305</v>
      </c>
      <c r="I7137">
        <v>5884</v>
      </c>
      <c r="J7137">
        <v>5053</v>
      </c>
      <c r="K7137">
        <v>0</v>
      </c>
      <c r="L7137">
        <v>0</v>
      </c>
      <c r="M7137">
        <v>597</v>
      </c>
      <c r="N7137">
        <v>5</v>
      </c>
      <c r="O7137">
        <v>234</v>
      </c>
    </row>
    <row r="7138" spans="1:15" x14ac:dyDescent="0.25">
      <c r="A7138" t="s">
        <v>940</v>
      </c>
      <c r="B7138" t="s">
        <v>2647</v>
      </c>
      <c r="C7138" t="s">
        <v>927</v>
      </c>
      <c r="D7138" t="s">
        <v>3052</v>
      </c>
      <c r="E7138" t="s">
        <v>3053</v>
      </c>
      <c r="F7138" t="s">
        <v>700</v>
      </c>
      <c r="G7138" t="s">
        <v>701</v>
      </c>
      <c r="H7138" t="s">
        <v>7829</v>
      </c>
      <c r="I7138">
        <v>114</v>
      </c>
      <c r="J7138">
        <v>0</v>
      </c>
      <c r="K7138">
        <v>0</v>
      </c>
      <c r="L7138">
        <v>0</v>
      </c>
      <c r="M7138">
        <v>114</v>
      </c>
      <c r="N7138">
        <v>0</v>
      </c>
      <c r="O7138">
        <v>0</v>
      </c>
    </row>
    <row r="7139" spans="1:15" x14ac:dyDescent="0.25">
      <c r="A7139" t="s">
        <v>943</v>
      </c>
      <c r="B7139" t="s">
        <v>2694</v>
      </c>
      <c r="C7139" t="s">
        <v>927</v>
      </c>
      <c r="D7139" t="s">
        <v>3052</v>
      </c>
      <c r="E7139" t="s">
        <v>3053</v>
      </c>
      <c r="F7139" t="s">
        <v>700</v>
      </c>
      <c r="G7139" t="s">
        <v>701</v>
      </c>
      <c r="H7139" t="s">
        <v>7830</v>
      </c>
      <c r="I7139">
        <v>1</v>
      </c>
      <c r="J7139">
        <v>0</v>
      </c>
      <c r="K7139">
        <v>0</v>
      </c>
      <c r="L7139">
        <v>0</v>
      </c>
      <c r="M7139">
        <v>0</v>
      </c>
      <c r="N7139">
        <v>0</v>
      </c>
      <c r="O7139">
        <v>1</v>
      </c>
    </row>
    <row r="7140" spans="1:15" x14ac:dyDescent="0.25">
      <c r="A7140" t="s">
        <v>1030</v>
      </c>
      <c r="B7140" t="s">
        <v>2880</v>
      </c>
      <c r="C7140" t="s">
        <v>927</v>
      </c>
      <c r="D7140" t="s">
        <v>3052</v>
      </c>
      <c r="E7140" t="s">
        <v>3053</v>
      </c>
      <c r="F7140" t="s">
        <v>700</v>
      </c>
      <c r="G7140" t="s">
        <v>701</v>
      </c>
      <c r="H7140" t="s">
        <v>7831</v>
      </c>
      <c r="I7140">
        <v>7</v>
      </c>
      <c r="J7140">
        <v>0</v>
      </c>
      <c r="K7140">
        <v>0</v>
      </c>
      <c r="L7140">
        <v>0</v>
      </c>
      <c r="M7140">
        <v>0</v>
      </c>
      <c r="N7140">
        <v>0</v>
      </c>
      <c r="O7140">
        <v>7</v>
      </c>
    </row>
    <row r="7141" spans="1:15" x14ac:dyDescent="0.25">
      <c r="A7141" t="s">
        <v>1048</v>
      </c>
      <c r="B7141" t="s">
        <v>2989</v>
      </c>
      <c r="C7141" t="s">
        <v>927</v>
      </c>
      <c r="D7141" t="s">
        <v>3052</v>
      </c>
      <c r="E7141" t="s">
        <v>3053</v>
      </c>
      <c r="F7141" t="s">
        <v>700</v>
      </c>
      <c r="G7141" t="s">
        <v>701</v>
      </c>
      <c r="H7141" t="s">
        <v>12333</v>
      </c>
      <c r="I7141">
        <v>2</v>
      </c>
      <c r="J7141">
        <v>0</v>
      </c>
      <c r="K7141">
        <v>0</v>
      </c>
      <c r="L7141">
        <v>2</v>
      </c>
      <c r="M7141">
        <v>0</v>
      </c>
      <c r="N7141">
        <v>0</v>
      </c>
      <c r="O7141">
        <v>0</v>
      </c>
    </row>
    <row r="7142" spans="1:15" x14ac:dyDescent="0.25">
      <c r="A7142" t="s">
        <v>953</v>
      </c>
      <c r="B7142" t="s">
        <v>2014</v>
      </c>
      <c r="C7142" t="s">
        <v>927</v>
      </c>
      <c r="D7142" t="s">
        <v>3052</v>
      </c>
      <c r="E7142" t="s">
        <v>3053</v>
      </c>
      <c r="F7142" t="s">
        <v>700</v>
      </c>
      <c r="G7142" t="s">
        <v>701</v>
      </c>
      <c r="H7142" t="s">
        <v>7832</v>
      </c>
      <c r="I7142">
        <v>22</v>
      </c>
      <c r="J7142">
        <v>0</v>
      </c>
      <c r="K7142">
        <v>0</v>
      </c>
      <c r="L7142">
        <v>22</v>
      </c>
      <c r="M7142">
        <v>0</v>
      </c>
      <c r="N7142">
        <v>0</v>
      </c>
      <c r="O7142">
        <v>0</v>
      </c>
    </row>
    <row r="7143" spans="1:15" x14ac:dyDescent="0.25">
      <c r="A7143" t="s">
        <v>1758</v>
      </c>
      <c r="B7143" t="s">
        <v>2997</v>
      </c>
      <c r="C7143" t="s">
        <v>927</v>
      </c>
      <c r="D7143" t="s">
        <v>3052</v>
      </c>
      <c r="E7143" t="s">
        <v>3053</v>
      </c>
      <c r="F7143" t="s">
        <v>700</v>
      </c>
      <c r="G7143" t="s">
        <v>701</v>
      </c>
      <c r="H7143" t="s">
        <v>7833</v>
      </c>
      <c r="I7143">
        <v>161</v>
      </c>
      <c r="J7143">
        <v>0</v>
      </c>
      <c r="K7143">
        <v>161</v>
      </c>
      <c r="L7143">
        <v>0</v>
      </c>
      <c r="M7143">
        <v>0</v>
      </c>
      <c r="N7143">
        <v>0</v>
      </c>
      <c r="O7143">
        <v>0</v>
      </c>
    </row>
    <row r="7144" spans="1:15" x14ac:dyDescent="0.25">
      <c r="A7144" t="s">
        <v>11720</v>
      </c>
      <c r="B7144" t="s">
        <v>10718</v>
      </c>
      <c r="C7144" t="s">
        <v>927</v>
      </c>
      <c r="D7144" t="s">
        <v>3052</v>
      </c>
      <c r="E7144" t="s">
        <v>3053</v>
      </c>
      <c r="F7144" t="s">
        <v>700</v>
      </c>
      <c r="G7144" t="s">
        <v>701</v>
      </c>
      <c r="H7144" t="s">
        <v>12334</v>
      </c>
      <c r="I7144">
        <v>33</v>
      </c>
      <c r="J7144">
        <v>17</v>
      </c>
      <c r="K7144">
        <v>0</v>
      </c>
      <c r="L7144">
        <v>0</v>
      </c>
      <c r="M7144">
        <v>0</v>
      </c>
      <c r="N7144">
        <v>0</v>
      </c>
      <c r="O7144">
        <v>16</v>
      </c>
    </row>
    <row r="7145" spans="1:15" x14ac:dyDescent="0.25">
      <c r="A7145" t="s">
        <v>1057</v>
      </c>
      <c r="B7145" t="s">
        <v>1972</v>
      </c>
      <c r="C7145" t="s">
        <v>927</v>
      </c>
      <c r="D7145" t="s">
        <v>3052</v>
      </c>
      <c r="E7145" t="s">
        <v>3053</v>
      </c>
      <c r="F7145" t="s">
        <v>700</v>
      </c>
      <c r="G7145" t="s">
        <v>701</v>
      </c>
      <c r="H7145" t="s">
        <v>7834</v>
      </c>
      <c r="I7145">
        <v>75</v>
      </c>
      <c r="J7145">
        <v>64</v>
      </c>
      <c r="K7145">
        <v>0</v>
      </c>
      <c r="L7145">
        <v>0</v>
      </c>
      <c r="M7145">
        <v>0</v>
      </c>
      <c r="N7145">
        <v>0</v>
      </c>
      <c r="O7145">
        <v>11</v>
      </c>
    </row>
    <row r="7146" spans="1:15" x14ac:dyDescent="0.25">
      <c r="A7146" t="s">
        <v>955</v>
      </c>
      <c r="B7146" t="s">
        <v>2660</v>
      </c>
      <c r="C7146" t="s">
        <v>927</v>
      </c>
      <c r="D7146" t="s">
        <v>3052</v>
      </c>
      <c r="E7146" t="s">
        <v>3053</v>
      </c>
      <c r="F7146" t="s">
        <v>700</v>
      </c>
      <c r="G7146" t="s">
        <v>701</v>
      </c>
      <c r="H7146" t="s">
        <v>7835</v>
      </c>
      <c r="I7146">
        <v>532</v>
      </c>
      <c r="J7146">
        <v>447</v>
      </c>
      <c r="K7146">
        <v>0</v>
      </c>
      <c r="L7146">
        <v>0</v>
      </c>
      <c r="M7146">
        <v>52</v>
      </c>
      <c r="N7146">
        <v>2</v>
      </c>
      <c r="O7146">
        <v>33</v>
      </c>
    </row>
    <row r="7147" spans="1:15" x14ac:dyDescent="0.25">
      <c r="A7147" t="s">
        <v>1839</v>
      </c>
      <c r="B7147" t="s">
        <v>2061</v>
      </c>
      <c r="C7147" t="s">
        <v>923</v>
      </c>
      <c r="D7147" t="s">
        <v>3063</v>
      </c>
      <c r="E7147" t="s">
        <v>3053</v>
      </c>
      <c r="F7147" t="s">
        <v>700</v>
      </c>
      <c r="G7147" t="s">
        <v>701</v>
      </c>
      <c r="H7147" t="s">
        <v>7836</v>
      </c>
      <c r="I7147">
        <v>51</v>
      </c>
      <c r="J7147">
        <v>0</v>
      </c>
      <c r="K7147">
        <v>0</v>
      </c>
      <c r="L7147">
        <v>0</v>
      </c>
      <c r="M7147">
        <v>51</v>
      </c>
      <c r="N7147">
        <v>0</v>
      </c>
      <c r="O7147">
        <v>0</v>
      </c>
    </row>
    <row r="7148" spans="1:15" x14ac:dyDescent="0.25">
      <c r="A7148" t="s">
        <v>1840</v>
      </c>
      <c r="B7148" t="s">
        <v>2532</v>
      </c>
      <c r="C7148" t="s">
        <v>923</v>
      </c>
      <c r="D7148" t="s">
        <v>3063</v>
      </c>
      <c r="E7148" t="s">
        <v>3053</v>
      </c>
      <c r="F7148" t="s">
        <v>700</v>
      </c>
      <c r="G7148" t="s">
        <v>701</v>
      </c>
      <c r="H7148" t="s">
        <v>7837</v>
      </c>
      <c r="I7148">
        <v>22</v>
      </c>
      <c r="J7148">
        <v>0</v>
      </c>
      <c r="K7148">
        <v>0</v>
      </c>
      <c r="L7148">
        <v>22</v>
      </c>
      <c r="M7148">
        <v>0</v>
      </c>
      <c r="N7148">
        <v>0</v>
      </c>
      <c r="O7148">
        <v>0</v>
      </c>
    </row>
    <row r="7149" spans="1:15" x14ac:dyDescent="0.25">
      <c r="A7149" t="s">
        <v>1841</v>
      </c>
      <c r="B7149" t="s">
        <v>2740</v>
      </c>
      <c r="C7149" t="s">
        <v>923</v>
      </c>
      <c r="D7149" t="s">
        <v>3063</v>
      </c>
      <c r="E7149" t="s">
        <v>3053</v>
      </c>
      <c r="F7149" t="s">
        <v>700</v>
      </c>
      <c r="G7149" t="s">
        <v>701</v>
      </c>
      <c r="H7149" t="s">
        <v>7838</v>
      </c>
      <c r="I7149">
        <v>297</v>
      </c>
      <c r="J7149">
        <v>277</v>
      </c>
      <c r="K7149">
        <v>0</v>
      </c>
      <c r="L7149">
        <v>0</v>
      </c>
      <c r="M7149">
        <v>20</v>
      </c>
      <c r="N7149">
        <v>0</v>
      </c>
      <c r="O7149">
        <v>0</v>
      </c>
    </row>
    <row r="7150" spans="1:15" x14ac:dyDescent="0.25">
      <c r="A7150" t="s">
        <v>9842</v>
      </c>
      <c r="B7150" t="s">
        <v>9873</v>
      </c>
      <c r="C7150" t="s">
        <v>923</v>
      </c>
      <c r="D7150" t="s">
        <v>3063</v>
      </c>
      <c r="E7150" t="s">
        <v>3053</v>
      </c>
      <c r="F7150" t="s">
        <v>700</v>
      </c>
      <c r="G7150" t="s">
        <v>701</v>
      </c>
      <c r="H7150" t="s">
        <v>10412</v>
      </c>
      <c r="I7150">
        <v>6</v>
      </c>
      <c r="J7150">
        <v>0</v>
      </c>
      <c r="K7150">
        <v>0</v>
      </c>
      <c r="L7150">
        <v>0</v>
      </c>
      <c r="M7150">
        <v>6</v>
      </c>
      <c r="N7150">
        <v>0</v>
      </c>
      <c r="O7150">
        <v>0</v>
      </c>
    </row>
    <row r="7151" spans="1:15" x14ac:dyDescent="0.25">
      <c r="A7151" t="s">
        <v>962</v>
      </c>
      <c r="B7151" t="s">
        <v>2752</v>
      </c>
      <c r="C7151" t="s">
        <v>927</v>
      </c>
      <c r="D7151" t="s">
        <v>3052</v>
      </c>
      <c r="E7151" t="s">
        <v>3053</v>
      </c>
      <c r="F7151" t="s">
        <v>700</v>
      </c>
      <c r="G7151" t="s">
        <v>701</v>
      </c>
      <c r="H7151" t="s">
        <v>10451</v>
      </c>
      <c r="I7151">
        <v>323</v>
      </c>
      <c r="J7151">
        <v>275</v>
      </c>
      <c r="K7151">
        <v>0</v>
      </c>
      <c r="L7151">
        <v>0</v>
      </c>
      <c r="M7151">
        <v>0</v>
      </c>
      <c r="N7151">
        <v>0</v>
      </c>
      <c r="O7151">
        <v>48</v>
      </c>
    </row>
    <row r="7152" spans="1:15" x14ac:dyDescent="0.25">
      <c r="A7152" t="s">
        <v>11722</v>
      </c>
      <c r="B7152" t="s">
        <v>2626</v>
      </c>
      <c r="C7152" t="s">
        <v>923</v>
      </c>
      <c r="D7152" t="s">
        <v>3063</v>
      </c>
      <c r="E7152" t="s">
        <v>3053</v>
      </c>
      <c r="F7152" t="s">
        <v>700</v>
      </c>
      <c r="G7152" t="s">
        <v>701</v>
      </c>
      <c r="H7152" t="s">
        <v>12335</v>
      </c>
      <c r="I7152">
        <v>11</v>
      </c>
      <c r="J7152">
        <v>0</v>
      </c>
      <c r="K7152">
        <v>0</v>
      </c>
      <c r="L7152">
        <v>0</v>
      </c>
      <c r="M7152">
        <v>11</v>
      </c>
      <c r="N7152">
        <v>0</v>
      </c>
      <c r="O7152">
        <v>0</v>
      </c>
    </row>
    <row r="7153" spans="1:15" x14ac:dyDescent="0.25">
      <c r="A7153" t="s">
        <v>1857</v>
      </c>
      <c r="B7153" t="s">
        <v>3016</v>
      </c>
      <c r="C7153" t="s">
        <v>927</v>
      </c>
      <c r="D7153" t="s">
        <v>3052</v>
      </c>
      <c r="E7153" t="s">
        <v>3053</v>
      </c>
      <c r="F7153" t="s">
        <v>700</v>
      </c>
      <c r="G7153" t="s">
        <v>701</v>
      </c>
      <c r="H7153" t="s">
        <v>7839</v>
      </c>
      <c r="I7153">
        <v>8</v>
      </c>
      <c r="J7153">
        <v>8</v>
      </c>
      <c r="K7153">
        <v>0</v>
      </c>
      <c r="L7153">
        <v>0</v>
      </c>
      <c r="M7153">
        <v>0</v>
      </c>
      <c r="N7153">
        <v>0</v>
      </c>
      <c r="O7153">
        <v>0</v>
      </c>
    </row>
    <row r="7154" spans="1:15" x14ac:dyDescent="0.25">
      <c r="A7154" t="s">
        <v>9845</v>
      </c>
      <c r="B7154" t="s">
        <v>9877</v>
      </c>
      <c r="C7154" t="s">
        <v>923</v>
      </c>
      <c r="D7154" t="s">
        <v>3063</v>
      </c>
      <c r="E7154" t="s">
        <v>3053</v>
      </c>
      <c r="F7154" t="s">
        <v>700</v>
      </c>
      <c r="G7154" t="s">
        <v>701</v>
      </c>
      <c r="H7154" t="s">
        <v>10483</v>
      </c>
      <c r="I7154">
        <v>22</v>
      </c>
      <c r="J7154">
        <v>0</v>
      </c>
      <c r="K7154">
        <v>0</v>
      </c>
      <c r="L7154">
        <v>0</v>
      </c>
      <c r="M7154">
        <v>22</v>
      </c>
      <c r="N7154">
        <v>0</v>
      </c>
      <c r="O7154">
        <v>0</v>
      </c>
    </row>
    <row r="7155" spans="1:15" x14ac:dyDescent="0.25">
      <c r="A7155" t="s">
        <v>1861</v>
      </c>
      <c r="B7155" t="s">
        <v>3011</v>
      </c>
      <c r="C7155" t="s">
        <v>927</v>
      </c>
      <c r="D7155" t="s">
        <v>3052</v>
      </c>
      <c r="E7155" t="s">
        <v>3053</v>
      </c>
      <c r="F7155" t="s">
        <v>700</v>
      </c>
      <c r="G7155" t="s">
        <v>701</v>
      </c>
      <c r="H7155" t="s">
        <v>7840</v>
      </c>
      <c r="I7155">
        <v>2022</v>
      </c>
      <c r="J7155">
        <v>1506</v>
      </c>
      <c r="K7155">
        <v>0</v>
      </c>
      <c r="L7155">
        <v>342</v>
      </c>
      <c r="M7155">
        <v>40</v>
      </c>
      <c r="N7155">
        <v>0</v>
      </c>
      <c r="O7155">
        <v>134</v>
      </c>
    </row>
    <row r="7156" spans="1:15" x14ac:dyDescent="0.25">
      <c r="A7156" t="s">
        <v>1077</v>
      </c>
      <c r="B7156" t="s">
        <v>2711</v>
      </c>
      <c r="C7156" t="s">
        <v>927</v>
      </c>
      <c r="D7156" t="s">
        <v>3052</v>
      </c>
      <c r="E7156" t="s">
        <v>3053</v>
      </c>
      <c r="F7156" t="s">
        <v>700</v>
      </c>
      <c r="G7156" t="s">
        <v>701</v>
      </c>
      <c r="H7156" t="s">
        <v>7841</v>
      </c>
      <c r="I7156">
        <v>45</v>
      </c>
      <c r="J7156">
        <v>22</v>
      </c>
      <c r="K7156">
        <v>0</v>
      </c>
      <c r="L7156">
        <v>11</v>
      </c>
      <c r="M7156">
        <v>8</v>
      </c>
      <c r="N7156">
        <v>0</v>
      </c>
      <c r="O7156">
        <v>4</v>
      </c>
    </row>
    <row r="7157" spans="1:15" x14ac:dyDescent="0.25">
      <c r="A7157" t="s">
        <v>1863</v>
      </c>
      <c r="B7157" t="s">
        <v>2328</v>
      </c>
      <c r="C7157" t="s">
        <v>923</v>
      </c>
      <c r="D7157" t="s">
        <v>3063</v>
      </c>
      <c r="E7157" t="s">
        <v>3053</v>
      </c>
      <c r="F7157" t="s">
        <v>700</v>
      </c>
      <c r="G7157" t="s">
        <v>701</v>
      </c>
      <c r="H7157" t="s">
        <v>7842</v>
      </c>
      <c r="I7157">
        <v>13</v>
      </c>
      <c r="J7157">
        <v>0</v>
      </c>
      <c r="K7157">
        <v>0</v>
      </c>
      <c r="L7157">
        <v>0</v>
      </c>
      <c r="M7157">
        <v>13</v>
      </c>
      <c r="N7157">
        <v>0</v>
      </c>
      <c r="O7157">
        <v>0</v>
      </c>
    </row>
    <row r="7158" spans="1:15" x14ac:dyDescent="0.25">
      <c r="A7158" t="s">
        <v>1865</v>
      </c>
      <c r="B7158" t="s">
        <v>2866</v>
      </c>
      <c r="C7158" t="s">
        <v>927</v>
      </c>
      <c r="D7158" t="s">
        <v>3052</v>
      </c>
      <c r="E7158" t="s">
        <v>3053</v>
      </c>
      <c r="F7158" t="s">
        <v>700</v>
      </c>
      <c r="G7158" t="s">
        <v>701</v>
      </c>
      <c r="H7158" t="s">
        <v>7843</v>
      </c>
      <c r="I7158">
        <v>15</v>
      </c>
      <c r="J7158">
        <v>0</v>
      </c>
      <c r="K7158">
        <v>0</v>
      </c>
      <c r="L7158">
        <v>0</v>
      </c>
      <c r="M7158">
        <v>0</v>
      </c>
      <c r="N7158">
        <v>0</v>
      </c>
      <c r="O7158">
        <v>15</v>
      </c>
    </row>
    <row r="7159" spans="1:15" x14ac:dyDescent="0.25">
      <c r="A7159" t="s">
        <v>1564</v>
      </c>
      <c r="B7159" t="s">
        <v>3039</v>
      </c>
      <c r="C7159" t="s">
        <v>927</v>
      </c>
      <c r="D7159" t="s">
        <v>3052</v>
      </c>
      <c r="E7159" t="s">
        <v>3053</v>
      </c>
      <c r="F7159" t="s">
        <v>702</v>
      </c>
      <c r="G7159" t="s">
        <v>703</v>
      </c>
      <c r="H7159" t="s">
        <v>12336</v>
      </c>
      <c r="I7159">
        <v>104</v>
      </c>
      <c r="J7159">
        <v>0</v>
      </c>
      <c r="K7159">
        <v>0</v>
      </c>
      <c r="L7159">
        <v>0</v>
      </c>
      <c r="M7159">
        <v>0</v>
      </c>
      <c r="N7159">
        <v>0</v>
      </c>
      <c r="O7159">
        <v>104</v>
      </c>
    </row>
    <row r="7160" spans="1:15" x14ac:dyDescent="0.25">
      <c r="A7160" t="s">
        <v>1196</v>
      </c>
      <c r="B7160" t="s">
        <v>3004</v>
      </c>
      <c r="C7160" t="s">
        <v>927</v>
      </c>
      <c r="D7160" t="s">
        <v>3052</v>
      </c>
      <c r="E7160" t="s">
        <v>3053</v>
      </c>
      <c r="F7160" t="s">
        <v>702</v>
      </c>
      <c r="G7160" t="s">
        <v>703</v>
      </c>
      <c r="H7160" t="s">
        <v>7844</v>
      </c>
      <c r="I7160">
        <v>683</v>
      </c>
      <c r="J7160">
        <v>647</v>
      </c>
      <c r="K7160">
        <v>0</v>
      </c>
      <c r="L7160">
        <v>0</v>
      </c>
      <c r="M7160">
        <v>0</v>
      </c>
      <c r="N7160">
        <v>0</v>
      </c>
      <c r="O7160">
        <v>36</v>
      </c>
    </row>
    <row r="7161" spans="1:15" x14ac:dyDescent="0.25">
      <c r="A7161" t="s">
        <v>924</v>
      </c>
      <c r="B7161" t="s">
        <v>2963</v>
      </c>
      <c r="C7161" t="s">
        <v>923</v>
      </c>
      <c r="D7161" t="s">
        <v>3063</v>
      </c>
      <c r="E7161" t="s">
        <v>3053</v>
      </c>
      <c r="F7161" t="s">
        <v>702</v>
      </c>
      <c r="G7161" t="s">
        <v>703</v>
      </c>
      <c r="H7161" t="s">
        <v>7845</v>
      </c>
      <c r="I7161">
        <v>37</v>
      </c>
      <c r="J7161">
        <v>0</v>
      </c>
      <c r="K7161">
        <v>0</v>
      </c>
      <c r="L7161">
        <v>37</v>
      </c>
      <c r="M7161">
        <v>0</v>
      </c>
      <c r="N7161">
        <v>0</v>
      </c>
      <c r="O7161">
        <v>0</v>
      </c>
    </row>
    <row r="7162" spans="1:15" x14ac:dyDescent="0.25">
      <c r="A7162" t="s">
        <v>10568</v>
      </c>
      <c r="B7162" t="s">
        <v>10567</v>
      </c>
      <c r="C7162" t="s">
        <v>927</v>
      </c>
      <c r="D7162" t="s">
        <v>3052</v>
      </c>
      <c r="E7162" t="s">
        <v>3053</v>
      </c>
      <c r="F7162" t="s">
        <v>702</v>
      </c>
      <c r="G7162" t="s">
        <v>703</v>
      </c>
      <c r="H7162" t="s">
        <v>11306</v>
      </c>
      <c r="I7162">
        <v>386</v>
      </c>
      <c r="J7162">
        <v>383</v>
      </c>
      <c r="K7162">
        <v>0</v>
      </c>
      <c r="L7162">
        <v>3</v>
      </c>
      <c r="M7162">
        <v>0</v>
      </c>
      <c r="N7162">
        <v>0</v>
      </c>
      <c r="O7162">
        <v>0</v>
      </c>
    </row>
    <row r="7163" spans="1:15" x14ac:dyDescent="0.25">
      <c r="A7163" t="s">
        <v>926</v>
      </c>
      <c r="B7163" t="s">
        <v>2923</v>
      </c>
      <c r="C7163" t="s">
        <v>927</v>
      </c>
      <c r="D7163" t="s">
        <v>3052</v>
      </c>
      <c r="E7163" t="s">
        <v>3053</v>
      </c>
      <c r="F7163" t="s">
        <v>702</v>
      </c>
      <c r="G7163" t="s">
        <v>703</v>
      </c>
      <c r="H7163" t="s">
        <v>7846</v>
      </c>
      <c r="I7163">
        <v>12</v>
      </c>
      <c r="J7163">
        <v>0</v>
      </c>
      <c r="K7163">
        <v>0</v>
      </c>
      <c r="L7163">
        <v>12</v>
      </c>
      <c r="M7163">
        <v>0</v>
      </c>
      <c r="N7163">
        <v>0</v>
      </c>
      <c r="O7163">
        <v>0</v>
      </c>
    </row>
    <row r="7164" spans="1:15" x14ac:dyDescent="0.25">
      <c r="A7164" t="s">
        <v>929</v>
      </c>
      <c r="B7164" t="s">
        <v>2999</v>
      </c>
      <c r="C7164" t="s">
        <v>927</v>
      </c>
      <c r="D7164" t="s">
        <v>3052</v>
      </c>
      <c r="E7164" t="s">
        <v>3053</v>
      </c>
      <c r="F7164" t="s">
        <v>702</v>
      </c>
      <c r="G7164" t="s">
        <v>703</v>
      </c>
      <c r="H7164" t="s">
        <v>7847</v>
      </c>
      <c r="I7164">
        <v>281</v>
      </c>
      <c r="J7164">
        <v>0</v>
      </c>
      <c r="K7164">
        <v>0</v>
      </c>
      <c r="L7164">
        <v>0</v>
      </c>
      <c r="M7164">
        <v>232</v>
      </c>
      <c r="N7164">
        <v>0</v>
      </c>
      <c r="O7164">
        <v>49</v>
      </c>
    </row>
    <row r="7165" spans="1:15" x14ac:dyDescent="0.25">
      <c r="A7165" t="s">
        <v>9790</v>
      </c>
      <c r="B7165" t="s">
        <v>1977</v>
      </c>
      <c r="C7165" t="s">
        <v>923</v>
      </c>
      <c r="D7165" t="s">
        <v>3063</v>
      </c>
      <c r="E7165" t="s">
        <v>3053</v>
      </c>
      <c r="F7165" t="s">
        <v>702</v>
      </c>
      <c r="G7165" t="s">
        <v>703</v>
      </c>
      <c r="H7165" t="s">
        <v>12337</v>
      </c>
      <c r="I7165">
        <v>7</v>
      </c>
      <c r="J7165">
        <v>0</v>
      </c>
      <c r="K7165">
        <v>0</v>
      </c>
      <c r="L7165">
        <v>7</v>
      </c>
      <c r="M7165">
        <v>0</v>
      </c>
      <c r="N7165">
        <v>0</v>
      </c>
      <c r="O7165">
        <v>0</v>
      </c>
    </row>
    <row r="7166" spans="1:15" x14ac:dyDescent="0.25">
      <c r="A7166" t="s">
        <v>9784</v>
      </c>
      <c r="B7166" t="s">
        <v>1994</v>
      </c>
      <c r="C7166" t="s">
        <v>927</v>
      </c>
      <c r="D7166" t="s">
        <v>3052</v>
      </c>
      <c r="E7166" t="s">
        <v>3053</v>
      </c>
      <c r="F7166" t="s">
        <v>702</v>
      </c>
      <c r="G7166" t="s">
        <v>703</v>
      </c>
      <c r="H7166" t="s">
        <v>9979</v>
      </c>
      <c r="I7166">
        <v>17</v>
      </c>
      <c r="J7166">
        <v>0</v>
      </c>
      <c r="K7166">
        <v>0</v>
      </c>
      <c r="L7166">
        <v>17</v>
      </c>
      <c r="M7166">
        <v>0</v>
      </c>
      <c r="N7166">
        <v>4</v>
      </c>
      <c r="O7166">
        <v>0</v>
      </c>
    </row>
    <row r="7167" spans="1:15" x14ac:dyDescent="0.25">
      <c r="A7167" t="s">
        <v>1104</v>
      </c>
      <c r="B7167" t="s">
        <v>2483</v>
      </c>
      <c r="C7167" t="s">
        <v>923</v>
      </c>
      <c r="D7167" t="s">
        <v>3063</v>
      </c>
      <c r="E7167" t="s">
        <v>3053</v>
      </c>
      <c r="F7167" t="s">
        <v>702</v>
      </c>
      <c r="G7167" t="s">
        <v>703</v>
      </c>
      <c r="H7167" t="s">
        <v>7848</v>
      </c>
      <c r="I7167">
        <v>38</v>
      </c>
      <c r="J7167">
        <v>38</v>
      </c>
      <c r="K7167">
        <v>0</v>
      </c>
      <c r="L7167">
        <v>0</v>
      </c>
      <c r="M7167">
        <v>0</v>
      </c>
      <c r="N7167">
        <v>0</v>
      </c>
      <c r="O7167">
        <v>0</v>
      </c>
    </row>
    <row r="7168" spans="1:15" x14ac:dyDescent="0.25">
      <c r="A7168" t="s">
        <v>10624</v>
      </c>
      <c r="B7168" t="s">
        <v>2882</v>
      </c>
      <c r="C7168" t="s">
        <v>927</v>
      </c>
      <c r="D7168" t="s">
        <v>3052</v>
      </c>
      <c r="E7168" t="s">
        <v>3053</v>
      </c>
      <c r="F7168" t="s">
        <v>702</v>
      </c>
      <c r="G7168" t="s">
        <v>703</v>
      </c>
      <c r="H7168" t="s">
        <v>12338</v>
      </c>
      <c r="I7168">
        <v>106</v>
      </c>
      <c r="J7168">
        <v>106</v>
      </c>
      <c r="K7168">
        <v>0</v>
      </c>
      <c r="L7168">
        <v>0</v>
      </c>
      <c r="M7168">
        <v>0</v>
      </c>
      <c r="N7168">
        <v>0</v>
      </c>
      <c r="O7168">
        <v>0</v>
      </c>
    </row>
    <row r="7169" spans="1:15" x14ac:dyDescent="0.25">
      <c r="A7169" t="s">
        <v>10638</v>
      </c>
      <c r="B7169" t="s">
        <v>2057</v>
      </c>
      <c r="C7169" t="s">
        <v>927</v>
      </c>
      <c r="D7169" t="s">
        <v>3052</v>
      </c>
      <c r="E7169" t="s">
        <v>3053</v>
      </c>
      <c r="F7169" t="s">
        <v>702</v>
      </c>
      <c r="G7169" t="s">
        <v>703</v>
      </c>
      <c r="H7169" t="s">
        <v>11307</v>
      </c>
      <c r="I7169">
        <v>4</v>
      </c>
      <c r="J7169">
        <v>0</v>
      </c>
      <c r="K7169">
        <v>0</v>
      </c>
      <c r="L7169">
        <v>4</v>
      </c>
      <c r="M7169">
        <v>0</v>
      </c>
      <c r="N7169">
        <v>0</v>
      </c>
      <c r="O7169">
        <v>0</v>
      </c>
    </row>
    <row r="7170" spans="1:15" x14ac:dyDescent="0.25">
      <c r="A7170" t="s">
        <v>1008</v>
      </c>
      <c r="B7170" t="s">
        <v>2928</v>
      </c>
      <c r="C7170" t="s">
        <v>927</v>
      </c>
      <c r="D7170" t="s">
        <v>3052</v>
      </c>
      <c r="E7170" t="s">
        <v>3053</v>
      </c>
      <c r="F7170" t="s">
        <v>702</v>
      </c>
      <c r="G7170" t="s">
        <v>703</v>
      </c>
      <c r="H7170" t="s">
        <v>7849</v>
      </c>
      <c r="I7170">
        <v>2</v>
      </c>
      <c r="J7170">
        <v>2</v>
      </c>
      <c r="K7170">
        <v>0</v>
      </c>
      <c r="L7170">
        <v>0</v>
      </c>
      <c r="M7170">
        <v>0</v>
      </c>
      <c r="N7170">
        <v>0</v>
      </c>
      <c r="O7170">
        <v>0</v>
      </c>
    </row>
    <row r="7171" spans="1:15" x14ac:dyDescent="0.25">
      <c r="A7171" t="s">
        <v>1010</v>
      </c>
      <c r="B7171" t="s">
        <v>2639</v>
      </c>
      <c r="C7171" t="s">
        <v>927</v>
      </c>
      <c r="D7171" t="s">
        <v>3052</v>
      </c>
      <c r="E7171" t="s">
        <v>3053</v>
      </c>
      <c r="F7171" t="s">
        <v>702</v>
      </c>
      <c r="G7171" t="s">
        <v>703</v>
      </c>
      <c r="H7171" t="s">
        <v>7850</v>
      </c>
      <c r="I7171">
        <v>1</v>
      </c>
      <c r="J7171">
        <v>1</v>
      </c>
      <c r="K7171">
        <v>0</v>
      </c>
      <c r="L7171">
        <v>0</v>
      </c>
      <c r="M7171">
        <v>0</v>
      </c>
      <c r="N7171">
        <v>0</v>
      </c>
      <c r="O7171">
        <v>0</v>
      </c>
    </row>
    <row r="7172" spans="1:15" x14ac:dyDescent="0.25">
      <c r="A7172" t="s">
        <v>938</v>
      </c>
      <c r="B7172" t="s">
        <v>2791</v>
      </c>
      <c r="C7172" t="s">
        <v>927</v>
      </c>
      <c r="D7172" t="s">
        <v>3052</v>
      </c>
      <c r="E7172" t="s">
        <v>3053</v>
      </c>
      <c r="F7172" t="s">
        <v>702</v>
      </c>
      <c r="G7172" t="s">
        <v>703</v>
      </c>
      <c r="H7172" t="s">
        <v>7851</v>
      </c>
      <c r="I7172">
        <v>320</v>
      </c>
      <c r="J7172">
        <v>263</v>
      </c>
      <c r="K7172">
        <v>0</v>
      </c>
      <c r="L7172">
        <v>6</v>
      </c>
      <c r="M7172">
        <v>0</v>
      </c>
      <c r="N7172">
        <v>0</v>
      </c>
      <c r="O7172">
        <v>51</v>
      </c>
    </row>
    <row r="7173" spans="1:15" x14ac:dyDescent="0.25">
      <c r="A7173" t="s">
        <v>1122</v>
      </c>
      <c r="B7173" t="s">
        <v>2823</v>
      </c>
      <c r="C7173" t="s">
        <v>927</v>
      </c>
      <c r="D7173" t="s">
        <v>3052</v>
      </c>
      <c r="E7173" t="s">
        <v>3053</v>
      </c>
      <c r="F7173" t="s">
        <v>702</v>
      </c>
      <c r="G7173" t="s">
        <v>703</v>
      </c>
      <c r="H7173" t="s">
        <v>7852</v>
      </c>
      <c r="I7173">
        <v>312</v>
      </c>
      <c r="J7173">
        <v>246</v>
      </c>
      <c r="K7173">
        <v>24</v>
      </c>
      <c r="L7173">
        <v>11</v>
      </c>
      <c r="M7173">
        <v>0</v>
      </c>
      <c r="N7173">
        <v>0</v>
      </c>
      <c r="O7173">
        <v>31</v>
      </c>
    </row>
    <row r="7174" spans="1:15" x14ac:dyDescent="0.25">
      <c r="A7174" t="s">
        <v>14386</v>
      </c>
      <c r="B7174" t="s">
        <v>2975</v>
      </c>
      <c r="C7174" t="s">
        <v>927</v>
      </c>
      <c r="D7174" t="s">
        <v>3052</v>
      </c>
      <c r="E7174" t="s">
        <v>3053</v>
      </c>
      <c r="F7174" t="s">
        <v>702</v>
      </c>
      <c r="G7174" t="s">
        <v>703</v>
      </c>
      <c r="H7174" t="s">
        <v>15149</v>
      </c>
      <c r="I7174">
        <v>83</v>
      </c>
      <c r="J7174">
        <v>73</v>
      </c>
      <c r="K7174">
        <v>0</v>
      </c>
      <c r="L7174">
        <v>0</v>
      </c>
      <c r="M7174">
        <v>0</v>
      </c>
      <c r="N7174">
        <v>0</v>
      </c>
      <c r="O7174">
        <v>10</v>
      </c>
    </row>
    <row r="7175" spans="1:15" x14ac:dyDescent="0.25">
      <c r="A7175" t="s">
        <v>11755</v>
      </c>
      <c r="B7175" t="s">
        <v>11754</v>
      </c>
      <c r="C7175" t="s">
        <v>923</v>
      </c>
      <c r="D7175" t="s">
        <v>3063</v>
      </c>
      <c r="E7175" t="s">
        <v>3053</v>
      </c>
      <c r="F7175" t="s">
        <v>702</v>
      </c>
      <c r="G7175" t="s">
        <v>703</v>
      </c>
      <c r="H7175" t="s">
        <v>15150</v>
      </c>
      <c r="I7175">
        <v>5</v>
      </c>
      <c r="J7175">
        <v>0</v>
      </c>
      <c r="K7175">
        <v>0</v>
      </c>
      <c r="L7175">
        <v>5</v>
      </c>
      <c r="M7175">
        <v>0</v>
      </c>
      <c r="N7175">
        <v>0</v>
      </c>
      <c r="O7175">
        <v>0</v>
      </c>
    </row>
    <row r="7176" spans="1:15" x14ac:dyDescent="0.25">
      <c r="A7176" t="s">
        <v>1025</v>
      </c>
      <c r="B7176" t="s">
        <v>2893</v>
      </c>
      <c r="C7176" t="s">
        <v>927</v>
      </c>
      <c r="D7176" t="s">
        <v>3052</v>
      </c>
      <c r="E7176" t="s">
        <v>3053</v>
      </c>
      <c r="F7176" t="s">
        <v>702</v>
      </c>
      <c r="G7176" t="s">
        <v>703</v>
      </c>
      <c r="H7176" t="s">
        <v>7853</v>
      </c>
      <c r="I7176">
        <v>634</v>
      </c>
      <c r="J7176">
        <v>524</v>
      </c>
      <c r="K7176">
        <v>0</v>
      </c>
      <c r="L7176">
        <v>98</v>
      </c>
      <c r="M7176">
        <v>0</v>
      </c>
      <c r="N7176">
        <v>21</v>
      </c>
      <c r="O7176">
        <v>12</v>
      </c>
    </row>
    <row r="7177" spans="1:15" x14ac:dyDescent="0.25">
      <c r="A7177" t="s">
        <v>1293</v>
      </c>
      <c r="B7177" t="s">
        <v>2910</v>
      </c>
      <c r="C7177" t="s">
        <v>927</v>
      </c>
      <c r="D7177" t="s">
        <v>3052</v>
      </c>
      <c r="E7177" t="s">
        <v>3053</v>
      </c>
      <c r="F7177" t="s">
        <v>702</v>
      </c>
      <c r="G7177" t="s">
        <v>703</v>
      </c>
      <c r="H7177" t="s">
        <v>7854</v>
      </c>
      <c r="I7177">
        <v>50</v>
      </c>
      <c r="J7177">
        <v>0</v>
      </c>
      <c r="K7177">
        <v>0</v>
      </c>
      <c r="L7177">
        <v>50</v>
      </c>
      <c r="M7177">
        <v>0</v>
      </c>
      <c r="N7177">
        <v>0</v>
      </c>
      <c r="O7177">
        <v>0</v>
      </c>
    </row>
    <row r="7178" spans="1:15" x14ac:dyDescent="0.25">
      <c r="A7178" t="s">
        <v>943</v>
      </c>
      <c r="B7178" t="s">
        <v>2694</v>
      </c>
      <c r="C7178" t="s">
        <v>927</v>
      </c>
      <c r="D7178" t="s">
        <v>3052</v>
      </c>
      <c r="E7178" t="s">
        <v>3053</v>
      </c>
      <c r="F7178" t="s">
        <v>702</v>
      </c>
      <c r="G7178" t="s">
        <v>703</v>
      </c>
      <c r="H7178" t="s">
        <v>7855</v>
      </c>
      <c r="I7178">
        <v>484</v>
      </c>
      <c r="J7178">
        <v>426</v>
      </c>
      <c r="K7178">
        <v>0</v>
      </c>
      <c r="L7178">
        <v>0</v>
      </c>
      <c r="M7178">
        <v>0</v>
      </c>
      <c r="N7178">
        <v>1</v>
      </c>
      <c r="O7178">
        <v>58</v>
      </c>
    </row>
    <row r="7179" spans="1:15" x14ac:dyDescent="0.25">
      <c r="A7179" t="s">
        <v>11706</v>
      </c>
      <c r="B7179" t="s">
        <v>11761</v>
      </c>
      <c r="C7179" t="s">
        <v>923</v>
      </c>
      <c r="D7179" t="s">
        <v>3063</v>
      </c>
      <c r="E7179" t="s">
        <v>3053</v>
      </c>
      <c r="F7179" t="s">
        <v>702</v>
      </c>
      <c r="G7179" t="s">
        <v>703</v>
      </c>
      <c r="H7179" t="s">
        <v>12339</v>
      </c>
      <c r="I7179">
        <v>99</v>
      </c>
      <c r="J7179">
        <v>99</v>
      </c>
      <c r="K7179">
        <v>0</v>
      </c>
      <c r="L7179">
        <v>0</v>
      </c>
      <c r="M7179">
        <v>0</v>
      </c>
      <c r="N7179">
        <v>0</v>
      </c>
      <c r="O7179">
        <v>0</v>
      </c>
    </row>
    <row r="7180" spans="1:15" x14ac:dyDescent="0.25">
      <c r="A7180" t="s">
        <v>949</v>
      </c>
      <c r="B7180" t="s">
        <v>3035</v>
      </c>
      <c r="C7180" t="s">
        <v>927</v>
      </c>
      <c r="D7180" t="s">
        <v>3052</v>
      </c>
      <c r="E7180" t="s">
        <v>3053</v>
      </c>
      <c r="F7180" t="s">
        <v>702</v>
      </c>
      <c r="G7180" t="s">
        <v>703</v>
      </c>
      <c r="H7180" t="s">
        <v>7856</v>
      </c>
      <c r="I7180">
        <v>11</v>
      </c>
      <c r="J7180">
        <v>0</v>
      </c>
      <c r="K7180">
        <v>0</v>
      </c>
      <c r="L7180">
        <v>0</v>
      </c>
      <c r="M7180">
        <v>0</v>
      </c>
      <c r="N7180">
        <v>0</v>
      </c>
      <c r="O7180">
        <v>11</v>
      </c>
    </row>
    <row r="7181" spans="1:15" x14ac:dyDescent="0.25">
      <c r="A7181" t="s">
        <v>1142</v>
      </c>
      <c r="B7181" t="s">
        <v>3003</v>
      </c>
      <c r="C7181" t="s">
        <v>927</v>
      </c>
      <c r="D7181" t="s">
        <v>3052</v>
      </c>
      <c r="E7181" t="s">
        <v>3053</v>
      </c>
      <c r="F7181" t="s">
        <v>702</v>
      </c>
      <c r="G7181" t="s">
        <v>703</v>
      </c>
      <c r="H7181" t="s">
        <v>7857</v>
      </c>
      <c r="I7181">
        <v>505</v>
      </c>
      <c r="J7181">
        <v>481</v>
      </c>
      <c r="K7181">
        <v>0</v>
      </c>
      <c r="L7181">
        <v>0</v>
      </c>
      <c r="M7181">
        <v>0</v>
      </c>
      <c r="N7181">
        <v>2</v>
      </c>
      <c r="O7181">
        <v>24</v>
      </c>
    </row>
    <row r="7182" spans="1:15" x14ac:dyDescent="0.25">
      <c r="A7182" t="s">
        <v>1043</v>
      </c>
      <c r="B7182" t="s">
        <v>2090</v>
      </c>
      <c r="C7182" t="s">
        <v>927</v>
      </c>
      <c r="D7182" t="s">
        <v>3052</v>
      </c>
      <c r="E7182" t="s">
        <v>3053</v>
      </c>
      <c r="F7182" t="s">
        <v>702</v>
      </c>
      <c r="G7182" t="s">
        <v>703</v>
      </c>
      <c r="H7182" t="s">
        <v>7858</v>
      </c>
      <c r="I7182">
        <v>102</v>
      </c>
      <c r="J7182">
        <v>102</v>
      </c>
      <c r="K7182">
        <v>0</v>
      </c>
      <c r="L7182">
        <v>0</v>
      </c>
      <c r="M7182">
        <v>0</v>
      </c>
      <c r="N7182">
        <v>0</v>
      </c>
      <c r="O7182">
        <v>0</v>
      </c>
    </row>
    <row r="7183" spans="1:15" x14ac:dyDescent="0.25">
      <c r="A7183" t="s">
        <v>1146</v>
      </c>
      <c r="B7183" t="s">
        <v>2117</v>
      </c>
      <c r="C7183" t="s">
        <v>927</v>
      </c>
      <c r="D7183" t="s">
        <v>3052</v>
      </c>
      <c r="E7183" t="s">
        <v>3053</v>
      </c>
      <c r="F7183" t="s">
        <v>702</v>
      </c>
      <c r="G7183" t="s">
        <v>703</v>
      </c>
      <c r="H7183" t="s">
        <v>15151</v>
      </c>
      <c r="I7183">
        <v>398</v>
      </c>
      <c r="J7183">
        <v>318</v>
      </c>
      <c r="K7183">
        <v>0</v>
      </c>
      <c r="L7183">
        <v>0</v>
      </c>
      <c r="M7183">
        <v>0</v>
      </c>
      <c r="N7183">
        <v>1</v>
      </c>
      <c r="O7183">
        <v>80</v>
      </c>
    </row>
    <row r="7184" spans="1:15" x14ac:dyDescent="0.25">
      <c r="A7184" t="s">
        <v>1906</v>
      </c>
      <c r="B7184" t="s">
        <v>1983</v>
      </c>
      <c r="C7184" t="s">
        <v>923</v>
      </c>
      <c r="D7184" t="s">
        <v>3063</v>
      </c>
      <c r="E7184" t="s">
        <v>3053</v>
      </c>
      <c r="F7184" t="s">
        <v>702</v>
      </c>
      <c r="G7184" t="s">
        <v>703</v>
      </c>
      <c r="H7184" t="s">
        <v>12340</v>
      </c>
      <c r="I7184">
        <v>50</v>
      </c>
      <c r="J7184">
        <v>50</v>
      </c>
      <c r="K7184">
        <v>0</v>
      </c>
      <c r="L7184">
        <v>0</v>
      </c>
      <c r="M7184">
        <v>0</v>
      </c>
      <c r="N7184">
        <v>0</v>
      </c>
      <c r="O7184">
        <v>0</v>
      </c>
    </row>
    <row r="7185" spans="1:15" x14ac:dyDescent="0.25">
      <c r="A7185" t="s">
        <v>951</v>
      </c>
      <c r="B7185" t="s">
        <v>2680</v>
      </c>
      <c r="C7185" t="s">
        <v>927</v>
      </c>
      <c r="D7185" t="s">
        <v>3052</v>
      </c>
      <c r="E7185" t="s">
        <v>3053</v>
      </c>
      <c r="F7185" t="s">
        <v>702</v>
      </c>
      <c r="G7185" t="s">
        <v>703</v>
      </c>
      <c r="H7185" t="s">
        <v>7859</v>
      </c>
      <c r="I7185">
        <v>15</v>
      </c>
      <c r="J7185">
        <v>1</v>
      </c>
      <c r="K7185">
        <v>0</v>
      </c>
      <c r="L7185">
        <v>0</v>
      </c>
      <c r="M7185">
        <v>0</v>
      </c>
      <c r="N7185">
        <v>0</v>
      </c>
      <c r="O7185">
        <v>14</v>
      </c>
    </row>
    <row r="7186" spans="1:15" x14ac:dyDescent="0.25">
      <c r="A7186" t="s">
        <v>953</v>
      </c>
      <c r="B7186" t="s">
        <v>2014</v>
      </c>
      <c r="C7186" t="s">
        <v>927</v>
      </c>
      <c r="D7186" t="s">
        <v>3052</v>
      </c>
      <c r="E7186" t="s">
        <v>3053</v>
      </c>
      <c r="F7186" t="s">
        <v>702</v>
      </c>
      <c r="G7186" t="s">
        <v>703</v>
      </c>
      <c r="H7186" t="s">
        <v>7860</v>
      </c>
      <c r="I7186">
        <v>6</v>
      </c>
      <c r="J7186">
        <v>0</v>
      </c>
      <c r="K7186">
        <v>0</v>
      </c>
      <c r="L7186">
        <v>6</v>
      </c>
      <c r="M7186">
        <v>0</v>
      </c>
      <c r="N7186">
        <v>0</v>
      </c>
      <c r="O7186">
        <v>0</v>
      </c>
    </row>
    <row r="7187" spans="1:15" x14ac:dyDescent="0.25">
      <c r="A7187" t="s">
        <v>955</v>
      </c>
      <c r="B7187" t="s">
        <v>2660</v>
      </c>
      <c r="C7187" t="s">
        <v>927</v>
      </c>
      <c r="D7187" t="s">
        <v>3052</v>
      </c>
      <c r="E7187" t="s">
        <v>3053</v>
      </c>
      <c r="F7187" t="s">
        <v>702</v>
      </c>
      <c r="G7187" t="s">
        <v>703</v>
      </c>
      <c r="H7187" t="s">
        <v>7861</v>
      </c>
      <c r="I7187">
        <v>12</v>
      </c>
      <c r="J7187">
        <v>12</v>
      </c>
      <c r="K7187">
        <v>0</v>
      </c>
      <c r="L7187">
        <v>0</v>
      </c>
      <c r="M7187">
        <v>0</v>
      </c>
      <c r="N7187">
        <v>0</v>
      </c>
      <c r="O7187">
        <v>0</v>
      </c>
    </row>
    <row r="7188" spans="1:15" x14ac:dyDescent="0.25">
      <c r="A7188" t="s">
        <v>960</v>
      </c>
      <c r="B7188" t="s">
        <v>2080</v>
      </c>
      <c r="C7188" t="s">
        <v>927</v>
      </c>
      <c r="D7188" t="s">
        <v>3052</v>
      </c>
      <c r="E7188" t="s">
        <v>3053</v>
      </c>
      <c r="F7188" t="s">
        <v>702</v>
      </c>
      <c r="G7188" t="s">
        <v>703</v>
      </c>
      <c r="H7188" t="s">
        <v>7862</v>
      </c>
      <c r="I7188">
        <v>157</v>
      </c>
      <c r="J7188">
        <v>127</v>
      </c>
      <c r="K7188">
        <v>0</v>
      </c>
      <c r="L7188">
        <v>0</v>
      </c>
      <c r="M7188">
        <v>0</v>
      </c>
      <c r="N7188">
        <v>0</v>
      </c>
      <c r="O7188">
        <v>30</v>
      </c>
    </row>
    <row r="7189" spans="1:15" x14ac:dyDescent="0.25">
      <c r="A7189" t="s">
        <v>14380</v>
      </c>
      <c r="B7189" t="s">
        <v>2074</v>
      </c>
      <c r="C7189" t="s">
        <v>927</v>
      </c>
      <c r="D7189" t="s">
        <v>3052</v>
      </c>
      <c r="E7189" t="s">
        <v>3053</v>
      </c>
      <c r="F7189" t="s">
        <v>702</v>
      </c>
      <c r="G7189" t="s">
        <v>703</v>
      </c>
      <c r="H7189" t="s">
        <v>15152</v>
      </c>
      <c r="I7189">
        <v>32</v>
      </c>
      <c r="J7189">
        <v>0</v>
      </c>
      <c r="K7189">
        <v>0</v>
      </c>
      <c r="L7189">
        <v>0</v>
      </c>
      <c r="M7189">
        <v>0</v>
      </c>
      <c r="N7189">
        <v>0</v>
      </c>
      <c r="O7189">
        <v>32</v>
      </c>
    </row>
    <row r="7190" spans="1:15" x14ac:dyDescent="0.25">
      <c r="A7190" t="s">
        <v>966</v>
      </c>
      <c r="B7190" t="s">
        <v>2684</v>
      </c>
      <c r="C7190" t="s">
        <v>927</v>
      </c>
      <c r="D7190" t="s">
        <v>3052</v>
      </c>
      <c r="E7190" t="s">
        <v>3053</v>
      </c>
      <c r="F7190" t="s">
        <v>702</v>
      </c>
      <c r="G7190" t="s">
        <v>703</v>
      </c>
      <c r="H7190" t="s">
        <v>7863</v>
      </c>
      <c r="I7190">
        <v>1</v>
      </c>
      <c r="J7190">
        <v>1</v>
      </c>
      <c r="K7190">
        <v>0</v>
      </c>
      <c r="L7190">
        <v>0</v>
      </c>
      <c r="M7190">
        <v>0</v>
      </c>
      <c r="N7190">
        <v>0</v>
      </c>
      <c r="O7190">
        <v>0</v>
      </c>
    </row>
    <row r="7191" spans="1:15" x14ac:dyDescent="0.25">
      <c r="A7191" t="s">
        <v>1080</v>
      </c>
      <c r="B7191" t="s">
        <v>2030</v>
      </c>
      <c r="C7191" t="s">
        <v>923</v>
      </c>
      <c r="D7191" t="s">
        <v>3063</v>
      </c>
      <c r="E7191" t="s">
        <v>3053</v>
      </c>
      <c r="F7191" t="s">
        <v>702</v>
      </c>
      <c r="G7191" t="s">
        <v>703</v>
      </c>
      <c r="H7191" t="s">
        <v>7864</v>
      </c>
      <c r="I7191">
        <v>14</v>
      </c>
      <c r="J7191">
        <v>0</v>
      </c>
      <c r="K7191">
        <v>0</v>
      </c>
      <c r="L7191">
        <v>14</v>
      </c>
      <c r="M7191">
        <v>0</v>
      </c>
      <c r="N7191">
        <v>0</v>
      </c>
      <c r="O7191">
        <v>0</v>
      </c>
    </row>
    <row r="7192" spans="1:15" x14ac:dyDescent="0.25">
      <c r="A7192" t="s">
        <v>14377</v>
      </c>
      <c r="B7192" t="s">
        <v>14444</v>
      </c>
      <c r="C7192" t="s">
        <v>923</v>
      </c>
      <c r="D7192" t="s">
        <v>3063</v>
      </c>
      <c r="E7192" t="s">
        <v>3053</v>
      </c>
      <c r="F7192" t="s">
        <v>702</v>
      </c>
      <c r="G7192" t="s">
        <v>703</v>
      </c>
      <c r="H7192" t="s">
        <v>15153</v>
      </c>
      <c r="I7192">
        <v>5</v>
      </c>
      <c r="J7192">
        <v>0</v>
      </c>
      <c r="K7192">
        <v>0</v>
      </c>
      <c r="L7192">
        <v>5</v>
      </c>
      <c r="M7192">
        <v>0</v>
      </c>
      <c r="N7192">
        <v>0</v>
      </c>
      <c r="O7192">
        <v>0</v>
      </c>
    </row>
    <row r="7193" spans="1:15" x14ac:dyDescent="0.25">
      <c r="A7193" t="s">
        <v>1398</v>
      </c>
      <c r="B7193" t="s">
        <v>2998</v>
      </c>
      <c r="C7193" t="s">
        <v>927</v>
      </c>
      <c r="D7193" t="s">
        <v>3052</v>
      </c>
      <c r="E7193" t="s">
        <v>3053</v>
      </c>
      <c r="F7193" t="s">
        <v>702</v>
      </c>
      <c r="G7193" t="s">
        <v>703</v>
      </c>
      <c r="H7193" t="s">
        <v>7865</v>
      </c>
      <c r="I7193">
        <v>61</v>
      </c>
      <c r="J7193">
        <v>0</v>
      </c>
      <c r="K7193">
        <v>0</v>
      </c>
      <c r="L7193">
        <v>61</v>
      </c>
      <c r="M7193">
        <v>0</v>
      </c>
      <c r="N7193">
        <v>0</v>
      </c>
      <c r="O7193">
        <v>0</v>
      </c>
    </row>
    <row r="7194" spans="1:15" x14ac:dyDescent="0.25">
      <c r="A7194" t="s">
        <v>926</v>
      </c>
      <c r="B7194" t="s">
        <v>2923</v>
      </c>
      <c r="C7194" t="s">
        <v>927</v>
      </c>
      <c r="D7194" t="s">
        <v>3052</v>
      </c>
      <c r="E7194" t="s">
        <v>3053</v>
      </c>
      <c r="F7194" t="s">
        <v>704</v>
      </c>
      <c r="G7194" t="s">
        <v>705</v>
      </c>
      <c r="H7194" t="s">
        <v>7866</v>
      </c>
      <c r="I7194">
        <v>3</v>
      </c>
      <c r="J7194">
        <v>0</v>
      </c>
      <c r="K7194">
        <v>0</v>
      </c>
      <c r="L7194">
        <v>0</v>
      </c>
      <c r="M7194">
        <v>0</v>
      </c>
      <c r="N7194">
        <v>0</v>
      </c>
      <c r="O7194">
        <v>3</v>
      </c>
    </row>
    <row r="7195" spans="1:15" x14ac:dyDescent="0.25">
      <c r="A7195" t="s">
        <v>929</v>
      </c>
      <c r="B7195" t="s">
        <v>2999</v>
      </c>
      <c r="C7195" t="s">
        <v>927</v>
      </c>
      <c r="D7195" t="s">
        <v>3052</v>
      </c>
      <c r="E7195" t="s">
        <v>3053</v>
      </c>
      <c r="F7195" t="s">
        <v>704</v>
      </c>
      <c r="G7195" t="s">
        <v>705</v>
      </c>
      <c r="H7195" t="s">
        <v>7867</v>
      </c>
      <c r="I7195">
        <v>52</v>
      </c>
      <c r="J7195">
        <v>3</v>
      </c>
      <c r="K7195">
        <v>0</v>
      </c>
      <c r="L7195">
        <v>0</v>
      </c>
      <c r="M7195">
        <v>20</v>
      </c>
      <c r="N7195">
        <v>0</v>
      </c>
      <c r="O7195">
        <v>29</v>
      </c>
    </row>
    <row r="7196" spans="1:15" x14ac:dyDescent="0.25">
      <c r="A7196" t="s">
        <v>1703</v>
      </c>
      <c r="B7196" t="s">
        <v>1992</v>
      </c>
      <c r="C7196" t="s">
        <v>923</v>
      </c>
      <c r="D7196" t="s">
        <v>3063</v>
      </c>
      <c r="E7196" t="s">
        <v>3053</v>
      </c>
      <c r="F7196" t="s">
        <v>704</v>
      </c>
      <c r="G7196" t="s">
        <v>705</v>
      </c>
      <c r="H7196" t="s">
        <v>15154</v>
      </c>
      <c r="I7196">
        <v>16</v>
      </c>
      <c r="J7196">
        <v>0</v>
      </c>
      <c r="K7196">
        <v>0</v>
      </c>
      <c r="L7196">
        <v>16</v>
      </c>
      <c r="M7196">
        <v>0</v>
      </c>
      <c r="N7196">
        <v>0</v>
      </c>
      <c r="O7196">
        <v>0</v>
      </c>
    </row>
    <row r="7197" spans="1:15" x14ac:dyDescent="0.25">
      <c r="A7197" t="s">
        <v>14402</v>
      </c>
      <c r="B7197" t="s">
        <v>15155</v>
      </c>
      <c r="C7197" t="s">
        <v>923</v>
      </c>
      <c r="D7197" t="s">
        <v>3063</v>
      </c>
      <c r="E7197" t="s">
        <v>3053</v>
      </c>
      <c r="F7197" t="s">
        <v>704</v>
      </c>
      <c r="G7197" t="s">
        <v>705</v>
      </c>
      <c r="H7197" t="s">
        <v>15156</v>
      </c>
      <c r="I7197">
        <v>14</v>
      </c>
      <c r="J7197">
        <v>14</v>
      </c>
      <c r="K7197">
        <v>0</v>
      </c>
      <c r="L7197">
        <v>0</v>
      </c>
      <c r="M7197">
        <v>0</v>
      </c>
      <c r="N7197">
        <v>0</v>
      </c>
      <c r="O7197">
        <v>0</v>
      </c>
    </row>
    <row r="7198" spans="1:15" x14ac:dyDescent="0.25">
      <c r="A7198" t="s">
        <v>983</v>
      </c>
      <c r="B7198" t="s">
        <v>2069</v>
      </c>
      <c r="C7198" t="s">
        <v>927</v>
      </c>
      <c r="D7198" t="s">
        <v>3052</v>
      </c>
      <c r="E7198" t="s">
        <v>3053</v>
      </c>
      <c r="F7198" t="s">
        <v>704</v>
      </c>
      <c r="G7198" t="s">
        <v>705</v>
      </c>
      <c r="H7198" t="s">
        <v>7868</v>
      </c>
      <c r="I7198">
        <v>1144</v>
      </c>
      <c r="J7198">
        <v>791</v>
      </c>
      <c r="K7198">
        <v>0</v>
      </c>
      <c r="L7198">
        <v>1</v>
      </c>
      <c r="M7198">
        <v>15</v>
      </c>
      <c r="N7198">
        <v>0</v>
      </c>
      <c r="O7198">
        <v>337</v>
      </c>
    </row>
    <row r="7199" spans="1:15" x14ac:dyDescent="0.25">
      <c r="A7199" t="s">
        <v>1715</v>
      </c>
      <c r="B7199" t="s">
        <v>2136</v>
      </c>
      <c r="C7199" t="s">
        <v>927</v>
      </c>
      <c r="D7199" t="s">
        <v>3052</v>
      </c>
      <c r="E7199" t="s">
        <v>3053</v>
      </c>
      <c r="F7199" t="s">
        <v>704</v>
      </c>
      <c r="G7199" t="s">
        <v>705</v>
      </c>
      <c r="H7199" t="s">
        <v>7869</v>
      </c>
      <c r="I7199">
        <v>1006</v>
      </c>
      <c r="J7199">
        <v>917</v>
      </c>
      <c r="K7199">
        <v>0</v>
      </c>
      <c r="L7199">
        <v>11</v>
      </c>
      <c r="M7199">
        <v>0</v>
      </c>
      <c r="N7199">
        <v>0</v>
      </c>
      <c r="O7199">
        <v>78</v>
      </c>
    </row>
    <row r="7200" spans="1:15" x14ac:dyDescent="0.25">
      <c r="A7200" t="s">
        <v>933</v>
      </c>
      <c r="B7200" t="s">
        <v>2106</v>
      </c>
      <c r="C7200" t="s">
        <v>927</v>
      </c>
      <c r="D7200" t="s">
        <v>3052</v>
      </c>
      <c r="E7200" t="s">
        <v>3053</v>
      </c>
      <c r="F7200" t="s">
        <v>704</v>
      </c>
      <c r="G7200" t="s">
        <v>705</v>
      </c>
      <c r="H7200" t="s">
        <v>7870</v>
      </c>
      <c r="I7200">
        <v>28</v>
      </c>
      <c r="J7200">
        <v>24</v>
      </c>
      <c r="K7200">
        <v>0</v>
      </c>
      <c r="L7200">
        <v>0</v>
      </c>
      <c r="M7200">
        <v>0</v>
      </c>
      <c r="N7200">
        <v>0</v>
      </c>
      <c r="O7200">
        <v>4</v>
      </c>
    </row>
    <row r="7201" spans="1:15" x14ac:dyDescent="0.25">
      <c r="A7201" t="s">
        <v>10638</v>
      </c>
      <c r="B7201" t="s">
        <v>2057</v>
      </c>
      <c r="C7201" t="s">
        <v>927</v>
      </c>
      <c r="D7201" t="s">
        <v>3052</v>
      </c>
      <c r="E7201" t="s">
        <v>3053</v>
      </c>
      <c r="F7201" t="s">
        <v>704</v>
      </c>
      <c r="G7201" t="s">
        <v>705</v>
      </c>
      <c r="H7201" t="s">
        <v>11308</v>
      </c>
      <c r="I7201">
        <v>1</v>
      </c>
      <c r="J7201">
        <v>0</v>
      </c>
      <c r="K7201">
        <v>0</v>
      </c>
      <c r="L7201">
        <v>1</v>
      </c>
      <c r="M7201">
        <v>0</v>
      </c>
      <c r="N7201">
        <v>0</v>
      </c>
      <c r="O7201">
        <v>0</v>
      </c>
    </row>
    <row r="7202" spans="1:15" x14ac:dyDescent="0.25">
      <c r="A7202" t="s">
        <v>10643</v>
      </c>
      <c r="B7202" t="s">
        <v>2987</v>
      </c>
      <c r="C7202" t="s">
        <v>927</v>
      </c>
      <c r="D7202" t="s">
        <v>3052</v>
      </c>
      <c r="E7202" t="s">
        <v>3053</v>
      </c>
      <c r="F7202" t="s">
        <v>704</v>
      </c>
      <c r="G7202" t="s">
        <v>705</v>
      </c>
      <c r="H7202" t="s">
        <v>11309</v>
      </c>
      <c r="I7202">
        <v>72</v>
      </c>
      <c r="J7202">
        <v>42</v>
      </c>
      <c r="K7202">
        <v>0</v>
      </c>
      <c r="L7202">
        <v>29</v>
      </c>
      <c r="M7202">
        <v>0</v>
      </c>
      <c r="N7202">
        <v>0</v>
      </c>
      <c r="O7202">
        <v>1</v>
      </c>
    </row>
    <row r="7203" spans="1:15" x14ac:dyDescent="0.25">
      <c r="A7203" t="s">
        <v>1823</v>
      </c>
      <c r="B7203" t="s">
        <v>1955</v>
      </c>
      <c r="C7203" t="s">
        <v>923</v>
      </c>
      <c r="D7203" t="s">
        <v>3063</v>
      </c>
      <c r="E7203" t="s">
        <v>3053</v>
      </c>
      <c r="F7203" t="s">
        <v>704</v>
      </c>
      <c r="G7203" t="s">
        <v>705</v>
      </c>
      <c r="H7203" t="s">
        <v>11310</v>
      </c>
      <c r="I7203">
        <v>13</v>
      </c>
      <c r="J7203">
        <v>0</v>
      </c>
      <c r="K7203">
        <v>0</v>
      </c>
      <c r="L7203">
        <v>13</v>
      </c>
      <c r="M7203">
        <v>0</v>
      </c>
      <c r="N7203">
        <v>0</v>
      </c>
      <c r="O7203">
        <v>0</v>
      </c>
    </row>
    <row r="7204" spans="1:15" x14ac:dyDescent="0.25">
      <c r="A7204" t="s">
        <v>937</v>
      </c>
      <c r="B7204" t="s">
        <v>1962</v>
      </c>
      <c r="C7204" t="s">
        <v>927</v>
      </c>
      <c r="D7204" t="s">
        <v>3052</v>
      </c>
      <c r="E7204" t="s">
        <v>3053</v>
      </c>
      <c r="F7204" t="s">
        <v>704</v>
      </c>
      <c r="G7204" t="s">
        <v>705</v>
      </c>
      <c r="H7204" t="s">
        <v>11311</v>
      </c>
      <c r="I7204">
        <v>15</v>
      </c>
      <c r="J7204">
        <v>0</v>
      </c>
      <c r="K7204">
        <v>0</v>
      </c>
      <c r="L7204">
        <v>0</v>
      </c>
      <c r="M7204">
        <v>0</v>
      </c>
      <c r="N7204">
        <v>0</v>
      </c>
      <c r="O7204">
        <v>15</v>
      </c>
    </row>
    <row r="7205" spans="1:15" x14ac:dyDescent="0.25">
      <c r="A7205" t="s">
        <v>1011</v>
      </c>
      <c r="B7205" t="s">
        <v>2020</v>
      </c>
      <c r="C7205" t="s">
        <v>927</v>
      </c>
      <c r="D7205" t="s">
        <v>3052</v>
      </c>
      <c r="E7205" t="s">
        <v>3053</v>
      </c>
      <c r="F7205" t="s">
        <v>704</v>
      </c>
      <c r="G7205" t="s">
        <v>705</v>
      </c>
      <c r="H7205" t="s">
        <v>11312</v>
      </c>
      <c r="I7205">
        <v>11</v>
      </c>
      <c r="J7205">
        <v>0</v>
      </c>
      <c r="K7205">
        <v>0</v>
      </c>
      <c r="L7205">
        <v>11</v>
      </c>
      <c r="M7205">
        <v>0</v>
      </c>
      <c r="N7205">
        <v>0</v>
      </c>
      <c r="O7205">
        <v>0</v>
      </c>
    </row>
    <row r="7206" spans="1:15" x14ac:dyDescent="0.25">
      <c r="A7206" t="s">
        <v>938</v>
      </c>
      <c r="B7206" t="s">
        <v>2791</v>
      </c>
      <c r="C7206" t="s">
        <v>927</v>
      </c>
      <c r="D7206" t="s">
        <v>3052</v>
      </c>
      <c r="E7206" t="s">
        <v>3053</v>
      </c>
      <c r="F7206" t="s">
        <v>704</v>
      </c>
      <c r="G7206" t="s">
        <v>705</v>
      </c>
      <c r="H7206" t="s">
        <v>7871</v>
      </c>
      <c r="I7206">
        <v>33</v>
      </c>
      <c r="J7206">
        <v>0</v>
      </c>
      <c r="K7206">
        <v>0</v>
      </c>
      <c r="L7206">
        <v>33</v>
      </c>
      <c r="M7206">
        <v>0</v>
      </c>
      <c r="N7206">
        <v>0</v>
      </c>
      <c r="O7206">
        <v>0</v>
      </c>
    </row>
    <row r="7207" spans="1:15" x14ac:dyDescent="0.25">
      <c r="A7207" t="s">
        <v>940</v>
      </c>
      <c r="B7207" t="s">
        <v>2647</v>
      </c>
      <c r="C7207" t="s">
        <v>927</v>
      </c>
      <c r="D7207" t="s">
        <v>3052</v>
      </c>
      <c r="E7207" t="s">
        <v>3053</v>
      </c>
      <c r="F7207" t="s">
        <v>704</v>
      </c>
      <c r="G7207" t="s">
        <v>705</v>
      </c>
      <c r="H7207" t="s">
        <v>7872</v>
      </c>
      <c r="I7207">
        <v>67</v>
      </c>
      <c r="J7207">
        <v>0</v>
      </c>
      <c r="K7207">
        <v>0</v>
      </c>
      <c r="L7207">
        <v>0</v>
      </c>
      <c r="M7207">
        <v>67</v>
      </c>
      <c r="N7207">
        <v>0</v>
      </c>
      <c r="O7207">
        <v>0</v>
      </c>
    </row>
    <row r="7208" spans="1:15" x14ac:dyDescent="0.25">
      <c r="A7208" t="s">
        <v>1013</v>
      </c>
      <c r="B7208" t="s">
        <v>1959</v>
      </c>
      <c r="C7208" t="s">
        <v>927</v>
      </c>
      <c r="D7208" t="s">
        <v>3052</v>
      </c>
      <c r="E7208" t="s">
        <v>3053</v>
      </c>
      <c r="F7208" t="s">
        <v>704</v>
      </c>
      <c r="G7208" t="s">
        <v>705</v>
      </c>
      <c r="H7208" t="s">
        <v>11313</v>
      </c>
      <c r="I7208">
        <v>3</v>
      </c>
      <c r="J7208">
        <v>0</v>
      </c>
      <c r="K7208">
        <v>0</v>
      </c>
      <c r="L7208">
        <v>3</v>
      </c>
      <c r="M7208">
        <v>0</v>
      </c>
      <c r="N7208">
        <v>0</v>
      </c>
      <c r="O7208">
        <v>0</v>
      </c>
    </row>
    <row r="7209" spans="1:15" x14ac:dyDescent="0.25">
      <c r="A7209" t="s">
        <v>1030</v>
      </c>
      <c r="B7209" t="s">
        <v>2880</v>
      </c>
      <c r="C7209" t="s">
        <v>927</v>
      </c>
      <c r="D7209" t="s">
        <v>3052</v>
      </c>
      <c r="E7209" t="s">
        <v>3053</v>
      </c>
      <c r="F7209" t="s">
        <v>704</v>
      </c>
      <c r="G7209" t="s">
        <v>705</v>
      </c>
      <c r="H7209" t="s">
        <v>7873</v>
      </c>
      <c r="I7209">
        <v>101</v>
      </c>
      <c r="J7209">
        <v>62</v>
      </c>
      <c r="K7209">
        <v>0</v>
      </c>
      <c r="L7209">
        <v>8</v>
      </c>
      <c r="M7209">
        <v>0</v>
      </c>
      <c r="N7209">
        <v>0</v>
      </c>
      <c r="O7209">
        <v>31</v>
      </c>
    </row>
    <row r="7210" spans="1:15" x14ac:dyDescent="0.25">
      <c r="A7210" t="s">
        <v>1041</v>
      </c>
      <c r="B7210" t="s">
        <v>2826</v>
      </c>
      <c r="C7210" t="s">
        <v>927</v>
      </c>
      <c r="D7210" t="s">
        <v>3052</v>
      </c>
      <c r="E7210" t="s">
        <v>3053</v>
      </c>
      <c r="F7210" t="s">
        <v>704</v>
      </c>
      <c r="G7210" t="s">
        <v>705</v>
      </c>
      <c r="H7210" t="s">
        <v>7874</v>
      </c>
      <c r="I7210">
        <v>5</v>
      </c>
      <c r="J7210">
        <v>0</v>
      </c>
      <c r="K7210">
        <v>0</v>
      </c>
      <c r="L7210">
        <v>0</v>
      </c>
      <c r="M7210">
        <v>0</v>
      </c>
      <c r="N7210">
        <v>0</v>
      </c>
      <c r="O7210">
        <v>5</v>
      </c>
    </row>
    <row r="7211" spans="1:15" x14ac:dyDescent="0.25">
      <c r="A7211" t="s">
        <v>9787</v>
      </c>
      <c r="B7211" t="s">
        <v>2822</v>
      </c>
      <c r="C7211" t="s">
        <v>927</v>
      </c>
      <c r="D7211" t="s">
        <v>3052</v>
      </c>
      <c r="E7211" t="s">
        <v>3053</v>
      </c>
      <c r="F7211" t="s">
        <v>704</v>
      </c>
      <c r="G7211" t="s">
        <v>705</v>
      </c>
      <c r="H7211" t="s">
        <v>10278</v>
      </c>
      <c r="I7211">
        <v>8</v>
      </c>
      <c r="J7211">
        <v>8</v>
      </c>
      <c r="K7211">
        <v>0</v>
      </c>
      <c r="L7211">
        <v>0</v>
      </c>
      <c r="M7211">
        <v>0</v>
      </c>
      <c r="N7211">
        <v>0</v>
      </c>
      <c r="O7211">
        <v>0</v>
      </c>
    </row>
    <row r="7212" spans="1:15" x14ac:dyDescent="0.25">
      <c r="A7212" t="s">
        <v>1049</v>
      </c>
      <c r="B7212" t="s">
        <v>2138</v>
      </c>
      <c r="C7212" t="s">
        <v>927</v>
      </c>
      <c r="D7212" t="s">
        <v>3052</v>
      </c>
      <c r="E7212" t="s">
        <v>3053</v>
      </c>
      <c r="F7212" t="s">
        <v>704</v>
      </c>
      <c r="G7212" t="s">
        <v>705</v>
      </c>
      <c r="H7212" t="s">
        <v>7875</v>
      </c>
      <c r="I7212">
        <v>819</v>
      </c>
      <c r="J7212">
        <v>622</v>
      </c>
      <c r="K7212">
        <v>0</v>
      </c>
      <c r="L7212">
        <v>0</v>
      </c>
      <c r="M7212">
        <v>57</v>
      </c>
      <c r="N7212">
        <v>0</v>
      </c>
      <c r="O7212">
        <v>140</v>
      </c>
    </row>
    <row r="7213" spans="1:15" x14ac:dyDescent="0.25">
      <c r="A7213" t="s">
        <v>1833</v>
      </c>
      <c r="B7213" t="s">
        <v>2596</v>
      </c>
      <c r="C7213" t="s">
        <v>923</v>
      </c>
      <c r="D7213" t="s">
        <v>3063</v>
      </c>
      <c r="E7213" t="s">
        <v>3053</v>
      </c>
      <c r="F7213" t="s">
        <v>704</v>
      </c>
      <c r="G7213" t="s">
        <v>705</v>
      </c>
      <c r="H7213" t="s">
        <v>7876</v>
      </c>
      <c r="I7213">
        <v>22</v>
      </c>
      <c r="J7213">
        <v>0</v>
      </c>
      <c r="K7213">
        <v>0</v>
      </c>
      <c r="L7213">
        <v>0</v>
      </c>
      <c r="M7213">
        <v>22</v>
      </c>
      <c r="N7213">
        <v>0</v>
      </c>
      <c r="O7213">
        <v>0</v>
      </c>
    </row>
    <row r="7214" spans="1:15" x14ac:dyDescent="0.25">
      <c r="A7214" t="s">
        <v>955</v>
      </c>
      <c r="B7214" t="s">
        <v>2660</v>
      </c>
      <c r="C7214" t="s">
        <v>927</v>
      </c>
      <c r="D7214" t="s">
        <v>3052</v>
      </c>
      <c r="E7214" t="s">
        <v>3053</v>
      </c>
      <c r="F7214" t="s">
        <v>704</v>
      </c>
      <c r="G7214" t="s">
        <v>705</v>
      </c>
      <c r="H7214" t="s">
        <v>7877</v>
      </c>
      <c r="I7214">
        <v>194</v>
      </c>
      <c r="J7214">
        <v>167</v>
      </c>
      <c r="K7214">
        <v>0</v>
      </c>
      <c r="L7214">
        <v>10</v>
      </c>
      <c r="M7214">
        <v>17</v>
      </c>
      <c r="N7214">
        <v>0</v>
      </c>
      <c r="O7214">
        <v>0</v>
      </c>
    </row>
    <row r="7215" spans="1:15" x14ac:dyDescent="0.25">
      <c r="A7215" t="s">
        <v>1842</v>
      </c>
      <c r="B7215" t="s">
        <v>2176</v>
      </c>
      <c r="C7215" t="s">
        <v>923</v>
      </c>
      <c r="D7215" t="s">
        <v>3063</v>
      </c>
      <c r="E7215" t="s">
        <v>3053</v>
      </c>
      <c r="F7215" t="s">
        <v>704</v>
      </c>
      <c r="G7215" t="s">
        <v>705</v>
      </c>
      <c r="H7215" t="s">
        <v>7878</v>
      </c>
      <c r="I7215">
        <v>146</v>
      </c>
      <c r="J7215">
        <v>0</v>
      </c>
      <c r="K7215">
        <v>0</v>
      </c>
      <c r="L7215">
        <v>0</v>
      </c>
      <c r="M7215">
        <v>146</v>
      </c>
      <c r="N7215">
        <v>0</v>
      </c>
      <c r="O7215">
        <v>0</v>
      </c>
    </row>
    <row r="7216" spans="1:15" x14ac:dyDescent="0.25">
      <c r="A7216" t="s">
        <v>1845</v>
      </c>
      <c r="B7216" t="s">
        <v>2834</v>
      </c>
      <c r="C7216" t="s">
        <v>923</v>
      </c>
      <c r="D7216" t="s">
        <v>3063</v>
      </c>
      <c r="E7216" t="s">
        <v>3053</v>
      </c>
      <c r="F7216" t="s">
        <v>704</v>
      </c>
      <c r="G7216" t="s">
        <v>705</v>
      </c>
      <c r="H7216" t="s">
        <v>7879</v>
      </c>
      <c r="I7216">
        <v>113</v>
      </c>
      <c r="J7216">
        <v>0</v>
      </c>
      <c r="K7216">
        <v>0</v>
      </c>
      <c r="L7216">
        <v>32</v>
      </c>
      <c r="M7216">
        <v>81</v>
      </c>
      <c r="N7216">
        <v>0</v>
      </c>
      <c r="O7216">
        <v>0</v>
      </c>
    </row>
    <row r="7217" spans="1:15" x14ac:dyDescent="0.25">
      <c r="A7217" t="s">
        <v>11663</v>
      </c>
      <c r="B7217" t="s">
        <v>11768</v>
      </c>
      <c r="C7217" t="s">
        <v>927</v>
      </c>
      <c r="D7217" t="s">
        <v>3052</v>
      </c>
      <c r="E7217" t="s">
        <v>3053</v>
      </c>
      <c r="F7217" t="s">
        <v>704</v>
      </c>
      <c r="G7217" t="s">
        <v>705</v>
      </c>
      <c r="H7217" t="s">
        <v>12341</v>
      </c>
      <c r="I7217">
        <v>75</v>
      </c>
      <c r="J7217">
        <v>34</v>
      </c>
      <c r="K7217">
        <v>0</v>
      </c>
      <c r="L7217">
        <v>0</v>
      </c>
      <c r="M7217">
        <v>28</v>
      </c>
      <c r="N7217">
        <v>0</v>
      </c>
      <c r="O7217">
        <v>13</v>
      </c>
    </row>
    <row r="7218" spans="1:15" x14ac:dyDescent="0.25">
      <c r="A7218" t="s">
        <v>1848</v>
      </c>
      <c r="B7218" t="s">
        <v>2620</v>
      </c>
      <c r="C7218" t="s">
        <v>923</v>
      </c>
      <c r="D7218" t="s">
        <v>3063</v>
      </c>
      <c r="E7218" t="s">
        <v>3053</v>
      </c>
      <c r="F7218" t="s">
        <v>704</v>
      </c>
      <c r="G7218" t="s">
        <v>705</v>
      </c>
      <c r="H7218" t="s">
        <v>10425</v>
      </c>
      <c r="I7218">
        <v>12</v>
      </c>
      <c r="J7218">
        <v>0</v>
      </c>
      <c r="K7218">
        <v>0</v>
      </c>
      <c r="L7218">
        <v>12</v>
      </c>
      <c r="M7218">
        <v>0</v>
      </c>
      <c r="N7218">
        <v>0</v>
      </c>
      <c r="O7218">
        <v>0</v>
      </c>
    </row>
    <row r="7219" spans="1:15" x14ac:dyDescent="0.25">
      <c r="A7219" t="s">
        <v>1849</v>
      </c>
      <c r="B7219" t="s">
        <v>2794</v>
      </c>
      <c r="C7219" t="s">
        <v>923</v>
      </c>
      <c r="D7219" t="s">
        <v>3063</v>
      </c>
      <c r="E7219" t="s">
        <v>3053</v>
      </c>
      <c r="F7219" t="s">
        <v>704</v>
      </c>
      <c r="G7219" t="s">
        <v>705</v>
      </c>
      <c r="H7219" t="s">
        <v>10430</v>
      </c>
      <c r="I7219">
        <v>10</v>
      </c>
      <c r="J7219">
        <v>0</v>
      </c>
      <c r="K7219">
        <v>0</v>
      </c>
      <c r="L7219">
        <v>10</v>
      </c>
      <c r="M7219">
        <v>0</v>
      </c>
      <c r="N7219">
        <v>0</v>
      </c>
      <c r="O7219">
        <v>0</v>
      </c>
    </row>
    <row r="7220" spans="1:15" x14ac:dyDescent="0.25">
      <c r="A7220" t="s">
        <v>962</v>
      </c>
      <c r="B7220" t="s">
        <v>2752</v>
      </c>
      <c r="C7220" t="s">
        <v>927</v>
      </c>
      <c r="D7220" t="s">
        <v>3052</v>
      </c>
      <c r="E7220" t="s">
        <v>3053</v>
      </c>
      <c r="F7220" t="s">
        <v>704</v>
      </c>
      <c r="G7220" t="s">
        <v>705</v>
      </c>
      <c r="H7220" t="s">
        <v>10452</v>
      </c>
      <c r="I7220">
        <v>99</v>
      </c>
      <c r="J7220">
        <v>43</v>
      </c>
      <c r="K7220">
        <v>0</v>
      </c>
      <c r="L7220">
        <v>0</v>
      </c>
      <c r="M7220">
        <v>34</v>
      </c>
      <c r="N7220">
        <v>0</v>
      </c>
      <c r="O7220">
        <v>22</v>
      </c>
    </row>
    <row r="7221" spans="1:15" x14ac:dyDescent="0.25">
      <c r="A7221" t="s">
        <v>1066</v>
      </c>
      <c r="B7221" t="s">
        <v>2557</v>
      </c>
      <c r="C7221" t="s">
        <v>927</v>
      </c>
      <c r="D7221" t="s">
        <v>3052</v>
      </c>
      <c r="E7221" t="s">
        <v>3053</v>
      </c>
      <c r="F7221" t="s">
        <v>704</v>
      </c>
      <c r="G7221" t="s">
        <v>705</v>
      </c>
      <c r="H7221" t="s">
        <v>7880</v>
      </c>
      <c r="I7221">
        <v>33</v>
      </c>
      <c r="J7221">
        <v>0</v>
      </c>
      <c r="K7221">
        <v>0</v>
      </c>
      <c r="L7221">
        <v>0</v>
      </c>
      <c r="M7221">
        <v>30</v>
      </c>
      <c r="N7221">
        <v>0</v>
      </c>
      <c r="O7221">
        <v>3</v>
      </c>
    </row>
    <row r="7222" spans="1:15" x14ac:dyDescent="0.25">
      <c r="A7222" t="s">
        <v>1855</v>
      </c>
      <c r="B7222" t="s">
        <v>2121</v>
      </c>
      <c r="C7222" t="s">
        <v>923</v>
      </c>
      <c r="D7222" t="s">
        <v>3063</v>
      </c>
      <c r="E7222" t="s">
        <v>3053</v>
      </c>
      <c r="F7222" t="s">
        <v>704</v>
      </c>
      <c r="G7222" t="s">
        <v>705</v>
      </c>
      <c r="H7222" t="s">
        <v>7881</v>
      </c>
      <c r="I7222">
        <v>29</v>
      </c>
      <c r="J7222">
        <v>0</v>
      </c>
      <c r="K7222">
        <v>29</v>
      </c>
      <c r="L7222">
        <v>0</v>
      </c>
      <c r="M7222">
        <v>0</v>
      </c>
      <c r="N7222">
        <v>0</v>
      </c>
      <c r="O7222">
        <v>0</v>
      </c>
    </row>
    <row r="7223" spans="1:15" x14ac:dyDescent="0.25">
      <c r="A7223" t="s">
        <v>11667</v>
      </c>
      <c r="B7223" t="s">
        <v>1986</v>
      </c>
      <c r="C7223" t="s">
        <v>923</v>
      </c>
      <c r="D7223" t="s">
        <v>3063</v>
      </c>
      <c r="E7223" t="s">
        <v>3053</v>
      </c>
      <c r="F7223" t="s">
        <v>704</v>
      </c>
      <c r="G7223" t="s">
        <v>705</v>
      </c>
      <c r="H7223" t="s">
        <v>12342</v>
      </c>
      <c r="I7223">
        <v>52</v>
      </c>
      <c r="J7223">
        <v>0</v>
      </c>
      <c r="K7223">
        <v>0</v>
      </c>
      <c r="L7223">
        <v>0</v>
      </c>
      <c r="M7223">
        <v>52</v>
      </c>
      <c r="N7223">
        <v>0</v>
      </c>
      <c r="O7223">
        <v>0</v>
      </c>
    </row>
    <row r="7224" spans="1:15" x14ac:dyDescent="0.25">
      <c r="A7224" t="s">
        <v>1077</v>
      </c>
      <c r="B7224" t="s">
        <v>2711</v>
      </c>
      <c r="C7224" t="s">
        <v>927</v>
      </c>
      <c r="D7224" t="s">
        <v>3052</v>
      </c>
      <c r="E7224" t="s">
        <v>3053</v>
      </c>
      <c r="F7224" t="s">
        <v>704</v>
      </c>
      <c r="G7224" t="s">
        <v>705</v>
      </c>
      <c r="H7224" t="s">
        <v>7882</v>
      </c>
      <c r="I7224">
        <v>33</v>
      </c>
      <c r="J7224">
        <v>28</v>
      </c>
      <c r="K7224">
        <v>0</v>
      </c>
      <c r="L7224">
        <v>4</v>
      </c>
      <c r="M7224">
        <v>0</v>
      </c>
      <c r="N7224">
        <v>0</v>
      </c>
      <c r="O7224">
        <v>1</v>
      </c>
    </row>
    <row r="7225" spans="1:15" x14ac:dyDescent="0.25">
      <c r="A7225" t="s">
        <v>1865</v>
      </c>
      <c r="B7225" t="s">
        <v>2866</v>
      </c>
      <c r="C7225" t="s">
        <v>927</v>
      </c>
      <c r="D7225" t="s">
        <v>3052</v>
      </c>
      <c r="E7225" t="s">
        <v>3053</v>
      </c>
      <c r="F7225" t="s">
        <v>704</v>
      </c>
      <c r="G7225" t="s">
        <v>705</v>
      </c>
      <c r="H7225" t="s">
        <v>7883</v>
      </c>
      <c r="I7225">
        <v>45</v>
      </c>
      <c r="J7225">
        <v>37</v>
      </c>
      <c r="K7225">
        <v>0</v>
      </c>
      <c r="L7225">
        <v>0</v>
      </c>
      <c r="M7225">
        <v>0</v>
      </c>
      <c r="N7225">
        <v>0</v>
      </c>
      <c r="O7225">
        <v>8</v>
      </c>
    </row>
    <row r="7226" spans="1:15" x14ac:dyDescent="0.25">
      <c r="A7226" t="s">
        <v>1866</v>
      </c>
      <c r="B7226" t="s">
        <v>2813</v>
      </c>
      <c r="C7226" t="s">
        <v>923</v>
      </c>
      <c r="D7226" t="s">
        <v>3063</v>
      </c>
      <c r="E7226" t="s">
        <v>3053</v>
      </c>
      <c r="F7226" t="s">
        <v>704</v>
      </c>
      <c r="G7226" t="s">
        <v>705</v>
      </c>
      <c r="H7226" t="s">
        <v>7884</v>
      </c>
      <c r="I7226">
        <v>8</v>
      </c>
      <c r="J7226">
        <v>8</v>
      </c>
      <c r="K7226">
        <v>0</v>
      </c>
      <c r="L7226">
        <v>0</v>
      </c>
      <c r="M7226">
        <v>0</v>
      </c>
      <c r="N7226">
        <v>0</v>
      </c>
      <c r="O7226">
        <v>0</v>
      </c>
    </row>
    <row r="7227" spans="1:15" x14ac:dyDescent="0.25">
      <c r="A7227" t="s">
        <v>1080</v>
      </c>
      <c r="B7227" t="s">
        <v>2030</v>
      </c>
      <c r="C7227" t="s">
        <v>923</v>
      </c>
      <c r="D7227" t="s">
        <v>3063</v>
      </c>
      <c r="E7227" t="s">
        <v>3053</v>
      </c>
      <c r="F7227" t="s">
        <v>704</v>
      </c>
      <c r="G7227" t="s">
        <v>705</v>
      </c>
      <c r="H7227" t="s">
        <v>7885</v>
      </c>
      <c r="I7227">
        <v>1</v>
      </c>
      <c r="J7227">
        <v>0</v>
      </c>
      <c r="K7227">
        <v>0</v>
      </c>
      <c r="L7227">
        <v>1</v>
      </c>
      <c r="M7227">
        <v>0</v>
      </c>
      <c r="N7227">
        <v>0</v>
      </c>
      <c r="O7227">
        <v>0</v>
      </c>
    </row>
    <row r="7228" spans="1:15" x14ac:dyDescent="0.25">
      <c r="A7228" t="s">
        <v>14377</v>
      </c>
      <c r="B7228" t="s">
        <v>14444</v>
      </c>
      <c r="C7228" t="s">
        <v>923</v>
      </c>
      <c r="D7228" t="s">
        <v>3063</v>
      </c>
      <c r="E7228" t="s">
        <v>3053</v>
      </c>
      <c r="F7228" t="s">
        <v>704</v>
      </c>
      <c r="G7228" t="s">
        <v>705</v>
      </c>
      <c r="H7228" t="s">
        <v>15157</v>
      </c>
      <c r="I7228">
        <v>2</v>
      </c>
      <c r="J7228">
        <v>0</v>
      </c>
      <c r="K7228">
        <v>0</v>
      </c>
      <c r="L7228">
        <v>2</v>
      </c>
      <c r="M7228">
        <v>0</v>
      </c>
      <c r="N7228">
        <v>0</v>
      </c>
      <c r="O7228">
        <v>0</v>
      </c>
    </row>
    <row r="7229" spans="1:15" x14ac:dyDescent="0.25">
      <c r="A7229" t="s">
        <v>14398</v>
      </c>
      <c r="B7229" t="s">
        <v>2587</v>
      </c>
      <c r="C7229" t="s">
        <v>923</v>
      </c>
      <c r="D7229" t="s">
        <v>3063</v>
      </c>
      <c r="E7229" t="s">
        <v>3053</v>
      </c>
      <c r="F7229" t="s">
        <v>14369</v>
      </c>
      <c r="G7229" t="s">
        <v>14370</v>
      </c>
      <c r="H7229" t="s">
        <v>15158</v>
      </c>
      <c r="I7229">
        <v>10</v>
      </c>
      <c r="J7229">
        <v>0</v>
      </c>
      <c r="K7229">
        <v>0</v>
      </c>
      <c r="L7229">
        <v>10</v>
      </c>
      <c r="M7229">
        <v>0</v>
      </c>
      <c r="N7229">
        <v>0</v>
      </c>
      <c r="O7229">
        <v>0</v>
      </c>
    </row>
    <row r="7230" spans="1:15" x14ac:dyDescent="0.25">
      <c r="A7230" t="s">
        <v>9834</v>
      </c>
      <c r="B7230" t="s">
        <v>2597</v>
      </c>
      <c r="C7230" t="s">
        <v>923</v>
      </c>
      <c r="D7230" t="s">
        <v>3063</v>
      </c>
      <c r="E7230" t="s">
        <v>3053</v>
      </c>
      <c r="F7230" t="s">
        <v>14369</v>
      </c>
      <c r="G7230" t="s">
        <v>14370</v>
      </c>
      <c r="H7230" t="s">
        <v>15159</v>
      </c>
      <c r="I7230">
        <v>8</v>
      </c>
      <c r="J7230">
        <v>0</v>
      </c>
      <c r="K7230">
        <v>0</v>
      </c>
      <c r="L7230">
        <v>0</v>
      </c>
      <c r="M7230">
        <v>8</v>
      </c>
      <c r="N7230">
        <v>0</v>
      </c>
      <c r="O7230">
        <v>0</v>
      </c>
    </row>
    <row r="7231" spans="1:15" x14ac:dyDescent="0.25">
      <c r="A7231" t="s">
        <v>10568</v>
      </c>
      <c r="B7231" t="s">
        <v>10567</v>
      </c>
      <c r="C7231" t="s">
        <v>927</v>
      </c>
      <c r="D7231" t="s">
        <v>3052</v>
      </c>
      <c r="E7231" t="s">
        <v>3053</v>
      </c>
      <c r="F7231" t="s">
        <v>14369</v>
      </c>
      <c r="G7231" t="s">
        <v>14370</v>
      </c>
      <c r="H7231" t="s">
        <v>15160</v>
      </c>
      <c r="I7231">
        <v>9733</v>
      </c>
      <c r="J7231">
        <v>7339</v>
      </c>
      <c r="K7231">
        <v>48</v>
      </c>
      <c r="L7231">
        <v>7</v>
      </c>
      <c r="M7231">
        <v>1634</v>
      </c>
      <c r="N7231">
        <v>0</v>
      </c>
      <c r="O7231">
        <v>705</v>
      </c>
    </row>
    <row r="7232" spans="1:15" x14ac:dyDescent="0.25">
      <c r="A7232" t="s">
        <v>926</v>
      </c>
      <c r="B7232" t="s">
        <v>2923</v>
      </c>
      <c r="C7232" t="s">
        <v>927</v>
      </c>
      <c r="D7232" t="s">
        <v>3052</v>
      </c>
      <c r="E7232" t="s">
        <v>3053</v>
      </c>
      <c r="F7232" t="s">
        <v>14369</v>
      </c>
      <c r="G7232" t="s">
        <v>14370</v>
      </c>
      <c r="H7232" t="s">
        <v>15161</v>
      </c>
      <c r="I7232">
        <v>21</v>
      </c>
      <c r="J7232">
        <v>0</v>
      </c>
      <c r="K7232">
        <v>0</v>
      </c>
      <c r="L7232">
        <v>1</v>
      </c>
      <c r="M7232">
        <v>0</v>
      </c>
      <c r="N7232">
        <v>0</v>
      </c>
      <c r="O7232">
        <v>20</v>
      </c>
    </row>
    <row r="7233" spans="1:15" x14ac:dyDescent="0.25">
      <c r="A7233" t="s">
        <v>929</v>
      </c>
      <c r="B7233" t="s">
        <v>2999</v>
      </c>
      <c r="C7233" t="s">
        <v>927</v>
      </c>
      <c r="D7233" t="s">
        <v>3052</v>
      </c>
      <c r="E7233" t="s">
        <v>3053</v>
      </c>
      <c r="F7233" t="s">
        <v>14369</v>
      </c>
      <c r="G7233" t="s">
        <v>14370</v>
      </c>
      <c r="H7233" t="s">
        <v>15162</v>
      </c>
      <c r="I7233">
        <v>302</v>
      </c>
      <c r="J7233">
        <v>0</v>
      </c>
      <c r="K7233">
        <v>0</v>
      </c>
      <c r="L7233">
        <v>0</v>
      </c>
      <c r="M7233">
        <v>263</v>
      </c>
      <c r="N7233">
        <v>0</v>
      </c>
      <c r="O7233">
        <v>39</v>
      </c>
    </row>
    <row r="7234" spans="1:15" x14ac:dyDescent="0.25">
      <c r="A7234" t="s">
        <v>1575</v>
      </c>
      <c r="B7234" t="s">
        <v>2112</v>
      </c>
      <c r="C7234" t="s">
        <v>927</v>
      </c>
      <c r="D7234" t="s">
        <v>3052</v>
      </c>
      <c r="E7234" t="s">
        <v>3053</v>
      </c>
      <c r="F7234" t="s">
        <v>14369</v>
      </c>
      <c r="G7234" t="s">
        <v>14370</v>
      </c>
      <c r="H7234" t="s">
        <v>15163</v>
      </c>
      <c r="I7234">
        <v>51</v>
      </c>
      <c r="J7234">
        <v>23</v>
      </c>
      <c r="K7234">
        <v>0</v>
      </c>
      <c r="L7234">
        <v>0</v>
      </c>
      <c r="M7234">
        <v>0</v>
      </c>
      <c r="N7234">
        <v>0</v>
      </c>
      <c r="O7234">
        <v>28</v>
      </c>
    </row>
    <row r="7235" spans="1:15" x14ac:dyDescent="0.25">
      <c r="A7235" t="s">
        <v>931</v>
      </c>
      <c r="B7235" t="s">
        <v>1978</v>
      </c>
      <c r="C7235" t="s">
        <v>927</v>
      </c>
      <c r="D7235" t="s">
        <v>3052</v>
      </c>
      <c r="E7235" t="s">
        <v>3053</v>
      </c>
      <c r="F7235" t="s">
        <v>14369</v>
      </c>
      <c r="G7235" t="s">
        <v>14370</v>
      </c>
      <c r="H7235" t="s">
        <v>15164</v>
      </c>
      <c r="I7235">
        <v>4437</v>
      </c>
      <c r="J7235">
        <v>3331</v>
      </c>
      <c r="K7235">
        <v>0</v>
      </c>
      <c r="L7235">
        <v>90</v>
      </c>
      <c r="M7235">
        <v>703</v>
      </c>
      <c r="N7235">
        <v>2</v>
      </c>
      <c r="O7235">
        <v>313</v>
      </c>
    </row>
    <row r="7236" spans="1:15" x14ac:dyDescent="0.25">
      <c r="A7236" t="s">
        <v>9790</v>
      </c>
      <c r="B7236" t="s">
        <v>1977</v>
      </c>
      <c r="C7236" t="s">
        <v>923</v>
      </c>
      <c r="D7236" t="s">
        <v>3063</v>
      </c>
      <c r="E7236" t="s">
        <v>3053</v>
      </c>
      <c r="F7236" t="s">
        <v>14369</v>
      </c>
      <c r="G7236" t="s">
        <v>14370</v>
      </c>
      <c r="H7236" t="s">
        <v>15165</v>
      </c>
      <c r="I7236">
        <v>15</v>
      </c>
      <c r="J7236">
        <v>0</v>
      </c>
      <c r="K7236">
        <v>0</v>
      </c>
      <c r="L7236">
        <v>15</v>
      </c>
      <c r="M7236">
        <v>0</v>
      </c>
      <c r="N7236">
        <v>0</v>
      </c>
      <c r="O7236">
        <v>0</v>
      </c>
    </row>
    <row r="7237" spans="1:15" x14ac:dyDescent="0.25">
      <c r="A7237" t="s">
        <v>1581</v>
      </c>
      <c r="B7237" t="s">
        <v>2917</v>
      </c>
      <c r="C7237" t="s">
        <v>927</v>
      </c>
      <c r="D7237" t="s">
        <v>3052</v>
      </c>
      <c r="E7237" t="s">
        <v>3053</v>
      </c>
      <c r="F7237" t="s">
        <v>14369</v>
      </c>
      <c r="G7237" t="s">
        <v>14370</v>
      </c>
      <c r="H7237" t="s">
        <v>15166</v>
      </c>
      <c r="I7237">
        <v>73</v>
      </c>
      <c r="J7237">
        <v>4</v>
      </c>
      <c r="K7237">
        <v>0</v>
      </c>
      <c r="L7237">
        <v>69</v>
      </c>
      <c r="M7237">
        <v>0</v>
      </c>
      <c r="N7237">
        <v>0</v>
      </c>
      <c r="O7237">
        <v>0</v>
      </c>
    </row>
    <row r="7238" spans="1:15" x14ac:dyDescent="0.25">
      <c r="A7238" t="s">
        <v>9835</v>
      </c>
      <c r="B7238" t="s">
        <v>2628</v>
      </c>
      <c r="C7238" t="s">
        <v>923</v>
      </c>
      <c r="D7238" t="s">
        <v>3063</v>
      </c>
      <c r="E7238" t="s">
        <v>3053</v>
      </c>
      <c r="F7238" t="s">
        <v>14369</v>
      </c>
      <c r="G7238" t="s">
        <v>14370</v>
      </c>
      <c r="H7238" t="s">
        <v>15167</v>
      </c>
      <c r="I7238">
        <v>212</v>
      </c>
      <c r="J7238">
        <v>0</v>
      </c>
      <c r="K7238">
        <v>0</v>
      </c>
      <c r="L7238">
        <v>212</v>
      </c>
      <c r="M7238">
        <v>0</v>
      </c>
      <c r="N7238">
        <v>0</v>
      </c>
      <c r="O7238">
        <v>0</v>
      </c>
    </row>
    <row r="7239" spans="1:15" x14ac:dyDescent="0.25">
      <c r="A7239" t="s">
        <v>9836</v>
      </c>
      <c r="B7239" t="s">
        <v>2808</v>
      </c>
      <c r="C7239" t="s">
        <v>927</v>
      </c>
      <c r="D7239" t="s">
        <v>3052</v>
      </c>
      <c r="E7239" t="s">
        <v>3053</v>
      </c>
      <c r="F7239" t="s">
        <v>14369</v>
      </c>
      <c r="G7239" t="s">
        <v>14370</v>
      </c>
      <c r="H7239" t="s">
        <v>15168</v>
      </c>
      <c r="I7239">
        <v>14</v>
      </c>
      <c r="J7239">
        <v>14</v>
      </c>
      <c r="K7239">
        <v>0</v>
      </c>
      <c r="L7239">
        <v>0</v>
      </c>
      <c r="M7239">
        <v>0</v>
      </c>
      <c r="N7239">
        <v>1</v>
      </c>
      <c r="O7239">
        <v>0</v>
      </c>
    </row>
    <row r="7240" spans="1:15" x14ac:dyDescent="0.25">
      <c r="A7240" t="s">
        <v>989</v>
      </c>
      <c r="B7240" t="s">
        <v>2016</v>
      </c>
      <c r="C7240" t="s">
        <v>923</v>
      </c>
      <c r="D7240" t="s">
        <v>3063</v>
      </c>
      <c r="E7240" t="s">
        <v>3053</v>
      </c>
      <c r="F7240" t="s">
        <v>14369</v>
      </c>
      <c r="G7240" t="s">
        <v>14370</v>
      </c>
      <c r="H7240" t="s">
        <v>15169</v>
      </c>
      <c r="I7240">
        <v>16</v>
      </c>
      <c r="J7240">
        <v>0</v>
      </c>
      <c r="K7240">
        <v>0</v>
      </c>
      <c r="L7240">
        <v>16</v>
      </c>
      <c r="M7240">
        <v>0</v>
      </c>
      <c r="N7240">
        <v>0</v>
      </c>
      <c r="O7240">
        <v>0</v>
      </c>
    </row>
    <row r="7241" spans="1:15" x14ac:dyDescent="0.25">
      <c r="A7241" t="s">
        <v>1717</v>
      </c>
      <c r="B7241" t="s">
        <v>2333</v>
      </c>
      <c r="C7241" t="s">
        <v>923</v>
      </c>
      <c r="D7241" t="s">
        <v>3063</v>
      </c>
      <c r="E7241" t="s">
        <v>3053</v>
      </c>
      <c r="F7241" t="s">
        <v>14369</v>
      </c>
      <c r="G7241" t="s">
        <v>14370</v>
      </c>
      <c r="H7241" t="s">
        <v>15170</v>
      </c>
      <c r="I7241">
        <v>33</v>
      </c>
      <c r="J7241">
        <v>0</v>
      </c>
      <c r="K7241">
        <v>0</v>
      </c>
      <c r="L7241">
        <v>0</v>
      </c>
      <c r="M7241">
        <v>33</v>
      </c>
      <c r="N7241">
        <v>0</v>
      </c>
      <c r="O7241">
        <v>0</v>
      </c>
    </row>
    <row r="7242" spans="1:15" x14ac:dyDescent="0.25">
      <c r="A7242" t="s">
        <v>933</v>
      </c>
      <c r="B7242" t="s">
        <v>2106</v>
      </c>
      <c r="C7242" t="s">
        <v>927</v>
      </c>
      <c r="D7242" t="s">
        <v>3052</v>
      </c>
      <c r="E7242" t="s">
        <v>3053</v>
      </c>
      <c r="F7242" t="s">
        <v>14369</v>
      </c>
      <c r="G7242" t="s">
        <v>14370</v>
      </c>
      <c r="H7242" t="s">
        <v>15171</v>
      </c>
      <c r="I7242">
        <v>24</v>
      </c>
      <c r="J7242">
        <v>24</v>
      </c>
      <c r="K7242">
        <v>0</v>
      </c>
      <c r="L7242">
        <v>0</v>
      </c>
      <c r="M7242">
        <v>0</v>
      </c>
      <c r="N7242">
        <v>0</v>
      </c>
      <c r="O7242">
        <v>0</v>
      </c>
    </row>
    <row r="7243" spans="1:15" x14ac:dyDescent="0.25">
      <c r="A7243" t="s">
        <v>1719</v>
      </c>
      <c r="B7243" t="s">
        <v>2299</v>
      </c>
      <c r="C7243" t="s">
        <v>923</v>
      </c>
      <c r="D7243" t="s">
        <v>3063</v>
      </c>
      <c r="E7243" t="s">
        <v>3053</v>
      </c>
      <c r="F7243" t="s">
        <v>14369</v>
      </c>
      <c r="G7243" t="s">
        <v>14370</v>
      </c>
      <c r="H7243" t="s">
        <v>15172</v>
      </c>
      <c r="I7243">
        <v>4</v>
      </c>
      <c r="J7243">
        <v>0</v>
      </c>
      <c r="K7243">
        <v>0</v>
      </c>
      <c r="L7243">
        <v>0</v>
      </c>
      <c r="M7243">
        <v>4</v>
      </c>
      <c r="N7243">
        <v>0</v>
      </c>
      <c r="O7243">
        <v>0</v>
      </c>
    </row>
    <row r="7244" spans="1:15" x14ac:dyDescent="0.25">
      <c r="A7244" t="s">
        <v>1725</v>
      </c>
      <c r="B7244" t="s">
        <v>3010</v>
      </c>
      <c r="C7244" t="s">
        <v>927</v>
      </c>
      <c r="D7244" t="s">
        <v>3052</v>
      </c>
      <c r="E7244" t="s">
        <v>3053</v>
      </c>
      <c r="F7244" t="s">
        <v>14369</v>
      </c>
      <c r="G7244" t="s">
        <v>14370</v>
      </c>
      <c r="H7244" t="s">
        <v>15173</v>
      </c>
      <c r="I7244">
        <v>129</v>
      </c>
      <c r="J7244">
        <v>100</v>
      </c>
      <c r="K7244">
        <v>0</v>
      </c>
      <c r="L7244">
        <v>0</v>
      </c>
      <c r="M7244">
        <v>0</v>
      </c>
      <c r="N7244">
        <v>0</v>
      </c>
      <c r="O7244">
        <v>29</v>
      </c>
    </row>
    <row r="7245" spans="1:15" x14ac:dyDescent="0.25">
      <c r="A7245" t="s">
        <v>996</v>
      </c>
      <c r="B7245" t="s">
        <v>1952</v>
      </c>
      <c r="C7245" t="s">
        <v>923</v>
      </c>
      <c r="D7245" t="s">
        <v>3063</v>
      </c>
      <c r="E7245" t="s">
        <v>3053</v>
      </c>
      <c r="F7245" t="s">
        <v>14369</v>
      </c>
      <c r="G7245" t="s">
        <v>14370</v>
      </c>
      <c r="H7245" t="s">
        <v>15174</v>
      </c>
      <c r="I7245">
        <v>6</v>
      </c>
      <c r="J7245">
        <v>0</v>
      </c>
      <c r="K7245">
        <v>0</v>
      </c>
      <c r="L7245">
        <v>6</v>
      </c>
      <c r="M7245">
        <v>0</v>
      </c>
      <c r="N7245">
        <v>0</v>
      </c>
      <c r="O7245">
        <v>0</v>
      </c>
    </row>
    <row r="7246" spans="1:15" x14ac:dyDescent="0.25">
      <c r="A7246" t="s">
        <v>935</v>
      </c>
      <c r="B7246" t="s">
        <v>1960</v>
      </c>
      <c r="C7246" t="s">
        <v>923</v>
      </c>
      <c r="D7246" t="s">
        <v>3063</v>
      </c>
      <c r="E7246" t="s">
        <v>3053</v>
      </c>
      <c r="F7246" t="s">
        <v>14369</v>
      </c>
      <c r="G7246" t="s">
        <v>14370</v>
      </c>
      <c r="H7246" t="s">
        <v>15175</v>
      </c>
      <c r="I7246">
        <v>3</v>
      </c>
      <c r="J7246">
        <v>0</v>
      </c>
      <c r="K7246">
        <v>0</v>
      </c>
      <c r="L7246">
        <v>3</v>
      </c>
      <c r="M7246">
        <v>0</v>
      </c>
      <c r="N7246">
        <v>0</v>
      </c>
      <c r="O7246">
        <v>0</v>
      </c>
    </row>
    <row r="7247" spans="1:15" x14ac:dyDescent="0.25">
      <c r="A7247" t="s">
        <v>1416</v>
      </c>
      <c r="B7247" t="s">
        <v>2029</v>
      </c>
      <c r="C7247" t="s">
        <v>923</v>
      </c>
      <c r="D7247" t="s">
        <v>3063</v>
      </c>
      <c r="E7247" t="s">
        <v>3053</v>
      </c>
      <c r="F7247" t="s">
        <v>14369</v>
      </c>
      <c r="G7247" t="s">
        <v>14370</v>
      </c>
      <c r="H7247" t="s">
        <v>15176</v>
      </c>
      <c r="I7247">
        <v>33</v>
      </c>
      <c r="J7247">
        <v>0</v>
      </c>
      <c r="K7247">
        <v>0</v>
      </c>
      <c r="L7247">
        <v>33</v>
      </c>
      <c r="M7247">
        <v>0</v>
      </c>
      <c r="N7247">
        <v>0</v>
      </c>
      <c r="O7247">
        <v>0</v>
      </c>
    </row>
    <row r="7248" spans="1:15" x14ac:dyDescent="0.25">
      <c r="A7248" t="s">
        <v>1732</v>
      </c>
      <c r="B7248" t="s">
        <v>2800</v>
      </c>
      <c r="C7248" t="s">
        <v>923</v>
      </c>
      <c r="D7248" t="s">
        <v>3063</v>
      </c>
      <c r="E7248" t="s">
        <v>3053</v>
      </c>
      <c r="F7248" t="s">
        <v>14369</v>
      </c>
      <c r="G7248" t="s">
        <v>14370</v>
      </c>
      <c r="H7248" t="s">
        <v>15177</v>
      </c>
      <c r="I7248">
        <v>261</v>
      </c>
      <c r="J7248">
        <v>261</v>
      </c>
      <c r="K7248">
        <v>0</v>
      </c>
      <c r="L7248">
        <v>0</v>
      </c>
      <c r="M7248">
        <v>0</v>
      </c>
      <c r="N7248">
        <v>0</v>
      </c>
      <c r="O7248">
        <v>0</v>
      </c>
    </row>
    <row r="7249" spans="1:15" x14ac:dyDescent="0.25">
      <c r="A7249" t="s">
        <v>1000</v>
      </c>
      <c r="B7249" t="s">
        <v>1984</v>
      </c>
      <c r="C7249" t="s">
        <v>923</v>
      </c>
      <c r="D7249" t="s">
        <v>3063</v>
      </c>
      <c r="E7249" t="s">
        <v>3053</v>
      </c>
      <c r="F7249" t="s">
        <v>14369</v>
      </c>
      <c r="G7249" t="s">
        <v>14370</v>
      </c>
      <c r="H7249" t="s">
        <v>15178</v>
      </c>
      <c r="I7249">
        <v>1</v>
      </c>
      <c r="J7249">
        <v>0</v>
      </c>
      <c r="K7249">
        <v>0</v>
      </c>
      <c r="L7249">
        <v>1</v>
      </c>
      <c r="M7249">
        <v>0</v>
      </c>
      <c r="N7249">
        <v>0</v>
      </c>
      <c r="O7249">
        <v>0</v>
      </c>
    </row>
    <row r="7250" spans="1:15" x14ac:dyDescent="0.25">
      <c r="A7250" t="s">
        <v>1735</v>
      </c>
      <c r="B7250" t="s">
        <v>2009</v>
      </c>
      <c r="C7250" t="s">
        <v>923</v>
      </c>
      <c r="D7250" t="s">
        <v>3063</v>
      </c>
      <c r="E7250" t="s">
        <v>3053</v>
      </c>
      <c r="F7250" t="s">
        <v>14369</v>
      </c>
      <c r="G7250" t="s">
        <v>14370</v>
      </c>
      <c r="H7250" t="s">
        <v>15179</v>
      </c>
      <c r="I7250">
        <v>5</v>
      </c>
      <c r="J7250">
        <v>5</v>
      </c>
      <c r="K7250">
        <v>0</v>
      </c>
      <c r="L7250">
        <v>0</v>
      </c>
      <c r="M7250">
        <v>0</v>
      </c>
      <c r="N7250">
        <v>0</v>
      </c>
      <c r="O7250">
        <v>0</v>
      </c>
    </row>
    <row r="7251" spans="1:15" x14ac:dyDescent="0.25">
      <c r="A7251" t="s">
        <v>10638</v>
      </c>
      <c r="B7251" t="s">
        <v>2057</v>
      </c>
      <c r="C7251" t="s">
        <v>927</v>
      </c>
      <c r="D7251" t="s">
        <v>3052</v>
      </c>
      <c r="E7251" t="s">
        <v>3053</v>
      </c>
      <c r="F7251" t="s">
        <v>14369</v>
      </c>
      <c r="G7251" t="s">
        <v>14370</v>
      </c>
      <c r="H7251" t="s">
        <v>15180</v>
      </c>
      <c r="I7251">
        <v>119</v>
      </c>
      <c r="J7251">
        <v>0</v>
      </c>
      <c r="K7251">
        <v>0</v>
      </c>
      <c r="L7251">
        <v>119</v>
      </c>
      <c r="M7251">
        <v>0</v>
      </c>
      <c r="N7251">
        <v>0</v>
      </c>
      <c r="O7251">
        <v>0</v>
      </c>
    </row>
    <row r="7252" spans="1:15" x14ac:dyDescent="0.25">
      <c r="A7252" t="s">
        <v>1739</v>
      </c>
      <c r="B7252" t="s">
        <v>2786</v>
      </c>
      <c r="C7252" t="s">
        <v>923</v>
      </c>
      <c r="D7252" t="s">
        <v>3063</v>
      </c>
      <c r="E7252" t="s">
        <v>3053</v>
      </c>
      <c r="F7252" t="s">
        <v>14369</v>
      </c>
      <c r="G7252" t="s">
        <v>14370</v>
      </c>
      <c r="H7252" t="s">
        <v>15181</v>
      </c>
      <c r="I7252">
        <v>44</v>
      </c>
      <c r="J7252">
        <v>0</v>
      </c>
      <c r="K7252">
        <v>0</v>
      </c>
      <c r="L7252">
        <v>0</v>
      </c>
      <c r="M7252">
        <v>44</v>
      </c>
      <c r="N7252">
        <v>0</v>
      </c>
      <c r="O7252">
        <v>0</v>
      </c>
    </row>
    <row r="7253" spans="1:15" x14ac:dyDescent="0.25">
      <c r="A7253" t="s">
        <v>1008</v>
      </c>
      <c r="B7253" t="s">
        <v>2928</v>
      </c>
      <c r="C7253" t="s">
        <v>927</v>
      </c>
      <c r="D7253" t="s">
        <v>3052</v>
      </c>
      <c r="E7253" t="s">
        <v>3053</v>
      </c>
      <c r="F7253" t="s">
        <v>14369</v>
      </c>
      <c r="G7253" t="s">
        <v>14370</v>
      </c>
      <c r="H7253" t="s">
        <v>15182</v>
      </c>
      <c r="I7253">
        <v>26</v>
      </c>
      <c r="J7253">
        <v>15</v>
      </c>
      <c r="K7253">
        <v>0</v>
      </c>
      <c r="L7253">
        <v>11</v>
      </c>
      <c r="M7253">
        <v>0</v>
      </c>
      <c r="N7253">
        <v>1</v>
      </c>
      <c r="O7253">
        <v>0</v>
      </c>
    </row>
    <row r="7254" spans="1:15" x14ac:dyDescent="0.25">
      <c r="A7254" t="s">
        <v>1010</v>
      </c>
      <c r="B7254" t="s">
        <v>2639</v>
      </c>
      <c r="C7254" t="s">
        <v>927</v>
      </c>
      <c r="D7254" t="s">
        <v>3052</v>
      </c>
      <c r="E7254" t="s">
        <v>3053</v>
      </c>
      <c r="F7254" t="s">
        <v>14369</v>
      </c>
      <c r="G7254" t="s">
        <v>14370</v>
      </c>
      <c r="H7254" t="s">
        <v>15183</v>
      </c>
      <c r="I7254">
        <v>480</v>
      </c>
      <c r="J7254">
        <v>424</v>
      </c>
      <c r="K7254">
        <v>0</v>
      </c>
      <c r="L7254">
        <v>0</v>
      </c>
      <c r="M7254">
        <v>0</v>
      </c>
      <c r="N7254">
        <v>2</v>
      </c>
      <c r="O7254">
        <v>56</v>
      </c>
    </row>
    <row r="7255" spans="1:15" x14ac:dyDescent="0.25">
      <c r="A7255" t="s">
        <v>937</v>
      </c>
      <c r="B7255" t="s">
        <v>1962</v>
      </c>
      <c r="C7255" t="s">
        <v>927</v>
      </c>
      <c r="D7255" t="s">
        <v>3052</v>
      </c>
      <c r="E7255" t="s">
        <v>3053</v>
      </c>
      <c r="F7255" t="s">
        <v>14369</v>
      </c>
      <c r="G7255" t="s">
        <v>14370</v>
      </c>
      <c r="H7255" t="s">
        <v>15184</v>
      </c>
      <c r="I7255">
        <v>129</v>
      </c>
      <c r="J7255">
        <v>0</v>
      </c>
      <c r="K7255">
        <v>0</v>
      </c>
      <c r="L7255">
        <v>0</v>
      </c>
      <c r="M7255">
        <v>0</v>
      </c>
      <c r="N7255">
        <v>0</v>
      </c>
      <c r="O7255">
        <v>129</v>
      </c>
    </row>
    <row r="7256" spans="1:15" x14ac:dyDescent="0.25">
      <c r="A7256" t="s">
        <v>938</v>
      </c>
      <c r="B7256" t="s">
        <v>2791</v>
      </c>
      <c r="C7256" t="s">
        <v>927</v>
      </c>
      <c r="D7256" t="s">
        <v>3052</v>
      </c>
      <c r="E7256" t="s">
        <v>3053</v>
      </c>
      <c r="F7256" t="s">
        <v>14369</v>
      </c>
      <c r="G7256" t="s">
        <v>14370</v>
      </c>
      <c r="H7256" t="s">
        <v>15185</v>
      </c>
      <c r="I7256">
        <v>67</v>
      </c>
      <c r="J7256">
        <v>0</v>
      </c>
      <c r="K7256">
        <v>0</v>
      </c>
      <c r="L7256">
        <v>67</v>
      </c>
      <c r="M7256">
        <v>0</v>
      </c>
      <c r="N7256">
        <v>0</v>
      </c>
      <c r="O7256">
        <v>0</v>
      </c>
    </row>
    <row r="7257" spans="1:15" x14ac:dyDescent="0.25">
      <c r="A7257" t="s">
        <v>940</v>
      </c>
      <c r="B7257" t="s">
        <v>2647</v>
      </c>
      <c r="C7257" t="s">
        <v>927</v>
      </c>
      <c r="D7257" t="s">
        <v>3052</v>
      </c>
      <c r="E7257" t="s">
        <v>3053</v>
      </c>
      <c r="F7257" t="s">
        <v>14369</v>
      </c>
      <c r="G7257" t="s">
        <v>14370</v>
      </c>
      <c r="H7257" t="s">
        <v>15186</v>
      </c>
      <c r="I7257">
        <v>192</v>
      </c>
      <c r="J7257">
        <v>0</v>
      </c>
      <c r="K7257">
        <v>0</v>
      </c>
      <c r="L7257">
        <v>0</v>
      </c>
      <c r="M7257">
        <v>192</v>
      </c>
      <c r="N7257">
        <v>0</v>
      </c>
      <c r="O7257">
        <v>0</v>
      </c>
    </row>
    <row r="7258" spans="1:15" x14ac:dyDescent="0.25">
      <c r="A7258" t="s">
        <v>1013</v>
      </c>
      <c r="B7258" t="s">
        <v>1959</v>
      </c>
      <c r="C7258" t="s">
        <v>927</v>
      </c>
      <c r="D7258" t="s">
        <v>3052</v>
      </c>
      <c r="E7258" t="s">
        <v>3053</v>
      </c>
      <c r="F7258" t="s">
        <v>14369</v>
      </c>
      <c r="G7258" t="s">
        <v>14370</v>
      </c>
      <c r="H7258" t="s">
        <v>15187</v>
      </c>
      <c r="I7258">
        <v>25</v>
      </c>
      <c r="J7258">
        <v>0</v>
      </c>
      <c r="K7258">
        <v>0</v>
      </c>
      <c r="L7258">
        <v>25</v>
      </c>
      <c r="M7258">
        <v>0</v>
      </c>
      <c r="N7258">
        <v>0</v>
      </c>
      <c r="O7258">
        <v>0</v>
      </c>
    </row>
    <row r="7259" spans="1:15" x14ac:dyDescent="0.25">
      <c r="A7259" t="s">
        <v>1740</v>
      </c>
      <c r="B7259" t="s">
        <v>2904</v>
      </c>
      <c r="C7259" t="s">
        <v>923</v>
      </c>
      <c r="D7259" t="s">
        <v>3063</v>
      </c>
      <c r="E7259" t="s">
        <v>3053</v>
      </c>
      <c r="F7259" t="s">
        <v>14369</v>
      </c>
      <c r="G7259" t="s">
        <v>14370</v>
      </c>
      <c r="H7259" t="s">
        <v>15188</v>
      </c>
      <c r="I7259">
        <v>85</v>
      </c>
      <c r="J7259">
        <v>0</v>
      </c>
      <c r="K7259">
        <v>0</v>
      </c>
      <c r="L7259">
        <v>85</v>
      </c>
      <c r="M7259">
        <v>0</v>
      </c>
      <c r="N7259">
        <v>0</v>
      </c>
      <c r="O7259">
        <v>0</v>
      </c>
    </row>
    <row r="7260" spans="1:15" x14ac:dyDescent="0.25">
      <c r="A7260" t="s">
        <v>10667</v>
      </c>
      <c r="B7260" t="s">
        <v>10666</v>
      </c>
      <c r="C7260" t="s">
        <v>927</v>
      </c>
      <c r="D7260" t="s">
        <v>3052</v>
      </c>
      <c r="E7260" t="s">
        <v>3053</v>
      </c>
      <c r="F7260" t="s">
        <v>14369</v>
      </c>
      <c r="G7260" t="s">
        <v>14370</v>
      </c>
      <c r="H7260" t="s">
        <v>15189</v>
      </c>
      <c r="I7260">
        <v>22</v>
      </c>
      <c r="J7260">
        <v>22</v>
      </c>
      <c r="K7260">
        <v>0</v>
      </c>
      <c r="L7260">
        <v>0</v>
      </c>
      <c r="M7260">
        <v>0</v>
      </c>
      <c r="N7260">
        <v>0</v>
      </c>
      <c r="O7260">
        <v>0</v>
      </c>
    </row>
    <row r="7261" spans="1:15" x14ac:dyDescent="0.25">
      <c r="A7261" t="s">
        <v>1126</v>
      </c>
      <c r="B7261" t="s">
        <v>2130</v>
      </c>
      <c r="C7261" t="s">
        <v>927</v>
      </c>
      <c r="D7261" t="s">
        <v>3052</v>
      </c>
      <c r="E7261" t="s">
        <v>3053</v>
      </c>
      <c r="F7261" t="s">
        <v>14369</v>
      </c>
      <c r="G7261" t="s">
        <v>14370</v>
      </c>
      <c r="H7261" t="s">
        <v>15190</v>
      </c>
      <c r="I7261">
        <v>47</v>
      </c>
      <c r="J7261">
        <v>47</v>
      </c>
      <c r="K7261">
        <v>0</v>
      </c>
      <c r="L7261">
        <v>0</v>
      </c>
      <c r="M7261">
        <v>0</v>
      </c>
      <c r="N7261">
        <v>0</v>
      </c>
      <c r="O7261">
        <v>0</v>
      </c>
    </row>
    <row r="7262" spans="1:15" x14ac:dyDescent="0.25">
      <c r="A7262" t="s">
        <v>942</v>
      </c>
      <c r="B7262" t="s">
        <v>2113</v>
      </c>
      <c r="C7262" t="s">
        <v>927</v>
      </c>
      <c r="D7262" t="s">
        <v>3052</v>
      </c>
      <c r="E7262" t="s">
        <v>3053</v>
      </c>
      <c r="F7262" t="s">
        <v>14369</v>
      </c>
      <c r="G7262" t="s">
        <v>14370</v>
      </c>
      <c r="H7262" t="s">
        <v>15191</v>
      </c>
      <c r="I7262">
        <v>5112</v>
      </c>
      <c r="J7262">
        <v>3960</v>
      </c>
      <c r="K7262">
        <v>0</v>
      </c>
      <c r="L7262">
        <v>422</v>
      </c>
      <c r="M7262">
        <v>27</v>
      </c>
      <c r="N7262">
        <v>0</v>
      </c>
      <c r="O7262">
        <v>703</v>
      </c>
    </row>
    <row r="7263" spans="1:15" x14ac:dyDescent="0.25">
      <c r="A7263" t="s">
        <v>1742</v>
      </c>
      <c r="B7263" t="s">
        <v>2570</v>
      </c>
      <c r="C7263" t="s">
        <v>923</v>
      </c>
      <c r="D7263" t="s">
        <v>3063</v>
      </c>
      <c r="E7263" t="s">
        <v>3053</v>
      </c>
      <c r="F7263" t="s">
        <v>14369</v>
      </c>
      <c r="G7263" t="s">
        <v>14370</v>
      </c>
      <c r="H7263" t="s">
        <v>15192</v>
      </c>
      <c r="I7263">
        <v>34</v>
      </c>
      <c r="J7263">
        <v>0</v>
      </c>
      <c r="K7263">
        <v>0</v>
      </c>
      <c r="L7263">
        <v>0</v>
      </c>
      <c r="M7263">
        <v>34</v>
      </c>
      <c r="N7263">
        <v>0</v>
      </c>
      <c r="O7263">
        <v>0</v>
      </c>
    </row>
    <row r="7264" spans="1:15" x14ac:dyDescent="0.25">
      <c r="A7264" t="s">
        <v>10681</v>
      </c>
      <c r="B7264" t="s">
        <v>10680</v>
      </c>
      <c r="C7264" t="s">
        <v>927</v>
      </c>
      <c r="D7264" t="s">
        <v>3052</v>
      </c>
      <c r="E7264" t="s">
        <v>3053</v>
      </c>
      <c r="F7264" t="s">
        <v>14369</v>
      </c>
      <c r="G7264" t="s">
        <v>14370</v>
      </c>
      <c r="H7264" t="s">
        <v>15193</v>
      </c>
      <c r="I7264">
        <v>3</v>
      </c>
      <c r="J7264">
        <v>0</v>
      </c>
      <c r="K7264">
        <v>0</v>
      </c>
      <c r="L7264">
        <v>0</v>
      </c>
      <c r="M7264">
        <v>0</v>
      </c>
      <c r="N7264">
        <v>0</v>
      </c>
      <c r="O7264">
        <v>3</v>
      </c>
    </row>
    <row r="7265" spans="1:15" x14ac:dyDescent="0.25">
      <c r="A7265" t="s">
        <v>1743</v>
      </c>
      <c r="B7265" t="s">
        <v>2086</v>
      </c>
      <c r="C7265" t="s">
        <v>927</v>
      </c>
      <c r="D7265" t="s">
        <v>3052</v>
      </c>
      <c r="E7265" t="s">
        <v>3053</v>
      </c>
      <c r="F7265" t="s">
        <v>14369</v>
      </c>
      <c r="G7265" t="s">
        <v>14370</v>
      </c>
      <c r="H7265" t="s">
        <v>15194</v>
      </c>
      <c r="I7265">
        <v>2567</v>
      </c>
      <c r="J7265">
        <v>1947</v>
      </c>
      <c r="K7265">
        <v>0</v>
      </c>
      <c r="L7265">
        <v>121</v>
      </c>
      <c r="M7265">
        <v>425</v>
      </c>
      <c r="N7265">
        <v>3</v>
      </c>
      <c r="O7265">
        <v>74</v>
      </c>
    </row>
    <row r="7266" spans="1:15" x14ac:dyDescent="0.25">
      <c r="A7266" t="s">
        <v>945</v>
      </c>
      <c r="B7266" t="s">
        <v>2668</v>
      </c>
      <c r="C7266" t="s">
        <v>927</v>
      </c>
      <c r="D7266" t="s">
        <v>3052</v>
      </c>
      <c r="E7266" t="s">
        <v>3053</v>
      </c>
      <c r="F7266" t="s">
        <v>14369</v>
      </c>
      <c r="G7266" t="s">
        <v>14370</v>
      </c>
      <c r="H7266" t="s">
        <v>15195</v>
      </c>
      <c r="I7266">
        <v>5</v>
      </c>
      <c r="J7266">
        <v>0</v>
      </c>
      <c r="K7266">
        <v>0</v>
      </c>
      <c r="L7266">
        <v>0</v>
      </c>
      <c r="M7266">
        <v>0</v>
      </c>
      <c r="N7266">
        <v>0</v>
      </c>
      <c r="O7266">
        <v>5</v>
      </c>
    </row>
    <row r="7267" spans="1:15" x14ac:dyDescent="0.25">
      <c r="A7267" t="s">
        <v>1749</v>
      </c>
      <c r="B7267" t="s">
        <v>2878</v>
      </c>
      <c r="C7267" t="s">
        <v>927</v>
      </c>
      <c r="D7267" t="s">
        <v>3052</v>
      </c>
      <c r="E7267" t="s">
        <v>3053</v>
      </c>
      <c r="F7267" t="s">
        <v>14369</v>
      </c>
      <c r="G7267" t="s">
        <v>14370</v>
      </c>
      <c r="H7267" t="s">
        <v>15196</v>
      </c>
      <c r="I7267">
        <v>89</v>
      </c>
      <c r="J7267">
        <v>55</v>
      </c>
      <c r="K7267">
        <v>0</v>
      </c>
      <c r="L7267">
        <v>0</v>
      </c>
      <c r="M7267">
        <v>0</v>
      </c>
      <c r="N7267">
        <v>0</v>
      </c>
      <c r="O7267">
        <v>34</v>
      </c>
    </row>
    <row r="7268" spans="1:15" x14ac:dyDescent="0.25">
      <c r="A7268" t="s">
        <v>1751</v>
      </c>
      <c r="B7268" t="s">
        <v>2168</v>
      </c>
      <c r="C7268" t="s">
        <v>923</v>
      </c>
      <c r="D7268" t="s">
        <v>3063</v>
      </c>
      <c r="E7268" t="s">
        <v>3053</v>
      </c>
      <c r="F7268" t="s">
        <v>14369</v>
      </c>
      <c r="G7268" t="s">
        <v>14370</v>
      </c>
      <c r="H7268" t="s">
        <v>15197</v>
      </c>
      <c r="I7268">
        <v>4</v>
      </c>
      <c r="J7268">
        <v>4</v>
      </c>
      <c r="K7268">
        <v>0</v>
      </c>
      <c r="L7268">
        <v>0</v>
      </c>
      <c r="M7268">
        <v>0</v>
      </c>
      <c r="N7268">
        <v>0</v>
      </c>
      <c r="O7268">
        <v>0</v>
      </c>
    </row>
    <row r="7269" spans="1:15" x14ac:dyDescent="0.25">
      <c r="A7269" t="s">
        <v>1044</v>
      </c>
      <c r="B7269" t="s">
        <v>2000</v>
      </c>
      <c r="C7269" t="s">
        <v>923</v>
      </c>
      <c r="D7269" t="s">
        <v>3063</v>
      </c>
      <c r="E7269" t="s">
        <v>3053</v>
      </c>
      <c r="F7269" t="s">
        <v>14369</v>
      </c>
      <c r="G7269" t="s">
        <v>14370</v>
      </c>
      <c r="H7269" t="s">
        <v>15198</v>
      </c>
      <c r="I7269">
        <v>32</v>
      </c>
      <c r="J7269">
        <v>0</v>
      </c>
      <c r="K7269">
        <v>0</v>
      </c>
      <c r="L7269">
        <v>32</v>
      </c>
      <c r="M7269">
        <v>0</v>
      </c>
      <c r="N7269">
        <v>0</v>
      </c>
      <c r="O7269">
        <v>0</v>
      </c>
    </row>
    <row r="7270" spans="1:15" x14ac:dyDescent="0.25">
      <c r="A7270" t="s">
        <v>951</v>
      </c>
      <c r="B7270" t="s">
        <v>2680</v>
      </c>
      <c r="C7270" t="s">
        <v>927</v>
      </c>
      <c r="D7270" t="s">
        <v>3052</v>
      </c>
      <c r="E7270" t="s">
        <v>3053</v>
      </c>
      <c r="F7270" t="s">
        <v>14369</v>
      </c>
      <c r="G7270" t="s">
        <v>14370</v>
      </c>
      <c r="H7270" t="s">
        <v>15199</v>
      </c>
      <c r="I7270">
        <v>47</v>
      </c>
      <c r="J7270">
        <v>29</v>
      </c>
      <c r="K7270">
        <v>0</v>
      </c>
      <c r="L7270">
        <v>0</v>
      </c>
      <c r="M7270">
        <v>0</v>
      </c>
      <c r="N7270">
        <v>0</v>
      </c>
      <c r="O7270">
        <v>18</v>
      </c>
    </row>
    <row r="7271" spans="1:15" x14ac:dyDescent="0.25">
      <c r="A7271" t="s">
        <v>1048</v>
      </c>
      <c r="B7271" t="s">
        <v>2989</v>
      </c>
      <c r="C7271" t="s">
        <v>927</v>
      </c>
      <c r="D7271" t="s">
        <v>3052</v>
      </c>
      <c r="E7271" t="s">
        <v>3053</v>
      </c>
      <c r="F7271" t="s">
        <v>14369</v>
      </c>
      <c r="G7271" t="s">
        <v>14370</v>
      </c>
      <c r="H7271" t="s">
        <v>15200</v>
      </c>
      <c r="I7271">
        <v>106</v>
      </c>
      <c r="J7271">
        <v>63</v>
      </c>
      <c r="K7271">
        <v>0</v>
      </c>
      <c r="L7271">
        <v>15</v>
      </c>
      <c r="M7271">
        <v>28</v>
      </c>
      <c r="N7271">
        <v>0</v>
      </c>
      <c r="O7271">
        <v>0</v>
      </c>
    </row>
    <row r="7272" spans="1:15" x14ac:dyDescent="0.25">
      <c r="A7272" t="s">
        <v>1049</v>
      </c>
      <c r="B7272" t="s">
        <v>2138</v>
      </c>
      <c r="C7272" t="s">
        <v>927</v>
      </c>
      <c r="D7272" t="s">
        <v>3052</v>
      </c>
      <c r="E7272" t="s">
        <v>3053</v>
      </c>
      <c r="F7272" t="s">
        <v>14369</v>
      </c>
      <c r="G7272" t="s">
        <v>14370</v>
      </c>
      <c r="H7272" t="s">
        <v>15201</v>
      </c>
      <c r="I7272">
        <v>1</v>
      </c>
      <c r="J7272">
        <v>0</v>
      </c>
      <c r="K7272">
        <v>0</v>
      </c>
      <c r="L7272">
        <v>0</v>
      </c>
      <c r="M7272">
        <v>0</v>
      </c>
      <c r="N7272">
        <v>0</v>
      </c>
      <c r="O7272">
        <v>1</v>
      </c>
    </row>
    <row r="7273" spans="1:15" x14ac:dyDescent="0.25">
      <c r="A7273" t="s">
        <v>953</v>
      </c>
      <c r="B7273" t="s">
        <v>2014</v>
      </c>
      <c r="C7273" t="s">
        <v>927</v>
      </c>
      <c r="D7273" t="s">
        <v>3052</v>
      </c>
      <c r="E7273" t="s">
        <v>3053</v>
      </c>
      <c r="F7273" t="s">
        <v>14369</v>
      </c>
      <c r="G7273" t="s">
        <v>14370</v>
      </c>
      <c r="H7273" t="s">
        <v>15202</v>
      </c>
      <c r="I7273">
        <v>3</v>
      </c>
      <c r="J7273">
        <v>0</v>
      </c>
      <c r="K7273">
        <v>0</v>
      </c>
      <c r="L7273">
        <v>3</v>
      </c>
      <c r="M7273">
        <v>0</v>
      </c>
      <c r="N7273">
        <v>0</v>
      </c>
      <c r="O7273">
        <v>0</v>
      </c>
    </row>
    <row r="7274" spans="1:15" x14ac:dyDescent="0.25">
      <c r="A7274" t="s">
        <v>1761</v>
      </c>
      <c r="B7274" t="s">
        <v>2996</v>
      </c>
      <c r="C7274" t="s">
        <v>923</v>
      </c>
      <c r="D7274" t="s">
        <v>3063</v>
      </c>
      <c r="E7274" t="s">
        <v>3053</v>
      </c>
      <c r="F7274" t="s">
        <v>14369</v>
      </c>
      <c r="G7274" t="s">
        <v>14370</v>
      </c>
      <c r="H7274" t="s">
        <v>15203</v>
      </c>
      <c r="I7274">
        <v>774</v>
      </c>
      <c r="J7274">
        <v>774</v>
      </c>
      <c r="K7274">
        <v>0</v>
      </c>
      <c r="L7274">
        <v>0</v>
      </c>
      <c r="M7274">
        <v>0</v>
      </c>
      <c r="N7274">
        <v>0</v>
      </c>
      <c r="O7274">
        <v>0</v>
      </c>
    </row>
    <row r="7275" spans="1:15" x14ac:dyDescent="0.25">
      <c r="A7275" t="s">
        <v>11720</v>
      </c>
      <c r="B7275" t="s">
        <v>10718</v>
      </c>
      <c r="C7275" t="s">
        <v>927</v>
      </c>
      <c r="D7275" t="s">
        <v>3052</v>
      </c>
      <c r="E7275" t="s">
        <v>3053</v>
      </c>
      <c r="F7275" t="s">
        <v>14369</v>
      </c>
      <c r="G7275" t="s">
        <v>14370</v>
      </c>
      <c r="H7275" t="s">
        <v>15204</v>
      </c>
      <c r="I7275">
        <v>19</v>
      </c>
      <c r="J7275">
        <v>0</v>
      </c>
      <c r="K7275">
        <v>0</v>
      </c>
      <c r="L7275">
        <v>0</v>
      </c>
      <c r="M7275">
        <v>0</v>
      </c>
      <c r="N7275">
        <v>0</v>
      </c>
      <c r="O7275">
        <v>19</v>
      </c>
    </row>
    <row r="7276" spans="1:15" x14ac:dyDescent="0.25">
      <c r="A7276" t="s">
        <v>9788</v>
      </c>
      <c r="B7276" t="s">
        <v>9871</v>
      </c>
      <c r="C7276" t="s">
        <v>927</v>
      </c>
      <c r="D7276" t="s">
        <v>3052</v>
      </c>
      <c r="E7276" t="s">
        <v>3053</v>
      </c>
      <c r="F7276" t="s">
        <v>14369</v>
      </c>
      <c r="G7276" t="s">
        <v>14370</v>
      </c>
      <c r="H7276" t="s">
        <v>15205</v>
      </c>
      <c r="I7276">
        <v>7</v>
      </c>
      <c r="J7276">
        <v>7</v>
      </c>
      <c r="K7276">
        <v>0</v>
      </c>
      <c r="L7276">
        <v>0</v>
      </c>
      <c r="M7276">
        <v>0</v>
      </c>
      <c r="N7276">
        <v>0</v>
      </c>
      <c r="O7276">
        <v>0</v>
      </c>
    </row>
    <row r="7277" spans="1:15" x14ac:dyDescent="0.25">
      <c r="A7277" t="s">
        <v>1056</v>
      </c>
      <c r="B7277" t="s">
        <v>2966</v>
      </c>
      <c r="C7277" t="s">
        <v>927</v>
      </c>
      <c r="D7277" t="s">
        <v>3052</v>
      </c>
      <c r="E7277" t="s">
        <v>3053</v>
      </c>
      <c r="F7277" t="s">
        <v>14369</v>
      </c>
      <c r="G7277" t="s">
        <v>14370</v>
      </c>
      <c r="H7277" t="s">
        <v>15206</v>
      </c>
      <c r="I7277">
        <v>23</v>
      </c>
      <c r="J7277">
        <v>10</v>
      </c>
      <c r="K7277">
        <v>0</v>
      </c>
      <c r="L7277">
        <v>13</v>
      </c>
      <c r="M7277">
        <v>0</v>
      </c>
      <c r="N7277">
        <v>0</v>
      </c>
      <c r="O7277">
        <v>0</v>
      </c>
    </row>
    <row r="7278" spans="1:15" x14ac:dyDescent="0.25">
      <c r="A7278" t="s">
        <v>1057</v>
      </c>
      <c r="B7278" t="s">
        <v>1972</v>
      </c>
      <c r="C7278" t="s">
        <v>927</v>
      </c>
      <c r="D7278" t="s">
        <v>3052</v>
      </c>
      <c r="E7278" t="s">
        <v>3053</v>
      </c>
      <c r="F7278" t="s">
        <v>14369</v>
      </c>
      <c r="G7278" t="s">
        <v>14370</v>
      </c>
      <c r="H7278" t="s">
        <v>15207</v>
      </c>
      <c r="I7278">
        <v>89</v>
      </c>
      <c r="J7278">
        <v>46</v>
      </c>
      <c r="K7278">
        <v>0</v>
      </c>
      <c r="L7278">
        <v>0</v>
      </c>
      <c r="M7278">
        <v>0</v>
      </c>
      <c r="N7278">
        <v>0</v>
      </c>
      <c r="O7278">
        <v>43</v>
      </c>
    </row>
    <row r="7279" spans="1:15" x14ac:dyDescent="0.25">
      <c r="A7279" t="s">
        <v>955</v>
      </c>
      <c r="B7279" t="s">
        <v>2660</v>
      </c>
      <c r="C7279" t="s">
        <v>927</v>
      </c>
      <c r="D7279" t="s">
        <v>3052</v>
      </c>
      <c r="E7279" t="s">
        <v>3053</v>
      </c>
      <c r="F7279" t="s">
        <v>14369</v>
      </c>
      <c r="G7279" t="s">
        <v>14370</v>
      </c>
      <c r="H7279" t="s">
        <v>15208</v>
      </c>
      <c r="I7279">
        <v>961</v>
      </c>
      <c r="J7279">
        <v>792</v>
      </c>
      <c r="K7279">
        <v>0</v>
      </c>
      <c r="L7279">
        <v>65</v>
      </c>
      <c r="M7279">
        <v>70</v>
      </c>
      <c r="N7279">
        <v>0</v>
      </c>
      <c r="O7279">
        <v>34</v>
      </c>
    </row>
    <row r="7280" spans="1:15" x14ac:dyDescent="0.25">
      <c r="A7280" t="s">
        <v>1760</v>
      </c>
      <c r="B7280" t="s">
        <v>3000</v>
      </c>
      <c r="C7280" t="s">
        <v>927</v>
      </c>
      <c r="D7280" t="s">
        <v>3052</v>
      </c>
      <c r="E7280" t="s">
        <v>3053</v>
      </c>
      <c r="F7280" t="s">
        <v>14369</v>
      </c>
      <c r="G7280" t="s">
        <v>14370</v>
      </c>
      <c r="H7280" t="s">
        <v>15209</v>
      </c>
      <c r="I7280">
        <v>387</v>
      </c>
      <c r="J7280">
        <v>296</v>
      </c>
      <c r="K7280">
        <v>0</v>
      </c>
      <c r="L7280">
        <v>0</v>
      </c>
      <c r="M7280">
        <v>0</v>
      </c>
      <c r="N7280">
        <v>0</v>
      </c>
      <c r="O7280">
        <v>91</v>
      </c>
    </row>
    <row r="7281" spans="1:15" x14ac:dyDescent="0.25">
      <c r="A7281" t="s">
        <v>1762</v>
      </c>
      <c r="B7281" t="s">
        <v>10729</v>
      </c>
      <c r="C7281" t="s">
        <v>923</v>
      </c>
      <c r="D7281" t="s">
        <v>3063</v>
      </c>
      <c r="E7281" t="s">
        <v>3053</v>
      </c>
      <c r="F7281" t="s">
        <v>14369</v>
      </c>
      <c r="G7281" t="s">
        <v>14370</v>
      </c>
      <c r="H7281" t="s">
        <v>15210</v>
      </c>
      <c r="I7281">
        <v>12</v>
      </c>
      <c r="J7281">
        <v>0</v>
      </c>
      <c r="K7281">
        <v>0</v>
      </c>
      <c r="L7281">
        <v>0</v>
      </c>
      <c r="M7281">
        <v>12</v>
      </c>
      <c r="N7281">
        <v>0</v>
      </c>
      <c r="O7281">
        <v>0</v>
      </c>
    </row>
    <row r="7282" spans="1:15" x14ac:dyDescent="0.25">
      <c r="A7282" t="s">
        <v>960</v>
      </c>
      <c r="B7282" t="s">
        <v>2080</v>
      </c>
      <c r="C7282" t="s">
        <v>927</v>
      </c>
      <c r="D7282" t="s">
        <v>3052</v>
      </c>
      <c r="E7282" t="s">
        <v>3053</v>
      </c>
      <c r="F7282" t="s">
        <v>14369</v>
      </c>
      <c r="G7282" t="s">
        <v>14370</v>
      </c>
      <c r="H7282" t="s">
        <v>15211</v>
      </c>
      <c r="I7282">
        <v>221</v>
      </c>
      <c r="J7282">
        <v>77</v>
      </c>
      <c r="K7282">
        <v>0</v>
      </c>
      <c r="L7282">
        <v>0</v>
      </c>
      <c r="M7282">
        <v>0</v>
      </c>
      <c r="N7282">
        <v>0</v>
      </c>
      <c r="O7282">
        <v>144</v>
      </c>
    </row>
    <row r="7283" spans="1:15" x14ac:dyDescent="0.25">
      <c r="A7283" t="s">
        <v>14374</v>
      </c>
      <c r="B7283" t="s">
        <v>1943</v>
      </c>
      <c r="C7283" t="s">
        <v>927</v>
      </c>
      <c r="D7283" t="s">
        <v>3052</v>
      </c>
      <c r="E7283" t="s">
        <v>3053</v>
      </c>
      <c r="F7283" t="s">
        <v>14369</v>
      </c>
      <c r="G7283" t="s">
        <v>14370</v>
      </c>
      <c r="H7283" t="s">
        <v>15212</v>
      </c>
      <c r="I7283">
        <v>9</v>
      </c>
      <c r="J7283">
        <v>0</v>
      </c>
      <c r="K7283">
        <v>0</v>
      </c>
      <c r="L7283">
        <v>0</v>
      </c>
      <c r="M7283">
        <v>0</v>
      </c>
      <c r="N7283">
        <v>0</v>
      </c>
      <c r="O7283">
        <v>9</v>
      </c>
    </row>
    <row r="7284" spans="1:15" x14ac:dyDescent="0.25">
      <c r="A7284" t="s">
        <v>1062</v>
      </c>
      <c r="B7284" t="s">
        <v>1993</v>
      </c>
      <c r="C7284" t="s">
        <v>927</v>
      </c>
      <c r="D7284" t="s">
        <v>3052</v>
      </c>
      <c r="E7284" t="s">
        <v>3053</v>
      </c>
      <c r="F7284" t="s">
        <v>14369</v>
      </c>
      <c r="G7284" t="s">
        <v>14370</v>
      </c>
      <c r="H7284" t="s">
        <v>15213</v>
      </c>
      <c r="I7284">
        <v>67</v>
      </c>
      <c r="J7284">
        <v>45</v>
      </c>
      <c r="K7284">
        <v>0</v>
      </c>
      <c r="L7284">
        <v>0</v>
      </c>
      <c r="M7284">
        <v>0</v>
      </c>
      <c r="N7284">
        <v>0</v>
      </c>
      <c r="O7284">
        <v>22</v>
      </c>
    </row>
    <row r="7285" spans="1:15" x14ac:dyDescent="0.25">
      <c r="A7285" t="s">
        <v>962</v>
      </c>
      <c r="B7285" t="s">
        <v>2752</v>
      </c>
      <c r="C7285" t="s">
        <v>927</v>
      </c>
      <c r="D7285" t="s">
        <v>3052</v>
      </c>
      <c r="E7285" t="s">
        <v>3053</v>
      </c>
      <c r="F7285" t="s">
        <v>14369</v>
      </c>
      <c r="G7285" t="s">
        <v>14370</v>
      </c>
      <c r="H7285" t="s">
        <v>15214</v>
      </c>
      <c r="I7285">
        <v>2302</v>
      </c>
      <c r="J7285">
        <v>2036</v>
      </c>
      <c r="K7285">
        <v>0</v>
      </c>
      <c r="L7285">
        <v>5</v>
      </c>
      <c r="M7285">
        <v>0</v>
      </c>
      <c r="N7285">
        <v>0</v>
      </c>
      <c r="O7285">
        <v>261</v>
      </c>
    </row>
    <row r="7286" spans="1:15" x14ac:dyDescent="0.25">
      <c r="A7286" t="s">
        <v>964</v>
      </c>
      <c r="B7286" t="s">
        <v>1969</v>
      </c>
      <c r="C7286" t="s">
        <v>927</v>
      </c>
      <c r="D7286" t="s">
        <v>3052</v>
      </c>
      <c r="E7286" t="s">
        <v>3053</v>
      </c>
      <c r="F7286" t="s">
        <v>14369</v>
      </c>
      <c r="G7286" t="s">
        <v>14370</v>
      </c>
      <c r="H7286" t="s">
        <v>15215</v>
      </c>
      <c r="I7286">
        <v>149</v>
      </c>
      <c r="J7286">
        <v>91</v>
      </c>
      <c r="K7286">
        <v>0</v>
      </c>
      <c r="L7286">
        <v>0</v>
      </c>
      <c r="M7286">
        <v>0</v>
      </c>
      <c r="N7286">
        <v>0</v>
      </c>
      <c r="O7286">
        <v>58</v>
      </c>
    </row>
    <row r="7287" spans="1:15" x14ac:dyDescent="0.25">
      <c r="A7287" t="s">
        <v>1769</v>
      </c>
      <c r="B7287" t="s">
        <v>2127</v>
      </c>
      <c r="C7287" t="s">
        <v>923</v>
      </c>
      <c r="D7287" t="s">
        <v>3063</v>
      </c>
      <c r="E7287" t="s">
        <v>3053</v>
      </c>
      <c r="F7287" t="s">
        <v>14369</v>
      </c>
      <c r="G7287" t="s">
        <v>14370</v>
      </c>
      <c r="H7287" t="s">
        <v>15216</v>
      </c>
      <c r="I7287">
        <v>65</v>
      </c>
      <c r="J7287">
        <v>0</v>
      </c>
      <c r="K7287">
        <v>0</v>
      </c>
      <c r="L7287">
        <v>0</v>
      </c>
      <c r="M7287">
        <v>65</v>
      </c>
      <c r="N7287">
        <v>0</v>
      </c>
      <c r="O7287">
        <v>0</v>
      </c>
    </row>
    <row r="7288" spans="1:15" x14ac:dyDescent="0.25">
      <c r="A7288" t="s">
        <v>1771</v>
      </c>
      <c r="B7288" t="s">
        <v>2581</v>
      </c>
      <c r="C7288" t="s">
        <v>923</v>
      </c>
      <c r="D7288" t="s">
        <v>3063</v>
      </c>
      <c r="E7288" t="s">
        <v>3053</v>
      </c>
      <c r="F7288" t="s">
        <v>14369</v>
      </c>
      <c r="G7288" t="s">
        <v>14370</v>
      </c>
      <c r="H7288" t="s">
        <v>15217</v>
      </c>
      <c r="I7288">
        <v>9</v>
      </c>
      <c r="J7288">
        <v>0</v>
      </c>
      <c r="K7288">
        <v>0</v>
      </c>
      <c r="L7288">
        <v>0</v>
      </c>
      <c r="M7288">
        <v>9</v>
      </c>
      <c r="N7288">
        <v>0</v>
      </c>
      <c r="O7288">
        <v>0</v>
      </c>
    </row>
    <row r="7289" spans="1:15" x14ac:dyDescent="0.25">
      <c r="A7289" t="s">
        <v>10740</v>
      </c>
      <c r="B7289" t="s">
        <v>10739</v>
      </c>
      <c r="C7289" t="s">
        <v>923</v>
      </c>
      <c r="D7289" t="s">
        <v>3063</v>
      </c>
      <c r="E7289" t="s">
        <v>3053</v>
      </c>
      <c r="F7289" t="s">
        <v>14369</v>
      </c>
      <c r="G7289" t="s">
        <v>14370</v>
      </c>
      <c r="H7289" t="s">
        <v>15218</v>
      </c>
      <c r="I7289">
        <v>9</v>
      </c>
      <c r="J7289">
        <v>0</v>
      </c>
      <c r="K7289">
        <v>0</v>
      </c>
      <c r="L7289">
        <v>0</v>
      </c>
      <c r="M7289">
        <v>9</v>
      </c>
      <c r="N7289">
        <v>0</v>
      </c>
      <c r="O7289">
        <v>0</v>
      </c>
    </row>
    <row r="7290" spans="1:15" x14ac:dyDescent="0.25">
      <c r="A7290" t="s">
        <v>1066</v>
      </c>
      <c r="B7290" t="s">
        <v>2557</v>
      </c>
      <c r="C7290" t="s">
        <v>927</v>
      </c>
      <c r="D7290" t="s">
        <v>3052</v>
      </c>
      <c r="E7290" t="s">
        <v>3053</v>
      </c>
      <c r="F7290" t="s">
        <v>14369</v>
      </c>
      <c r="G7290" t="s">
        <v>14370</v>
      </c>
      <c r="H7290" t="s">
        <v>15219</v>
      </c>
      <c r="I7290">
        <v>53</v>
      </c>
      <c r="J7290">
        <v>0</v>
      </c>
      <c r="K7290">
        <v>0</v>
      </c>
      <c r="L7290">
        <v>0</v>
      </c>
      <c r="M7290">
        <v>53</v>
      </c>
      <c r="N7290">
        <v>0</v>
      </c>
      <c r="O7290">
        <v>0</v>
      </c>
    </row>
    <row r="7291" spans="1:15" x14ac:dyDescent="0.25">
      <c r="A7291" t="s">
        <v>1781</v>
      </c>
      <c r="B7291" t="s">
        <v>2100</v>
      </c>
      <c r="C7291" t="s">
        <v>923</v>
      </c>
      <c r="D7291" t="s">
        <v>3063</v>
      </c>
      <c r="E7291" t="s">
        <v>3053</v>
      </c>
      <c r="F7291" t="s">
        <v>14369</v>
      </c>
      <c r="G7291" t="s">
        <v>14370</v>
      </c>
      <c r="H7291" t="s">
        <v>15220</v>
      </c>
      <c r="I7291">
        <v>17</v>
      </c>
      <c r="J7291">
        <v>0</v>
      </c>
      <c r="K7291">
        <v>0</v>
      </c>
      <c r="L7291">
        <v>0</v>
      </c>
      <c r="M7291">
        <v>17</v>
      </c>
      <c r="N7291">
        <v>0</v>
      </c>
      <c r="O7291">
        <v>0</v>
      </c>
    </row>
    <row r="7292" spans="1:15" x14ac:dyDescent="0.25">
      <c r="A7292" t="s">
        <v>1069</v>
      </c>
      <c r="B7292" t="s">
        <v>2001</v>
      </c>
      <c r="C7292" t="s">
        <v>927</v>
      </c>
      <c r="D7292" t="s">
        <v>3052</v>
      </c>
      <c r="E7292" t="s">
        <v>3053</v>
      </c>
      <c r="F7292" t="s">
        <v>14369</v>
      </c>
      <c r="G7292" t="s">
        <v>14370</v>
      </c>
      <c r="H7292" t="s">
        <v>15221</v>
      </c>
      <c r="I7292">
        <v>268</v>
      </c>
      <c r="J7292">
        <v>184</v>
      </c>
      <c r="K7292">
        <v>0</v>
      </c>
      <c r="L7292">
        <v>0</v>
      </c>
      <c r="M7292">
        <v>27</v>
      </c>
      <c r="N7292">
        <v>0</v>
      </c>
      <c r="O7292">
        <v>57</v>
      </c>
    </row>
    <row r="7293" spans="1:15" x14ac:dyDescent="0.25">
      <c r="A7293" t="s">
        <v>966</v>
      </c>
      <c r="B7293" t="s">
        <v>2684</v>
      </c>
      <c r="C7293" t="s">
        <v>927</v>
      </c>
      <c r="D7293" t="s">
        <v>3052</v>
      </c>
      <c r="E7293" t="s">
        <v>3053</v>
      </c>
      <c r="F7293" t="s">
        <v>14369</v>
      </c>
      <c r="G7293" t="s">
        <v>14370</v>
      </c>
      <c r="H7293" t="s">
        <v>15222</v>
      </c>
      <c r="I7293">
        <v>50</v>
      </c>
      <c r="J7293">
        <v>32</v>
      </c>
      <c r="K7293">
        <v>0</v>
      </c>
      <c r="L7293">
        <v>0</v>
      </c>
      <c r="M7293">
        <v>0</v>
      </c>
      <c r="N7293">
        <v>0</v>
      </c>
      <c r="O7293">
        <v>18</v>
      </c>
    </row>
    <row r="7294" spans="1:15" x14ac:dyDescent="0.25">
      <c r="A7294" t="s">
        <v>1080</v>
      </c>
      <c r="B7294" t="s">
        <v>2030</v>
      </c>
      <c r="C7294" t="s">
        <v>923</v>
      </c>
      <c r="D7294" t="s">
        <v>3063</v>
      </c>
      <c r="E7294" t="s">
        <v>3053</v>
      </c>
      <c r="F7294" t="s">
        <v>14369</v>
      </c>
      <c r="G7294" t="s">
        <v>14370</v>
      </c>
      <c r="H7294" t="s">
        <v>15223</v>
      </c>
      <c r="I7294">
        <v>8</v>
      </c>
      <c r="J7294">
        <v>0</v>
      </c>
      <c r="K7294">
        <v>0</v>
      </c>
      <c r="L7294">
        <v>8</v>
      </c>
      <c r="M7294">
        <v>0</v>
      </c>
      <c r="N7294">
        <v>0</v>
      </c>
      <c r="O7294">
        <v>0</v>
      </c>
    </row>
    <row r="7295" spans="1:15" x14ac:dyDescent="0.25">
      <c r="A7295" t="s">
        <v>1794</v>
      </c>
      <c r="B7295" t="s">
        <v>2796</v>
      </c>
      <c r="C7295" t="s">
        <v>923</v>
      </c>
      <c r="D7295" t="s">
        <v>3063</v>
      </c>
      <c r="E7295" t="s">
        <v>3053</v>
      </c>
      <c r="F7295" t="s">
        <v>14369</v>
      </c>
      <c r="G7295" t="s">
        <v>14370</v>
      </c>
      <c r="H7295" t="s">
        <v>15224</v>
      </c>
      <c r="I7295">
        <v>74</v>
      </c>
      <c r="J7295">
        <v>74</v>
      </c>
      <c r="K7295">
        <v>0</v>
      </c>
      <c r="L7295">
        <v>0</v>
      </c>
      <c r="M7295">
        <v>0</v>
      </c>
      <c r="N7295">
        <v>0</v>
      </c>
      <c r="O7295">
        <v>0</v>
      </c>
    </row>
    <row r="7296" spans="1:15" x14ac:dyDescent="0.25">
      <c r="A7296" t="s">
        <v>11715</v>
      </c>
      <c r="B7296" t="s">
        <v>2784</v>
      </c>
      <c r="C7296" t="s">
        <v>927</v>
      </c>
      <c r="D7296" t="s">
        <v>3052</v>
      </c>
      <c r="E7296" t="s">
        <v>3053</v>
      </c>
      <c r="F7296" t="s">
        <v>14369</v>
      </c>
      <c r="G7296" t="s">
        <v>14370</v>
      </c>
      <c r="H7296" t="s">
        <v>15225</v>
      </c>
      <c r="I7296">
        <v>429</v>
      </c>
      <c r="J7296">
        <v>394</v>
      </c>
      <c r="K7296">
        <v>0</v>
      </c>
      <c r="L7296">
        <v>0</v>
      </c>
      <c r="M7296">
        <v>0</v>
      </c>
      <c r="N7296">
        <v>0</v>
      </c>
      <c r="O7296">
        <v>35</v>
      </c>
    </row>
    <row r="7297" spans="1:15" x14ac:dyDescent="0.25">
      <c r="A7297" t="s">
        <v>11716</v>
      </c>
      <c r="B7297" t="s">
        <v>2348</v>
      </c>
      <c r="C7297" t="s">
        <v>923</v>
      </c>
      <c r="D7297" t="s">
        <v>3063</v>
      </c>
      <c r="E7297" t="s">
        <v>3053</v>
      </c>
      <c r="F7297" t="s">
        <v>14369</v>
      </c>
      <c r="G7297" t="s">
        <v>14370</v>
      </c>
      <c r="H7297" t="s">
        <v>15226</v>
      </c>
      <c r="I7297">
        <v>8</v>
      </c>
      <c r="J7297">
        <v>0</v>
      </c>
      <c r="K7297">
        <v>0</v>
      </c>
      <c r="L7297">
        <v>0</v>
      </c>
      <c r="M7297">
        <v>8</v>
      </c>
      <c r="N7297">
        <v>0</v>
      </c>
      <c r="O7297">
        <v>0</v>
      </c>
    </row>
    <row r="7298" spans="1:15" x14ac:dyDescent="0.25">
      <c r="A7298" t="s">
        <v>1796</v>
      </c>
      <c r="B7298" t="s">
        <v>2111</v>
      </c>
      <c r="C7298" t="s">
        <v>923</v>
      </c>
      <c r="D7298" t="s">
        <v>3063</v>
      </c>
      <c r="E7298" t="s">
        <v>3053</v>
      </c>
      <c r="F7298" t="s">
        <v>14369</v>
      </c>
      <c r="G7298" t="s">
        <v>14370</v>
      </c>
      <c r="H7298" t="s">
        <v>15227</v>
      </c>
      <c r="I7298">
        <v>41</v>
      </c>
      <c r="J7298">
        <v>0</v>
      </c>
      <c r="K7298">
        <v>0</v>
      </c>
      <c r="L7298">
        <v>41</v>
      </c>
      <c r="M7298">
        <v>0</v>
      </c>
      <c r="N7298">
        <v>0</v>
      </c>
      <c r="O7298">
        <v>0</v>
      </c>
    </row>
    <row r="7299" spans="1:15" x14ac:dyDescent="0.25">
      <c r="A7299" t="s">
        <v>981</v>
      </c>
      <c r="B7299" t="s">
        <v>2985</v>
      </c>
      <c r="C7299" t="s">
        <v>927</v>
      </c>
      <c r="D7299" t="s">
        <v>3052</v>
      </c>
      <c r="E7299" t="s">
        <v>3053</v>
      </c>
      <c r="F7299" t="s">
        <v>14369</v>
      </c>
      <c r="G7299" t="s">
        <v>14370</v>
      </c>
      <c r="H7299" t="s">
        <v>15228</v>
      </c>
      <c r="I7299">
        <v>1</v>
      </c>
      <c r="J7299">
        <v>0</v>
      </c>
      <c r="K7299">
        <v>0</v>
      </c>
      <c r="L7299">
        <v>0</v>
      </c>
      <c r="M7299">
        <v>0</v>
      </c>
      <c r="N7299">
        <v>0</v>
      </c>
      <c r="O7299">
        <v>1</v>
      </c>
    </row>
    <row r="7300" spans="1:15" x14ac:dyDescent="0.25">
      <c r="A7300" t="s">
        <v>971</v>
      </c>
      <c r="B7300" t="s">
        <v>2956</v>
      </c>
      <c r="C7300" t="s">
        <v>927</v>
      </c>
      <c r="D7300" t="s">
        <v>3052</v>
      </c>
      <c r="E7300" t="s">
        <v>3053</v>
      </c>
      <c r="F7300" t="s">
        <v>706</v>
      </c>
      <c r="G7300" t="s">
        <v>707</v>
      </c>
      <c r="H7300" t="s">
        <v>7886</v>
      </c>
      <c r="I7300">
        <v>334</v>
      </c>
      <c r="J7300">
        <v>238</v>
      </c>
      <c r="K7300">
        <v>0</v>
      </c>
      <c r="L7300">
        <v>0</v>
      </c>
      <c r="M7300">
        <v>0</v>
      </c>
      <c r="N7300">
        <v>0</v>
      </c>
      <c r="O7300">
        <v>96</v>
      </c>
    </row>
    <row r="7301" spans="1:15" x14ac:dyDescent="0.25">
      <c r="A7301" t="s">
        <v>929</v>
      </c>
      <c r="B7301" t="s">
        <v>2999</v>
      </c>
      <c r="C7301" t="s">
        <v>927</v>
      </c>
      <c r="D7301" t="s">
        <v>3052</v>
      </c>
      <c r="E7301" t="s">
        <v>3053</v>
      </c>
      <c r="F7301" t="s">
        <v>706</v>
      </c>
      <c r="G7301" t="s">
        <v>707</v>
      </c>
      <c r="H7301" t="s">
        <v>7887</v>
      </c>
      <c r="I7301">
        <v>32</v>
      </c>
      <c r="J7301">
        <v>0</v>
      </c>
      <c r="K7301">
        <v>0</v>
      </c>
      <c r="L7301">
        <v>0</v>
      </c>
      <c r="M7301">
        <v>32</v>
      </c>
      <c r="N7301">
        <v>0</v>
      </c>
      <c r="O7301">
        <v>0</v>
      </c>
    </row>
    <row r="7302" spans="1:15" x14ac:dyDescent="0.25">
      <c r="A7302" t="s">
        <v>933</v>
      </c>
      <c r="B7302" t="s">
        <v>2106</v>
      </c>
      <c r="C7302" t="s">
        <v>927</v>
      </c>
      <c r="D7302" t="s">
        <v>3052</v>
      </c>
      <c r="E7302" t="s">
        <v>3053</v>
      </c>
      <c r="F7302" t="s">
        <v>706</v>
      </c>
      <c r="G7302" t="s">
        <v>707</v>
      </c>
      <c r="H7302" t="s">
        <v>7889</v>
      </c>
      <c r="I7302">
        <v>713</v>
      </c>
      <c r="J7302">
        <v>562</v>
      </c>
      <c r="K7302">
        <v>0</v>
      </c>
      <c r="L7302">
        <v>7</v>
      </c>
      <c r="M7302">
        <v>0</v>
      </c>
      <c r="N7302">
        <v>0</v>
      </c>
      <c r="O7302">
        <v>144</v>
      </c>
    </row>
    <row r="7303" spans="1:15" x14ac:dyDescent="0.25">
      <c r="A7303" t="s">
        <v>992</v>
      </c>
      <c r="B7303" t="s">
        <v>3033</v>
      </c>
      <c r="C7303" t="s">
        <v>927</v>
      </c>
      <c r="D7303" t="s">
        <v>3052</v>
      </c>
      <c r="E7303" t="s">
        <v>3053</v>
      </c>
      <c r="F7303" t="s">
        <v>706</v>
      </c>
      <c r="G7303" t="s">
        <v>707</v>
      </c>
      <c r="H7303" t="s">
        <v>7890</v>
      </c>
      <c r="I7303">
        <v>113</v>
      </c>
      <c r="J7303">
        <v>80</v>
      </c>
      <c r="K7303">
        <v>0</v>
      </c>
      <c r="L7303">
        <v>0</v>
      </c>
      <c r="M7303">
        <v>0</v>
      </c>
      <c r="N7303">
        <v>0</v>
      </c>
      <c r="O7303">
        <v>33</v>
      </c>
    </row>
    <row r="7304" spans="1:15" x14ac:dyDescent="0.25">
      <c r="A7304" t="s">
        <v>998</v>
      </c>
      <c r="B7304" t="s">
        <v>2820</v>
      </c>
      <c r="C7304" t="s">
        <v>927</v>
      </c>
      <c r="D7304" t="s">
        <v>3052</v>
      </c>
      <c r="E7304" t="s">
        <v>3053</v>
      </c>
      <c r="F7304" t="s">
        <v>706</v>
      </c>
      <c r="G7304" t="s">
        <v>707</v>
      </c>
      <c r="H7304" t="s">
        <v>15229</v>
      </c>
      <c r="I7304">
        <v>53</v>
      </c>
      <c r="J7304">
        <v>53</v>
      </c>
      <c r="K7304">
        <v>0</v>
      </c>
      <c r="L7304">
        <v>0</v>
      </c>
      <c r="M7304">
        <v>0</v>
      </c>
      <c r="N7304">
        <v>0</v>
      </c>
      <c r="O7304">
        <v>0</v>
      </c>
    </row>
    <row r="7305" spans="1:15" x14ac:dyDescent="0.25">
      <c r="A7305" t="s">
        <v>1113</v>
      </c>
      <c r="B7305" t="s">
        <v>1953</v>
      </c>
      <c r="C7305" t="s">
        <v>927</v>
      </c>
      <c r="D7305" t="s">
        <v>3052</v>
      </c>
      <c r="E7305" t="s">
        <v>3053</v>
      </c>
      <c r="F7305" t="s">
        <v>706</v>
      </c>
      <c r="G7305" t="s">
        <v>707</v>
      </c>
      <c r="H7305" t="s">
        <v>7891</v>
      </c>
      <c r="I7305">
        <v>406</v>
      </c>
      <c r="J7305">
        <v>290</v>
      </c>
      <c r="K7305">
        <v>0</v>
      </c>
      <c r="L7305">
        <v>0</v>
      </c>
      <c r="M7305">
        <v>0</v>
      </c>
      <c r="N7305">
        <v>7</v>
      </c>
      <c r="O7305">
        <v>116</v>
      </c>
    </row>
    <row r="7306" spans="1:15" x14ac:dyDescent="0.25">
      <c r="A7306" t="s">
        <v>1003</v>
      </c>
      <c r="B7306" t="s">
        <v>2862</v>
      </c>
      <c r="C7306" t="s">
        <v>927</v>
      </c>
      <c r="D7306" t="s">
        <v>3052</v>
      </c>
      <c r="E7306" t="s">
        <v>3053</v>
      </c>
      <c r="F7306" t="s">
        <v>706</v>
      </c>
      <c r="G7306" t="s">
        <v>707</v>
      </c>
      <c r="H7306" t="s">
        <v>7892</v>
      </c>
      <c r="I7306">
        <v>9</v>
      </c>
      <c r="J7306">
        <v>0</v>
      </c>
      <c r="K7306">
        <v>0</v>
      </c>
      <c r="L7306">
        <v>0</v>
      </c>
      <c r="M7306">
        <v>0</v>
      </c>
      <c r="N7306">
        <v>0</v>
      </c>
      <c r="O7306">
        <v>9</v>
      </c>
    </row>
    <row r="7307" spans="1:15" x14ac:dyDescent="0.25">
      <c r="A7307" t="s">
        <v>1005</v>
      </c>
      <c r="B7307" t="s">
        <v>2128</v>
      </c>
      <c r="C7307" t="s">
        <v>927</v>
      </c>
      <c r="D7307" t="s">
        <v>3052</v>
      </c>
      <c r="E7307" t="s">
        <v>3053</v>
      </c>
      <c r="F7307" t="s">
        <v>706</v>
      </c>
      <c r="G7307" t="s">
        <v>707</v>
      </c>
      <c r="H7307" t="s">
        <v>7893</v>
      </c>
      <c r="I7307">
        <v>3</v>
      </c>
      <c r="J7307">
        <v>3</v>
      </c>
      <c r="K7307">
        <v>0</v>
      </c>
      <c r="L7307">
        <v>0</v>
      </c>
      <c r="M7307">
        <v>0</v>
      </c>
      <c r="N7307">
        <v>0</v>
      </c>
      <c r="O7307">
        <v>0</v>
      </c>
    </row>
    <row r="7308" spans="1:15" x14ac:dyDescent="0.25">
      <c r="A7308" t="s">
        <v>1010</v>
      </c>
      <c r="B7308" t="s">
        <v>2639</v>
      </c>
      <c r="C7308" t="s">
        <v>927</v>
      </c>
      <c r="D7308" t="s">
        <v>3052</v>
      </c>
      <c r="E7308" t="s">
        <v>3053</v>
      </c>
      <c r="F7308" t="s">
        <v>706</v>
      </c>
      <c r="G7308" t="s">
        <v>707</v>
      </c>
      <c r="H7308" t="s">
        <v>7894</v>
      </c>
      <c r="I7308">
        <v>9</v>
      </c>
      <c r="J7308">
        <v>8</v>
      </c>
      <c r="K7308">
        <v>0</v>
      </c>
      <c r="L7308">
        <v>0</v>
      </c>
      <c r="M7308">
        <v>0</v>
      </c>
      <c r="N7308">
        <v>0</v>
      </c>
      <c r="O7308">
        <v>1</v>
      </c>
    </row>
    <row r="7309" spans="1:15" x14ac:dyDescent="0.25">
      <c r="A7309" t="s">
        <v>937</v>
      </c>
      <c r="B7309" t="s">
        <v>1962</v>
      </c>
      <c r="C7309" t="s">
        <v>927</v>
      </c>
      <c r="D7309" t="s">
        <v>3052</v>
      </c>
      <c r="E7309" t="s">
        <v>3053</v>
      </c>
      <c r="F7309" t="s">
        <v>706</v>
      </c>
      <c r="G7309" t="s">
        <v>707</v>
      </c>
      <c r="H7309" t="s">
        <v>7895</v>
      </c>
      <c r="I7309">
        <v>30</v>
      </c>
      <c r="J7309">
        <v>0</v>
      </c>
      <c r="K7309">
        <v>0</v>
      </c>
      <c r="L7309">
        <v>0</v>
      </c>
      <c r="M7309">
        <v>0</v>
      </c>
      <c r="N7309">
        <v>0</v>
      </c>
      <c r="O7309">
        <v>30</v>
      </c>
    </row>
    <row r="7310" spans="1:15" x14ac:dyDescent="0.25">
      <c r="A7310" t="s">
        <v>1123</v>
      </c>
      <c r="B7310" t="s">
        <v>2691</v>
      </c>
      <c r="C7310" t="s">
        <v>927</v>
      </c>
      <c r="D7310" t="s">
        <v>3052</v>
      </c>
      <c r="E7310" t="s">
        <v>3053</v>
      </c>
      <c r="F7310" t="s">
        <v>706</v>
      </c>
      <c r="G7310" t="s">
        <v>707</v>
      </c>
      <c r="H7310" t="s">
        <v>7896</v>
      </c>
      <c r="I7310">
        <v>247</v>
      </c>
      <c r="J7310">
        <v>190</v>
      </c>
      <c r="K7310">
        <v>0</v>
      </c>
      <c r="L7310">
        <v>0</v>
      </c>
      <c r="M7310">
        <v>0</v>
      </c>
      <c r="N7310">
        <v>0</v>
      </c>
      <c r="O7310">
        <v>57</v>
      </c>
    </row>
    <row r="7311" spans="1:15" x14ac:dyDescent="0.25">
      <c r="A7311" t="s">
        <v>1025</v>
      </c>
      <c r="B7311" t="s">
        <v>2893</v>
      </c>
      <c r="C7311" t="s">
        <v>927</v>
      </c>
      <c r="D7311" t="s">
        <v>3052</v>
      </c>
      <c r="E7311" t="s">
        <v>3053</v>
      </c>
      <c r="F7311" t="s">
        <v>706</v>
      </c>
      <c r="G7311" t="s">
        <v>707</v>
      </c>
      <c r="H7311" t="s">
        <v>10193</v>
      </c>
      <c r="I7311">
        <v>102</v>
      </c>
      <c r="J7311">
        <v>19</v>
      </c>
      <c r="K7311">
        <v>0</v>
      </c>
      <c r="L7311">
        <v>0</v>
      </c>
      <c r="M7311">
        <v>0</v>
      </c>
      <c r="N7311">
        <v>1</v>
      </c>
      <c r="O7311">
        <v>83</v>
      </c>
    </row>
    <row r="7312" spans="1:15" x14ac:dyDescent="0.25">
      <c r="A7312" t="s">
        <v>1026</v>
      </c>
      <c r="B7312" t="s">
        <v>2848</v>
      </c>
      <c r="C7312" t="s">
        <v>927</v>
      </c>
      <c r="D7312" t="s">
        <v>3052</v>
      </c>
      <c r="E7312" t="s">
        <v>3053</v>
      </c>
      <c r="F7312" t="s">
        <v>706</v>
      </c>
      <c r="G7312" t="s">
        <v>707</v>
      </c>
      <c r="H7312" t="s">
        <v>7897</v>
      </c>
      <c r="I7312">
        <v>71</v>
      </c>
      <c r="J7312">
        <v>58</v>
      </c>
      <c r="K7312">
        <v>0</v>
      </c>
      <c r="L7312">
        <v>0</v>
      </c>
      <c r="M7312">
        <v>0</v>
      </c>
      <c r="N7312">
        <v>0</v>
      </c>
      <c r="O7312">
        <v>13</v>
      </c>
    </row>
    <row r="7313" spans="1:15" x14ac:dyDescent="0.25">
      <c r="A7313" t="s">
        <v>10681</v>
      </c>
      <c r="B7313" t="s">
        <v>10680</v>
      </c>
      <c r="C7313" t="s">
        <v>927</v>
      </c>
      <c r="D7313" t="s">
        <v>3052</v>
      </c>
      <c r="E7313" t="s">
        <v>3053</v>
      </c>
      <c r="F7313" t="s">
        <v>706</v>
      </c>
      <c r="G7313" t="s">
        <v>707</v>
      </c>
      <c r="H7313" t="s">
        <v>15230</v>
      </c>
      <c r="I7313">
        <v>28</v>
      </c>
      <c r="J7313">
        <v>0</v>
      </c>
      <c r="K7313">
        <v>0</v>
      </c>
      <c r="L7313">
        <v>0</v>
      </c>
      <c r="M7313">
        <v>0</v>
      </c>
      <c r="N7313">
        <v>0</v>
      </c>
      <c r="O7313">
        <v>28</v>
      </c>
    </row>
    <row r="7314" spans="1:15" x14ac:dyDescent="0.25">
      <c r="A7314" t="s">
        <v>943</v>
      </c>
      <c r="B7314" t="s">
        <v>2694</v>
      </c>
      <c r="C7314" t="s">
        <v>927</v>
      </c>
      <c r="D7314" t="s">
        <v>3052</v>
      </c>
      <c r="E7314" t="s">
        <v>3053</v>
      </c>
      <c r="F7314" t="s">
        <v>706</v>
      </c>
      <c r="G7314" t="s">
        <v>707</v>
      </c>
      <c r="H7314" t="s">
        <v>7898</v>
      </c>
      <c r="I7314">
        <v>907</v>
      </c>
      <c r="J7314">
        <v>720</v>
      </c>
      <c r="K7314">
        <v>0</v>
      </c>
      <c r="L7314">
        <v>43</v>
      </c>
      <c r="M7314">
        <v>0</v>
      </c>
      <c r="N7314">
        <v>0</v>
      </c>
      <c r="O7314">
        <v>144</v>
      </c>
    </row>
    <row r="7315" spans="1:15" x14ac:dyDescent="0.25">
      <c r="A7315" t="s">
        <v>1041</v>
      </c>
      <c r="B7315" t="s">
        <v>2826</v>
      </c>
      <c r="C7315" t="s">
        <v>927</v>
      </c>
      <c r="D7315" t="s">
        <v>3052</v>
      </c>
      <c r="E7315" t="s">
        <v>3053</v>
      </c>
      <c r="F7315" t="s">
        <v>706</v>
      </c>
      <c r="G7315" t="s">
        <v>707</v>
      </c>
      <c r="H7315" t="s">
        <v>7899</v>
      </c>
      <c r="I7315">
        <v>16</v>
      </c>
      <c r="J7315">
        <v>0</v>
      </c>
      <c r="K7315">
        <v>0</v>
      </c>
      <c r="L7315">
        <v>0</v>
      </c>
      <c r="M7315">
        <v>0</v>
      </c>
      <c r="N7315">
        <v>0</v>
      </c>
      <c r="O7315">
        <v>16</v>
      </c>
    </row>
    <row r="7316" spans="1:15" x14ac:dyDescent="0.25">
      <c r="A7316" t="s">
        <v>9787</v>
      </c>
      <c r="B7316" t="s">
        <v>2822</v>
      </c>
      <c r="C7316" t="s">
        <v>927</v>
      </c>
      <c r="D7316" t="s">
        <v>3052</v>
      </c>
      <c r="E7316" t="s">
        <v>3053</v>
      </c>
      <c r="F7316" t="s">
        <v>706</v>
      </c>
      <c r="G7316" t="s">
        <v>707</v>
      </c>
      <c r="H7316" t="s">
        <v>10279</v>
      </c>
      <c r="I7316">
        <v>23</v>
      </c>
      <c r="J7316">
        <v>23</v>
      </c>
      <c r="K7316">
        <v>0</v>
      </c>
      <c r="L7316">
        <v>0</v>
      </c>
      <c r="M7316">
        <v>0</v>
      </c>
      <c r="N7316">
        <v>0</v>
      </c>
      <c r="O7316">
        <v>0</v>
      </c>
    </row>
    <row r="7317" spans="1:15" x14ac:dyDescent="0.25">
      <c r="A7317" t="s">
        <v>1142</v>
      </c>
      <c r="B7317" t="s">
        <v>3003</v>
      </c>
      <c r="C7317" t="s">
        <v>927</v>
      </c>
      <c r="D7317" t="s">
        <v>3052</v>
      </c>
      <c r="E7317" t="s">
        <v>3053</v>
      </c>
      <c r="F7317" t="s">
        <v>706</v>
      </c>
      <c r="G7317" t="s">
        <v>707</v>
      </c>
      <c r="H7317" t="s">
        <v>7900</v>
      </c>
      <c r="I7317">
        <v>102</v>
      </c>
      <c r="J7317">
        <v>64</v>
      </c>
      <c r="K7317">
        <v>0</v>
      </c>
      <c r="L7317">
        <v>0</v>
      </c>
      <c r="M7317">
        <v>0</v>
      </c>
      <c r="N7317">
        <v>0</v>
      </c>
      <c r="O7317">
        <v>38</v>
      </c>
    </row>
    <row r="7318" spans="1:15" x14ac:dyDescent="0.25">
      <c r="A7318" t="s">
        <v>1146</v>
      </c>
      <c r="B7318" t="s">
        <v>2117</v>
      </c>
      <c r="C7318" t="s">
        <v>927</v>
      </c>
      <c r="D7318" t="s">
        <v>3052</v>
      </c>
      <c r="E7318" t="s">
        <v>3053</v>
      </c>
      <c r="F7318" t="s">
        <v>706</v>
      </c>
      <c r="G7318" t="s">
        <v>707</v>
      </c>
      <c r="H7318" t="s">
        <v>15231</v>
      </c>
      <c r="I7318">
        <v>56</v>
      </c>
      <c r="J7318">
        <v>48</v>
      </c>
      <c r="K7318">
        <v>0</v>
      </c>
      <c r="L7318">
        <v>0</v>
      </c>
      <c r="M7318">
        <v>0</v>
      </c>
      <c r="N7318">
        <v>0</v>
      </c>
      <c r="O7318">
        <v>8</v>
      </c>
    </row>
    <row r="7319" spans="1:15" x14ac:dyDescent="0.25">
      <c r="A7319" t="s">
        <v>951</v>
      </c>
      <c r="B7319" t="s">
        <v>2680</v>
      </c>
      <c r="C7319" t="s">
        <v>927</v>
      </c>
      <c r="D7319" t="s">
        <v>3052</v>
      </c>
      <c r="E7319" t="s">
        <v>3053</v>
      </c>
      <c r="F7319" t="s">
        <v>706</v>
      </c>
      <c r="G7319" t="s">
        <v>707</v>
      </c>
      <c r="H7319" t="s">
        <v>7901</v>
      </c>
      <c r="I7319">
        <v>126</v>
      </c>
      <c r="J7319">
        <v>78</v>
      </c>
      <c r="K7319">
        <v>0</v>
      </c>
      <c r="L7319">
        <v>0</v>
      </c>
      <c r="M7319">
        <v>0</v>
      </c>
      <c r="N7319">
        <v>0</v>
      </c>
      <c r="O7319">
        <v>48</v>
      </c>
    </row>
    <row r="7320" spans="1:15" x14ac:dyDescent="0.25">
      <c r="A7320" t="s">
        <v>1048</v>
      </c>
      <c r="B7320" t="s">
        <v>2989</v>
      </c>
      <c r="C7320" t="s">
        <v>927</v>
      </c>
      <c r="D7320" t="s">
        <v>3052</v>
      </c>
      <c r="E7320" t="s">
        <v>3053</v>
      </c>
      <c r="F7320" t="s">
        <v>706</v>
      </c>
      <c r="G7320" t="s">
        <v>707</v>
      </c>
      <c r="H7320" t="s">
        <v>12343</v>
      </c>
      <c r="I7320">
        <v>55</v>
      </c>
      <c r="J7320">
        <v>44</v>
      </c>
      <c r="K7320">
        <v>0</v>
      </c>
      <c r="L7320">
        <v>0</v>
      </c>
      <c r="M7320">
        <v>0</v>
      </c>
      <c r="N7320">
        <v>0</v>
      </c>
      <c r="O7320">
        <v>11</v>
      </c>
    </row>
    <row r="7321" spans="1:15" x14ac:dyDescent="0.25">
      <c r="A7321" t="s">
        <v>1152</v>
      </c>
      <c r="B7321" t="s">
        <v>3031</v>
      </c>
      <c r="C7321" t="s">
        <v>927</v>
      </c>
      <c r="D7321" t="s">
        <v>3052</v>
      </c>
      <c r="E7321" t="s">
        <v>3053</v>
      </c>
      <c r="F7321" t="s">
        <v>706</v>
      </c>
      <c r="G7321" t="s">
        <v>707</v>
      </c>
      <c r="H7321" t="s">
        <v>10328</v>
      </c>
      <c r="I7321">
        <v>1</v>
      </c>
      <c r="J7321">
        <v>0</v>
      </c>
      <c r="K7321">
        <v>0</v>
      </c>
      <c r="L7321">
        <v>0</v>
      </c>
      <c r="M7321">
        <v>0</v>
      </c>
      <c r="N7321">
        <v>0</v>
      </c>
      <c r="O7321">
        <v>1</v>
      </c>
    </row>
    <row r="7322" spans="1:15" x14ac:dyDescent="0.25">
      <c r="A7322" t="s">
        <v>11720</v>
      </c>
      <c r="B7322" t="s">
        <v>10718</v>
      </c>
      <c r="C7322" t="s">
        <v>927</v>
      </c>
      <c r="D7322" t="s">
        <v>3052</v>
      </c>
      <c r="E7322" t="s">
        <v>3053</v>
      </c>
      <c r="F7322" t="s">
        <v>706</v>
      </c>
      <c r="G7322" t="s">
        <v>707</v>
      </c>
      <c r="H7322" t="s">
        <v>15232</v>
      </c>
      <c r="I7322">
        <v>14</v>
      </c>
      <c r="J7322">
        <v>2</v>
      </c>
      <c r="K7322">
        <v>0</v>
      </c>
      <c r="L7322">
        <v>0</v>
      </c>
      <c r="M7322">
        <v>0</v>
      </c>
      <c r="N7322">
        <v>0</v>
      </c>
      <c r="O7322">
        <v>12</v>
      </c>
    </row>
    <row r="7323" spans="1:15" x14ac:dyDescent="0.25">
      <c r="A7323" t="s">
        <v>9788</v>
      </c>
      <c r="B7323" t="s">
        <v>9871</v>
      </c>
      <c r="C7323" t="s">
        <v>927</v>
      </c>
      <c r="D7323" t="s">
        <v>3052</v>
      </c>
      <c r="E7323" t="s">
        <v>3053</v>
      </c>
      <c r="F7323" t="s">
        <v>706</v>
      </c>
      <c r="G7323" t="s">
        <v>707</v>
      </c>
      <c r="H7323" t="s">
        <v>10372</v>
      </c>
      <c r="I7323">
        <v>39</v>
      </c>
      <c r="J7323">
        <v>39</v>
      </c>
      <c r="K7323">
        <v>0</v>
      </c>
      <c r="L7323">
        <v>0</v>
      </c>
      <c r="M7323">
        <v>0</v>
      </c>
      <c r="N7323">
        <v>0</v>
      </c>
      <c r="O7323">
        <v>0</v>
      </c>
    </row>
    <row r="7324" spans="1:15" x14ac:dyDescent="0.25">
      <c r="A7324" t="s">
        <v>1057</v>
      </c>
      <c r="B7324" t="s">
        <v>1972</v>
      </c>
      <c r="C7324" t="s">
        <v>927</v>
      </c>
      <c r="D7324" t="s">
        <v>3052</v>
      </c>
      <c r="E7324" t="s">
        <v>3053</v>
      </c>
      <c r="F7324" t="s">
        <v>706</v>
      </c>
      <c r="G7324" t="s">
        <v>707</v>
      </c>
      <c r="H7324" t="s">
        <v>7902</v>
      </c>
      <c r="I7324">
        <v>55</v>
      </c>
      <c r="J7324">
        <v>17</v>
      </c>
      <c r="K7324">
        <v>0</v>
      </c>
      <c r="L7324">
        <v>30</v>
      </c>
      <c r="M7324">
        <v>0</v>
      </c>
      <c r="N7324">
        <v>0</v>
      </c>
      <c r="O7324">
        <v>8</v>
      </c>
    </row>
    <row r="7325" spans="1:15" x14ac:dyDescent="0.25">
      <c r="A7325" t="s">
        <v>955</v>
      </c>
      <c r="B7325" t="s">
        <v>2660</v>
      </c>
      <c r="C7325" t="s">
        <v>927</v>
      </c>
      <c r="D7325" t="s">
        <v>3052</v>
      </c>
      <c r="E7325" t="s">
        <v>3053</v>
      </c>
      <c r="F7325" t="s">
        <v>706</v>
      </c>
      <c r="G7325" t="s">
        <v>707</v>
      </c>
      <c r="H7325" t="s">
        <v>7903</v>
      </c>
      <c r="I7325">
        <v>90</v>
      </c>
      <c r="J7325">
        <v>12</v>
      </c>
      <c r="K7325">
        <v>0</v>
      </c>
      <c r="L7325">
        <v>4</v>
      </c>
      <c r="M7325">
        <v>74</v>
      </c>
      <c r="N7325">
        <v>0</v>
      </c>
      <c r="O7325">
        <v>0</v>
      </c>
    </row>
    <row r="7326" spans="1:15" x14ac:dyDescent="0.25">
      <c r="A7326" t="s">
        <v>1154</v>
      </c>
      <c r="B7326" t="s">
        <v>2861</v>
      </c>
      <c r="C7326" t="s">
        <v>927</v>
      </c>
      <c r="D7326" t="s">
        <v>3052</v>
      </c>
      <c r="E7326" t="s">
        <v>3053</v>
      </c>
      <c r="F7326" t="s">
        <v>706</v>
      </c>
      <c r="G7326" t="s">
        <v>707</v>
      </c>
      <c r="H7326" t="s">
        <v>11314</v>
      </c>
      <c r="I7326">
        <v>30</v>
      </c>
      <c r="J7326">
        <v>11</v>
      </c>
      <c r="K7326">
        <v>0</v>
      </c>
      <c r="L7326">
        <v>0</v>
      </c>
      <c r="M7326">
        <v>0</v>
      </c>
      <c r="N7326">
        <v>0</v>
      </c>
      <c r="O7326">
        <v>19</v>
      </c>
    </row>
    <row r="7327" spans="1:15" x14ac:dyDescent="0.25">
      <c r="A7327" t="s">
        <v>14374</v>
      </c>
      <c r="B7327" t="s">
        <v>1943</v>
      </c>
      <c r="C7327" t="s">
        <v>927</v>
      </c>
      <c r="D7327" t="s">
        <v>3052</v>
      </c>
      <c r="E7327" t="s">
        <v>3053</v>
      </c>
      <c r="F7327" t="s">
        <v>706</v>
      </c>
      <c r="G7327" t="s">
        <v>707</v>
      </c>
      <c r="H7327" t="s">
        <v>15233</v>
      </c>
      <c r="I7327">
        <v>12</v>
      </c>
      <c r="J7327">
        <v>0</v>
      </c>
      <c r="K7327">
        <v>0</v>
      </c>
      <c r="L7327">
        <v>0</v>
      </c>
      <c r="M7327">
        <v>0</v>
      </c>
      <c r="N7327">
        <v>0</v>
      </c>
      <c r="O7327">
        <v>12</v>
      </c>
    </row>
    <row r="7328" spans="1:15" x14ac:dyDescent="0.25">
      <c r="A7328" t="s">
        <v>962</v>
      </c>
      <c r="B7328" t="s">
        <v>2752</v>
      </c>
      <c r="C7328" t="s">
        <v>927</v>
      </c>
      <c r="D7328" t="s">
        <v>3052</v>
      </c>
      <c r="E7328" t="s">
        <v>3053</v>
      </c>
      <c r="F7328" t="s">
        <v>706</v>
      </c>
      <c r="G7328" t="s">
        <v>707</v>
      </c>
      <c r="H7328" t="s">
        <v>7904</v>
      </c>
      <c r="I7328">
        <v>90</v>
      </c>
      <c r="J7328">
        <v>70</v>
      </c>
      <c r="K7328">
        <v>0</v>
      </c>
      <c r="L7328">
        <v>0</v>
      </c>
      <c r="M7328">
        <v>0</v>
      </c>
      <c r="N7328">
        <v>0</v>
      </c>
      <c r="O7328">
        <v>20</v>
      </c>
    </row>
    <row r="7329" spans="1:15" x14ac:dyDescent="0.25">
      <c r="A7329" t="s">
        <v>1168</v>
      </c>
      <c r="B7329" t="s">
        <v>2712</v>
      </c>
      <c r="C7329" t="s">
        <v>927</v>
      </c>
      <c r="D7329" t="s">
        <v>3052</v>
      </c>
      <c r="E7329" t="s">
        <v>3053</v>
      </c>
      <c r="F7329" t="s">
        <v>706</v>
      </c>
      <c r="G7329" t="s">
        <v>707</v>
      </c>
      <c r="H7329" t="s">
        <v>7905</v>
      </c>
      <c r="I7329">
        <v>860</v>
      </c>
      <c r="J7329">
        <v>605</v>
      </c>
      <c r="K7329">
        <v>0</v>
      </c>
      <c r="L7329">
        <v>0</v>
      </c>
      <c r="M7329">
        <v>60</v>
      </c>
      <c r="N7329">
        <v>0</v>
      </c>
      <c r="O7329">
        <v>195</v>
      </c>
    </row>
    <row r="7330" spans="1:15" x14ac:dyDescent="0.25">
      <c r="A7330" t="s">
        <v>1069</v>
      </c>
      <c r="B7330" t="s">
        <v>2001</v>
      </c>
      <c r="C7330" t="s">
        <v>927</v>
      </c>
      <c r="D7330" t="s">
        <v>3052</v>
      </c>
      <c r="E7330" t="s">
        <v>3053</v>
      </c>
      <c r="F7330" t="s">
        <v>706</v>
      </c>
      <c r="G7330" t="s">
        <v>707</v>
      </c>
      <c r="H7330" t="s">
        <v>7906</v>
      </c>
      <c r="I7330">
        <v>34</v>
      </c>
      <c r="J7330">
        <v>32</v>
      </c>
      <c r="K7330">
        <v>0</v>
      </c>
      <c r="L7330">
        <v>0</v>
      </c>
      <c r="M7330">
        <v>0</v>
      </c>
      <c r="N7330">
        <v>0</v>
      </c>
      <c r="O7330">
        <v>2</v>
      </c>
    </row>
    <row r="7331" spans="1:15" x14ac:dyDescent="0.25">
      <c r="A7331" t="s">
        <v>1172</v>
      </c>
      <c r="B7331" t="s">
        <v>3023</v>
      </c>
      <c r="C7331" t="s">
        <v>927</v>
      </c>
      <c r="D7331" t="s">
        <v>3052</v>
      </c>
      <c r="E7331" t="s">
        <v>3053</v>
      </c>
      <c r="F7331" t="s">
        <v>706</v>
      </c>
      <c r="G7331" t="s">
        <v>707</v>
      </c>
      <c r="H7331" t="s">
        <v>7907</v>
      </c>
      <c r="I7331">
        <v>6</v>
      </c>
      <c r="J7331">
        <v>4</v>
      </c>
      <c r="K7331">
        <v>0</v>
      </c>
      <c r="L7331">
        <v>0</v>
      </c>
      <c r="M7331">
        <v>0</v>
      </c>
      <c r="N7331">
        <v>0</v>
      </c>
      <c r="O7331">
        <v>2</v>
      </c>
    </row>
    <row r="7332" spans="1:15" x14ac:dyDescent="0.25">
      <c r="A7332" t="s">
        <v>1176</v>
      </c>
      <c r="B7332" t="s">
        <v>2952</v>
      </c>
      <c r="C7332" t="s">
        <v>923</v>
      </c>
      <c r="D7332" t="s">
        <v>3063</v>
      </c>
      <c r="E7332" t="s">
        <v>3053</v>
      </c>
      <c r="F7332" t="s">
        <v>706</v>
      </c>
      <c r="G7332" t="s">
        <v>707</v>
      </c>
      <c r="H7332" t="s">
        <v>7908</v>
      </c>
      <c r="I7332">
        <v>437</v>
      </c>
      <c r="J7332">
        <v>172</v>
      </c>
      <c r="K7332">
        <v>0</v>
      </c>
      <c r="L7332">
        <v>265</v>
      </c>
      <c r="M7332">
        <v>0</v>
      </c>
      <c r="N7332">
        <v>5</v>
      </c>
      <c r="O7332">
        <v>0</v>
      </c>
    </row>
    <row r="7333" spans="1:15" x14ac:dyDescent="0.25">
      <c r="A7333" t="s">
        <v>1072</v>
      </c>
      <c r="B7333" t="s">
        <v>2907</v>
      </c>
      <c r="C7333" t="s">
        <v>927</v>
      </c>
      <c r="D7333" t="s">
        <v>3052</v>
      </c>
      <c r="E7333" t="s">
        <v>3053</v>
      </c>
      <c r="F7333" t="s">
        <v>706</v>
      </c>
      <c r="G7333" t="s">
        <v>707</v>
      </c>
      <c r="H7333" t="s">
        <v>7909</v>
      </c>
      <c r="I7333">
        <v>12</v>
      </c>
      <c r="J7333">
        <v>12</v>
      </c>
      <c r="K7333">
        <v>0</v>
      </c>
      <c r="L7333">
        <v>0</v>
      </c>
      <c r="M7333">
        <v>0</v>
      </c>
      <c r="N7333">
        <v>0</v>
      </c>
      <c r="O7333">
        <v>0</v>
      </c>
    </row>
    <row r="7334" spans="1:15" x14ac:dyDescent="0.25">
      <c r="A7334" t="s">
        <v>981</v>
      </c>
      <c r="B7334" t="s">
        <v>2985</v>
      </c>
      <c r="C7334" t="s">
        <v>927</v>
      </c>
      <c r="D7334" t="s">
        <v>3052</v>
      </c>
      <c r="E7334" t="s">
        <v>3053</v>
      </c>
      <c r="F7334" t="s">
        <v>706</v>
      </c>
      <c r="G7334" t="s">
        <v>707</v>
      </c>
      <c r="H7334" t="s">
        <v>7888</v>
      </c>
      <c r="I7334">
        <v>1240</v>
      </c>
      <c r="J7334">
        <v>710</v>
      </c>
      <c r="K7334">
        <v>0</v>
      </c>
      <c r="L7334">
        <v>16</v>
      </c>
      <c r="M7334">
        <v>25</v>
      </c>
      <c r="N7334">
        <v>0</v>
      </c>
      <c r="O7334">
        <v>489</v>
      </c>
    </row>
    <row r="7335" spans="1:15" x14ac:dyDescent="0.25">
      <c r="A7335" t="s">
        <v>14373</v>
      </c>
      <c r="B7335" t="s">
        <v>15234</v>
      </c>
      <c r="C7335" t="s">
        <v>923</v>
      </c>
      <c r="D7335" t="s">
        <v>3063</v>
      </c>
      <c r="E7335" t="s">
        <v>3053</v>
      </c>
      <c r="F7335" t="s">
        <v>708</v>
      </c>
      <c r="G7335" t="s">
        <v>709</v>
      </c>
      <c r="H7335" t="s">
        <v>15235</v>
      </c>
      <c r="I7335">
        <v>3</v>
      </c>
      <c r="J7335">
        <v>3</v>
      </c>
      <c r="K7335">
        <v>0</v>
      </c>
      <c r="L7335">
        <v>0</v>
      </c>
      <c r="M7335">
        <v>0</v>
      </c>
      <c r="N7335">
        <v>0</v>
      </c>
      <c r="O7335">
        <v>0</v>
      </c>
    </row>
    <row r="7336" spans="1:15" x14ac:dyDescent="0.25">
      <c r="A7336" t="s">
        <v>9784</v>
      </c>
      <c r="B7336" t="s">
        <v>1994</v>
      </c>
      <c r="C7336" t="s">
        <v>927</v>
      </c>
      <c r="D7336" t="s">
        <v>3052</v>
      </c>
      <c r="E7336" t="s">
        <v>3053</v>
      </c>
      <c r="F7336" t="s">
        <v>708</v>
      </c>
      <c r="G7336" t="s">
        <v>709</v>
      </c>
      <c r="H7336" t="s">
        <v>9980</v>
      </c>
      <c r="I7336">
        <v>3</v>
      </c>
      <c r="J7336">
        <v>0</v>
      </c>
      <c r="K7336">
        <v>0</v>
      </c>
      <c r="L7336">
        <v>3</v>
      </c>
      <c r="M7336">
        <v>0</v>
      </c>
      <c r="N7336">
        <v>0</v>
      </c>
      <c r="O7336">
        <v>0</v>
      </c>
    </row>
    <row r="7337" spans="1:15" x14ac:dyDescent="0.25">
      <c r="A7337" t="s">
        <v>997</v>
      </c>
      <c r="B7337" t="s">
        <v>2033</v>
      </c>
      <c r="C7337" t="s">
        <v>927</v>
      </c>
      <c r="D7337" t="s">
        <v>3052</v>
      </c>
      <c r="E7337" t="s">
        <v>3053</v>
      </c>
      <c r="F7337" t="s">
        <v>708</v>
      </c>
      <c r="G7337" t="s">
        <v>709</v>
      </c>
      <c r="H7337" t="s">
        <v>7910</v>
      </c>
      <c r="I7337">
        <v>410</v>
      </c>
      <c r="J7337">
        <v>321</v>
      </c>
      <c r="K7337">
        <v>0</v>
      </c>
      <c r="L7337">
        <v>0</v>
      </c>
      <c r="M7337">
        <v>5</v>
      </c>
      <c r="N7337">
        <v>0</v>
      </c>
      <c r="O7337">
        <v>84</v>
      </c>
    </row>
    <row r="7338" spans="1:15" x14ac:dyDescent="0.25">
      <c r="A7338" t="s">
        <v>935</v>
      </c>
      <c r="B7338" t="s">
        <v>1960</v>
      </c>
      <c r="C7338" t="s">
        <v>923</v>
      </c>
      <c r="D7338" t="s">
        <v>3063</v>
      </c>
      <c r="E7338" t="s">
        <v>3053</v>
      </c>
      <c r="F7338" t="s">
        <v>708</v>
      </c>
      <c r="G7338" t="s">
        <v>709</v>
      </c>
      <c r="H7338" t="s">
        <v>7911</v>
      </c>
      <c r="I7338">
        <v>5</v>
      </c>
      <c r="J7338">
        <v>0</v>
      </c>
      <c r="K7338">
        <v>0</v>
      </c>
      <c r="L7338">
        <v>5</v>
      </c>
      <c r="M7338">
        <v>0</v>
      </c>
      <c r="N7338">
        <v>0</v>
      </c>
      <c r="O7338">
        <v>0</v>
      </c>
    </row>
    <row r="7339" spans="1:15" x14ac:dyDescent="0.25">
      <c r="A7339" t="s">
        <v>1001</v>
      </c>
      <c r="B7339" t="s">
        <v>3007</v>
      </c>
      <c r="C7339" t="s">
        <v>927</v>
      </c>
      <c r="D7339" t="s">
        <v>3052</v>
      </c>
      <c r="E7339" t="s">
        <v>3053</v>
      </c>
      <c r="F7339" t="s">
        <v>708</v>
      </c>
      <c r="G7339" t="s">
        <v>709</v>
      </c>
      <c r="H7339" t="s">
        <v>7912</v>
      </c>
      <c r="I7339">
        <v>13</v>
      </c>
      <c r="J7339">
        <v>0</v>
      </c>
      <c r="K7339">
        <v>0</v>
      </c>
      <c r="L7339">
        <v>13</v>
      </c>
      <c r="M7339">
        <v>0</v>
      </c>
      <c r="N7339">
        <v>0</v>
      </c>
      <c r="O7339">
        <v>0</v>
      </c>
    </row>
    <row r="7340" spans="1:15" x14ac:dyDescent="0.25">
      <c r="A7340" t="s">
        <v>1004</v>
      </c>
      <c r="B7340" t="s">
        <v>2887</v>
      </c>
      <c r="C7340" t="s">
        <v>927</v>
      </c>
      <c r="D7340" t="s">
        <v>3052</v>
      </c>
      <c r="E7340" t="s">
        <v>3053</v>
      </c>
      <c r="F7340" t="s">
        <v>708</v>
      </c>
      <c r="G7340" t="s">
        <v>709</v>
      </c>
      <c r="H7340" t="s">
        <v>7913</v>
      </c>
      <c r="I7340">
        <v>10</v>
      </c>
      <c r="J7340">
        <v>7</v>
      </c>
      <c r="K7340">
        <v>0</v>
      </c>
      <c r="L7340">
        <v>0</v>
      </c>
      <c r="M7340">
        <v>0</v>
      </c>
      <c r="N7340">
        <v>0</v>
      </c>
      <c r="O7340">
        <v>3</v>
      </c>
    </row>
    <row r="7341" spans="1:15" x14ac:dyDescent="0.25">
      <c r="A7341" t="s">
        <v>937</v>
      </c>
      <c r="B7341" t="s">
        <v>1962</v>
      </c>
      <c r="C7341" t="s">
        <v>927</v>
      </c>
      <c r="D7341" t="s">
        <v>3052</v>
      </c>
      <c r="E7341" t="s">
        <v>3053</v>
      </c>
      <c r="F7341" t="s">
        <v>708</v>
      </c>
      <c r="G7341" t="s">
        <v>709</v>
      </c>
      <c r="H7341" t="s">
        <v>7914</v>
      </c>
      <c r="I7341">
        <v>35</v>
      </c>
      <c r="J7341">
        <v>0</v>
      </c>
      <c r="K7341">
        <v>0</v>
      </c>
      <c r="L7341">
        <v>0</v>
      </c>
      <c r="M7341">
        <v>0</v>
      </c>
      <c r="N7341">
        <v>0</v>
      </c>
      <c r="O7341">
        <v>35</v>
      </c>
    </row>
    <row r="7342" spans="1:15" x14ac:dyDescent="0.25">
      <c r="A7342" t="s">
        <v>938</v>
      </c>
      <c r="B7342" t="s">
        <v>2791</v>
      </c>
      <c r="C7342" t="s">
        <v>927</v>
      </c>
      <c r="D7342" t="s">
        <v>3052</v>
      </c>
      <c r="E7342" t="s">
        <v>3053</v>
      </c>
      <c r="F7342" t="s">
        <v>708</v>
      </c>
      <c r="G7342" t="s">
        <v>709</v>
      </c>
      <c r="H7342" t="s">
        <v>7915</v>
      </c>
      <c r="I7342">
        <v>27</v>
      </c>
      <c r="J7342">
        <v>0</v>
      </c>
      <c r="K7342">
        <v>0</v>
      </c>
      <c r="L7342">
        <v>27</v>
      </c>
      <c r="M7342">
        <v>0</v>
      </c>
      <c r="N7342">
        <v>0</v>
      </c>
      <c r="O7342">
        <v>0</v>
      </c>
    </row>
    <row r="7343" spans="1:15" x14ac:dyDescent="0.25">
      <c r="A7343" t="s">
        <v>940</v>
      </c>
      <c r="B7343" t="s">
        <v>2647</v>
      </c>
      <c r="C7343" t="s">
        <v>927</v>
      </c>
      <c r="D7343" t="s">
        <v>3052</v>
      </c>
      <c r="E7343" t="s">
        <v>3053</v>
      </c>
      <c r="F7343" t="s">
        <v>708</v>
      </c>
      <c r="G7343" t="s">
        <v>709</v>
      </c>
      <c r="H7343" t="s">
        <v>7916</v>
      </c>
      <c r="I7343">
        <v>66</v>
      </c>
      <c r="J7343">
        <v>0</v>
      </c>
      <c r="K7343">
        <v>0</v>
      </c>
      <c r="L7343">
        <v>0</v>
      </c>
      <c r="M7343">
        <v>42</v>
      </c>
      <c r="N7343">
        <v>0</v>
      </c>
      <c r="O7343">
        <v>24</v>
      </c>
    </row>
    <row r="7344" spans="1:15" x14ac:dyDescent="0.25">
      <c r="A7344" t="s">
        <v>1013</v>
      </c>
      <c r="B7344" t="s">
        <v>1959</v>
      </c>
      <c r="C7344" t="s">
        <v>927</v>
      </c>
      <c r="D7344" t="s">
        <v>3052</v>
      </c>
      <c r="E7344" t="s">
        <v>3053</v>
      </c>
      <c r="F7344" t="s">
        <v>708</v>
      </c>
      <c r="G7344" t="s">
        <v>709</v>
      </c>
      <c r="H7344" t="s">
        <v>12344</v>
      </c>
      <c r="I7344">
        <v>18</v>
      </c>
      <c r="J7344">
        <v>0</v>
      </c>
      <c r="K7344">
        <v>0</v>
      </c>
      <c r="L7344">
        <v>18</v>
      </c>
      <c r="M7344">
        <v>0</v>
      </c>
      <c r="N7344">
        <v>0</v>
      </c>
      <c r="O7344">
        <v>0</v>
      </c>
    </row>
    <row r="7345" spans="1:15" x14ac:dyDescent="0.25">
      <c r="A7345" t="s">
        <v>1026</v>
      </c>
      <c r="B7345" t="s">
        <v>2848</v>
      </c>
      <c r="C7345" t="s">
        <v>927</v>
      </c>
      <c r="D7345" t="s">
        <v>3052</v>
      </c>
      <c r="E7345" t="s">
        <v>3053</v>
      </c>
      <c r="F7345" t="s">
        <v>708</v>
      </c>
      <c r="G7345" t="s">
        <v>709</v>
      </c>
      <c r="H7345" t="s">
        <v>7917</v>
      </c>
      <c r="I7345">
        <v>36</v>
      </c>
      <c r="J7345">
        <v>20</v>
      </c>
      <c r="K7345">
        <v>0</v>
      </c>
      <c r="L7345">
        <v>0</v>
      </c>
      <c r="M7345">
        <v>0</v>
      </c>
      <c r="N7345">
        <v>0</v>
      </c>
      <c r="O7345">
        <v>16</v>
      </c>
    </row>
    <row r="7346" spans="1:15" x14ac:dyDescent="0.25">
      <c r="A7346" t="s">
        <v>10681</v>
      </c>
      <c r="B7346" t="s">
        <v>10680</v>
      </c>
      <c r="C7346" t="s">
        <v>927</v>
      </c>
      <c r="D7346" t="s">
        <v>3052</v>
      </c>
      <c r="E7346" t="s">
        <v>3053</v>
      </c>
      <c r="F7346" t="s">
        <v>708</v>
      </c>
      <c r="G7346" t="s">
        <v>709</v>
      </c>
      <c r="H7346" t="s">
        <v>15236</v>
      </c>
      <c r="I7346">
        <v>70</v>
      </c>
      <c r="J7346">
        <v>0</v>
      </c>
      <c r="K7346">
        <v>0</v>
      </c>
      <c r="L7346">
        <v>0</v>
      </c>
      <c r="M7346">
        <v>0</v>
      </c>
      <c r="N7346">
        <v>0</v>
      </c>
      <c r="O7346">
        <v>70</v>
      </c>
    </row>
    <row r="7347" spans="1:15" x14ac:dyDescent="0.25">
      <c r="A7347" t="s">
        <v>943</v>
      </c>
      <c r="B7347" t="s">
        <v>2694</v>
      </c>
      <c r="C7347" t="s">
        <v>927</v>
      </c>
      <c r="D7347" t="s">
        <v>3052</v>
      </c>
      <c r="E7347" t="s">
        <v>3053</v>
      </c>
      <c r="F7347" t="s">
        <v>708</v>
      </c>
      <c r="G7347" t="s">
        <v>709</v>
      </c>
      <c r="H7347" t="s">
        <v>7918</v>
      </c>
      <c r="I7347">
        <v>125</v>
      </c>
      <c r="J7347">
        <v>107</v>
      </c>
      <c r="K7347">
        <v>0</v>
      </c>
      <c r="L7347">
        <v>0</v>
      </c>
      <c r="M7347">
        <v>0</v>
      </c>
      <c r="N7347">
        <v>0</v>
      </c>
      <c r="O7347">
        <v>18</v>
      </c>
    </row>
    <row r="7348" spans="1:15" x14ac:dyDescent="0.25">
      <c r="A7348" t="s">
        <v>1030</v>
      </c>
      <c r="B7348" t="s">
        <v>2880</v>
      </c>
      <c r="C7348" t="s">
        <v>927</v>
      </c>
      <c r="D7348" t="s">
        <v>3052</v>
      </c>
      <c r="E7348" t="s">
        <v>3053</v>
      </c>
      <c r="F7348" t="s">
        <v>708</v>
      </c>
      <c r="G7348" t="s">
        <v>709</v>
      </c>
      <c r="H7348" t="s">
        <v>7919</v>
      </c>
      <c r="I7348">
        <v>156</v>
      </c>
      <c r="J7348">
        <v>103</v>
      </c>
      <c r="K7348">
        <v>0</v>
      </c>
      <c r="L7348">
        <v>0</v>
      </c>
      <c r="M7348">
        <v>0</v>
      </c>
      <c r="N7348">
        <v>0</v>
      </c>
      <c r="O7348">
        <v>53</v>
      </c>
    </row>
    <row r="7349" spans="1:15" x14ac:dyDescent="0.25">
      <c r="A7349" t="s">
        <v>1038</v>
      </c>
      <c r="B7349" t="s">
        <v>2068</v>
      </c>
      <c r="C7349" t="s">
        <v>927</v>
      </c>
      <c r="D7349" t="s">
        <v>3052</v>
      </c>
      <c r="E7349" t="s">
        <v>3053</v>
      </c>
      <c r="F7349" t="s">
        <v>708</v>
      </c>
      <c r="G7349" t="s">
        <v>709</v>
      </c>
      <c r="H7349" t="s">
        <v>7920</v>
      </c>
      <c r="I7349">
        <v>244</v>
      </c>
      <c r="J7349">
        <v>188</v>
      </c>
      <c r="K7349">
        <v>0</v>
      </c>
      <c r="L7349">
        <v>0</v>
      </c>
      <c r="M7349">
        <v>0</v>
      </c>
      <c r="N7349">
        <v>0</v>
      </c>
      <c r="O7349">
        <v>56</v>
      </c>
    </row>
    <row r="7350" spans="1:15" x14ac:dyDescent="0.25">
      <c r="A7350" t="s">
        <v>1039</v>
      </c>
      <c r="B7350" t="s">
        <v>2885</v>
      </c>
      <c r="C7350" t="s">
        <v>927</v>
      </c>
      <c r="D7350" t="s">
        <v>3052</v>
      </c>
      <c r="E7350" t="s">
        <v>3053</v>
      </c>
      <c r="F7350" t="s">
        <v>708</v>
      </c>
      <c r="G7350" t="s">
        <v>709</v>
      </c>
      <c r="H7350" t="s">
        <v>15237</v>
      </c>
      <c r="I7350">
        <v>19</v>
      </c>
      <c r="J7350">
        <v>19</v>
      </c>
      <c r="K7350">
        <v>0</v>
      </c>
      <c r="L7350">
        <v>0</v>
      </c>
      <c r="M7350">
        <v>0</v>
      </c>
      <c r="N7350">
        <v>4</v>
      </c>
      <c r="O7350">
        <v>0</v>
      </c>
    </row>
    <row r="7351" spans="1:15" x14ac:dyDescent="0.25">
      <c r="A7351" t="s">
        <v>1042</v>
      </c>
      <c r="B7351" t="s">
        <v>2115</v>
      </c>
      <c r="C7351" t="s">
        <v>923</v>
      </c>
      <c r="D7351" t="s">
        <v>3063</v>
      </c>
      <c r="E7351" t="s">
        <v>3053</v>
      </c>
      <c r="F7351" t="s">
        <v>708</v>
      </c>
      <c r="G7351" t="s">
        <v>709</v>
      </c>
      <c r="H7351" t="s">
        <v>7921</v>
      </c>
      <c r="I7351">
        <v>26</v>
      </c>
      <c r="J7351">
        <v>0</v>
      </c>
      <c r="K7351">
        <v>0</v>
      </c>
      <c r="L7351">
        <v>26</v>
      </c>
      <c r="M7351">
        <v>0</v>
      </c>
      <c r="N7351">
        <v>0</v>
      </c>
      <c r="O7351">
        <v>0</v>
      </c>
    </row>
    <row r="7352" spans="1:15" x14ac:dyDescent="0.25">
      <c r="A7352" t="s">
        <v>1047</v>
      </c>
      <c r="B7352" t="s">
        <v>2815</v>
      </c>
      <c r="C7352" t="s">
        <v>923</v>
      </c>
      <c r="D7352" t="s">
        <v>3063</v>
      </c>
      <c r="E7352" t="s">
        <v>3053</v>
      </c>
      <c r="F7352" t="s">
        <v>708</v>
      </c>
      <c r="G7352" t="s">
        <v>709</v>
      </c>
      <c r="H7352" t="s">
        <v>7922</v>
      </c>
      <c r="I7352">
        <v>6</v>
      </c>
      <c r="J7352">
        <v>6</v>
      </c>
      <c r="K7352">
        <v>0</v>
      </c>
      <c r="L7352">
        <v>0</v>
      </c>
      <c r="M7352">
        <v>0</v>
      </c>
      <c r="N7352">
        <v>0</v>
      </c>
      <c r="O7352">
        <v>0</v>
      </c>
    </row>
    <row r="7353" spans="1:15" x14ac:dyDescent="0.25">
      <c r="A7353" t="s">
        <v>1048</v>
      </c>
      <c r="B7353" t="s">
        <v>2989</v>
      </c>
      <c r="C7353" t="s">
        <v>927</v>
      </c>
      <c r="D7353" t="s">
        <v>3052</v>
      </c>
      <c r="E7353" t="s">
        <v>3053</v>
      </c>
      <c r="F7353" t="s">
        <v>708</v>
      </c>
      <c r="G7353" t="s">
        <v>709</v>
      </c>
      <c r="H7353" t="s">
        <v>12345</v>
      </c>
      <c r="I7353">
        <v>428</v>
      </c>
      <c r="J7353">
        <v>403</v>
      </c>
      <c r="K7353">
        <v>0</v>
      </c>
      <c r="L7353">
        <v>0</v>
      </c>
      <c r="M7353">
        <v>0</v>
      </c>
      <c r="N7353">
        <v>0</v>
      </c>
      <c r="O7353">
        <v>25</v>
      </c>
    </row>
    <row r="7354" spans="1:15" x14ac:dyDescent="0.25">
      <c r="A7354" t="s">
        <v>1049</v>
      </c>
      <c r="B7354" t="s">
        <v>2138</v>
      </c>
      <c r="C7354" t="s">
        <v>927</v>
      </c>
      <c r="D7354" t="s">
        <v>3052</v>
      </c>
      <c r="E7354" t="s">
        <v>3053</v>
      </c>
      <c r="F7354" t="s">
        <v>708</v>
      </c>
      <c r="G7354" t="s">
        <v>709</v>
      </c>
      <c r="H7354" t="s">
        <v>7923</v>
      </c>
      <c r="I7354">
        <v>31</v>
      </c>
      <c r="J7354">
        <v>31</v>
      </c>
      <c r="K7354">
        <v>0</v>
      </c>
      <c r="L7354">
        <v>0</v>
      </c>
      <c r="M7354">
        <v>0</v>
      </c>
      <c r="N7354">
        <v>0</v>
      </c>
      <c r="O7354">
        <v>0</v>
      </c>
    </row>
    <row r="7355" spans="1:15" x14ac:dyDescent="0.25">
      <c r="A7355" t="s">
        <v>1050</v>
      </c>
      <c r="B7355" t="s">
        <v>2018</v>
      </c>
      <c r="C7355" t="s">
        <v>923</v>
      </c>
      <c r="D7355" t="s">
        <v>3063</v>
      </c>
      <c r="E7355" t="s">
        <v>3053</v>
      </c>
      <c r="F7355" t="s">
        <v>708</v>
      </c>
      <c r="G7355" t="s">
        <v>709</v>
      </c>
      <c r="H7355" t="s">
        <v>7924</v>
      </c>
      <c r="I7355">
        <v>7</v>
      </c>
      <c r="J7355">
        <v>7</v>
      </c>
      <c r="K7355">
        <v>0</v>
      </c>
      <c r="L7355">
        <v>0</v>
      </c>
      <c r="M7355">
        <v>0</v>
      </c>
      <c r="N7355">
        <v>0</v>
      </c>
      <c r="O7355">
        <v>0</v>
      </c>
    </row>
    <row r="7356" spans="1:15" x14ac:dyDescent="0.25">
      <c r="A7356" t="s">
        <v>11720</v>
      </c>
      <c r="B7356" t="s">
        <v>10718</v>
      </c>
      <c r="C7356" t="s">
        <v>927</v>
      </c>
      <c r="D7356" t="s">
        <v>3052</v>
      </c>
      <c r="E7356" t="s">
        <v>3053</v>
      </c>
      <c r="F7356" t="s">
        <v>708</v>
      </c>
      <c r="G7356" t="s">
        <v>709</v>
      </c>
      <c r="H7356" t="s">
        <v>15238</v>
      </c>
      <c r="I7356">
        <v>10</v>
      </c>
      <c r="J7356">
        <v>0</v>
      </c>
      <c r="K7356">
        <v>0</v>
      </c>
      <c r="L7356">
        <v>0</v>
      </c>
      <c r="M7356">
        <v>0</v>
      </c>
      <c r="N7356">
        <v>0</v>
      </c>
      <c r="O7356">
        <v>10</v>
      </c>
    </row>
    <row r="7357" spans="1:15" x14ac:dyDescent="0.25">
      <c r="A7357" t="s">
        <v>9788</v>
      </c>
      <c r="B7357" t="s">
        <v>9871</v>
      </c>
      <c r="C7357" t="s">
        <v>927</v>
      </c>
      <c r="D7357" t="s">
        <v>3052</v>
      </c>
      <c r="E7357" t="s">
        <v>3053</v>
      </c>
      <c r="F7357" t="s">
        <v>708</v>
      </c>
      <c r="G7357" t="s">
        <v>709</v>
      </c>
      <c r="H7357" t="s">
        <v>10373</v>
      </c>
      <c r="I7357">
        <v>54</v>
      </c>
      <c r="J7357">
        <v>54</v>
      </c>
      <c r="K7357">
        <v>0</v>
      </c>
      <c r="L7357">
        <v>0</v>
      </c>
      <c r="M7357">
        <v>0</v>
      </c>
      <c r="N7357">
        <v>0</v>
      </c>
      <c r="O7357">
        <v>0</v>
      </c>
    </row>
    <row r="7358" spans="1:15" x14ac:dyDescent="0.25">
      <c r="A7358" t="s">
        <v>955</v>
      </c>
      <c r="B7358" t="s">
        <v>2660</v>
      </c>
      <c r="C7358" t="s">
        <v>927</v>
      </c>
      <c r="D7358" t="s">
        <v>3052</v>
      </c>
      <c r="E7358" t="s">
        <v>3053</v>
      </c>
      <c r="F7358" t="s">
        <v>708</v>
      </c>
      <c r="G7358" t="s">
        <v>709</v>
      </c>
      <c r="H7358" t="s">
        <v>7925</v>
      </c>
      <c r="I7358">
        <v>8</v>
      </c>
      <c r="J7358">
        <v>8</v>
      </c>
      <c r="K7358">
        <v>0</v>
      </c>
      <c r="L7358">
        <v>0</v>
      </c>
      <c r="M7358">
        <v>0</v>
      </c>
      <c r="N7358">
        <v>0</v>
      </c>
      <c r="O7358">
        <v>0</v>
      </c>
    </row>
    <row r="7359" spans="1:15" x14ac:dyDescent="0.25">
      <c r="A7359" t="s">
        <v>14374</v>
      </c>
      <c r="B7359" t="s">
        <v>1943</v>
      </c>
      <c r="C7359" t="s">
        <v>927</v>
      </c>
      <c r="D7359" t="s">
        <v>3052</v>
      </c>
      <c r="E7359" t="s">
        <v>3053</v>
      </c>
      <c r="F7359" t="s">
        <v>708</v>
      </c>
      <c r="G7359" t="s">
        <v>709</v>
      </c>
      <c r="H7359" t="s">
        <v>15239</v>
      </c>
      <c r="I7359">
        <v>15</v>
      </c>
      <c r="J7359">
        <v>0</v>
      </c>
      <c r="K7359">
        <v>0</v>
      </c>
      <c r="L7359">
        <v>0</v>
      </c>
      <c r="M7359">
        <v>0</v>
      </c>
      <c r="N7359">
        <v>0</v>
      </c>
      <c r="O7359">
        <v>15</v>
      </c>
    </row>
    <row r="7360" spans="1:15" x14ac:dyDescent="0.25">
      <c r="A7360" t="s">
        <v>1072</v>
      </c>
      <c r="B7360" t="s">
        <v>2907</v>
      </c>
      <c r="C7360" t="s">
        <v>927</v>
      </c>
      <c r="D7360" t="s">
        <v>3052</v>
      </c>
      <c r="E7360" t="s">
        <v>3053</v>
      </c>
      <c r="F7360" t="s">
        <v>708</v>
      </c>
      <c r="G7360" t="s">
        <v>709</v>
      </c>
      <c r="H7360" t="s">
        <v>7926</v>
      </c>
      <c r="I7360">
        <v>265</v>
      </c>
      <c r="J7360">
        <v>231</v>
      </c>
      <c r="K7360">
        <v>0</v>
      </c>
      <c r="L7360">
        <v>0</v>
      </c>
      <c r="M7360">
        <v>0</v>
      </c>
      <c r="N7360">
        <v>0</v>
      </c>
      <c r="O7360">
        <v>34</v>
      </c>
    </row>
    <row r="7361" spans="1:15" x14ac:dyDescent="0.25">
      <c r="A7361" t="s">
        <v>1076</v>
      </c>
      <c r="B7361" t="s">
        <v>2852</v>
      </c>
      <c r="C7361" t="s">
        <v>927</v>
      </c>
      <c r="D7361" t="s">
        <v>3052</v>
      </c>
      <c r="E7361" t="s">
        <v>3053</v>
      </c>
      <c r="F7361" t="s">
        <v>708</v>
      </c>
      <c r="G7361" t="s">
        <v>709</v>
      </c>
      <c r="H7361" t="s">
        <v>7927</v>
      </c>
      <c r="I7361">
        <v>535</v>
      </c>
      <c r="J7361">
        <v>437</v>
      </c>
      <c r="K7361">
        <v>0</v>
      </c>
      <c r="L7361">
        <v>0</v>
      </c>
      <c r="M7361">
        <v>0</v>
      </c>
      <c r="N7361">
        <v>0</v>
      </c>
      <c r="O7361">
        <v>98</v>
      </c>
    </row>
    <row r="7362" spans="1:15" x14ac:dyDescent="0.25">
      <c r="A7362" t="s">
        <v>1077</v>
      </c>
      <c r="B7362" t="s">
        <v>2711</v>
      </c>
      <c r="C7362" t="s">
        <v>927</v>
      </c>
      <c r="D7362" t="s">
        <v>3052</v>
      </c>
      <c r="E7362" t="s">
        <v>3053</v>
      </c>
      <c r="F7362" t="s">
        <v>708</v>
      </c>
      <c r="G7362" t="s">
        <v>709</v>
      </c>
      <c r="H7362" t="s">
        <v>7928</v>
      </c>
      <c r="I7362">
        <v>324</v>
      </c>
      <c r="J7362">
        <v>210</v>
      </c>
      <c r="K7362">
        <v>0</v>
      </c>
      <c r="L7362">
        <v>19</v>
      </c>
      <c r="M7362">
        <v>69</v>
      </c>
      <c r="N7362">
        <v>0</v>
      </c>
      <c r="O7362">
        <v>26</v>
      </c>
    </row>
    <row r="7363" spans="1:15" x14ac:dyDescent="0.25">
      <c r="A7363" t="s">
        <v>1702</v>
      </c>
      <c r="B7363" t="s">
        <v>2538</v>
      </c>
      <c r="C7363" t="s">
        <v>923</v>
      </c>
      <c r="D7363" t="s">
        <v>3063</v>
      </c>
      <c r="E7363" t="s">
        <v>3053</v>
      </c>
      <c r="F7363" t="s">
        <v>710</v>
      </c>
      <c r="G7363" t="s">
        <v>711</v>
      </c>
      <c r="H7363" t="s">
        <v>7929</v>
      </c>
      <c r="I7363">
        <v>20</v>
      </c>
      <c r="J7363">
        <v>0</v>
      </c>
      <c r="K7363">
        <v>0</v>
      </c>
      <c r="L7363">
        <v>0</v>
      </c>
      <c r="M7363">
        <v>20</v>
      </c>
      <c r="N7363">
        <v>0</v>
      </c>
      <c r="O7363">
        <v>0</v>
      </c>
    </row>
    <row r="7364" spans="1:15" x14ac:dyDescent="0.25">
      <c r="A7364" t="s">
        <v>922</v>
      </c>
      <c r="B7364" t="s">
        <v>2573</v>
      </c>
      <c r="C7364" t="s">
        <v>923</v>
      </c>
      <c r="D7364" t="s">
        <v>3063</v>
      </c>
      <c r="E7364" t="s">
        <v>3053</v>
      </c>
      <c r="F7364" t="s">
        <v>710</v>
      </c>
      <c r="G7364" t="s">
        <v>711</v>
      </c>
      <c r="H7364" t="s">
        <v>15240</v>
      </c>
      <c r="I7364">
        <v>11</v>
      </c>
      <c r="J7364">
        <v>0</v>
      </c>
      <c r="K7364">
        <v>0</v>
      </c>
      <c r="L7364">
        <v>0</v>
      </c>
      <c r="M7364">
        <v>11</v>
      </c>
      <c r="N7364">
        <v>0</v>
      </c>
      <c r="O7364">
        <v>0</v>
      </c>
    </row>
    <row r="7365" spans="1:15" x14ac:dyDescent="0.25">
      <c r="A7365" t="s">
        <v>926</v>
      </c>
      <c r="B7365" t="s">
        <v>2923</v>
      </c>
      <c r="C7365" t="s">
        <v>927</v>
      </c>
      <c r="D7365" t="s">
        <v>3052</v>
      </c>
      <c r="E7365" t="s">
        <v>3053</v>
      </c>
      <c r="F7365" t="s">
        <v>710</v>
      </c>
      <c r="G7365" t="s">
        <v>711</v>
      </c>
      <c r="H7365" t="s">
        <v>7930</v>
      </c>
      <c r="I7365">
        <v>15</v>
      </c>
      <c r="J7365">
        <v>0</v>
      </c>
      <c r="K7365">
        <v>0</v>
      </c>
      <c r="L7365">
        <v>0</v>
      </c>
      <c r="M7365">
        <v>0</v>
      </c>
      <c r="N7365">
        <v>0</v>
      </c>
      <c r="O7365">
        <v>15</v>
      </c>
    </row>
    <row r="7366" spans="1:15" x14ac:dyDescent="0.25">
      <c r="A7366" t="s">
        <v>929</v>
      </c>
      <c r="B7366" t="s">
        <v>2999</v>
      </c>
      <c r="C7366" t="s">
        <v>927</v>
      </c>
      <c r="D7366" t="s">
        <v>3052</v>
      </c>
      <c r="E7366" t="s">
        <v>3053</v>
      </c>
      <c r="F7366" t="s">
        <v>710</v>
      </c>
      <c r="G7366" t="s">
        <v>711</v>
      </c>
      <c r="H7366" t="s">
        <v>7931</v>
      </c>
      <c r="I7366">
        <v>156</v>
      </c>
      <c r="J7366">
        <v>0</v>
      </c>
      <c r="K7366">
        <v>0</v>
      </c>
      <c r="L7366">
        <v>0</v>
      </c>
      <c r="M7366">
        <v>156</v>
      </c>
      <c r="N7366">
        <v>0</v>
      </c>
      <c r="O7366">
        <v>0</v>
      </c>
    </row>
    <row r="7367" spans="1:15" x14ac:dyDescent="0.25">
      <c r="A7367" t="s">
        <v>9836</v>
      </c>
      <c r="B7367" t="s">
        <v>2808</v>
      </c>
      <c r="C7367" t="s">
        <v>927</v>
      </c>
      <c r="D7367" t="s">
        <v>3052</v>
      </c>
      <c r="E7367" t="s">
        <v>3053</v>
      </c>
      <c r="F7367" t="s">
        <v>710</v>
      </c>
      <c r="G7367" t="s">
        <v>711</v>
      </c>
      <c r="H7367" t="s">
        <v>10017</v>
      </c>
      <c r="I7367">
        <v>463</v>
      </c>
      <c r="J7367">
        <v>369</v>
      </c>
      <c r="K7367">
        <v>0</v>
      </c>
      <c r="L7367">
        <v>28</v>
      </c>
      <c r="M7367">
        <v>0</v>
      </c>
      <c r="N7367">
        <v>1</v>
      </c>
      <c r="O7367">
        <v>66</v>
      </c>
    </row>
    <row r="7368" spans="1:15" x14ac:dyDescent="0.25">
      <c r="A7368" t="s">
        <v>1709</v>
      </c>
      <c r="B7368" t="s">
        <v>2769</v>
      </c>
      <c r="C7368" t="s">
        <v>923</v>
      </c>
      <c r="D7368" t="s">
        <v>3063</v>
      </c>
      <c r="E7368" t="s">
        <v>3053</v>
      </c>
      <c r="F7368" t="s">
        <v>710</v>
      </c>
      <c r="G7368" t="s">
        <v>711</v>
      </c>
      <c r="H7368" t="s">
        <v>7932</v>
      </c>
      <c r="I7368">
        <v>9</v>
      </c>
      <c r="J7368">
        <v>9</v>
      </c>
      <c r="K7368">
        <v>0</v>
      </c>
      <c r="L7368">
        <v>0</v>
      </c>
      <c r="M7368">
        <v>0</v>
      </c>
      <c r="N7368">
        <v>0</v>
      </c>
      <c r="O7368">
        <v>0</v>
      </c>
    </row>
    <row r="7369" spans="1:15" x14ac:dyDescent="0.25">
      <c r="A7369" t="s">
        <v>983</v>
      </c>
      <c r="B7369" t="s">
        <v>2069</v>
      </c>
      <c r="C7369" t="s">
        <v>927</v>
      </c>
      <c r="D7369" t="s">
        <v>3052</v>
      </c>
      <c r="E7369" t="s">
        <v>3053</v>
      </c>
      <c r="F7369" t="s">
        <v>710</v>
      </c>
      <c r="G7369" t="s">
        <v>711</v>
      </c>
      <c r="H7369" t="s">
        <v>7933</v>
      </c>
      <c r="I7369">
        <v>173</v>
      </c>
      <c r="J7369">
        <v>157</v>
      </c>
      <c r="K7369">
        <v>0</v>
      </c>
      <c r="L7369">
        <v>0</v>
      </c>
      <c r="M7369">
        <v>0</v>
      </c>
      <c r="N7369">
        <v>0</v>
      </c>
      <c r="O7369">
        <v>16</v>
      </c>
    </row>
    <row r="7370" spans="1:15" x14ac:dyDescent="0.25">
      <c r="A7370" t="s">
        <v>989</v>
      </c>
      <c r="B7370" t="s">
        <v>2016</v>
      </c>
      <c r="C7370" t="s">
        <v>923</v>
      </c>
      <c r="D7370" t="s">
        <v>3063</v>
      </c>
      <c r="E7370" t="s">
        <v>3053</v>
      </c>
      <c r="F7370" t="s">
        <v>710</v>
      </c>
      <c r="G7370" t="s">
        <v>711</v>
      </c>
      <c r="H7370" t="s">
        <v>7934</v>
      </c>
      <c r="I7370">
        <v>22</v>
      </c>
      <c r="J7370">
        <v>0</v>
      </c>
      <c r="K7370">
        <v>0</v>
      </c>
      <c r="L7370">
        <v>22</v>
      </c>
      <c r="M7370">
        <v>0</v>
      </c>
      <c r="N7370">
        <v>0</v>
      </c>
      <c r="O7370">
        <v>0</v>
      </c>
    </row>
    <row r="7371" spans="1:15" x14ac:dyDescent="0.25">
      <c r="A7371" t="s">
        <v>933</v>
      </c>
      <c r="B7371" t="s">
        <v>2106</v>
      </c>
      <c r="C7371" t="s">
        <v>927</v>
      </c>
      <c r="D7371" t="s">
        <v>3052</v>
      </c>
      <c r="E7371" t="s">
        <v>3053</v>
      </c>
      <c r="F7371" t="s">
        <v>710</v>
      </c>
      <c r="G7371" t="s">
        <v>711</v>
      </c>
      <c r="H7371" t="s">
        <v>7935</v>
      </c>
      <c r="I7371">
        <v>130</v>
      </c>
      <c r="J7371">
        <v>85</v>
      </c>
      <c r="K7371">
        <v>0</v>
      </c>
      <c r="L7371">
        <v>0</v>
      </c>
      <c r="M7371">
        <v>0</v>
      </c>
      <c r="N7371">
        <v>0</v>
      </c>
      <c r="O7371">
        <v>45</v>
      </c>
    </row>
    <row r="7372" spans="1:15" x14ac:dyDescent="0.25">
      <c r="A7372" t="s">
        <v>1725</v>
      </c>
      <c r="B7372" t="s">
        <v>3010</v>
      </c>
      <c r="C7372" t="s">
        <v>927</v>
      </c>
      <c r="D7372" t="s">
        <v>3052</v>
      </c>
      <c r="E7372" t="s">
        <v>3053</v>
      </c>
      <c r="F7372" t="s">
        <v>710</v>
      </c>
      <c r="G7372" t="s">
        <v>711</v>
      </c>
      <c r="H7372" t="s">
        <v>7936</v>
      </c>
      <c r="I7372">
        <v>726</v>
      </c>
      <c r="J7372">
        <v>559</v>
      </c>
      <c r="K7372">
        <v>0</v>
      </c>
      <c r="L7372">
        <v>9</v>
      </c>
      <c r="M7372">
        <v>28</v>
      </c>
      <c r="N7372">
        <v>2</v>
      </c>
      <c r="O7372">
        <v>130</v>
      </c>
    </row>
    <row r="7373" spans="1:15" x14ac:dyDescent="0.25">
      <c r="A7373" t="s">
        <v>1729</v>
      </c>
      <c r="B7373" t="s">
        <v>2943</v>
      </c>
      <c r="C7373" t="s">
        <v>923</v>
      </c>
      <c r="D7373" t="s">
        <v>3063</v>
      </c>
      <c r="E7373" t="s">
        <v>3053</v>
      </c>
      <c r="F7373" t="s">
        <v>710</v>
      </c>
      <c r="G7373" t="s">
        <v>711</v>
      </c>
      <c r="H7373" t="s">
        <v>7937</v>
      </c>
      <c r="I7373">
        <v>53</v>
      </c>
      <c r="J7373">
        <v>21</v>
      </c>
      <c r="K7373">
        <v>0</v>
      </c>
      <c r="L7373">
        <v>32</v>
      </c>
      <c r="M7373">
        <v>0</v>
      </c>
      <c r="N7373">
        <v>0</v>
      </c>
      <c r="O7373">
        <v>0</v>
      </c>
    </row>
    <row r="7374" spans="1:15" x14ac:dyDescent="0.25">
      <c r="A7374" t="s">
        <v>998</v>
      </c>
      <c r="B7374" t="s">
        <v>2820</v>
      </c>
      <c r="C7374" t="s">
        <v>927</v>
      </c>
      <c r="D7374" t="s">
        <v>3052</v>
      </c>
      <c r="E7374" t="s">
        <v>3053</v>
      </c>
      <c r="F7374" t="s">
        <v>710</v>
      </c>
      <c r="G7374" t="s">
        <v>711</v>
      </c>
      <c r="H7374" t="s">
        <v>7938</v>
      </c>
      <c r="I7374">
        <v>7</v>
      </c>
      <c r="J7374">
        <v>7</v>
      </c>
      <c r="K7374">
        <v>0</v>
      </c>
      <c r="L7374">
        <v>0</v>
      </c>
      <c r="M7374">
        <v>0</v>
      </c>
      <c r="N7374">
        <v>0</v>
      </c>
      <c r="O7374">
        <v>0</v>
      </c>
    </row>
    <row r="7375" spans="1:15" x14ac:dyDescent="0.25">
      <c r="A7375" t="s">
        <v>10638</v>
      </c>
      <c r="B7375" t="s">
        <v>2057</v>
      </c>
      <c r="C7375" t="s">
        <v>927</v>
      </c>
      <c r="D7375" t="s">
        <v>3052</v>
      </c>
      <c r="E7375" t="s">
        <v>3053</v>
      </c>
      <c r="F7375" t="s">
        <v>710</v>
      </c>
      <c r="G7375" t="s">
        <v>711</v>
      </c>
      <c r="H7375" t="s">
        <v>11315</v>
      </c>
      <c r="I7375">
        <v>1</v>
      </c>
      <c r="J7375">
        <v>0</v>
      </c>
      <c r="K7375">
        <v>0</v>
      </c>
      <c r="L7375">
        <v>1</v>
      </c>
      <c r="M7375">
        <v>0</v>
      </c>
      <c r="N7375">
        <v>0</v>
      </c>
      <c r="O7375">
        <v>0</v>
      </c>
    </row>
    <row r="7376" spans="1:15" x14ac:dyDescent="0.25">
      <c r="A7376" t="s">
        <v>10643</v>
      </c>
      <c r="B7376" t="s">
        <v>2987</v>
      </c>
      <c r="C7376" t="s">
        <v>927</v>
      </c>
      <c r="D7376" t="s">
        <v>3052</v>
      </c>
      <c r="E7376" t="s">
        <v>3053</v>
      </c>
      <c r="F7376" t="s">
        <v>710</v>
      </c>
      <c r="G7376" t="s">
        <v>711</v>
      </c>
      <c r="H7376" t="s">
        <v>12346</v>
      </c>
      <c r="I7376">
        <v>42</v>
      </c>
      <c r="J7376">
        <v>31</v>
      </c>
      <c r="K7376">
        <v>0</v>
      </c>
      <c r="L7376">
        <v>0</v>
      </c>
      <c r="M7376">
        <v>0</v>
      </c>
      <c r="N7376">
        <v>0</v>
      </c>
      <c r="O7376">
        <v>11</v>
      </c>
    </row>
    <row r="7377" spans="1:15" x14ac:dyDescent="0.25">
      <c r="A7377" t="s">
        <v>1739</v>
      </c>
      <c r="B7377" t="s">
        <v>2786</v>
      </c>
      <c r="C7377" t="s">
        <v>923</v>
      </c>
      <c r="D7377" t="s">
        <v>3063</v>
      </c>
      <c r="E7377" t="s">
        <v>3053</v>
      </c>
      <c r="F7377" t="s">
        <v>710</v>
      </c>
      <c r="G7377" t="s">
        <v>711</v>
      </c>
      <c r="H7377" t="s">
        <v>7939</v>
      </c>
      <c r="I7377">
        <v>84</v>
      </c>
      <c r="J7377">
        <v>84</v>
      </c>
      <c r="K7377">
        <v>0</v>
      </c>
      <c r="L7377">
        <v>0</v>
      </c>
      <c r="M7377">
        <v>0</v>
      </c>
      <c r="N7377">
        <v>0</v>
      </c>
      <c r="O7377">
        <v>0</v>
      </c>
    </row>
    <row r="7378" spans="1:15" x14ac:dyDescent="0.25">
      <c r="A7378" t="s">
        <v>1008</v>
      </c>
      <c r="B7378" t="s">
        <v>2928</v>
      </c>
      <c r="C7378" t="s">
        <v>927</v>
      </c>
      <c r="D7378" t="s">
        <v>3052</v>
      </c>
      <c r="E7378" t="s">
        <v>3053</v>
      </c>
      <c r="F7378" t="s">
        <v>710</v>
      </c>
      <c r="G7378" t="s">
        <v>711</v>
      </c>
      <c r="H7378" t="s">
        <v>7940</v>
      </c>
      <c r="I7378">
        <v>14</v>
      </c>
      <c r="J7378">
        <v>14</v>
      </c>
      <c r="K7378">
        <v>0</v>
      </c>
      <c r="L7378">
        <v>0</v>
      </c>
      <c r="M7378">
        <v>0</v>
      </c>
      <c r="N7378">
        <v>0</v>
      </c>
      <c r="O7378">
        <v>0</v>
      </c>
    </row>
    <row r="7379" spans="1:15" x14ac:dyDescent="0.25">
      <c r="A7379" t="s">
        <v>937</v>
      </c>
      <c r="B7379" t="s">
        <v>1962</v>
      </c>
      <c r="C7379" t="s">
        <v>927</v>
      </c>
      <c r="D7379" t="s">
        <v>3052</v>
      </c>
      <c r="E7379" t="s">
        <v>3053</v>
      </c>
      <c r="F7379" t="s">
        <v>710</v>
      </c>
      <c r="G7379" t="s">
        <v>711</v>
      </c>
      <c r="H7379" t="s">
        <v>7941</v>
      </c>
      <c r="I7379">
        <v>165</v>
      </c>
      <c r="J7379">
        <v>0</v>
      </c>
      <c r="K7379">
        <v>0</v>
      </c>
      <c r="L7379">
        <v>0</v>
      </c>
      <c r="M7379">
        <v>0</v>
      </c>
      <c r="N7379">
        <v>0</v>
      </c>
      <c r="O7379">
        <v>165</v>
      </c>
    </row>
    <row r="7380" spans="1:15" x14ac:dyDescent="0.25">
      <c r="A7380" t="s">
        <v>940</v>
      </c>
      <c r="B7380" t="s">
        <v>2647</v>
      </c>
      <c r="C7380" t="s">
        <v>927</v>
      </c>
      <c r="D7380" t="s">
        <v>3052</v>
      </c>
      <c r="E7380" t="s">
        <v>3053</v>
      </c>
      <c r="F7380" t="s">
        <v>710</v>
      </c>
      <c r="G7380" t="s">
        <v>711</v>
      </c>
      <c r="H7380" t="s">
        <v>7942</v>
      </c>
      <c r="I7380">
        <v>150</v>
      </c>
      <c r="J7380">
        <v>0</v>
      </c>
      <c r="K7380">
        <v>0</v>
      </c>
      <c r="L7380">
        <v>0</v>
      </c>
      <c r="M7380">
        <v>130</v>
      </c>
      <c r="N7380">
        <v>0</v>
      </c>
      <c r="O7380">
        <v>20</v>
      </c>
    </row>
    <row r="7381" spans="1:15" x14ac:dyDescent="0.25">
      <c r="A7381" t="s">
        <v>1013</v>
      </c>
      <c r="B7381" t="s">
        <v>1959</v>
      </c>
      <c r="C7381" t="s">
        <v>927</v>
      </c>
      <c r="D7381" t="s">
        <v>3052</v>
      </c>
      <c r="E7381" t="s">
        <v>3053</v>
      </c>
      <c r="F7381" t="s">
        <v>710</v>
      </c>
      <c r="G7381" t="s">
        <v>711</v>
      </c>
      <c r="H7381" t="s">
        <v>7943</v>
      </c>
      <c r="I7381">
        <v>1</v>
      </c>
      <c r="J7381">
        <v>0</v>
      </c>
      <c r="K7381">
        <v>0</v>
      </c>
      <c r="L7381">
        <v>1</v>
      </c>
      <c r="M7381">
        <v>0</v>
      </c>
      <c r="N7381">
        <v>0</v>
      </c>
      <c r="O7381">
        <v>0</v>
      </c>
    </row>
    <row r="7382" spans="1:15" x14ac:dyDescent="0.25">
      <c r="A7382" t="s">
        <v>1740</v>
      </c>
      <c r="B7382" t="s">
        <v>2904</v>
      </c>
      <c r="C7382" t="s">
        <v>923</v>
      </c>
      <c r="D7382" t="s">
        <v>3063</v>
      </c>
      <c r="E7382" t="s">
        <v>3053</v>
      </c>
      <c r="F7382" t="s">
        <v>710</v>
      </c>
      <c r="G7382" t="s">
        <v>711</v>
      </c>
      <c r="H7382" t="s">
        <v>12347</v>
      </c>
      <c r="I7382">
        <v>7</v>
      </c>
      <c r="J7382">
        <v>0</v>
      </c>
      <c r="K7382">
        <v>0</v>
      </c>
      <c r="L7382">
        <v>7</v>
      </c>
      <c r="M7382">
        <v>0</v>
      </c>
      <c r="N7382">
        <v>0</v>
      </c>
      <c r="O7382">
        <v>0</v>
      </c>
    </row>
    <row r="7383" spans="1:15" x14ac:dyDescent="0.25">
      <c r="A7383" t="s">
        <v>1741</v>
      </c>
      <c r="B7383" t="s">
        <v>2759</v>
      </c>
      <c r="C7383" t="s">
        <v>923</v>
      </c>
      <c r="D7383" t="s">
        <v>3063</v>
      </c>
      <c r="E7383" t="s">
        <v>3053</v>
      </c>
      <c r="F7383" t="s">
        <v>710</v>
      </c>
      <c r="G7383" t="s">
        <v>711</v>
      </c>
      <c r="H7383" t="s">
        <v>7944</v>
      </c>
      <c r="I7383">
        <v>119</v>
      </c>
      <c r="J7383">
        <v>119</v>
      </c>
      <c r="K7383">
        <v>0</v>
      </c>
      <c r="L7383">
        <v>0</v>
      </c>
      <c r="M7383">
        <v>0</v>
      </c>
      <c r="N7383">
        <v>0</v>
      </c>
      <c r="O7383">
        <v>0</v>
      </c>
    </row>
    <row r="7384" spans="1:15" x14ac:dyDescent="0.25">
      <c r="A7384" t="s">
        <v>942</v>
      </c>
      <c r="B7384" t="s">
        <v>2113</v>
      </c>
      <c r="C7384" t="s">
        <v>927</v>
      </c>
      <c r="D7384" t="s">
        <v>3052</v>
      </c>
      <c r="E7384" t="s">
        <v>3053</v>
      </c>
      <c r="F7384" t="s">
        <v>710</v>
      </c>
      <c r="G7384" t="s">
        <v>711</v>
      </c>
      <c r="H7384" t="s">
        <v>7945</v>
      </c>
      <c r="I7384">
        <v>2005</v>
      </c>
      <c r="J7384">
        <v>1590</v>
      </c>
      <c r="K7384">
        <v>0</v>
      </c>
      <c r="L7384">
        <v>109</v>
      </c>
      <c r="M7384">
        <v>58</v>
      </c>
      <c r="N7384">
        <v>0</v>
      </c>
      <c r="O7384">
        <v>248</v>
      </c>
    </row>
    <row r="7385" spans="1:15" x14ac:dyDescent="0.25">
      <c r="A7385" t="s">
        <v>10681</v>
      </c>
      <c r="B7385" t="s">
        <v>10680</v>
      </c>
      <c r="C7385" t="s">
        <v>927</v>
      </c>
      <c r="D7385" t="s">
        <v>3052</v>
      </c>
      <c r="E7385" t="s">
        <v>3053</v>
      </c>
      <c r="F7385" t="s">
        <v>710</v>
      </c>
      <c r="G7385" t="s">
        <v>711</v>
      </c>
      <c r="H7385" t="s">
        <v>15241</v>
      </c>
      <c r="I7385">
        <v>12</v>
      </c>
      <c r="J7385">
        <v>0</v>
      </c>
      <c r="K7385">
        <v>0</v>
      </c>
      <c r="L7385">
        <v>0</v>
      </c>
      <c r="M7385">
        <v>0</v>
      </c>
      <c r="N7385">
        <v>0</v>
      </c>
      <c r="O7385">
        <v>12</v>
      </c>
    </row>
    <row r="7386" spans="1:15" x14ac:dyDescent="0.25">
      <c r="A7386" t="s">
        <v>1744</v>
      </c>
      <c r="B7386" t="s">
        <v>2157</v>
      </c>
      <c r="C7386" t="s">
        <v>923</v>
      </c>
      <c r="D7386" t="s">
        <v>3063</v>
      </c>
      <c r="E7386" t="s">
        <v>3053</v>
      </c>
      <c r="F7386" t="s">
        <v>710</v>
      </c>
      <c r="G7386" t="s">
        <v>711</v>
      </c>
      <c r="H7386" t="s">
        <v>7946</v>
      </c>
      <c r="I7386">
        <v>8</v>
      </c>
      <c r="J7386">
        <v>8</v>
      </c>
      <c r="K7386">
        <v>0</v>
      </c>
      <c r="L7386">
        <v>0</v>
      </c>
      <c r="M7386">
        <v>0</v>
      </c>
      <c r="N7386">
        <v>0</v>
      </c>
      <c r="O7386">
        <v>0</v>
      </c>
    </row>
    <row r="7387" spans="1:15" x14ac:dyDescent="0.25">
      <c r="A7387" t="s">
        <v>1745</v>
      </c>
      <c r="B7387" t="s">
        <v>2884</v>
      </c>
      <c r="C7387" t="s">
        <v>927</v>
      </c>
      <c r="D7387" t="s">
        <v>3052</v>
      </c>
      <c r="E7387" t="s">
        <v>3053</v>
      </c>
      <c r="F7387" t="s">
        <v>710</v>
      </c>
      <c r="G7387" t="s">
        <v>711</v>
      </c>
      <c r="H7387" t="s">
        <v>7947</v>
      </c>
      <c r="I7387">
        <v>8499</v>
      </c>
      <c r="J7387">
        <v>6916</v>
      </c>
      <c r="K7387">
        <v>0</v>
      </c>
      <c r="L7387">
        <v>74</v>
      </c>
      <c r="M7387">
        <v>1316</v>
      </c>
      <c r="N7387">
        <v>3</v>
      </c>
      <c r="O7387">
        <v>193</v>
      </c>
    </row>
    <row r="7388" spans="1:15" x14ac:dyDescent="0.25">
      <c r="A7388" t="s">
        <v>1749</v>
      </c>
      <c r="B7388" t="s">
        <v>2878</v>
      </c>
      <c r="C7388" t="s">
        <v>927</v>
      </c>
      <c r="D7388" t="s">
        <v>3052</v>
      </c>
      <c r="E7388" t="s">
        <v>3053</v>
      </c>
      <c r="F7388" t="s">
        <v>710</v>
      </c>
      <c r="G7388" t="s">
        <v>711</v>
      </c>
      <c r="H7388" t="s">
        <v>7948</v>
      </c>
      <c r="I7388">
        <v>118</v>
      </c>
      <c r="J7388">
        <v>93</v>
      </c>
      <c r="K7388">
        <v>0</v>
      </c>
      <c r="L7388">
        <v>0</v>
      </c>
      <c r="M7388">
        <v>0</v>
      </c>
      <c r="N7388">
        <v>0</v>
      </c>
      <c r="O7388">
        <v>25</v>
      </c>
    </row>
    <row r="7389" spans="1:15" x14ac:dyDescent="0.25">
      <c r="A7389" t="s">
        <v>951</v>
      </c>
      <c r="B7389" t="s">
        <v>2680</v>
      </c>
      <c r="C7389" t="s">
        <v>927</v>
      </c>
      <c r="D7389" t="s">
        <v>3052</v>
      </c>
      <c r="E7389" t="s">
        <v>3053</v>
      </c>
      <c r="F7389" t="s">
        <v>710</v>
      </c>
      <c r="G7389" t="s">
        <v>711</v>
      </c>
      <c r="H7389" t="s">
        <v>7949</v>
      </c>
      <c r="I7389">
        <v>20</v>
      </c>
      <c r="J7389">
        <v>3</v>
      </c>
      <c r="K7389">
        <v>0</v>
      </c>
      <c r="L7389">
        <v>0</v>
      </c>
      <c r="M7389">
        <v>0</v>
      </c>
      <c r="N7389">
        <v>0</v>
      </c>
      <c r="O7389">
        <v>17</v>
      </c>
    </row>
    <row r="7390" spans="1:15" x14ac:dyDescent="0.25">
      <c r="A7390" t="s">
        <v>1048</v>
      </c>
      <c r="B7390" t="s">
        <v>2989</v>
      </c>
      <c r="C7390" t="s">
        <v>927</v>
      </c>
      <c r="D7390" t="s">
        <v>3052</v>
      </c>
      <c r="E7390" t="s">
        <v>3053</v>
      </c>
      <c r="F7390" t="s">
        <v>710</v>
      </c>
      <c r="G7390" t="s">
        <v>711</v>
      </c>
      <c r="H7390" t="s">
        <v>7950</v>
      </c>
      <c r="I7390">
        <v>132</v>
      </c>
      <c r="J7390">
        <v>98</v>
      </c>
      <c r="K7390">
        <v>0</v>
      </c>
      <c r="L7390">
        <v>32</v>
      </c>
      <c r="M7390">
        <v>2</v>
      </c>
      <c r="N7390">
        <v>0</v>
      </c>
      <c r="O7390">
        <v>0</v>
      </c>
    </row>
    <row r="7391" spans="1:15" x14ac:dyDescent="0.25">
      <c r="A7391" t="s">
        <v>11720</v>
      </c>
      <c r="B7391" t="s">
        <v>10718</v>
      </c>
      <c r="C7391" t="s">
        <v>927</v>
      </c>
      <c r="D7391" t="s">
        <v>3052</v>
      </c>
      <c r="E7391" t="s">
        <v>3053</v>
      </c>
      <c r="F7391" t="s">
        <v>710</v>
      </c>
      <c r="G7391" t="s">
        <v>711</v>
      </c>
      <c r="H7391" t="s">
        <v>15242</v>
      </c>
      <c r="I7391">
        <v>5</v>
      </c>
      <c r="J7391">
        <v>0</v>
      </c>
      <c r="K7391">
        <v>0</v>
      </c>
      <c r="L7391">
        <v>0</v>
      </c>
      <c r="M7391">
        <v>0</v>
      </c>
      <c r="N7391">
        <v>0</v>
      </c>
      <c r="O7391">
        <v>5</v>
      </c>
    </row>
    <row r="7392" spans="1:15" x14ac:dyDescent="0.25">
      <c r="A7392" t="s">
        <v>955</v>
      </c>
      <c r="B7392" t="s">
        <v>2660</v>
      </c>
      <c r="C7392" t="s">
        <v>927</v>
      </c>
      <c r="D7392" t="s">
        <v>3052</v>
      </c>
      <c r="E7392" t="s">
        <v>3053</v>
      </c>
      <c r="F7392" t="s">
        <v>710</v>
      </c>
      <c r="G7392" t="s">
        <v>711</v>
      </c>
      <c r="H7392" t="s">
        <v>7951</v>
      </c>
      <c r="I7392">
        <v>46</v>
      </c>
      <c r="J7392">
        <v>45</v>
      </c>
      <c r="K7392">
        <v>0</v>
      </c>
      <c r="L7392">
        <v>0</v>
      </c>
      <c r="M7392">
        <v>0</v>
      </c>
      <c r="N7392">
        <v>0</v>
      </c>
      <c r="O7392">
        <v>1</v>
      </c>
    </row>
    <row r="7393" spans="1:15" x14ac:dyDescent="0.25">
      <c r="A7393" t="s">
        <v>960</v>
      </c>
      <c r="B7393" t="s">
        <v>2080</v>
      </c>
      <c r="C7393" t="s">
        <v>927</v>
      </c>
      <c r="D7393" t="s">
        <v>3052</v>
      </c>
      <c r="E7393" t="s">
        <v>3053</v>
      </c>
      <c r="F7393" t="s">
        <v>710</v>
      </c>
      <c r="G7393" t="s">
        <v>711</v>
      </c>
      <c r="H7393" t="s">
        <v>7952</v>
      </c>
      <c r="I7393">
        <v>2317</v>
      </c>
      <c r="J7393">
        <v>1782</v>
      </c>
      <c r="K7393">
        <v>0</v>
      </c>
      <c r="L7393">
        <v>0</v>
      </c>
      <c r="M7393">
        <v>0</v>
      </c>
      <c r="N7393">
        <v>5</v>
      </c>
      <c r="O7393">
        <v>535</v>
      </c>
    </row>
    <row r="7394" spans="1:15" x14ac:dyDescent="0.25">
      <c r="A7394" t="s">
        <v>1766</v>
      </c>
      <c r="B7394" t="s">
        <v>2816</v>
      </c>
      <c r="C7394" t="s">
        <v>923</v>
      </c>
      <c r="D7394" t="s">
        <v>3063</v>
      </c>
      <c r="E7394" t="s">
        <v>3053</v>
      </c>
      <c r="F7394" t="s">
        <v>710</v>
      </c>
      <c r="G7394" t="s">
        <v>711</v>
      </c>
      <c r="H7394" t="s">
        <v>7953</v>
      </c>
      <c r="I7394">
        <v>1</v>
      </c>
      <c r="J7394">
        <v>1</v>
      </c>
      <c r="K7394">
        <v>0</v>
      </c>
      <c r="L7394">
        <v>0</v>
      </c>
      <c r="M7394">
        <v>0</v>
      </c>
      <c r="N7394">
        <v>0</v>
      </c>
      <c r="O7394">
        <v>0</v>
      </c>
    </row>
    <row r="7395" spans="1:15" x14ac:dyDescent="0.25">
      <c r="A7395" t="s">
        <v>1062</v>
      </c>
      <c r="B7395" t="s">
        <v>1993</v>
      </c>
      <c r="C7395" t="s">
        <v>927</v>
      </c>
      <c r="D7395" t="s">
        <v>3052</v>
      </c>
      <c r="E7395" t="s">
        <v>3053</v>
      </c>
      <c r="F7395" t="s">
        <v>710</v>
      </c>
      <c r="G7395" t="s">
        <v>711</v>
      </c>
      <c r="H7395" t="s">
        <v>7954</v>
      </c>
      <c r="I7395">
        <v>11</v>
      </c>
      <c r="J7395">
        <v>11</v>
      </c>
      <c r="K7395">
        <v>0</v>
      </c>
      <c r="L7395">
        <v>0</v>
      </c>
      <c r="M7395">
        <v>0</v>
      </c>
      <c r="N7395">
        <v>0</v>
      </c>
      <c r="O7395">
        <v>0</v>
      </c>
    </row>
    <row r="7396" spans="1:15" x14ac:dyDescent="0.25">
      <c r="A7396" t="s">
        <v>962</v>
      </c>
      <c r="B7396" t="s">
        <v>2752</v>
      </c>
      <c r="C7396" t="s">
        <v>927</v>
      </c>
      <c r="D7396" t="s">
        <v>3052</v>
      </c>
      <c r="E7396" t="s">
        <v>3053</v>
      </c>
      <c r="F7396" t="s">
        <v>710</v>
      </c>
      <c r="G7396" t="s">
        <v>711</v>
      </c>
      <c r="H7396" t="s">
        <v>10453</v>
      </c>
      <c r="I7396">
        <v>158</v>
      </c>
      <c r="J7396">
        <v>136</v>
      </c>
      <c r="K7396">
        <v>0</v>
      </c>
      <c r="L7396">
        <v>8</v>
      </c>
      <c r="M7396">
        <v>0</v>
      </c>
      <c r="N7396">
        <v>0</v>
      </c>
      <c r="O7396">
        <v>14</v>
      </c>
    </row>
    <row r="7397" spans="1:15" x14ac:dyDescent="0.25">
      <c r="A7397" t="s">
        <v>11667</v>
      </c>
      <c r="B7397" t="s">
        <v>1986</v>
      </c>
      <c r="C7397" t="s">
        <v>923</v>
      </c>
      <c r="D7397" t="s">
        <v>3063</v>
      </c>
      <c r="E7397" t="s">
        <v>3053</v>
      </c>
      <c r="F7397" t="s">
        <v>710</v>
      </c>
      <c r="G7397" t="s">
        <v>711</v>
      </c>
      <c r="H7397" t="s">
        <v>12348</v>
      </c>
      <c r="I7397">
        <v>41</v>
      </c>
      <c r="J7397">
        <v>0</v>
      </c>
      <c r="K7397">
        <v>0</v>
      </c>
      <c r="L7397">
        <v>0</v>
      </c>
      <c r="M7397">
        <v>41</v>
      </c>
      <c r="N7397">
        <v>0</v>
      </c>
      <c r="O7397">
        <v>0</v>
      </c>
    </row>
    <row r="7398" spans="1:15" x14ac:dyDescent="0.25">
      <c r="A7398" t="s">
        <v>1069</v>
      </c>
      <c r="B7398" t="s">
        <v>2001</v>
      </c>
      <c r="C7398" t="s">
        <v>927</v>
      </c>
      <c r="D7398" t="s">
        <v>3052</v>
      </c>
      <c r="E7398" t="s">
        <v>3053</v>
      </c>
      <c r="F7398" t="s">
        <v>710</v>
      </c>
      <c r="G7398" t="s">
        <v>711</v>
      </c>
      <c r="H7398" t="s">
        <v>7955</v>
      </c>
      <c r="I7398">
        <v>243</v>
      </c>
      <c r="J7398">
        <v>207</v>
      </c>
      <c r="K7398">
        <v>0</v>
      </c>
      <c r="L7398">
        <v>0</v>
      </c>
      <c r="M7398">
        <v>0</v>
      </c>
      <c r="N7398">
        <v>0</v>
      </c>
      <c r="O7398">
        <v>36</v>
      </c>
    </row>
    <row r="7399" spans="1:15" x14ac:dyDescent="0.25">
      <c r="A7399" t="s">
        <v>10812</v>
      </c>
      <c r="B7399" t="s">
        <v>2173</v>
      </c>
      <c r="C7399" t="s">
        <v>923</v>
      </c>
      <c r="D7399" t="s">
        <v>3063</v>
      </c>
      <c r="E7399" t="s">
        <v>3053</v>
      </c>
      <c r="F7399" t="s">
        <v>710</v>
      </c>
      <c r="G7399" t="s">
        <v>711</v>
      </c>
      <c r="H7399" t="s">
        <v>11316</v>
      </c>
      <c r="I7399">
        <v>10</v>
      </c>
      <c r="J7399">
        <v>10</v>
      </c>
      <c r="K7399">
        <v>0</v>
      </c>
      <c r="L7399">
        <v>0</v>
      </c>
      <c r="M7399">
        <v>0</v>
      </c>
      <c r="N7399">
        <v>0</v>
      </c>
      <c r="O7399">
        <v>0</v>
      </c>
    </row>
    <row r="7400" spans="1:15" x14ac:dyDescent="0.25">
      <c r="A7400" t="s">
        <v>1072</v>
      </c>
      <c r="B7400" t="s">
        <v>2907</v>
      </c>
      <c r="C7400" t="s">
        <v>927</v>
      </c>
      <c r="D7400" t="s">
        <v>3052</v>
      </c>
      <c r="E7400" t="s">
        <v>3053</v>
      </c>
      <c r="F7400" t="s">
        <v>710</v>
      </c>
      <c r="G7400" t="s">
        <v>711</v>
      </c>
      <c r="H7400" t="s">
        <v>7956</v>
      </c>
      <c r="I7400">
        <v>65</v>
      </c>
      <c r="J7400">
        <v>0</v>
      </c>
      <c r="K7400">
        <v>0</v>
      </c>
      <c r="L7400">
        <v>19</v>
      </c>
      <c r="M7400">
        <v>46</v>
      </c>
      <c r="N7400">
        <v>0</v>
      </c>
      <c r="O7400">
        <v>0</v>
      </c>
    </row>
    <row r="7401" spans="1:15" x14ac:dyDescent="0.25">
      <c r="A7401" t="s">
        <v>11715</v>
      </c>
      <c r="B7401" t="s">
        <v>2784</v>
      </c>
      <c r="C7401" t="s">
        <v>927</v>
      </c>
      <c r="D7401" t="s">
        <v>3052</v>
      </c>
      <c r="E7401" t="s">
        <v>3053</v>
      </c>
      <c r="F7401" t="s">
        <v>710</v>
      </c>
      <c r="G7401" t="s">
        <v>711</v>
      </c>
      <c r="H7401" t="s">
        <v>12349</v>
      </c>
      <c r="I7401">
        <v>98</v>
      </c>
      <c r="J7401">
        <v>87</v>
      </c>
      <c r="K7401">
        <v>0</v>
      </c>
      <c r="L7401">
        <v>0</v>
      </c>
      <c r="M7401">
        <v>0</v>
      </c>
      <c r="N7401">
        <v>0</v>
      </c>
      <c r="O7401">
        <v>11</v>
      </c>
    </row>
    <row r="7402" spans="1:15" x14ac:dyDescent="0.25">
      <c r="A7402" t="s">
        <v>926</v>
      </c>
      <c r="B7402" t="s">
        <v>2923</v>
      </c>
      <c r="C7402" t="s">
        <v>927</v>
      </c>
      <c r="D7402" t="s">
        <v>3052</v>
      </c>
      <c r="E7402" t="s">
        <v>3053</v>
      </c>
      <c r="F7402" t="s">
        <v>712</v>
      </c>
      <c r="G7402" t="s">
        <v>713</v>
      </c>
      <c r="H7402" t="s">
        <v>7957</v>
      </c>
      <c r="I7402">
        <v>10</v>
      </c>
      <c r="J7402">
        <v>0</v>
      </c>
      <c r="K7402">
        <v>0</v>
      </c>
      <c r="L7402">
        <v>0</v>
      </c>
      <c r="M7402">
        <v>0</v>
      </c>
      <c r="N7402">
        <v>0</v>
      </c>
      <c r="O7402">
        <v>10</v>
      </c>
    </row>
    <row r="7403" spans="1:15" x14ac:dyDescent="0.25">
      <c r="A7403" t="s">
        <v>929</v>
      </c>
      <c r="B7403" t="s">
        <v>2999</v>
      </c>
      <c r="C7403" t="s">
        <v>927</v>
      </c>
      <c r="D7403" t="s">
        <v>3052</v>
      </c>
      <c r="E7403" t="s">
        <v>3053</v>
      </c>
      <c r="F7403" t="s">
        <v>712</v>
      </c>
      <c r="G7403" t="s">
        <v>713</v>
      </c>
      <c r="H7403" t="s">
        <v>7958</v>
      </c>
      <c r="I7403">
        <v>28</v>
      </c>
      <c r="J7403">
        <v>0</v>
      </c>
      <c r="K7403">
        <v>0</v>
      </c>
      <c r="L7403">
        <v>0</v>
      </c>
      <c r="M7403">
        <v>28</v>
      </c>
      <c r="N7403">
        <v>0</v>
      </c>
      <c r="O7403">
        <v>0</v>
      </c>
    </row>
    <row r="7404" spans="1:15" x14ac:dyDescent="0.25">
      <c r="A7404" t="s">
        <v>1575</v>
      </c>
      <c r="B7404" t="s">
        <v>2112</v>
      </c>
      <c r="C7404" t="s">
        <v>927</v>
      </c>
      <c r="D7404" t="s">
        <v>3052</v>
      </c>
      <c r="E7404" t="s">
        <v>3053</v>
      </c>
      <c r="F7404" t="s">
        <v>712</v>
      </c>
      <c r="G7404" t="s">
        <v>713</v>
      </c>
      <c r="H7404" t="s">
        <v>12350</v>
      </c>
      <c r="I7404">
        <v>19</v>
      </c>
      <c r="J7404">
        <v>9</v>
      </c>
      <c r="K7404">
        <v>0</v>
      </c>
      <c r="L7404">
        <v>0</v>
      </c>
      <c r="M7404">
        <v>0</v>
      </c>
      <c r="N7404">
        <v>0</v>
      </c>
      <c r="O7404">
        <v>10</v>
      </c>
    </row>
    <row r="7405" spans="1:15" x14ac:dyDescent="0.25">
      <c r="A7405" t="s">
        <v>931</v>
      </c>
      <c r="B7405" t="s">
        <v>1978</v>
      </c>
      <c r="C7405" t="s">
        <v>927</v>
      </c>
      <c r="D7405" t="s">
        <v>3052</v>
      </c>
      <c r="E7405" t="s">
        <v>3053</v>
      </c>
      <c r="F7405" t="s">
        <v>712</v>
      </c>
      <c r="G7405" t="s">
        <v>713</v>
      </c>
      <c r="H7405" t="s">
        <v>7959</v>
      </c>
      <c r="I7405">
        <v>94</v>
      </c>
      <c r="J7405">
        <v>52</v>
      </c>
      <c r="K7405">
        <v>0</v>
      </c>
      <c r="L7405">
        <v>0</v>
      </c>
      <c r="M7405">
        <v>0</v>
      </c>
      <c r="N7405">
        <v>0</v>
      </c>
      <c r="O7405">
        <v>42</v>
      </c>
    </row>
    <row r="7406" spans="1:15" x14ac:dyDescent="0.25">
      <c r="A7406" t="s">
        <v>1581</v>
      </c>
      <c r="B7406" t="s">
        <v>2917</v>
      </c>
      <c r="C7406" t="s">
        <v>927</v>
      </c>
      <c r="D7406" t="s">
        <v>3052</v>
      </c>
      <c r="E7406" t="s">
        <v>3053</v>
      </c>
      <c r="F7406" t="s">
        <v>712</v>
      </c>
      <c r="G7406" t="s">
        <v>713</v>
      </c>
      <c r="H7406" t="s">
        <v>7960</v>
      </c>
      <c r="I7406">
        <v>10</v>
      </c>
      <c r="J7406">
        <v>0</v>
      </c>
      <c r="K7406">
        <v>0</v>
      </c>
      <c r="L7406">
        <v>10</v>
      </c>
      <c r="M7406">
        <v>0</v>
      </c>
      <c r="N7406">
        <v>0</v>
      </c>
      <c r="O7406">
        <v>0</v>
      </c>
    </row>
    <row r="7407" spans="1:15" x14ac:dyDescent="0.25">
      <c r="A7407" t="s">
        <v>933</v>
      </c>
      <c r="B7407" t="s">
        <v>2106</v>
      </c>
      <c r="C7407" t="s">
        <v>927</v>
      </c>
      <c r="D7407" t="s">
        <v>3052</v>
      </c>
      <c r="E7407" t="s">
        <v>3053</v>
      </c>
      <c r="F7407" t="s">
        <v>712</v>
      </c>
      <c r="G7407" t="s">
        <v>713</v>
      </c>
      <c r="H7407" t="s">
        <v>11317</v>
      </c>
      <c r="I7407">
        <v>166</v>
      </c>
      <c r="J7407">
        <v>59</v>
      </c>
      <c r="K7407">
        <v>0</v>
      </c>
      <c r="L7407">
        <v>0</v>
      </c>
      <c r="M7407">
        <v>0</v>
      </c>
      <c r="N7407">
        <v>0</v>
      </c>
      <c r="O7407">
        <v>107</v>
      </c>
    </row>
    <row r="7408" spans="1:15" x14ac:dyDescent="0.25">
      <c r="A7408" t="s">
        <v>935</v>
      </c>
      <c r="B7408" t="s">
        <v>1960</v>
      </c>
      <c r="C7408" t="s">
        <v>923</v>
      </c>
      <c r="D7408" t="s">
        <v>3063</v>
      </c>
      <c r="E7408" t="s">
        <v>3053</v>
      </c>
      <c r="F7408" t="s">
        <v>712</v>
      </c>
      <c r="G7408" t="s">
        <v>713</v>
      </c>
      <c r="H7408" t="s">
        <v>7961</v>
      </c>
      <c r="I7408">
        <v>4</v>
      </c>
      <c r="J7408">
        <v>0</v>
      </c>
      <c r="K7408">
        <v>0</v>
      </c>
      <c r="L7408">
        <v>4</v>
      </c>
      <c r="M7408">
        <v>0</v>
      </c>
      <c r="N7408">
        <v>0</v>
      </c>
      <c r="O7408">
        <v>0</v>
      </c>
    </row>
    <row r="7409" spans="1:15" x14ac:dyDescent="0.25">
      <c r="A7409" t="s">
        <v>10638</v>
      </c>
      <c r="B7409" t="s">
        <v>2057</v>
      </c>
      <c r="C7409" t="s">
        <v>927</v>
      </c>
      <c r="D7409" t="s">
        <v>3052</v>
      </c>
      <c r="E7409" t="s">
        <v>3053</v>
      </c>
      <c r="F7409" t="s">
        <v>712</v>
      </c>
      <c r="G7409" t="s">
        <v>713</v>
      </c>
      <c r="H7409" t="s">
        <v>11318</v>
      </c>
      <c r="I7409">
        <v>30</v>
      </c>
      <c r="J7409">
        <v>0</v>
      </c>
      <c r="K7409">
        <v>0</v>
      </c>
      <c r="L7409">
        <v>30</v>
      </c>
      <c r="M7409">
        <v>0</v>
      </c>
      <c r="N7409">
        <v>0</v>
      </c>
      <c r="O7409">
        <v>0</v>
      </c>
    </row>
    <row r="7410" spans="1:15" x14ac:dyDescent="0.25">
      <c r="A7410" t="s">
        <v>1010</v>
      </c>
      <c r="B7410" t="s">
        <v>2639</v>
      </c>
      <c r="C7410" t="s">
        <v>927</v>
      </c>
      <c r="D7410" t="s">
        <v>3052</v>
      </c>
      <c r="E7410" t="s">
        <v>3053</v>
      </c>
      <c r="F7410" t="s">
        <v>712</v>
      </c>
      <c r="G7410" t="s">
        <v>713</v>
      </c>
      <c r="H7410" t="s">
        <v>7962</v>
      </c>
      <c r="I7410">
        <v>44</v>
      </c>
      <c r="J7410">
        <v>44</v>
      </c>
      <c r="K7410">
        <v>0</v>
      </c>
      <c r="L7410">
        <v>0</v>
      </c>
      <c r="M7410">
        <v>0</v>
      </c>
      <c r="N7410">
        <v>0</v>
      </c>
      <c r="O7410">
        <v>0</v>
      </c>
    </row>
    <row r="7411" spans="1:15" x14ac:dyDescent="0.25">
      <c r="A7411" t="s">
        <v>937</v>
      </c>
      <c r="B7411" t="s">
        <v>1962</v>
      </c>
      <c r="C7411" t="s">
        <v>927</v>
      </c>
      <c r="D7411" t="s">
        <v>3052</v>
      </c>
      <c r="E7411" t="s">
        <v>3053</v>
      </c>
      <c r="F7411" t="s">
        <v>712</v>
      </c>
      <c r="G7411" t="s">
        <v>713</v>
      </c>
      <c r="H7411" t="s">
        <v>7963</v>
      </c>
      <c r="I7411">
        <v>14</v>
      </c>
      <c r="J7411">
        <v>0</v>
      </c>
      <c r="K7411">
        <v>0</v>
      </c>
      <c r="L7411">
        <v>0</v>
      </c>
      <c r="M7411">
        <v>0</v>
      </c>
      <c r="N7411">
        <v>0</v>
      </c>
      <c r="O7411">
        <v>14</v>
      </c>
    </row>
    <row r="7412" spans="1:15" x14ac:dyDescent="0.25">
      <c r="A7412" t="s">
        <v>1013</v>
      </c>
      <c r="B7412" t="s">
        <v>1959</v>
      </c>
      <c r="C7412" t="s">
        <v>927</v>
      </c>
      <c r="D7412" t="s">
        <v>3052</v>
      </c>
      <c r="E7412" t="s">
        <v>3053</v>
      </c>
      <c r="F7412" t="s">
        <v>712</v>
      </c>
      <c r="G7412" t="s">
        <v>713</v>
      </c>
      <c r="H7412" t="s">
        <v>7964</v>
      </c>
      <c r="I7412">
        <v>5</v>
      </c>
      <c r="J7412">
        <v>0</v>
      </c>
      <c r="K7412">
        <v>0</v>
      </c>
      <c r="L7412">
        <v>5</v>
      </c>
      <c r="M7412">
        <v>0</v>
      </c>
      <c r="N7412">
        <v>0</v>
      </c>
      <c r="O7412">
        <v>0</v>
      </c>
    </row>
    <row r="7413" spans="1:15" x14ac:dyDescent="0.25">
      <c r="A7413" t="s">
        <v>10667</v>
      </c>
      <c r="B7413" t="s">
        <v>10666</v>
      </c>
      <c r="C7413" t="s">
        <v>927</v>
      </c>
      <c r="D7413" t="s">
        <v>3052</v>
      </c>
      <c r="E7413" t="s">
        <v>3053</v>
      </c>
      <c r="F7413" t="s">
        <v>712</v>
      </c>
      <c r="G7413" t="s">
        <v>713</v>
      </c>
      <c r="H7413" t="s">
        <v>12351</v>
      </c>
      <c r="I7413">
        <v>33</v>
      </c>
      <c r="J7413">
        <v>33</v>
      </c>
      <c r="K7413">
        <v>0</v>
      </c>
      <c r="L7413">
        <v>0</v>
      </c>
      <c r="M7413">
        <v>0</v>
      </c>
      <c r="N7413">
        <v>0</v>
      </c>
      <c r="O7413">
        <v>0</v>
      </c>
    </row>
    <row r="7414" spans="1:15" x14ac:dyDescent="0.25">
      <c r="A7414" t="s">
        <v>1126</v>
      </c>
      <c r="B7414" t="s">
        <v>2130</v>
      </c>
      <c r="C7414" t="s">
        <v>927</v>
      </c>
      <c r="D7414" t="s">
        <v>3052</v>
      </c>
      <c r="E7414" t="s">
        <v>3053</v>
      </c>
      <c r="F7414" t="s">
        <v>712</v>
      </c>
      <c r="G7414" t="s">
        <v>713</v>
      </c>
      <c r="H7414" t="s">
        <v>11319</v>
      </c>
      <c r="I7414">
        <v>32</v>
      </c>
      <c r="J7414">
        <v>0</v>
      </c>
      <c r="K7414">
        <v>0</v>
      </c>
      <c r="L7414">
        <v>0</v>
      </c>
      <c r="M7414">
        <v>0</v>
      </c>
      <c r="N7414">
        <v>0</v>
      </c>
      <c r="O7414">
        <v>32</v>
      </c>
    </row>
    <row r="7415" spans="1:15" x14ac:dyDescent="0.25">
      <c r="A7415" t="s">
        <v>942</v>
      </c>
      <c r="B7415" t="s">
        <v>2113</v>
      </c>
      <c r="C7415" t="s">
        <v>927</v>
      </c>
      <c r="D7415" t="s">
        <v>3052</v>
      </c>
      <c r="E7415" t="s">
        <v>3053</v>
      </c>
      <c r="F7415" t="s">
        <v>712</v>
      </c>
      <c r="G7415" t="s">
        <v>713</v>
      </c>
      <c r="H7415" t="s">
        <v>7965</v>
      </c>
      <c r="I7415">
        <v>3732</v>
      </c>
      <c r="J7415">
        <v>2982</v>
      </c>
      <c r="K7415">
        <v>0</v>
      </c>
      <c r="L7415">
        <v>9</v>
      </c>
      <c r="M7415">
        <v>383</v>
      </c>
      <c r="N7415">
        <v>0</v>
      </c>
      <c r="O7415">
        <v>358</v>
      </c>
    </row>
    <row r="7416" spans="1:15" x14ac:dyDescent="0.25">
      <c r="A7416" t="s">
        <v>1754</v>
      </c>
      <c r="B7416" t="s">
        <v>2902</v>
      </c>
      <c r="C7416" t="s">
        <v>927</v>
      </c>
      <c r="D7416" t="s">
        <v>3052</v>
      </c>
      <c r="E7416" t="s">
        <v>3053</v>
      </c>
      <c r="F7416" t="s">
        <v>712</v>
      </c>
      <c r="G7416" t="s">
        <v>713</v>
      </c>
      <c r="H7416" t="s">
        <v>11320</v>
      </c>
      <c r="I7416">
        <v>63</v>
      </c>
      <c r="J7416">
        <v>31</v>
      </c>
      <c r="K7416">
        <v>0</v>
      </c>
      <c r="L7416">
        <v>0</v>
      </c>
      <c r="M7416">
        <v>0</v>
      </c>
      <c r="N7416">
        <v>0</v>
      </c>
      <c r="O7416">
        <v>32</v>
      </c>
    </row>
    <row r="7417" spans="1:15" x14ac:dyDescent="0.25">
      <c r="A7417" t="s">
        <v>1051</v>
      </c>
      <c r="B7417" t="s">
        <v>2995</v>
      </c>
      <c r="C7417" t="s">
        <v>927</v>
      </c>
      <c r="D7417" t="s">
        <v>3052</v>
      </c>
      <c r="E7417" t="s">
        <v>3053</v>
      </c>
      <c r="F7417" t="s">
        <v>712</v>
      </c>
      <c r="G7417" t="s">
        <v>713</v>
      </c>
      <c r="H7417" t="s">
        <v>7966</v>
      </c>
      <c r="I7417">
        <v>4</v>
      </c>
      <c r="J7417">
        <v>0</v>
      </c>
      <c r="K7417">
        <v>0</v>
      </c>
      <c r="L7417">
        <v>4</v>
      </c>
      <c r="M7417">
        <v>0</v>
      </c>
      <c r="N7417">
        <v>0</v>
      </c>
      <c r="O7417">
        <v>0</v>
      </c>
    </row>
    <row r="7418" spans="1:15" x14ac:dyDescent="0.25">
      <c r="A7418" t="s">
        <v>955</v>
      </c>
      <c r="B7418" t="s">
        <v>2660</v>
      </c>
      <c r="C7418" t="s">
        <v>927</v>
      </c>
      <c r="D7418" t="s">
        <v>3052</v>
      </c>
      <c r="E7418" t="s">
        <v>3053</v>
      </c>
      <c r="F7418" t="s">
        <v>712</v>
      </c>
      <c r="G7418" t="s">
        <v>713</v>
      </c>
      <c r="H7418" t="s">
        <v>7967</v>
      </c>
      <c r="I7418">
        <v>60</v>
      </c>
      <c r="J7418">
        <v>46</v>
      </c>
      <c r="K7418">
        <v>0</v>
      </c>
      <c r="L7418">
        <v>0</v>
      </c>
      <c r="M7418">
        <v>14</v>
      </c>
      <c r="N7418">
        <v>0</v>
      </c>
      <c r="O7418">
        <v>0</v>
      </c>
    </row>
    <row r="7419" spans="1:15" x14ac:dyDescent="0.25">
      <c r="A7419" t="s">
        <v>1765</v>
      </c>
      <c r="B7419" t="s">
        <v>2940</v>
      </c>
      <c r="C7419" t="s">
        <v>923</v>
      </c>
      <c r="D7419" t="s">
        <v>3063</v>
      </c>
      <c r="E7419" t="s">
        <v>3053</v>
      </c>
      <c r="F7419" t="s">
        <v>712</v>
      </c>
      <c r="G7419" t="s">
        <v>713</v>
      </c>
      <c r="H7419" t="s">
        <v>7968</v>
      </c>
      <c r="I7419">
        <v>244</v>
      </c>
      <c r="J7419">
        <v>231</v>
      </c>
      <c r="K7419">
        <v>0</v>
      </c>
      <c r="L7419">
        <v>13</v>
      </c>
      <c r="M7419">
        <v>0</v>
      </c>
      <c r="N7419">
        <v>0</v>
      </c>
      <c r="O7419">
        <v>0</v>
      </c>
    </row>
    <row r="7420" spans="1:15" x14ac:dyDescent="0.25">
      <c r="A7420" t="s">
        <v>960</v>
      </c>
      <c r="B7420" t="s">
        <v>2080</v>
      </c>
      <c r="C7420" t="s">
        <v>927</v>
      </c>
      <c r="D7420" t="s">
        <v>3052</v>
      </c>
      <c r="E7420" t="s">
        <v>3053</v>
      </c>
      <c r="F7420" t="s">
        <v>712</v>
      </c>
      <c r="G7420" t="s">
        <v>713</v>
      </c>
      <c r="H7420" t="s">
        <v>7969</v>
      </c>
      <c r="I7420">
        <v>238</v>
      </c>
      <c r="J7420">
        <v>177</v>
      </c>
      <c r="K7420">
        <v>0</v>
      </c>
      <c r="L7420">
        <v>20</v>
      </c>
      <c r="M7420">
        <v>0</v>
      </c>
      <c r="N7420">
        <v>0</v>
      </c>
      <c r="O7420">
        <v>41</v>
      </c>
    </row>
    <row r="7421" spans="1:15" x14ac:dyDescent="0.25">
      <c r="A7421" t="s">
        <v>1770</v>
      </c>
      <c r="B7421" t="s">
        <v>3030</v>
      </c>
      <c r="C7421" t="s">
        <v>927</v>
      </c>
      <c r="D7421" t="s">
        <v>3052</v>
      </c>
      <c r="E7421" t="s">
        <v>3053</v>
      </c>
      <c r="F7421" t="s">
        <v>712</v>
      </c>
      <c r="G7421" t="s">
        <v>713</v>
      </c>
      <c r="H7421" t="s">
        <v>7970</v>
      </c>
      <c r="I7421">
        <v>37</v>
      </c>
      <c r="J7421">
        <v>29</v>
      </c>
      <c r="K7421">
        <v>0</v>
      </c>
      <c r="L7421">
        <v>0</v>
      </c>
      <c r="M7421">
        <v>0</v>
      </c>
      <c r="N7421">
        <v>0</v>
      </c>
      <c r="O7421">
        <v>8</v>
      </c>
    </row>
    <row r="7422" spans="1:15" x14ac:dyDescent="0.25">
      <c r="A7422" t="s">
        <v>1066</v>
      </c>
      <c r="B7422" t="s">
        <v>2557</v>
      </c>
      <c r="C7422" t="s">
        <v>927</v>
      </c>
      <c r="D7422" t="s">
        <v>3052</v>
      </c>
      <c r="E7422" t="s">
        <v>3053</v>
      </c>
      <c r="F7422" t="s">
        <v>712</v>
      </c>
      <c r="G7422" t="s">
        <v>713</v>
      </c>
      <c r="H7422" t="s">
        <v>7971</v>
      </c>
      <c r="I7422">
        <v>16</v>
      </c>
      <c r="J7422">
        <v>0</v>
      </c>
      <c r="K7422">
        <v>0</v>
      </c>
      <c r="L7422">
        <v>0</v>
      </c>
      <c r="M7422">
        <v>16</v>
      </c>
      <c r="N7422">
        <v>0</v>
      </c>
      <c r="O7422">
        <v>0</v>
      </c>
    </row>
    <row r="7423" spans="1:15" x14ac:dyDescent="0.25">
      <c r="A7423" t="s">
        <v>1778</v>
      </c>
      <c r="B7423" t="s">
        <v>2602</v>
      </c>
      <c r="C7423" t="s">
        <v>923</v>
      </c>
      <c r="D7423" t="s">
        <v>3063</v>
      </c>
      <c r="E7423" t="s">
        <v>3053</v>
      </c>
      <c r="F7423" t="s">
        <v>712</v>
      </c>
      <c r="G7423" t="s">
        <v>713</v>
      </c>
      <c r="H7423" t="s">
        <v>7972</v>
      </c>
      <c r="I7423">
        <v>11</v>
      </c>
      <c r="J7423">
        <v>0</v>
      </c>
      <c r="K7423">
        <v>0</v>
      </c>
      <c r="L7423">
        <v>0</v>
      </c>
      <c r="M7423">
        <v>11</v>
      </c>
      <c r="N7423">
        <v>0</v>
      </c>
      <c r="O7423">
        <v>0</v>
      </c>
    </row>
    <row r="7424" spans="1:15" x14ac:dyDescent="0.25">
      <c r="A7424" t="s">
        <v>1069</v>
      </c>
      <c r="B7424" t="s">
        <v>2001</v>
      </c>
      <c r="C7424" t="s">
        <v>927</v>
      </c>
      <c r="D7424" t="s">
        <v>3052</v>
      </c>
      <c r="E7424" t="s">
        <v>3053</v>
      </c>
      <c r="F7424" t="s">
        <v>712</v>
      </c>
      <c r="G7424" t="s">
        <v>713</v>
      </c>
      <c r="H7424" t="s">
        <v>7973</v>
      </c>
      <c r="I7424">
        <v>373</v>
      </c>
      <c r="J7424">
        <v>283</v>
      </c>
      <c r="K7424">
        <v>0</v>
      </c>
      <c r="L7424">
        <v>0</v>
      </c>
      <c r="M7424">
        <v>66</v>
      </c>
      <c r="N7424">
        <v>0</v>
      </c>
      <c r="O7424">
        <v>24</v>
      </c>
    </row>
    <row r="7425" spans="1:15" x14ac:dyDescent="0.25">
      <c r="A7425" t="s">
        <v>1684</v>
      </c>
      <c r="B7425" t="s">
        <v>2845</v>
      </c>
      <c r="C7425" t="s">
        <v>927</v>
      </c>
      <c r="D7425" t="s">
        <v>3052</v>
      </c>
      <c r="E7425" t="s">
        <v>3053</v>
      </c>
      <c r="F7425" t="s">
        <v>712</v>
      </c>
      <c r="G7425" t="s">
        <v>713</v>
      </c>
      <c r="H7425" t="s">
        <v>12352</v>
      </c>
      <c r="I7425">
        <v>1</v>
      </c>
      <c r="J7425">
        <v>0</v>
      </c>
      <c r="K7425">
        <v>0</v>
      </c>
      <c r="L7425">
        <v>0</v>
      </c>
      <c r="M7425">
        <v>0</v>
      </c>
      <c r="N7425">
        <v>0</v>
      </c>
      <c r="O7425">
        <v>1</v>
      </c>
    </row>
    <row r="7426" spans="1:15" x14ac:dyDescent="0.25">
      <c r="A7426" t="s">
        <v>1793</v>
      </c>
      <c r="B7426" t="s">
        <v>2075</v>
      </c>
      <c r="C7426" t="s">
        <v>927</v>
      </c>
      <c r="D7426" t="s">
        <v>3052</v>
      </c>
      <c r="E7426" t="s">
        <v>3053</v>
      </c>
      <c r="F7426" t="s">
        <v>712</v>
      </c>
      <c r="G7426" t="s">
        <v>713</v>
      </c>
      <c r="H7426" t="s">
        <v>7974</v>
      </c>
      <c r="I7426">
        <v>317</v>
      </c>
      <c r="J7426">
        <v>211</v>
      </c>
      <c r="K7426">
        <v>0</v>
      </c>
      <c r="L7426">
        <v>17</v>
      </c>
      <c r="M7426">
        <v>0</v>
      </c>
      <c r="N7426">
        <v>0</v>
      </c>
      <c r="O7426">
        <v>89</v>
      </c>
    </row>
    <row r="7427" spans="1:15" x14ac:dyDescent="0.25">
      <c r="A7427" t="s">
        <v>11715</v>
      </c>
      <c r="B7427" t="s">
        <v>2784</v>
      </c>
      <c r="C7427" t="s">
        <v>927</v>
      </c>
      <c r="D7427" t="s">
        <v>3052</v>
      </c>
      <c r="E7427" t="s">
        <v>3053</v>
      </c>
      <c r="F7427" t="s">
        <v>712</v>
      </c>
      <c r="G7427" t="s">
        <v>713</v>
      </c>
      <c r="H7427" t="s">
        <v>12353</v>
      </c>
      <c r="I7427">
        <v>113</v>
      </c>
      <c r="J7427">
        <v>113</v>
      </c>
      <c r="K7427">
        <v>0</v>
      </c>
      <c r="L7427">
        <v>0</v>
      </c>
      <c r="M7427">
        <v>0</v>
      </c>
      <c r="N7427">
        <v>0</v>
      </c>
      <c r="O7427">
        <v>0</v>
      </c>
    </row>
    <row r="7428" spans="1:15" x14ac:dyDescent="0.25">
      <c r="A7428" t="s">
        <v>971</v>
      </c>
      <c r="B7428" t="s">
        <v>2956</v>
      </c>
      <c r="C7428" t="s">
        <v>927</v>
      </c>
      <c r="D7428" t="s">
        <v>3052</v>
      </c>
      <c r="E7428" t="s">
        <v>3053</v>
      </c>
      <c r="F7428" t="s">
        <v>714</v>
      </c>
      <c r="G7428" t="s">
        <v>715</v>
      </c>
      <c r="H7428" t="s">
        <v>7975</v>
      </c>
      <c r="I7428">
        <v>168</v>
      </c>
      <c r="J7428">
        <v>104</v>
      </c>
      <c r="K7428">
        <v>0</v>
      </c>
      <c r="L7428">
        <v>0</v>
      </c>
      <c r="M7428">
        <v>0</v>
      </c>
      <c r="N7428">
        <v>0</v>
      </c>
      <c r="O7428">
        <v>64</v>
      </c>
    </row>
    <row r="7429" spans="1:15" x14ac:dyDescent="0.25">
      <c r="A7429" t="s">
        <v>926</v>
      </c>
      <c r="B7429" t="s">
        <v>2923</v>
      </c>
      <c r="C7429" t="s">
        <v>927</v>
      </c>
      <c r="D7429" t="s">
        <v>3052</v>
      </c>
      <c r="E7429" t="s">
        <v>3053</v>
      </c>
      <c r="F7429" t="s">
        <v>714</v>
      </c>
      <c r="G7429" t="s">
        <v>715</v>
      </c>
      <c r="H7429" t="s">
        <v>7976</v>
      </c>
      <c r="I7429">
        <v>9</v>
      </c>
      <c r="J7429">
        <v>0</v>
      </c>
      <c r="K7429">
        <v>0</v>
      </c>
      <c r="L7429">
        <v>8</v>
      </c>
      <c r="M7429">
        <v>0</v>
      </c>
      <c r="N7429">
        <v>0</v>
      </c>
      <c r="O7429">
        <v>1</v>
      </c>
    </row>
    <row r="7430" spans="1:15" x14ac:dyDescent="0.25">
      <c r="A7430" t="s">
        <v>933</v>
      </c>
      <c r="B7430" t="s">
        <v>2106</v>
      </c>
      <c r="C7430" t="s">
        <v>927</v>
      </c>
      <c r="D7430" t="s">
        <v>3052</v>
      </c>
      <c r="E7430" t="s">
        <v>3053</v>
      </c>
      <c r="F7430" t="s">
        <v>714</v>
      </c>
      <c r="G7430" t="s">
        <v>715</v>
      </c>
      <c r="H7430" t="s">
        <v>7977</v>
      </c>
      <c r="I7430">
        <v>6</v>
      </c>
      <c r="J7430">
        <v>0</v>
      </c>
      <c r="K7430">
        <v>0</v>
      </c>
      <c r="L7430">
        <v>0</v>
      </c>
      <c r="M7430">
        <v>0</v>
      </c>
      <c r="N7430">
        <v>0</v>
      </c>
      <c r="O7430">
        <v>6</v>
      </c>
    </row>
    <row r="7431" spans="1:15" x14ac:dyDescent="0.25">
      <c r="A7431" t="s">
        <v>992</v>
      </c>
      <c r="B7431" t="s">
        <v>3033</v>
      </c>
      <c r="C7431" t="s">
        <v>927</v>
      </c>
      <c r="D7431" t="s">
        <v>3052</v>
      </c>
      <c r="E7431" t="s">
        <v>3053</v>
      </c>
      <c r="F7431" t="s">
        <v>714</v>
      </c>
      <c r="G7431" t="s">
        <v>715</v>
      </c>
      <c r="H7431" t="s">
        <v>7978</v>
      </c>
      <c r="I7431">
        <v>63</v>
      </c>
      <c r="J7431">
        <v>45</v>
      </c>
      <c r="K7431">
        <v>0</v>
      </c>
      <c r="L7431">
        <v>0</v>
      </c>
      <c r="M7431">
        <v>0</v>
      </c>
      <c r="N7431">
        <v>0</v>
      </c>
      <c r="O7431">
        <v>18</v>
      </c>
    </row>
    <row r="7432" spans="1:15" x14ac:dyDescent="0.25">
      <c r="A7432" t="s">
        <v>11660</v>
      </c>
      <c r="B7432" t="s">
        <v>2041</v>
      </c>
      <c r="C7432" t="s">
        <v>923</v>
      </c>
      <c r="D7432" t="s">
        <v>3063</v>
      </c>
      <c r="E7432" t="s">
        <v>3053</v>
      </c>
      <c r="F7432" t="s">
        <v>714</v>
      </c>
      <c r="G7432" t="s">
        <v>715</v>
      </c>
      <c r="H7432" t="s">
        <v>12354</v>
      </c>
      <c r="I7432">
        <v>8</v>
      </c>
      <c r="J7432">
        <v>0</v>
      </c>
      <c r="K7432">
        <v>0</v>
      </c>
      <c r="L7432">
        <v>8</v>
      </c>
      <c r="M7432">
        <v>0</v>
      </c>
      <c r="N7432">
        <v>0</v>
      </c>
      <c r="O7432">
        <v>0</v>
      </c>
    </row>
    <row r="7433" spans="1:15" x14ac:dyDescent="0.25">
      <c r="A7433" t="s">
        <v>1001</v>
      </c>
      <c r="B7433" t="s">
        <v>3007</v>
      </c>
      <c r="C7433" t="s">
        <v>927</v>
      </c>
      <c r="D7433" t="s">
        <v>3052</v>
      </c>
      <c r="E7433" t="s">
        <v>3053</v>
      </c>
      <c r="F7433" t="s">
        <v>714</v>
      </c>
      <c r="G7433" t="s">
        <v>715</v>
      </c>
      <c r="H7433" t="s">
        <v>7979</v>
      </c>
      <c r="I7433">
        <v>27</v>
      </c>
      <c r="J7433">
        <v>0</v>
      </c>
      <c r="K7433">
        <v>0</v>
      </c>
      <c r="L7433">
        <v>27</v>
      </c>
      <c r="M7433">
        <v>0</v>
      </c>
      <c r="N7433">
        <v>0</v>
      </c>
      <c r="O7433">
        <v>0</v>
      </c>
    </row>
    <row r="7434" spans="1:15" x14ac:dyDescent="0.25">
      <c r="A7434" t="s">
        <v>10638</v>
      </c>
      <c r="B7434" t="s">
        <v>2057</v>
      </c>
      <c r="C7434" t="s">
        <v>927</v>
      </c>
      <c r="D7434" t="s">
        <v>3052</v>
      </c>
      <c r="E7434" t="s">
        <v>3053</v>
      </c>
      <c r="F7434" t="s">
        <v>714</v>
      </c>
      <c r="G7434" t="s">
        <v>715</v>
      </c>
      <c r="H7434" t="s">
        <v>11321</v>
      </c>
      <c r="I7434">
        <v>10</v>
      </c>
      <c r="J7434">
        <v>0</v>
      </c>
      <c r="K7434">
        <v>0</v>
      </c>
      <c r="L7434">
        <v>10</v>
      </c>
      <c r="M7434">
        <v>0</v>
      </c>
      <c r="N7434">
        <v>0</v>
      </c>
      <c r="O7434">
        <v>0</v>
      </c>
    </row>
    <row r="7435" spans="1:15" x14ac:dyDescent="0.25">
      <c r="A7435" t="s">
        <v>1005</v>
      </c>
      <c r="B7435" t="s">
        <v>2128</v>
      </c>
      <c r="C7435" t="s">
        <v>927</v>
      </c>
      <c r="D7435" t="s">
        <v>3052</v>
      </c>
      <c r="E7435" t="s">
        <v>3053</v>
      </c>
      <c r="F7435" t="s">
        <v>714</v>
      </c>
      <c r="G7435" t="s">
        <v>715</v>
      </c>
      <c r="H7435" t="s">
        <v>7980</v>
      </c>
      <c r="I7435">
        <v>1</v>
      </c>
      <c r="J7435">
        <v>0</v>
      </c>
      <c r="K7435">
        <v>0</v>
      </c>
      <c r="L7435">
        <v>1</v>
      </c>
      <c r="M7435">
        <v>0</v>
      </c>
      <c r="N7435">
        <v>0</v>
      </c>
      <c r="O7435">
        <v>0</v>
      </c>
    </row>
    <row r="7436" spans="1:15" x14ac:dyDescent="0.25">
      <c r="A7436" t="s">
        <v>1010</v>
      </c>
      <c r="B7436" t="s">
        <v>2639</v>
      </c>
      <c r="C7436" t="s">
        <v>927</v>
      </c>
      <c r="D7436" t="s">
        <v>3052</v>
      </c>
      <c r="E7436" t="s">
        <v>3053</v>
      </c>
      <c r="F7436" t="s">
        <v>714</v>
      </c>
      <c r="G7436" t="s">
        <v>715</v>
      </c>
      <c r="H7436" t="s">
        <v>7981</v>
      </c>
      <c r="I7436">
        <v>41</v>
      </c>
      <c r="J7436">
        <v>28</v>
      </c>
      <c r="K7436">
        <v>0</v>
      </c>
      <c r="L7436">
        <v>0</v>
      </c>
      <c r="M7436">
        <v>0</v>
      </c>
      <c r="N7436">
        <v>0</v>
      </c>
      <c r="O7436">
        <v>13</v>
      </c>
    </row>
    <row r="7437" spans="1:15" x14ac:dyDescent="0.25">
      <c r="A7437" t="s">
        <v>937</v>
      </c>
      <c r="B7437" t="s">
        <v>1962</v>
      </c>
      <c r="C7437" t="s">
        <v>927</v>
      </c>
      <c r="D7437" t="s">
        <v>3052</v>
      </c>
      <c r="E7437" t="s">
        <v>3053</v>
      </c>
      <c r="F7437" t="s">
        <v>714</v>
      </c>
      <c r="G7437" t="s">
        <v>715</v>
      </c>
      <c r="H7437" t="s">
        <v>7982</v>
      </c>
      <c r="I7437">
        <v>61</v>
      </c>
      <c r="J7437">
        <v>0</v>
      </c>
      <c r="K7437">
        <v>0</v>
      </c>
      <c r="L7437">
        <v>0</v>
      </c>
      <c r="M7437">
        <v>0</v>
      </c>
      <c r="N7437">
        <v>0</v>
      </c>
      <c r="O7437">
        <v>61</v>
      </c>
    </row>
    <row r="7438" spans="1:15" x14ac:dyDescent="0.25">
      <c r="A7438" t="s">
        <v>1022</v>
      </c>
      <c r="B7438" t="s">
        <v>2116</v>
      </c>
      <c r="C7438" t="s">
        <v>927</v>
      </c>
      <c r="D7438" t="s">
        <v>3052</v>
      </c>
      <c r="E7438" t="s">
        <v>3053</v>
      </c>
      <c r="F7438" t="s">
        <v>714</v>
      </c>
      <c r="G7438" t="s">
        <v>715</v>
      </c>
      <c r="H7438" t="s">
        <v>7983</v>
      </c>
      <c r="I7438">
        <v>74</v>
      </c>
      <c r="J7438">
        <v>58</v>
      </c>
      <c r="K7438">
        <v>0</v>
      </c>
      <c r="L7438">
        <v>0</v>
      </c>
      <c r="M7438">
        <v>0</v>
      </c>
      <c r="N7438">
        <v>0</v>
      </c>
      <c r="O7438">
        <v>16</v>
      </c>
    </row>
    <row r="7439" spans="1:15" x14ac:dyDescent="0.25">
      <c r="A7439" t="s">
        <v>1023</v>
      </c>
      <c r="B7439" t="s">
        <v>2803</v>
      </c>
      <c r="C7439" t="s">
        <v>923</v>
      </c>
      <c r="D7439" t="s">
        <v>3063</v>
      </c>
      <c r="E7439" t="s">
        <v>3053</v>
      </c>
      <c r="F7439" t="s">
        <v>714</v>
      </c>
      <c r="G7439" t="s">
        <v>715</v>
      </c>
      <c r="H7439" t="s">
        <v>7984</v>
      </c>
      <c r="I7439">
        <v>65</v>
      </c>
      <c r="J7439">
        <v>65</v>
      </c>
      <c r="K7439">
        <v>0</v>
      </c>
      <c r="L7439">
        <v>0</v>
      </c>
      <c r="M7439">
        <v>0</v>
      </c>
      <c r="N7439">
        <v>0</v>
      </c>
      <c r="O7439">
        <v>0</v>
      </c>
    </row>
    <row r="7440" spans="1:15" x14ac:dyDescent="0.25">
      <c r="A7440" t="s">
        <v>942</v>
      </c>
      <c r="B7440" t="s">
        <v>2113</v>
      </c>
      <c r="C7440" t="s">
        <v>927</v>
      </c>
      <c r="D7440" t="s">
        <v>3052</v>
      </c>
      <c r="E7440" t="s">
        <v>3053</v>
      </c>
      <c r="F7440" t="s">
        <v>714</v>
      </c>
      <c r="G7440" t="s">
        <v>715</v>
      </c>
      <c r="H7440" t="s">
        <v>7985</v>
      </c>
      <c r="I7440">
        <v>1</v>
      </c>
      <c r="J7440">
        <v>0</v>
      </c>
      <c r="K7440">
        <v>0</v>
      </c>
      <c r="L7440">
        <v>0</v>
      </c>
      <c r="M7440">
        <v>0</v>
      </c>
      <c r="N7440">
        <v>0</v>
      </c>
      <c r="O7440">
        <v>1</v>
      </c>
    </row>
    <row r="7441" spans="1:15" x14ac:dyDescent="0.25">
      <c r="A7441" t="s">
        <v>1026</v>
      </c>
      <c r="B7441" t="s">
        <v>2848</v>
      </c>
      <c r="C7441" t="s">
        <v>927</v>
      </c>
      <c r="D7441" t="s">
        <v>3052</v>
      </c>
      <c r="E7441" t="s">
        <v>3053</v>
      </c>
      <c r="F7441" t="s">
        <v>714</v>
      </c>
      <c r="G7441" t="s">
        <v>715</v>
      </c>
      <c r="H7441" t="s">
        <v>7986</v>
      </c>
      <c r="I7441">
        <v>958</v>
      </c>
      <c r="J7441">
        <v>761</v>
      </c>
      <c r="K7441">
        <v>0</v>
      </c>
      <c r="L7441">
        <v>11</v>
      </c>
      <c r="M7441">
        <v>0</v>
      </c>
      <c r="N7441">
        <v>1</v>
      </c>
      <c r="O7441">
        <v>186</v>
      </c>
    </row>
    <row r="7442" spans="1:15" x14ac:dyDescent="0.25">
      <c r="A7442" t="s">
        <v>1031</v>
      </c>
      <c r="B7442" t="s">
        <v>2779</v>
      </c>
      <c r="C7442" t="s">
        <v>927</v>
      </c>
      <c r="D7442" t="s">
        <v>3052</v>
      </c>
      <c r="E7442" t="s">
        <v>3053</v>
      </c>
      <c r="F7442" t="s">
        <v>714</v>
      </c>
      <c r="G7442" t="s">
        <v>715</v>
      </c>
      <c r="H7442" t="s">
        <v>7987</v>
      </c>
      <c r="I7442">
        <v>17</v>
      </c>
      <c r="J7442">
        <v>15</v>
      </c>
      <c r="K7442">
        <v>0</v>
      </c>
      <c r="L7442">
        <v>0</v>
      </c>
      <c r="M7442">
        <v>0</v>
      </c>
      <c r="N7442">
        <v>0</v>
      </c>
      <c r="O7442">
        <v>2</v>
      </c>
    </row>
    <row r="7443" spans="1:15" x14ac:dyDescent="0.25">
      <c r="A7443" t="s">
        <v>1038</v>
      </c>
      <c r="B7443" t="s">
        <v>2068</v>
      </c>
      <c r="C7443" t="s">
        <v>927</v>
      </c>
      <c r="D7443" t="s">
        <v>3052</v>
      </c>
      <c r="E7443" t="s">
        <v>3053</v>
      </c>
      <c r="F7443" t="s">
        <v>714</v>
      </c>
      <c r="G7443" t="s">
        <v>715</v>
      </c>
      <c r="H7443" t="s">
        <v>7988</v>
      </c>
      <c r="I7443">
        <v>2</v>
      </c>
      <c r="J7443">
        <v>0</v>
      </c>
      <c r="K7443">
        <v>0</v>
      </c>
      <c r="L7443">
        <v>0</v>
      </c>
      <c r="M7443">
        <v>0</v>
      </c>
      <c r="N7443">
        <v>0</v>
      </c>
      <c r="O7443">
        <v>2</v>
      </c>
    </row>
    <row r="7444" spans="1:15" x14ac:dyDescent="0.25">
      <c r="A7444" t="s">
        <v>1046</v>
      </c>
      <c r="B7444" t="s">
        <v>2027</v>
      </c>
      <c r="C7444" t="s">
        <v>923</v>
      </c>
      <c r="D7444" t="s">
        <v>3063</v>
      </c>
      <c r="E7444" t="s">
        <v>3053</v>
      </c>
      <c r="F7444" t="s">
        <v>714</v>
      </c>
      <c r="G7444" t="s">
        <v>715</v>
      </c>
      <c r="H7444" t="s">
        <v>7989</v>
      </c>
      <c r="I7444">
        <v>1</v>
      </c>
      <c r="J7444">
        <v>0</v>
      </c>
      <c r="K7444">
        <v>0</v>
      </c>
      <c r="L7444">
        <v>1</v>
      </c>
      <c r="M7444">
        <v>0</v>
      </c>
      <c r="N7444">
        <v>0</v>
      </c>
      <c r="O7444">
        <v>0</v>
      </c>
    </row>
    <row r="7445" spans="1:15" x14ac:dyDescent="0.25">
      <c r="A7445" t="s">
        <v>1049</v>
      </c>
      <c r="B7445" t="s">
        <v>2138</v>
      </c>
      <c r="C7445" t="s">
        <v>927</v>
      </c>
      <c r="D7445" t="s">
        <v>3052</v>
      </c>
      <c r="E7445" t="s">
        <v>3053</v>
      </c>
      <c r="F7445" t="s">
        <v>714</v>
      </c>
      <c r="G7445" t="s">
        <v>715</v>
      </c>
      <c r="H7445" t="s">
        <v>7990</v>
      </c>
      <c r="I7445">
        <v>512</v>
      </c>
      <c r="J7445">
        <v>302</v>
      </c>
      <c r="K7445">
        <v>0</v>
      </c>
      <c r="L7445">
        <v>0</v>
      </c>
      <c r="M7445">
        <v>0</v>
      </c>
      <c r="N7445">
        <v>0</v>
      </c>
      <c r="O7445">
        <v>210</v>
      </c>
    </row>
    <row r="7446" spans="1:15" x14ac:dyDescent="0.25">
      <c r="A7446" t="s">
        <v>1051</v>
      </c>
      <c r="B7446" t="s">
        <v>2995</v>
      </c>
      <c r="C7446" t="s">
        <v>927</v>
      </c>
      <c r="D7446" t="s">
        <v>3052</v>
      </c>
      <c r="E7446" t="s">
        <v>3053</v>
      </c>
      <c r="F7446" t="s">
        <v>714</v>
      </c>
      <c r="G7446" t="s">
        <v>715</v>
      </c>
      <c r="H7446" t="s">
        <v>7991</v>
      </c>
      <c r="I7446">
        <v>17</v>
      </c>
      <c r="J7446">
        <v>0</v>
      </c>
      <c r="K7446">
        <v>0</v>
      </c>
      <c r="L7446">
        <v>17</v>
      </c>
      <c r="M7446">
        <v>0</v>
      </c>
      <c r="N7446">
        <v>0</v>
      </c>
      <c r="O7446">
        <v>0</v>
      </c>
    </row>
    <row r="7447" spans="1:15" x14ac:dyDescent="0.25">
      <c r="A7447" t="s">
        <v>953</v>
      </c>
      <c r="B7447" t="s">
        <v>2014</v>
      </c>
      <c r="C7447" t="s">
        <v>927</v>
      </c>
      <c r="D7447" t="s">
        <v>3052</v>
      </c>
      <c r="E7447" t="s">
        <v>3053</v>
      </c>
      <c r="F7447" t="s">
        <v>714</v>
      </c>
      <c r="G7447" t="s">
        <v>715</v>
      </c>
      <c r="H7447" t="s">
        <v>7992</v>
      </c>
      <c r="I7447">
        <v>26</v>
      </c>
      <c r="J7447">
        <v>0</v>
      </c>
      <c r="K7447">
        <v>0</v>
      </c>
      <c r="L7447">
        <v>26</v>
      </c>
      <c r="M7447">
        <v>0</v>
      </c>
      <c r="N7447">
        <v>0</v>
      </c>
      <c r="O7447">
        <v>0</v>
      </c>
    </row>
    <row r="7448" spans="1:15" x14ac:dyDescent="0.25">
      <c r="A7448" t="s">
        <v>11720</v>
      </c>
      <c r="B7448" t="s">
        <v>10718</v>
      </c>
      <c r="C7448" t="s">
        <v>927</v>
      </c>
      <c r="D7448" t="s">
        <v>3052</v>
      </c>
      <c r="E7448" t="s">
        <v>3053</v>
      </c>
      <c r="F7448" t="s">
        <v>714</v>
      </c>
      <c r="G7448" t="s">
        <v>715</v>
      </c>
      <c r="H7448" t="s">
        <v>15243</v>
      </c>
      <c r="I7448">
        <v>9</v>
      </c>
      <c r="J7448">
        <v>5</v>
      </c>
      <c r="K7448">
        <v>0</v>
      </c>
      <c r="L7448">
        <v>0</v>
      </c>
      <c r="M7448">
        <v>0</v>
      </c>
      <c r="N7448">
        <v>0</v>
      </c>
      <c r="O7448">
        <v>4</v>
      </c>
    </row>
    <row r="7449" spans="1:15" x14ac:dyDescent="0.25">
      <c r="A7449" t="s">
        <v>1684</v>
      </c>
      <c r="B7449" t="s">
        <v>2845</v>
      </c>
      <c r="C7449" t="s">
        <v>927</v>
      </c>
      <c r="D7449" t="s">
        <v>3052</v>
      </c>
      <c r="E7449" t="s">
        <v>3053</v>
      </c>
      <c r="F7449" t="s">
        <v>714</v>
      </c>
      <c r="G7449" t="s">
        <v>715</v>
      </c>
      <c r="H7449" t="s">
        <v>12355</v>
      </c>
      <c r="I7449">
        <v>1</v>
      </c>
      <c r="J7449">
        <v>0</v>
      </c>
      <c r="K7449">
        <v>0</v>
      </c>
      <c r="L7449">
        <v>0</v>
      </c>
      <c r="M7449">
        <v>0</v>
      </c>
      <c r="N7449">
        <v>0</v>
      </c>
      <c r="O7449">
        <v>1</v>
      </c>
    </row>
    <row r="7450" spans="1:15" x14ac:dyDescent="0.25">
      <c r="A7450" t="s">
        <v>971</v>
      </c>
      <c r="B7450" t="s">
        <v>2956</v>
      </c>
      <c r="C7450" t="s">
        <v>927</v>
      </c>
      <c r="D7450" t="s">
        <v>3052</v>
      </c>
      <c r="E7450" t="s">
        <v>3053</v>
      </c>
      <c r="F7450" t="s">
        <v>716</v>
      </c>
      <c r="G7450" t="s">
        <v>717</v>
      </c>
      <c r="H7450" t="s">
        <v>7993</v>
      </c>
      <c r="I7450">
        <v>243</v>
      </c>
      <c r="J7450">
        <v>157</v>
      </c>
      <c r="K7450">
        <v>0</v>
      </c>
      <c r="L7450">
        <v>0</v>
      </c>
      <c r="M7450">
        <v>54</v>
      </c>
      <c r="N7450">
        <v>0</v>
      </c>
      <c r="O7450">
        <v>32</v>
      </c>
    </row>
    <row r="7451" spans="1:15" x14ac:dyDescent="0.25">
      <c r="A7451" t="s">
        <v>926</v>
      </c>
      <c r="B7451" t="s">
        <v>2923</v>
      </c>
      <c r="C7451" t="s">
        <v>927</v>
      </c>
      <c r="D7451" t="s">
        <v>3052</v>
      </c>
      <c r="E7451" t="s">
        <v>3053</v>
      </c>
      <c r="F7451" t="s">
        <v>716</v>
      </c>
      <c r="G7451" t="s">
        <v>717</v>
      </c>
      <c r="H7451" t="s">
        <v>7994</v>
      </c>
      <c r="I7451">
        <v>11</v>
      </c>
      <c r="J7451">
        <v>0</v>
      </c>
      <c r="K7451">
        <v>0</v>
      </c>
      <c r="L7451">
        <v>10</v>
      </c>
      <c r="M7451">
        <v>0</v>
      </c>
      <c r="N7451">
        <v>0</v>
      </c>
      <c r="O7451">
        <v>1</v>
      </c>
    </row>
    <row r="7452" spans="1:15" x14ac:dyDescent="0.25">
      <c r="A7452" t="s">
        <v>929</v>
      </c>
      <c r="B7452" t="s">
        <v>2999</v>
      </c>
      <c r="C7452" t="s">
        <v>927</v>
      </c>
      <c r="D7452" t="s">
        <v>3052</v>
      </c>
      <c r="E7452" t="s">
        <v>3053</v>
      </c>
      <c r="F7452" t="s">
        <v>716</v>
      </c>
      <c r="G7452" t="s">
        <v>717</v>
      </c>
      <c r="H7452" t="s">
        <v>7995</v>
      </c>
      <c r="I7452">
        <v>42</v>
      </c>
      <c r="J7452">
        <v>0</v>
      </c>
      <c r="K7452">
        <v>0</v>
      </c>
      <c r="L7452">
        <v>0</v>
      </c>
      <c r="M7452">
        <v>42</v>
      </c>
      <c r="N7452">
        <v>0</v>
      </c>
      <c r="O7452">
        <v>0</v>
      </c>
    </row>
    <row r="7453" spans="1:15" x14ac:dyDescent="0.25">
      <c r="A7453" t="s">
        <v>933</v>
      </c>
      <c r="B7453" t="s">
        <v>2106</v>
      </c>
      <c r="C7453" t="s">
        <v>927</v>
      </c>
      <c r="D7453" t="s">
        <v>3052</v>
      </c>
      <c r="E7453" t="s">
        <v>3053</v>
      </c>
      <c r="F7453" t="s">
        <v>716</v>
      </c>
      <c r="G7453" t="s">
        <v>717</v>
      </c>
      <c r="H7453" t="s">
        <v>7997</v>
      </c>
      <c r="I7453">
        <v>44</v>
      </c>
      <c r="J7453">
        <v>9</v>
      </c>
      <c r="K7453">
        <v>0</v>
      </c>
      <c r="L7453">
        <v>0</v>
      </c>
      <c r="M7453">
        <v>0</v>
      </c>
      <c r="N7453">
        <v>0</v>
      </c>
      <c r="O7453">
        <v>35</v>
      </c>
    </row>
    <row r="7454" spans="1:15" x14ac:dyDescent="0.25">
      <c r="A7454" t="s">
        <v>992</v>
      </c>
      <c r="B7454" t="s">
        <v>3033</v>
      </c>
      <c r="C7454" t="s">
        <v>927</v>
      </c>
      <c r="D7454" t="s">
        <v>3052</v>
      </c>
      <c r="E7454" t="s">
        <v>3053</v>
      </c>
      <c r="F7454" t="s">
        <v>716</v>
      </c>
      <c r="G7454" t="s">
        <v>717</v>
      </c>
      <c r="H7454" t="s">
        <v>7998</v>
      </c>
      <c r="I7454">
        <v>100</v>
      </c>
      <c r="J7454">
        <v>80</v>
      </c>
      <c r="K7454">
        <v>0</v>
      </c>
      <c r="L7454">
        <v>0</v>
      </c>
      <c r="M7454">
        <v>0</v>
      </c>
      <c r="N7454">
        <v>0</v>
      </c>
      <c r="O7454">
        <v>20</v>
      </c>
    </row>
    <row r="7455" spans="1:15" x14ac:dyDescent="0.25">
      <c r="A7455" t="s">
        <v>997</v>
      </c>
      <c r="B7455" t="s">
        <v>2033</v>
      </c>
      <c r="C7455" t="s">
        <v>927</v>
      </c>
      <c r="D7455" t="s">
        <v>3052</v>
      </c>
      <c r="E7455" t="s">
        <v>3053</v>
      </c>
      <c r="F7455" t="s">
        <v>716</v>
      </c>
      <c r="G7455" t="s">
        <v>717</v>
      </c>
      <c r="H7455" t="s">
        <v>7999</v>
      </c>
      <c r="I7455">
        <v>131</v>
      </c>
      <c r="J7455">
        <v>96</v>
      </c>
      <c r="K7455">
        <v>0</v>
      </c>
      <c r="L7455">
        <v>0</v>
      </c>
      <c r="M7455">
        <v>0</v>
      </c>
      <c r="N7455">
        <v>0</v>
      </c>
      <c r="O7455">
        <v>35</v>
      </c>
    </row>
    <row r="7456" spans="1:15" x14ac:dyDescent="0.25">
      <c r="A7456" t="s">
        <v>10638</v>
      </c>
      <c r="B7456" t="s">
        <v>2057</v>
      </c>
      <c r="C7456" t="s">
        <v>927</v>
      </c>
      <c r="D7456" t="s">
        <v>3052</v>
      </c>
      <c r="E7456" t="s">
        <v>3053</v>
      </c>
      <c r="F7456" t="s">
        <v>716</v>
      </c>
      <c r="G7456" t="s">
        <v>717</v>
      </c>
      <c r="H7456" t="s">
        <v>11322</v>
      </c>
      <c r="I7456">
        <v>15</v>
      </c>
      <c r="J7456">
        <v>0</v>
      </c>
      <c r="K7456">
        <v>0</v>
      </c>
      <c r="L7456">
        <v>15</v>
      </c>
      <c r="M7456">
        <v>0</v>
      </c>
      <c r="N7456">
        <v>0</v>
      </c>
      <c r="O7456">
        <v>0</v>
      </c>
    </row>
    <row r="7457" spans="1:15" x14ac:dyDescent="0.25">
      <c r="A7457" t="s">
        <v>10647</v>
      </c>
      <c r="B7457" t="s">
        <v>10646</v>
      </c>
      <c r="C7457" t="s">
        <v>923</v>
      </c>
      <c r="D7457" t="s">
        <v>3063</v>
      </c>
      <c r="E7457" t="s">
        <v>3053</v>
      </c>
      <c r="F7457" t="s">
        <v>716</v>
      </c>
      <c r="G7457" t="s">
        <v>717</v>
      </c>
      <c r="H7457" t="s">
        <v>15244</v>
      </c>
      <c r="I7457">
        <v>21</v>
      </c>
      <c r="J7457">
        <v>21</v>
      </c>
      <c r="K7457">
        <v>0</v>
      </c>
      <c r="L7457">
        <v>0</v>
      </c>
      <c r="M7457">
        <v>0</v>
      </c>
      <c r="N7457">
        <v>0</v>
      </c>
      <c r="O7457">
        <v>0</v>
      </c>
    </row>
    <row r="7458" spans="1:15" x14ac:dyDescent="0.25">
      <c r="A7458" t="s">
        <v>937</v>
      </c>
      <c r="B7458" t="s">
        <v>1962</v>
      </c>
      <c r="C7458" t="s">
        <v>927</v>
      </c>
      <c r="D7458" t="s">
        <v>3052</v>
      </c>
      <c r="E7458" t="s">
        <v>3053</v>
      </c>
      <c r="F7458" t="s">
        <v>716</v>
      </c>
      <c r="G7458" t="s">
        <v>717</v>
      </c>
      <c r="H7458" t="s">
        <v>8000</v>
      </c>
      <c r="I7458">
        <v>18</v>
      </c>
      <c r="J7458">
        <v>0</v>
      </c>
      <c r="K7458">
        <v>0</v>
      </c>
      <c r="L7458">
        <v>0</v>
      </c>
      <c r="M7458">
        <v>0</v>
      </c>
      <c r="N7458">
        <v>0</v>
      </c>
      <c r="O7458">
        <v>18</v>
      </c>
    </row>
    <row r="7459" spans="1:15" x14ac:dyDescent="0.25">
      <c r="A7459" t="s">
        <v>940</v>
      </c>
      <c r="B7459" t="s">
        <v>2647</v>
      </c>
      <c r="C7459" t="s">
        <v>927</v>
      </c>
      <c r="D7459" t="s">
        <v>3052</v>
      </c>
      <c r="E7459" t="s">
        <v>3053</v>
      </c>
      <c r="F7459" t="s">
        <v>716</v>
      </c>
      <c r="G7459" t="s">
        <v>717</v>
      </c>
      <c r="H7459" t="s">
        <v>8001</v>
      </c>
      <c r="I7459">
        <v>24</v>
      </c>
      <c r="J7459">
        <v>0</v>
      </c>
      <c r="K7459">
        <v>0</v>
      </c>
      <c r="L7459">
        <v>0</v>
      </c>
      <c r="M7459">
        <v>24</v>
      </c>
      <c r="N7459">
        <v>0</v>
      </c>
      <c r="O7459">
        <v>0</v>
      </c>
    </row>
    <row r="7460" spans="1:15" x14ac:dyDescent="0.25">
      <c r="A7460" t="s">
        <v>1017</v>
      </c>
      <c r="B7460" t="s">
        <v>2671</v>
      </c>
      <c r="C7460" t="s">
        <v>923</v>
      </c>
      <c r="D7460" t="s">
        <v>3063</v>
      </c>
      <c r="E7460" t="s">
        <v>3053</v>
      </c>
      <c r="F7460" t="s">
        <v>716</v>
      </c>
      <c r="G7460" t="s">
        <v>717</v>
      </c>
      <c r="H7460" t="s">
        <v>8002</v>
      </c>
      <c r="I7460">
        <v>95</v>
      </c>
      <c r="J7460">
        <v>21</v>
      </c>
      <c r="K7460">
        <v>0</v>
      </c>
      <c r="L7460">
        <v>0</v>
      </c>
      <c r="M7460">
        <v>74</v>
      </c>
      <c r="N7460">
        <v>0</v>
      </c>
      <c r="O7460">
        <v>0</v>
      </c>
    </row>
    <row r="7461" spans="1:15" x14ac:dyDescent="0.25">
      <c r="A7461" t="s">
        <v>10667</v>
      </c>
      <c r="B7461" t="s">
        <v>10666</v>
      </c>
      <c r="C7461" t="s">
        <v>927</v>
      </c>
      <c r="D7461" t="s">
        <v>3052</v>
      </c>
      <c r="E7461" t="s">
        <v>3053</v>
      </c>
      <c r="F7461" t="s">
        <v>716</v>
      </c>
      <c r="G7461" t="s">
        <v>717</v>
      </c>
      <c r="H7461" t="s">
        <v>11323</v>
      </c>
      <c r="I7461">
        <v>14</v>
      </c>
      <c r="J7461">
        <v>14</v>
      </c>
      <c r="K7461">
        <v>0</v>
      </c>
      <c r="L7461">
        <v>0</v>
      </c>
      <c r="M7461">
        <v>0</v>
      </c>
      <c r="N7461">
        <v>0</v>
      </c>
      <c r="O7461">
        <v>0</v>
      </c>
    </row>
    <row r="7462" spans="1:15" x14ac:dyDescent="0.25">
      <c r="A7462" t="s">
        <v>1126</v>
      </c>
      <c r="B7462" t="s">
        <v>2130</v>
      </c>
      <c r="C7462" t="s">
        <v>927</v>
      </c>
      <c r="D7462" t="s">
        <v>3052</v>
      </c>
      <c r="E7462" t="s">
        <v>3053</v>
      </c>
      <c r="F7462" t="s">
        <v>716</v>
      </c>
      <c r="G7462" t="s">
        <v>717</v>
      </c>
      <c r="H7462" t="s">
        <v>10169</v>
      </c>
      <c r="I7462">
        <v>9</v>
      </c>
      <c r="J7462">
        <v>0</v>
      </c>
      <c r="K7462">
        <v>0</v>
      </c>
      <c r="L7462">
        <v>0</v>
      </c>
      <c r="M7462">
        <v>0</v>
      </c>
      <c r="N7462">
        <v>0</v>
      </c>
      <c r="O7462">
        <v>9</v>
      </c>
    </row>
    <row r="7463" spans="1:15" x14ac:dyDescent="0.25">
      <c r="A7463" t="s">
        <v>1022</v>
      </c>
      <c r="B7463" t="s">
        <v>2116</v>
      </c>
      <c r="C7463" t="s">
        <v>927</v>
      </c>
      <c r="D7463" t="s">
        <v>3052</v>
      </c>
      <c r="E7463" t="s">
        <v>3053</v>
      </c>
      <c r="F7463" t="s">
        <v>716</v>
      </c>
      <c r="G7463" t="s">
        <v>717</v>
      </c>
      <c r="H7463" t="s">
        <v>8003</v>
      </c>
      <c r="I7463">
        <v>7</v>
      </c>
      <c r="J7463">
        <v>5</v>
      </c>
      <c r="K7463">
        <v>0</v>
      </c>
      <c r="L7463">
        <v>0</v>
      </c>
      <c r="M7463">
        <v>0</v>
      </c>
      <c r="N7463">
        <v>0</v>
      </c>
      <c r="O7463">
        <v>2</v>
      </c>
    </row>
    <row r="7464" spans="1:15" x14ac:dyDescent="0.25">
      <c r="A7464" t="s">
        <v>1023</v>
      </c>
      <c r="B7464" t="s">
        <v>2803</v>
      </c>
      <c r="C7464" t="s">
        <v>923</v>
      </c>
      <c r="D7464" t="s">
        <v>3063</v>
      </c>
      <c r="E7464" t="s">
        <v>3053</v>
      </c>
      <c r="F7464" t="s">
        <v>716</v>
      </c>
      <c r="G7464" t="s">
        <v>717</v>
      </c>
      <c r="H7464" t="s">
        <v>8004</v>
      </c>
      <c r="I7464">
        <v>44</v>
      </c>
      <c r="J7464">
        <v>44</v>
      </c>
      <c r="K7464">
        <v>0</v>
      </c>
      <c r="L7464">
        <v>0</v>
      </c>
      <c r="M7464">
        <v>0</v>
      </c>
      <c r="N7464">
        <v>0</v>
      </c>
      <c r="O7464">
        <v>0</v>
      </c>
    </row>
    <row r="7465" spans="1:15" x14ac:dyDescent="0.25">
      <c r="A7465" t="s">
        <v>942</v>
      </c>
      <c r="B7465" t="s">
        <v>2113</v>
      </c>
      <c r="C7465" t="s">
        <v>927</v>
      </c>
      <c r="D7465" t="s">
        <v>3052</v>
      </c>
      <c r="E7465" t="s">
        <v>3053</v>
      </c>
      <c r="F7465" t="s">
        <v>716</v>
      </c>
      <c r="G7465" t="s">
        <v>717</v>
      </c>
      <c r="H7465" t="s">
        <v>8005</v>
      </c>
      <c r="I7465">
        <v>1</v>
      </c>
      <c r="J7465">
        <v>0</v>
      </c>
      <c r="K7465">
        <v>0</v>
      </c>
      <c r="L7465">
        <v>0</v>
      </c>
      <c r="M7465">
        <v>0</v>
      </c>
      <c r="N7465">
        <v>0</v>
      </c>
      <c r="O7465">
        <v>1</v>
      </c>
    </row>
    <row r="7466" spans="1:15" x14ac:dyDescent="0.25">
      <c r="A7466" t="s">
        <v>1025</v>
      </c>
      <c r="B7466" t="s">
        <v>2893</v>
      </c>
      <c r="C7466" t="s">
        <v>927</v>
      </c>
      <c r="D7466" t="s">
        <v>3052</v>
      </c>
      <c r="E7466" t="s">
        <v>3053</v>
      </c>
      <c r="F7466" t="s">
        <v>716</v>
      </c>
      <c r="G7466" t="s">
        <v>717</v>
      </c>
      <c r="H7466" t="s">
        <v>10194</v>
      </c>
      <c r="I7466">
        <v>1</v>
      </c>
      <c r="J7466">
        <v>0</v>
      </c>
      <c r="K7466">
        <v>0</v>
      </c>
      <c r="L7466">
        <v>0</v>
      </c>
      <c r="M7466">
        <v>0</v>
      </c>
      <c r="N7466">
        <v>0</v>
      </c>
      <c r="O7466">
        <v>1</v>
      </c>
    </row>
    <row r="7467" spans="1:15" x14ac:dyDescent="0.25">
      <c r="A7467" t="s">
        <v>1026</v>
      </c>
      <c r="B7467" t="s">
        <v>2848</v>
      </c>
      <c r="C7467" t="s">
        <v>927</v>
      </c>
      <c r="D7467" t="s">
        <v>3052</v>
      </c>
      <c r="E7467" t="s">
        <v>3053</v>
      </c>
      <c r="F7467" t="s">
        <v>716</v>
      </c>
      <c r="G7467" t="s">
        <v>717</v>
      </c>
      <c r="H7467" t="s">
        <v>8006</v>
      </c>
      <c r="I7467">
        <v>1172</v>
      </c>
      <c r="J7467">
        <v>894</v>
      </c>
      <c r="K7467">
        <v>0</v>
      </c>
      <c r="L7467">
        <v>4</v>
      </c>
      <c r="M7467">
        <v>0</v>
      </c>
      <c r="N7467">
        <v>3</v>
      </c>
      <c r="O7467">
        <v>274</v>
      </c>
    </row>
    <row r="7468" spans="1:15" x14ac:dyDescent="0.25">
      <c r="A7468" t="s">
        <v>10681</v>
      </c>
      <c r="B7468" t="s">
        <v>10680</v>
      </c>
      <c r="C7468" t="s">
        <v>927</v>
      </c>
      <c r="D7468" t="s">
        <v>3052</v>
      </c>
      <c r="E7468" t="s">
        <v>3053</v>
      </c>
      <c r="F7468" t="s">
        <v>716</v>
      </c>
      <c r="G7468" t="s">
        <v>717</v>
      </c>
      <c r="H7468" t="s">
        <v>15245</v>
      </c>
      <c r="I7468">
        <v>4</v>
      </c>
      <c r="J7468">
        <v>0</v>
      </c>
      <c r="K7468">
        <v>0</v>
      </c>
      <c r="L7468">
        <v>0</v>
      </c>
      <c r="M7468">
        <v>0</v>
      </c>
      <c r="N7468">
        <v>0</v>
      </c>
      <c r="O7468">
        <v>4</v>
      </c>
    </row>
    <row r="7469" spans="1:15" x14ac:dyDescent="0.25">
      <c r="A7469" t="s">
        <v>1031</v>
      </c>
      <c r="B7469" t="s">
        <v>2779</v>
      </c>
      <c r="C7469" t="s">
        <v>927</v>
      </c>
      <c r="D7469" t="s">
        <v>3052</v>
      </c>
      <c r="E7469" t="s">
        <v>3053</v>
      </c>
      <c r="F7469" t="s">
        <v>716</v>
      </c>
      <c r="G7469" t="s">
        <v>717</v>
      </c>
      <c r="H7469" t="s">
        <v>8007</v>
      </c>
      <c r="I7469">
        <v>272</v>
      </c>
      <c r="J7469">
        <v>235</v>
      </c>
      <c r="K7469">
        <v>0</v>
      </c>
      <c r="L7469">
        <v>6</v>
      </c>
      <c r="M7469">
        <v>0</v>
      </c>
      <c r="N7469">
        <v>0</v>
      </c>
      <c r="O7469">
        <v>31</v>
      </c>
    </row>
    <row r="7470" spans="1:15" x14ac:dyDescent="0.25">
      <c r="A7470" t="s">
        <v>1033</v>
      </c>
      <c r="B7470" t="s">
        <v>2039</v>
      </c>
      <c r="C7470" t="s">
        <v>923</v>
      </c>
      <c r="D7470" t="s">
        <v>3063</v>
      </c>
      <c r="E7470" t="s">
        <v>3053</v>
      </c>
      <c r="F7470" t="s">
        <v>716</v>
      </c>
      <c r="G7470" t="s">
        <v>717</v>
      </c>
      <c r="H7470" t="s">
        <v>8008</v>
      </c>
      <c r="I7470">
        <v>14</v>
      </c>
      <c r="J7470">
        <v>0</v>
      </c>
      <c r="K7470">
        <v>0</v>
      </c>
      <c r="L7470">
        <v>14</v>
      </c>
      <c r="M7470">
        <v>0</v>
      </c>
      <c r="N7470">
        <v>0</v>
      </c>
      <c r="O7470">
        <v>0</v>
      </c>
    </row>
    <row r="7471" spans="1:15" x14ac:dyDescent="0.25">
      <c r="A7471" t="s">
        <v>1038</v>
      </c>
      <c r="B7471" t="s">
        <v>2068</v>
      </c>
      <c r="C7471" t="s">
        <v>927</v>
      </c>
      <c r="D7471" t="s">
        <v>3052</v>
      </c>
      <c r="E7471" t="s">
        <v>3053</v>
      </c>
      <c r="F7471" t="s">
        <v>716</v>
      </c>
      <c r="G7471" t="s">
        <v>717</v>
      </c>
      <c r="H7471" t="s">
        <v>8009</v>
      </c>
      <c r="I7471">
        <v>367</v>
      </c>
      <c r="J7471">
        <v>197</v>
      </c>
      <c r="K7471">
        <v>0</v>
      </c>
      <c r="L7471">
        <v>12</v>
      </c>
      <c r="M7471">
        <v>68</v>
      </c>
      <c r="N7471">
        <v>0</v>
      </c>
      <c r="O7471">
        <v>90</v>
      </c>
    </row>
    <row r="7472" spans="1:15" x14ac:dyDescent="0.25">
      <c r="A7472" t="s">
        <v>1046</v>
      </c>
      <c r="B7472" t="s">
        <v>2027</v>
      </c>
      <c r="C7472" t="s">
        <v>923</v>
      </c>
      <c r="D7472" t="s">
        <v>3063</v>
      </c>
      <c r="E7472" t="s">
        <v>3053</v>
      </c>
      <c r="F7472" t="s">
        <v>716</v>
      </c>
      <c r="G7472" t="s">
        <v>717</v>
      </c>
      <c r="H7472" t="s">
        <v>8010</v>
      </c>
      <c r="I7472">
        <v>44</v>
      </c>
      <c r="J7472">
        <v>0</v>
      </c>
      <c r="K7472">
        <v>0</v>
      </c>
      <c r="L7472">
        <v>44</v>
      </c>
      <c r="M7472">
        <v>0</v>
      </c>
      <c r="N7472">
        <v>0</v>
      </c>
      <c r="O7472">
        <v>0</v>
      </c>
    </row>
    <row r="7473" spans="1:15" x14ac:dyDescent="0.25">
      <c r="A7473" t="s">
        <v>951</v>
      </c>
      <c r="B7473" t="s">
        <v>2680</v>
      </c>
      <c r="C7473" t="s">
        <v>927</v>
      </c>
      <c r="D7473" t="s">
        <v>3052</v>
      </c>
      <c r="E7473" t="s">
        <v>3053</v>
      </c>
      <c r="F7473" t="s">
        <v>716</v>
      </c>
      <c r="G7473" t="s">
        <v>717</v>
      </c>
      <c r="H7473" t="s">
        <v>8011</v>
      </c>
      <c r="I7473">
        <v>14</v>
      </c>
      <c r="J7473">
        <v>14</v>
      </c>
      <c r="K7473">
        <v>0</v>
      </c>
      <c r="L7473">
        <v>0</v>
      </c>
      <c r="M7473">
        <v>0</v>
      </c>
      <c r="N7473">
        <v>0</v>
      </c>
      <c r="O7473">
        <v>0</v>
      </c>
    </row>
    <row r="7474" spans="1:15" x14ac:dyDescent="0.25">
      <c r="A7474" t="s">
        <v>1048</v>
      </c>
      <c r="B7474" t="s">
        <v>2989</v>
      </c>
      <c r="C7474" t="s">
        <v>927</v>
      </c>
      <c r="D7474" t="s">
        <v>3052</v>
      </c>
      <c r="E7474" t="s">
        <v>3053</v>
      </c>
      <c r="F7474" t="s">
        <v>716</v>
      </c>
      <c r="G7474" t="s">
        <v>717</v>
      </c>
      <c r="H7474" t="s">
        <v>12356</v>
      </c>
      <c r="I7474">
        <v>87</v>
      </c>
      <c r="J7474">
        <v>82</v>
      </c>
      <c r="K7474">
        <v>0</v>
      </c>
      <c r="L7474">
        <v>0</v>
      </c>
      <c r="M7474">
        <v>0</v>
      </c>
      <c r="N7474">
        <v>0</v>
      </c>
      <c r="O7474">
        <v>5</v>
      </c>
    </row>
    <row r="7475" spans="1:15" x14ac:dyDescent="0.25">
      <c r="A7475" t="s">
        <v>1049</v>
      </c>
      <c r="B7475" t="s">
        <v>2138</v>
      </c>
      <c r="C7475" t="s">
        <v>927</v>
      </c>
      <c r="D7475" t="s">
        <v>3052</v>
      </c>
      <c r="E7475" t="s">
        <v>3053</v>
      </c>
      <c r="F7475" t="s">
        <v>716</v>
      </c>
      <c r="G7475" t="s">
        <v>717</v>
      </c>
      <c r="H7475" t="s">
        <v>8012</v>
      </c>
      <c r="I7475">
        <v>198</v>
      </c>
      <c r="J7475">
        <v>119</v>
      </c>
      <c r="K7475">
        <v>0</v>
      </c>
      <c r="L7475">
        <v>0</v>
      </c>
      <c r="M7475">
        <v>0</v>
      </c>
      <c r="N7475">
        <v>0</v>
      </c>
      <c r="O7475">
        <v>79</v>
      </c>
    </row>
    <row r="7476" spans="1:15" x14ac:dyDescent="0.25">
      <c r="A7476" t="s">
        <v>1051</v>
      </c>
      <c r="B7476" t="s">
        <v>2995</v>
      </c>
      <c r="C7476" t="s">
        <v>927</v>
      </c>
      <c r="D7476" t="s">
        <v>3052</v>
      </c>
      <c r="E7476" t="s">
        <v>3053</v>
      </c>
      <c r="F7476" t="s">
        <v>716</v>
      </c>
      <c r="G7476" t="s">
        <v>717</v>
      </c>
      <c r="H7476" t="s">
        <v>8013</v>
      </c>
      <c r="I7476">
        <v>34</v>
      </c>
      <c r="J7476">
        <v>0</v>
      </c>
      <c r="K7476">
        <v>0</v>
      </c>
      <c r="L7476">
        <v>34</v>
      </c>
      <c r="M7476">
        <v>0</v>
      </c>
      <c r="N7476">
        <v>0</v>
      </c>
      <c r="O7476">
        <v>0</v>
      </c>
    </row>
    <row r="7477" spans="1:15" x14ac:dyDescent="0.25">
      <c r="A7477" t="s">
        <v>11720</v>
      </c>
      <c r="B7477" t="s">
        <v>10718</v>
      </c>
      <c r="C7477" t="s">
        <v>927</v>
      </c>
      <c r="D7477" t="s">
        <v>3052</v>
      </c>
      <c r="E7477" t="s">
        <v>3053</v>
      </c>
      <c r="F7477" t="s">
        <v>716</v>
      </c>
      <c r="G7477" t="s">
        <v>717</v>
      </c>
      <c r="H7477" t="s">
        <v>15246</v>
      </c>
      <c r="I7477">
        <v>21</v>
      </c>
      <c r="J7477">
        <v>2</v>
      </c>
      <c r="K7477">
        <v>0</v>
      </c>
      <c r="L7477">
        <v>0</v>
      </c>
      <c r="M7477">
        <v>0</v>
      </c>
      <c r="N7477">
        <v>0</v>
      </c>
      <c r="O7477">
        <v>19</v>
      </c>
    </row>
    <row r="7478" spans="1:15" x14ac:dyDescent="0.25">
      <c r="A7478" t="s">
        <v>9788</v>
      </c>
      <c r="B7478" t="s">
        <v>9871</v>
      </c>
      <c r="C7478" t="s">
        <v>927</v>
      </c>
      <c r="D7478" t="s">
        <v>3052</v>
      </c>
      <c r="E7478" t="s">
        <v>3053</v>
      </c>
      <c r="F7478" t="s">
        <v>716</v>
      </c>
      <c r="G7478" t="s">
        <v>717</v>
      </c>
      <c r="H7478" t="s">
        <v>10374</v>
      </c>
      <c r="I7478">
        <v>40</v>
      </c>
      <c r="J7478">
        <v>40</v>
      </c>
      <c r="K7478">
        <v>0</v>
      </c>
      <c r="L7478">
        <v>0</v>
      </c>
      <c r="M7478">
        <v>0</v>
      </c>
      <c r="N7478">
        <v>0</v>
      </c>
      <c r="O7478">
        <v>0</v>
      </c>
    </row>
    <row r="7479" spans="1:15" x14ac:dyDescent="0.25">
      <c r="A7479" t="s">
        <v>955</v>
      </c>
      <c r="B7479" t="s">
        <v>2660</v>
      </c>
      <c r="C7479" t="s">
        <v>927</v>
      </c>
      <c r="D7479" t="s">
        <v>3052</v>
      </c>
      <c r="E7479" t="s">
        <v>3053</v>
      </c>
      <c r="F7479" t="s">
        <v>716</v>
      </c>
      <c r="G7479" t="s">
        <v>717</v>
      </c>
      <c r="H7479" t="s">
        <v>8014</v>
      </c>
      <c r="I7479">
        <v>16</v>
      </c>
      <c r="J7479">
        <v>10</v>
      </c>
      <c r="K7479">
        <v>0</v>
      </c>
      <c r="L7479">
        <v>0</v>
      </c>
      <c r="M7479">
        <v>0</v>
      </c>
      <c r="N7479">
        <v>0</v>
      </c>
      <c r="O7479">
        <v>6</v>
      </c>
    </row>
    <row r="7480" spans="1:15" x14ac:dyDescent="0.25">
      <c r="A7480" t="s">
        <v>14374</v>
      </c>
      <c r="B7480" t="s">
        <v>1943</v>
      </c>
      <c r="C7480" t="s">
        <v>927</v>
      </c>
      <c r="D7480" t="s">
        <v>3052</v>
      </c>
      <c r="E7480" t="s">
        <v>3053</v>
      </c>
      <c r="F7480" t="s">
        <v>716</v>
      </c>
      <c r="G7480" t="s">
        <v>717</v>
      </c>
      <c r="H7480" t="s">
        <v>15247</v>
      </c>
      <c r="I7480">
        <v>29</v>
      </c>
      <c r="J7480">
        <v>0</v>
      </c>
      <c r="K7480">
        <v>0</v>
      </c>
      <c r="L7480">
        <v>0</v>
      </c>
      <c r="M7480">
        <v>0</v>
      </c>
      <c r="N7480">
        <v>0</v>
      </c>
      <c r="O7480">
        <v>29</v>
      </c>
    </row>
    <row r="7481" spans="1:15" x14ac:dyDescent="0.25">
      <c r="A7481" t="s">
        <v>981</v>
      </c>
      <c r="B7481" t="s">
        <v>2985</v>
      </c>
      <c r="C7481" t="s">
        <v>927</v>
      </c>
      <c r="D7481" t="s">
        <v>3052</v>
      </c>
      <c r="E7481" t="s">
        <v>3053</v>
      </c>
      <c r="F7481" t="s">
        <v>716</v>
      </c>
      <c r="G7481" t="s">
        <v>717</v>
      </c>
      <c r="H7481" t="s">
        <v>7996</v>
      </c>
      <c r="I7481">
        <v>1</v>
      </c>
      <c r="J7481">
        <v>0</v>
      </c>
      <c r="K7481">
        <v>0</v>
      </c>
      <c r="L7481">
        <v>0</v>
      </c>
      <c r="M7481">
        <v>0</v>
      </c>
      <c r="N7481">
        <v>0</v>
      </c>
      <c r="O7481">
        <v>1</v>
      </c>
    </row>
    <row r="7482" spans="1:15" x14ac:dyDescent="0.25">
      <c r="A7482" t="s">
        <v>929</v>
      </c>
      <c r="B7482" t="s">
        <v>2999</v>
      </c>
      <c r="C7482" t="s">
        <v>927</v>
      </c>
      <c r="D7482" t="s">
        <v>3052</v>
      </c>
      <c r="E7482" t="s">
        <v>3053</v>
      </c>
      <c r="F7482" t="s">
        <v>718</v>
      </c>
      <c r="G7482" t="s">
        <v>719</v>
      </c>
      <c r="H7482" t="s">
        <v>8015</v>
      </c>
      <c r="I7482">
        <v>96</v>
      </c>
      <c r="J7482">
        <v>0</v>
      </c>
      <c r="K7482">
        <v>0</v>
      </c>
      <c r="L7482">
        <v>0</v>
      </c>
      <c r="M7482">
        <v>96</v>
      </c>
      <c r="N7482">
        <v>0</v>
      </c>
      <c r="O7482">
        <v>0</v>
      </c>
    </row>
    <row r="7483" spans="1:15" x14ac:dyDescent="0.25">
      <c r="A7483" t="s">
        <v>1099</v>
      </c>
      <c r="B7483" t="s">
        <v>2641</v>
      </c>
      <c r="C7483" t="s">
        <v>927</v>
      </c>
      <c r="D7483" t="s">
        <v>3052</v>
      </c>
      <c r="E7483" t="s">
        <v>3053</v>
      </c>
      <c r="F7483" t="s">
        <v>718</v>
      </c>
      <c r="G7483" t="s">
        <v>719</v>
      </c>
      <c r="H7483" t="s">
        <v>8016</v>
      </c>
      <c r="I7483">
        <v>309</v>
      </c>
      <c r="J7483">
        <v>172</v>
      </c>
      <c r="K7483">
        <v>0</v>
      </c>
      <c r="L7483">
        <v>0</v>
      </c>
      <c r="M7483">
        <v>97</v>
      </c>
      <c r="N7483">
        <v>0</v>
      </c>
      <c r="O7483">
        <v>40</v>
      </c>
    </row>
    <row r="7484" spans="1:15" x14ac:dyDescent="0.25">
      <c r="A7484" t="s">
        <v>933</v>
      </c>
      <c r="B7484" t="s">
        <v>2106</v>
      </c>
      <c r="C7484" t="s">
        <v>927</v>
      </c>
      <c r="D7484" t="s">
        <v>3052</v>
      </c>
      <c r="E7484" t="s">
        <v>3053</v>
      </c>
      <c r="F7484" t="s">
        <v>718</v>
      </c>
      <c r="G7484" t="s">
        <v>719</v>
      </c>
      <c r="H7484" t="s">
        <v>8017</v>
      </c>
      <c r="I7484">
        <v>374</v>
      </c>
      <c r="J7484">
        <v>250</v>
      </c>
      <c r="K7484">
        <v>0</v>
      </c>
      <c r="L7484">
        <v>8</v>
      </c>
      <c r="M7484">
        <v>37</v>
      </c>
      <c r="N7484">
        <v>0</v>
      </c>
      <c r="O7484">
        <v>79</v>
      </c>
    </row>
    <row r="7485" spans="1:15" x14ac:dyDescent="0.25">
      <c r="A7485" t="s">
        <v>1113</v>
      </c>
      <c r="B7485" t="s">
        <v>1953</v>
      </c>
      <c r="C7485" t="s">
        <v>927</v>
      </c>
      <c r="D7485" t="s">
        <v>3052</v>
      </c>
      <c r="E7485" t="s">
        <v>3053</v>
      </c>
      <c r="F7485" t="s">
        <v>718</v>
      </c>
      <c r="G7485" t="s">
        <v>719</v>
      </c>
      <c r="H7485" t="s">
        <v>8018</v>
      </c>
      <c r="I7485">
        <v>1127</v>
      </c>
      <c r="J7485">
        <v>944</v>
      </c>
      <c r="K7485">
        <v>0</v>
      </c>
      <c r="L7485">
        <v>0</v>
      </c>
      <c r="M7485">
        <v>0</v>
      </c>
      <c r="N7485">
        <v>22</v>
      </c>
      <c r="O7485">
        <v>183</v>
      </c>
    </row>
    <row r="7486" spans="1:15" x14ac:dyDescent="0.25">
      <c r="A7486" t="s">
        <v>1010</v>
      </c>
      <c r="B7486" t="s">
        <v>2639</v>
      </c>
      <c r="C7486" t="s">
        <v>927</v>
      </c>
      <c r="D7486" t="s">
        <v>3052</v>
      </c>
      <c r="E7486" t="s">
        <v>3053</v>
      </c>
      <c r="F7486" t="s">
        <v>718</v>
      </c>
      <c r="G7486" t="s">
        <v>719</v>
      </c>
      <c r="H7486" t="s">
        <v>8019</v>
      </c>
      <c r="I7486">
        <v>123</v>
      </c>
      <c r="J7486">
        <v>104</v>
      </c>
      <c r="K7486">
        <v>0</v>
      </c>
      <c r="L7486">
        <v>0</v>
      </c>
      <c r="M7486">
        <v>0</v>
      </c>
      <c r="N7486">
        <v>0</v>
      </c>
      <c r="O7486">
        <v>19</v>
      </c>
    </row>
    <row r="7487" spans="1:15" x14ac:dyDescent="0.25">
      <c r="A7487" t="s">
        <v>937</v>
      </c>
      <c r="B7487" t="s">
        <v>1962</v>
      </c>
      <c r="C7487" t="s">
        <v>927</v>
      </c>
      <c r="D7487" t="s">
        <v>3052</v>
      </c>
      <c r="E7487" t="s">
        <v>3053</v>
      </c>
      <c r="F7487" t="s">
        <v>718</v>
      </c>
      <c r="G7487" t="s">
        <v>719</v>
      </c>
      <c r="H7487" t="s">
        <v>8020</v>
      </c>
      <c r="I7487">
        <v>26</v>
      </c>
      <c r="J7487">
        <v>0</v>
      </c>
      <c r="K7487">
        <v>0</v>
      </c>
      <c r="L7487">
        <v>0</v>
      </c>
      <c r="M7487">
        <v>0</v>
      </c>
      <c r="N7487">
        <v>0</v>
      </c>
      <c r="O7487">
        <v>26</v>
      </c>
    </row>
    <row r="7488" spans="1:15" x14ac:dyDescent="0.25">
      <c r="A7488" t="s">
        <v>938</v>
      </c>
      <c r="B7488" t="s">
        <v>2791</v>
      </c>
      <c r="C7488" t="s">
        <v>927</v>
      </c>
      <c r="D7488" t="s">
        <v>3052</v>
      </c>
      <c r="E7488" t="s">
        <v>3053</v>
      </c>
      <c r="F7488" t="s">
        <v>718</v>
      </c>
      <c r="G7488" t="s">
        <v>719</v>
      </c>
      <c r="H7488" t="s">
        <v>8021</v>
      </c>
      <c r="I7488">
        <v>19</v>
      </c>
      <c r="J7488">
        <v>0</v>
      </c>
      <c r="K7488">
        <v>0</v>
      </c>
      <c r="L7488">
        <v>19</v>
      </c>
      <c r="M7488">
        <v>0</v>
      </c>
      <c r="N7488">
        <v>0</v>
      </c>
      <c r="O7488">
        <v>0</v>
      </c>
    </row>
    <row r="7489" spans="1:15" x14ac:dyDescent="0.25">
      <c r="A7489" t="s">
        <v>940</v>
      </c>
      <c r="B7489" t="s">
        <v>2647</v>
      </c>
      <c r="C7489" t="s">
        <v>927</v>
      </c>
      <c r="D7489" t="s">
        <v>3052</v>
      </c>
      <c r="E7489" t="s">
        <v>3053</v>
      </c>
      <c r="F7489" t="s">
        <v>718</v>
      </c>
      <c r="G7489" t="s">
        <v>719</v>
      </c>
      <c r="H7489" t="s">
        <v>8022</v>
      </c>
      <c r="I7489">
        <v>34</v>
      </c>
      <c r="J7489">
        <v>0</v>
      </c>
      <c r="K7489">
        <v>0</v>
      </c>
      <c r="L7489">
        <v>0</v>
      </c>
      <c r="M7489">
        <v>34</v>
      </c>
      <c r="N7489">
        <v>0</v>
      </c>
      <c r="O7489">
        <v>0</v>
      </c>
    </row>
    <row r="7490" spans="1:15" x14ac:dyDescent="0.25">
      <c r="A7490" t="s">
        <v>1126</v>
      </c>
      <c r="B7490" t="s">
        <v>2130</v>
      </c>
      <c r="C7490" t="s">
        <v>927</v>
      </c>
      <c r="D7490" t="s">
        <v>3052</v>
      </c>
      <c r="E7490" t="s">
        <v>3053</v>
      </c>
      <c r="F7490" t="s">
        <v>718</v>
      </c>
      <c r="G7490" t="s">
        <v>719</v>
      </c>
      <c r="H7490" t="s">
        <v>15248</v>
      </c>
      <c r="I7490">
        <v>21</v>
      </c>
      <c r="J7490">
        <v>21</v>
      </c>
      <c r="K7490">
        <v>0</v>
      </c>
      <c r="L7490">
        <v>0</v>
      </c>
      <c r="M7490">
        <v>0</v>
      </c>
      <c r="N7490">
        <v>0</v>
      </c>
      <c r="O7490">
        <v>0</v>
      </c>
    </row>
    <row r="7491" spans="1:15" x14ac:dyDescent="0.25">
      <c r="A7491" t="s">
        <v>10681</v>
      </c>
      <c r="B7491" t="s">
        <v>10680</v>
      </c>
      <c r="C7491" t="s">
        <v>927</v>
      </c>
      <c r="D7491" t="s">
        <v>3052</v>
      </c>
      <c r="E7491" t="s">
        <v>3053</v>
      </c>
      <c r="F7491" t="s">
        <v>718</v>
      </c>
      <c r="G7491" t="s">
        <v>719</v>
      </c>
      <c r="H7491" t="s">
        <v>15249</v>
      </c>
      <c r="I7491">
        <v>9</v>
      </c>
      <c r="J7491">
        <v>0</v>
      </c>
      <c r="K7491">
        <v>0</v>
      </c>
      <c r="L7491">
        <v>0</v>
      </c>
      <c r="M7491">
        <v>0</v>
      </c>
      <c r="N7491">
        <v>0</v>
      </c>
      <c r="O7491">
        <v>9</v>
      </c>
    </row>
    <row r="7492" spans="1:15" x14ac:dyDescent="0.25">
      <c r="A7492" t="s">
        <v>1041</v>
      </c>
      <c r="B7492" t="s">
        <v>2826</v>
      </c>
      <c r="C7492" t="s">
        <v>927</v>
      </c>
      <c r="D7492" t="s">
        <v>3052</v>
      </c>
      <c r="E7492" t="s">
        <v>3053</v>
      </c>
      <c r="F7492" t="s">
        <v>718</v>
      </c>
      <c r="G7492" t="s">
        <v>719</v>
      </c>
      <c r="H7492" t="s">
        <v>8023</v>
      </c>
      <c r="I7492">
        <v>187</v>
      </c>
      <c r="J7492">
        <v>2</v>
      </c>
      <c r="K7492">
        <v>0</v>
      </c>
      <c r="L7492">
        <v>0</v>
      </c>
      <c r="M7492">
        <v>0</v>
      </c>
      <c r="N7492">
        <v>0</v>
      </c>
      <c r="O7492">
        <v>185</v>
      </c>
    </row>
    <row r="7493" spans="1:15" x14ac:dyDescent="0.25">
      <c r="A7493" t="s">
        <v>9787</v>
      </c>
      <c r="B7493" t="s">
        <v>2822</v>
      </c>
      <c r="C7493" t="s">
        <v>927</v>
      </c>
      <c r="D7493" t="s">
        <v>3052</v>
      </c>
      <c r="E7493" t="s">
        <v>3053</v>
      </c>
      <c r="F7493" t="s">
        <v>718</v>
      </c>
      <c r="G7493" t="s">
        <v>719</v>
      </c>
      <c r="H7493" t="s">
        <v>10280</v>
      </c>
      <c r="I7493">
        <v>570</v>
      </c>
      <c r="J7493">
        <v>521</v>
      </c>
      <c r="K7493">
        <v>0</v>
      </c>
      <c r="L7493">
        <v>12</v>
      </c>
      <c r="M7493">
        <v>37</v>
      </c>
      <c r="N7493">
        <v>1</v>
      </c>
      <c r="O7493">
        <v>0</v>
      </c>
    </row>
    <row r="7494" spans="1:15" x14ac:dyDescent="0.25">
      <c r="A7494" t="s">
        <v>1141</v>
      </c>
      <c r="B7494" t="s">
        <v>2642</v>
      </c>
      <c r="C7494" t="s">
        <v>927</v>
      </c>
      <c r="D7494" t="s">
        <v>3052</v>
      </c>
      <c r="E7494" t="s">
        <v>3053</v>
      </c>
      <c r="F7494" t="s">
        <v>718</v>
      </c>
      <c r="G7494" t="s">
        <v>719</v>
      </c>
      <c r="H7494" t="s">
        <v>8024</v>
      </c>
      <c r="I7494">
        <v>56</v>
      </c>
      <c r="J7494">
        <v>43</v>
      </c>
      <c r="K7494">
        <v>0</v>
      </c>
      <c r="L7494">
        <v>9</v>
      </c>
      <c r="M7494">
        <v>0</v>
      </c>
      <c r="N7494">
        <v>0</v>
      </c>
      <c r="O7494">
        <v>4</v>
      </c>
    </row>
    <row r="7495" spans="1:15" x14ac:dyDescent="0.25">
      <c r="A7495" t="s">
        <v>951</v>
      </c>
      <c r="B7495" t="s">
        <v>2680</v>
      </c>
      <c r="C7495" t="s">
        <v>927</v>
      </c>
      <c r="D7495" t="s">
        <v>3052</v>
      </c>
      <c r="E7495" t="s">
        <v>3053</v>
      </c>
      <c r="F7495" t="s">
        <v>718</v>
      </c>
      <c r="G7495" t="s">
        <v>719</v>
      </c>
      <c r="H7495" t="s">
        <v>8025</v>
      </c>
      <c r="I7495">
        <v>214</v>
      </c>
      <c r="J7495">
        <v>200</v>
      </c>
      <c r="K7495">
        <v>0</v>
      </c>
      <c r="L7495">
        <v>5</v>
      </c>
      <c r="M7495">
        <v>0</v>
      </c>
      <c r="N7495">
        <v>0</v>
      </c>
      <c r="O7495">
        <v>9</v>
      </c>
    </row>
    <row r="7496" spans="1:15" x14ac:dyDescent="0.25">
      <c r="A7496" t="s">
        <v>1048</v>
      </c>
      <c r="B7496" t="s">
        <v>2989</v>
      </c>
      <c r="C7496" t="s">
        <v>927</v>
      </c>
      <c r="D7496" t="s">
        <v>3052</v>
      </c>
      <c r="E7496" t="s">
        <v>3053</v>
      </c>
      <c r="F7496" t="s">
        <v>718</v>
      </c>
      <c r="G7496" t="s">
        <v>719</v>
      </c>
      <c r="H7496" t="s">
        <v>12357</v>
      </c>
      <c r="I7496">
        <v>383</v>
      </c>
      <c r="J7496">
        <v>303</v>
      </c>
      <c r="K7496">
        <v>0</v>
      </c>
      <c r="L7496">
        <v>0</v>
      </c>
      <c r="M7496">
        <v>35</v>
      </c>
      <c r="N7496">
        <v>0</v>
      </c>
      <c r="O7496">
        <v>45</v>
      </c>
    </row>
    <row r="7497" spans="1:15" x14ac:dyDescent="0.25">
      <c r="A7497" t="s">
        <v>1051</v>
      </c>
      <c r="B7497" t="s">
        <v>2995</v>
      </c>
      <c r="C7497" t="s">
        <v>927</v>
      </c>
      <c r="D7497" t="s">
        <v>3052</v>
      </c>
      <c r="E7497" t="s">
        <v>3053</v>
      </c>
      <c r="F7497" t="s">
        <v>718</v>
      </c>
      <c r="G7497" t="s">
        <v>719</v>
      </c>
      <c r="H7497" t="s">
        <v>8026</v>
      </c>
      <c r="I7497">
        <v>20</v>
      </c>
      <c r="J7497">
        <v>0</v>
      </c>
      <c r="K7497">
        <v>0</v>
      </c>
      <c r="L7497">
        <v>20</v>
      </c>
      <c r="M7497">
        <v>0</v>
      </c>
      <c r="N7497">
        <v>0</v>
      </c>
      <c r="O7497">
        <v>0</v>
      </c>
    </row>
    <row r="7498" spans="1:15" x14ac:dyDescent="0.25">
      <c r="A7498" t="s">
        <v>1152</v>
      </c>
      <c r="B7498" t="s">
        <v>3031</v>
      </c>
      <c r="C7498" t="s">
        <v>927</v>
      </c>
      <c r="D7498" t="s">
        <v>3052</v>
      </c>
      <c r="E7498" t="s">
        <v>3053</v>
      </c>
      <c r="F7498" t="s">
        <v>718</v>
      </c>
      <c r="G7498" t="s">
        <v>719</v>
      </c>
      <c r="H7498" t="s">
        <v>8027</v>
      </c>
      <c r="I7498">
        <v>4986</v>
      </c>
      <c r="J7498">
        <v>4289</v>
      </c>
      <c r="K7498">
        <v>0</v>
      </c>
      <c r="L7498">
        <v>15</v>
      </c>
      <c r="M7498">
        <v>457</v>
      </c>
      <c r="N7498">
        <v>44</v>
      </c>
      <c r="O7498">
        <v>225</v>
      </c>
    </row>
    <row r="7499" spans="1:15" x14ac:dyDescent="0.25">
      <c r="A7499" t="s">
        <v>11720</v>
      </c>
      <c r="B7499" t="s">
        <v>10718</v>
      </c>
      <c r="C7499" t="s">
        <v>927</v>
      </c>
      <c r="D7499" t="s">
        <v>3052</v>
      </c>
      <c r="E7499" t="s">
        <v>3053</v>
      </c>
      <c r="F7499" t="s">
        <v>718</v>
      </c>
      <c r="G7499" t="s">
        <v>719</v>
      </c>
      <c r="H7499" t="s">
        <v>15250</v>
      </c>
      <c r="I7499">
        <v>83</v>
      </c>
      <c r="J7499">
        <v>52</v>
      </c>
      <c r="K7499">
        <v>0</v>
      </c>
      <c r="L7499">
        <v>0</v>
      </c>
      <c r="M7499">
        <v>0</v>
      </c>
      <c r="N7499">
        <v>0</v>
      </c>
      <c r="O7499">
        <v>31</v>
      </c>
    </row>
    <row r="7500" spans="1:15" x14ac:dyDescent="0.25">
      <c r="A7500" t="s">
        <v>9788</v>
      </c>
      <c r="B7500" t="s">
        <v>9871</v>
      </c>
      <c r="C7500" t="s">
        <v>927</v>
      </c>
      <c r="D7500" t="s">
        <v>3052</v>
      </c>
      <c r="E7500" t="s">
        <v>3053</v>
      </c>
      <c r="F7500" t="s">
        <v>718</v>
      </c>
      <c r="G7500" t="s">
        <v>719</v>
      </c>
      <c r="H7500" t="s">
        <v>10375</v>
      </c>
      <c r="I7500">
        <v>85</v>
      </c>
      <c r="J7500">
        <v>85</v>
      </c>
      <c r="K7500">
        <v>0</v>
      </c>
      <c r="L7500">
        <v>0</v>
      </c>
      <c r="M7500">
        <v>0</v>
      </c>
      <c r="N7500">
        <v>0</v>
      </c>
      <c r="O7500">
        <v>0</v>
      </c>
    </row>
    <row r="7501" spans="1:15" x14ac:dyDescent="0.25">
      <c r="A7501" t="s">
        <v>1057</v>
      </c>
      <c r="B7501" t="s">
        <v>1972</v>
      </c>
      <c r="C7501" t="s">
        <v>927</v>
      </c>
      <c r="D7501" t="s">
        <v>3052</v>
      </c>
      <c r="E7501" t="s">
        <v>3053</v>
      </c>
      <c r="F7501" t="s">
        <v>718</v>
      </c>
      <c r="G7501" t="s">
        <v>719</v>
      </c>
      <c r="H7501" t="s">
        <v>8028</v>
      </c>
      <c r="I7501">
        <v>61</v>
      </c>
      <c r="J7501">
        <v>0</v>
      </c>
      <c r="K7501">
        <v>0</v>
      </c>
      <c r="L7501">
        <v>61</v>
      </c>
      <c r="M7501">
        <v>0</v>
      </c>
      <c r="N7501">
        <v>0</v>
      </c>
      <c r="O7501">
        <v>0</v>
      </c>
    </row>
    <row r="7502" spans="1:15" x14ac:dyDescent="0.25">
      <c r="A7502" t="s">
        <v>955</v>
      </c>
      <c r="B7502" t="s">
        <v>2660</v>
      </c>
      <c r="C7502" t="s">
        <v>927</v>
      </c>
      <c r="D7502" t="s">
        <v>3052</v>
      </c>
      <c r="E7502" t="s">
        <v>3053</v>
      </c>
      <c r="F7502" t="s">
        <v>718</v>
      </c>
      <c r="G7502" t="s">
        <v>719</v>
      </c>
      <c r="H7502" t="s">
        <v>8029</v>
      </c>
      <c r="I7502">
        <v>21</v>
      </c>
      <c r="J7502">
        <v>21</v>
      </c>
      <c r="K7502">
        <v>0</v>
      </c>
      <c r="L7502">
        <v>0</v>
      </c>
      <c r="M7502">
        <v>0</v>
      </c>
      <c r="N7502">
        <v>0</v>
      </c>
      <c r="O7502">
        <v>0</v>
      </c>
    </row>
    <row r="7503" spans="1:15" x14ac:dyDescent="0.25">
      <c r="A7503" t="s">
        <v>9795</v>
      </c>
      <c r="B7503" t="s">
        <v>1982</v>
      </c>
      <c r="C7503" t="s">
        <v>923</v>
      </c>
      <c r="D7503" t="s">
        <v>3063</v>
      </c>
      <c r="E7503" t="s">
        <v>3053</v>
      </c>
      <c r="F7503" t="s">
        <v>718</v>
      </c>
      <c r="G7503" t="s">
        <v>719</v>
      </c>
      <c r="H7503" t="s">
        <v>10418</v>
      </c>
      <c r="I7503">
        <v>53</v>
      </c>
      <c r="J7503">
        <v>4</v>
      </c>
      <c r="K7503">
        <v>0</v>
      </c>
      <c r="L7503">
        <v>49</v>
      </c>
      <c r="M7503">
        <v>0</v>
      </c>
      <c r="N7503">
        <v>12</v>
      </c>
      <c r="O7503">
        <v>0</v>
      </c>
    </row>
    <row r="7504" spans="1:15" x14ac:dyDescent="0.25">
      <c r="A7504" t="s">
        <v>14374</v>
      </c>
      <c r="B7504" t="s">
        <v>1943</v>
      </c>
      <c r="C7504" t="s">
        <v>927</v>
      </c>
      <c r="D7504" t="s">
        <v>3052</v>
      </c>
      <c r="E7504" t="s">
        <v>3053</v>
      </c>
      <c r="F7504" t="s">
        <v>718</v>
      </c>
      <c r="G7504" t="s">
        <v>719</v>
      </c>
      <c r="H7504" t="s">
        <v>15251</v>
      </c>
      <c r="I7504">
        <v>22</v>
      </c>
      <c r="J7504">
        <v>0</v>
      </c>
      <c r="K7504">
        <v>0</v>
      </c>
      <c r="L7504">
        <v>0</v>
      </c>
      <c r="M7504">
        <v>0</v>
      </c>
      <c r="N7504">
        <v>0</v>
      </c>
      <c r="O7504">
        <v>22</v>
      </c>
    </row>
    <row r="7505" spans="1:15" x14ac:dyDescent="0.25">
      <c r="A7505" t="s">
        <v>1172</v>
      </c>
      <c r="B7505" t="s">
        <v>3023</v>
      </c>
      <c r="C7505" t="s">
        <v>927</v>
      </c>
      <c r="D7505" t="s">
        <v>3052</v>
      </c>
      <c r="E7505" t="s">
        <v>3053</v>
      </c>
      <c r="F7505" t="s">
        <v>718</v>
      </c>
      <c r="G7505" t="s">
        <v>719</v>
      </c>
      <c r="H7505" t="s">
        <v>8030</v>
      </c>
      <c r="I7505">
        <v>136</v>
      </c>
      <c r="J7505">
        <v>105</v>
      </c>
      <c r="K7505">
        <v>0</v>
      </c>
      <c r="L7505">
        <v>0</v>
      </c>
      <c r="M7505">
        <v>0</v>
      </c>
      <c r="N7505">
        <v>0</v>
      </c>
      <c r="O7505">
        <v>31</v>
      </c>
    </row>
    <row r="7506" spans="1:15" x14ac:dyDescent="0.25">
      <c r="A7506" t="s">
        <v>1183</v>
      </c>
      <c r="B7506" t="s">
        <v>2108</v>
      </c>
      <c r="C7506" t="s">
        <v>923</v>
      </c>
      <c r="D7506" t="s">
        <v>3063</v>
      </c>
      <c r="E7506" t="s">
        <v>3053</v>
      </c>
      <c r="F7506" t="s">
        <v>718</v>
      </c>
      <c r="G7506" t="s">
        <v>719</v>
      </c>
      <c r="H7506" t="s">
        <v>8031</v>
      </c>
      <c r="I7506">
        <v>8</v>
      </c>
      <c r="J7506">
        <v>8</v>
      </c>
      <c r="K7506">
        <v>0</v>
      </c>
      <c r="L7506">
        <v>0</v>
      </c>
      <c r="M7506">
        <v>0</v>
      </c>
      <c r="N7506">
        <v>0</v>
      </c>
      <c r="O7506">
        <v>0</v>
      </c>
    </row>
    <row r="7507" spans="1:15" x14ac:dyDescent="0.25">
      <c r="A7507" t="s">
        <v>1195</v>
      </c>
      <c r="B7507" t="s">
        <v>2924</v>
      </c>
      <c r="C7507" t="s">
        <v>927</v>
      </c>
      <c r="D7507" t="s">
        <v>3052</v>
      </c>
      <c r="E7507" t="s">
        <v>3053</v>
      </c>
      <c r="F7507" t="s">
        <v>720</v>
      </c>
      <c r="G7507" t="s">
        <v>721</v>
      </c>
      <c r="H7507" t="s">
        <v>8032</v>
      </c>
      <c r="I7507">
        <v>112</v>
      </c>
      <c r="J7507">
        <v>111</v>
      </c>
      <c r="K7507">
        <v>0</v>
      </c>
      <c r="L7507">
        <v>1</v>
      </c>
      <c r="M7507">
        <v>0</v>
      </c>
      <c r="N7507">
        <v>0</v>
      </c>
      <c r="O7507">
        <v>0</v>
      </c>
    </row>
    <row r="7508" spans="1:15" x14ac:dyDescent="0.25">
      <c r="A7508" t="s">
        <v>1564</v>
      </c>
      <c r="B7508" t="s">
        <v>3039</v>
      </c>
      <c r="C7508" t="s">
        <v>927</v>
      </c>
      <c r="D7508" t="s">
        <v>3052</v>
      </c>
      <c r="E7508" t="s">
        <v>3053</v>
      </c>
      <c r="F7508" t="s">
        <v>720</v>
      </c>
      <c r="G7508" t="s">
        <v>721</v>
      </c>
      <c r="H7508" t="s">
        <v>8033</v>
      </c>
      <c r="I7508">
        <v>8</v>
      </c>
      <c r="J7508">
        <v>2</v>
      </c>
      <c r="K7508">
        <v>0</v>
      </c>
      <c r="L7508">
        <v>0</v>
      </c>
      <c r="M7508">
        <v>0</v>
      </c>
      <c r="N7508">
        <v>0</v>
      </c>
      <c r="O7508">
        <v>6</v>
      </c>
    </row>
    <row r="7509" spans="1:15" x14ac:dyDescent="0.25">
      <c r="A7509" t="s">
        <v>1196</v>
      </c>
      <c r="B7509" t="s">
        <v>3004</v>
      </c>
      <c r="C7509" t="s">
        <v>927</v>
      </c>
      <c r="D7509" t="s">
        <v>3052</v>
      </c>
      <c r="E7509" t="s">
        <v>3053</v>
      </c>
      <c r="F7509" t="s">
        <v>720</v>
      </c>
      <c r="G7509" t="s">
        <v>721</v>
      </c>
      <c r="H7509" t="s">
        <v>8034</v>
      </c>
      <c r="I7509">
        <v>92</v>
      </c>
      <c r="J7509">
        <v>80</v>
      </c>
      <c r="K7509">
        <v>0</v>
      </c>
      <c r="L7509">
        <v>7</v>
      </c>
      <c r="M7509">
        <v>0</v>
      </c>
      <c r="N7509">
        <v>0</v>
      </c>
      <c r="O7509">
        <v>5</v>
      </c>
    </row>
    <row r="7510" spans="1:15" x14ac:dyDescent="0.25">
      <c r="A7510" t="s">
        <v>924</v>
      </c>
      <c r="B7510" t="s">
        <v>2963</v>
      </c>
      <c r="C7510" t="s">
        <v>923</v>
      </c>
      <c r="D7510" t="s">
        <v>3063</v>
      </c>
      <c r="E7510" t="s">
        <v>3053</v>
      </c>
      <c r="F7510" t="s">
        <v>720</v>
      </c>
      <c r="G7510" t="s">
        <v>721</v>
      </c>
      <c r="H7510" t="s">
        <v>8035</v>
      </c>
      <c r="I7510">
        <v>6</v>
      </c>
      <c r="J7510">
        <v>0</v>
      </c>
      <c r="K7510">
        <v>0</v>
      </c>
      <c r="L7510">
        <v>6</v>
      </c>
      <c r="M7510">
        <v>0</v>
      </c>
      <c r="N7510">
        <v>0</v>
      </c>
      <c r="O7510">
        <v>0</v>
      </c>
    </row>
    <row r="7511" spans="1:15" x14ac:dyDescent="0.25">
      <c r="A7511" t="s">
        <v>926</v>
      </c>
      <c r="B7511" t="s">
        <v>2923</v>
      </c>
      <c r="C7511" t="s">
        <v>927</v>
      </c>
      <c r="D7511" t="s">
        <v>3052</v>
      </c>
      <c r="E7511" t="s">
        <v>3053</v>
      </c>
      <c r="F7511" t="s">
        <v>720</v>
      </c>
      <c r="G7511" t="s">
        <v>721</v>
      </c>
      <c r="H7511" t="s">
        <v>8036</v>
      </c>
      <c r="I7511">
        <v>56</v>
      </c>
      <c r="J7511">
        <v>0</v>
      </c>
      <c r="K7511">
        <v>0</v>
      </c>
      <c r="L7511">
        <v>43</v>
      </c>
      <c r="M7511">
        <v>0</v>
      </c>
      <c r="N7511">
        <v>0</v>
      </c>
      <c r="O7511">
        <v>13</v>
      </c>
    </row>
    <row r="7512" spans="1:15" x14ac:dyDescent="0.25">
      <c r="A7512" t="s">
        <v>929</v>
      </c>
      <c r="B7512" t="s">
        <v>2999</v>
      </c>
      <c r="C7512" t="s">
        <v>927</v>
      </c>
      <c r="D7512" t="s">
        <v>3052</v>
      </c>
      <c r="E7512" t="s">
        <v>3053</v>
      </c>
      <c r="F7512" t="s">
        <v>720</v>
      </c>
      <c r="G7512" t="s">
        <v>721</v>
      </c>
      <c r="H7512" t="s">
        <v>8037</v>
      </c>
      <c r="I7512">
        <v>68</v>
      </c>
      <c r="J7512">
        <v>1</v>
      </c>
      <c r="K7512">
        <v>0</v>
      </c>
      <c r="L7512">
        <v>0</v>
      </c>
      <c r="M7512">
        <v>67</v>
      </c>
      <c r="N7512">
        <v>2</v>
      </c>
      <c r="O7512">
        <v>0</v>
      </c>
    </row>
    <row r="7513" spans="1:15" x14ac:dyDescent="0.25">
      <c r="A7513" t="s">
        <v>1573</v>
      </c>
      <c r="B7513" t="s">
        <v>2236</v>
      </c>
      <c r="C7513" t="s">
        <v>923</v>
      </c>
      <c r="D7513" t="s">
        <v>3063</v>
      </c>
      <c r="E7513" t="s">
        <v>3053</v>
      </c>
      <c r="F7513" t="s">
        <v>720</v>
      </c>
      <c r="G7513" t="s">
        <v>721</v>
      </c>
      <c r="H7513" t="s">
        <v>8038</v>
      </c>
      <c r="I7513">
        <v>6</v>
      </c>
      <c r="J7513">
        <v>0</v>
      </c>
      <c r="K7513">
        <v>0</v>
      </c>
      <c r="L7513">
        <v>0</v>
      </c>
      <c r="M7513">
        <v>6</v>
      </c>
      <c r="N7513">
        <v>0</v>
      </c>
      <c r="O7513">
        <v>0</v>
      </c>
    </row>
    <row r="7514" spans="1:15" x14ac:dyDescent="0.25">
      <c r="A7514" t="s">
        <v>1575</v>
      </c>
      <c r="B7514" t="s">
        <v>2112</v>
      </c>
      <c r="C7514" t="s">
        <v>927</v>
      </c>
      <c r="D7514" t="s">
        <v>3052</v>
      </c>
      <c r="E7514" t="s">
        <v>3053</v>
      </c>
      <c r="F7514" t="s">
        <v>720</v>
      </c>
      <c r="G7514" t="s">
        <v>721</v>
      </c>
      <c r="H7514" t="s">
        <v>8039</v>
      </c>
      <c r="I7514">
        <v>26</v>
      </c>
      <c r="J7514">
        <v>19</v>
      </c>
      <c r="K7514">
        <v>0</v>
      </c>
      <c r="L7514">
        <v>0</v>
      </c>
      <c r="M7514">
        <v>0</v>
      </c>
      <c r="N7514">
        <v>0</v>
      </c>
      <c r="O7514">
        <v>7</v>
      </c>
    </row>
    <row r="7515" spans="1:15" x14ac:dyDescent="0.25">
      <c r="A7515" t="s">
        <v>931</v>
      </c>
      <c r="B7515" t="s">
        <v>1978</v>
      </c>
      <c r="C7515" t="s">
        <v>927</v>
      </c>
      <c r="D7515" t="s">
        <v>3052</v>
      </c>
      <c r="E7515" t="s">
        <v>3053</v>
      </c>
      <c r="F7515" t="s">
        <v>720</v>
      </c>
      <c r="G7515" t="s">
        <v>721</v>
      </c>
      <c r="H7515" t="s">
        <v>8040</v>
      </c>
      <c r="I7515">
        <v>225</v>
      </c>
      <c r="J7515">
        <v>78</v>
      </c>
      <c r="K7515">
        <v>0</v>
      </c>
      <c r="L7515">
        <v>0</v>
      </c>
      <c r="M7515">
        <v>0</v>
      </c>
      <c r="N7515">
        <v>0</v>
      </c>
      <c r="O7515">
        <v>147</v>
      </c>
    </row>
    <row r="7516" spans="1:15" x14ac:dyDescent="0.25">
      <c r="A7516" t="s">
        <v>9790</v>
      </c>
      <c r="B7516" t="s">
        <v>1977</v>
      </c>
      <c r="C7516" t="s">
        <v>923</v>
      </c>
      <c r="D7516" t="s">
        <v>3063</v>
      </c>
      <c r="E7516" t="s">
        <v>3053</v>
      </c>
      <c r="F7516" t="s">
        <v>720</v>
      </c>
      <c r="G7516" t="s">
        <v>721</v>
      </c>
      <c r="H7516" t="s">
        <v>12358</v>
      </c>
      <c r="I7516">
        <v>2</v>
      </c>
      <c r="J7516">
        <v>0</v>
      </c>
      <c r="K7516">
        <v>0</v>
      </c>
      <c r="L7516">
        <v>2</v>
      </c>
      <c r="M7516">
        <v>0</v>
      </c>
      <c r="N7516">
        <v>0</v>
      </c>
      <c r="O7516">
        <v>0</v>
      </c>
    </row>
    <row r="7517" spans="1:15" x14ac:dyDescent="0.25">
      <c r="A7517" t="s">
        <v>989</v>
      </c>
      <c r="B7517" t="s">
        <v>2016</v>
      </c>
      <c r="C7517" t="s">
        <v>923</v>
      </c>
      <c r="D7517" t="s">
        <v>3063</v>
      </c>
      <c r="E7517" t="s">
        <v>3053</v>
      </c>
      <c r="F7517" t="s">
        <v>720</v>
      </c>
      <c r="G7517" t="s">
        <v>721</v>
      </c>
      <c r="H7517" t="s">
        <v>12359</v>
      </c>
      <c r="I7517">
        <v>5</v>
      </c>
      <c r="J7517">
        <v>0</v>
      </c>
      <c r="K7517">
        <v>0</v>
      </c>
      <c r="L7517">
        <v>5</v>
      </c>
      <c r="M7517">
        <v>0</v>
      </c>
      <c r="N7517">
        <v>0</v>
      </c>
      <c r="O7517">
        <v>0</v>
      </c>
    </row>
    <row r="7518" spans="1:15" x14ac:dyDescent="0.25">
      <c r="A7518" t="s">
        <v>933</v>
      </c>
      <c r="B7518" t="s">
        <v>2106</v>
      </c>
      <c r="C7518" t="s">
        <v>927</v>
      </c>
      <c r="D7518" t="s">
        <v>3052</v>
      </c>
      <c r="E7518" t="s">
        <v>3053</v>
      </c>
      <c r="F7518" t="s">
        <v>720</v>
      </c>
      <c r="G7518" t="s">
        <v>721</v>
      </c>
      <c r="H7518" t="s">
        <v>8042</v>
      </c>
      <c r="I7518">
        <v>142</v>
      </c>
      <c r="J7518">
        <v>104</v>
      </c>
      <c r="K7518">
        <v>0</v>
      </c>
      <c r="L7518">
        <v>0</v>
      </c>
      <c r="M7518">
        <v>0</v>
      </c>
      <c r="N7518">
        <v>0</v>
      </c>
      <c r="O7518">
        <v>38</v>
      </c>
    </row>
    <row r="7519" spans="1:15" x14ac:dyDescent="0.25">
      <c r="A7519" t="s">
        <v>996</v>
      </c>
      <c r="B7519" t="s">
        <v>1952</v>
      </c>
      <c r="C7519" t="s">
        <v>923</v>
      </c>
      <c r="D7519" t="s">
        <v>3063</v>
      </c>
      <c r="E7519" t="s">
        <v>3053</v>
      </c>
      <c r="F7519" t="s">
        <v>720</v>
      </c>
      <c r="G7519" t="s">
        <v>721</v>
      </c>
      <c r="H7519" t="s">
        <v>8043</v>
      </c>
      <c r="I7519">
        <v>12</v>
      </c>
      <c r="J7519">
        <v>0</v>
      </c>
      <c r="K7519">
        <v>0</v>
      </c>
      <c r="L7519">
        <v>12</v>
      </c>
      <c r="M7519">
        <v>0</v>
      </c>
      <c r="N7519">
        <v>0</v>
      </c>
      <c r="O7519">
        <v>0</v>
      </c>
    </row>
    <row r="7520" spans="1:15" x14ac:dyDescent="0.25">
      <c r="A7520" t="s">
        <v>935</v>
      </c>
      <c r="B7520" t="s">
        <v>1960</v>
      </c>
      <c r="C7520" t="s">
        <v>923</v>
      </c>
      <c r="D7520" t="s">
        <v>3063</v>
      </c>
      <c r="E7520" t="s">
        <v>3053</v>
      </c>
      <c r="F7520" t="s">
        <v>720</v>
      </c>
      <c r="G7520" t="s">
        <v>721</v>
      </c>
      <c r="H7520" t="s">
        <v>8044</v>
      </c>
      <c r="I7520">
        <v>4</v>
      </c>
      <c r="J7520">
        <v>0</v>
      </c>
      <c r="K7520">
        <v>0</v>
      </c>
      <c r="L7520">
        <v>4</v>
      </c>
      <c r="M7520">
        <v>0</v>
      </c>
      <c r="N7520">
        <v>0</v>
      </c>
      <c r="O7520">
        <v>0</v>
      </c>
    </row>
    <row r="7521" spans="1:15" x14ac:dyDescent="0.25">
      <c r="A7521" t="s">
        <v>998</v>
      </c>
      <c r="B7521" t="s">
        <v>2820</v>
      </c>
      <c r="C7521" t="s">
        <v>927</v>
      </c>
      <c r="D7521" t="s">
        <v>3052</v>
      </c>
      <c r="E7521" t="s">
        <v>3053</v>
      </c>
      <c r="F7521" t="s">
        <v>720</v>
      </c>
      <c r="G7521" t="s">
        <v>721</v>
      </c>
      <c r="H7521" t="s">
        <v>8045</v>
      </c>
      <c r="I7521">
        <v>14</v>
      </c>
      <c r="J7521">
        <v>6</v>
      </c>
      <c r="K7521">
        <v>0</v>
      </c>
      <c r="L7521">
        <v>0</v>
      </c>
      <c r="M7521">
        <v>0</v>
      </c>
      <c r="N7521">
        <v>0</v>
      </c>
      <c r="O7521">
        <v>8</v>
      </c>
    </row>
    <row r="7522" spans="1:15" x14ac:dyDescent="0.25">
      <c r="A7522" t="s">
        <v>10624</v>
      </c>
      <c r="B7522" t="s">
        <v>2882</v>
      </c>
      <c r="C7522" t="s">
        <v>927</v>
      </c>
      <c r="D7522" t="s">
        <v>3052</v>
      </c>
      <c r="E7522" t="s">
        <v>3053</v>
      </c>
      <c r="F7522" t="s">
        <v>720</v>
      </c>
      <c r="G7522" t="s">
        <v>721</v>
      </c>
      <c r="H7522" t="s">
        <v>11324</v>
      </c>
      <c r="I7522">
        <v>61</v>
      </c>
      <c r="J7522">
        <v>45</v>
      </c>
      <c r="K7522">
        <v>0</v>
      </c>
      <c r="L7522">
        <v>0</v>
      </c>
      <c r="M7522">
        <v>0</v>
      </c>
      <c r="N7522">
        <v>0</v>
      </c>
      <c r="O7522">
        <v>16</v>
      </c>
    </row>
    <row r="7523" spans="1:15" x14ac:dyDescent="0.25">
      <c r="A7523" t="s">
        <v>10638</v>
      </c>
      <c r="B7523" t="s">
        <v>2057</v>
      </c>
      <c r="C7523" t="s">
        <v>927</v>
      </c>
      <c r="D7523" t="s">
        <v>3052</v>
      </c>
      <c r="E7523" t="s">
        <v>3053</v>
      </c>
      <c r="F7523" t="s">
        <v>720</v>
      </c>
      <c r="G7523" t="s">
        <v>721</v>
      </c>
      <c r="H7523" t="s">
        <v>11325</v>
      </c>
      <c r="I7523">
        <v>10</v>
      </c>
      <c r="J7523">
        <v>0</v>
      </c>
      <c r="K7523">
        <v>0</v>
      </c>
      <c r="L7523">
        <v>10</v>
      </c>
      <c r="M7523">
        <v>0</v>
      </c>
      <c r="N7523">
        <v>0</v>
      </c>
      <c r="O7523">
        <v>0</v>
      </c>
    </row>
    <row r="7524" spans="1:15" x14ac:dyDescent="0.25">
      <c r="A7524" t="s">
        <v>10643</v>
      </c>
      <c r="B7524" t="s">
        <v>2987</v>
      </c>
      <c r="C7524" t="s">
        <v>927</v>
      </c>
      <c r="D7524" t="s">
        <v>3052</v>
      </c>
      <c r="E7524" t="s">
        <v>3053</v>
      </c>
      <c r="F7524" t="s">
        <v>720</v>
      </c>
      <c r="G7524" t="s">
        <v>721</v>
      </c>
      <c r="H7524" t="s">
        <v>11326</v>
      </c>
      <c r="I7524">
        <v>367</v>
      </c>
      <c r="J7524">
        <v>328</v>
      </c>
      <c r="K7524">
        <v>0</v>
      </c>
      <c r="L7524">
        <v>0</v>
      </c>
      <c r="M7524">
        <v>0</v>
      </c>
      <c r="N7524">
        <v>9</v>
      </c>
      <c r="O7524">
        <v>39</v>
      </c>
    </row>
    <row r="7525" spans="1:15" x14ac:dyDescent="0.25">
      <c r="A7525" t="s">
        <v>1010</v>
      </c>
      <c r="B7525" t="s">
        <v>2639</v>
      </c>
      <c r="C7525" t="s">
        <v>927</v>
      </c>
      <c r="D7525" t="s">
        <v>3052</v>
      </c>
      <c r="E7525" t="s">
        <v>3053</v>
      </c>
      <c r="F7525" t="s">
        <v>720</v>
      </c>
      <c r="G7525" t="s">
        <v>721</v>
      </c>
      <c r="H7525" t="s">
        <v>8046</v>
      </c>
      <c r="I7525">
        <v>1</v>
      </c>
      <c r="J7525">
        <v>1</v>
      </c>
      <c r="K7525">
        <v>0</v>
      </c>
      <c r="L7525">
        <v>0</v>
      </c>
      <c r="M7525">
        <v>0</v>
      </c>
      <c r="N7525">
        <v>0</v>
      </c>
      <c r="O7525">
        <v>0</v>
      </c>
    </row>
    <row r="7526" spans="1:15" x14ac:dyDescent="0.25">
      <c r="A7526" t="s">
        <v>1617</v>
      </c>
      <c r="B7526" t="s">
        <v>2088</v>
      </c>
      <c r="C7526" t="s">
        <v>923</v>
      </c>
      <c r="D7526" t="s">
        <v>3063</v>
      </c>
      <c r="E7526" t="s">
        <v>3053</v>
      </c>
      <c r="F7526" t="s">
        <v>720</v>
      </c>
      <c r="G7526" t="s">
        <v>721</v>
      </c>
      <c r="H7526" t="s">
        <v>8047</v>
      </c>
      <c r="I7526">
        <v>31</v>
      </c>
      <c r="J7526">
        <v>0</v>
      </c>
      <c r="K7526">
        <v>0</v>
      </c>
      <c r="L7526">
        <v>31</v>
      </c>
      <c r="M7526">
        <v>0</v>
      </c>
      <c r="N7526">
        <v>0</v>
      </c>
      <c r="O7526">
        <v>0</v>
      </c>
    </row>
    <row r="7527" spans="1:15" x14ac:dyDescent="0.25">
      <c r="A7527" t="s">
        <v>1616</v>
      </c>
      <c r="B7527" t="s">
        <v>2771</v>
      </c>
      <c r="C7527" t="s">
        <v>923</v>
      </c>
      <c r="D7527" t="s">
        <v>3063</v>
      </c>
      <c r="E7527" t="s">
        <v>3053</v>
      </c>
      <c r="F7527" t="s">
        <v>720</v>
      </c>
      <c r="G7527" t="s">
        <v>721</v>
      </c>
      <c r="H7527" t="s">
        <v>10092</v>
      </c>
      <c r="I7527">
        <v>75</v>
      </c>
      <c r="J7527">
        <v>75</v>
      </c>
      <c r="K7527">
        <v>0</v>
      </c>
      <c r="L7527">
        <v>0</v>
      </c>
      <c r="M7527">
        <v>0</v>
      </c>
      <c r="N7527">
        <v>0</v>
      </c>
      <c r="O7527">
        <v>0</v>
      </c>
    </row>
    <row r="7528" spans="1:15" x14ac:dyDescent="0.25">
      <c r="A7528" t="s">
        <v>937</v>
      </c>
      <c r="B7528" t="s">
        <v>1962</v>
      </c>
      <c r="C7528" t="s">
        <v>927</v>
      </c>
      <c r="D7528" t="s">
        <v>3052</v>
      </c>
      <c r="E7528" t="s">
        <v>3053</v>
      </c>
      <c r="F7528" t="s">
        <v>720</v>
      </c>
      <c r="G7528" t="s">
        <v>721</v>
      </c>
      <c r="H7528" t="s">
        <v>8048</v>
      </c>
      <c r="I7528">
        <v>28</v>
      </c>
      <c r="J7528">
        <v>0</v>
      </c>
      <c r="K7528">
        <v>0</v>
      </c>
      <c r="L7528">
        <v>0</v>
      </c>
      <c r="M7528">
        <v>0</v>
      </c>
      <c r="N7528">
        <v>0</v>
      </c>
      <c r="O7528">
        <v>28</v>
      </c>
    </row>
    <row r="7529" spans="1:15" x14ac:dyDescent="0.25">
      <c r="A7529" t="s">
        <v>938</v>
      </c>
      <c r="B7529" t="s">
        <v>2791</v>
      </c>
      <c r="C7529" t="s">
        <v>927</v>
      </c>
      <c r="D7529" t="s">
        <v>3052</v>
      </c>
      <c r="E7529" t="s">
        <v>3053</v>
      </c>
      <c r="F7529" t="s">
        <v>720</v>
      </c>
      <c r="G7529" t="s">
        <v>721</v>
      </c>
      <c r="H7529" t="s">
        <v>8049</v>
      </c>
      <c r="I7529">
        <v>183</v>
      </c>
      <c r="J7529">
        <v>148</v>
      </c>
      <c r="K7529">
        <v>0</v>
      </c>
      <c r="L7529">
        <v>12</v>
      </c>
      <c r="M7529">
        <v>0</v>
      </c>
      <c r="N7529">
        <v>0</v>
      </c>
      <c r="O7529">
        <v>23</v>
      </c>
    </row>
    <row r="7530" spans="1:15" x14ac:dyDescent="0.25">
      <c r="A7530" t="s">
        <v>940</v>
      </c>
      <c r="B7530" t="s">
        <v>2647</v>
      </c>
      <c r="C7530" t="s">
        <v>927</v>
      </c>
      <c r="D7530" t="s">
        <v>3052</v>
      </c>
      <c r="E7530" t="s">
        <v>3053</v>
      </c>
      <c r="F7530" t="s">
        <v>720</v>
      </c>
      <c r="G7530" t="s">
        <v>721</v>
      </c>
      <c r="H7530" t="s">
        <v>12360</v>
      </c>
      <c r="I7530">
        <v>80</v>
      </c>
      <c r="J7530">
        <v>0</v>
      </c>
      <c r="K7530">
        <v>0</v>
      </c>
      <c r="L7530">
        <v>0</v>
      </c>
      <c r="M7530">
        <v>60</v>
      </c>
      <c r="N7530">
        <v>0</v>
      </c>
      <c r="O7530">
        <v>20</v>
      </c>
    </row>
    <row r="7531" spans="1:15" x14ac:dyDescent="0.25">
      <c r="A7531" t="s">
        <v>1122</v>
      </c>
      <c r="B7531" t="s">
        <v>2823</v>
      </c>
      <c r="C7531" t="s">
        <v>927</v>
      </c>
      <c r="D7531" t="s">
        <v>3052</v>
      </c>
      <c r="E7531" t="s">
        <v>3053</v>
      </c>
      <c r="F7531" t="s">
        <v>720</v>
      </c>
      <c r="G7531" t="s">
        <v>721</v>
      </c>
      <c r="H7531" t="s">
        <v>12361</v>
      </c>
      <c r="I7531">
        <v>38</v>
      </c>
      <c r="J7531">
        <v>29</v>
      </c>
      <c r="K7531">
        <v>0</v>
      </c>
      <c r="L7531">
        <v>0</v>
      </c>
      <c r="M7531">
        <v>0</v>
      </c>
      <c r="N7531">
        <v>0</v>
      </c>
      <c r="O7531">
        <v>9</v>
      </c>
    </row>
    <row r="7532" spans="1:15" x14ac:dyDescent="0.25">
      <c r="A7532" t="s">
        <v>1013</v>
      </c>
      <c r="B7532" t="s">
        <v>1959</v>
      </c>
      <c r="C7532" t="s">
        <v>927</v>
      </c>
      <c r="D7532" t="s">
        <v>3052</v>
      </c>
      <c r="E7532" t="s">
        <v>3053</v>
      </c>
      <c r="F7532" t="s">
        <v>720</v>
      </c>
      <c r="G7532" t="s">
        <v>721</v>
      </c>
      <c r="H7532" t="s">
        <v>11327</v>
      </c>
      <c r="I7532">
        <v>4</v>
      </c>
      <c r="J7532">
        <v>0</v>
      </c>
      <c r="K7532">
        <v>0</v>
      </c>
      <c r="L7532">
        <v>4</v>
      </c>
      <c r="M7532">
        <v>0</v>
      </c>
      <c r="N7532">
        <v>0</v>
      </c>
      <c r="O7532">
        <v>0</v>
      </c>
    </row>
    <row r="7533" spans="1:15" x14ac:dyDescent="0.25">
      <c r="A7533" t="s">
        <v>11755</v>
      </c>
      <c r="B7533" t="s">
        <v>11754</v>
      </c>
      <c r="C7533" t="s">
        <v>923</v>
      </c>
      <c r="D7533" t="s">
        <v>3063</v>
      </c>
      <c r="E7533" t="s">
        <v>3053</v>
      </c>
      <c r="F7533" t="s">
        <v>720</v>
      </c>
      <c r="G7533" t="s">
        <v>721</v>
      </c>
      <c r="H7533" t="s">
        <v>15252</v>
      </c>
      <c r="I7533">
        <v>4</v>
      </c>
      <c r="J7533">
        <v>0</v>
      </c>
      <c r="K7533">
        <v>0</v>
      </c>
      <c r="L7533">
        <v>4</v>
      </c>
      <c r="M7533">
        <v>0</v>
      </c>
      <c r="N7533">
        <v>0</v>
      </c>
      <c r="O7533">
        <v>0</v>
      </c>
    </row>
    <row r="7534" spans="1:15" x14ac:dyDescent="0.25">
      <c r="A7534" t="s">
        <v>1025</v>
      </c>
      <c r="B7534" t="s">
        <v>2893</v>
      </c>
      <c r="C7534" t="s">
        <v>927</v>
      </c>
      <c r="D7534" t="s">
        <v>3052</v>
      </c>
      <c r="E7534" t="s">
        <v>3053</v>
      </c>
      <c r="F7534" t="s">
        <v>720</v>
      </c>
      <c r="G7534" t="s">
        <v>721</v>
      </c>
      <c r="H7534" t="s">
        <v>8050</v>
      </c>
      <c r="I7534">
        <v>148</v>
      </c>
      <c r="J7534">
        <v>143</v>
      </c>
      <c r="K7534">
        <v>0</v>
      </c>
      <c r="L7534">
        <v>0</v>
      </c>
      <c r="M7534">
        <v>0</v>
      </c>
      <c r="N7534">
        <v>0</v>
      </c>
      <c r="O7534">
        <v>5</v>
      </c>
    </row>
    <row r="7535" spans="1:15" x14ac:dyDescent="0.25">
      <c r="A7535" t="s">
        <v>943</v>
      </c>
      <c r="B7535" t="s">
        <v>2694</v>
      </c>
      <c r="C7535" t="s">
        <v>927</v>
      </c>
      <c r="D7535" t="s">
        <v>3052</v>
      </c>
      <c r="E7535" t="s">
        <v>3053</v>
      </c>
      <c r="F7535" t="s">
        <v>720</v>
      </c>
      <c r="G7535" t="s">
        <v>721</v>
      </c>
      <c r="H7535" t="s">
        <v>8051</v>
      </c>
      <c r="I7535">
        <v>1</v>
      </c>
      <c r="J7535">
        <v>0</v>
      </c>
      <c r="K7535">
        <v>0</v>
      </c>
      <c r="L7535">
        <v>0</v>
      </c>
      <c r="M7535">
        <v>0</v>
      </c>
      <c r="N7535">
        <v>0</v>
      </c>
      <c r="O7535">
        <v>1</v>
      </c>
    </row>
    <row r="7536" spans="1:15" x14ac:dyDescent="0.25">
      <c r="A7536" t="s">
        <v>945</v>
      </c>
      <c r="B7536" t="s">
        <v>2668</v>
      </c>
      <c r="C7536" t="s">
        <v>927</v>
      </c>
      <c r="D7536" t="s">
        <v>3052</v>
      </c>
      <c r="E7536" t="s">
        <v>3053</v>
      </c>
      <c r="F7536" t="s">
        <v>720</v>
      </c>
      <c r="G7536" t="s">
        <v>721</v>
      </c>
      <c r="H7536" t="s">
        <v>8052</v>
      </c>
      <c r="I7536">
        <v>3</v>
      </c>
      <c r="J7536">
        <v>0</v>
      </c>
      <c r="K7536">
        <v>0</v>
      </c>
      <c r="L7536">
        <v>0</v>
      </c>
      <c r="M7536">
        <v>0</v>
      </c>
      <c r="N7536">
        <v>0</v>
      </c>
      <c r="O7536">
        <v>3</v>
      </c>
    </row>
    <row r="7537" spans="1:15" x14ac:dyDescent="0.25">
      <c r="A7537" t="s">
        <v>949</v>
      </c>
      <c r="B7537" t="s">
        <v>3035</v>
      </c>
      <c r="C7537" t="s">
        <v>927</v>
      </c>
      <c r="D7537" t="s">
        <v>3052</v>
      </c>
      <c r="E7537" t="s">
        <v>3053</v>
      </c>
      <c r="F7537" t="s">
        <v>720</v>
      </c>
      <c r="G7537" t="s">
        <v>721</v>
      </c>
      <c r="H7537" t="s">
        <v>8053</v>
      </c>
      <c r="I7537">
        <v>1</v>
      </c>
      <c r="J7537">
        <v>0</v>
      </c>
      <c r="K7537">
        <v>0</v>
      </c>
      <c r="L7537">
        <v>0</v>
      </c>
      <c r="M7537">
        <v>0</v>
      </c>
      <c r="N7537">
        <v>0</v>
      </c>
      <c r="O7537">
        <v>1</v>
      </c>
    </row>
    <row r="7538" spans="1:15" x14ac:dyDescent="0.25">
      <c r="A7538" t="s">
        <v>1146</v>
      </c>
      <c r="B7538" t="s">
        <v>2117</v>
      </c>
      <c r="C7538" t="s">
        <v>927</v>
      </c>
      <c r="D7538" t="s">
        <v>3052</v>
      </c>
      <c r="E7538" t="s">
        <v>3053</v>
      </c>
      <c r="F7538" t="s">
        <v>720</v>
      </c>
      <c r="G7538" t="s">
        <v>721</v>
      </c>
      <c r="H7538" t="s">
        <v>15253</v>
      </c>
      <c r="I7538">
        <v>326</v>
      </c>
      <c r="J7538">
        <v>243</v>
      </c>
      <c r="K7538">
        <v>0</v>
      </c>
      <c r="L7538">
        <v>6</v>
      </c>
      <c r="M7538">
        <v>0</v>
      </c>
      <c r="N7538">
        <v>0</v>
      </c>
      <c r="O7538">
        <v>77</v>
      </c>
    </row>
    <row r="7539" spans="1:15" x14ac:dyDescent="0.25">
      <c r="A7539" t="s">
        <v>951</v>
      </c>
      <c r="B7539" t="s">
        <v>2680</v>
      </c>
      <c r="C7539" t="s">
        <v>927</v>
      </c>
      <c r="D7539" t="s">
        <v>3052</v>
      </c>
      <c r="E7539" t="s">
        <v>3053</v>
      </c>
      <c r="F7539" t="s">
        <v>720</v>
      </c>
      <c r="G7539" t="s">
        <v>721</v>
      </c>
      <c r="H7539" t="s">
        <v>15254</v>
      </c>
      <c r="I7539">
        <v>28</v>
      </c>
      <c r="J7539">
        <v>28</v>
      </c>
      <c r="K7539">
        <v>0</v>
      </c>
      <c r="L7539">
        <v>0</v>
      </c>
      <c r="M7539">
        <v>0</v>
      </c>
      <c r="N7539">
        <v>0</v>
      </c>
      <c r="O7539">
        <v>0</v>
      </c>
    </row>
    <row r="7540" spans="1:15" x14ac:dyDescent="0.25">
      <c r="A7540" t="s">
        <v>1646</v>
      </c>
      <c r="B7540" t="s">
        <v>1970</v>
      </c>
      <c r="C7540" t="s">
        <v>927</v>
      </c>
      <c r="D7540" t="s">
        <v>3052</v>
      </c>
      <c r="E7540" t="s">
        <v>3053</v>
      </c>
      <c r="F7540" t="s">
        <v>720</v>
      </c>
      <c r="G7540" t="s">
        <v>721</v>
      </c>
      <c r="H7540" t="s">
        <v>8054</v>
      </c>
      <c r="I7540">
        <v>50</v>
      </c>
      <c r="J7540">
        <v>41</v>
      </c>
      <c r="K7540">
        <v>0</v>
      </c>
      <c r="L7540">
        <v>0</v>
      </c>
      <c r="M7540">
        <v>0</v>
      </c>
      <c r="N7540">
        <v>0</v>
      </c>
      <c r="O7540">
        <v>9</v>
      </c>
    </row>
    <row r="7541" spans="1:15" x14ac:dyDescent="0.25">
      <c r="A7541" t="s">
        <v>9788</v>
      </c>
      <c r="B7541" t="s">
        <v>9871</v>
      </c>
      <c r="C7541" t="s">
        <v>927</v>
      </c>
      <c r="D7541" t="s">
        <v>3052</v>
      </c>
      <c r="E7541" t="s">
        <v>3053</v>
      </c>
      <c r="F7541" t="s">
        <v>720</v>
      </c>
      <c r="G7541" t="s">
        <v>721</v>
      </c>
      <c r="H7541" t="s">
        <v>10376</v>
      </c>
      <c r="I7541">
        <v>22</v>
      </c>
      <c r="J7541">
        <v>22</v>
      </c>
      <c r="K7541">
        <v>0</v>
      </c>
      <c r="L7541">
        <v>0</v>
      </c>
      <c r="M7541">
        <v>0</v>
      </c>
      <c r="N7541">
        <v>0</v>
      </c>
      <c r="O7541">
        <v>0</v>
      </c>
    </row>
    <row r="7542" spans="1:15" x14ac:dyDescent="0.25">
      <c r="A7542" t="s">
        <v>1658</v>
      </c>
      <c r="B7542" t="s">
        <v>2892</v>
      </c>
      <c r="C7542" t="s">
        <v>927</v>
      </c>
      <c r="D7542" t="s">
        <v>3052</v>
      </c>
      <c r="E7542" t="s">
        <v>3053</v>
      </c>
      <c r="F7542" t="s">
        <v>720</v>
      </c>
      <c r="G7542" t="s">
        <v>721</v>
      </c>
      <c r="H7542" t="s">
        <v>8055</v>
      </c>
      <c r="I7542">
        <v>60</v>
      </c>
      <c r="J7542">
        <v>46</v>
      </c>
      <c r="K7542">
        <v>0</v>
      </c>
      <c r="L7542">
        <v>0</v>
      </c>
      <c r="M7542">
        <v>0</v>
      </c>
      <c r="N7542">
        <v>0</v>
      </c>
      <c r="O7542">
        <v>14</v>
      </c>
    </row>
    <row r="7543" spans="1:15" x14ac:dyDescent="0.25">
      <c r="A7543" t="s">
        <v>1660</v>
      </c>
      <c r="B7543" t="s">
        <v>2827</v>
      </c>
      <c r="C7543" t="s">
        <v>927</v>
      </c>
      <c r="D7543" t="s">
        <v>3052</v>
      </c>
      <c r="E7543" t="s">
        <v>3053</v>
      </c>
      <c r="F7543" t="s">
        <v>720</v>
      </c>
      <c r="G7543" t="s">
        <v>721</v>
      </c>
      <c r="H7543" t="s">
        <v>8056</v>
      </c>
      <c r="I7543">
        <v>5986</v>
      </c>
      <c r="J7543">
        <v>4736</v>
      </c>
      <c r="K7543">
        <v>0</v>
      </c>
      <c r="L7543">
        <v>127</v>
      </c>
      <c r="M7543">
        <v>575</v>
      </c>
      <c r="N7543">
        <v>3</v>
      </c>
      <c r="O7543">
        <v>548</v>
      </c>
    </row>
    <row r="7544" spans="1:15" x14ac:dyDescent="0.25">
      <c r="A7544" t="s">
        <v>960</v>
      </c>
      <c r="B7544" t="s">
        <v>2080</v>
      </c>
      <c r="C7544" t="s">
        <v>927</v>
      </c>
      <c r="D7544" t="s">
        <v>3052</v>
      </c>
      <c r="E7544" t="s">
        <v>3053</v>
      </c>
      <c r="F7544" t="s">
        <v>720</v>
      </c>
      <c r="G7544" t="s">
        <v>721</v>
      </c>
      <c r="H7544" t="s">
        <v>8057</v>
      </c>
      <c r="I7544">
        <v>986</v>
      </c>
      <c r="J7544">
        <v>711</v>
      </c>
      <c r="K7544">
        <v>0</v>
      </c>
      <c r="L7544">
        <v>15</v>
      </c>
      <c r="M7544">
        <v>0</v>
      </c>
      <c r="N7544">
        <v>2</v>
      </c>
      <c r="O7544">
        <v>260</v>
      </c>
    </row>
    <row r="7545" spans="1:15" x14ac:dyDescent="0.25">
      <c r="A7545" t="s">
        <v>14374</v>
      </c>
      <c r="B7545" t="s">
        <v>1943</v>
      </c>
      <c r="C7545" t="s">
        <v>927</v>
      </c>
      <c r="D7545" t="s">
        <v>3052</v>
      </c>
      <c r="E7545" t="s">
        <v>3053</v>
      </c>
      <c r="F7545" t="s">
        <v>720</v>
      </c>
      <c r="G7545" t="s">
        <v>721</v>
      </c>
      <c r="H7545" t="s">
        <v>15255</v>
      </c>
      <c r="I7545">
        <v>8</v>
      </c>
      <c r="J7545">
        <v>0</v>
      </c>
      <c r="K7545">
        <v>0</v>
      </c>
      <c r="L7545">
        <v>0</v>
      </c>
      <c r="M7545">
        <v>0</v>
      </c>
      <c r="N7545">
        <v>0</v>
      </c>
      <c r="O7545">
        <v>8</v>
      </c>
    </row>
    <row r="7546" spans="1:15" x14ac:dyDescent="0.25">
      <c r="A7546" t="s">
        <v>962</v>
      </c>
      <c r="B7546" t="s">
        <v>2752</v>
      </c>
      <c r="C7546" t="s">
        <v>927</v>
      </c>
      <c r="D7546" t="s">
        <v>3052</v>
      </c>
      <c r="E7546" t="s">
        <v>3053</v>
      </c>
      <c r="F7546" t="s">
        <v>720</v>
      </c>
      <c r="G7546" t="s">
        <v>721</v>
      </c>
      <c r="H7546" t="s">
        <v>8058</v>
      </c>
      <c r="I7546">
        <v>115</v>
      </c>
      <c r="J7546">
        <v>76</v>
      </c>
      <c r="K7546">
        <v>0</v>
      </c>
      <c r="L7546">
        <v>0</v>
      </c>
      <c r="M7546">
        <v>20</v>
      </c>
      <c r="N7546">
        <v>0</v>
      </c>
      <c r="O7546">
        <v>19</v>
      </c>
    </row>
    <row r="7547" spans="1:15" x14ac:dyDescent="0.25">
      <c r="A7547" t="s">
        <v>964</v>
      </c>
      <c r="B7547" t="s">
        <v>1969</v>
      </c>
      <c r="C7547" t="s">
        <v>927</v>
      </c>
      <c r="D7547" t="s">
        <v>3052</v>
      </c>
      <c r="E7547" t="s">
        <v>3053</v>
      </c>
      <c r="F7547" t="s">
        <v>720</v>
      </c>
      <c r="G7547" t="s">
        <v>721</v>
      </c>
      <c r="H7547" t="s">
        <v>12362</v>
      </c>
      <c r="I7547">
        <v>18</v>
      </c>
      <c r="J7547">
        <v>0</v>
      </c>
      <c r="K7547">
        <v>0</v>
      </c>
      <c r="L7547">
        <v>0</v>
      </c>
      <c r="M7547">
        <v>0</v>
      </c>
      <c r="N7547">
        <v>0</v>
      </c>
      <c r="O7547">
        <v>18</v>
      </c>
    </row>
    <row r="7548" spans="1:15" x14ac:dyDescent="0.25">
      <c r="A7548" t="s">
        <v>1666</v>
      </c>
      <c r="B7548" t="s">
        <v>2748</v>
      </c>
      <c r="C7548" t="s">
        <v>923</v>
      </c>
      <c r="D7548" t="s">
        <v>3063</v>
      </c>
      <c r="E7548" t="s">
        <v>3053</v>
      </c>
      <c r="F7548" t="s">
        <v>720</v>
      </c>
      <c r="G7548" t="s">
        <v>721</v>
      </c>
      <c r="H7548" t="s">
        <v>8059</v>
      </c>
      <c r="I7548">
        <v>75</v>
      </c>
      <c r="J7548">
        <v>0</v>
      </c>
      <c r="K7548">
        <v>0</v>
      </c>
      <c r="L7548">
        <v>0</v>
      </c>
      <c r="M7548">
        <v>75</v>
      </c>
      <c r="N7548">
        <v>0</v>
      </c>
      <c r="O7548">
        <v>0</v>
      </c>
    </row>
    <row r="7549" spans="1:15" x14ac:dyDescent="0.25">
      <c r="A7549" t="s">
        <v>1072</v>
      </c>
      <c r="B7549" t="s">
        <v>2907</v>
      </c>
      <c r="C7549" t="s">
        <v>927</v>
      </c>
      <c r="D7549" t="s">
        <v>3052</v>
      </c>
      <c r="E7549" t="s">
        <v>3053</v>
      </c>
      <c r="F7549" t="s">
        <v>720</v>
      </c>
      <c r="G7549" t="s">
        <v>721</v>
      </c>
      <c r="H7549" t="s">
        <v>15256</v>
      </c>
      <c r="I7549">
        <v>40</v>
      </c>
      <c r="J7549">
        <v>0</v>
      </c>
      <c r="K7549">
        <v>0</v>
      </c>
      <c r="L7549">
        <v>0</v>
      </c>
      <c r="M7549">
        <v>30</v>
      </c>
      <c r="N7549">
        <v>0</v>
      </c>
      <c r="O7549">
        <v>10</v>
      </c>
    </row>
    <row r="7550" spans="1:15" x14ac:dyDescent="0.25">
      <c r="A7550" t="s">
        <v>981</v>
      </c>
      <c r="B7550" t="s">
        <v>2985</v>
      </c>
      <c r="C7550" t="s">
        <v>927</v>
      </c>
      <c r="D7550" t="s">
        <v>3052</v>
      </c>
      <c r="E7550" t="s">
        <v>3053</v>
      </c>
      <c r="F7550" t="s">
        <v>720</v>
      </c>
      <c r="G7550" t="s">
        <v>721</v>
      </c>
      <c r="H7550" t="s">
        <v>8041</v>
      </c>
      <c r="I7550">
        <v>17</v>
      </c>
      <c r="J7550">
        <v>12</v>
      </c>
      <c r="K7550">
        <v>0</v>
      </c>
      <c r="L7550">
        <v>0</v>
      </c>
      <c r="M7550">
        <v>0</v>
      </c>
      <c r="N7550">
        <v>0</v>
      </c>
      <c r="O7550">
        <v>5</v>
      </c>
    </row>
    <row r="7551" spans="1:15" x14ac:dyDescent="0.25">
      <c r="A7551" t="s">
        <v>971</v>
      </c>
      <c r="B7551" t="s">
        <v>2956</v>
      </c>
      <c r="C7551" t="s">
        <v>927</v>
      </c>
      <c r="D7551" t="s">
        <v>3052</v>
      </c>
      <c r="E7551" t="s">
        <v>3053</v>
      </c>
      <c r="F7551" t="s">
        <v>722</v>
      </c>
      <c r="G7551" t="s">
        <v>723</v>
      </c>
      <c r="H7551" t="s">
        <v>8060</v>
      </c>
      <c r="I7551">
        <v>660</v>
      </c>
      <c r="J7551">
        <v>656</v>
      </c>
      <c r="K7551">
        <v>0</v>
      </c>
      <c r="L7551">
        <v>0</v>
      </c>
      <c r="M7551">
        <v>0</v>
      </c>
      <c r="N7551">
        <v>0</v>
      </c>
      <c r="O7551">
        <v>4</v>
      </c>
    </row>
    <row r="7552" spans="1:15" x14ac:dyDescent="0.25">
      <c r="A7552" t="s">
        <v>1457</v>
      </c>
      <c r="B7552" t="s">
        <v>2003</v>
      </c>
      <c r="C7552" t="s">
        <v>923</v>
      </c>
      <c r="D7552" t="s">
        <v>3063</v>
      </c>
      <c r="E7552" t="s">
        <v>3053</v>
      </c>
      <c r="F7552" t="s">
        <v>722</v>
      </c>
      <c r="G7552" t="s">
        <v>723</v>
      </c>
      <c r="H7552" t="s">
        <v>8061</v>
      </c>
      <c r="I7552">
        <v>35</v>
      </c>
      <c r="J7552">
        <v>0</v>
      </c>
      <c r="K7552">
        <v>0</v>
      </c>
      <c r="L7552">
        <v>35</v>
      </c>
      <c r="M7552">
        <v>0</v>
      </c>
      <c r="N7552">
        <v>0</v>
      </c>
      <c r="O7552">
        <v>0</v>
      </c>
    </row>
    <row r="7553" spans="1:15" x14ac:dyDescent="0.25">
      <c r="A7553" t="s">
        <v>1461</v>
      </c>
      <c r="B7553" t="s">
        <v>1927</v>
      </c>
      <c r="C7553" t="s">
        <v>927</v>
      </c>
      <c r="D7553" t="s">
        <v>3052</v>
      </c>
      <c r="E7553" t="s">
        <v>3053</v>
      </c>
      <c r="F7553" t="s">
        <v>722</v>
      </c>
      <c r="G7553" t="s">
        <v>723</v>
      </c>
      <c r="H7553" t="s">
        <v>10010</v>
      </c>
      <c r="I7553">
        <v>11</v>
      </c>
      <c r="J7553">
        <v>11</v>
      </c>
      <c r="K7553">
        <v>0</v>
      </c>
      <c r="L7553">
        <v>0</v>
      </c>
      <c r="M7553">
        <v>0</v>
      </c>
      <c r="N7553">
        <v>0</v>
      </c>
      <c r="O7553">
        <v>0</v>
      </c>
    </row>
    <row r="7554" spans="1:15" x14ac:dyDescent="0.25">
      <c r="A7554" t="s">
        <v>985</v>
      </c>
      <c r="B7554" t="s">
        <v>1964</v>
      </c>
      <c r="C7554" t="s">
        <v>923</v>
      </c>
      <c r="D7554" t="s">
        <v>3063</v>
      </c>
      <c r="E7554" t="s">
        <v>3053</v>
      </c>
      <c r="F7554" t="s">
        <v>722</v>
      </c>
      <c r="G7554" t="s">
        <v>723</v>
      </c>
      <c r="H7554" t="s">
        <v>8062</v>
      </c>
      <c r="I7554">
        <v>19</v>
      </c>
      <c r="J7554">
        <v>0</v>
      </c>
      <c r="K7554">
        <v>0</v>
      </c>
      <c r="L7554">
        <v>19</v>
      </c>
      <c r="M7554">
        <v>0</v>
      </c>
      <c r="N7554">
        <v>0</v>
      </c>
      <c r="O7554">
        <v>0</v>
      </c>
    </row>
    <row r="7555" spans="1:15" x14ac:dyDescent="0.25">
      <c r="A7555" t="s">
        <v>1473</v>
      </c>
      <c r="B7555" t="s">
        <v>2877</v>
      </c>
      <c r="C7555" t="s">
        <v>927</v>
      </c>
      <c r="D7555" t="s">
        <v>3052</v>
      </c>
      <c r="E7555" t="s">
        <v>3053</v>
      </c>
      <c r="F7555" t="s">
        <v>722</v>
      </c>
      <c r="G7555" t="s">
        <v>723</v>
      </c>
      <c r="H7555" t="s">
        <v>8063</v>
      </c>
      <c r="I7555">
        <v>38</v>
      </c>
      <c r="J7555">
        <v>26</v>
      </c>
      <c r="K7555">
        <v>0</v>
      </c>
      <c r="L7555">
        <v>0</v>
      </c>
      <c r="M7555">
        <v>0</v>
      </c>
      <c r="N7555">
        <v>0</v>
      </c>
      <c r="O7555">
        <v>12</v>
      </c>
    </row>
    <row r="7556" spans="1:15" x14ac:dyDescent="0.25">
      <c r="A7556" t="s">
        <v>935</v>
      </c>
      <c r="B7556" t="s">
        <v>1960</v>
      </c>
      <c r="C7556" t="s">
        <v>923</v>
      </c>
      <c r="D7556" t="s">
        <v>3063</v>
      </c>
      <c r="E7556" t="s">
        <v>3053</v>
      </c>
      <c r="F7556" t="s">
        <v>722</v>
      </c>
      <c r="G7556" t="s">
        <v>723</v>
      </c>
      <c r="H7556" t="s">
        <v>8064</v>
      </c>
      <c r="I7556">
        <v>6</v>
      </c>
      <c r="J7556">
        <v>0</v>
      </c>
      <c r="K7556">
        <v>0</v>
      </c>
      <c r="L7556">
        <v>6</v>
      </c>
      <c r="M7556">
        <v>0</v>
      </c>
      <c r="N7556">
        <v>0</v>
      </c>
      <c r="O7556">
        <v>0</v>
      </c>
    </row>
    <row r="7557" spans="1:15" x14ac:dyDescent="0.25">
      <c r="A7557" t="s">
        <v>1479</v>
      </c>
      <c r="B7557" t="s">
        <v>2050</v>
      </c>
      <c r="C7557" t="s">
        <v>923</v>
      </c>
      <c r="D7557" t="s">
        <v>3063</v>
      </c>
      <c r="E7557" t="s">
        <v>3053</v>
      </c>
      <c r="F7557" t="s">
        <v>722</v>
      </c>
      <c r="G7557" t="s">
        <v>723</v>
      </c>
      <c r="H7557" t="s">
        <v>15257</v>
      </c>
      <c r="I7557">
        <v>8</v>
      </c>
      <c r="J7557">
        <v>0</v>
      </c>
      <c r="K7557">
        <v>0</v>
      </c>
      <c r="L7557">
        <v>8</v>
      </c>
      <c r="M7557">
        <v>0</v>
      </c>
      <c r="N7557">
        <v>0</v>
      </c>
      <c r="O7557">
        <v>0</v>
      </c>
    </row>
    <row r="7558" spans="1:15" x14ac:dyDescent="0.25">
      <c r="A7558" t="s">
        <v>1416</v>
      </c>
      <c r="B7558" t="s">
        <v>2029</v>
      </c>
      <c r="C7558" t="s">
        <v>923</v>
      </c>
      <c r="D7558" t="s">
        <v>3063</v>
      </c>
      <c r="E7558" t="s">
        <v>3053</v>
      </c>
      <c r="F7558" t="s">
        <v>722</v>
      </c>
      <c r="G7558" t="s">
        <v>723</v>
      </c>
      <c r="H7558" t="s">
        <v>12363</v>
      </c>
      <c r="I7558">
        <v>1</v>
      </c>
      <c r="J7558">
        <v>0</v>
      </c>
      <c r="K7558">
        <v>0</v>
      </c>
      <c r="L7558">
        <v>1</v>
      </c>
      <c r="M7558">
        <v>0</v>
      </c>
      <c r="N7558">
        <v>0</v>
      </c>
      <c r="O7558">
        <v>0</v>
      </c>
    </row>
    <row r="7559" spans="1:15" x14ac:dyDescent="0.25">
      <c r="A7559" t="s">
        <v>1006</v>
      </c>
      <c r="B7559" t="s">
        <v>2724</v>
      </c>
      <c r="C7559" t="s">
        <v>927</v>
      </c>
      <c r="D7559" t="s">
        <v>3052</v>
      </c>
      <c r="E7559" t="s">
        <v>3053</v>
      </c>
      <c r="F7559" t="s">
        <v>722</v>
      </c>
      <c r="G7559" t="s">
        <v>723</v>
      </c>
      <c r="H7559" t="s">
        <v>8065</v>
      </c>
      <c r="I7559">
        <v>237</v>
      </c>
      <c r="J7559">
        <v>122</v>
      </c>
      <c r="K7559">
        <v>0</v>
      </c>
      <c r="L7559">
        <v>11</v>
      </c>
      <c r="M7559">
        <v>0</v>
      </c>
      <c r="N7559">
        <v>0</v>
      </c>
      <c r="O7559">
        <v>104</v>
      </c>
    </row>
    <row r="7560" spans="1:15" x14ac:dyDescent="0.25">
      <c r="A7560" t="s">
        <v>1008</v>
      </c>
      <c r="B7560" t="s">
        <v>2928</v>
      </c>
      <c r="C7560" t="s">
        <v>927</v>
      </c>
      <c r="D7560" t="s">
        <v>3052</v>
      </c>
      <c r="E7560" t="s">
        <v>3053</v>
      </c>
      <c r="F7560" t="s">
        <v>722</v>
      </c>
      <c r="G7560" t="s">
        <v>723</v>
      </c>
      <c r="H7560" t="s">
        <v>8066</v>
      </c>
      <c r="I7560">
        <v>2</v>
      </c>
      <c r="J7560">
        <v>2</v>
      </c>
      <c r="K7560">
        <v>0</v>
      </c>
      <c r="L7560">
        <v>0</v>
      </c>
      <c r="M7560">
        <v>0</v>
      </c>
      <c r="N7560">
        <v>0</v>
      </c>
      <c r="O7560">
        <v>0</v>
      </c>
    </row>
    <row r="7561" spans="1:15" x14ac:dyDescent="0.25">
      <c r="A7561" t="s">
        <v>1009</v>
      </c>
      <c r="B7561" t="s">
        <v>1958</v>
      </c>
      <c r="C7561" t="s">
        <v>923</v>
      </c>
      <c r="D7561" t="s">
        <v>3063</v>
      </c>
      <c r="E7561" t="s">
        <v>3053</v>
      </c>
      <c r="F7561" t="s">
        <v>722</v>
      </c>
      <c r="G7561" t="s">
        <v>723</v>
      </c>
      <c r="H7561" t="s">
        <v>8067</v>
      </c>
      <c r="I7561">
        <v>6</v>
      </c>
      <c r="J7561">
        <v>0</v>
      </c>
      <c r="K7561">
        <v>0</v>
      </c>
      <c r="L7561">
        <v>6</v>
      </c>
      <c r="M7561">
        <v>0</v>
      </c>
      <c r="N7561">
        <v>0</v>
      </c>
      <c r="O7561">
        <v>0</v>
      </c>
    </row>
    <row r="7562" spans="1:15" x14ac:dyDescent="0.25">
      <c r="A7562" t="s">
        <v>937</v>
      </c>
      <c r="B7562" t="s">
        <v>1962</v>
      </c>
      <c r="C7562" t="s">
        <v>927</v>
      </c>
      <c r="D7562" t="s">
        <v>3052</v>
      </c>
      <c r="E7562" t="s">
        <v>3053</v>
      </c>
      <c r="F7562" t="s">
        <v>722</v>
      </c>
      <c r="G7562" t="s">
        <v>723</v>
      </c>
      <c r="H7562" t="s">
        <v>8068</v>
      </c>
      <c r="I7562">
        <v>49</v>
      </c>
      <c r="J7562">
        <v>0</v>
      </c>
      <c r="K7562">
        <v>0</v>
      </c>
      <c r="L7562">
        <v>0</v>
      </c>
      <c r="M7562">
        <v>0</v>
      </c>
      <c r="N7562">
        <v>0</v>
      </c>
      <c r="O7562">
        <v>49</v>
      </c>
    </row>
    <row r="7563" spans="1:15" x14ac:dyDescent="0.25">
      <c r="A7563" t="s">
        <v>1011</v>
      </c>
      <c r="B7563" t="s">
        <v>2020</v>
      </c>
      <c r="C7563" t="s">
        <v>927</v>
      </c>
      <c r="D7563" t="s">
        <v>3052</v>
      </c>
      <c r="E7563" t="s">
        <v>3053</v>
      </c>
      <c r="F7563" t="s">
        <v>722</v>
      </c>
      <c r="G7563" t="s">
        <v>723</v>
      </c>
      <c r="H7563" t="s">
        <v>10112</v>
      </c>
      <c r="I7563">
        <v>1</v>
      </c>
      <c r="J7563">
        <v>0</v>
      </c>
      <c r="K7563">
        <v>0</v>
      </c>
      <c r="L7563">
        <v>1</v>
      </c>
      <c r="M7563">
        <v>0</v>
      </c>
      <c r="N7563">
        <v>0</v>
      </c>
      <c r="O7563">
        <v>0</v>
      </c>
    </row>
    <row r="7564" spans="1:15" x14ac:dyDescent="0.25">
      <c r="A7564" t="s">
        <v>938</v>
      </c>
      <c r="B7564" t="s">
        <v>2791</v>
      </c>
      <c r="C7564" t="s">
        <v>927</v>
      </c>
      <c r="D7564" t="s">
        <v>3052</v>
      </c>
      <c r="E7564" t="s">
        <v>3053</v>
      </c>
      <c r="F7564" t="s">
        <v>722</v>
      </c>
      <c r="G7564" t="s">
        <v>723</v>
      </c>
      <c r="H7564" t="s">
        <v>8069</v>
      </c>
      <c r="I7564">
        <v>9</v>
      </c>
      <c r="J7564">
        <v>0</v>
      </c>
      <c r="K7564">
        <v>0</v>
      </c>
      <c r="L7564">
        <v>9</v>
      </c>
      <c r="M7564">
        <v>0</v>
      </c>
      <c r="N7564">
        <v>0</v>
      </c>
      <c r="O7564">
        <v>0</v>
      </c>
    </row>
    <row r="7565" spans="1:15" x14ac:dyDescent="0.25">
      <c r="A7565" t="s">
        <v>9819</v>
      </c>
      <c r="B7565" t="s">
        <v>2916</v>
      </c>
      <c r="C7565" t="s">
        <v>927</v>
      </c>
      <c r="D7565" t="s">
        <v>3052</v>
      </c>
      <c r="E7565" t="s">
        <v>3053</v>
      </c>
      <c r="F7565" t="s">
        <v>722</v>
      </c>
      <c r="G7565" t="s">
        <v>723</v>
      </c>
      <c r="H7565" t="s">
        <v>10146</v>
      </c>
      <c r="I7565">
        <v>91</v>
      </c>
      <c r="J7565">
        <v>55</v>
      </c>
      <c r="K7565">
        <v>0</v>
      </c>
      <c r="L7565">
        <v>0</v>
      </c>
      <c r="M7565">
        <v>0</v>
      </c>
      <c r="N7565">
        <v>0</v>
      </c>
      <c r="O7565">
        <v>36</v>
      </c>
    </row>
    <row r="7566" spans="1:15" x14ac:dyDescent="0.25">
      <c r="A7566" t="s">
        <v>1302</v>
      </c>
      <c r="B7566" t="s">
        <v>1961</v>
      </c>
      <c r="C7566" t="s">
        <v>923</v>
      </c>
      <c r="D7566" t="s">
        <v>3063</v>
      </c>
      <c r="E7566" t="s">
        <v>3053</v>
      </c>
      <c r="F7566" t="s">
        <v>722</v>
      </c>
      <c r="G7566" t="s">
        <v>723</v>
      </c>
      <c r="H7566" t="s">
        <v>8070</v>
      </c>
      <c r="I7566">
        <v>19</v>
      </c>
      <c r="J7566">
        <v>0</v>
      </c>
      <c r="K7566">
        <v>0</v>
      </c>
      <c r="L7566">
        <v>19</v>
      </c>
      <c r="M7566">
        <v>0</v>
      </c>
      <c r="N7566">
        <v>0</v>
      </c>
      <c r="O7566">
        <v>0</v>
      </c>
    </row>
    <row r="7567" spans="1:15" x14ac:dyDescent="0.25">
      <c r="A7567" t="s">
        <v>1521</v>
      </c>
      <c r="B7567" t="s">
        <v>2920</v>
      </c>
      <c r="C7567" t="s">
        <v>927</v>
      </c>
      <c r="D7567" t="s">
        <v>3052</v>
      </c>
      <c r="E7567" t="s">
        <v>3053</v>
      </c>
      <c r="F7567" t="s">
        <v>722</v>
      </c>
      <c r="G7567" t="s">
        <v>723</v>
      </c>
      <c r="H7567" t="s">
        <v>11328</v>
      </c>
      <c r="I7567">
        <v>331</v>
      </c>
      <c r="J7567">
        <v>183</v>
      </c>
      <c r="K7567">
        <v>0</v>
      </c>
      <c r="L7567">
        <v>0</v>
      </c>
      <c r="M7567">
        <v>82</v>
      </c>
      <c r="N7567">
        <v>0</v>
      </c>
      <c r="O7567">
        <v>66</v>
      </c>
    </row>
    <row r="7568" spans="1:15" x14ac:dyDescent="0.25">
      <c r="A7568" t="s">
        <v>1046</v>
      </c>
      <c r="B7568" t="s">
        <v>2027</v>
      </c>
      <c r="C7568" t="s">
        <v>923</v>
      </c>
      <c r="D7568" t="s">
        <v>3063</v>
      </c>
      <c r="E7568" t="s">
        <v>3053</v>
      </c>
      <c r="F7568" t="s">
        <v>722</v>
      </c>
      <c r="G7568" t="s">
        <v>723</v>
      </c>
      <c r="H7568" t="s">
        <v>8071</v>
      </c>
      <c r="I7568">
        <v>4</v>
      </c>
      <c r="J7568">
        <v>2</v>
      </c>
      <c r="K7568">
        <v>0</v>
      </c>
      <c r="L7568">
        <v>2</v>
      </c>
      <c r="M7568">
        <v>0</v>
      </c>
      <c r="N7568">
        <v>0</v>
      </c>
      <c r="O7568">
        <v>0</v>
      </c>
    </row>
    <row r="7569" spans="1:15" x14ac:dyDescent="0.25">
      <c r="A7569" t="s">
        <v>951</v>
      </c>
      <c r="B7569" t="s">
        <v>2680</v>
      </c>
      <c r="C7569" t="s">
        <v>927</v>
      </c>
      <c r="D7569" t="s">
        <v>3052</v>
      </c>
      <c r="E7569" t="s">
        <v>3053</v>
      </c>
      <c r="F7569" t="s">
        <v>722</v>
      </c>
      <c r="G7569" t="s">
        <v>723</v>
      </c>
      <c r="H7569" t="s">
        <v>8072</v>
      </c>
      <c r="I7569">
        <v>92</v>
      </c>
      <c r="J7569">
        <v>57</v>
      </c>
      <c r="K7569">
        <v>0</v>
      </c>
      <c r="L7569">
        <v>0</v>
      </c>
      <c r="M7569">
        <v>2</v>
      </c>
      <c r="N7569">
        <v>0</v>
      </c>
      <c r="O7569">
        <v>33</v>
      </c>
    </row>
    <row r="7570" spans="1:15" x14ac:dyDescent="0.25">
      <c r="A7570" t="s">
        <v>1048</v>
      </c>
      <c r="B7570" t="s">
        <v>2989</v>
      </c>
      <c r="C7570" t="s">
        <v>927</v>
      </c>
      <c r="D7570" t="s">
        <v>3052</v>
      </c>
      <c r="E7570" t="s">
        <v>3053</v>
      </c>
      <c r="F7570" t="s">
        <v>722</v>
      </c>
      <c r="G7570" t="s">
        <v>723</v>
      </c>
      <c r="H7570" t="s">
        <v>8073</v>
      </c>
      <c r="I7570">
        <v>29</v>
      </c>
      <c r="J7570">
        <v>0</v>
      </c>
      <c r="K7570">
        <v>0</v>
      </c>
      <c r="L7570">
        <v>29</v>
      </c>
      <c r="M7570">
        <v>0</v>
      </c>
      <c r="N7570">
        <v>0</v>
      </c>
      <c r="O7570">
        <v>0</v>
      </c>
    </row>
    <row r="7571" spans="1:15" x14ac:dyDescent="0.25">
      <c r="A7571" t="s">
        <v>1051</v>
      </c>
      <c r="B7571" t="s">
        <v>2995</v>
      </c>
      <c r="C7571" t="s">
        <v>927</v>
      </c>
      <c r="D7571" t="s">
        <v>3052</v>
      </c>
      <c r="E7571" t="s">
        <v>3053</v>
      </c>
      <c r="F7571" t="s">
        <v>722</v>
      </c>
      <c r="G7571" t="s">
        <v>723</v>
      </c>
      <c r="H7571" t="s">
        <v>8074</v>
      </c>
      <c r="I7571">
        <v>3768</v>
      </c>
      <c r="J7571">
        <v>2765</v>
      </c>
      <c r="K7571">
        <v>3</v>
      </c>
      <c r="L7571">
        <v>83</v>
      </c>
      <c r="M7571">
        <v>848</v>
      </c>
      <c r="N7571">
        <v>9</v>
      </c>
      <c r="O7571">
        <v>69</v>
      </c>
    </row>
    <row r="7572" spans="1:15" x14ac:dyDescent="0.25">
      <c r="A7572" t="s">
        <v>1529</v>
      </c>
      <c r="B7572" t="s">
        <v>1954</v>
      </c>
      <c r="C7572" t="s">
        <v>927</v>
      </c>
      <c r="D7572" t="s">
        <v>3052</v>
      </c>
      <c r="E7572" t="s">
        <v>3053</v>
      </c>
      <c r="F7572" t="s">
        <v>722</v>
      </c>
      <c r="G7572" t="s">
        <v>723</v>
      </c>
      <c r="H7572" t="s">
        <v>8075</v>
      </c>
      <c r="I7572">
        <v>4</v>
      </c>
      <c r="J7572">
        <v>0</v>
      </c>
      <c r="K7572">
        <v>0</v>
      </c>
      <c r="L7572">
        <v>4</v>
      </c>
      <c r="M7572">
        <v>0</v>
      </c>
      <c r="N7572">
        <v>0</v>
      </c>
      <c r="O7572">
        <v>0</v>
      </c>
    </row>
    <row r="7573" spans="1:15" x14ac:dyDescent="0.25">
      <c r="A7573" t="s">
        <v>11720</v>
      </c>
      <c r="B7573" t="s">
        <v>10718</v>
      </c>
      <c r="C7573" t="s">
        <v>927</v>
      </c>
      <c r="D7573" t="s">
        <v>3052</v>
      </c>
      <c r="E7573" t="s">
        <v>3053</v>
      </c>
      <c r="F7573" t="s">
        <v>722</v>
      </c>
      <c r="G7573" t="s">
        <v>723</v>
      </c>
      <c r="H7573" t="s">
        <v>15258</v>
      </c>
      <c r="I7573">
        <v>1</v>
      </c>
      <c r="J7573">
        <v>0</v>
      </c>
      <c r="K7573">
        <v>0</v>
      </c>
      <c r="L7573">
        <v>0</v>
      </c>
      <c r="M7573">
        <v>0</v>
      </c>
      <c r="N7573">
        <v>0</v>
      </c>
      <c r="O7573">
        <v>1</v>
      </c>
    </row>
    <row r="7574" spans="1:15" x14ac:dyDescent="0.25">
      <c r="A7574" t="s">
        <v>1057</v>
      </c>
      <c r="B7574" t="s">
        <v>1972</v>
      </c>
      <c r="C7574" t="s">
        <v>927</v>
      </c>
      <c r="D7574" t="s">
        <v>3052</v>
      </c>
      <c r="E7574" t="s">
        <v>3053</v>
      </c>
      <c r="F7574" t="s">
        <v>722</v>
      </c>
      <c r="G7574" t="s">
        <v>723</v>
      </c>
      <c r="H7574" t="s">
        <v>10405</v>
      </c>
      <c r="I7574">
        <v>5</v>
      </c>
      <c r="J7574">
        <v>0</v>
      </c>
      <c r="K7574">
        <v>0</v>
      </c>
      <c r="L7574">
        <v>5</v>
      </c>
      <c r="M7574">
        <v>0</v>
      </c>
      <c r="N7574">
        <v>0</v>
      </c>
      <c r="O7574">
        <v>0</v>
      </c>
    </row>
    <row r="7575" spans="1:15" x14ac:dyDescent="0.25">
      <c r="A7575" t="s">
        <v>1075</v>
      </c>
      <c r="B7575" t="s">
        <v>2830</v>
      </c>
      <c r="C7575" t="s">
        <v>927</v>
      </c>
      <c r="D7575" t="s">
        <v>3052</v>
      </c>
      <c r="E7575" t="s">
        <v>3053</v>
      </c>
      <c r="F7575" t="s">
        <v>722</v>
      </c>
      <c r="G7575" t="s">
        <v>723</v>
      </c>
      <c r="H7575" t="s">
        <v>10500</v>
      </c>
      <c r="I7575">
        <v>114</v>
      </c>
      <c r="J7575">
        <v>85</v>
      </c>
      <c r="K7575">
        <v>0</v>
      </c>
      <c r="L7575">
        <v>0</v>
      </c>
      <c r="M7575">
        <v>0</v>
      </c>
      <c r="N7575">
        <v>0</v>
      </c>
      <c r="O7575">
        <v>29</v>
      </c>
    </row>
    <row r="7576" spans="1:15" x14ac:dyDescent="0.25">
      <c r="A7576" t="s">
        <v>1083</v>
      </c>
      <c r="B7576" t="s">
        <v>2757</v>
      </c>
      <c r="C7576" t="s">
        <v>927</v>
      </c>
      <c r="D7576" t="s">
        <v>3052</v>
      </c>
      <c r="E7576" t="s">
        <v>3053</v>
      </c>
      <c r="F7576" t="s">
        <v>722</v>
      </c>
      <c r="G7576" t="s">
        <v>723</v>
      </c>
      <c r="H7576" t="s">
        <v>8076</v>
      </c>
      <c r="I7576">
        <v>344</v>
      </c>
      <c r="J7576">
        <v>212</v>
      </c>
      <c r="K7576">
        <v>0</v>
      </c>
      <c r="L7576">
        <v>16</v>
      </c>
      <c r="M7576">
        <v>111</v>
      </c>
      <c r="N7576">
        <v>1</v>
      </c>
      <c r="O7576">
        <v>5</v>
      </c>
    </row>
    <row r="7577" spans="1:15" x14ac:dyDescent="0.25">
      <c r="A7577" t="s">
        <v>929</v>
      </c>
      <c r="B7577" t="s">
        <v>2999</v>
      </c>
      <c r="C7577" t="s">
        <v>927</v>
      </c>
      <c r="D7577" t="s">
        <v>3052</v>
      </c>
      <c r="E7577" t="s">
        <v>3053</v>
      </c>
      <c r="F7577" t="s">
        <v>724</v>
      </c>
      <c r="G7577" t="s">
        <v>725</v>
      </c>
      <c r="H7577" t="s">
        <v>8077</v>
      </c>
      <c r="I7577">
        <v>29</v>
      </c>
      <c r="J7577">
        <v>0</v>
      </c>
      <c r="K7577">
        <v>0</v>
      </c>
      <c r="L7577">
        <v>0</v>
      </c>
      <c r="M7577">
        <v>29</v>
      </c>
      <c r="N7577">
        <v>0</v>
      </c>
      <c r="O7577">
        <v>0</v>
      </c>
    </row>
    <row r="7578" spans="1:15" x14ac:dyDescent="0.25">
      <c r="A7578" t="s">
        <v>1456</v>
      </c>
      <c r="B7578" t="s">
        <v>2844</v>
      </c>
      <c r="C7578" t="s">
        <v>927</v>
      </c>
      <c r="D7578" t="s">
        <v>3052</v>
      </c>
      <c r="E7578" t="s">
        <v>3053</v>
      </c>
      <c r="F7578" t="s">
        <v>724</v>
      </c>
      <c r="G7578" t="s">
        <v>725</v>
      </c>
      <c r="H7578" t="s">
        <v>15259</v>
      </c>
      <c r="I7578">
        <v>9</v>
      </c>
      <c r="J7578">
        <v>4</v>
      </c>
      <c r="K7578">
        <v>0</v>
      </c>
      <c r="L7578">
        <v>0</v>
      </c>
      <c r="M7578">
        <v>0</v>
      </c>
      <c r="N7578">
        <v>0</v>
      </c>
      <c r="O7578">
        <v>5</v>
      </c>
    </row>
    <row r="7579" spans="1:15" x14ac:dyDescent="0.25">
      <c r="A7579" t="s">
        <v>9790</v>
      </c>
      <c r="B7579" t="s">
        <v>1977</v>
      </c>
      <c r="C7579" t="s">
        <v>923</v>
      </c>
      <c r="D7579" t="s">
        <v>3063</v>
      </c>
      <c r="E7579" t="s">
        <v>3053</v>
      </c>
      <c r="F7579" t="s">
        <v>724</v>
      </c>
      <c r="G7579" t="s">
        <v>725</v>
      </c>
      <c r="H7579" t="s">
        <v>12364</v>
      </c>
      <c r="I7579">
        <v>3</v>
      </c>
      <c r="J7579">
        <v>0</v>
      </c>
      <c r="K7579">
        <v>0</v>
      </c>
      <c r="L7579">
        <v>3</v>
      </c>
      <c r="M7579">
        <v>0</v>
      </c>
      <c r="N7579">
        <v>0</v>
      </c>
      <c r="O7579">
        <v>0</v>
      </c>
    </row>
    <row r="7580" spans="1:15" x14ac:dyDescent="0.25">
      <c r="A7580" t="s">
        <v>9784</v>
      </c>
      <c r="B7580" t="s">
        <v>1994</v>
      </c>
      <c r="C7580" t="s">
        <v>927</v>
      </c>
      <c r="D7580" t="s">
        <v>3052</v>
      </c>
      <c r="E7580" t="s">
        <v>3053</v>
      </c>
      <c r="F7580" t="s">
        <v>724</v>
      </c>
      <c r="G7580" t="s">
        <v>725</v>
      </c>
      <c r="H7580" t="s">
        <v>9981</v>
      </c>
      <c r="I7580">
        <v>4</v>
      </c>
      <c r="J7580">
        <v>0</v>
      </c>
      <c r="K7580">
        <v>0</v>
      </c>
      <c r="L7580">
        <v>4</v>
      </c>
      <c r="M7580">
        <v>0</v>
      </c>
      <c r="N7580">
        <v>0</v>
      </c>
      <c r="O7580">
        <v>0</v>
      </c>
    </row>
    <row r="7581" spans="1:15" x14ac:dyDescent="0.25">
      <c r="A7581" t="s">
        <v>983</v>
      </c>
      <c r="B7581" t="s">
        <v>2069</v>
      </c>
      <c r="C7581" t="s">
        <v>927</v>
      </c>
      <c r="D7581" t="s">
        <v>3052</v>
      </c>
      <c r="E7581" t="s">
        <v>3053</v>
      </c>
      <c r="F7581" t="s">
        <v>724</v>
      </c>
      <c r="G7581" t="s">
        <v>725</v>
      </c>
      <c r="H7581" t="s">
        <v>8078</v>
      </c>
      <c r="I7581">
        <v>820</v>
      </c>
      <c r="J7581">
        <v>679</v>
      </c>
      <c r="K7581">
        <v>0</v>
      </c>
      <c r="L7581">
        <v>0</v>
      </c>
      <c r="M7581">
        <v>0</v>
      </c>
      <c r="N7581">
        <v>0</v>
      </c>
      <c r="O7581">
        <v>141</v>
      </c>
    </row>
    <row r="7582" spans="1:15" x14ac:dyDescent="0.25">
      <c r="A7582" t="s">
        <v>10643</v>
      </c>
      <c r="B7582" t="s">
        <v>2987</v>
      </c>
      <c r="C7582" t="s">
        <v>927</v>
      </c>
      <c r="D7582" t="s">
        <v>3052</v>
      </c>
      <c r="E7582" t="s">
        <v>3053</v>
      </c>
      <c r="F7582" t="s">
        <v>724</v>
      </c>
      <c r="G7582" t="s">
        <v>725</v>
      </c>
      <c r="H7582" t="s">
        <v>11329</v>
      </c>
      <c r="I7582">
        <v>117</v>
      </c>
      <c r="J7582">
        <v>85</v>
      </c>
      <c r="K7582">
        <v>0</v>
      </c>
      <c r="L7582">
        <v>22</v>
      </c>
      <c r="M7582">
        <v>0</v>
      </c>
      <c r="N7582">
        <v>1</v>
      </c>
      <c r="O7582">
        <v>10</v>
      </c>
    </row>
    <row r="7583" spans="1:15" x14ac:dyDescent="0.25">
      <c r="A7583" t="s">
        <v>937</v>
      </c>
      <c r="B7583" t="s">
        <v>1962</v>
      </c>
      <c r="C7583" t="s">
        <v>927</v>
      </c>
      <c r="D7583" t="s">
        <v>3052</v>
      </c>
      <c r="E7583" t="s">
        <v>3053</v>
      </c>
      <c r="F7583" t="s">
        <v>724</v>
      </c>
      <c r="G7583" t="s">
        <v>725</v>
      </c>
      <c r="H7583" t="s">
        <v>11330</v>
      </c>
      <c r="I7583">
        <v>26</v>
      </c>
      <c r="J7583">
        <v>0</v>
      </c>
      <c r="K7583">
        <v>0</v>
      </c>
      <c r="L7583">
        <v>0</v>
      </c>
      <c r="M7583">
        <v>0</v>
      </c>
      <c r="N7583">
        <v>0</v>
      </c>
      <c r="O7583">
        <v>26</v>
      </c>
    </row>
    <row r="7584" spans="1:15" x14ac:dyDescent="0.25">
      <c r="A7584" t="s">
        <v>10652</v>
      </c>
      <c r="B7584" t="s">
        <v>3002</v>
      </c>
      <c r="C7584" t="s">
        <v>927</v>
      </c>
      <c r="D7584" t="s">
        <v>3052</v>
      </c>
      <c r="E7584" t="s">
        <v>3053</v>
      </c>
      <c r="F7584" t="s">
        <v>724</v>
      </c>
      <c r="G7584" t="s">
        <v>725</v>
      </c>
      <c r="H7584" t="s">
        <v>11331</v>
      </c>
      <c r="I7584">
        <v>5666</v>
      </c>
      <c r="J7584">
        <v>4638</v>
      </c>
      <c r="K7584">
        <v>0</v>
      </c>
      <c r="L7584">
        <v>178</v>
      </c>
      <c r="M7584">
        <v>566</v>
      </c>
      <c r="N7584">
        <v>67</v>
      </c>
      <c r="O7584">
        <v>284</v>
      </c>
    </row>
    <row r="7585" spans="1:15" x14ac:dyDescent="0.25">
      <c r="A7585" t="s">
        <v>1013</v>
      </c>
      <c r="B7585" t="s">
        <v>1959</v>
      </c>
      <c r="C7585" t="s">
        <v>927</v>
      </c>
      <c r="D7585" t="s">
        <v>3052</v>
      </c>
      <c r="E7585" t="s">
        <v>3053</v>
      </c>
      <c r="F7585" t="s">
        <v>724</v>
      </c>
      <c r="G7585" t="s">
        <v>725</v>
      </c>
      <c r="H7585" t="s">
        <v>8079</v>
      </c>
      <c r="I7585">
        <v>9</v>
      </c>
      <c r="J7585">
        <v>0</v>
      </c>
      <c r="K7585">
        <v>0</v>
      </c>
      <c r="L7585">
        <v>9</v>
      </c>
      <c r="M7585">
        <v>0</v>
      </c>
      <c r="N7585">
        <v>0</v>
      </c>
      <c r="O7585">
        <v>0</v>
      </c>
    </row>
    <row r="7586" spans="1:15" x14ac:dyDescent="0.25">
      <c r="A7586" t="s">
        <v>1030</v>
      </c>
      <c r="B7586" t="s">
        <v>2880</v>
      </c>
      <c r="C7586" t="s">
        <v>927</v>
      </c>
      <c r="D7586" t="s">
        <v>3052</v>
      </c>
      <c r="E7586" t="s">
        <v>3053</v>
      </c>
      <c r="F7586" t="s">
        <v>724</v>
      </c>
      <c r="G7586" t="s">
        <v>725</v>
      </c>
      <c r="H7586" t="s">
        <v>8080</v>
      </c>
      <c r="I7586">
        <v>358</v>
      </c>
      <c r="J7586">
        <v>246</v>
      </c>
      <c r="K7586">
        <v>0</v>
      </c>
      <c r="L7586">
        <v>0</v>
      </c>
      <c r="M7586">
        <v>89</v>
      </c>
      <c r="N7586">
        <v>0</v>
      </c>
      <c r="O7586">
        <v>23</v>
      </c>
    </row>
    <row r="7587" spans="1:15" x14ac:dyDescent="0.25">
      <c r="A7587" t="s">
        <v>1044</v>
      </c>
      <c r="B7587" t="s">
        <v>2000</v>
      </c>
      <c r="C7587" t="s">
        <v>923</v>
      </c>
      <c r="D7587" t="s">
        <v>3063</v>
      </c>
      <c r="E7587" t="s">
        <v>3053</v>
      </c>
      <c r="F7587" t="s">
        <v>724</v>
      </c>
      <c r="G7587" t="s">
        <v>725</v>
      </c>
      <c r="H7587" t="s">
        <v>8081</v>
      </c>
      <c r="I7587">
        <v>8</v>
      </c>
      <c r="J7587">
        <v>0</v>
      </c>
      <c r="K7587">
        <v>0</v>
      </c>
      <c r="L7587">
        <v>8</v>
      </c>
      <c r="M7587">
        <v>0</v>
      </c>
      <c r="N7587">
        <v>0</v>
      </c>
      <c r="O7587">
        <v>0</v>
      </c>
    </row>
    <row r="7588" spans="1:15" x14ac:dyDescent="0.25">
      <c r="A7588" t="s">
        <v>11720</v>
      </c>
      <c r="B7588" t="s">
        <v>10718</v>
      </c>
      <c r="C7588" t="s">
        <v>927</v>
      </c>
      <c r="D7588" t="s">
        <v>3052</v>
      </c>
      <c r="E7588" t="s">
        <v>3053</v>
      </c>
      <c r="F7588" t="s">
        <v>724</v>
      </c>
      <c r="G7588" t="s">
        <v>725</v>
      </c>
      <c r="H7588" t="s">
        <v>15260</v>
      </c>
      <c r="I7588">
        <v>54</v>
      </c>
      <c r="J7588">
        <v>6</v>
      </c>
      <c r="K7588">
        <v>0</v>
      </c>
      <c r="L7588">
        <v>0</v>
      </c>
      <c r="M7588">
        <v>0</v>
      </c>
      <c r="N7588">
        <v>0</v>
      </c>
      <c r="O7588">
        <v>48</v>
      </c>
    </row>
    <row r="7589" spans="1:15" x14ac:dyDescent="0.25">
      <c r="A7589" t="s">
        <v>9788</v>
      </c>
      <c r="B7589" t="s">
        <v>9871</v>
      </c>
      <c r="C7589" t="s">
        <v>927</v>
      </c>
      <c r="D7589" t="s">
        <v>3052</v>
      </c>
      <c r="E7589" t="s">
        <v>3053</v>
      </c>
      <c r="F7589" t="s">
        <v>724</v>
      </c>
      <c r="G7589" t="s">
        <v>725</v>
      </c>
      <c r="H7589" t="s">
        <v>11332</v>
      </c>
      <c r="I7589">
        <v>67</v>
      </c>
      <c r="J7589">
        <v>67</v>
      </c>
      <c r="K7589">
        <v>0</v>
      </c>
      <c r="L7589">
        <v>0</v>
      </c>
      <c r="M7589">
        <v>0</v>
      </c>
      <c r="N7589">
        <v>0</v>
      </c>
      <c r="O7589">
        <v>0</v>
      </c>
    </row>
    <row r="7590" spans="1:15" x14ac:dyDescent="0.25">
      <c r="A7590" t="s">
        <v>955</v>
      </c>
      <c r="B7590" t="s">
        <v>2660</v>
      </c>
      <c r="C7590" t="s">
        <v>927</v>
      </c>
      <c r="D7590" t="s">
        <v>3052</v>
      </c>
      <c r="E7590" t="s">
        <v>3053</v>
      </c>
      <c r="F7590" t="s">
        <v>724</v>
      </c>
      <c r="G7590" t="s">
        <v>725</v>
      </c>
      <c r="H7590" t="s">
        <v>8082</v>
      </c>
      <c r="I7590">
        <v>53</v>
      </c>
      <c r="J7590">
        <v>53</v>
      </c>
      <c r="K7590">
        <v>0</v>
      </c>
      <c r="L7590">
        <v>0</v>
      </c>
      <c r="M7590">
        <v>0</v>
      </c>
      <c r="N7590">
        <v>0</v>
      </c>
      <c r="O7590">
        <v>0</v>
      </c>
    </row>
    <row r="7591" spans="1:15" x14ac:dyDescent="0.25">
      <c r="A7591" t="s">
        <v>14374</v>
      </c>
      <c r="B7591" t="s">
        <v>1943</v>
      </c>
      <c r="C7591" t="s">
        <v>927</v>
      </c>
      <c r="D7591" t="s">
        <v>3052</v>
      </c>
      <c r="E7591" t="s">
        <v>3053</v>
      </c>
      <c r="F7591" t="s">
        <v>724</v>
      </c>
      <c r="G7591" t="s">
        <v>725</v>
      </c>
      <c r="H7591" t="s">
        <v>15261</v>
      </c>
      <c r="I7591">
        <v>33</v>
      </c>
      <c r="J7591">
        <v>0</v>
      </c>
      <c r="K7591">
        <v>0</v>
      </c>
      <c r="L7591">
        <v>0</v>
      </c>
      <c r="M7591">
        <v>0</v>
      </c>
      <c r="N7591">
        <v>0</v>
      </c>
      <c r="O7591">
        <v>33</v>
      </c>
    </row>
    <row r="7592" spans="1:15" x14ac:dyDescent="0.25">
      <c r="A7592" t="s">
        <v>962</v>
      </c>
      <c r="B7592" t="s">
        <v>2752</v>
      </c>
      <c r="C7592" t="s">
        <v>927</v>
      </c>
      <c r="D7592" t="s">
        <v>3052</v>
      </c>
      <c r="E7592" t="s">
        <v>3053</v>
      </c>
      <c r="F7592" t="s">
        <v>724</v>
      </c>
      <c r="G7592" t="s">
        <v>725</v>
      </c>
      <c r="H7592" t="s">
        <v>12365</v>
      </c>
      <c r="I7592">
        <v>29</v>
      </c>
      <c r="J7592">
        <v>14</v>
      </c>
      <c r="K7592">
        <v>0</v>
      </c>
      <c r="L7592">
        <v>0</v>
      </c>
      <c r="M7592">
        <v>0</v>
      </c>
      <c r="N7592">
        <v>0</v>
      </c>
      <c r="O7592">
        <v>15</v>
      </c>
    </row>
    <row r="7593" spans="1:15" x14ac:dyDescent="0.25">
      <c r="A7593" t="s">
        <v>1861</v>
      </c>
      <c r="B7593" t="s">
        <v>3011</v>
      </c>
      <c r="C7593" t="s">
        <v>927</v>
      </c>
      <c r="D7593" t="s">
        <v>3052</v>
      </c>
      <c r="E7593" t="s">
        <v>3053</v>
      </c>
      <c r="F7593" t="s">
        <v>724</v>
      </c>
      <c r="G7593" t="s">
        <v>725</v>
      </c>
      <c r="H7593" t="s">
        <v>8083</v>
      </c>
      <c r="I7593">
        <v>141</v>
      </c>
      <c r="J7593">
        <v>82</v>
      </c>
      <c r="K7593">
        <v>0</v>
      </c>
      <c r="L7593">
        <v>52</v>
      </c>
      <c r="M7593">
        <v>0</v>
      </c>
      <c r="N7593">
        <v>0</v>
      </c>
      <c r="O7593">
        <v>7</v>
      </c>
    </row>
    <row r="7594" spans="1:15" x14ac:dyDescent="0.25">
      <c r="A7594" t="s">
        <v>1865</v>
      </c>
      <c r="B7594" t="s">
        <v>2866</v>
      </c>
      <c r="C7594" t="s">
        <v>927</v>
      </c>
      <c r="D7594" t="s">
        <v>3052</v>
      </c>
      <c r="E7594" t="s">
        <v>3053</v>
      </c>
      <c r="F7594" t="s">
        <v>724</v>
      </c>
      <c r="G7594" t="s">
        <v>725</v>
      </c>
      <c r="H7594" t="s">
        <v>8084</v>
      </c>
      <c r="I7594">
        <v>155</v>
      </c>
      <c r="J7594">
        <v>74</v>
      </c>
      <c r="K7594">
        <v>0</v>
      </c>
      <c r="L7594">
        <v>0</v>
      </c>
      <c r="M7594">
        <v>0</v>
      </c>
      <c r="N7594">
        <v>0</v>
      </c>
      <c r="O7594">
        <v>81</v>
      </c>
    </row>
    <row r="7595" spans="1:15" x14ac:dyDescent="0.25">
      <c r="A7595" t="s">
        <v>1080</v>
      </c>
      <c r="B7595" t="s">
        <v>2030</v>
      </c>
      <c r="C7595" t="s">
        <v>923</v>
      </c>
      <c r="D7595" t="s">
        <v>3063</v>
      </c>
      <c r="E7595" t="s">
        <v>3053</v>
      </c>
      <c r="F7595" t="s">
        <v>724</v>
      </c>
      <c r="G7595" t="s">
        <v>725</v>
      </c>
      <c r="H7595" t="s">
        <v>8085</v>
      </c>
      <c r="I7595">
        <v>3</v>
      </c>
      <c r="J7595">
        <v>0</v>
      </c>
      <c r="K7595">
        <v>0</v>
      </c>
      <c r="L7595">
        <v>3</v>
      </c>
      <c r="M7595">
        <v>0</v>
      </c>
      <c r="N7595">
        <v>0</v>
      </c>
      <c r="O7595">
        <v>0</v>
      </c>
    </row>
    <row r="7596" spans="1:15" x14ac:dyDescent="0.25">
      <c r="A7596" t="s">
        <v>971</v>
      </c>
      <c r="B7596" t="s">
        <v>2956</v>
      </c>
      <c r="C7596" t="s">
        <v>927</v>
      </c>
      <c r="D7596" t="s">
        <v>3052</v>
      </c>
      <c r="E7596" t="s">
        <v>3053</v>
      </c>
      <c r="F7596" t="s">
        <v>726</v>
      </c>
      <c r="G7596" t="s">
        <v>727</v>
      </c>
      <c r="H7596" t="s">
        <v>8086</v>
      </c>
      <c r="I7596">
        <v>7</v>
      </c>
      <c r="J7596">
        <v>7</v>
      </c>
      <c r="K7596">
        <v>0</v>
      </c>
      <c r="L7596">
        <v>0</v>
      </c>
      <c r="M7596">
        <v>0</v>
      </c>
      <c r="N7596">
        <v>0</v>
      </c>
      <c r="O7596">
        <v>0</v>
      </c>
    </row>
    <row r="7597" spans="1:15" x14ac:dyDescent="0.25">
      <c r="A7597" t="s">
        <v>929</v>
      </c>
      <c r="B7597" t="s">
        <v>2999</v>
      </c>
      <c r="C7597" t="s">
        <v>927</v>
      </c>
      <c r="D7597" t="s">
        <v>3052</v>
      </c>
      <c r="E7597" t="s">
        <v>3053</v>
      </c>
      <c r="F7597" t="s">
        <v>726</v>
      </c>
      <c r="G7597" t="s">
        <v>727</v>
      </c>
      <c r="H7597" t="s">
        <v>8087</v>
      </c>
      <c r="I7597">
        <v>294</v>
      </c>
      <c r="J7597">
        <v>0</v>
      </c>
      <c r="K7597">
        <v>0</v>
      </c>
      <c r="L7597">
        <v>0</v>
      </c>
      <c r="M7597">
        <v>263</v>
      </c>
      <c r="N7597">
        <v>0</v>
      </c>
      <c r="O7597">
        <v>31</v>
      </c>
    </row>
    <row r="7598" spans="1:15" x14ac:dyDescent="0.25">
      <c r="A7598" t="s">
        <v>1407</v>
      </c>
      <c r="B7598" t="s">
        <v>2109</v>
      </c>
      <c r="C7598" t="s">
        <v>927</v>
      </c>
      <c r="D7598" t="s">
        <v>3052</v>
      </c>
      <c r="E7598" t="s">
        <v>3053</v>
      </c>
      <c r="F7598" t="s">
        <v>726</v>
      </c>
      <c r="G7598" t="s">
        <v>727</v>
      </c>
      <c r="H7598" t="s">
        <v>8088</v>
      </c>
      <c r="I7598">
        <v>272</v>
      </c>
      <c r="J7598">
        <v>100</v>
      </c>
      <c r="K7598">
        <v>0</v>
      </c>
      <c r="L7598">
        <v>26</v>
      </c>
      <c r="M7598">
        <v>69</v>
      </c>
      <c r="N7598">
        <v>0</v>
      </c>
      <c r="O7598">
        <v>77</v>
      </c>
    </row>
    <row r="7599" spans="1:15" x14ac:dyDescent="0.25">
      <c r="A7599" t="s">
        <v>1409</v>
      </c>
      <c r="B7599" t="s">
        <v>2496</v>
      </c>
      <c r="C7599" t="s">
        <v>923</v>
      </c>
      <c r="D7599" t="s">
        <v>3063</v>
      </c>
      <c r="E7599" t="s">
        <v>3053</v>
      </c>
      <c r="F7599" t="s">
        <v>726</v>
      </c>
      <c r="G7599" t="s">
        <v>727</v>
      </c>
      <c r="H7599" t="s">
        <v>10011</v>
      </c>
      <c r="I7599">
        <v>29</v>
      </c>
      <c r="J7599">
        <v>29</v>
      </c>
      <c r="K7599">
        <v>0</v>
      </c>
      <c r="L7599">
        <v>0</v>
      </c>
      <c r="M7599">
        <v>0</v>
      </c>
      <c r="N7599">
        <v>0</v>
      </c>
      <c r="O7599">
        <v>0</v>
      </c>
    </row>
    <row r="7600" spans="1:15" x14ac:dyDescent="0.25">
      <c r="A7600" t="s">
        <v>996</v>
      </c>
      <c r="B7600" t="s">
        <v>1952</v>
      </c>
      <c r="C7600" t="s">
        <v>923</v>
      </c>
      <c r="D7600" t="s">
        <v>3063</v>
      </c>
      <c r="E7600" t="s">
        <v>3053</v>
      </c>
      <c r="F7600" t="s">
        <v>726</v>
      </c>
      <c r="G7600" t="s">
        <v>727</v>
      </c>
      <c r="H7600" t="s">
        <v>8089</v>
      </c>
      <c r="I7600">
        <v>9</v>
      </c>
      <c r="J7600">
        <v>0</v>
      </c>
      <c r="K7600">
        <v>0</v>
      </c>
      <c r="L7600">
        <v>9</v>
      </c>
      <c r="M7600">
        <v>0</v>
      </c>
      <c r="N7600">
        <v>0</v>
      </c>
      <c r="O7600">
        <v>0</v>
      </c>
    </row>
    <row r="7601" spans="1:15" x14ac:dyDescent="0.25">
      <c r="A7601" t="s">
        <v>1415</v>
      </c>
      <c r="B7601" t="s">
        <v>10618</v>
      </c>
      <c r="C7601" t="s">
        <v>927</v>
      </c>
      <c r="D7601" t="s">
        <v>3052</v>
      </c>
      <c r="E7601" t="s">
        <v>3053</v>
      </c>
      <c r="F7601" t="s">
        <v>726</v>
      </c>
      <c r="G7601" t="s">
        <v>727</v>
      </c>
      <c r="H7601" t="s">
        <v>8090</v>
      </c>
      <c r="I7601">
        <v>108</v>
      </c>
      <c r="J7601">
        <v>81</v>
      </c>
      <c r="K7601">
        <v>0</v>
      </c>
      <c r="L7601">
        <v>0</v>
      </c>
      <c r="M7601">
        <v>27</v>
      </c>
      <c r="N7601">
        <v>0</v>
      </c>
      <c r="O7601">
        <v>0</v>
      </c>
    </row>
    <row r="7602" spans="1:15" x14ac:dyDescent="0.25">
      <c r="A7602" t="s">
        <v>1418</v>
      </c>
      <c r="B7602" t="s">
        <v>2854</v>
      </c>
      <c r="C7602" t="s">
        <v>927</v>
      </c>
      <c r="D7602" t="s">
        <v>3052</v>
      </c>
      <c r="E7602" t="s">
        <v>3053</v>
      </c>
      <c r="F7602" t="s">
        <v>726</v>
      </c>
      <c r="G7602" t="s">
        <v>727</v>
      </c>
      <c r="H7602" t="s">
        <v>8091</v>
      </c>
      <c r="I7602">
        <v>25</v>
      </c>
      <c r="J7602">
        <v>25</v>
      </c>
      <c r="K7602">
        <v>0</v>
      </c>
      <c r="L7602">
        <v>0</v>
      </c>
      <c r="M7602">
        <v>0</v>
      </c>
      <c r="N7602">
        <v>0</v>
      </c>
      <c r="O7602">
        <v>0</v>
      </c>
    </row>
    <row r="7603" spans="1:15" x14ac:dyDescent="0.25">
      <c r="A7603" t="s">
        <v>10638</v>
      </c>
      <c r="B7603" t="s">
        <v>2057</v>
      </c>
      <c r="C7603" t="s">
        <v>927</v>
      </c>
      <c r="D7603" t="s">
        <v>3052</v>
      </c>
      <c r="E7603" t="s">
        <v>3053</v>
      </c>
      <c r="F7603" t="s">
        <v>726</v>
      </c>
      <c r="G7603" t="s">
        <v>727</v>
      </c>
      <c r="H7603" t="s">
        <v>11333</v>
      </c>
      <c r="I7603">
        <v>8</v>
      </c>
      <c r="J7603">
        <v>0</v>
      </c>
      <c r="K7603">
        <v>0</v>
      </c>
      <c r="L7603">
        <v>8</v>
      </c>
      <c r="M7603">
        <v>0</v>
      </c>
      <c r="N7603">
        <v>0</v>
      </c>
      <c r="O7603">
        <v>0</v>
      </c>
    </row>
    <row r="7604" spans="1:15" x14ac:dyDescent="0.25">
      <c r="A7604" t="s">
        <v>1009</v>
      </c>
      <c r="B7604" t="s">
        <v>1958</v>
      </c>
      <c r="C7604" t="s">
        <v>923</v>
      </c>
      <c r="D7604" t="s">
        <v>3063</v>
      </c>
      <c r="E7604" t="s">
        <v>3053</v>
      </c>
      <c r="F7604" t="s">
        <v>726</v>
      </c>
      <c r="G7604" t="s">
        <v>727</v>
      </c>
      <c r="H7604" t="s">
        <v>11334</v>
      </c>
      <c r="I7604">
        <v>1</v>
      </c>
      <c r="J7604">
        <v>0</v>
      </c>
      <c r="K7604">
        <v>0</v>
      </c>
      <c r="L7604">
        <v>1</v>
      </c>
      <c r="M7604">
        <v>0</v>
      </c>
      <c r="N7604">
        <v>0</v>
      </c>
      <c r="O7604">
        <v>0</v>
      </c>
    </row>
    <row r="7605" spans="1:15" x14ac:dyDescent="0.25">
      <c r="A7605" t="s">
        <v>937</v>
      </c>
      <c r="B7605" t="s">
        <v>1962</v>
      </c>
      <c r="C7605" t="s">
        <v>927</v>
      </c>
      <c r="D7605" t="s">
        <v>3052</v>
      </c>
      <c r="E7605" t="s">
        <v>3053</v>
      </c>
      <c r="F7605" t="s">
        <v>726</v>
      </c>
      <c r="G7605" t="s">
        <v>727</v>
      </c>
      <c r="H7605" t="s">
        <v>8092</v>
      </c>
      <c r="I7605">
        <v>37</v>
      </c>
      <c r="J7605">
        <v>0</v>
      </c>
      <c r="K7605">
        <v>0</v>
      </c>
      <c r="L7605">
        <v>0</v>
      </c>
      <c r="M7605">
        <v>0</v>
      </c>
      <c r="N7605">
        <v>0</v>
      </c>
      <c r="O7605">
        <v>37</v>
      </c>
    </row>
    <row r="7606" spans="1:15" x14ac:dyDescent="0.25">
      <c r="A7606" t="s">
        <v>938</v>
      </c>
      <c r="B7606" t="s">
        <v>2791</v>
      </c>
      <c r="C7606" t="s">
        <v>927</v>
      </c>
      <c r="D7606" t="s">
        <v>3052</v>
      </c>
      <c r="E7606" t="s">
        <v>3053</v>
      </c>
      <c r="F7606" t="s">
        <v>726</v>
      </c>
      <c r="G7606" t="s">
        <v>727</v>
      </c>
      <c r="H7606" t="s">
        <v>8093</v>
      </c>
      <c r="I7606">
        <v>1497</v>
      </c>
      <c r="J7606">
        <v>1348</v>
      </c>
      <c r="K7606">
        <v>0</v>
      </c>
      <c r="L7606">
        <v>36</v>
      </c>
      <c r="M7606">
        <v>56</v>
      </c>
      <c r="N7606">
        <v>0</v>
      </c>
      <c r="O7606">
        <v>57</v>
      </c>
    </row>
    <row r="7607" spans="1:15" x14ac:dyDescent="0.25">
      <c r="A7607" t="s">
        <v>940</v>
      </c>
      <c r="B7607" t="s">
        <v>2647</v>
      </c>
      <c r="C7607" t="s">
        <v>927</v>
      </c>
      <c r="D7607" t="s">
        <v>3052</v>
      </c>
      <c r="E7607" t="s">
        <v>3053</v>
      </c>
      <c r="F7607" t="s">
        <v>726</v>
      </c>
      <c r="G7607" t="s">
        <v>727</v>
      </c>
      <c r="H7607" t="s">
        <v>8094</v>
      </c>
      <c r="I7607">
        <v>50</v>
      </c>
      <c r="J7607">
        <v>0</v>
      </c>
      <c r="K7607">
        <v>0</v>
      </c>
      <c r="L7607">
        <v>0</v>
      </c>
      <c r="M7607">
        <v>50</v>
      </c>
      <c r="N7607">
        <v>0</v>
      </c>
      <c r="O7607">
        <v>0</v>
      </c>
    </row>
    <row r="7608" spans="1:15" x14ac:dyDescent="0.25">
      <c r="A7608" t="s">
        <v>11688</v>
      </c>
      <c r="B7608" t="s">
        <v>2194</v>
      </c>
      <c r="C7608" t="s">
        <v>923</v>
      </c>
      <c r="D7608" t="s">
        <v>3063</v>
      </c>
      <c r="E7608" t="s">
        <v>3053</v>
      </c>
      <c r="F7608" t="s">
        <v>726</v>
      </c>
      <c r="G7608" t="s">
        <v>727</v>
      </c>
      <c r="H7608" t="s">
        <v>12366</v>
      </c>
      <c r="I7608">
        <v>24</v>
      </c>
      <c r="J7608">
        <v>0</v>
      </c>
      <c r="K7608">
        <v>0</v>
      </c>
      <c r="L7608">
        <v>0</v>
      </c>
      <c r="M7608">
        <v>24</v>
      </c>
      <c r="N7608">
        <v>0</v>
      </c>
      <c r="O7608">
        <v>0</v>
      </c>
    </row>
    <row r="7609" spans="1:15" x14ac:dyDescent="0.25">
      <c r="A7609" t="s">
        <v>1427</v>
      </c>
      <c r="B7609" t="s">
        <v>2087</v>
      </c>
      <c r="C7609" t="s">
        <v>927</v>
      </c>
      <c r="D7609" t="s">
        <v>3052</v>
      </c>
      <c r="E7609" t="s">
        <v>3053</v>
      </c>
      <c r="F7609" t="s">
        <v>726</v>
      </c>
      <c r="G7609" t="s">
        <v>727</v>
      </c>
      <c r="H7609" t="s">
        <v>8095</v>
      </c>
      <c r="I7609">
        <v>1641</v>
      </c>
      <c r="J7609">
        <v>1472</v>
      </c>
      <c r="K7609">
        <v>0</v>
      </c>
      <c r="L7609">
        <v>61</v>
      </c>
      <c r="M7609">
        <v>62</v>
      </c>
      <c r="N7609">
        <v>0</v>
      </c>
      <c r="O7609">
        <v>46</v>
      </c>
    </row>
    <row r="7610" spans="1:15" x14ac:dyDescent="0.25">
      <c r="A7610" t="s">
        <v>1433</v>
      </c>
      <c r="B7610" t="s">
        <v>2914</v>
      </c>
      <c r="C7610" t="s">
        <v>927</v>
      </c>
      <c r="D7610" t="s">
        <v>3052</v>
      </c>
      <c r="E7610" t="s">
        <v>3053</v>
      </c>
      <c r="F7610" t="s">
        <v>726</v>
      </c>
      <c r="G7610" t="s">
        <v>727</v>
      </c>
      <c r="H7610" t="s">
        <v>8096</v>
      </c>
      <c r="I7610">
        <v>36</v>
      </c>
      <c r="J7610">
        <v>7</v>
      </c>
      <c r="K7610">
        <v>0</v>
      </c>
      <c r="L7610">
        <v>29</v>
      </c>
      <c r="M7610">
        <v>0</v>
      </c>
      <c r="N7610">
        <v>0</v>
      </c>
      <c r="O7610">
        <v>0</v>
      </c>
    </row>
    <row r="7611" spans="1:15" x14ac:dyDescent="0.25">
      <c r="A7611" t="s">
        <v>951</v>
      </c>
      <c r="B7611" t="s">
        <v>2680</v>
      </c>
      <c r="C7611" t="s">
        <v>927</v>
      </c>
      <c r="D7611" t="s">
        <v>3052</v>
      </c>
      <c r="E7611" t="s">
        <v>3053</v>
      </c>
      <c r="F7611" t="s">
        <v>726</v>
      </c>
      <c r="G7611" t="s">
        <v>727</v>
      </c>
      <c r="H7611" t="s">
        <v>8097</v>
      </c>
      <c r="I7611">
        <v>500</v>
      </c>
      <c r="J7611">
        <v>372</v>
      </c>
      <c r="K7611">
        <v>0</v>
      </c>
      <c r="L7611">
        <v>26</v>
      </c>
      <c r="M7611">
        <v>78</v>
      </c>
      <c r="N7611">
        <v>0</v>
      </c>
      <c r="O7611">
        <v>24</v>
      </c>
    </row>
    <row r="7612" spans="1:15" x14ac:dyDescent="0.25">
      <c r="A7612" t="s">
        <v>1048</v>
      </c>
      <c r="B7612" t="s">
        <v>2989</v>
      </c>
      <c r="C7612" t="s">
        <v>927</v>
      </c>
      <c r="D7612" t="s">
        <v>3052</v>
      </c>
      <c r="E7612" t="s">
        <v>3053</v>
      </c>
      <c r="F7612" t="s">
        <v>726</v>
      </c>
      <c r="G7612" t="s">
        <v>727</v>
      </c>
      <c r="H7612" t="s">
        <v>8098</v>
      </c>
      <c r="I7612">
        <v>56</v>
      </c>
      <c r="J7612">
        <v>1</v>
      </c>
      <c r="K7612">
        <v>0</v>
      </c>
      <c r="L7612">
        <v>55</v>
      </c>
      <c r="M7612">
        <v>0</v>
      </c>
      <c r="N7612">
        <v>0</v>
      </c>
      <c r="O7612">
        <v>0</v>
      </c>
    </row>
    <row r="7613" spans="1:15" x14ac:dyDescent="0.25">
      <c r="A7613" t="s">
        <v>1436</v>
      </c>
      <c r="B7613" t="s">
        <v>2209</v>
      </c>
      <c r="C7613" t="s">
        <v>927</v>
      </c>
      <c r="D7613" t="s">
        <v>3052</v>
      </c>
      <c r="E7613" t="s">
        <v>3053</v>
      </c>
      <c r="F7613" t="s">
        <v>726</v>
      </c>
      <c r="G7613" t="s">
        <v>727</v>
      </c>
      <c r="H7613" t="s">
        <v>8099</v>
      </c>
      <c r="I7613">
        <v>32</v>
      </c>
      <c r="J7613">
        <v>6</v>
      </c>
      <c r="K7613">
        <v>0</v>
      </c>
      <c r="L7613">
        <v>0</v>
      </c>
      <c r="M7613">
        <v>10</v>
      </c>
      <c r="N7613">
        <v>2</v>
      </c>
      <c r="O7613">
        <v>16</v>
      </c>
    </row>
    <row r="7614" spans="1:15" x14ac:dyDescent="0.25">
      <c r="A7614" t="s">
        <v>955</v>
      </c>
      <c r="B7614" t="s">
        <v>2660</v>
      </c>
      <c r="C7614" t="s">
        <v>927</v>
      </c>
      <c r="D7614" t="s">
        <v>3052</v>
      </c>
      <c r="E7614" t="s">
        <v>3053</v>
      </c>
      <c r="F7614" t="s">
        <v>726</v>
      </c>
      <c r="G7614" t="s">
        <v>727</v>
      </c>
      <c r="H7614" t="s">
        <v>8100</v>
      </c>
      <c r="I7614">
        <v>7</v>
      </c>
      <c r="J7614">
        <v>0</v>
      </c>
      <c r="K7614">
        <v>0</v>
      </c>
      <c r="L7614">
        <v>7</v>
      </c>
      <c r="M7614">
        <v>0</v>
      </c>
      <c r="N7614">
        <v>0</v>
      </c>
      <c r="O7614">
        <v>0</v>
      </c>
    </row>
    <row r="7615" spans="1:15" x14ac:dyDescent="0.25">
      <c r="A7615" t="s">
        <v>1442</v>
      </c>
      <c r="B7615" t="s">
        <v>2017</v>
      </c>
      <c r="C7615" t="s">
        <v>923</v>
      </c>
      <c r="D7615" t="s">
        <v>3063</v>
      </c>
      <c r="E7615" t="s">
        <v>3053</v>
      </c>
      <c r="F7615" t="s">
        <v>726</v>
      </c>
      <c r="G7615" t="s">
        <v>727</v>
      </c>
      <c r="H7615" t="s">
        <v>8101</v>
      </c>
      <c r="I7615">
        <v>22</v>
      </c>
      <c r="J7615">
        <v>13</v>
      </c>
      <c r="K7615">
        <v>0</v>
      </c>
      <c r="L7615">
        <v>9</v>
      </c>
      <c r="M7615">
        <v>0</v>
      </c>
      <c r="N7615">
        <v>0</v>
      </c>
      <c r="O7615">
        <v>0</v>
      </c>
    </row>
    <row r="7616" spans="1:15" x14ac:dyDescent="0.25">
      <c r="A7616" t="s">
        <v>1072</v>
      </c>
      <c r="B7616" t="s">
        <v>2907</v>
      </c>
      <c r="C7616" t="s">
        <v>927</v>
      </c>
      <c r="D7616" t="s">
        <v>3052</v>
      </c>
      <c r="E7616" t="s">
        <v>3053</v>
      </c>
      <c r="F7616" t="s">
        <v>726</v>
      </c>
      <c r="G7616" t="s">
        <v>727</v>
      </c>
      <c r="H7616" t="s">
        <v>8102</v>
      </c>
      <c r="I7616">
        <v>916</v>
      </c>
      <c r="J7616">
        <v>757</v>
      </c>
      <c r="K7616">
        <v>0</v>
      </c>
      <c r="L7616">
        <v>23</v>
      </c>
      <c r="M7616">
        <v>136</v>
      </c>
      <c r="N7616">
        <v>8</v>
      </c>
      <c r="O7616">
        <v>0</v>
      </c>
    </row>
    <row r="7617" spans="1:15" x14ac:dyDescent="0.25">
      <c r="A7617" t="s">
        <v>1180</v>
      </c>
      <c r="B7617" t="s">
        <v>2896</v>
      </c>
      <c r="C7617" t="s">
        <v>927</v>
      </c>
      <c r="D7617" t="s">
        <v>3052</v>
      </c>
      <c r="E7617" t="s">
        <v>3053</v>
      </c>
      <c r="F7617" t="s">
        <v>726</v>
      </c>
      <c r="G7617" t="s">
        <v>727</v>
      </c>
      <c r="H7617" t="s">
        <v>8103</v>
      </c>
      <c r="I7617">
        <v>7</v>
      </c>
      <c r="J7617">
        <v>7</v>
      </c>
      <c r="K7617">
        <v>0</v>
      </c>
      <c r="L7617">
        <v>0</v>
      </c>
      <c r="M7617">
        <v>0</v>
      </c>
      <c r="N7617">
        <v>0</v>
      </c>
      <c r="O7617">
        <v>0</v>
      </c>
    </row>
    <row r="7618" spans="1:15" x14ac:dyDescent="0.25">
      <c r="A7618" t="s">
        <v>1447</v>
      </c>
      <c r="B7618" t="s">
        <v>3018</v>
      </c>
      <c r="C7618" t="s">
        <v>923</v>
      </c>
      <c r="D7618" t="s">
        <v>3063</v>
      </c>
      <c r="E7618" t="s">
        <v>3053</v>
      </c>
      <c r="F7618" t="s">
        <v>726</v>
      </c>
      <c r="G7618" t="s">
        <v>727</v>
      </c>
      <c r="H7618" t="s">
        <v>8104</v>
      </c>
      <c r="I7618">
        <v>52</v>
      </c>
      <c r="J7618">
        <v>0</v>
      </c>
      <c r="K7618">
        <v>0</v>
      </c>
      <c r="L7618">
        <v>52</v>
      </c>
      <c r="M7618">
        <v>0</v>
      </c>
      <c r="N7618">
        <v>0</v>
      </c>
      <c r="O7618">
        <v>0</v>
      </c>
    </row>
    <row r="7619" spans="1:15" x14ac:dyDescent="0.25">
      <c r="A7619" t="s">
        <v>1195</v>
      </c>
      <c r="B7619" t="s">
        <v>2924</v>
      </c>
      <c r="C7619" t="s">
        <v>927</v>
      </c>
      <c r="D7619" t="s">
        <v>3052</v>
      </c>
      <c r="E7619" t="s">
        <v>3053</v>
      </c>
      <c r="F7619" t="s">
        <v>728</v>
      </c>
      <c r="G7619" t="s">
        <v>729</v>
      </c>
      <c r="H7619" t="s">
        <v>8105</v>
      </c>
      <c r="I7619">
        <v>34</v>
      </c>
      <c r="J7619">
        <v>34</v>
      </c>
      <c r="K7619">
        <v>0</v>
      </c>
      <c r="L7619">
        <v>0</v>
      </c>
      <c r="M7619">
        <v>0</v>
      </c>
      <c r="N7619">
        <v>0</v>
      </c>
      <c r="O7619">
        <v>0</v>
      </c>
    </row>
    <row r="7620" spans="1:15" x14ac:dyDescent="0.25">
      <c r="A7620" t="s">
        <v>924</v>
      </c>
      <c r="B7620" t="s">
        <v>2963</v>
      </c>
      <c r="C7620" t="s">
        <v>923</v>
      </c>
      <c r="D7620" t="s">
        <v>3063</v>
      </c>
      <c r="E7620" t="s">
        <v>3053</v>
      </c>
      <c r="F7620" t="s">
        <v>728</v>
      </c>
      <c r="G7620" t="s">
        <v>729</v>
      </c>
      <c r="H7620" t="s">
        <v>8106</v>
      </c>
      <c r="I7620">
        <v>13</v>
      </c>
      <c r="J7620">
        <v>0</v>
      </c>
      <c r="K7620">
        <v>0</v>
      </c>
      <c r="L7620">
        <v>13</v>
      </c>
      <c r="M7620">
        <v>0</v>
      </c>
      <c r="N7620">
        <v>0</v>
      </c>
      <c r="O7620">
        <v>0</v>
      </c>
    </row>
    <row r="7621" spans="1:15" x14ac:dyDescent="0.25">
      <c r="A7621" t="s">
        <v>10568</v>
      </c>
      <c r="B7621" t="s">
        <v>10567</v>
      </c>
      <c r="C7621" t="s">
        <v>927</v>
      </c>
      <c r="D7621" t="s">
        <v>3052</v>
      </c>
      <c r="E7621" t="s">
        <v>3053</v>
      </c>
      <c r="F7621" t="s">
        <v>728</v>
      </c>
      <c r="G7621" t="s">
        <v>729</v>
      </c>
      <c r="H7621" t="s">
        <v>11335</v>
      </c>
      <c r="I7621">
        <v>1065</v>
      </c>
      <c r="J7621">
        <v>984</v>
      </c>
      <c r="K7621">
        <v>0</v>
      </c>
      <c r="L7621">
        <v>6</v>
      </c>
      <c r="M7621">
        <v>51</v>
      </c>
      <c r="N7621">
        <v>0</v>
      </c>
      <c r="O7621">
        <v>24</v>
      </c>
    </row>
    <row r="7622" spans="1:15" x14ac:dyDescent="0.25">
      <c r="A7622" t="s">
        <v>926</v>
      </c>
      <c r="B7622" t="s">
        <v>2923</v>
      </c>
      <c r="C7622" t="s">
        <v>927</v>
      </c>
      <c r="D7622" t="s">
        <v>3052</v>
      </c>
      <c r="E7622" t="s">
        <v>3053</v>
      </c>
      <c r="F7622" t="s">
        <v>728</v>
      </c>
      <c r="G7622" t="s">
        <v>729</v>
      </c>
      <c r="H7622" t="s">
        <v>8107</v>
      </c>
      <c r="I7622">
        <v>6</v>
      </c>
      <c r="J7622">
        <v>0</v>
      </c>
      <c r="K7622">
        <v>0</v>
      </c>
      <c r="L7622">
        <v>0</v>
      </c>
      <c r="M7622">
        <v>0</v>
      </c>
      <c r="N7622">
        <v>0</v>
      </c>
      <c r="O7622">
        <v>6</v>
      </c>
    </row>
    <row r="7623" spans="1:15" x14ac:dyDescent="0.25">
      <c r="A7623" t="s">
        <v>929</v>
      </c>
      <c r="B7623" t="s">
        <v>2999</v>
      </c>
      <c r="C7623" t="s">
        <v>927</v>
      </c>
      <c r="D7623" t="s">
        <v>3052</v>
      </c>
      <c r="E7623" t="s">
        <v>3053</v>
      </c>
      <c r="F7623" t="s">
        <v>728</v>
      </c>
      <c r="G7623" t="s">
        <v>729</v>
      </c>
      <c r="H7623" t="s">
        <v>8108</v>
      </c>
      <c r="I7623">
        <v>137</v>
      </c>
      <c r="J7623">
        <v>0</v>
      </c>
      <c r="K7623">
        <v>0</v>
      </c>
      <c r="L7623">
        <v>0</v>
      </c>
      <c r="M7623">
        <v>131</v>
      </c>
      <c r="N7623">
        <v>0</v>
      </c>
      <c r="O7623">
        <v>6</v>
      </c>
    </row>
    <row r="7624" spans="1:15" x14ac:dyDescent="0.25">
      <c r="A7624" t="s">
        <v>931</v>
      </c>
      <c r="B7624" t="s">
        <v>1978</v>
      </c>
      <c r="C7624" t="s">
        <v>927</v>
      </c>
      <c r="D7624" t="s">
        <v>3052</v>
      </c>
      <c r="E7624" t="s">
        <v>3053</v>
      </c>
      <c r="F7624" t="s">
        <v>728</v>
      </c>
      <c r="G7624" t="s">
        <v>729</v>
      </c>
      <c r="H7624" t="s">
        <v>8109</v>
      </c>
      <c r="I7624">
        <v>237</v>
      </c>
      <c r="J7624">
        <v>210</v>
      </c>
      <c r="K7624">
        <v>0</v>
      </c>
      <c r="L7624">
        <v>0</v>
      </c>
      <c r="M7624">
        <v>0</v>
      </c>
      <c r="N7624">
        <v>0</v>
      </c>
      <c r="O7624">
        <v>27</v>
      </c>
    </row>
    <row r="7625" spans="1:15" x14ac:dyDescent="0.25">
      <c r="A7625" t="s">
        <v>9784</v>
      </c>
      <c r="B7625" t="s">
        <v>1994</v>
      </c>
      <c r="C7625" t="s">
        <v>927</v>
      </c>
      <c r="D7625" t="s">
        <v>3052</v>
      </c>
      <c r="E7625" t="s">
        <v>3053</v>
      </c>
      <c r="F7625" t="s">
        <v>728</v>
      </c>
      <c r="G7625" t="s">
        <v>729</v>
      </c>
      <c r="H7625" t="s">
        <v>9982</v>
      </c>
      <c r="I7625">
        <v>15</v>
      </c>
      <c r="J7625">
        <v>0</v>
      </c>
      <c r="K7625">
        <v>0</v>
      </c>
      <c r="L7625">
        <v>15</v>
      </c>
      <c r="M7625">
        <v>0</v>
      </c>
      <c r="N7625">
        <v>0</v>
      </c>
      <c r="O7625">
        <v>0</v>
      </c>
    </row>
    <row r="7626" spans="1:15" x14ac:dyDescent="0.25">
      <c r="A7626" t="s">
        <v>1094</v>
      </c>
      <c r="B7626" t="s">
        <v>2742</v>
      </c>
      <c r="C7626" t="s">
        <v>923</v>
      </c>
      <c r="D7626" t="s">
        <v>3063</v>
      </c>
      <c r="E7626" t="s">
        <v>3053</v>
      </c>
      <c r="F7626" t="s">
        <v>728</v>
      </c>
      <c r="G7626" t="s">
        <v>729</v>
      </c>
      <c r="H7626" t="s">
        <v>8110</v>
      </c>
      <c r="I7626">
        <v>4</v>
      </c>
      <c r="J7626">
        <v>0</v>
      </c>
      <c r="K7626">
        <v>0</v>
      </c>
      <c r="L7626">
        <v>4</v>
      </c>
      <c r="M7626">
        <v>0</v>
      </c>
      <c r="N7626">
        <v>0</v>
      </c>
      <c r="O7626">
        <v>0</v>
      </c>
    </row>
    <row r="7627" spans="1:15" x14ac:dyDescent="0.25">
      <c r="A7627" t="s">
        <v>933</v>
      </c>
      <c r="B7627" t="s">
        <v>2106</v>
      </c>
      <c r="C7627" t="s">
        <v>927</v>
      </c>
      <c r="D7627" t="s">
        <v>3052</v>
      </c>
      <c r="E7627" t="s">
        <v>3053</v>
      </c>
      <c r="F7627" t="s">
        <v>728</v>
      </c>
      <c r="G7627" t="s">
        <v>729</v>
      </c>
      <c r="H7627" t="s">
        <v>8111</v>
      </c>
      <c r="I7627">
        <v>244</v>
      </c>
      <c r="J7627">
        <v>116</v>
      </c>
      <c r="K7627">
        <v>0</v>
      </c>
      <c r="L7627">
        <v>0</v>
      </c>
      <c r="M7627">
        <v>79</v>
      </c>
      <c r="N7627">
        <v>0</v>
      </c>
      <c r="O7627">
        <v>49</v>
      </c>
    </row>
    <row r="7628" spans="1:15" x14ac:dyDescent="0.25">
      <c r="A7628" t="s">
        <v>1416</v>
      </c>
      <c r="B7628" t="s">
        <v>2029</v>
      </c>
      <c r="C7628" t="s">
        <v>923</v>
      </c>
      <c r="D7628" t="s">
        <v>3063</v>
      </c>
      <c r="E7628" t="s">
        <v>3053</v>
      </c>
      <c r="F7628" t="s">
        <v>728</v>
      </c>
      <c r="G7628" t="s">
        <v>729</v>
      </c>
      <c r="H7628" t="s">
        <v>12367</v>
      </c>
      <c r="I7628">
        <v>18</v>
      </c>
      <c r="J7628">
        <v>0</v>
      </c>
      <c r="K7628">
        <v>0</v>
      </c>
      <c r="L7628">
        <v>18</v>
      </c>
      <c r="M7628">
        <v>0</v>
      </c>
      <c r="N7628">
        <v>0</v>
      </c>
      <c r="O7628">
        <v>0</v>
      </c>
    </row>
    <row r="7629" spans="1:15" x14ac:dyDescent="0.25">
      <c r="A7629" t="s">
        <v>10638</v>
      </c>
      <c r="B7629" t="s">
        <v>2057</v>
      </c>
      <c r="C7629" t="s">
        <v>927</v>
      </c>
      <c r="D7629" t="s">
        <v>3052</v>
      </c>
      <c r="E7629" t="s">
        <v>3053</v>
      </c>
      <c r="F7629" t="s">
        <v>728</v>
      </c>
      <c r="G7629" t="s">
        <v>729</v>
      </c>
      <c r="H7629" t="s">
        <v>11336</v>
      </c>
      <c r="I7629">
        <v>5</v>
      </c>
      <c r="J7629">
        <v>0</v>
      </c>
      <c r="K7629">
        <v>0</v>
      </c>
      <c r="L7629">
        <v>5</v>
      </c>
      <c r="M7629">
        <v>0</v>
      </c>
      <c r="N7629">
        <v>0</v>
      </c>
      <c r="O7629">
        <v>0</v>
      </c>
    </row>
    <row r="7630" spans="1:15" x14ac:dyDescent="0.25">
      <c r="A7630" t="s">
        <v>1008</v>
      </c>
      <c r="B7630" t="s">
        <v>2928</v>
      </c>
      <c r="C7630" t="s">
        <v>927</v>
      </c>
      <c r="D7630" t="s">
        <v>3052</v>
      </c>
      <c r="E7630" t="s">
        <v>3053</v>
      </c>
      <c r="F7630" t="s">
        <v>728</v>
      </c>
      <c r="G7630" t="s">
        <v>729</v>
      </c>
      <c r="H7630" t="s">
        <v>8112</v>
      </c>
      <c r="I7630">
        <v>3</v>
      </c>
      <c r="J7630">
        <v>3</v>
      </c>
      <c r="K7630">
        <v>0</v>
      </c>
      <c r="L7630">
        <v>0</v>
      </c>
      <c r="M7630">
        <v>0</v>
      </c>
      <c r="N7630">
        <v>0</v>
      </c>
      <c r="O7630">
        <v>0</v>
      </c>
    </row>
    <row r="7631" spans="1:15" x14ac:dyDescent="0.25">
      <c r="A7631" t="s">
        <v>1613</v>
      </c>
      <c r="B7631" t="s">
        <v>2501</v>
      </c>
      <c r="C7631" t="s">
        <v>923</v>
      </c>
      <c r="D7631" t="s">
        <v>3063</v>
      </c>
      <c r="E7631" t="s">
        <v>3053</v>
      </c>
      <c r="F7631" t="s">
        <v>728</v>
      </c>
      <c r="G7631" t="s">
        <v>729</v>
      </c>
      <c r="H7631" t="s">
        <v>8113</v>
      </c>
      <c r="I7631">
        <v>56</v>
      </c>
      <c r="J7631">
        <v>20</v>
      </c>
      <c r="K7631">
        <v>36</v>
      </c>
      <c r="L7631">
        <v>0</v>
      </c>
      <c r="M7631">
        <v>0</v>
      </c>
      <c r="N7631">
        <v>7</v>
      </c>
      <c r="O7631">
        <v>0</v>
      </c>
    </row>
    <row r="7632" spans="1:15" x14ac:dyDescent="0.25">
      <c r="A7632" t="s">
        <v>937</v>
      </c>
      <c r="B7632" t="s">
        <v>1962</v>
      </c>
      <c r="C7632" t="s">
        <v>927</v>
      </c>
      <c r="D7632" t="s">
        <v>3052</v>
      </c>
      <c r="E7632" t="s">
        <v>3053</v>
      </c>
      <c r="F7632" t="s">
        <v>728</v>
      </c>
      <c r="G7632" t="s">
        <v>729</v>
      </c>
      <c r="H7632" t="s">
        <v>8114</v>
      </c>
      <c r="I7632">
        <v>5</v>
      </c>
      <c r="J7632">
        <v>0</v>
      </c>
      <c r="K7632">
        <v>0</v>
      </c>
      <c r="L7632">
        <v>0</v>
      </c>
      <c r="M7632">
        <v>0</v>
      </c>
      <c r="N7632">
        <v>0</v>
      </c>
      <c r="O7632">
        <v>5</v>
      </c>
    </row>
    <row r="7633" spans="1:15" x14ac:dyDescent="0.25">
      <c r="A7633" t="s">
        <v>1011</v>
      </c>
      <c r="B7633" t="s">
        <v>2020</v>
      </c>
      <c r="C7633" t="s">
        <v>927</v>
      </c>
      <c r="D7633" t="s">
        <v>3052</v>
      </c>
      <c r="E7633" t="s">
        <v>3053</v>
      </c>
      <c r="F7633" t="s">
        <v>728</v>
      </c>
      <c r="G7633" t="s">
        <v>729</v>
      </c>
      <c r="H7633" t="s">
        <v>10113</v>
      </c>
      <c r="I7633">
        <v>19</v>
      </c>
      <c r="J7633">
        <v>0</v>
      </c>
      <c r="K7633">
        <v>0</v>
      </c>
      <c r="L7633">
        <v>19</v>
      </c>
      <c r="M7633">
        <v>0</v>
      </c>
      <c r="N7633">
        <v>0</v>
      </c>
      <c r="O7633">
        <v>0</v>
      </c>
    </row>
    <row r="7634" spans="1:15" x14ac:dyDescent="0.25">
      <c r="A7634" t="s">
        <v>938</v>
      </c>
      <c r="B7634" t="s">
        <v>2791</v>
      </c>
      <c r="C7634" t="s">
        <v>927</v>
      </c>
      <c r="D7634" t="s">
        <v>3052</v>
      </c>
      <c r="E7634" t="s">
        <v>3053</v>
      </c>
      <c r="F7634" t="s">
        <v>728</v>
      </c>
      <c r="G7634" t="s">
        <v>729</v>
      </c>
      <c r="H7634" t="s">
        <v>8115</v>
      </c>
      <c r="I7634">
        <v>234</v>
      </c>
      <c r="J7634">
        <v>0</v>
      </c>
      <c r="K7634">
        <v>0</v>
      </c>
      <c r="L7634">
        <v>160</v>
      </c>
      <c r="M7634">
        <v>0</v>
      </c>
      <c r="N7634">
        <v>0</v>
      </c>
      <c r="O7634">
        <v>74</v>
      </c>
    </row>
    <row r="7635" spans="1:15" x14ac:dyDescent="0.25">
      <c r="A7635" t="s">
        <v>940</v>
      </c>
      <c r="B7635" t="s">
        <v>2647</v>
      </c>
      <c r="C7635" t="s">
        <v>927</v>
      </c>
      <c r="D7635" t="s">
        <v>3052</v>
      </c>
      <c r="E7635" t="s">
        <v>3053</v>
      </c>
      <c r="F7635" t="s">
        <v>728</v>
      </c>
      <c r="G7635" t="s">
        <v>729</v>
      </c>
      <c r="H7635" t="s">
        <v>8116</v>
      </c>
      <c r="I7635">
        <v>172</v>
      </c>
      <c r="J7635">
        <v>0</v>
      </c>
      <c r="K7635">
        <v>0</v>
      </c>
      <c r="L7635">
        <v>0</v>
      </c>
      <c r="M7635">
        <v>172</v>
      </c>
      <c r="N7635">
        <v>0</v>
      </c>
      <c r="O7635">
        <v>0</v>
      </c>
    </row>
    <row r="7636" spans="1:15" x14ac:dyDescent="0.25">
      <c r="A7636" t="s">
        <v>1012</v>
      </c>
      <c r="B7636" t="s">
        <v>2911</v>
      </c>
      <c r="C7636" t="s">
        <v>927</v>
      </c>
      <c r="D7636" t="s">
        <v>3052</v>
      </c>
      <c r="E7636" t="s">
        <v>3053</v>
      </c>
      <c r="F7636" t="s">
        <v>728</v>
      </c>
      <c r="G7636" t="s">
        <v>729</v>
      </c>
      <c r="H7636" t="s">
        <v>8117</v>
      </c>
      <c r="I7636">
        <v>1219</v>
      </c>
      <c r="J7636">
        <v>951</v>
      </c>
      <c r="K7636">
        <v>0</v>
      </c>
      <c r="L7636">
        <v>121</v>
      </c>
      <c r="M7636">
        <v>31</v>
      </c>
      <c r="N7636">
        <v>6</v>
      </c>
      <c r="O7636">
        <v>116</v>
      </c>
    </row>
    <row r="7637" spans="1:15" x14ac:dyDescent="0.25">
      <c r="A7637" t="s">
        <v>1013</v>
      </c>
      <c r="B7637" t="s">
        <v>1959</v>
      </c>
      <c r="C7637" t="s">
        <v>927</v>
      </c>
      <c r="D7637" t="s">
        <v>3052</v>
      </c>
      <c r="E7637" t="s">
        <v>3053</v>
      </c>
      <c r="F7637" t="s">
        <v>728</v>
      </c>
      <c r="G7637" t="s">
        <v>729</v>
      </c>
      <c r="H7637" t="s">
        <v>10130</v>
      </c>
      <c r="I7637">
        <v>16</v>
      </c>
      <c r="J7637">
        <v>0</v>
      </c>
      <c r="K7637">
        <v>0</v>
      </c>
      <c r="L7637">
        <v>16</v>
      </c>
      <c r="M7637">
        <v>0</v>
      </c>
      <c r="N7637">
        <v>0</v>
      </c>
      <c r="O7637">
        <v>0</v>
      </c>
    </row>
    <row r="7638" spans="1:15" x14ac:dyDescent="0.25">
      <c r="A7638" t="s">
        <v>1025</v>
      </c>
      <c r="B7638" t="s">
        <v>2893</v>
      </c>
      <c r="C7638" t="s">
        <v>927</v>
      </c>
      <c r="D7638" t="s">
        <v>3052</v>
      </c>
      <c r="E7638" t="s">
        <v>3053</v>
      </c>
      <c r="F7638" t="s">
        <v>728</v>
      </c>
      <c r="G7638" t="s">
        <v>729</v>
      </c>
      <c r="H7638" t="s">
        <v>10195</v>
      </c>
      <c r="I7638">
        <v>1</v>
      </c>
      <c r="J7638">
        <v>0</v>
      </c>
      <c r="K7638">
        <v>0</v>
      </c>
      <c r="L7638">
        <v>0</v>
      </c>
      <c r="M7638">
        <v>0</v>
      </c>
      <c r="N7638">
        <v>0</v>
      </c>
      <c r="O7638">
        <v>1</v>
      </c>
    </row>
    <row r="7639" spans="1:15" x14ac:dyDescent="0.25">
      <c r="A7639" t="s">
        <v>1628</v>
      </c>
      <c r="B7639" t="s">
        <v>2851</v>
      </c>
      <c r="C7639" t="s">
        <v>927</v>
      </c>
      <c r="D7639" t="s">
        <v>3052</v>
      </c>
      <c r="E7639" t="s">
        <v>3053</v>
      </c>
      <c r="F7639" t="s">
        <v>728</v>
      </c>
      <c r="G7639" t="s">
        <v>729</v>
      </c>
      <c r="H7639" t="s">
        <v>8118</v>
      </c>
      <c r="I7639">
        <v>54</v>
      </c>
      <c r="J7639">
        <v>23</v>
      </c>
      <c r="K7639">
        <v>0</v>
      </c>
      <c r="L7639">
        <v>0</v>
      </c>
      <c r="M7639">
        <v>19</v>
      </c>
      <c r="N7639">
        <v>1</v>
      </c>
      <c r="O7639">
        <v>12</v>
      </c>
    </row>
    <row r="7640" spans="1:15" x14ac:dyDescent="0.25">
      <c r="A7640" t="s">
        <v>945</v>
      </c>
      <c r="B7640" t="s">
        <v>2668</v>
      </c>
      <c r="C7640" t="s">
        <v>927</v>
      </c>
      <c r="D7640" t="s">
        <v>3052</v>
      </c>
      <c r="E7640" t="s">
        <v>3053</v>
      </c>
      <c r="F7640" t="s">
        <v>728</v>
      </c>
      <c r="G7640" t="s">
        <v>729</v>
      </c>
      <c r="H7640" t="s">
        <v>8119</v>
      </c>
      <c r="I7640">
        <v>5</v>
      </c>
      <c r="J7640">
        <v>0</v>
      </c>
      <c r="K7640">
        <v>0</v>
      </c>
      <c r="L7640">
        <v>0</v>
      </c>
      <c r="M7640">
        <v>0</v>
      </c>
      <c r="N7640">
        <v>0</v>
      </c>
      <c r="O7640">
        <v>5</v>
      </c>
    </row>
    <row r="7641" spans="1:15" x14ac:dyDescent="0.25">
      <c r="A7641" t="s">
        <v>951</v>
      </c>
      <c r="B7641" t="s">
        <v>2680</v>
      </c>
      <c r="C7641" t="s">
        <v>927</v>
      </c>
      <c r="D7641" t="s">
        <v>3052</v>
      </c>
      <c r="E7641" t="s">
        <v>3053</v>
      </c>
      <c r="F7641" t="s">
        <v>728</v>
      </c>
      <c r="G7641" t="s">
        <v>729</v>
      </c>
      <c r="H7641" t="s">
        <v>8120</v>
      </c>
      <c r="I7641">
        <v>53</v>
      </c>
      <c r="J7641">
        <v>53</v>
      </c>
      <c r="K7641">
        <v>0</v>
      </c>
      <c r="L7641">
        <v>0</v>
      </c>
      <c r="M7641">
        <v>0</v>
      </c>
      <c r="N7641">
        <v>0</v>
      </c>
      <c r="O7641">
        <v>0</v>
      </c>
    </row>
    <row r="7642" spans="1:15" x14ac:dyDescent="0.25">
      <c r="A7642" t="s">
        <v>1048</v>
      </c>
      <c r="B7642" t="s">
        <v>2989</v>
      </c>
      <c r="C7642" t="s">
        <v>927</v>
      </c>
      <c r="D7642" t="s">
        <v>3052</v>
      </c>
      <c r="E7642" t="s">
        <v>3053</v>
      </c>
      <c r="F7642" t="s">
        <v>728</v>
      </c>
      <c r="G7642" t="s">
        <v>729</v>
      </c>
      <c r="H7642" t="s">
        <v>8121</v>
      </c>
      <c r="I7642">
        <v>52</v>
      </c>
      <c r="J7642">
        <v>52</v>
      </c>
      <c r="K7642">
        <v>0</v>
      </c>
      <c r="L7642">
        <v>0</v>
      </c>
      <c r="M7642">
        <v>0</v>
      </c>
      <c r="N7642">
        <v>0</v>
      </c>
      <c r="O7642">
        <v>0</v>
      </c>
    </row>
    <row r="7643" spans="1:15" x14ac:dyDescent="0.25">
      <c r="A7643" t="s">
        <v>953</v>
      </c>
      <c r="B7643" t="s">
        <v>2014</v>
      </c>
      <c r="C7643" t="s">
        <v>927</v>
      </c>
      <c r="D7643" t="s">
        <v>3052</v>
      </c>
      <c r="E7643" t="s">
        <v>3053</v>
      </c>
      <c r="F7643" t="s">
        <v>728</v>
      </c>
      <c r="G7643" t="s">
        <v>729</v>
      </c>
      <c r="H7643" t="s">
        <v>8122</v>
      </c>
      <c r="I7643">
        <v>1</v>
      </c>
      <c r="J7643">
        <v>0</v>
      </c>
      <c r="K7643">
        <v>0</v>
      </c>
      <c r="L7643">
        <v>1</v>
      </c>
      <c r="M7643">
        <v>0</v>
      </c>
      <c r="N7643">
        <v>0</v>
      </c>
      <c r="O7643">
        <v>0</v>
      </c>
    </row>
    <row r="7644" spans="1:15" x14ac:dyDescent="0.25">
      <c r="A7644" t="s">
        <v>955</v>
      </c>
      <c r="B7644" t="s">
        <v>2660</v>
      </c>
      <c r="C7644" t="s">
        <v>927</v>
      </c>
      <c r="D7644" t="s">
        <v>3052</v>
      </c>
      <c r="E7644" t="s">
        <v>3053</v>
      </c>
      <c r="F7644" t="s">
        <v>728</v>
      </c>
      <c r="G7644" t="s">
        <v>729</v>
      </c>
      <c r="H7644" t="s">
        <v>8123</v>
      </c>
      <c r="I7644">
        <v>26</v>
      </c>
      <c r="J7644">
        <v>2</v>
      </c>
      <c r="K7644">
        <v>0</v>
      </c>
      <c r="L7644">
        <v>0</v>
      </c>
      <c r="M7644">
        <v>24</v>
      </c>
      <c r="N7644">
        <v>0</v>
      </c>
      <c r="O7644">
        <v>0</v>
      </c>
    </row>
    <row r="7645" spans="1:15" x14ac:dyDescent="0.25">
      <c r="A7645" t="s">
        <v>1654</v>
      </c>
      <c r="B7645" t="s">
        <v>2850</v>
      </c>
      <c r="C7645" t="s">
        <v>927</v>
      </c>
      <c r="D7645" t="s">
        <v>3052</v>
      </c>
      <c r="E7645" t="s">
        <v>3053</v>
      </c>
      <c r="F7645" t="s">
        <v>728</v>
      </c>
      <c r="G7645" t="s">
        <v>729</v>
      </c>
      <c r="H7645" t="s">
        <v>8124</v>
      </c>
      <c r="I7645">
        <v>238</v>
      </c>
      <c r="J7645">
        <v>17</v>
      </c>
      <c r="K7645">
        <v>0</v>
      </c>
      <c r="L7645">
        <v>7</v>
      </c>
      <c r="M7645">
        <v>204</v>
      </c>
      <c r="N7645">
        <v>0</v>
      </c>
      <c r="O7645">
        <v>10</v>
      </c>
    </row>
    <row r="7646" spans="1:15" x14ac:dyDescent="0.25">
      <c r="A7646" t="s">
        <v>11663</v>
      </c>
      <c r="B7646" t="s">
        <v>11768</v>
      </c>
      <c r="C7646" t="s">
        <v>927</v>
      </c>
      <c r="D7646" t="s">
        <v>3052</v>
      </c>
      <c r="E7646" t="s">
        <v>3053</v>
      </c>
      <c r="F7646" t="s">
        <v>728</v>
      </c>
      <c r="G7646" t="s">
        <v>729</v>
      </c>
      <c r="H7646" t="s">
        <v>12368</v>
      </c>
      <c r="I7646">
        <v>60</v>
      </c>
      <c r="J7646">
        <v>60</v>
      </c>
      <c r="K7646">
        <v>0</v>
      </c>
      <c r="L7646">
        <v>0</v>
      </c>
      <c r="M7646">
        <v>0</v>
      </c>
      <c r="N7646">
        <v>0</v>
      </c>
      <c r="O7646">
        <v>0</v>
      </c>
    </row>
    <row r="7647" spans="1:15" x14ac:dyDescent="0.25">
      <c r="A7647" t="s">
        <v>960</v>
      </c>
      <c r="B7647" t="s">
        <v>2080</v>
      </c>
      <c r="C7647" t="s">
        <v>927</v>
      </c>
      <c r="D7647" t="s">
        <v>3052</v>
      </c>
      <c r="E7647" t="s">
        <v>3053</v>
      </c>
      <c r="F7647" t="s">
        <v>728</v>
      </c>
      <c r="G7647" t="s">
        <v>729</v>
      </c>
      <c r="H7647" t="s">
        <v>8125</v>
      </c>
      <c r="I7647">
        <v>864</v>
      </c>
      <c r="J7647">
        <v>668</v>
      </c>
      <c r="K7647">
        <v>0</v>
      </c>
      <c r="L7647">
        <v>12</v>
      </c>
      <c r="M7647">
        <v>84</v>
      </c>
      <c r="N7647">
        <v>8</v>
      </c>
      <c r="O7647">
        <v>100</v>
      </c>
    </row>
    <row r="7648" spans="1:15" x14ac:dyDescent="0.25">
      <c r="A7648" t="s">
        <v>1062</v>
      </c>
      <c r="B7648" t="s">
        <v>1993</v>
      </c>
      <c r="C7648" t="s">
        <v>927</v>
      </c>
      <c r="D7648" t="s">
        <v>3052</v>
      </c>
      <c r="E7648" t="s">
        <v>3053</v>
      </c>
      <c r="F7648" t="s">
        <v>728</v>
      </c>
      <c r="G7648" t="s">
        <v>729</v>
      </c>
      <c r="H7648" t="s">
        <v>8126</v>
      </c>
      <c r="I7648">
        <v>18</v>
      </c>
      <c r="J7648">
        <v>12</v>
      </c>
      <c r="K7648">
        <v>0</v>
      </c>
      <c r="L7648">
        <v>0</v>
      </c>
      <c r="M7648">
        <v>0</v>
      </c>
      <c r="N7648">
        <v>0</v>
      </c>
      <c r="O7648">
        <v>6</v>
      </c>
    </row>
    <row r="7649" spans="1:15" x14ac:dyDescent="0.25">
      <c r="A7649" t="s">
        <v>962</v>
      </c>
      <c r="B7649" t="s">
        <v>2752</v>
      </c>
      <c r="C7649" t="s">
        <v>927</v>
      </c>
      <c r="D7649" t="s">
        <v>3052</v>
      </c>
      <c r="E7649" t="s">
        <v>3053</v>
      </c>
      <c r="F7649" t="s">
        <v>728</v>
      </c>
      <c r="G7649" t="s">
        <v>729</v>
      </c>
      <c r="H7649" t="s">
        <v>8127</v>
      </c>
      <c r="I7649">
        <v>801</v>
      </c>
      <c r="J7649">
        <v>595</v>
      </c>
      <c r="K7649">
        <v>0</v>
      </c>
      <c r="L7649">
        <v>39</v>
      </c>
      <c r="M7649">
        <v>121</v>
      </c>
      <c r="N7649">
        <v>0</v>
      </c>
      <c r="O7649">
        <v>46</v>
      </c>
    </row>
    <row r="7650" spans="1:15" x14ac:dyDescent="0.25">
      <c r="A7650" t="s">
        <v>1066</v>
      </c>
      <c r="B7650" t="s">
        <v>2557</v>
      </c>
      <c r="C7650" t="s">
        <v>927</v>
      </c>
      <c r="D7650" t="s">
        <v>3052</v>
      </c>
      <c r="E7650" t="s">
        <v>3053</v>
      </c>
      <c r="F7650" t="s">
        <v>728</v>
      </c>
      <c r="G7650" t="s">
        <v>729</v>
      </c>
      <c r="H7650" t="s">
        <v>8128</v>
      </c>
      <c r="I7650">
        <v>8</v>
      </c>
      <c r="J7650">
        <v>0</v>
      </c>
      <c r="K7650">
        <v>0</v>
      </c>
      <c r="L7650">
        <v>0</v>
      </c>
      <c r="M7650">
        <v>8</v>
      </c>
      <c r="N7650">
        <v>0</v>
      </c>
      <c r="O7650">
        <v>0</v>
      </c>
    </row>
    <row r="7651" spans="1:15" x14ac:dyDescent="0.25">
      <c r="A7651" t="s">
        <v>1069</v>
      </c>
      <c r="B7651" t="s">
        <v>2001</v>
      </c>
      <c r="C7651" t="s">
        <v>927</v>
      </c>
      <c r="D7651" t="s">
        <v>3052</v>
      </c>
      <c r="E7651" t="s">
        <v>3053</v>
      </c>
      <c r="F7651" t="s">
        <v>728</v>
      </c>
      <c r="G7651" t="s">
        <v>729</v>
      </c>
      <c r="H7651" t="s">
        <v>8129</v>
      </c>
      <c r="I7651">
        <v>14</v>
      </c>
      <c r="J7651">
        <v>14</v>
      </c>
      <c r="K7651">
        <v>0</v>
      </c>
      <c r="L7651">
        <v>0</v>
      </c>
      <c r="M7651">
        <v>0</v>
      </c>
      <c r="N7651">
        <v>0</v>
      </c>
      <c r="O7651">
        <v>0</v>
      </c>
    </row>
    <row r="7652" spans="1:15" x14ac:dyDescent="0.25">
      <c r="A7652" t="s">
        <v>1681</v>
      </c>
      <c r="B7652" t="s">
        <v>3021</v>
      </c>
      <c r="C7652" t="s">
        <v>923</v>
      </c>
      <c r="D7652" t="s">
        <v>3063</v>
      </c>
      <c r="E7652" t="s">
        <v>3053</v>
      </c>
      <c r="F7652" t="s">
        <v>728</v>
      </c>
      <c r="G7652" t="s">
        <v>729</v>
      </c>
      <c r="H7652" t="s">
        <v>8130</v>
      </c>
      <c r="I7652">
        <v>337</v>
      </c>
      <c r="J7652">
        <v>137</v>
      </c>
      <c r="K7652">
        <v>30</v>
      </c>
      <c r="L7652">
        <v>170</v>
      </c>
      <c r="M7652">
        <v>0</v>
      </c>
      <c r="N7652">
        <v>0</v>
      </c>
      <c r="O7652">
        <v>0</v>
      </c>
    </row>
    <row r="7653" spans="1:15" x14ac:dyDescent="0.25">
      <c r="A7653" t="s">
        <v>966</v>
      </c>
      <c r="B7653" t="s">
        <v>2684</v>
      </c>
      <c r="C7653" t="s">
        <v>927</v>
      </c>
      <c r="D7653" t="s">
        <v>3052</v>
      </c>
      <c r="E7653" t="s">
        <v>3053</v>
      </c>
      <c r="F7653" t="s">
        <v>728</v>
      </c>
      <c r="G7653" t="s">
        <v>729</v>
      </c>
      <c r="H7653" t="s">
        <v>8131</v>
      </c>
      <c r="I7653">
        <v>1568</v>
      </c>
      <c r="J7653">
        <v>1197</v>
      </c>
      <c r="K7653">
        <v>0</v>
      </c>
      <c r="L7653">
        <v>12</v>
      </c>
      <c r="M7653">
        <v>68</v>
      </c>
      <c r="N7653">
        <v>0</v>
      </c>
      <c r="O7653">
        <v>291</v>
      </c>
    </row>
    <row r="7654" spans="1:15" x14ac:dyDescent="0.25">
      <c r="A7654" t="s">
        <v>1682</v>
      </c>
      <c r="B7654" t="s">
        <v>10770</v>
      </c>
      <c r="C7654" t="s">
        <v>923</v>
      </c>
      <c r="D7654" t="s">
        <v>3063</v>
      </c>
      <c r="E7654" t="s">
        <v>3053</v>
      </c>
      <c r="F7654" t="s">
        <v>728</v>
      </c>
      <c r="G7654" t="s">
        <v>729</v>
      </c>
      <c r="H7654" t="s">
        <v>12369</v>
      </c>
      <c r="I7654">
        <v>102</v>
      </c>
      <c r="J7654">
        <v>0</v>
      </c>
      <c r="K7654">
        <v>0</v>
      </c>
      <c r="L7654">
        <v>0</v>
      </c>
      <c r="M7654">
        <v>102</v>
      </c>
      <c r="N7654">
        <v>0</v>
      </c>
      <c r="O7654">
        <v>0</v>
      </c>
    </row>
    <row r="7655" spans="1:15" x14ac:dyDescent="0.25">
      <c r="A7655" t="s">
        <v>1686</v>
      </c>
      <c r="B7655" t="s">
        <v>2988</v>
      </c>
      <c r="C7655" t="s">
        <v>923</v>
      </c>
      <c r="D7655" t="s">
        <v>3063</v>
      </c>
      <c r="E7655" t="s">
        <v>3053</v>
      </c>
      <c r="F7655" t="s">
        <v>728</v>
      </c>
      <c r="G7655" t="s">
        <v>729</v>
      </c>
      <c r="H7655" t="s">
        <v>8132</v>
      </c>
      <c r="I7655">
        <v>174</v>
      </c>
      <c r="J7655">
        <v>0</v>
      </c>
      <c r="K7655">
        <v>0</v>
      </c>
      <c r="L7655">
        <v>174</v>
      </c>
      <c r="M7655">
        <v>0</v>
      </c>
      <c r="N7655">
        <v>0</v>
      </c>
      <c r="O7655">
        <v>0</v>
      </c>
    </row>
    <row r="7656" spans="1:15" x14ac:dyDescent="0.25">
      <c r="A7656" t="s">
        <v>968</v>
      </c>
      <c r="B7656" t="s">
        <v>2091</v>
      </c>
      <c r="C7656" t="s">
        <v>927</v>
      </c>
      <c r="D7656" t="s">
        <v>3052</v>
      </c>
      <c r="E7656" t="s">
        <v>3053</v>
      </c>
      <c r="F7656" t="s">
        <v>728</v>
      </c>
      <c r="G7656" t="s">
        <v>729</v>
      </c>
      <c r="H7656" t="s">
        <v>8133</v>
      </c>
      <c r="I7656">
        <v>971</v>
      </c>
      <c r="J7656">
        <v>771</v>
      </c>
      <c r="K7656">
        <v>0</v>
      </c>
      <c r="L7656">
        <v>34</v>
      </c>
      <c r="M7656">
        <v>0</v>
      </c>
      <c r="N7656">
        <v>0</v>
      </c>
      <c r="O7656">
        <v>166</v>
      </c>
    </row>
    <row r="7657" spans="1:15" x14ac:dyDescent="0.25">
      <c r="A7657" t="s">
        <v>1701</v>
      </c>
      <c r="B7657" t="s">
        <v>2114</v>
      </c>
      <c r="C7657" t="s">
        <v>923</v>
      </c>
      <c r="D7657" t="s">
        <v>3063</v>
      </c>
      <c r="E7657" t="s">
        <v>3053</v>
      </c>
      <c r="F7657" t="s">
        <v>728</v>
      </c>
      <c r="G7657" t="s">
        <v>729</v>
      </c>
      <c r="H7657" t="s">
        <v>8134</v>
      </c>
      <c r="I7657">
        <v>52</v>
      </c>
      <c r="J7657">
        <v>0</v>
      </c>
      <c r="K7657">
        <v>0</v>
      </c>
      <c r="L7657">
        <v>52</v>
      </c>
      <c r="M7657">
        <v>0</v>
      </c>
      <c r="N7657">
        <v>0</v>
      </c>
      <c r="O7657">
        <v>0</v>
      </c>
    </row>
    <row r="7658" spans="1:15" x14ac:dyDescent="0.25">
      <c r="A7658" t="s">
        <v>929</v>
      </c>
      <c r="B7658" t="s">
        <v>2999</v>
      </c>
      <c r="C7658" t="s">
        <v>927</v>
      </c>
      <c r="D7658" t="s">
        <v>3052</v>
      </c>
      <c r="E7658" t="s">
        <v>3053</v>
      </c>
      <c r="F7658" t="s">
        <v>730</v>
      </c>
      <c r="G7658" t="s">
        <v>731</v>
      </c>
      <c r="H7658" t="s">
        <v>8135</v>
      </c>
      <c r="I7658">
        <v>64</v>
      </c>
      <c r="J7658">
        <v>0</v>
      </c>
      <c r="K7658">
        <v>0</v>
      </c>
      <c r="L7658">
        <v>0</v>
      </c>
      <c r="M7658">
        <v>64</v>
      </c>
      <c r="N7658">
        <v>0</v>
      </c>
      <c r="O7658">
        <v>0</v>
      </c>
    </row>
    <row r="7659" spans="1:15" x14ac:dyDescent="0.25">
      <c r="A7659" t="s">
        <v>14378</v>
      </c>
      <c r="B7659" t="s">
        <v>2554</v>
      </c>
      <c r="C7659" t="s">
        <v>923</v>
      </c>
      <c r="D7659" t="s">
        <v>3063</v>
      </c>
      <c r="E7659" t="s">
        <v>3053</v>
      </c>
      <c r="F7659" t="s">
        <v>730</v>
      </c>
      <c r="G7659" t="s">
        <v>731</v>
      </c>
      <c r="H7659" t="s">
        <v>15262</v>
      </c>
      <c r="I7659">
        <v>33</v>
      </c>
      <c r="J7659">
        <v>0</v>
      </c>
      <c r="K7659">
        <v>0</v>
      </c>
      <c r="L7659">
        <v>0</v>
      </c>
      <c r="M7659">
        <v>33</v>
      </c>
      <c r="N7659">
        <v>0</v>
      </c>
      <c r="O7659">
        <v>0</v>
      </c>
    </row>
    <row r="7660" spans="1:15" x14ac:dyDescent="0.25">
      <c r="A7660" t="s">
        <v>1108</v>
      </c>
      <c r="B7660" t="s">
        <v>2746</v>
      </c>
      <c r="C7660" t="s">
        <v>923</v>
      </c>
      <c r="D7660" t="s">
        <v>3063</v>
      </c>
      <c r="E7660" t="s">
        <v>3053</v>
      </c>
      <c r="F7660" t="s">
        <v>730</v>
      </c>
      <c r="G7660" t="s">
        <v>731</v>
      </c>
      <c r="H7660" t="s">
        <v>8138</v>
      </c>
      <c r="I7660">
        <v>14</v>
      </c>
      <c r="J7660">
        <v>0</v>
      </c>
      <c r="K7660">
        <v>0</v>
      </c>
      <c r="L7660">
        <v>0</v>
      </c>
      <c r="M7660">
        <v>14</v>
      </c>
      <c r="N7660">
        <v>0</v>
      </c>
      <c r="O7660">
        <v>0</v>
      </c>
    </row>
    <row r="7661" spans="1:15" x14ac:dyDescent="0.25">
      <c r="A7661" t="s">
        <v>1100</v>
      </c>
      <c r="B7661" t="s">
        <v>2855</v>
      </c>
      <c r="C7661" t="s">
        <v>927</v>
      </c>
      <c r="D7661" t="s">
        <v>3052</v>
      </c>
      <c r="E7661" t="s">
        <v>3053</v>
      </c>
      <c r="F7661" t="s">
        <v>730</v>
      </c>
      <c r="G7661" t="s">
        <v>731</v>
      </c>
      <c r="H7661" t="s">
        <v>8136</v>
      </c>
      <c r="I7661">
        <v>47</v>
      </c>
      <c r="J7661">
        <v>42</v>
      </c>
      <c r="K7661">
        <v>0</v>
      </c>
      <c r="L7661">
        <v>0</v>
      </c>
      <c r="M7661">
        <v>0</v>
      </c>
      <c r="N7661">
        <v>0</v>
      </c>
      <c r="O7661">
        <v>5</v>
      </c>
    </row>
    <row r="7662" spans="1:15" x14ac:dyDescent="0.25">
      <c r="A7662" t="s">
        <v>989</v>
      </c>
      <c r="B7662" t="s">
        <v>2016</v>
      </c>
      <c r="C7662" t="s">
        <v>923</v>
      </c>
      <c r="D7662" t="s">
        <v>3063</v>
      </c>
      <c r="E7662" t="s">
        <v>3053</v>
      </c>
      <c r="F7662" t="s">
        <v>730</v>
      </c>
      <c r="G7662" t="s">
        <v>731</v>
      </c>
      <c r="H7662" t="s">
        <v>8137</v>
      </c>
      <c r="I7662">
        <v>9</v>
      </c>
      <c r="J7662">
        <v>0</v>
      </c>
      <c r="K7662">
        <v>0</v>
      </c>
      <c r="L7662">
        <v>9</v>
      </c>
      <c r="M7662">
        <v>0</v>
      </c>
      <c r="N7662">
        <v>0</v>
      </c>
      <c r="O7662">
        <v>0</v>
      </c>
    </row>
    <row r="7663" spans="1:15" x14ac:dyDescent="0.25">
      <c r="A7663" t="s">
        <v>935</v>
      </c>
      <c r="B7663" t="s">
        <v>1960</v>
      </c>
      <c r="C7663" t="s">
        <v>923</v>
      </c>
      <c r="D7663" t="s">
        <v>3063</v>
      </c>
      <c r="E7663" t="s">
        <v>3053</v>
      </c>
      <c r="F7663" t="s">
        <v>730</v>
      </c>
      <c r="G7663" t="s">
        <v>731</v>
      </c>
      <c r="H7663" t="s">
        <v>8139</v>
      </c>
      <c r="I7663">
        <v>2</v>
      </c>
      <c r="J7663">
        <v>0</v>
      </c>
      <c r="K7663">
        <v>0</v>
      </c>
      <c r="L7663">
        <v>2</v>
      </c>
      <c r="M7663">
        <v>0</v>
      </c>
      <c r="N7663">
        <v>0</v>
      </c>
      <c r="O7663">
        <v>0</v>
      </c>
    </row>
    <row r="7664" spans="1:15" x14ac:dyDescent="0.25">
      <c r="A7664" t="s">
        <v>11660</v>
      </c>
      <c r="B7664" t="s">
        <v>2041</v>
      </c>
      <c r="C7664" t="s">
        <v>923</v>
      </c>
      <c r="D7664" t="s">
        <v>3063</v>
      </c>
      <c r="E7664" t="s">
        <v>3053</v>
      </c>
      <c r="F7664" t="s">
        <v>730</v>
      </c>
      <c r="G7664" t="s">
        <v>731</v>
      </c>
      <c r="H7664" t="s">
        <v>12370</v>
      </c>
      <c r="I7664">
        <v>17</v>
      </c>
      <c r="J7664">
        <v>0</v>
      </c>
      <c r="K7664">
        <v>0</v>
      </c>
      <c r="L7664">
        <v>17</v>
      </c>
      <c r="M7664">
        <v>0</v>
      </c>
      <c r="N7664">
        <v>0</v>
      </c>
      <c r="O7664">
        <v>0</v>
      </c>
    </row>
    <row r="7665" spans="1:15" x14ac:dyDescent="0.25">
      <c r="A7665" t="s">
        <v>1111</v>
      </c>
      <c r="B7665" t="s">
        <v>2795</v>
      </c>
      <c r="C7665" t="s">
        <v>927</v>
      </c>
      <c r="D7665" t="s">
        <v>3052</v>
      </c>
      <c r="E7665" t="s">
        <v>3053</v>
      </c>
      <c r="F7665" t="s">
        <v>730</v>
      </c>
      <c r="G7665" t="s">
        <v>731</v>
      </c>
      <c r="H7665" t="s">
        <v>8140</v>
      </c>
      <c r="I7665">
        <v>1477</v>
      </c>
      <c r="J7665">
        <v>1250</v>
      </c>
      <c r="K7665">
        <v>0</v>
      </c>
      <c r="L7665">
        <v>27</v>
      </c>
      <c r="M7665">
        <v>58</v>
      </c>
      <c r="N7665">
        <v>0</v>
      </c>
      <c r="O7665">
        <v>142</v>
      </c>
    </row>
    <row r="7666" spans="1:15" x14ac:dyDescent="0.25">
      <c r="A7666" t="s">
        <v>10638</v>
      </c>
      <c r="B7666" t="s">
        <v>2057</v>
      </c>
      <c r="C7666" t="s">
        <v>927</v>
      </c>
      <c r="D7666" t="s">
        <v>3052</v>
      </c>
      <c r="E7666" t="s">
        <v>3053</v>
      </c>
      <c r="F7666" t="s">
        <v>730</v>
      </c>
      <c r="G7666" t="s">
        <v>731</v>
      </c>
      <c r="H7666" t="s">
        <v>11337</v>
      </c>
      <c r="I7666">
        <v>4</v>
      </c>
      <c r="J7666">
        <v>0</v>
      </c>
      <c r="K7666">
        <v>0</v>
      </c>
      <c r="L7666">
        <v>4</v>
      </c>
      <c r="M7666">
        <v>0</v>
      </c>
      <c r="N7666">
        <v>0</v>
      </c>
      <c r="O7666">
        <v>0</v>
      </c>
    </row>
    <row r="7667" spans="1:15" x14ac:dyDescent="0.25">
      <c r="A7667" t="s">
        <v>1008</v>
      </c>
      <c r="B7667" t="s">
        <v>2928</v>
      </c>
      <c r="C7667" t="s">
        <v>927</v>
      </c>
      <c r="D7667" t="s">
        <v>3052</v>
      </c>
      <c r="E7667" t="s">
        <v>3053</v>
      </c>
      <c r="F7667" t="s">
        <v>730</v>
      </c>
      <c r="G7667" t="s">
        <v>731</v>
      </c>
      <c r="H7667" t="s">
        <v>8141</v>
      </c>
      <c r="I7667">
        <v>17</v>
      </c>
      <c r="J7667">
        <v>14</v>
      </c>
      <c r="K7667">
        <v>0</v>
      </c>
      <c r="L7667">
        <v>3</v>
      </c>
      <c r="M7667">
        <v>0</v>
      </c>
      <c r="N7667">
        <v>2</v>
      </c>
      <c r="O7667">
        <v>0</v>
      </c>
    </row>
    <row r="7668" spans="1:15" x14ac:dyDescent="0.25">
      <c r="A7668" t="s">
        <v>1010</v>
      </c>
      <c r="B7668" t="s">
        <v>2639</v>
      </c>
      <c r="C7668" t="s">
        <v>927</v>
      </c>
      <c r="D7668" t="s">
        <v>3052</v>
      </c>
      <c r="E7668" t="s">
        <v>3053</v>
      </c>
      <c r="F7668" t="s">
        <v>730</v>
      </c>
      <c r="G7668" t="s">
        <v>731</v>
      </c>
      <c r="H7668" t="s">
        <v>8142</v>
      </c>
      <c r="I7668">
        <v>35</v>
      </c>
      <c r="J7668">
        <v>26</v>
      </c>
      <c r="K7668">
        <v>0</v>
      </c>
      <c r="L7668">
        <v>0</v>
      </c>
      <c r="M7668">
        <v>0</v>
      </c>
      <c r="N7668">
        <v>0</v>
      </c>
      <c r="O7668">
        <v>9</v>
      </c>
    </row>
    <row r="7669" spans="1:15" x14ac:dyDescent="0.25">
      <c r="A7669" t="s">
        <v>938</v>
      </c>
      <c r="B7669" t="s">
        <v>2791</v>
      </c>
      <c r="C7669" t="s">
        <v>927</v>
      </c>
      <c r="D7669" t="s">
        <v>3052</v>
      </c>
      <c r="E7669" t="s">
        <v>3053</v>
      </c>
      <c r="F7669" t="s">
        <v>730</v>
      </c>
      <c r="G7669" t="s">
        <v>731</v>
      </c>
      <c r="H7669" t="s">
        <v>8143</v>
      </c>
      <c r="I7669">
        <v>15</v>
      </c>
      <c r="J7669">
        <v>0</v>
      </c>
      <c r="K7669">
        <v>0</v>
      </c>
      <c r="L7669">
        <v>15</v>
      </c>
      <c r="M7669">
        <v>0</v>
      </c>
      <c r="N7669">
        <v>0</v>
      </c>
      <c r="O7669">
        <v>0</v>
      </c>
    </row>
    <row r="7670" spans="1:15" x14ac:dyDescent="0.25">
      <c r="A7670" t="s">
        <v>1120</v>
      </c>
      <c r="B7670" t="s">
        <v>2011</v>
      </c>
      <c r="C7670" t="s">
        <v>923</v>
      </c>
      <c r="D7670" t="s">
        <v>3063</v>
      </c>
      <c r="E7670" t="s">
        <v>3053</v>
      </c>
      <c r="F7670" t="s">
        <v>730</v>
      </c>
      <c r="G7670" t="s">
        <v>731</v>
      </c>
      <c r="H7670" t="s">
        <v>8144</v>
      </c>
      <c r="I7670">
        <v>305</v>
      </c>
      <c r="J7670">
        <v>0</v>
      </c>
      <c r="K7670">
        <v>0</v>
      </c>
      <c r="L7670">
        <v>305</v>
      </c>
      <c r="M7670">
        <v>0</v>
      </c>
      <c r="N7670">
        <v>0</v>
      </c>
      <c r="O7670">
        <v>0</v>
      </c>
    </row>
    <row r="7671" spans="1:15" x14ac:dyDescent="0.25">
      <c r="A7671" t="s">
        <v>1013</v>
      </c>
      <c r="B7671" t="s">
        <v>1959</v>
      </c>
      <c r="C7671" t="s">
        <v>927</v>
      </c>
      <c r="D7671" t="s">
        <v>3052</v>
      </c>
      <c r="E7671" t="s">
        <v>3053</v>
      </c>
      <c r="F7671" t="s">
        <v>730</v>
      </c>
      <c r="G7671" t="s">
        <v>731</v>
      </c>
      <c r="H7671" t="s">
        <v>11338</v>
      </c>
      <c r="I7671">
        <v>2</v>
      </c>
      <c r="J7671">
        <v>0</v>
      </c>
      <c r="K7671">
        <v>0</v>
      </c>
      <c r="L7671">
        <v>2</v>
      </c>
      <c r="M7671">
        <v>0</v>
      </c>
      <c r="N7671">
        <v>0</v>
      </c>
      <c r="O7671">
        <v>0</v>
      </c>
    </row>
    <row r="7672" spans="1:15" x14ac:dyDescent="0.25">
      <c r="A7672" t="s">
        <v>1126</v>
      </c>
      <c r="B7672" t="s">
        <v>2130</v>
      </c>
      <c r="C7672" t="s">
        <v>927</v>
      </c>
      <c r="D7672" t="s">
        <v>3052</v>
      </c>
      <c r="E7672" t="s">
        <v>3053</v>
      </c>
      <c r="F7672" t="s">
        <v>730</v>
      </c>
      <c r="G7672" t="s">
        <v>731</v>
      </c>
      <c r="H7672" t="s">
        <v>11339</v>
      </c>
      <c r="I7672">
        <v>20</v>
      </c>
      <c r="J7672">
        <v>0</v>
      </c>
      <c r="K7672">
        <v>0</v>
      </c>
      <c r="L7672">
        <v>0</v>
      </c>
      <c r="M7672">
        <v>0</v>
      </c>
      <c r="N7672">
        <v>0</v>
      </c>
      <c r="O7672">
        <v>20</v>
      </c>
    </row>
    <row r="7673" spans="1:15" x14ac:dyDescent="0.25">
      <c r="A7673" t="s">
        <v>1127</v>
      </c>
      <c r="B7673" t="s">
        <v>3034</v>
      </c>
      <c r="C7673" t="s">
        <v>927</v>
      </c>
      <c r="D7673" t="s">
        <v>3052</v>
      </c>
      <c r="E7673" t="s">
        <v>3053</v>
      </c>
      <c r="F7673" t="s">
        <v>730</v>
      </c>
      <c r="G7673" t="s">
        <v>731</v>
      </c>
      <c r="H7673" t="s">
        <v>8145</v>
      </c>
      <c r="I7673">
        <v>28</v>
      </c>
      <c r="J7673">
        <v>28</v>
      </c>
      <c r="K7673">
        <v>0</v>
      </c>
      <c r="L7673">
        <v>0</v>
      </c>
      <c r="M7673">
        <v>0</v>
      </c>
      <c r="N7673">
        <v>0</v>
      </c>
      <c r="O7673">
        <v>0</v>
      </c>
    </row>
    <row r="7674" spans="1:15" x14ac:dyDescent="0.25">
      <c r="A7674" t="s">
        <v>1025</v>
      </c>
      <c r="B7674" t="s">
        <v>2893</v>
      </c>
      <c r="C7674" t="s">
        <v>927</v>
      </c>
      <c r="D7674" t="s">
        <v>3052</v>
      </c>
      <c r="E7674" t="s">
        <v>3053</v>
      </c>
      <c r="F7674" t="s">
        <v>730</v>
      </c>
      <c r="G7674" t="s">
        <v>731</v>
      </c>
      <c r="H7674" t="s">
        <v>8146</v>
      </c>
      <c r="I7674">
        <v>4</v>
      </c>
      <c r="J7674">
        <v>0</v>
      </c>
      <c r="K7674">
        <v>0</v>
      </c>
      <c r="L7674">
        <v>0</v>
      </c>
      <c r="M7674">
        <v>0</v>
      </c>
      <c r="N7674">
        <v>0</v>
      </c>
      <c r="O7674">
        <v>4</v>
      </c>
    </row>
    <row r="7675" spans="1:15" x14ac:dyDescent="0.25">
      <c r="A7675" t="s">
        <v>10681</v>
      </c>
      <c r="B7675" t="s">
        <v>10680</v>
      </c>
      <c r="C7675" t="s">
        <v>927</v>
      </c>
      <c r="D7675" t="s">
        <v>3052</v>
      </c>
      <c r="E7675" t="s">
        <v>3053</v>
      </c>
      <c r="F7675" t="s">
        <v>730</v>
      </c>
      <c r="G7675" t="s">
        <v>731</v>
      </c>
      <c r="H7675" t="s">
        <v>15263</v>
      </c>
      <c r="I7675">
        <v>5</v>
      </c>
      <c r="J7675">
        <v>0</v>
      </c>
      <c r="K7675">
        <v>0</v>
      </c>
      <c r="L7675">
        <v>0</v>
      </c>
      <c r="M7675">
        <v>0</v>
      </c>
      <c r="N7675">
        <v>0</v>
      </c>
      <c r="O7675">
        <v>5</v>
      </c>
    </row>
    <row r="7676" spans="1:15" x14ac:dyDescent="0.25">
      <c r="A7676" t="s">
        <v>943</v>
      </c>
      <c r="B7676" t="s">
        <v>2694</v>
      </c>
      <c r="C7676" t="s">
        <v>927</v>
      </c>
      <c r="D7676" t="s">
        <v>3052</v>
      </c>
      <c r="E7676" t="s">
        <v>3053</v>
      </c>
      <c r="F7676" t="s">
        <v>730</v>
      </c>
      <c r="G7676" t="s">
        <v>731</v>
      </c>
      <c r="H7676" t="s">
        <v>8147</v>
      </c>
      <c r="I7676">
        <v>9</v>
      </c>
      <c r="J7676">
        <v>0</v>
      </c>
      <c r="K7676">
        <v>0</v>
      </c>
      <c r="L7676">
        <v>8</v>
      </c>
      <c r="M7676">
        <v>0</v>
      </c>
      <c r="N7676">
        <v>0</v>
      </c>
      <c r="O7676">
        <v>1</v>
      </c>
    </row>
    <row r="7677" spans="1:15" x14ac:dyDescent="0.25">
      <c r="A7677" t="s">
        <v>945</v>
      </c>
      <c r="B7677" t="s">
        <v>2668</v>
      </c>
      <c r="C7677" t="s">
        <v>927</v>
      </c>
      <c r="D7677" t="s">
        <v>3052</v>
      </c>
      <c r="E7677" t="s">
        <v>3053</v>
      </c>
      <c r="F7677" t="s">
        <v>730</v>
      </c>
      <c r="G7677" t="s">
        <v>731</v>
      </c>
      <c r="H7677" t="s">
        <v>8148</v>
      </c>
      <c r="I7677">
        <v>504</v>
      </c>
      <c r="J7677">
        <v>418</v>
      </c>
      <c r="K7677">
        <v>0</v>
      </c>
      <c r="L7677">
        <v>18</v>
      </c>
      <c r="M7677">
        <v>0</v>
      </c>
      <c r="N7677">
        <v>0</v>
      </c>
      <c r="O7677">
        <v>68</v>
      </c>
    </row>
    <row r="7678" spans="1:15" x14ac:dyDescent="0.25">
      <c r="A7678" t="s">
        <v>1134</v>
      </c>
      <c r="B7678" t="s">
        <v>2118</v>
      </c>
      <c r="C7678" t="s">
        <v>927</v>
      </c>
      <c r="D7678" t="s">
        <v>3052</v>
      </c>
      <c r="E7678" t="s">
        <v>3053</v>
      </c>
      <c r="F7678" t="s">
        <v>730</v>
      </c>
      <c r="G7678" t="s">
        <v>731</v>
      </c>
      <c r="H7678" t="s">
        <v>8149</v>
      </c>
      <c r="I7678">
        <v>582</v>
      </c>
      <c r="J7678">
        <v>328</v>
      </c>
      <c r="K7678">
        <v>0</v>
      </c>
      <c r="L7678">
        <v>42</v>
      </c>
      <c r="M7678">
        <v>119</v>
      </c>
      <c r="N7678">
        <v>0</v>
      </c>
      <c r="O7678">
        <v>93</v>
      </c>
    </row>
    <row r="7679" spans="1:15" x14ac:dyDescent="0.25">
      <c r="A7679" t="s">
        <v>1041</v>
      </c>
      <c r="B7679" t="s">
        <v>2826</v>
      </c>
      <c r="C7679" t="s">
        <v>927</v>
      </c>
      <c r="D7679" t="s">
        <v>3052</v>
      </c>
      <c r="E7679" t="s">
        <v>3053</v>
      </c>
      <c r="F7679" t="s">
        <v>730</v>
      </c>
      <c r="G7679" t="s">
        <v>731</v>
      </c>
      <c r="H7679" t="s">
        <v>11340</v>
      </c>
      <c r="I7679">
        <v>18</v>
      </c>
      <c r="J7679">
        <v>0</v>
      </c>
      <c r="K7679">
        <v>0</v>
      </c>
      <c r="L7679">
        <v>0</v>
      </c>
      <c r="M7679">
        <v>0</v>
      </c>
      <c r="N7679">
        <v>0</v>
      </c>
      <c r="O7679">
        <v>18</v>
      </c>
    </row>
    <row r="7680" spans="1:15" x14ac:dyDescent="0.25">
      <c r="A7680" t="s">
        <v>1146</v>
      </c>
      <c r="B7680" t="s">
        <v>2117</v>
      </c>
      <c r="C7680" t="s">
        <v>927</v>
      </c>
      <c r="D7680" t="s">
        <v>3052</v>
      </c>
      <c r="E7680" t="s">
        <v>3053</v>
      </c>
      <c r="F7680" t="s">
        <v>730</v>
      </c>
      <c r="G7680" t="s">
        <v>731</v>
      </c>
      <c r="H7680" t="s">
        <v>11341</v>
      </c>
      <c r="I7680">
        <v>12</v>
      </c>
      <c r="J7680">
        <v>12</v>
      </c>
      <c r="K7680">
        <v>0</v>
      </c>
      <c r="L7680">
        <v>0</v>
      </c>
      <c r="M7680">
        <v>0</v>
      </c>
      <c r="N7680">
        <v>0</v>
      </c>
      <c r="O7680">
        <v>0</v>
      </c>
    </row>
    <row r="7681" spans="1:15" x14ac:dyDescent="0.25">
      <c r="A7681" t="s">
        <v>951</v>
      </c>
      <c r="B7681" t="s">
        <v>2680</v>
      </c>
      <c r="C7681" t="s">
        <v>927</v>
      </c>
      <c r="D7681" t="s">
        <v>3052</v>
      </c>
      <c r="E7681" t="s">
        <v>3053</v>
      </c>
      <c r="F7681" t="s">
        <v>730</v>
      </c>
      <c r="G7681" t="s">
        <v>731</v>
      </c>
      <c r="H7681" t="s">
        <v>8150</v>
      </c>
      <c r="I7681">
        <v>8</v>
      </c>
      <c r="J7681">
        <v>2</v>
      </c>
      <c r="K7681">
        <v>0</v>
      </c>
      <c r="L7681">
        <v>0</v>
      </c>
      <c r="M7681">
        <v>0</v>
      </c>
      <c r="N7681">
        <v>0</v>
      </c>
      <c r="O7681">
        <v>6</v>
      </c>
    </row>
    <row r="7682" spans="1:15" x14ac:dyDescent="0.25">
      <c r="A7682" t="s">
        <v>11720</v>
      </c>
      <c r="B7682" t="s">
        <v>10718</v>
      </c>
      <c r="C7682" t="s">
        <v>927</v>
      </c>
      <c r="D7682" t="s">
        <v>3052</v>
      </c>
      <c r="E7682" t="s">
        <v>3053</v>
      </c>
      <c r="F7682" t="s">
        <v>730</v>
      </c>
      <c r="G7682" t="s">
        <v>731</v>
      </c>
      <c r="H7682" t="s">
        <v>15264</v>
      </c>
      <c r="I7682">
        <v>4</v>
      </c>
      <c r="J7682">
        <v>0</v>
      </c>
      <c r="K7682">
        <v>0</v>
      </c>
      <c r="L7682">
        <v>0</v>
      </c>
      <c r="M7682">
        <v>0</v>
      </c>
      <c r="N7682">
        <v>0</v>
      </c>
      <c r="O7682">
        <v>4</v>
      </c>
    </row>
    <row r="7683" spans="1:15" x14ac:dyDescent="0.25">
      <c r="A7683" t="s">
        <v>1056</v>
      </c>
      <c r="B7683" t="s">
        <v>2966</v>
      </c>
      <c r="C7683" t="s">
        <v>927</v>
      </c>
      <c r="D7683" t="s">
        <v>3052</v>
      </c>
      <c r="E7683" t="s">
        <v>3053</v>
      </c>
      <c r="F7683" t="s">
        <v>730</v>
      </c>
      <c r="G7683" t="s">
        <v>731</v>
      </c>
      <c r="H7683" t="s">
        <v>8151</v>
      </c>
      <c r="I7683">
        <v>2</v>
      </c>
      <c r="J7683">
        <v>2</v>
      </c>
      <c r="K7683">
        <v>0</v>
      </c>
      <c r="L7683">
        <v>0</v>
      </c>
      <c r="M7683">
        <v>0</v>
      </c>
      <c r="N7683">
        <v>2</v>
      </c>
      <c r="O7683">
        <v>0</v>
      </c>
    </row>
    <row r="7684" spans="1:15" x14ac:dyDescent="0.25">
      <c r="A7684" t="s">
        <v>1057</v>
      </c>
      <c r="B7684" t="s">
        <v>1972</v>
      </c>
      <c r="C7684" t="s">
        <v>927</v>
      </c>
      <c r="D7684" t="s">
        <v>3052</v>
      </c>
      <c r="E7684" t="s">
        <v>3053</v>
      </c>
      <c r="F7684" t="s">
        <v>730</v>
      </c>
      <c r="G7684" t="s">
        <v>731</v>
      </c>
      <c r="H7684" t="s">
        <v>10406</v>
      </c>
      <c r="I7684">
        <v>16</v>
      </c>
      <c r="J7684">
        <v>3</v>
      </c>
      <c r="K7684">
        <v>0</v>
      </c>
      <c r="L7684">
        <v>0</v>
      </c>
      <c r="M7684">
        <v>0</v>
      </c>
      <c r="N7684">
        <v>0</v>
      </c>
      <c r="O7684">
        <v>13</v>
      </c>
    </row>
    <row r="7685" spans="1:15" x14ac:dyDescent="0.25">
      <c r="A7685" t="s">
        <v>955</v>
      </c>
      <c r="B7685" t="s">
        <v>2660</v>
      </c>
      <c r="C7685" t="s">
        <v>927</v>
      </c>
      <c r="D7685" t="s">
        <v>3052</v>
      </c>
      <c r="E7685" t="s">
        <v>3053</v>
      </c>
      <c r="F7685" t="s">
        <v>730</v>
      </c>
      <c r="G7685" t="s">
        <v>731</v>
      </c>
      <c r="H7685" t="s">
        <v>8152</v>
      </c>
      <c r="I7685">
        <v>266</v>
      </c>
      <c r="J7685">
        <v>184</v>
      </c>
      <c r="K7685">
        <v>0</v>
      </c>
      <c r="L7685">
        <v>77</v>
      </c>
      <c r="M7685">
        <v>0</v>
      </c>
      <c r="N7685">
        <v>0</v>
      </c>
      <c r="O7685">
        <v>5</v>
      </c>
    </row>
    <row r="7686" spans="1:15" x14ac:dyDescent="0.25">
      <c r="A7686" t="s">
        <v>1155</v>
      </c>
      <c r="B7686" t="s">
        <v>2912</v>
      </c>
      <c r="C7686" t="s">
        <v>927</v>
      </c>
      <c r="D7686" t="s">
        <v>3052</v>
      </c>
      <c r="E7686" t="s">
        <v>3053</v>
      </c>
      <c r="F7686" t="s">
        <v>730</v>
      </c>
      <c r="G7686" t="s">
        <v>731</v>
      </c>
      <c r="H7686" t="s">
        <v>8153</v>
      </c>
      <c r="I7686">
        <v>1</v>
      </c>
      <c r="J7686">
        <v>0</v>
      </c>
      <c r="K7686">
        <v>0</v>
      </c>
      <c r="L7686">
        <v>0</v>
      </c>
      <c r="M7686">
        <v>0</v>
      </c>
      <c r="N7686">
        <v>0</v>
      </c>
      <c r="O7686">
        <v>1</v>
      </c>
    </row>
    <row r="7687" spans="1:15" x14ac:dyDescent="0.25">
      <c r="A7687" t="s">
        <v>1156</v>
      </c>
      <c r="B7687" t="s">
        <v>2094</v>
      </c>
      <c r="C7687" t="s">
        <v>923</v>
      </c>
      <c r="D7687" t="s">
        <v>3063</v>
      </c>
      <c r="E7687" t="s">
        <v>3053</v>
      </c>
      <c r="F7687" t="s">
        <v>730</v>
      </c>
      <c r="G7687" t="s">
        <v>731</v>
      </c>
      <c r="H7687" t="s">
        <v>8154</v>
      </c>
      <c r="I7687">
        <v>35</v>
      </c>
      <c r="J7687">
        <v>0</v>
      </c>
      <c r="K7687">
        <v>0</v>
      </c>
      <c r="L7687">
        <v>35</v>
      </c>
      <c r="M7687">
        <v>0</v>
      </c>
      <c r="N7687">
        <v>0</v>
      </c>
      <c r="O7687">
        <v>0</v>
      </c>
    </row>
    <row r="7688" spans="1:15" x14ac:dyDescent="0.25">
      <c r="A7688" t="s">
        <v>11663</v>
      </c>
      <c r="B7688" t="s">
        <v>11768</v>
      </c>
      <c r="C7688" t="s">
        <v>927</v>
      </c>
      <c r="D7688" t="s">
        <v>3052</v>
      </c>
      <c r="E7688" t="s">
        <v>3053</v>
      </c>
      <c r="F7688" t="s">
        <v>730</v>
      </c>
      <c r="G7688" t="s">
        <v>731</v>
      </c>
      <c r="H7688" t="s">
        <v>12371</v>
      </c>
      <c r="I7688">
        <v>1</v>
      </c>
      <c r="J7688">
        <v>0</v>
      </c>
      <c r="K7688">
        <v>0</v>
      </c>
      <c r="L7688">
        <v>0</v>
      </c>
      <c r="M7688">
        <v>0</v>
      </c>
      <c r="N7688">
        <v>0</v>
      </c>
      <c r="O7688">
        <v>1</v>
      </c>
    </row>
    <row r="7689" spans="1:15" x14ac:dyDescent="0.25">
      <c r="A7689" t="s">
        <v>14374</v>
      </c>
      <c r="B7689" t="s">
        <v>1943</v>
      </c>
      <c r="C7689" t="s">
        <v>927</v>
      </c>
      <c r="D7689" t="s">
        <v>3052</v>
      </c>
      <c r="E7689" t="s">
        <v>3053</v>
      </c>
      <c r="F7689" t="s">
        <v>730</v>
      </c>
      <c r="G7689" t="s">
        <v>731</v>
      </c>
      <c r="H7689" t="s">
        <v>15265</v>
      </c>
      <c r="I7689">
        <v>27</v>
      </c>
      <c r="J7689">
        <v>0</v>
      </c>
      <c r="K7689">
        <v>0</v>
      </c>
      <c r="L7689">
        <v>0</v>
      </c>
      <c r="M7689">
        <v>0</v>
      </c>
      <c r="N7689">
        <v>0</v>
      </c>
      <c r="O7689">
        <v>27</v>
      </c>
    </row>
    <row r="7690" spans="1:15" x14ac:dyDescent="0.25">
      <c r="A7690" t="s">
        <v>1159</v>
      </c>
      <c r="B7690" t="s">
        <v>2829</v>
      </c>
      <c r="C7690" t="s">
        <v>927</v>
      </c>
      <c r="D7690" t="s">
        <v>3052</v>
      </c>
      <c r="E7690" t="s">
        <v>3053</v>
      </c>
      <c r="F7690" t="s">
        <v>730</v>
      </c>
      <c r="G7690" t="s">
        <v>731</v>
      </c>
      <c r="H7690" t="s">
        <v>8155</v>
      </c>
      <c r="I7690">
        <v>176</v>
      </c>
      <c r="J7690">
        <v>154</v>
      </c>
      <c r="K7690">
        <v>0</v>
      </c>
      <c r="L7690">
        <v>22</v>
      </c>
      <c r="M7690">
        <v>0</v>
      </c>
      <c r="N7690">
        <v>3</v>
      </c>
      <c r="O7690">
        <v>0</v>
      </c>
    </row>
    <row r="7691" spans="1:15" x14ac:dyDescent="0.25">
      <c r="A7691" t="s">
        <v>1170</v>
      </c>
      <c r="B7691" t="s">
        <v>2968</v>
      </c>
      <c r="C7691" t="s">
        <v>923</v>
      </c>
      <c r="D7691" t="s">
        <v>3063</v>
      </c>
      <c r="E7691" t="s">
        <v>3053</v>
      </c>
      <c r="F7691" t="s">
        <v>730</v>
      </c>
      <c r="G7691" t="s">
        <v>731</v>
      </c>
      <c r="H7691" t="s">
        <v>8156</v>
      </c>
      <c r="I7691">
        <v>12</v>
      </c>
      <c r="J7691">
        <v>0</v>
      </c>
      <c r="K7691">
        <v>0</v>
      </c>
      <c r="L7691">
        <v>12</v>
      </c>
      <c r="M7691">
        <v>0</v>
      </c>
      <c r="N7691">
        <v>0</v>
      </c>
      <c r="O7691">
        <v>0</v>
      </c>
    </row>
    <row r="7692" spans="1:15" x14ac:dyDescent="0.25">
      <c r="A7692" t="s">
        <v>1069</v>
      </c>
      <c r="B7692" t="s">
        <v>2001</v>
      </c>
      <c r="C7692" t="s">
        <v>927</v>
      </c>
      <c r="D7692" t="s">
        <v>3052</v>
      </c>
      <c r="E7692" t="s">
        <v>3053</v>
      </c>
      <c r="F7692" t="s">
        <v>730</v>
      </c>
      <c r="G7692" t="s">
        <v>731</v>
      </c>
      <c r="H7692" t="s">
        <v>8157</v>
      </c>
      <c r="I7692">
        <v>447</v>
      </c>
      <c r="J7692">
        <v>401</v>
      </c>
      <c r="K7692">
        <v>0</v>
      </c>
      <c r="L7692">
        <v>0</v>
      </c>
      <c r="M7692">
        <v>0</v>
      </c>
      <c r="N7692">
        <v>0</v>
      </c>
      <c r="O7692">
        <v>46</v>
      </c>
    </row>
    <row r="7693" spans="1:15" x14ac:dyDescent="0.25">
      <c r="A7693" t="s">
        <v>1071</v>
      </c>
      <c r="B7693" t="s">
        <v>2571</v>
      </c>
      <c r="C7693" t="s">
        <v>923</v>
      </c>
      <c r="D7693" t="s">
        <v>3063</v>
      </c>
      <c r="E7693" t="s">
        <v>3053</v>
      </c>
      <c r="F7693" t="s">
        <v>730</v>
      </c>
      <c r="G7693" t="s">
        <v>731</v>
      </c>
      <c r="H7693" t="s">
        <v>8158</v>
      </c>
      <c r="I7693">
        <v>10</v>
      </c>
      <c r="J7693">
        <v>0</v>
      </c>
      <c r="K7693">
        <v>0</v>
      </c>
      <c r="L7693">
        <v>10</v>
      </c>
      <c r="M7693">
        <v>0</v>
      </c>
      <c r="N7693">
        <v>0</v>
      </c>
      <c r="O7693">
        <v>0</v>
      </c>
    </row>
    <row r="7694" spans="1:15" x14ac:dyDescent="0.25">
      <c r="A7694" t="s">
        <v>1072</v>
      </c>
      <c r="B7694" t="s">
        <v>2907</v>
      </c>
      <c r="C7694" t="s">
        <v>927</v>
      </c>
      <c r="D7694" t="s">
        <v>3052</v>
      </c>
      <c r="E7694" t="s">
        <v>3053</v>
      </c>
      <c r="F7694" t="s">
        <v>730</v>
      </c>
      <c r="G7694" t="s">
        <v>731</v>
      </c>
      <c r="H7694" t="s">
        <v>8159</v>
      </c>
      <c r="I7694">
        <v>28</v>
      </c>
      <c r="J7694">
        <v>0</v>
      </c>
      <c r="K7694">
        <v>0</v>
      </c>
      <c r="L7694">
        <v>0</v>
      </c>
      <c r="M7694">
        <v>28</v>
      </c>
      <c r="N7694">
        <v>0</v>
      </c>
      <c r="O7694">
        <v>0</v>
      </c>
    </row>
    <row r="7695" spans="1:15" x14ac:dyDescent="0.25">
      <c r="A7695" t="s">
        <v>1195</v>
      </c>
      <c r="B7695" t="s">
        <v>2924</v>
      </c>
      <c r="C7695" t="s">
        <v>927</v>
      </c>
      <c r="D7695" t="s">
        <v>3052</v>
      </c>
      <c r="E7695" t="s">
        <v>3053</v>
      </c>
      <c r="F7695" t="s">
        <v>732</v>
      </c>
      <c r="G7695" t="s">
        <v>733</v>
      </c>
      <c r="H7695" t="s">
        <v>8160</v>
      </c>
      <c r="I7695">
        <v>33</v>
      </c>
      <c r="J7695">
        <v>14</v>
      </c>
      <c r="K7695">
        <v>0</v>
      </c>
      <c r="L7695">
        <v>0</v>
      </c>
      <c r="M7695">
        <v>0</v>
      </c>
      <c r="N7695">
        <v>0</v>
      </c>
      <c r="O7695">
        <v>19</v>
      </c>
    </row>
    <row r="7696" spans="1:15" x14ac:dyDescent="0.25">
      <c r="A7696" t="s">
        <v>929</v>
      </c>
      <c r="B7696" t="s">
        <v>2999</v>
      </c>
      <c r="C7696" t="s">
        <v>927</v>
      </c>
      <c r="D7696" t="s">
        <v>3052</v>
      </c>
      <c r="E7696" t="s">
        <v>3053</v>
      </c>
      <c r="F7696" t="s">
        <v>732</v>
      </c>
      <c r="G7696" t="s">
        <v>733</v>
      </c>
      <c r="H7696" t="s">
        <v>8161</v>
      </c>
      <c r="I7696">
        <v>32</v>
      </c>
      <c r="J7696">
        <v>0</v>
      </c>
      <c r="K7696">
        <v>0</v>
      </c>
      <c r="L7696">
        <v>0</v>
      </c>
      <c r="M7696">
        <v>32</v>
      </c>
      <c r="N7696">
        <v>0</v>
      </c>
      <c r="O7696">
        <v>0</v>
      </c>
    </row>
    <row r="7697" spans="1:15" x14ac:dyDescent="0.25">
      <c r="A7697" t="s">
        <v>1087</v>
      </c>
      <c r="B7697" t="s">
        <v>2979</v>
      </c>
      <c r="C7697" t="s">
        <v>923</v>
      </c>
      <c r="D7697" t="s">
        <v>3063</v>
      </c>
      <c r="E7697" t="s">
        <v>3053</v>
      </c>
      <c r="F7697" t="s">
        <v>732</v>
      </c>
      <c r="G7697" t="s">
        <v>733</v>
      </c>
      <c r="H7697" t="s">
        <v>8162</v>
      </c>
      <c r="I7697">
        <v>36</v>
      </c>
      <c r="J7697">
        <v>36</v>
      </c>
      <c r="K7697">
        <v>0</v>
      </c>
      <c r="L7697">
        <v>0</v>
      </c>
      <c r="M7697">
        <v>0</v>
      </c>
      <c r="N7697">
        <v>9</v>
      </c>
      <c r="O7697">
        <v>0</v>
      </c>
    </row>
    <row r="7698" spans="1:15" x14ac:dyDescent="0.25">
      <c r="A7698" t="s">
        <v>1204</v>
      </c>
      <c r="B7698" t="s">
        <v>2448</v>
      </c>
      <c r="C7698" t="s">
        <v>923</v>
      </c>
      <c r="D7698" t="s">
        <v>3063</v>
      </c>
      <c r="E7698" t="s">
        <v>3053</v>
      </c>
      <c r="F7698" t="s">
        <v>732</v>
      </c>
      <c r="G7698" t="s">
        <v>733</v>
      </c>
      <c r="H7698" t="s">
        <v>8163</v>
      </c>
      <c r="I7698">
        <v>23</v>
      </c>
      <c r="J7698">
        <v>23</v>
      </c>
      <c r="K7698">
        <v>0</v>
      </c>
      <c r="L7698">
        <v>0</v>
      </c>
      <c r="M7698">
        <v>0</v>
      </c>
      <c r="N7698">
        <v>0</v>
      </c>
      <c r="O7698">
        <v>0</v>
      </c>
    </row>
    <row r="7699" spans="1:15" x14ac:dyDescent="0.25">
      <c r="A7699" t="s">
        <v>1205</v>
      </c>
      <c r="B7699" t="s">
        <v>2504</v>
      </c>
      <c r="C7699" t="s">
        <v>923</v>
      </c>
      <c r="D7699" t="s">
        <v>3063</v>
      </c>
      <c r="E7699" t="s">
        <v>3053</v>
      </c>
      <c r="F7699" t="s">
        <v>732</v>
      </c>
      <c r="G7699" t="s">
        <v>733</v>
      </c>
      <c r="H7699" t="s">
        <v>8164</v>
      </c>
      <c r="I7699">
        <v>62</v>
      </c>
      <c r="J7699">
        <v>21</v>
      </c>
      <c r="K7699">
        <v>41</v>
      </c>
      <c r="L7699">
        <v>0</v>
      </c>
      <c r="M7699">
        <v>0</v>
      </c>
      <c r="N7699">
        <v>0</v>
      </c>
      <c r="O7699">
        <v>0</v>
      </c>
    </row>
    <row r="7700" spans="1:15" x14ac:dyDescent="0.25">
      <c r="A7700" t="s">
        <v>1214</v>
      </c>
      <c r="B7700" t="s">
        <v>2428</v>
      </c>
      <c r="C7700" t="s">
        <v>923</v>
      </c>
      <c r="D7700" t="s">
        <v>3063</v>
      </c>
      <c r="E7700" t="s">
        <v>3053</v>
      </c>
      <c r="F7700" t="s">
        <v>732</v>
      </c>
      <c r="G7700" t="s">
        <v>733</v>
      </c>
      <c r="H7700" t="s">
        <v>8165</v>
      </c>
      <c r="I7700">
        <v>50</v>
      </c>
      <c r="J7700">
        <v>24</v>
      </c>
      <c r="K7700">
        <v>26</v>
      </c>
      <c r="L7700">
        <v>0</v>
      </c>
      <c r="M7700">
        <v>0</v>
      </c>
      <c r="N7700">
        <v>0</v>
      </c>
      <c r="O7700">
        <v>0</v>
      </c>
    </row>
    <row r="7701" spans="1:15" x14ac:dyDescent="0.25">
      <c r="A7701" t="s">
        <v>1215</v>
      </c>
      <c r="B7701" t="s">
        <v>2479</v>
      </c>
      <c r="C7701" t="s">
        <v>923</v>
      </c>
      <c r="D7701" t="s">
        <v>3063</v>
      </c>
      <c r="E7701" t="s">
        <v>3053</v>
      </c>
      <c r="F7701" t="s">
        <v>732</v>
      </c>
      <c r="G7701" t="s">
        <v>733</v>
      </c>
      <c r="H7701" t="s">
        <v>8166</v>
      </c>
      <c r="I7701">
        <v>39</v>
      </c>
      <c r="J7701">
        <v>39</v>
      </c>
      <c r="K7701">
        <v>0</v>
      </c>
      <c r="L7701">
        <v>0</v>
      </c>
      <c r="M7701">
        <v>0</v>
      </c>
      <c r="N7701">
        <v>0</v>
      </c>
      <c r="O7701">
        <v>0</v>
      </c>
    </row>
    <row r="7702" spans="1:15" x14ac:dyDescent="0.25">
      <c r="A7702" t="s">
        <v>1218</v>
      </c>
      <c r="B7702" t="s">
        <v>2565</v>
      </c>
      <c r="C7702" t="s">
        <v>927</v>
      </c>
      <c r="D7702" t="s">
        <v>3052</v>
      </c>
      <c r="E7702" t="s">
        <v>3053</v>
      </c>
      <c r="F7702" t="s">
        <v>732</v>
      </c>
      <c r="G7702" t="s">
        <v>733</v>
      </c>
      <c r="H7702" t="s">
        <v>8167</v>
      </c>
      <c r="I7702">
        <v>20</v>
      </c>
      <c r="J7702">
        <v>20</v>
      </c>
      <c r="K7702">
        <v>0</v>
      </c>
      <c r="L7702">
        <v>0</v>
      </c>
      <c r="M7702">
        <v>0</v>
      </c>
      <c r="N7702">
        <v>0</v>
      </c>
      <c r="O7702">
        <v>0</v>
      </c>
    </row>
    <row r="7703" spans="1:15" x14ac:dyDescent="0.25">
      <c r="A7703" t="s">
        <v>1219</v>
      </c>
      <c r="B7703" t="s">
        <v>2569</v>
      </c>
      <c r="C7703" t="s">
        <v>923</v>
      </c>
      <c r="D7703" t="s">
        <v>3063</v>
      </c>
      <c r="E7703" t="s">
        <v>3053</v>
      </c>
      <c r="F7703" t="s">
        <v>732</v>
      </c>
      <c r="G7703" t="s">
        <v>733</v>
      </c>
      <c r="H7703" t="s">
        <v>8168</v>
      </c>
      <c r="I7703">
        <v>33</v>
      </c>
      <c r="J7703">
        <v>33</v>
      </c>
      <c r="K7703">
        <v>0</v>
      </c>
      <c r="L7703">
        <v>0</v>
      </c>
      <c r="M7703">
        <v>0</v>
      </c>
      <c r="N7703">
        <v>0</v>
      </c>
      <c r="O7703">
        <v>0</v>
      </c>
    </row>
    <row r="7704" spans="1:15" x14ac:dyDescent="0.25">
      <c r="A7704" t="s">
        <v>933</v>
      </c>
      <c r="B7704" t="s">
        <v>2106</v>
      </c>
      <c r="C7704" t="s">
        <v>927</v>
      </c>
      <c r="D7704" t="s">
        <v>3052</v>
      </c>
      <c r="E7704" t="s">
        <v>3053</v>
      </c>
      <c r="F7704" t="s">
        <v>732</v>
      </c>
      <c r="G7704" t="s">
        <v>733</v>
      </c>
      <c r="H7704" t="s">
        <v>8169</v>
      </c>
      <c r="I7704">
        <v>1168</v>
      </c>
      <c r="J7704">
        <v>985</v>
      </c>
      <c r="K7704">
        <v>66</v>
      </c>
      <c r="L7704">
        <v>2</v>
      </c>
      <c r="M7704">
        <v>0</v>
      </c>
      <c r="N7704">
        <v>3</v>
      </c>
      <c r="O7704">
        <v>115</v>
      </c>
    </row>
    <row r="7705" spans="1:15" x14ac:dyDescent="0.25">
      <c r="A7705" t="s">
        <v>1474</v>
      </c>
      <c r="B7705" t="s">
        <v>2038</v>
      </c>
      <c r="C7705" t="s">
        <v>923</v>
      </c>
      <c r="D7705" t="s">
        <v>3063</v>
      </c>
      <c r="E7705" t="s">
        <v>3053</v>
      </c>
      <c r="F7705" t="s">
        <v>732</v>
      </c>
      <c r="G7705" t="s">
        <v>733</v>
      </c>
      <c r="H7705" t="s">
        <v>10032</v>
      </c>
      <c r="I7705">
        <v>10</v>
      </c>
      <c r="J7705">
        <v>0</v>
      </c>
      <c r="K7705">
        <v>10</v>
      </c>
      <c r="L7705">
        <v>0</v>
      </c>
      <c r="M7705">
        <v>0</v>
      </c>
      <c r="N7705">
        <v>10</v>
      </c>
      <c r="O7705">
        <v>0</v>
      </c>
    </row>
    <row r="7706" spans="1:15" x14ac:dyDescent="0.25">
      <c r="A7706" t="s">
        <v>1238</v>
      </c>
      <c r="B7706" t="s">
        <v>2419</v>
      </c>
      <c r="C7706" t="s">
        <v>923</v>
      </c>
      <c r="D7706" t="s">
        <v>3063</v>
      </c>
      <c r="E7706" t="s">
        <v>3053</v>
      </c>
      <c r="F7706" t="s">
        <v>732</v>
      </c>
      <c r="G7706" t="s">
        <v>733</v>
      </c>
      <c r="H7706" t="s">
        <v>12372</v>
      </c>
      <c r="I7706">
        <v>56</v>
      </c>
      <c r="J7706">
        <v>56</v>
      </c>
      <c r="K7706">
        <v>0</v>
      </c>
      <c r="L7706">
        <v>0</v>
      </c>
      <c r="M7706">
        <v>0</v>
      </c>
      <c r="N7706">
        <v>0</v>
      </c>
      <c r="O7706">
        <v>0</v>
      </c>
    </row>
    <row r="7707" spans="1:15" x14ac:dyDescent="0.25">
      <c r="A7707" t="s">
        <v>1239</v>
      </c>
      <c r="B7707" t="s">
        <v>2990</v>
      </c>
      <c r="C7707" t="s">
        <v>923</v>
      </c>
      <c r="D7707" t="s">
        <v>3063</v>
      </c>
      <c r="E7707" t="s">
        <v>3053</v>
      </c>
      <c r="F7707" t="s">
        <v>732</v>
      </c>
      <c r="G7707" t="s">
        <v>733</v>
      </c>
      <c r="H7707" t="s">
        <v>8170</v>
      </c>
      <c r="I7707">
        <v>34</v>
      </c>
      <c r="J7707">
        <v>34</v>
      </c>
      <c r="K7707">
        <v>0</v>
      </c>
      <c r="L7707">
        <v>0</v>
      </c>
      <c r="M7707">
        <v>0</v>
      </c>
      <c r="N7707">
        <v>0</v>
      </c>
      <c r="O7707">
        <v>0</v>
      </c>
    </row>
    <row r="7708" spans="1:15" x14ac:dyDescent="0.25">
      <c r="A7708" t="s">
        <v>10638</v>
      </c>
      <c r="B7708" t="s">
        <v>2057</v>
      </c>
      <c r="C7708" t="s">
        <v>927</v>
      </c>
      <c r="D7708" t="s">
        <v>3052</v>
      </c>
      <c r="E7708" t="s">
        <v>3053</v>
      </c>
      <c r="F7708" t="s">
        <v>732</v>
      </c>
      <c r="G7708" t="s">
        <v>733</v>
      </c>
      <c r="H7708" t="s">
        <v>11342</v>
      </c>
      <c r="I7708">
        <v>50</v>
      </c>
      <c r="J7708">
        <v>0</v>
      </c>
      <c r="K7708">
        <v>0</v>
      </c>
      <c r="L7708">
        <v>50</v>
      </c>
      <c r="M7708">
        <v>0</v>
      </c>
      <c r="N7708">
        <v>0</v>
      </c>
      <c r="O7708">
        <v>0</v>
      </c>
    </row>
    <row r="7709" spans="1:15" x14ac:dyDescent="0.25">
      <c r="A7709" t="s">
        <v>1008</v>
      </c>
      <c r="B7709" t="s">
        <v>2928</v>
      </c>
      <c r="C7709" t="s">
        <v>927</v>
      </c>
      <c r="D7709" t="s">
        <v>3052</v>
      </c>
      <c r="E7709" t="s">
        <v>3053</v>
      </c>
      <c r="F7709" t="s">
        <v>732</v>
      </c>
      <c r="G7709" t="s">
        <v>733</v>
      </c>
      <c r="H7709" t="s">
        <v>8171</v>
      </c>
      <c r="I7709">
        <v>184</v>
      </c>
      <c r="J7709">
        <v>165</v>
      </c>
      <c r="K7709">
        <v>0</v>
      </c>
      <c r="L7709">
        <v>11</v>
      </c>
      <c r="M7709">
        <v>8</v>
      </c>
      <c r="N7709">
        <v>2</v>
      </c>
      <c r="O7709">
        <v>0</v>
      </c>
    </row>
    <row r="7710" spans="1:15" x14ac:dyDescent="0.25">
      <c r="A7710" t="s">
        <v>1262</v>
      </c>
      <c r="B7710" t="s">
        <v>2160</v>
      </c>
      <c r="C7710" t="s">
        <v>923</v>
      </c>
      <c r="D7710" t="s">
        <v>3063</v>
      </c>
      <c r="E7710" t="s">
        <v>3053</v>
      </c>
      <c r="F7710" t="s">
        <v>732</v>
      </c>
      <c r="G7710" t="s">
        <v>733</v>
      </c>
      <c r="H7710" t="s">
        <v>8172</v>
      </c>
      <c r="I7710">
        <v>7</v>
      </c>
      <c r="J7710">
        <v>0</v>
      </c>
      <c r="K7710">
        <v>0</v>
      </c>
      <c r="L7710">
        <v>0</v>
      </c>
      <c r="M7710">
        <v>7</v>
      </c>
      <c r="N7710">
        <v>0</v>
      </c>
      <c r="O7710">
        <v>0</v>
      </c>
    </row>
    <row r="7711" spans="1:15" x14ac:dyDescent="0.25">
      <c r="A7711" t="s">
        <v>1264</v>
      </c>
      <c r="B7711" t="s">
        <v>2749</v>
      </c>
      <c r="C7711" t="s">
        <v>927</v>
      </c>
      <c r="D7711" t="s">
        <v>3052</v>
      </c>
      <c r="E7711" t="s">
        <v>3053</v>
      </c>
      <c r="F7711" t="s">
        <v>732</v>
      </c>
      <c r="G7711" t="s">
        <v>733</v>
      </c>
      <c r="H7711" t="s">
        <v>8173</v>
      </c>
      <c r="I7711">
        <v>1522</v>
      </c>
      <c r="J7711">
        <v>1255</v>
      </c>
      <c r="K7711">
        <v>0</v>
      </c>
      <c r="L7711">
        <v>156</v>
      </c>
      <c r="M7711">
        <v>0</v>
      </c>
      <c r="N7711">
        <v>0</v>
      </c>
      <c r="O7711">
        <v>111</v>
      </c>
    </row>
    <row r="7712" spans="1:15" x14ac:dyDescent="0.25">
      <c r="A7712" t="s">
        <v>937</v>
      </c>
      <c r="B7712" t="s">
        <v>1962</v>
      </c>
      <c r="C7712" t="s">
        <v>927</v>
      </c>
      <c r="D7712" t="s">
        <v>3052</v>
      </c>
      <c r="E7712" t="s">
        <v>3053</v>
      </c>
      <c r="F7712" t="s">
        <v>732</v>
      </c>
      <c r="G7712" t="s">
        <v>733</v>
      </c>
      <c r="H7712" t="s">
        <v>8174</v>
      </c>
      <c r="I7712">
        <v>15</v>
      </c>
      <c r="J7712">
        <v>0</v>
      </c>
      <c r="K7712">
        <v>0</v>
      </c>
      <c r="L7712">
        <v>0</v>
      </c>
      <c r="M7712">
        <v>0</v>
      </c>
      <c r="N7712">
        <v>0</v>
      </c>
      <c r="O7712">
        <v>15</v>
      </c>
    </row>
    <row r="7713" spans="1:15" x14ac:dyDescent="0.25">
      <c r="A7713" t="s">
        <v>1271</v>
      </c>
      <c r="B7713" t="s">
        <v>2258</v>
      </c>
      <c r="C7713" t="s">
        <v>923</v>
      </c>
      <c r="D7713" t="s">
        <v>3063</v>
      </c>
      <c r="E7713" t="s">
        <v>3053</v>
      </c>
      <c r="F7713" t="s">
        <v>732</v>
      </c>
      <c r="G7713" t="s">
        <v>733</v>
      </c>
      <c r="H7713" t="s">
        <v>8175</v>
      </c>
      <c r="I7713">
        <v>20</v>
      </c>
      <c r="J7713">
        <v>0</v>
      </c>
      <c r="K7713">
        <v>0</v>
      </c>
      <c r="L7713">
        <v>0</v>
      </c>
      <c r="M7713">
        <v>20</v>
      </c>
      <c r="N7713">
        <v>0</v>
      </c>
      <c r="O7713">
        <v>0</v>
      </c>
    </row>
    <row r="7714" spans="1:15" x14ac:dyDescent="0.25">
      <c r="A7714" t="s">
        <v>940</v>
      </c>
      <c r="B7714" t="s">
        <v>2647</v>
      </c>
      <c r="C7714" t="s">
        <v>927</v>
      </c>
      <c r="D7714" t="s">
        <v>3052</v>
      </c>
      <c r="E7714" t="s">
        <v>3053</v>
      </c>
      <c r="F7714" t="s">
        <v>732</v>
      </c>
      <c r="G7714" t="s">
        <v>733</v>
      </c>
      <c r="H7714" t="s">
        <v>8176</v>
      </c>
      <c r="I7714">
        <v>80</v>
      </c>
      <c r="J7714">
        <v>0</v>
      </c>
      <c r="K7714">
        <v>0</v>
      </c>
      <c r="L7714">
        <v>0</v>
      </c>
      <c r="M7714">
        <v>80</v>
      </c>
      <c r="N7714">
        <v>0</v>
      </c>
      <c r="O7714">
        <v>0</v>
      </c>
    </row>
    <row r="7715" spans="1:15" x14ac:dyDescent="0.25">
      <c r="A7715" t="s">
        <v>1273</v>
      </c>
      <c r="B7715" t="s">
        <v>2709</v>
      </c>
      <c r="C7715" t="s">
        <v>923</v>
      </c>
      <c r="D7715" t="s">
        <v>3063</v>
      </c>
      <c r="E7715" t="s">
        <v>3053</v>
      </c>
      <c r="F7715" t="s">
        <v>732</v>
      </c>
      <c r="G7715" t="s">
        <v>733</v>
      </c>
      <c r="H7715" t="s">
        <v>8177</v>
      </c>
      <c r="I7715">
        <v>120</v>
      </c>
      <c r="J7715">
        <v>120</v>
      </c>
      <c r="K7715">
        <v>0</v>
      </c>
      <c r="L7715">
        <v>0</v>
      </c>
      <c r="M7715">
        <v>0</v>
      </c>
      <c r="N7715">
        <v>13</v>
      </c>
      <c r="O7715">
        <v>0</v>
      </c>
    </row>
    <row r="7716" spans="1:15" x14ac:dyDescent="0.25">
      <c r="A7716" t="s">
        <v>1012</v>
      </c>
      <c r="B7716" t="s">
        <v>2911</v>
      </c>
      <c r="C7716" t="s">
        <v>927</v>
      </c>
      <c r="D7716" t="s">
        <v>3052</v>
      </c>
      <c r="E7716" t="s">
        <v>3053</v>
      </c>
      <c r="F7716" t="s">
        <v>732</v>
      </c>
      <c r="G7716" t="s">
        <v>733</v>
      </c>
      <c r="H7716" t="s">
        <v>8178</v>
      </c>
      <c r="I7716">
        <v>1961</v>
      </c>
      <c r="J7716">
        <v>1393</v>
      </c>
      <c r="K7716">
        <v>0</v>
      </c>
      <c r="L7716">
        <v>161</v>
      </c>
      <c r="M7716">
        <v>49</v>
      </c>
      <c r="N7716">
        <v>29</v>
      </c>
      <c r="O7716">
        <v>358</v>
      </c>
    </row>
    <row r="7717" spans="1:15" x14ac:dyDescent="0.25">
      <c r="A7717" t="s">
        <v>14385</v>
      </c>
      <c r="B7717" t="s">
        <v>3027</v>
      </c>
      <c r="C7717" t="s">
        <v>923</v>
      </c>
      <c r="D7717" t="s">
        <v>3063</v>
      </c>
      <c r="E7717" t="s">
        <v>3053</v>
      </c>
      <c r="F7717" t="s">
        <v>732</v>
      </c>
      <c r="G7717" t="s">
        <v>733</v>
      </c>
      <c r="H7717" t="s">
        <v>15266</v>
      </c>
      <c r="I7717">
        <v>6</v>
      </c>
      <c r="J7717">
        <v>0</v>
      </c>
      <c r="K7717">
        <v>0</v>
      </c>
      <c r="L7717">
        <v>6</v>
      </c>
      <c r="M7717">
        <v>0</v>
      </c>
      <c r="N7717">
        <v>0</v>
      </c>
      <c r="O7717">
        <v>0</v>
      </c>
    </row>
    <row r="7718" spans="1:15" x14ac:dyDescent="0.25">
      <c r="A7718" t="s">
        <v>1283</v>
      </c>
      <c r="B7718" t="s">
        <v>2768</v>
      </c>
      <c r="C7718" t="s">
        <v>923</v>
      </c>
      <c r="D7718" t="s">
        <v>3063</v>
      </c>
      <c r="E7718" t="s">
        <v>3053</v>
      </c>
      <c r="F7718" t="s">
        <v>732</v>
      </c>
      <c r="G7718" t="s">
        <v>733</v>
      </c>
      <c r="H7718" t="s">
        <v>8179</v>
      </c>
      <c r="I7718">
        <v>56</v>
      </c>
      <c r="J7718">
        <v>56</v>
      </c>
      <c r="K7718">
        <v>0</v>
      </c>
      <c r="L7718">
        <v>0</v>
      </c>
      <c r="M7718">
        <v>0</v>
      </c>
      <c r="N7718">
        <v>0</v>
      </c>
      <c r="O7718">
        <v>0</v>
      </c>
    </row>
    <row r="7719" spans="1:15" x14ac:dyDescent="0.25">
      <c r="A7719" t="s">
        <v>11678</v>
      </c>
      <c r="B7719" t="s">
        <v>2706</v>
      </c>
      <c r="C7719" t="s">
        <v>923</v>
      </c>
      <c r="D7719" t="s">
        <v>3063</v>
      </c>
      <c r="E7719" t="s">
        <v>3053</v>
      </c>
      <c r="F7719" t="s">
        <v>732</v>
      </c>
      <c r="G7719" t="s">
        <v>733</v>
      </c>
      <c r="H7719" t="s">
        <v>12373</v>
      </c>
      <c r="I7719">
        <v>190</v>
      </c>
      <c r="J7719">
        <v>190</v>
      </c>
      <c r="K7719">
        <v>0</v>
      </c>
      <c r="L7719">
        <v>0</v>
      </c>
      <c r="M7719">
        <v>0</v>
      </c>
      <c r="N7719">
        <v>1</v>
      </c>
      <c r="O7719">
        <v>0</v>
      </c>
    </row>
    <row r="7720" spans="1:15" x14ac:dyDescent="0.25">
      <c r="A7720" t="s">
        <v>1127</v>
      </c>
      <c r="B7720" t="s">
        <v>3034</v>
      </c>
      <c r="C7720" t="s">
        <v>927</v>
      </c>
      <c r="D7720" t="s">
        <v>3052</v>
      </c>
      <c r="E7720" t="s">
        <v>3053</v>
      </c>
      <c r="F7720" t="s">
        <v>732</v>
      </c>
      <c r="G7720" t="s">
        <v>733</v>
      </c>
      <c r="H7720" t="s">
        <v>8180</v>
      </c>
      <c r="I7720">
        <v>2</v>
      </c>
      <c r="J7720">
        <v>2</v>
      </c>
      <c r="K7720">
        <v>0</v>
      </c>
      <c r="L7720">
        <v>0</v>
      </c>
      <c r="M7720">
        <v>0</v>
      </c>
      <c r="N7720">
        <v>0</v>
      </c>
      <c r="O7720">
        <v>0</v>
      </c>
    </row>
    <row r="7721" spans="1:15" x14ac:dyDescent="0.25">
      <c r="A7721" t="s">
        <v>1025</v>
      </c>
      <c r="B7721" t="s">
        <v>2893</v>
      </c>
      <c r="C7721" t="s">
        <v>927</v>
      </c>
      <c r="D7721" t="s">
        <v>3052</v>
      </c>
      <c r="E7721" t="s">
        <v>3053</v>
      </c>
      <c r="F7721" t="s">
        <v>732</v>
      </c>
      <c r="G7721" t="s">
        <v>733</v>
      </c>
      <c r="H7721" t="s">
        <v>8181</v>
      </c>
      <c r="I7721">
        <v>3151</v>
      </c>
      <c r="J7721">
        <v>2269</v>
      </c>
      <c r="K7721">
        <v>0</v>
      </c>
      <c r="L7721">
        <v>186</v>
      </c>
      <c r="M7721">
        <v>0</v>
      </c>
      <c r="N7721">
        <v>143</v>
      </c>
      <c r="O7721">
        <v>696</v>
      </c>
    </row>
    <row r="7722" spans="1:15" x14ac:dyDescent="0.25">
      <c r="A7722" t="s">
        <v>1293</v>
      </c>
      <c r="B7722" t="s">
        <v>2910</v>
      </c>
      <c r="C7722" t="s">
        <v>927</v>
      </c>
      <c r="D7722" t="s">
        <v>3052</v>
      </c>
      <c r="E7722" t="s">
        <v>3053</v>
      </c>
      <c r="F7722" t="s">
        <v>732</v>
      </c>
      <c r="G7722" t="s">
        <v>733</v>
      </c>
      <c r="H7722" t="s">
        <v>8182</v>
      </c>
      <c r="I7722">
        <v>14</v>
      </c>
      <c r="J7722">
        <v>0</v>
      </c>
      <c r="K7722">
        <v>0</v>
      </c>
      <c r="L7722">
        <v>14</v>
      </c>
      <c r="M7722">
        <v>0</v>
      </c>
      <c r="N7722">
        <v>0</v>
      </c>
      <c r="O7722">
        <v>0</v>
      </c>
    </row>
    <row r="7723" spans="1:15" x14ac:dyDescent="0.25">
      <c r="A7723" t="s">
        <v>10681</v>
      </c>
      <c r="B7723" t="s">
        <v>10680</v>
      </c>
      <c r="C7723" t="s">
        <v>927</v>
      </c>
      <c r="D7723" t="s">
        <v>3052</v>
      </c>
      <c r="E7723" t="s">
        <v>3053</v>
      </c>
      <c r="F7723" t="s">
        <v>732</v>
      </c>
      <c r="G7723" t="s">
        <v>733</v>
      </c>
      <c r="H7723" t="s">
        <v>15267</v>
      </c>
      <c r="I7723">
        <v>37</v>
      </c>
      <c r="J7723">
        <v>0</v>
      </c>
      <c r="K7723">
        <v>0</v>
      </c>
      <c r="L7723">
        <v>0</v>
      </c>
      <c r="M7723">
        <v>0</v>
      </c>
      <c r="N7723">
        <v>0</v>
      </c>
      <c r="O7723">
        <v>37</v>
      </c>
    </row>
    <row r="7724" spans="1:15" x14ac:dyDescent="0.25">
      <c r="A7724" t="s">
        <v>943</v>
      </c>
      <c r="B7724" t="s">
        <v>2694</v>
      </c>
      <c r="C7724" t="s">
        <v>927</v>
      </c>
      <c r="D7724" t="s">
        <v>3052</v>
      </c>
      <c r="E7724" t="s">
        <v>3053</v>
      </c>
      <c r="F7724" t="s">
        <v>732</v>
      </c>
      <c r="G7724" t="s">
        <v>733</v>
      </c>
      <c r="H7724" t="s">
        <v>8183</v>
      </c>
      <c r="I7724">
        <v>613</v>
      </c>
      <c r="J7724">
        <v>259</v>
      </c>
      <c r="K7724">
        <v>0</v>
      </c>
      <c r="L7724">
        <v>257</v>
      </c>
      <c r="M7724">
        <v>0</v>
      </c>
      <c r="N7724">
        <v>1</v>
      </c>
      <c r="O7724">
        <v>97</v>
      </c>
    </row>
    <row r="7725" spans="1:15" x14ac:dyDescent="0.25">
      <c r="A7725" t="s">
        <v>945</v>
      </c>
      <c r="B7725" t="s">
        <v>2668</v>
      </c>
      <c r="C7725" t="s">
        <v>927</v>
      </c>
      <c r="D7725" t="s">
        <v>3052</v>
      </c>
      <c r="E7725" t="s">
        <v>3053</v>
      </c>
      <c r="F7725" t="s">
        <v>732</v>
      </c>
      <c r="G7725" t="s">
        <v>733</v>
      </c>
      <c r="H7725" t="s">
        <v>8184</v>
      </c>
      <c r="I7725">
        <v>4</v>
      </c>
      <c r="J7725">
        <v>0</v>
      </c>
      <c r="K7725">
        <v>0</v>
      </c>
      <c r="L7725">
        <v>0</v>
      </c>
      <c r="M7725">
        <v>0</v>
      </c>
      <c r="N7725">
        <v>0</v>
      </c>
      <c r="O7725">
        <v>4</v>
      </c>
    </row>
    <row r="7726" spans="1:15" x14ac:dyDescent="0.25">
      <c r="A7726" t="s">
        <v>1302</v>
      </c>
      <c r="B7726" t="s">
        <v>1961</v>
      </c>
      <c r="C7726" t="s">
        <v>923</v>
      </c>
      <c r="D7726" t="s">
        <v>3063</v>
      </c>
      <c r="E7726" t="s">
        <v>3053</v>
      </c>
      <c r="F7726" t="s">
        <v>732</v>
      </c>
      <c r="G7726" t="s">
        <v>733</v>
      </c>
      <c r="H7726" t="s">
        <v>8185</v>
      </c>
      <c r="I7726">
        <v>4</v>
      </c>
      <c r="J7726">
        <v>0</v>
      </c>
      <c r="K7726">
        <v>0</v>
      </c>
      <c r="L7726">
        <v>4</v>
      </c>
      <c r="M7726">
        <v>0</v>
      </c>
      <c r="N7726">
        <v>0</v>
      </c>
      <c r="O7726">
        <v>0</v>
      </c>
    </row>
    <row r="7727" spans="1:15" x14ac:dyDescent="0.25">
      <c r="A7727" t="s">
        <v>1305</v>
      </c>
      <c r="B7727" t="s">
        <v>2992</v>
      </c>
      <c r="C7727" t="s">
        <v>923</v>
      </c>
      <c r="D7727" t="s">
        <v>3063</v>
      </c>
      <c r="E7727" t="s">
        <v>3053</v>
      </c>
      <c r="F7727" t="s">
        <v>732</v>
      </c>
      <c r="G7727" t="s">
        <v>733</v>
      </c>
      <c r="H7727" t="s">
        <v>8186</v>
      </c>
      <c r="I7727">
        <v>114</v>
      </c>
      <c r="J7727">
        <v>114</v>
      </c>
      <c r="K7727">
        <v>0</v>
      </c>
      <c r="L7727">
        <v>0</v>
      </c>
      <c r="M7727">
        <v>0</v>
      </c>
      <c r="N7727">
        <v>0</v>
      </c>
      <c r="O7727">
        <v>0</v>
      </c>
    </row>
    <row r="7728" spans="1:15" x14ac:dyDescent="0.25">
      <c r="A7728" t="s">
        <v>1134</v>
      </c>
      <c r="B7728" t="s">
        <v>2118</v>
      </c>
      <c r="C7728" t="s">
        <v>927</v>
      </c>
      <c r="D7728" t="s">
        <v>3052</v>
      </c>
      <c r="E7728" t="s">
        <v>3053</v>
      </c>
      <c r="F7728" t="s">
        <v>732</v>
      </c>
      <c r="G7728" t="s">
        <v>733</v>
      </c>
      <c r="H7728" t="s">
        <v>8187</v>
      </c>
      <c r="I7728">
        <v>1162</v>
      </c>
      <c r="J7728">
        <v>1118</v>
      </c>
      <c r="K7728">
        <v>0</v>
      </c>
      <c r="L7728">
        <v>12</v>
      </c>
      <c r="M7728">
        <v>29</v>
      </c>
      <c r="N7728">
        <v>13</v>
      </c>
      <c r="O7728">
        <v>3</v>
      </c>
    </row>
    <row r="7729" spans="1:15" x14ac:dyDescent="0.25">
      <c r="A7729" t="s">
        <v>949</v>
      </c>
      <c r="B7729" t="s">
        <v>3035</v>
      </c>
      <c r="C7729" t="s">
        <v>927</v>
      </c>
      <c r="D7729" t="s">
        <v>3052</v>
      </c>
      <c r="E7729" t="s">
        <v>3053</v>
      </c>
      <c r="F7729" t="s">
        <v>732</v>
      </c>
      <c r="G7729" t="s">
        <v>733</v>
      </c>
      <c r="H7729" t="s">
        <v>8188</v>
      </c>
      <c r="I7729">
        <v>305</v>
      </c>
      <c r="J7729">
        <v>0</v>
      </c>
      <c r="K7729">
        <v>0</v>
      </c>
      <c r="L7729">
        <v>0</v>
      </c>
      <c r="M7729">
        <v>0</v>
      </c>
      <c r="N7729">
        <v>0</v>
      </c>
      <c r="O7729">
        <v>305</v>
      </c>
    </row>
    <row r="7730" spans="1:15" x14ac:dyDescent="0.25">
      <c r="A7730" t="s">
        <v>1135</v>
      </c>
      <c r="B7730" t="s">
        <v>1996</v>
      </c>
      <c r="C7730" t="s">
        <v>923</v>
      </c>
      <c r="D7730" t="s">
        <v>3063</v>
      </c>
      <c r="E7730" t="s">
        <v>3053</v>
      </c>
      <c r="F7730" t="s">
        <v>732</v>
      </c>
      <c r="G7730" t="s">
        <v>733</v>
      </c>
      <c r="H7730" t="s">
        <v>10222</v>
      </c>
      <c r="I7730">
        <v>1</v>
      </c>
      <c r="J7730">
        <v>1</v>
      </c>
      <c r="K7730">
        <v>0</v>
      </c>
      <c r="L7730">
        <v>0</v>
      </c>
      <c r="M7730">
        <v>0</v>
      </c>
      <c r="N7730">
        <v>0</v>
      </c>
      <c r="O7730">
        <v>0</v>
      </c>
    </row>
    <row r="7731" spans="1:15" x14ac:dyDescent="0.25">
      <c r="A7731" t="s">
        <v>1309</v>
      </c>
      <c r="B7731" t="s">
        <v>2690</v>
      </c>
      <c r="C7731" t="s">
        <v>927</v>
      </c>
      <c r="D7731" t="s">
        <v>3052</v>
      </c>
      <c r="E7731" t="s">
        <v>3053</v>
      </c>
      <c r="F7731" t="s">
        <v>732</v>
      </c>
      <c r="G7731" t="s">
        <v>733</v>
      </c>
      <c r="H7731" t="s">
        <v>8189</v>
      </c>
      <c r="I7731">
        <v>62</v>
      </c>
      <c r="J7731">
        <v>59</v>
      </c>
      <c r="K7731">
        <v>3</v>
      </c>
      <c r="L7731">
        <v>0</v>
      </c>
      <c r="M7731">
        <v>0</v>
      </c>
      <c r="N7731">
        <v>0</v>
      </c>
      <c r="O7731">
        <v>0</v>
      </c>
    </row>
    <row r="7732" spans="1:15" x14ac:dyDescent="0.25">
      <c r="A7732" t="s">
        <v>1136</v>
      </c>
      <c r="B7732" t="s">
        <v>1942</v>
      </c>
      <c r="C7732" t="s">
        <v>923</v>
      </c>
      <c r="D7732" t="s">
        <v>3063</v>
      </c>
      <c r="E7732" t="s">
        <v>3053</v>
      </c>
      <c r="F7732" t="s">
        <v>732</v>
      </c>
      <c r="G7732" t="s">
        <v>733</v>
      </c>
      <c r="H7732" t="s">
        <v>11343</v>
      </c>
      <c r="I7732">
        <v>1</v>
      </c>
      <c r="J7732">
        <v>1</v>
      </c>
      <c r="K7732">
        <v>0</v>
      </c>
      <c r="L7732">
        <v>0</v>
      </c>
      <c r="M7732">
        <v>0</v>
      </c>
      <c r="N7732">
        <v>0</v>
      </c>
      <c r="O7732">
        <v>0</v>
      </c>
    </row>
    <row r="7733" spans="1:15" x14ac:dyDescent="0.25">
      <c r="A7733" t="s">
        <v>1140</v>
      </c>
      <c r="B7733" t="s">
        <v>2697</v>
      </c>
      <c r="C7733" t="s">
        <v>927</v>
      </c>
      <c r="D7733" t="s">
        <v>3052</v>
      </c>
      <c r="E7733" t="s">
        <v>3053</v>
      </c>
      <c r="F7733" t="s">
        <v>732</v>
      </c>
      <c r="G7733" t="s">
        <v>733</v>
      </c>
      <c r="H7733" t="s">
        <v>8190</v>
      </c>
      <c r="I7733">
        <v>1</v>
      </c>
      <c r="J7733">
        <v>0</v>
      </c>
      <c r="K7733">
        <v>0</v>
      </c>
      <c r="L7733">
        <v>0</v>
      </c>
      <c r="M7733">
        <v>0</v>
      </c>
      <c r="N7733">
        <v>0</v>
      </c>
      <c r="O7733">
        <v>1</v>
      </c>
    </row>
    <row r="7734" spans="1:15" x14ac:dyDescent="0.25">
      <c r="A7734" t="s">
        <v>1043</v>
      </c>
      <c r="B7734" t="s">
        <v>2090</v>
      </c>
      <c r="C7734" t="s">
        <v>927</v>
      </c>
      <c r="D7734" t="s">
        <v>3052</v>
      </c>
      <c r="E7734" t="s">
        <v>3053</v>
      </c>
      <c r="F7734" t="s">
        <v>732</v>
      </c>
      <c r="G7734" t="s">
        <v>733</v>
      </c>
      <c r="H7734" t="s">
        <v>8191</v>
      </c>
      <c r="I7734">
        <v>203</v>
      </c>
      <c r="J7734">
        <v>98</v>
      </c>
      <c r="K7734">
        <v>0</v>
      </c>
      <c r="L7734">
        <v>0</v>
      </c>
      <c r="M7734">
        <v>67</v>
      </c>
      <c r="N7734">
        <v>0</v>
      </c>
      <c r="O7734">
        <v>38</v>
      </c>
    </row>
    <row r="7735" spans="1:15" x14ac:dyDescent="0.25">
      <c r="A7735" t="s">
        <v>1146</v>
      </c>
      <c r="B7735" t="s">
        <v>2117</v>
      </c>
      <c r="C7735" t="s">
        <v>927</v>
      </c>
      <c r="D7735" t="s">
        <v>3052</v>
      </c>
      <c r="E7735" t="s">
        <v>3053</v>
      </c>
      <c r="F7735" t="s">
        <v>732</v>
      </c>
      <c r="G7735" t="s">
        <v>733</v>
      </c>
      <c r="H7735" t="s">
        <v>8192</v>
      </c>
      <c r="I7735">
        <v>3650</v>
      </c>
      <c r="J7735">
        <v>2805</v>
      </c>
      <c r="K7735">
        <v>0</v>
      </c>
      <c r="L7735">
        <v>222</v>
      </c>
      <c r="M7735">
        <v>159</v>
      </c>
      <c r="N7735">
        <v>2</v>
      </c>
      <c r="O7735">
        <v>464</v>
      </c>
    </row>
    <row r="7736" spans="1:15" x14ac:dyDescent="0.25">
      <c r="A7736" t="s">
        <v>11681</v>
      </c>
      <c r="B7736" t="s">
        <v>10690</v>
      </c>
      <c r="C7736" t="s">
        <v>923</v>
      </c>
      <c r="D7736" t="s">
        <v>3063</v>
      </c>
      <c r="E7736" t="s">
        <v>3053</v>
      </c>
      <c r="F7736" t="s">
        <v>732</v>
      </c>
      <c r="G7736" t="s">
        <v>733</v>
      </c>
      <c r="H7736" t="s">
        <v>12374</v>
      </c>
      <c r="I7736">
        <v>3</v>
      </c>
      <c r="J7736">
        <v>3</v>
      </c>
      <c r="K7736">
        <v>0</v>
      </c>
      <c r="L7736">
        <v>0</v>
      </c>
      <c r="M7736">
        <v>0</v>
      </c>
      <c r="N7736">
        <v>0</v>
      </c>
      <c r="O7736">
        <v>0</v>
      </c>
    </row>
    <row r="7737" spans="1:15" x14ac:dyDescent="0.25">
      <c r="A7737" t="s">
        <v>1327</v>
      </c>
      <c r="B7737" t="s">
        <v>2686</v>
      </c>
      <c r="C7737" t="s">
        <v>923</v>
      </c>
      <c r="D7737" t="s">
        <v>3063</v>
      </c>
      <c r="E7737" t="s">
        <v>3053</v>
      </c>
      <c r="F7737" t="s">
        <v>732</v>
      </c>
      <c r="G7737" t="s">
        <v>733</v>
      </c>
      <c r="H7737" t="s">
        <v>8193</v>
      </c>
      <c r="I7737">
        <v>21</v>
      </c>
      <c r="J7737">
        <v>0</v>
      </c>
      <c r="K7737">
        <v>0</v>
      </c>
      <c r="L7737">
        <v>21</v>
      </c>
      <c r="M7737">
        <v>0</v>
      </c>
      <c r="N7737">
        <v>0</v>
      </c>
      <c r="O7737">
        <v>0</v>
      </c>
    </row>
    <row r="7738" spans="1:15" x14ac:dyDescent="0.25">
      <c r="A7738" t="s">
        <v>1330</v>
      </c>
      <c r="B7738" t="s">
        <v>2776</v>
      </c>
      <c r="C7738" t="s">
        <v>923</v>
      </c>
      <c r="D7738" t="s">
        <v>3063</v>
      </c>
      <c r="E7738" t="s">
        <v>3053</v>
      </c>
      <c r="F7738" t="s">
        <v>732</v>
      </c>
      <c r="G7738" t="s">
        <v>733</v>
      </c>
      <c r="H7738" t="s">
        <v>8194</v>
      </c>
      <c r="I7738">
        <v>2</v>
      </c>
      <c r="J7738">
        <v>2</v>
      </c>
      <c r="K7738">
        <v>0</v>
      </c>
      <c r="L7738">
        <v>0</v>
      </c>
      <c r="M7738">
        <v>0</v>
      </c>
      <c r="N7738">
        <v>0</v>
      </c>
      <c r="O7738">
        <v>0</v>
      </c>
    </row>
    <row r="7739" spans="1:15" x14ac:dyDescent="0.25">
      <c r="A7739" t="s">
        <v>1332</v>
      </c>
      <c r="B7739" t="s">
        <v>2484</v>
      </c>
      <c r="C7739" t="s">
        <v>923</v>
      </c>
      <c r="D7739" t="s">
        <v>3063</v>
      </c>
      <c r="E7739" t="s">
        <v>3053</v>
      </c>
      <c r="F7739" t="s">
        <v>732</v>
      </c>
      <c r="G7739" t="s">
        <v>733</v>
      </c>
      <c r="H7739" t="s">
        <v>8195</v>
      </c>
      <c r="I7739">
        <v>78</v>
      </c>
      <c r="J7739">
        <v>78</v>
      </c>
      <c r="K7739">
        <v>0</v>
      </c>
      <c r="L7739">
        <v>0</v>
      </c>
      <c r="M7739">
        <v>0</v>
      </c>
      <c r="N7739">
        <v>0</v>
      </c>
      <c r="O7739">
        <v>0</v>
      </c>
    </row>
    <row r="7740" spans="1:15" x14ac:dyDescent="0.25">
      <c r="A7740" t="s">
        <v>1336</v>
      </c>
      <c r="B7740" t="s">
        <v>2609</v>
      </c>
      <c r="C7740" t="s">
        <v>923</v>
      </c>
      <c r="D7740" t="s">
        <v>3063</v>
      </c>
      <c r="E7740" t="s">
        <v>3053</v>
      </c>
      <c r="F7740" t="s">
        <v>732</v>
      </c>
      <c r="G7740" t="s">
        <v>733</v>
      </c>
      <c r="H7740" t="s">
        <v>8196</v>
      </c>
      <c r="I7740">
        <v>16</v>
      </c>
      <c r="J7740">
        <v>0</v>
      </c>
      <c r="K7740">
        <v>0</v>
      </c>
      <c r="L7740">
        <v>0</v>
      </c>
      <c r="M7740">
        <v>16</v>
      </c>
      <c r="N7740">
        <v>0</v>
      </c>
      <c r="O7740">
        <v>0</v>
      </c>
    </row>
    <row r="7741" spans="1:15" x14ac:dyDescent="0.25">
      <c r="A7741" t="s">
        <v>1056</v>
      </c>
      <c r="B7741" t="s">
        <v>2966</v>
      </c>
      <c r="C7741" t="s">
        <v>927</v>
      </c>
      <c r="D7741" t="s">
        <v>3052</v>
      </c>
      <c r="E7741" t="s">
        <v>3053</v>
      </c>
      <c r="F7741" t="s">
        <v>732</v>
      </c>
      <c r="G7741" t="s">
        <v>733</v>
      </c>
      <c r="H7741" t="s">
        <v>8197</v>
      </c>
      <c r="I7741">
        <v>45</v>
      </c>
      <c r="J7741">
        <v>0</v>
      </c>
      <c r="K7741">
        <v>0</v>
      </c>
      <c r="L7741">
        <v>45</v>
      </c>
      <c r="M7741">
        <v>0</v>
      </c>
      <c r="N7741">
        <v>0</v>
      </c>
      <c r="O7741">
        <v>0</v>
      </c>
    </row>
    <row r="7742" spans="1:15" x14ac:dyDescent="0.25">
      <c r="A7742" t="s">
        <v>955</v>
      </c>
      <c r="B7742" t="s">
        <v>2660</v>
      </c>
      <c r="C7742" t="s">
        <v>927</v>
      </c>
      <c r="D7742" t="s">
        <v>3052</v>
      </c>
      <c r="E7742" t="s">
        <v>3053</v>
      </c>
      <c r="F7742" t="s">
        <v>732</v>
      </c>
      <c r="G7742" t="s">
        <v>733</v>
      </c>
      <c r="H7742" t="s">
        <v>8198</v>
      </c>
      <c r="I7742">
        <v>121</v>
      </c>
      <c r="J7742">
        <v>81</v>
      </c>
      <c r="K7742">
        <v>0</v>
      </c>
      <c r="L7742">
        <v>39</v>
      </c>
      <c r="M7742">
        <v>0</v>
      </c>
      <c r="N7742">
        <v>1</v>
      </c>
      <c r="O7742">
        <v>1</v>
      </c>
    </row>
    <row r="7743" spans="1:15" x14ac:dyDescent="0.25">
      <c r="A7743" t="s">
        <v>11663</v>
      </c>
      <c r="B7743" t="s">
        <v>11768</v>
      </c>
      <c r="C7743" t="s">
        <v>927</v>
      </c>
      <c r="D7743" t="s">
        <v>3052</v>
      </c>
      <c r="E7743" t="s">
        <v>3053</v>
      </c>
      <c r="F7743" t="s">
        <v>732</v>
      </c>
      <c r="G7743" t="s">
        <v>733</v>
      </c>
      <c r="H7743" t="s">
        <v>12375</v>
      </c>
      <c r="I7743">
        <v>2669</v>
      </c>
      <c r="J7743">
        <v>2012</v>
      </c>
      <c r="K7743">
        <v>0</v>
      </c>
      <c r="L7743">
        <v>53</v>
      </c>
      <c r="M7743">
        <v>105</v>
      </c>
      <c r="N7743">
        <v>10</v>
      </c>
      <c r="O7743">
        <v>499</v>
      </c>
    </row>
    <row r="7744" spans="1:15" x14ac:dyDescent="0.25">
      <c r="A7744" t="s">
        <v>1345</v>
      </c>
      <c r="B7744" t="s">
        <v>2517</v>
      </c>
      <c r="C7744" t="s">
        <v>923</v>
      </c>
      <c r="D7744" t="s">
        <v>3063</v>
      </c>
      <c r="E7744" t="s">
        <v>3053</v>
      </c>
      <c r="F7744" t="s">
        <v>732</v>
      </c>
      <c r="G7744" t="s">
        <v>733</v>
      </c>
      <c r="H7744" t="s">
        <v>8199</v>
      </c>
      <c r="I7744">
        <v>30</v>
      </c>
      <c r="J7744">
        <v>30</v>
      </c>
      <c r="K7744">
        <v>0</v>
      </c>
      <c r="L7744">
        <v>0</v>
      </c>
      <c r="M7744">
        <v>0</v>
      </c>
      <c r="N7744">
        <v>0</v>
      </c>
      <c r="O7744">
        <v>0</v>
      </c>
    </row>
    <row r="7745" spans="1:15" x14ac:dyDescent="0.25">
      <c r="A7745" t="s">
        <v>1158</v>
      </c>
      <c r="B7745" t="s">
        <v>2922</v>
      </c>
      <c r="C7745" t="s">
        <v>927</v>
      </c>
      <c r="D7745" t="s">
        <v>3052</v>
      </c>
      <c r="E7745" t="s">
        <v>3053</v>
      </c>
      <c r="F7745" t="s">
        <v>732</v>
      </c>
      <c r="G7745" t="s">
        <v>733</v>
      </c>
      <c r="H7745" t="s">
        <v>8200</v>
      </c>
      <c r="I7745">
        <v>107</v>
      </c>
      <c r="J7745">
        <v>0</v>
      </c>
      <c r="K7745">
        <v>2</v>
      </c>
      <c r="L7745">
        <v>105</v>
      </c>
      <c r="M7745">
        <v>0</v>
      </c>
      <c r="N7745">
        <v>0</v>
      </c>
      <c r="O7745">
        <v>0</v>
      </c>
    </row>
    <row r="7746" spans="1:15" x14ac:dyDescent="0.25">
      <c r="A7746" t="s">
        <v>1350</v>
      </c>
      <c r="B7746" t="s">
        <v>2494</v>
      </c>
      <c r="C7746" t="s">
        <v>923</v>
      </c>
      <c r="D7746" t="s">
        <v>3063</v>
      </c>
      <c r="E7746" t="s">
        <v>3053</v>
      </c>
      <c r="F7746" t="s">
        <v>732</v>
      </c>
      <c r="G7746" t="s">
        <v>733</v>
      </c>
      <c r="H7746" t="s">
        <v>8201</v>
      </c>
      <c r="I7746">
        <v>44</v>
      </c>
      <c r="J7746">
        <v>44</v>
      </c>
      <c r="K7746">
        <v>0</v>
      </c>
      <c r="L7746">
        <v>0</v>
      </c>
      <c r="M7746">
        <v>0</v>
      </c>
      <c r="N7746">
        <v>0</v>
      </c>
      <c r="O7746">
        <v>0</v>
      </c>
    </row>
    <row r="7747" spans="1:15" x14ac:dyDescent="0.25">
      <c r="A7747" t="s">
        <v>1351</v>
      </c>
      <c r="B7747" t="s">
        <v>2426</v>
      </c>
      <c r="C7747" t="s">
        <v>923</v>
      </c>
      <c r="D7747" t="s">
        <v>3063</v>
      </c>
      <c r="E7747" t="s">
        <v>3053</v>
      </c>
      <c r="F7747" t="s">
        <v>732</v>
      </c>
      <c r="G7747" t="s">
        <v>733</v>
      </c>
      <c r="H7747" t="s">
        <v>15268</v>
      </c>
      <c r="I7747">
        <v>23</v>
      </c>
      <c r="J7747">
        <v>23</v>
      </c>
      <c r="K7747">
        <v>0</v>
      </c>
      <c r="L7747">
        <v>0</v>
      </c>
      <c r="M7747">
        <v>0</v>
      </c>
      <c r="N7747">
        <v>0</v>
      </c>
      <c r="O7747">
        <v>0</v>
      </c>
    </row>
    <row r="7748" spans="1:15" x14ac:dyDescent="0.25">
      <c r="A7748" t="s">
        <v>1356</v>
      </c>
      <c r="B7748" t="s">
        <v>2531</v>
      </c>
      <c r="C7748" t="s">
        <v>923</v>
      </c>
      <c r="D7748" t="s">
        <v>3063</v>
      </c>
      <c r="E7748" t="s">
        <v>3053</v>
      </c>
      <c r="F7748" t="s">
        <v>732</v>
      </c>
      <c r="G7748" t="s">
        <v>733</v>
      </c>
      <c r="H7748" t="s">
        <v>8202</v>
      </c>
      <c r="I7748">
        <v>7</v>
      </c>
      <c r="J7748">
        <v>0</v>
      </c>
      <c r="K7748">
        <v>0</v>
      </c>
      <c r="L7748">
        <v>0</v>
      </c>
      <c r="M7748">
        <v>7</v>
      </c>
      <c r="N7748">
        <v>0</v>
      </c>
      <c r="O7748">
        <v>0</v>
      </c>
    </row>
    <row r="7749" spans="1:15" x14ac:dyDescent="0.25">
      <c r="A7749" t="s">
        <v>1069</v>
      </c>
      <c r="B7749" t="s">
        <v>2001</v>
      </c>
      <c r="C7749" t="s">
        <v>927</v>
      </c>
      <c r="D7749" t="s">
        <v>3052</v>
      </c>
      <c r="E7749" t="s">
        <v>3053</v>
      </c>
      <c r="F7749" t="s">
        <v>732</v>
      </c>
      <c r="G7749" t="s">
        <v>733</v>
      </c>
      <c r="H7749" t="s">
        <v>8203</v>
      </c>
      <c r="I7749">
        <v>618</v>
      </c>
      <c r="J7749">
        <v>618</v>
      </c>
      <c r="K7749">
        <v>0</v>
      </c>
      <c r="L7749">
        <v>0</v>
      </c>
      <c r="M7749">
        <v>0</v>
      </c>
      <c r="N7749">
        <v>0</v>
      </c>
      <c r="O7749">
        <v>0</v>
      </c>
    </row>
    <row r="7750" spans="1:15" x14ac:dyDescent="0.25">
      <c r="A7750" t="s">
        <v>1174</v>
      </c>
      <c r="B7750" t="s">
        <v>2663</v>
      </c>
      <c r="C7750" t="s">
        <v>927</v>
      </c>
      <c r="D7750" t="s">
        <v>3052</v>
      </c>
      <c r="E7750" t="s">
        <v>3053</v>
      </c>
      <c r="F7750" t="s">
        <v>732</v>
      </c>
      <c r="G7750" t="s">
        <v>733</v>
      </c>
      <c r="H7750" t="s">
        <v>8204</v>
      </c>
      <c r="I7750">
        <v>83</v>
      </c>
      <c r="J7750">
        <v>83</v>
      </c>
      <c r="K7750">
        <v>0</v>
      </c>
      <c r="L7750">
        <v>0</v>
      </c>
      <c r="M7750">
        <v>0</v>
      </c>
      <c r="N7750">
        <v>53</v>
      </c>
      <c r="O7750">
        <v>0</v>
      </c>
    </row>
    <row r="7751" spans="1:15" x14ac:dyDescent="0.25">
      <c r="A7751" t="s">
        <v>1072</v>
      </c>
      <c r="B7751" t="s">
        <v>2907</v>
      </c>
      <c r="C7751" t="s">
        <v>927</v>
      </c>
      <c r="D7751" t="s">
        <v>3052</v>
      </c>
      <c r="E7751" t="s">
        <v>3053</v>
      </c>
      <c r="F7751" t="s">
        <v>732</v>
      </c>
      <c r="G7751" t="s">
        <v>733</v>
      </c>
      <c r="H7751" t="s">
        <v>8205</v>
      </c>
      <c r="I7751">
        <v>359</v>
      </c>
      <c r="J7751">
        <v>189</v>
      </c>
      <c r="K7751">
        <v>0</v>
      </c>
      <c r="L7751">
        <v>52</v>
      </c>
      <c r="M7751">
        <v>102</v>
      </c>
      <c r="N7751">
        <v>3</v>
      </c>
      <c r="O7751">
        <v>16</v>
      </c>
    </row>
    <row r="7752" spans="1:15" x14ac:dyDescent="0.25">
      <c r="A7752" t="s">
        <v>1182</v>
      </c>
      <c r="B7752" t="s">
        <v>2583</v>
      </c>
      <c r="C7752" t="s">
        <v>923</v>
      </c>
      <c r="D7752" t="s">
        <v>3063</v>
      </c>
      <c r="E7752" t="s">
        <v>3053</v>
      </c>
      <c r="F7752" t="s">
        <v>732</v>
      </c>
      <c r="G7752" t="s">
        <v>733</v>
      </c>
      <c r="H7752" t="s">
        <v>8206</v>
      </c>
      <c r="I7752">
        <v>14</v>
      </c>
      <c r="J7752">
        <v>0</v>
      </c>
      <c r="K7752">
        <v>0</v>
      </c>
      <c r="L7752">
        <v>14</v>
      </c>
      <c r="M7752">
        <v>0</v>
      </c>
      <c r="N7752">
        <v>0</v>
      </c>
      <c r="O7752">
        <v>0</v>
      </c>
    </row>
    <row r="7753" spans="1:15" x14ac:dyDescent="0.25">
      <c r="A7753" t="s">
        <v>1380</v>
      </c>
      <c r="B7753" t="s">
        <v>2664</v>
      </c>
      <c r="C7753" t="s">
        <v>927</v>
      </c>
      <c r="D7753" t="s">
        <v>3052</v>
      </c>
      <c r="E7753" t="s">
        <v>3053</v>
      </c>
      <c r="F7753" t="s">
        <v>732</v>
      </c>
      <c r="G7753" t="s">
        <v>733</v>
      </c>
      <c r="H7753" t="s">
        <v>8207</v>
      </c>
      <c r="I7753">
        <v>1338</v>
      </c>
      <c r="J7753">
        <v>1129</v>
      </c>
      <c r="K7753">
        <v>0</v>
      </c>
      <c r="L7753">
        <v>13</v>
      </c>
      <c r="M7753">
        <v>0</v>
      </c>
      <c r="N7753">
        <v>13</v>
      </c>
      <c r="O7753">
        <v>196</v>
      </c>
    </row>
    <row r="7754" spans="1:15" x14ac:dyDescent="0.25">
      <c r="A7754" t="s">
        <v>1080</v>
      </c>
      <c r="B7754" t="s">
        <v>2030</v>
      </c>
      <c r="C7754" t="s">
        <v>923</v>
      </c>
      <c r="D7754" t="s">
        <v>3063</v>
      </c>
      <c r="E7754" t="s">
        <v>3053</v>
      </c>
      <c r="F7754" t="s">
        <v>732</v>
      </c>
      <c r="G7754" t="s">
        <v>733</v>
      </c>
      <c r="H7754" t="s">
        <v>8208</v>
      </c>
      <c r="I7754">
        <v>12</v>
      </c>
      <c r="J7754">
        <v>0</v>
      </c>
      <c r="K7754">
        <v>0</v>
      </c>
      <c r="L7754">
        <v>12</v>
      </c>
      <c r="M7754">
        <v>0</v>
      </c>
      <c r="N7754">
        <v>0</v>
      </c>
      <c r="O7754">
        <v>0</v>
      </c>
    </row>
    <row r="7755" spans="1:15" x14ac:dyDescent="0.25">
      <c r="A7755" t="s">
        <v>1393</v>
      </c>
      <c r="B7755" t="s">
        <v>2753</v>
      </c>
      <c r="C7755" t="s">
        <v>923</v>
      </c>
      <c r="D7755" t="s">
        <v>3063</v>
      </c>
      <c r="E7755" t="s">
        <v>3053</v>
      </c>
      <c r="F7755" t="s">
        <v>732</v>
      </c>
      <c r="G7755" t="s">
        <v>733</v>
      </c>
      <c r="H7755" t="s">
        <v>8209</v>
      </c>
      <c r="I7755">
        <v>22</v>
      </c>
      <c r="J7755">
        <v>0</v>
      </c>
      <c r="K7755">
        <v>0</v>
      </c>
      <c r="L7755">
        <v>22</v>
      </c>
      <c r="M7755">
        <v>0</v>
      </c>
      <c r="N7755">
        <v>0</v>
      </c>
      <c r="O7755">
        <v>0</v>
      </c>
    </row>
    <row r="7756" spans="1:15" x14ac:dyDescent="0.25">
      <c r="A7756" t="s">
        <v>1564</v>
      </c>
      <c r="B7756" t="s">
        <v>3039</v>
      </c>
      <c r="C7756" t="s">
        <v>927</v>
      </c>
      <c r="D7756" t="s">
        <v>3052</v>
      </c>
      <c r="E7756" t="s">
        <v>3053</v>
      </c>
      <c r="F7756" t="s">
        <v>734</v>
      </c>
      <c r="G7756" t="s">
        <v>735</v>
      </c>
      <c r="H7756" t="s">
        <v>8210</v>
      </c>
      <c r="I7756">
        <v>323</v>
      </c>
      <c r="J7756">
        <v>3</v>
      </c>
      <c r="K7756">
        <v>0</v>
      </c>
      <c r="L7756">
        <v>0</v>
      </c>
      <c r="M7756">
        <v>0</v>
      </c>
      <c r="N7756">
        <v>0</v>
      </c>
      <c r="O7756">
        <v>320</v>
      </c>
    </row>
    <row r="7757" spans="1:15" x14ac:dyDescent="0.25">
      <c r="A7757" t="s">
        <v>1196</v>
      </c>
      <c r="B7757" t="s">
        <v>3004</v>
      </c>
      <c r="C7757" t="s">
        <v>927</v>
      </c>
      <c r="D7757" t="s">
        <v>3052</v>
      </c>
      <c r="E7757" t="s">
        <v>3053</v>
      </c>
      <c r="F7757" t="s">
        <v>734</v>
      </c>
      <c r="G7757" t="s">
        <v>735</v>
      </c>
      <c r="H7757" t="s">
        <v>8211</v>
      </c>
      <c r="I7757">
        <v>4975</v>
      </c>
      <c r="J7757">
        <v>4453</v>
      </c>
      <c r="K7757">
        <v>0</v>
      </c>
      <c r="L7757">
        <v>21</v>
      </c>
      <c r="M7757">
        <v>277</v>
      </c>
      <c r="N7757">
        <v>10</v>
      </c>
      <c r="O7757">
        <v>224</v>
      </c>
    </row>
    <row r="7758" spans="1:15" x14ac:dyDescent="0.25">
      <c r="A7758" t="s">
        <v>924</v>
      </c>
      <c r="B7758" t="s">
        <v>2963</v>
      </c>
      <c r="C7758" t="s">
        <v>923</v>
      </c>
      <c r="D7758" t="s">
        <v>3063</v>
      </c>
      <c r="E7758" t="s">
        <v>3053</v>
      </c>
      <c r="F7758" t="s">
        <v>734</v>
      </c>
      <c r="G7758" t="s">
        <v>735</v>
      </c>
      <c r="H7758" t="s">
        <v>8212</v>
      </c>
      <c r="I7758">
        <v>12</v>
      </c>
      <c r="J7758">
        <v>1</v>
      </c>
      <c r="K7758">
        <v>0</v>
      </c>
      <c r="L7758">
        <v>11</v>
      </c>
      <c r="M7758">
        <v>0</v>
      </c>
      <c r="N7758">
        <v>0</v>
      </c>
      <c r="O7758">
        <v>0</v>
      </c>
    </row>
    <row r="7759" spans="1:15" x14ac:dyDescent="0.25">
      <c r="A7759" t="s">
        <v>933</v>
      </c>
      <c r="B7759" t="s">
        <v>2106</v>
      </c>
      <c r="C7759" t="s">
        <v>927</v>
      </c>
      <c r="D7759" t="s">
        <v>3052</v>
      </c>
      <c r="E7759" t="s">
        <v>3053</v>
      </c>
      <c r="F7759" t="s">
        <v>734</v>
      </c>
      <c r="G7759" t="s">
        <v>735</v>
      </c>
      <c r="H7759" t="s">
        <v>11344</v>
      </c>
      <c r="I7759">
        <v>103</v>
      </c>
      <c r="J7759">
        <v>0</v>
      </c>
      <c r="K7759">
        <v>0</v>
      </c>
      <c r="L7759">
        <v>0</v>
      </c>
      <c r="M7759">
        <v>0</v>
      </c>
      <c r="N7759">
        <v>0</v>
      </c>
      <c r="O7759">
        <v>103</v>
      </c>
    </row>
    <row r="7760" spans="1:15" x14ac:dyDescent="0.25">
      <c r="A7760" t="s">
        <v>10638</v>
      </c>
      <c r="B7760" t="s">
        <v>2057</v>
      </c>
      <c r="C7760" t="s">
        <v>927</v>
      </c>
      <c r="D7760" t="s">
        <v>3052</v>
      </c>
      <c r="E7760" t="s">
        <v>3053</v>
      </c>
      <c r="F7760" t="s">
        <v>734</v>
      </c>
      <c r="G7760" t="s">
        <v>735</v>
      </c>
      <c r="H7760" t="s">
        <v>11345</v>
      </c>
      <c r="I7760">
        <v>2</v>
      </c>
      <c r="J7760">
        <v>0</v>
      </c>
      <c r="K7760">
        <v>0</v>
      </c>
      <c r="L7760">
        <v>2</v>
      </c>
      <c r="M7760">
        <v>0</v>
      </c>
      <c r="N7760">
        <v>0</v>
      </c>
      <c r="O7760">
        <v>0</v>
      </c>
    </row>
    <row r="7761" spans="1:15" x14ac:dyDescent="0.25">
      <c r="A7761" t="s">
        <v>940</v>
      </c>
      <c r="B7761" t="s">
        <v>2647</v>
      </c>
      <c r="C7761" t="s">
        <v>927</v>
      </c>
      <c r="D7761" t="s">
        <v>3052</v>
      </c>
      <c r="E7761" t="s">
        <v>3053</v>
      </c>
      <c r="F7761" t="s">
        <v>734</v>
      </c>
      <c r="G7761" t="s">
        <v>735</v>
      </c>
      <c r="H7761" t="s">
        <v>12376</v>
      </c>
      <c r="I7761">
        <v>39</v>
      </c>
      <c r="J7761">
        <v>0</v>
      </c>
      <c r="K7761">
        <v>0</v>
      </c>
      <c r="L7761">
        <v>0</v>
      </c>
      <c r="M7761">
        <v>37</v>
      </c>
      <c r="N7761">
        <v>0</v>
      </c>
      <c r="O7761">
        <v>2</v>
      </c>
    </row>
    <row r="7762" spans="1:15" x14ac:dyDescent="0.25">
      <c r="A7762" t="s">
        <v>1025</v>
      </c>
      <c r="B7762" t="s">
        <v>2893</v>
      </c>
      <c r="C7762" t="s">
        <v>927</v>
      </c>
      <c r="D7762" t="s">
        <v>3052</v>
      </c>
      <c r="E7762" t="s">
        <v>3053</v>
      </c>
      <c r="F7762" t="s">
        <v>734</v>
      </c>
      <c r="G7762" t="s">
        <v>735</v>
      </c>
      <c r="H7762" t="s">
        <v>8213</v>
      </c>
      <c r="I7762">
        <v>107</v>
      </c>
      <c r="J7762">
        <v>92</v>
      </c>
      <c r="K7762">
        <v>0</v>
      </c>
      <c r="L7762">
        <v>0</v>
      </c>
      <c r="M7762">
        <v>0</v>
      </c>
      <c r="N7762">
        <v>12</v>
      </c>
      <c r="O7762">
        <v>15</v>
      </c>
    </row>
    <row r="7763" spans="1:15" x14ac:dyDescent="0.25">
      <c r="A7763" t="s">
        <v>943</v>
      </c>
      <c r="B7763" t="s">
        <v>2694</v>
      </c>
      <c r="C7763" t="s">
        <v>927</v>
      </c>
      <c r="D7763" t="s">
        <v>3052</v>
      </c>
      <c r="E7763" t="s">
        <v>3053</v>
      </c>
      <c r="F7763" t="s">
        <v>734</v>
      </c>
      <c r="G7763" t="s">
        <v>735</v>
      </c>
      <c r="H7763" t="s">
        <v>8214</v>
      </c>
      <c r="I7763">
        <v>313</v>
      </c>
      <c r="J7763">
        <v>248</v>
      </c>
      <c r="K7763">
        <v>0</v>
      </c>
      <c r="L7763">
        <v>4</v>
      </c>
      <c r="M7763">
        <v>0</v>
      </c>
      <c r="N7763">
        <v>0</v>
      </c>
      <c r="O7763">
        <v>61</v>
      </c>
    </row>
    <row r="7764" spans="1:15" x14ac:dyDescent="0.25">
      <c r="A7764" t="s">
        <v>1300</v>
      </c>
      <c r="B7764" t="s">
        <v>2644</v>
      </c>
      <c r="C7764" t="s">
        <v>927</v>
      </c>
      <c r="D7764" t="s">
        <v>3052</v>
      </c>
      <c r="E7764" t="s">
        <v>3053</v>
      </c>
      <c r="F7764" t="s">
        <v>734</v>
      </c>
      <c r="G7764" t="s">
        <v>735</v>
      </c>
      <c r="H7764" t="s">
        <v>8215</v>
      </c>
      <c r="I7764">
        <v>1</v>
      </c>
      <c r="J7764">
        <v>1</v>
      </c>
      <c r="K7764">
        <v>0</v>
      </c>
      <c r="L7764">
        <v>0</v>
      </c>
      <c r="M7764">
        <v>0</v>
      </c>
      <c r="N7764">
        <v>1</v>
      </c>
      <c r="O7764">
        <v>0</v>
      </c>
    </row>
    <row r="7765" spans="1:15" x14ac:dyDescent="0.25">
      <c r="A7765" t="s">
        <v>1134</v>
      </c>
      <c r="B7765" t="s">
        <v>2118</v>
      </c>
      <c r="C7765" t="s">
        <v>927</v>
      </c>
      <c r="D7765" t="s">
        <v>3052</v>
      </c>
      <c r="E7765" t="s">
        <v>3053</v>
      </c>
      <c r="F7765" t="s">
        <v>734</v>
      </c>
      <c r="G7765" t="s">
        <v>735</v>
      </c>
      <c r="H7765" t="s">
        <v>8216</v>
      </c>
      <c r="I7765">
        <v>1</v>
      </c>
      <c r="J7765">
        <v>1</v>
      </c>
      <c r="K7765">
        <v>0</v>
      </c>
      <c r="L7765">
        <v>0</v>
      </c>
      <c r="M7765">
        <v>0</v>
      </c>
      <c r="N7765">
        <v>0</v>
      </c>
      <c r="O7765">
        <v>0</v>
      </c>
    </row>
    <row r="7766" spans="1:15" x14ac:dyDescent="0.25">
      <c r="A7766" t="s">
        <v>949</v>
      </c>
      <c r="B7766" t="s">
        <v>3035</v>
      </c>
      <c r="C7766" t="s">
        <v>927</v>
      </c>
      <c r="D7766" t="s">
        <v>3052</v>
      </c>
      <c r="E7766" t="s">
        <v>3053</v>
      </c>
      <c r="F7766" t="s">
        <v>734</v>
      </c>
      <c r="G7766" t="s">
        <v>735</v>
      </c>
      <c r="H7766" t="s">
        <v>8217</v>
      </c>
      <c r="I7766">
        <v>1</v>
      </c>
      <c r="J7766">
        <v>0</v>
      </c>
      <c r="K7766">
        <v>0</v>
      </c>
      <c r="L7766">
        <v>0</v>
      </c>
      <c r="M7766">
        <v>0</v>
      </c>
      <c r="N7766">
        <v>0</v>
      </c>
      <c r="O7766">
        <v>1</v>
      </c>
    </row>
    <row r="7767" spans="1:15" x14ac:dyDescent="0.25">
      <c r="A7767" t="s">
        <v>1043</v>
      </c>
      <c r="B7767" t="s">
        <v>2090</v>
      </c>
      <c r="C7767" t="s">
        <v>927</v>
      </c>
      <c r="D7767" t="s">
        <v>3052</v>
      </c>
      <c r="E7767" t="s">
        <v>3053</v>
      </c>
      <c r="F7767" t="s">
        <v>734</v>
      </c>
      <c r="G7767" t="s">
        <v>735</v>
      </c>
      <c r="H7767" t="s">
        <v>8218</v>
      </c>
      <c r="I7767">
        <v>152</v>
      </c>
      <c r="J7767">
        <v>129</v>
      </c>
      <c r="K7767">
        <v>0</v>
      </c>
      <c r="L7767">
        <v>0</v>
      </c>
      <c r="M7767">
        <v>0</v>
      </c>
      <c r="N7767">
        <v>0</v>
      </c>
      <c r="O7767">
        <v>23</v>
      </c>
    </row>
    <row r="7768" spans="1:15" x14ac:dyDescent="0.25">
      <c r="A7768" t="s">
        <v>1146</v>
      </c>
      <c r="B7768" t="s">
        <v>2117</v>
      </c>
      <c r="C7768" t="s">
        <v>927</v>
      </c>
      <c r="D7768" t="s">
        <v>3052</v>
      </c>
      <c r="E7768" t="s">
        <v>3053</v>
      </c>
      <c r="F7768" t="s">
        <v>734</v>
      </c>
      <c r="G7768" t="s">
        <v>735</v>
      </c>
      <c r="H7768" t="s">
        <v>15269</v>
      </c>
      <c r="I7768">
        <v>60</v>
      </c>
      <c r="J7768">
        <v>34</v>
      </c>
      <c r="K7768">
        <v>0</v>
      </c>
      <c r="L7768">
        <v>0</v>
      </c>
      <c r="M7768">
        <v>0</v>
      </c>
      <c r="N7768">
        <v>0</v>
      </c>
      <c r="O7768">
        <v>26</v>
      </c>
    </row>
    <row r="7769" spans="1:15" x14ac:dyDescent="0.25">
      <c r="A7769" t="s">
        <v>1652</v>
      </c>
      <c r="B7769" t="s">
        <v>2291</v>
      </c>
      <c r="C7769" t="s">
        <v>923</v>
      </c>
      <c r="D7769" t="s">
        <v>3063</v>
      </c>
      <c r="E7769" t="s">
        <v>3053</v>
      </c>
      <c r="F7769" t="s">
        <v>734</v>
      </c>
      <c r="G7769" t="s">
        <v>735</v>
      </c>
      <c r="H7769" t="s">
        <v>8219</v>
      </c>
      <c r="I7769">
        <v>25</v>
      </c>
      <c r="J7769">
        <v>0</v>
      </c>
      <c r="K7769">
        <v>0</v>
      </c>
      <c r="L7769">
        <v>0</v>
      </c>
      <c r="M7769">
        <v>25</v>
      </c>
      <c r="N7769">
        <v>0</v>
      </c>
      <c r="O7769">
        <v>0</v>
      </c>
    </row>
    <row r="7770" spans="1:15" x14ac:dyDescent="0.25">
      <c r="A7770" t="s">
        <v>1652</v>
      </c>
      <c r="B7770" t="s">
        <v>15270</v>
      </c>
      <c r="C7770" t="s">
        <v>923</v>
      </c>
      <c r="D7770" t="s">
        <v>3063</v>
      </c>
      <c r="E7770" t="s">
        <v>3053</v>
      </c>
      <c r="F7770" t="s">
        <v>734</v>
      </c>
      <c r="G7770" t="s">
        <v>735</v>
      </c>
      <c r="H7770" t="s">
        <v>8219</v>
      </c>
      <c r="I7770">
        <v>25</v>
      </c>
      <c r="J7770">
        <v>0</v>
      </c>
      <c r="K7770">
        <v>0</v>
      </c>
      <c r="L7770">
        <v>0</v>
      </c>
      <c r="M7770">
        <v>25</v>
      </c>
      <c r="N7770">
        <v>0</v>
      </c>
      <c r="O7770">
        <v>0</v>
      </c>
    </row>
    <row r="7771" spans="1:15" x14ac:dyDescent="0.25">
      <c r="A7771" t="s">
        <v>1155</v>
      </c>
      <c r="B7771" t="s">
        <v>2912</v>
      </c>
      <c r="C7771" t="s">
        <v>927</v>
      </c>
      <c r="D7771" t="s">
        <v>3052</v>
      </c>
      <c r="E7771" t="s">
        <v>3053</v>
      </c>
      <c r="F7771" t="s">
        <v>734</v>
      </c>
      <c r="G7771" t="s">
        <v>735</v>
      </c>
      <c r="H7771" t="s">
        <v>8220</v>
      </c>
      <c r="I7771">
        <v>4</v>
      </c>
      <c r="J7771">
        <v>0</v>
      </c>
      <c r="K7771">
        <v>0</v>
      </c>
      <c r="L7771">
        <v>0</v>
      </c>
      <c r="M7771">
        <v>0</v>
      </c>
      <c r="N7771">
        <v>0</v>
      </c>
      <c r="O7771">
        <v>4</v>
      </c>
    </row>
    <row r="7772" spans="1:15" x14ac:dyDescent="0.25">
      <c r="A7772" t="s">
        <v>1374</v>
      </c>
      <c r="B7772" t="s">
        <v>2580</v>
      </c>
      <c r="C7772" t="s">
        <v>923</v>
      </c>
      <c r="D7772" t="s">
        <v>3063</v>
      </c>
      <c r="E7772" t="s">
        <v>3053</v>
      </c>
      <c r="F7772" t="s">
        <v>734</v>
      </c>
      <c r="G7772" t="s">
        <v>735</v>
      </c>
      <c r="H7772" t="s">
        <v>8221</v>
      </c>
      <c r="I7772">
        <v>68</v>
      </c>
      <c r="J7772">
        <v>0</v>
      </c>
      <c r="K7772">
        <v>0</v>
      </c>
      <c r="L7772">
        <v>68</v>
      </c>
      <c r="M7772">
        <v>0</v>
      </c>
      <c r="N7772">
        <v>0</v>
      </c>
      <c r="O7772">
        <v>0</v>
      </c>
    </row>
    <row r="7773" spans="1:15" x14ac:dyDescent="0.25">
      <c r="A7773" t="s">
        <v>924</v>
      </c>
      <c r="B7773" t="s">
        <v>2963</v>
      </c>
      <c r="C7773" t="s">
        <v>923</v>
      </c>
      <c r="D7773" t="s">
        <v>3063</v>
      </c>
      <c r="E7773" t="s">
        <v>3053</v>
      </c>
      <c r="F7773" t="s">
        <v>736</v>
      </c>
      <c r="G7773" t="s">
        <v>737</v>
      </c>
      <c r="H7773" t="s">
        <v>8222</v>
      </c>
      <c r="I7773">
        <v>14</v>
      </c>
      <c r="J7773">
        <v>0</v>
      </c>
      <c r="K7773">
        <v>0</v>
      </c>
      <c r="L7773">
        <v>14</v>
      </c>
      <c r="M7773">
        <v>0</v>
      </c>
      <c r="N7773">
        <v>0</v>
      </c>
      <c r="O7773">
        <v>0</v>
      </c>
    </row>
    <row r="7774" spans="1:15" x14ac:dyDescent="0.25">
      <c r="A7774" t="s">
        <v>929</v>
      </c>
      <c r="B7774" t="s">
        <v>2999</v>
      </c>
      <c r="C7774" t="s">
        <v>927</v>
      </c>
      <c r="D7774" t="s">
        <v>3052</v>
      </c>
      <c r="E7774" t="s">
        <v>3053</v>
      </c>
      <c r="F7774" t="s">
        <v>736</v>
      </c>
      <c r="G7774" t="s">
        <v>737</v>
      </c>
      <c r="H7774" t="s">
        <v>8223</v>
      </c>
      <c r="I7774">
        <v>35</v>
      </c>
      <c r="J7774">
        <v>0</v>
      </c>
      <c r="K7774">
        <v>0</v>
      </c>
      <c r="L7774">
        <v>0</v>
      </c>
      <c r="M7774">
        <v>35</v>
      </c>
      <c r="N7774">
        <v>0</v>
      </c>
      <c r="O7774">
        <v>0</v>
      </c>
    </row>
    <row r="7775" spans="1:15" x14ac:dyDescent="0.25">
      <c r="A7775" t="s">
        <v>9790</v>
      </c>
      <c r="B7775" t="s">
        <v>1977</v>
      </c>
      <c r="C7775" t="s">
        <v>923</v>
      </c>
      <c r="D7775" t="s">
        <v>3063</v>
      </c>
      <c r="E7775" t="s">
        <v>3053</v>
      </c>
      <c r="F7775" t="s">
        <v>736</v>
      </c>
      <c r="G7775" t="s">
        <v>737</v>
      </c>
      <c r="H7775" t="s">
        <v>12377</v>
      </c>
      <c r="I7775">
        <v>14</v>
      </c>
      <c r="J7775">
        <v>0</v>
      </c>
      <c r="K7775">
        <v>0</v>
      </c>
      <c r="L7775">
        <v>14</v>
      </c>
      <c r="M7775">
        <v>0</v>
      </c>
      <c r="N7775">
        <v>0</v>
      </c>
      <c r="O7775">
        <v>0</v>
      </c>
    </row>
    <row r="7776" spans="1:15" x14ac:dyDescent="0.25">
      <c r="A7776" t="s">
        <v>1090</v>
      </c>
      <c r="B7776" t="s">
        <v>2875</v>
      </c>
      <c r="C7776" t="s">
        <v>927</v>
      </c>
      <c r="D7776" t="s">
        <v>3052</v>
      </c>
      <c r="E7776" t="s">
        <v>3053</v>
      </c>
      <c r="F7776" t="s">
        <v>736</v>
      </c>
      <c r="G7776" t="s">
        <v>737</v>
      </c>
      <c r="H7776" t="s">
        <v>8224</v>
      </c>
      <c r="I7776">
        <v>10</v>
      </c>
      <c r="J7776">
        <v>5</v>
      </c>
      <c r="K7776">
        <v>0</v>
      </c>
      <c r="L7776">
        <v>0</v>
      </c>
      <c r="M7776">
        <v>0</v>
      </c>
      <c r="N7776">
        <v>0</v>
      </c>
      <c r="O7776">
        <v>5</v>
      </c>
    </row>
    <row r="7777" spans="1:15" x14ac:dyDescent="0.25">
      <c r="A7777" t="s">
        <v>933</v>
      </c>
      <c r="B7777" t="s">
        <v>2106</v>
      </c>
      <c r="C7777" t="s">
        <v>927</v>
      </c>
      <c r="D7777" t="s">
        <v>3052</v>
      </c>
      <c r="E7777" t="s">
        <v>3053</v>
      </c>
      <c r="F7777" t="s">
        <v>736</v>
      </c>
      <c r="G7777" t="s">
        <v>737</v>
      </c>
      <c r="H7777" t="s">
        <v>8226</v>
      </c>
      <c r="I7777">
        <v>46</v>
      </c>
      <c r="J7777">
        <v>30</v>
      </c>
      <c r="K7777">
        <v>0</v>
      </c>
      <c r="L7777">
        <v>0</v>
      </c>
      <c r="M7777">
        <v>0</v>
      </c>
      <c r="N7777">
        <v>0</v>
      </c>
      <c r="O7777">
        <v>16</v>
      </c>
    </row>
    <row r="7778" spans="1:15" x14ac:dyDescent="0.25">
      <c r="A7778" t="s">
        <v>996</v>
      </c>
      <c r="B7778" t="s">
        <v>1952</v>
      </c>
      <c r="C7778" t="s">
        <v>923</v>
      </c>
      <c r="D7778" t="s">
        <v>3063</v>
      </c>
      <c r="E7778" t="s">
        <v>3053</v>
      </c>
      <c r="F7778" t="s">
        <v>736</v>
      </c>
      <c r="G7778" t="s">
        <v>737</v>
      </c>
      <c r="H7778" t="s">
        <v>8227</v>
      </c>
      <c r="I7778">
        <v>4</v>
      </c>
      <c r="J7778">
        <v>0</v>
      </c>
      <c r="K7778">
        <v>0</v>
      </c>
      <c r="L7778">
        <v>4</v>
      </c>
      <c r="M7778">
        <v>0</v>
      </c>
      <c r="N7778">
        <v>0</v>
      </c>
      <c r="O7778">
        <v>0</v>
      </c>
    </row>
    <row r="7779" spans="1:15" x14ac:dyDescent="0.25">
      <c r="A7779" t="s">
        <v>1000</v>
      </c>
      <c r="B7779" t="s">
        <v>1984</v>
      </c>
      <c r="C7779" t="s">
        <v>923</v>
      </c>
      <c r="D7779" t="s">
        <v>3063</v>
      </c>
      <c r="E7779" t="s">
        <v>3053</v>
      </c>
      <c r="F7779" t="s">
        <v>736</v>
      </c>
      <c r="G7779" t="s">
        <v>737</v>
      </c>
      <c r="H7779" t="s">
        <v>8228</v>
      </c>
      <c r="I7779">
        <v>4</v>
      </c>
      <c r="J7779">
        <v>0</v>
      </c>
      <c r="K7779">
        <v>0</v>
      </c>
      <c r="L7779">
        <v>4</v>
      </c>
      <c r="M7779">
        <v>0</v>
      </c>
      <c r="N7779">
        <v>0</v>
      </c>
      <c r="O7779">
        <v>0</v>
      </c>
    </row>
    <row r="7780" spans="1:15" x14ac:dyDescent="0.25">
      <c r="A7780" t="s">
        <v>1005</v>
      </c>
      <c r="B7780" t="s">
        <v>2128</v>
      </c>
      <c r="C7780" t="s">
        <v>927</v>
      </c>
      <c r="D7780" t="s">
        <v>3052</v>
      </c>
      <c r="E7780" t="s">
        <v>3053</v>
      </c>
      <c r="F7780" t="s">
        <v>736</v>
      </c>
      <c r="G7780" t="s">
        <v>737</v>
      </c>
      <c r="H7780" t="s">
        <v>8229</v>
      </c>
      <c r="I7780">
        <v>20</v>
      </c>
      <c r="J7780">
        <v>0</v>
      </c>
      <c r="K7780">
        <v>0</v>
      </c>
      <c r="L7780">
        <v>20</v>
      </c>
      <c r="M7780">
        <v>0</v>
      </c>
      <c r="N7780">
        <v>0</v>
      </c>
      <c r="O7780">
        <v>0</v>
      </c>
    </row>
    <row r="7781" spans="1:15" x14ac:dyDescent="0.25">
      <c r="A7781" t="s">
        <v>937</v>
      </c>
      <c r="B7781" t="s">
        <v>1962</v>
      </c>
      <c r="C7781" t="s">
        <v>927</v>
      </c>
      <c r="D7781" t="s">
        <v>3052</v>
      </c>
      <c r="E7781" t="s">
        <v>3053</v>
      </c>
      <c r="F7781" t="s">
        <v>736</v>
      </c>
      <c r="G7781" t="s">
        <v>737</v>
      </c>
      <c r="H7781" t="s">
        <v>15271</v>
      </c>
      <c r="I7781">
        <v>2</v>
      </c>
      <c r="J7781">
        <v>0</v>
      </c>
      <c r="K7781">
        <v>0</v>
      </c>
      <c r="L7781">
        <v>0</v>
      </c>
      <c r="M7781">
        <v>0</v>
      </c>
      <c r="N7781">
        <v>0</v>
      </c>
      <c r="O7781">
        <v>2</v>
      </c>
    </row>
    <row r="7782" spans="1:15" x14ac:dyDescent="0.25">
      <c r="A7782" t="s">
        <v>1119</v>
      </c>
      <c r="B7782" t="s">
        <v>2777</v>
      </c>
      <c r="C7782" t="s">
        <v>927</v>
      </c>
      <c r="D7782" t="s">
        <v>3052</v>
      </c>
      <c r="E7782" t="s">
        <v>3053</v>
      </c>
      <c r="F7782" t="s">
        <v>736</v>
      </c>
      <c r="G7782" t="s">
        <v>737</v>
      </c>
      <c r="H7782" t="s">
        <v>8230</v>
      </c>
      <c r="I7782">
        <v>1321</v>
      </c>
      <c r="J7782">
        <v>1072</v>
      </c>
      <c r="K7782">
        <v>0</v>
      </c>
      <c r="L7782">
        <v>77</v>
      </c>
      <c r="M7782">
        <v>44</v>
      </c>
      <c r="N7782">
        <v>0</v>
      </c>
      <c r="O7782">
        <v>128</v>
      </c>
    </row>
    <row r="7783" spans="1:15" x14ac:dyDescent="0.25">
      <c r="A7783" t="s">
        <v>938</v>
      </c>
      <c r="B7783" t="s">
        <v>2791</v>
      </c>
      <c r="C7783" t="s">
        <v>927</v>
      </c>
      <c r="D7783" t="s">
        <v>3052</v>
      </c>
      <c r="E7783" t="s">
        <v>3053</v>
      </c>
      <c r="F7783" t="s">
        <v>736</v>
      </c>
      <c r="G7783" t="s">
        <v>737</v>
      </c>
      <c r="H7783" t="s">
        <v>8231</v>
      </c>
      <c r="I7783">
        <v>160</v>
      </c>
      <c r="J7783">
        <v>152</v>
      </c>
      <c r="K7783">
        <v>0</v>
      </c>
      <c r="L7783">
        <v>8</v>
      </c>
      <c r="M7783">
        <v>0</v>
      </c>
      <c r="N7783">
        <v>0</v>
      </c>
      <c r="O7783">
        <v>0</v>
      </c>
    </row>
    <row r="7784" spans="1:15" x14ac:dyDescent="0.25">
      <c r="A7784" t="s">
        <v>940</v>
      </c>
      <c r="B7784" t="s">
        <v>2647</v>
      </c>
      <c r="C7784" t="s">
        <v>927</v>
      </c>
      <c r="D7784" t="s">
        <v>3052</v>
      </c>
      <c r="E7784" t="s">
        <v>3053</v>
      </c>
      <c r="F7784" t="s">
        <v>736</v>
      </c>
      <c r="G7784" t="s">
        <v>737</v>
      </c>
      <c r="H7784" t="s">
        <v>8232</v>
      </c>
      <c r="I7784">
        <v>38</v>
      </c>
      <c r="J7784">
        <v>0</v>
      </c>
      <c r="K7784">
        <v>0</v>
      </c>
      <c r="L7784">
        <v>0</v>
      </c>
      <c r="M7784">
        <v>24</v>
      </c>
      <c r="N7784">
        <v>0</v>
      </c>
      <c r="O7784">
        <v>14</v>
      </c>
    </row>
    <row r="7785" spans="1:15" x14ac:dyDescent="0.25">
      <c r="A7785" t="s">
        <v>11755</v>
      </c>
      <c r="B7785" t="s">
        <v>11754</v>
      </c>
      <c r="C7785" t="s">
        <v>923</v>
      </c>
      <c r="D7785" t="s">
        <v>3063</v>
      </c>
      <c r="E7785" t="s">
        <v>3053</v>
      </c>
      <c r="F7785" t="s">
        <v>736</v>
      </c>
      <c r="G7785" t="s">
        <v>737</v>
      </c>
      <c r="H7785" t="s">
        <v>15272</v>
      </c>
      <c r="I7785">
        <v>4</v>
      </c>
      <c r="J7785">
        <v>0</v>
      </c>
      <c r="K7785">
        <v>0</v>
      </c>
      <c r="L7785">
        <v>4</v>
      </c>
      <c r="M7785">
        <v>0</v>
      </c>
      <c r="N7785">
        <v>0</v>
      </c>
      <c r="O7785">
        <v>0</v>
      </c>
    </row>
    <row r="7786" spans="1:15" x14ac:dyDescent="0.25">
      <c r="A7786" t="s">
        <v>1134</v>
      </c>
      <c r="B7786" t="s">
        <v>2118</v>
      </c>
      <c r="C7786" t="s">
        <v>927</v>
      </c>
      <c r="D7786" t="s">
        <v>3052</v>
      </c>
      <c r="E7786" t="s">
        <v>3053</v>
      </c>
      <c r="F7786" t="s">
        <v>736</v>
      </c>
      <c r="G7786" t="s">
        <v>737</v>
      </c>
      <c r="H7786" t="s">
        <v>8233</v>
      </c>
      <c r="I7786">
        <v>38</v>
      </c>
      <c r="J7786">
        <v>35</v>
      </c>
      <c r="K7786">
        <v>0</v>
      </c>
      <c r="L7786">
        <v>0</v>
      </c>
      <c r="M7786">
        <v>0</v>
      </c>
      <c r="N7786">
        <v>0</v>
      </c>
      <c r="O7786">
        <v>3</v>
      </c>
    </row>
    <row r="7787" spans="1:15" x14ac:dyDescent="0.25">
      <c r="A7787" t="s">
        <v>949</v>
      </c>
      <c r="B7787" t="s">
        <v>3035</v>
      </c>
      <c r="C7787" t="s">
        <v>927</v>
      </c>
      <c r="D7787" t="s">
        <v>3052</v>
      </c>
      <c r="E7787" t="s">
        <v>3053</v>
      </c>
      <c r="F7787" t="s">
        <v>736</v>
      </c>
      <c r="G7787" t="s">
        <v>737</v>
      </c>
      <c r="H7787" t="s">
        <v>8234</v>
      </c>
      <c r="I7787">
        <v>2</v>
      </c>
      <c r="J7787">
        <v>0</v>
      </c>
      <c r="K7787">
        <v>0</v>
      </c>
      <c r="L7787">
        <v>0</v>
      </c>
      <c r="M7787">
        <v>0</v>
      </c>
      <c r="N7787">
        <v>0</v>
      </c>
      <c r="O7787">
        <v>2</v>
      </c>
    </row>
    <row r="7788" spans="1:15" x14ac:dyDescent="0.25">
      <c r="A7788" t="s">
        <v>1142</v>
      </c>
      <c r="B7788" t="s">
        <v>3003</v>
      </c>
      <c r="C7788" t="s">
        <v>927</v>
      </c>
      <c r="D7788" t="s">
        <v>3052</v>
      </c>
      <c r="E7788" t="s">
        <v>3053</v>
      </c>
      <c r="F7788" t="s">
        <v>736</v>
      </c>
      <c r="G7788" t="s">
        <v>737</v>
      </c>
      <c r="H7788" t="s">
        <v>8235</v>
      </c>
      <c r="I7788">
        <v>145</v>
      </c>
      <c r="J7788">
        <v>122</v>
      </c>
      <c r="K7788">
        <v>0</v>
      </c>
      <c r="L7788">
        <v>0</v>
      </c>
      <c r="M7788">
        <v>0</v>
      </c>
      <c r="N7788">
        <v>0</v>
      </c>
      <c r="O7788">
        <v>23</v>
      </c>
    </row>
    <row r="7789" spans="1:15" x14ac:dyDescent="0.25">
      <c r="A7789" t="s">
        <v>1043</v>
      </c>
      <c r="B7789" t="s">
        <v>2090</v>
      </c>
      <c r="C7789" t="s">
        <v>927</v>
      </c>
      <c r="D7789" t="s">
        <v>3052</v>
      </c>
      <c r="E7789" t="s">
        <v>3053</v>
      </c>
      <c r="F7789" t="s">
        <v>736</v>
      </c>
      <c r="G7789" t="s">
        <v>737</v>
      </c>
      <c r="H7789" t="s">
        <v>8236</v>
      </c>
      <c r="I7789">
        <v>31</v>
      </c>
      <c r="J7789">
        <v>31</v>
      </c>
      <c r="K7789">
        <v>0</v>
      </c>
      <c r="L7789">
        <v>0</v>
      </c>
      <c r="M7789">
        <v>0</v>
      </c>
      <c r="N7789">
        <v>0</v>
      </c>
      <c r="O7789">
        <v>0</v>
      </c>
    </row>
    <row r="7790" spans="1:15" x14ac:dyDescent="0.25">
      <c r="A7790" t="s">
        <v>1146</v>
      </c>
      <c r="B7790" t="s">
        <v>2117</v>
      </c>
      <c r="C7790" t="s">
        <v>927</v>
      </c>
      <c r="D7790" t="s">
        <v>3052</v>
      </c>
      <c r="E7790" t="s">
        <v>3053</v>
      </c>
      <c r="F7790" t="s">
        <v>736</v>
      </c>
      <c r="G7790" t="s">
        <v>737</v>
      </c>
      <c r="H7790" t="s">
        <v>15273</v>
      </c>
      <c r="I7790">
        <v>636</v>
      </c>
      <c r="J7790">
        <v>523</v>
      </c>
      <c r="K7790">
        <v>0</v>
      </c>
      <c r="L7790">
        <v>74</v>
      </c>
      <c r="M7790">
        <v>8</v>
      </c>
      <c r="N7790">
        <v>3</v>
      </c>
      <c r="O7790">
        <v>31</v>
      </c>
    </row>
    <row r="7791" spans="1:15" x14ac:dyDescent="0.25">
      <c r="A7791" t="s">
        <v>951</v>
      </c>
      <c r="B7791" t="s">
        <v>2680</v>
      </c>
      <c r="C7791" t="s">
        <v>927</v>
      </c>
      <c r="D7791" t="s">
        <v>3052</v>
      </c>
      <c r="E7791" t="s">
        <v>3053</v>
      </c>
      <c r="F7791" t="s">
        <v>736</v>
      </c>
      <c r="G7791" t="s">
        <v>737</v>
      </c>
      <c r="H7791" t="s">
        <v>8237</v>
      </c>
      <c r="I7791">
        <v>148</v>
      </c>
      <c r="J7791">
        <v>148</v>
      </c>
      <c r="K7791">
        <v>0</v>
      </c>
      <c r="L7791">
        <v>0</v>
      </c>
      <c r="M7791">
        <v>0</v>
      </c>
      <c r="N7791">
        <v>0</v>
      </c>
      <c r="O7791">
        <v>0</v>
      </c>
    </row>
    <row r="7792" spans="1:15" x14ac:dyDescent="0.25">
      <c r="A7792" t="s">
        <v>953</v>
      </c>
      <c r="B7792" t="s">
        <v>2014</v>
      </c>
      <c r="C7792" t="s">
        <v>927</v>
      </c>
      <c r="D7792" t="s">
        <v>3052</v>
      </c>
      <c r="E7792" t="s">
        <v>3053</v>
      </c>
      <c r="F7792" t="s">
        <v>736</v>
      </c>
      <c r="G7792" t="s">
        <v>737</v>
      </c>
      <c r="H7792" t="s">
        <v>8238</v>
      </c>
      <c r="I7792">
        <v>3</v>
      </c>
      <c r="J7792">
        <v>0</v>
      </c>
      <c r="K7792">
        <v>0</v>
      </c>
      <c r="L7792">
        <v>3</v>
      </c>
      <c r="M7792">
        <v>0</v>
      </c>
      <c r="N7792">
        <v>0</v>
      </c>
      <c r="O7792">
        <v>0</v>
      </c>
    </row>
    <row r="7793" spans="1:15" x14ac:dyDescent="0.25">
      <c r="A7793" t="s">
        <v>9788</v>
      </c>
      <c r="B7793" t="s">
        <v>9871</v>
      </c>
      <c r="C7793" t="s">
        <v>927</v>
      </c>
      <c r="D7793" t="s">
        <v>3052</v>
      </c>
      <c r="E7793" t="s">
        <v>3053</v>
      </c>
      <c r="F7793" t="s">
        <v>736</v>
      </c>
      <c r="G7793" t="s">
        <v>737</v>
      </c>
      <c r="H7793" t="s">
        <v>11346</v>
      </c>
      <c r="I7793">
        <v>32</v>
      </c>
      <c r="J7793">
        <v>32</v>
      </c>
      <c r="K7793">
        <v>0</v>
      </c>
      <c r="L7793">
        <v>0</v>
      </c>
      <c r="M7793">
        <v>0</v>
      </c>
      <c r="N7793">
        <v>0</v>
      </c>
      <c r="O7793">
        <v>0</v>
      </c>
    </row>
    <row r="7794" spans="1:15" x14ac:dyDescent="0.25">
      <c r="A7794" t="s">
        <v>1154</v>
      </c>
      <c r="B7794" t="s">
        <v>2861</v>
      </c>
      <c r="C7794" t="s">
        <v>927</v>
      </c>
      <c r="D7794" t="s">
        <v>3052</v>
      </c>
      <c r="E7794" t="s">
        <v>3053</v>
      </c>
      <c r="F7794" t="s">
        <v>736</v>
      </c>
      <c r="G7794" t="s">
        <v>737</v>
      </c>
      <c r="H7794" t="s">
        <v>8239</v>
      </c>
      <c r="I7794">
        <v>178</v>
      </c>
      <c r="J7794">
        <v>68</v>
      </c>
      <c r="K7794">
        <v>0</v>
      </c>
      <c r="L7794">
        <v>23</v>
      </c>
      <c r="M7794">
        <v>69</v>
      </c>
      <c r="N7794">
        <v>0</v>
      </c>
      <c r="O7794">
        <v>18</v>
      </c>
    </row>
    <row r="7795" spans="1:15" x14ac:dyDescent="0.25">
      <c r="A7795" t="s">
        <v>14380</v>
      </c>
      <c r="B7795" t="s">
        <v>2074</v>
      </c>
      <c r="C7795" t="s">
        <v>927</v>
      </c>
      <c r="D7795" t="s">
        <v>3052</v>
      </c>
      <c r="E7795" t="s">
        <v>3053</v>
      </c>
      <c r="F7795" t="s">
        <v>736</v>
      </c>
      <c r="G7795" t="s">
        <v>737</v>
      </c>
      <c r="H7795" t="s">
        <v>15274</v>
      </c>
      <c r="I7795">
        <v>114</v>
      </c>
      <c r="J7795">
        <v>26</v>
      </c>
      <c r="K7795">
        <v>88</v>
      </c>
      <c r="L7795">
        <v>0</v>
      </c>
      <c r="M7795">
        <v>0</v>
      </c>
      <c r="N7795">
        <v>0</v>
      </c>
      <c r="O7795">
        <v>0</v>
      </c>
    </row>
    <row r="7796" spans="1:15" x14ac:dyDescent="0.25">
      <c r="A7796" t="s">
        <v>14374</v>
      </c>
      <c r="B7796" t="s">
        <v>1943</v>
      </c>
      <c r="C7796" t="s">
        <v>927</v>
      </c>
      <c r="D7796" t="s">
        <v>3052</v>
      </c>
      <c r="E7796" t="s">
        <v>3053</v>
      </c>
      <c r="F7796" t="s">
        <v>736</v>
      </c>
      <c r="G7796" t="s">
        <v>737</v>
      </c>
      <c r="H7796" t="s">
        <v>15275</v>
      </c>
      <c r="I7796">
        <v>26</v>
      </c>
      <c r="J7796">
        <v>0</v>
      </c>
      <c r="K7796">
        <v>0</v>
      </c>
      <c r="L7796">
        <v>0</v>
      </c>
      <c r="M7796">
        <v>0</v>
      </c>
      <c r="N7796">
        <v>0</v>
      </c>
      <c r="O7796">
        <v>26</v>
      </c>
    </row>
    <row r="7797" spans="1:15" x14ac:dyDescent="0.25">
      <c r="A7797" t="s">
        <v>1181</v>
      </c>
      <c r="B7797" t="s">
        <v>2894</v>
      </c>
      <c r="C7797" t="s">
        <v>927</v>
      </c>
      <c r="D7797" t="s">
        <v>3052</v>
      </c>
      <c r="E7797" t="s">
        <v>3053</v>
      </c>
      <c r="F7797" t="s">
        <v>736</v>
      </c>
      <c r="G7797" t="s">
        <v>737</v>
      </c>
      <c r="H7797" t="s">
        <v>8240</v>
      </c>
      <c r="I7797">
        <v>2</v>
      </c>
      <c r="J7797">
        <v>0</v>
      </c>
      <c r="K7797">
        <v>0</v>
      </c>
      <c r="L7797">
        <v>0</v>
      </c>
      <c r="M7797">
        <v>0</v>
      </c>
      <c r="N7797">
        <v>0</v>
      </c>
      <c r="O7797">
        <v>2</v>
      </c>
    </row>
    <row r="7798" spans="1:15" x14ac:dyDescent="0.25">
      <c r="A7798" t="s">
        <v>1185</v>
      </c>
      <c r="B7798" t="s">
        <v>2886</v>
      </c>
      <c r="C7798" t="s">
        <v>927</v>
      </c>
      <c r="D7798" t="s">
        <v>3052</v>
      </c>
      <c r="E7798" t="s">
        <v>3053</v>
      </c>
      <c r="F7798" t="s">
        <v>736</v>
      </c>
      <c r="G7798" t="s">
        <v>737</v>
      </c>
      <c r="H7798" t="s">
        <v>11347</v>
      </c>
      <c r="I7798">
        <v>32</v>
      </c>
      <c r="J7798">
        <v>24</v>
      </c>
      <c r="K7798">
        <v>5</v>
      </c>
      <c r="L7798">
        <v>0</v>
      </c>
      <c r="M7798">
        <v>0</v>
      </c>
      <c r="N7798">
        <v>0</v>
      </c>
      <c r="O7798">
        <v>3</v>
      </c>
    </row>
    <row r="7799" spans="1:15" x14ac:dyDescent="0.25">
      <c r="A7799" t="s">
        <v>981</v>
      </c>
      <c r="B7799" t="s">
        <v>2985</v>
      </c>
      <c r="C7799" t="s">
        <v>927</v>
      </c>
      <c r="D7799" t="s">
        <v>3052</v>
      </c>
      <c r="E7799" t="s">
        <v>3053</v>
      </c>
      <c r="F7799" t="s">
        <v>736</v>
      </c>
      <c r="G7799" t="s">
        <v>737</v>
      </c>
      <c r="H7799" t="s">
        <v>8225</v>
      </c>
      <c r="I7799">
        <v>40</v>
      </c>
      <c r="J7799">
        <v>0</v>
      </c>
      <c r="K7799">
        <v>0</v>
      </c>
      <c r="L7799">
        <v>0</v>
      </c>
      <c r="M7799">
        <v>28</v>
      </c>
      <c r="N7799">
        <v>0</v>
      </c>
      <c r="O7799">
        <v>12</v>
      </c>
    </row>
    <row r="7800" spans="1:15" x14ac:dyDescent="0.25">
      <c r="A7800" t="s">
        <v>971</v>
      </c>
      <c r="B7800" t="s">
        <v>2956</v>
      </c>
      <c r="C7800" t="s">
        <v>927</v>
      </c>
      <c r="D7800" t="s">
        <v>3052</v>
      </c>
      <c r="E7800" t="s">
        <v>3053</v>
      </c>
      <c r="F7800" t="s">
        <v>738</v>
      </c>
      <c r="G7800" t="s">
        <v>739</v>
      </c>
      <c r="H7800" t="s">
        <v>8241</v>
      </c>
      <c r="I7800">
        <v>8</v>
      </c>
      <c r="J7800">
        <v>8</v>
      </c>
      <c r="K7800">
        <v>0</v>
      </c>
      <c r="L7800">
        <v>0</v>
      </c>
      <c r="M7800">
        <v>0</v>
      </c>
      <c r="N7800">
        <v>0</v>
      </c>
      <c r="O7800">
        <v>0</v>
      </c>
    </row>
    <row r="7801" spans="1:15" x14ac:dyDescent="0.25">
      <c r="A7801" t="s">
        <v>1452</v>
      </c>
      <c r="B7801" t="s">
        <v>2721</v>
      </c>
      <c r="C7801" t="s">
        <v>923</v>
      </c>
      <c r="D7801" t="s">
        <v>3063</v>
      </c>
      <c r="E7801" t="s">
        <v>3053</v>
      </c>
      <c r="F7801" t="s">
        <v>738</v>
      </c>
      <c r="G7801" t="s">
        <v>739</v>
      </c>
      <c r="H7801" t="s">
        <v>8242</v>
      </c>
      <c r="I7801">
        <v>60</v>
      </c>
      <c r="J7801">
        <v>0</v>
      </c>
      <c r="K7801">
        <v>0</v>
      </c>
      <c r="L7801">
        <v>0</v>
      </c>
      <c r="M7801">
        <v>60</v>
      </c>
      <c r="N7801">
        <v>0</v>
      </c>
      <c r="O7801">
        <v>0</v>
      </c>
    </row>
    <row r="7802" spans="1:15" x14ac:dyDescent="0.25">
      <c r="A7802" t="s">
        <v>933</v>
      </c>
      <c r="B7802" t="s">
        <v>2106</v>
      </c>
      <c r="C7802" t="s">
        <v>927</v>
      </c>
      <c r="D7802" t="s">
        <v>3052</v>
      </c>
      <c r="E7802" t="s">
        <v>3053</v>
      </c>
      <c r="F7802" t="s">
        <v>738</v>
      </c>
      <c r="G7802" t="s">
        <v>739</v>
      </c>
      <c r="H7802" t="s">
        <v>8243</v>
      </c>
      <c r="I7802">
        <v>186</v>
      </c>
      <c r="J7802">
        <v>181</v>
      </c>
      <c r="K7802">
        <v>0</v>
      </c>
      <c r="L7802">
        <v>0</v>
      </c>
      <c r="M7802">
        <v>0</v>
      </c>
      <c r="N7802">
        <v>0</v>
      </c>
      <c r="O7802">
        <v>5</v>
      </c>
    </row>
    <row r="7803" spans="1:15" x14ac:dyDescent="0.25">
      <c r="A7803" t="s">
        <v>935</v>
      </c>
      <c r="B7803" t="s">
        <v>1960</v>
      </c>
      <c r="C7803" t="s">
        <v>923</v>
      </c>
      <c r="D7803" t="s">
        <v>3063</v>
      </c>
      <c r="E7803" t="s">
        <v>3053</v>
      </c>
      <c r="F7803" t="s">
        <v>738</v>
      </c>
      <c r="G7803" t="s">
        <v>739</v>
      </c>
      <c r="H7803" t="s">
        <v>8244</v>
      </c>
      <c r="I7803">
        <v>5</v>
      </c>
      <c r="J7803">
        <v>0</v>
      </c>
      <c r="K7803">
        <v>0</v>
      </c>
      <c r="L7803">
        <v>5</v>
      </c>
      <c r="M7803">
        <v>0</v>
      </c>
      <c r="N7803">
        <v>0</v>
      </c>
      <c r="O7803">
        <v>0</v>
      </c>
    </row>
    <row r="7804" spans="1:15" x14ac:dyDescent="0.25">
      <c r="A7804" t="s">
        <v>1484</v>
      </c>
      <c r="B7804" t="s">
        <v>2897</v>
      </c>
      <c r="C7804" t="s">
        <v>927</v>
      </c>
      <c r="D7804" t="s">
        <v>3052</v>
      </c>
      <c r="E7804" t="s">
        <v>3053</v>
      </c>
      <c r="F7804" t="s">
        <v>738</v>
      </c>
      <c r="G7804" t="s">
        <v>739</v>
      </c>
      <c r="H7804" t="s">
        <v>8245</v>
      </c>
      <c r="I7804">
        <v>23</v>
      </c>
      <c r="J7804">
        <v>0</v>
      </c>
      <c r="K7804">
        <v>0</v>
      </c>
      <c r="L7804">
        <v>23</v>
      </c>
      <c r="M7804">
        <v>0</v>
      </c>
      <c r="N7804">
        <v>0</v>
      </c>
      <c r="O7804">
        <v>0</v>
      </c>
    </row>
    <row r="7805" spans="1:15" x14ac:dyDescent="0.25">
      <c r="A7805" t="s">
        <v>10638</v>
      </c>
      <c r="B7805" t="s">
        <v>2057</v>
      </c>
      <c r="C7805" t="s">
        <v>927</v>
      </c>
      <c r="D7805" t="s">
        <v>3052</v>
      </c>
      <c r="E7805" t="s">
        <v>3053</v>
      </c>
      <c r="F7805" t="s">
        <v>738</v>
      </c>
      <c r="G7805" t="s">
        <v>739</v>
      </c>
      <c r="H7805" t="s">
        <v>11348</v>
      </c>
      <c r="I7805">
        <v>2</v>
      </c>
      <c r="J7805">
        <v>0</v>
      </c>
      <c r="K7805">
        <v>0</v>
      </c>
      <c r="L7805">
        <v>2</v>
      </c>
      <c r="M7805">
        <v>0</v>
      </c>
      <c r="N7805">
        <v>0</v>
      </c>
      <c r="O7805">
        <v>0</v>
      </c>
    </row>
    <row r="7806" spans="1:15" x14ac:dyDescent="0.25">
      <c r="A7806" t="s">
        <v>1006</v>
      </c>
      <c r="B7806" t="s">
        <v>2724</v>
      </c>
      <c r="C7806" t="s">
        <v>927</v>
      </c>
      <c r="D7806" t="s">
        <v>3052</v>
      </c>
      <c r="E7806" t="s">
        <v>3053</v>
      </c>
      <c r="F7806" t="s">
        <v>738</v>
      </c>
      <c r="G7806" t="s">
        <v>739</v>
      </c>
      <c r="H7806" t="s">
        <v>8246</v>
      </c>
      <c r="I7806">
        <v>20</v>
      </c>
      <c r="J7806">
        <v>0</v>
      </c>
      <c r="K7806">
        <v>0</v>
      </c>
      <c r="L7806">
        <v>20</v>
      </c>
      <c r="M7806">
        <v>0</v>
      </c>
      <c r="N7806">
        <v>0</v>
      </c>
      <c r="O7806">
        <v>0</v>
      </c>
    </row>
    <row r="7807" spans="1:15" x14ac:dyDescent="0.25">
      <c r="A7807" t="s">
        <v>937</v>
      </c>
      <c r="B7807" t="s">
        <v>1962</v>
      </c>
      <c r="C7807" t="s">
        <v>927</v>
      </c>
      <c r="D7807" t="s">
        <v>3052</v>
      </c>
      <c r="E7807" t="s">
        <v>3053</v>
      </c>
      <c r="F7807" t="s">
        <v>738</v>
      </c>
      <c r="G7807" t="s">
        <v>739</v>
      </c>
      <c r="H7807" t="s">
        <v>8247</v>
      </c>
      <c r="I7807">
        <v>18</v>
      </c>
      <c r="J7807">
        <v>0</v>
      </c>
      <c r="K7807">
        <v>0</v>
      </c>
      <c r="L7807">
        <v>0</v>
      </c>
      <c r="M7807">
        <v>0</v>
      </c>
      <c r="N7807">
        <v>0</v>
      </c>
      <c r="O7807">
        <v>18</v>
      </c>
    </row>
    <row r="7808" spans="1:15" x14ac:dyDescent="0.25">
      <c r="A7808" t="s">
        <v>940</v>
      </c>
      <c r="B7808" t="s">
        <v>2647</v>
      </c>
      <c r="C7808" t="s">
        <v>927</v>
      </c>
      <c r="D7808" t="s">
        <v>3052</v>
      </c>
      <c r="E7808" t="s">
        <v>3053</v>
      </c>
      <c r="F7808" t="s">
        <v>738</v>
      </c>
      <c r="G7808" t="s">
        <v>739</v>
      </c>
      <c r="H7808" t="s">
        <v>8248</v>
      </c>
      <c r="I7808">
        <v>30</v>
      </c>
      <c r="J7808">
        <v>0</v>
      </c>
      <c r="K7808">
        <v>0</v>
      </c>
      <c r="L7808">
        <v>0</v>
      </c>
      <c r="M7808">
        <v>30</v>
      </c>
      <c r="N7808">
        <v>0</v>
      </c>
      <c r="O7808">
        <v>0</v>
      </c>
    </row>
    <row r="7809" spans="1:15" x14ac:dyDescent="0.25">
      <c r="A7809" t="s">
        <v>1013</v>
      </c>
      <c r="B7809" t="s">
        <v>1959</v>
      </c>
      <c r="C7809" t="s">
        <v>927</v>
      </c>
      <c r="D7809" t="s">
        <v>3052</v>
      </c>
      <c r="E7809" t="s">
        <v>3053</v>
      </c>
      <c r="F7809" t="s">
        <v>738</v>
      </c>
      <c r="G7809" t="s">
        <v>739</v>
      </c>
      <c r="H7809" t="s">
        <v>8249</v>
      </c>
      <c r="I7809">
        <v>57</v>
      </c>
      <c r="J7809">
        <v>0</v>
      </c>
      <c r="K7809">
        <v>0</v>
      </c>
      <c r="L7809">
        <v>57</v>
      </c>
      <c r="M7809">
        <v>0</v>
      </c>
      <c r="N7809">
        <v>0</v>
      </c>
      <c r="O7809">
        <v>0</v>
      </c>
    </row>
    <row r="7810" spans="1:15" x14ac:dyDescent="0.25">
      <c r="A7810" t="s">
        <v>9819</v>
      </c>
      <c r="B7810" t="s">
        <v>2916</v>
      </c>
      <c r="C7810" t="s">
        <v>927</v>
      </c>
      <c r="D7810" t="s">
        <v>3052</v>
      </c>
      <c r="E7810" t="s">
        <v>3053</v>
      </c>
      <c r="F7810" t="s">
        <v>738</v>
      </c>
      <c r="G7810" t="s">
        <v>739</v>
      </c>
      <c r="H7810" t="s">
        <v>10147</v>
      </c>
      <c r="I7810">
        <v>51</v>
      </c>
      <c r="J7810">
        <v>29</v>
      </c>
      <c r="K7810">
        <v>0</v>
      </c>
      <c r="L7810">
        <v>0</v>
      </c>
      <c r="M7810">
        <v>0</v>
      </c>
      <c r="N7810">
        <v>0</v>
      </c>
      <c r="O7810">
        <v>22</v>
      </c>
    </row>
    <row r="7811" spans="1:15" x14ac:dyDescent="0.25">
      <c r="A7811" t="s">
        <v>1508</v>
      </c>
      <c r="B7811" t="s">
        <v>3024</v>
      </c>
      <c r="C7811" t="s">
        <v>927</v>
      </c>
      <c r="D7811" t="s">
        <v>3052</v>
      </c>
      <c r="E7811" t="s">
        <v>3053</v>
      </c>
      <c r="F7811" t="s">
        <v>738</v>
      </c>
      <c r="G7811" t="s">
        <v>739</v>
      </c>
      <c r="H7811" t="s">
        <v>8250</v>
      </c>
      <c r="I7811">
        <v>71</v>
      </c>
      <c r="J7811">
        <v>32</v>
      </c>
      <c r="K7811">
        <v>0</v>
      </c>
      <c r="L7811">
        <v>0</v>
      </c>
      <c r="M7811">
        <v>0</v>
      </c>
      <c r="N7811">
        <v>0</v>
      </c>
      <c r="O7811">
        <v>39</v>
      </c>
    </row>
    <row r="7812" spans="1:15" x14ac:dyDescent="0.25">
      <c r="A7812" t="s">
        <v>1516</v>
      </c>
      <c r="B7812" t="s">
        <v>2098</v>
      </c>
      <c r="C7812" t="s">
        <v>927</v>
      </c>
      <c r="D7812" t="s">
        <v>3052</v>
      </c>
      <c r="E7812" t="s">
        <v>3053</v>
      </c>
      <c r="F7812" t="s">
        <v>738</v>
      </c>
      <c r="G7812" t="s">
        <v>739</v>
      </c>
      <c r="H7812" t="s">
        <v>8251</v>
      </c>
      <c r="I7812">
        <v>27</v>
      </c>
      <c r="J7812">
        <v>27</v>
      </c>
      <c r="K7812">
        <v>0</v>
      </c>
      <c r="L7812">
        <v>0</v>
      </c>
      <c r="M7812">
        <v>0</v>
      </c>
      <c r="N7812">
        <v>0</v>
      </c>
      <c r="O7812">
        <v>0</v>
      </c>
    </row>
    <row r="7813" spans="1:15" x14ac:dyDescent="0.25">
      <c r="A7813" t="s">
        <v>1520</v>
      </c>
      <c r="B7813" t="s">
        <v>2058</v>
      </c>
      <c r="C7813" t="s">
        <v>927</v>
      </c>
      <c r="D7813" t="s">
        <v>3052</v>
      </c>
      <c r="E7813" t="s">
        <v>3053</v>
      </c>
      <c r="F7813" t="s">
        <v>738</v>
      </c>
      <c r="G7813" t="s">
        <v>739</v>
      </c>
      <c r="H7813" t="s">
        <v>8252</v>
      </c>
      <c r="I7813">
        <v>102</v>
      </c>
      <c r="J7813">
        <v>97</v>
      </c>
      <c r="K7813">
        <v>0</v>
      </c>
      <c r="L7813">
        <v>0</v>
      </c>
      <c r="M7813">
        <v>0</v>
      </c>
      <c r="N7813">
        <v>0</v>
      </c>
      <c r="O7813">
        <v>5</v>
      </c>
    </row>
    <row r="7814" spans="1:15" x14ac:dyDescent="0.25">
      <c r="A7814" t="s">
        <v>1521</v>
      </c>
      <c r="B7814" t="s">
        <v>2920</v>
      </c>
      <c r="C7814" t="s">
        <v>927</v>
      </c>
      <c r="D7814" t="s">
        <v>3052</v>
      </c>
      <c r="E7814" t="s">
        <v>3053</v>
      </c>
      <c r="F7814" t="s">
        <v>738</v>
      </c>
      <c r="G7814" t="s">
        <v>739</v>
      </c>
      <c r="H7814" t="s">
        <v>8253</v>
      </c>
      <c r="I7814">
        <v>195</v>
      </c>
      <c r="J7814">
        <v>124</v>
      </c>
      <c r="K7814">
        <v>0</v>
      </c>
      <c r="L7814">
        <v>69</v>
      </c>
      <c r="M7814">
        <v>0</v>
      </c>
      <c r="N7814">
        <v>0</v>
      </c>
      <c r="O7814">
        <v>2</v>
      </c>
    </row>
    <row r="7815" spans="1:15" x14ac:dyDescent="0.25">
      <c r="A7815" t="s">
        <v>1046</v>
      </c>
      <c r="B7815" t="s">
        <v>2027</v>
      </c>
      <c r="C7815" t="s">
        <v>923</v>
      </c>
      <c r="D7815" t="s">
        <v>3063</v>
      </c>
      <c r="E7815" t="s">
        <v>3053</v>
      </c>
      <c r="F7815" t="s">
        <v>738</v>
      </c>
      <c r="G7815" t="s">
        <v>739</v>
      </c>
      <c r="H7815" t="s">
        <v>8254</v>
      </c>
      <c r="I7815">
        <v>3</v>
      </c>
      <c r="J7815">
        <v>0</v>
      </c>
      <c r="K7815">
        <v>0</v>
      </c>
      <c r="L7815">
        <v>3</v>
      </c>
      <c r="M7815">
        <v>0</v>
      </c>
      <c r="N7815">
        <v>0</v>
      </c>
      <c r="O7815">
        <v>0</v>
      </c>
    </row>
    <row r="7816" spans="1:15" x14ac:dyDescent="0.25">
      <c r="A7816" t="s">
        <v>951</v>
      </c>
      <c r="B7816" t="s">
        <v>2680</v>
      </c>
      <c r="C7816" t="s">
        <v>927</v>
      </c>
      <c r="D7816" t="s">
        <v>3052</v>
      </c>
      <c r="E7816" t="s">
        <v>3053</v>
      </c>
      <c r="F7816" t="s">
        <v>738</v>
      </c>
      <c r="G7816" t="s">
        <v>739</v>
      </c>
      <c r="H7816" t="s">
        <v>8255</v>
      </c>
      <c r="I7816">
        <v>3</v>
      </c>
      <c r="J7816">
        <v>0</v>
      </c>
      <c r="K7816">
        <v>0</v>
      </c>
      <c r="L7816">
        <v>0</v>
      </c>
      <c r="M7816">
        <v>0</v>
      </c>
      <c r="N7816">
        <v>0</v>
      </c>
      <c r="O7816">
        <v>3</v>
      </c>
    </row>
    <row r="7817" spans="1:15" x14ac:dyDescent="0.25">
      <c r="A7817" t="s">
        <v>1048</v>
      </c>
      <c r="B7817" t="s">
        <v>2989</v>
      </c>
      <c r="C7817" t="s">
        <v>927</v>
      </c>
      <c r="D7817" t="s">
        <v>3052</v>
      </c>
      <c r="E7817" t="s">
        <v>3053</v>
      </c>
      <c r="F7817" t="s">
        <v>738</v>
      </c>
      <c r="G7817" t="s">
        <v>739</v>
      </c>
      <c r="H7817" t="s">
        <v>8256</v>
      </c>
      <c r="I7817">
        <v>4</v>
      </c>
      <c r="J7817">
        <v>0</v>
      </c>
      <c r="K7817">
        <v>0</v>
      </c>
      <c r="L7817">
        <v>4</v>
      </c>
      <c r="M7817">
        <v>0</v>
      </c>
      <c r="N7817">
        <v>0</v>
      </c>
      <c r="O7817">
        <v>0</v>
      </c>
    </row>
    <row r="7818" spans="1:15" x14ac:dyDescent="0.25">
      <c r="A7818" t="s">
        <v>1525</v>
      </c>
      <c r="B7818" t="s">
        <v>2908</v>
      </c>
      <c r="C7818" t="s">
        <v>927</v>
      </c>
      <c r="D7818" t="s">
        <v>3052</v>
      </c>
      <c r="E7818" t="s">
        <v>3053</v>
      </c>
      <c r="F7818" t="s">
        <v>738</v>
      </c>
      <c r="G7818" t="s">
        <v>739</v>
      </c>
      <c r="H7818" t="s">
        <v>8257</v>
      </c>
      <c r="I7818">
        <v>25</v>
      </c>
      <c r="J7818">
        <v>16</v>
      </c>
      <c r="K7818">
        <v>0</v>
      </c>
      <c r="L7818">
        <v>0</v>
      </c>
      <c r="M7818">
        <v>0</v>
      </c>
      <c r="N7818">
        <v>0</v>
      </c>
      <c r="O7818">
        <v>9</v>
      </c>
    </row>
    <row r="7819" spans="1:15" x14ac:dyDescent="0.25">
      <c r="A7819" t="s">
        <v>1051</v>
      </c>
      <c r="B7819" t="s">
        <v>2995</v>
      </c>
      <c r="C7819" t="s">
        <v>927</v>
      </c>
      <c r="D7819" t="s">
        <v>3052</v>
      </c>
      <c r="E7819" t="s">
        <v>3053</v>
      </c>
      <c r="F7819" t="s">
        <v>738</v>
      </c>
      <c r="G7819" t="s">
        <v>739</v>
      </c>
      <c r="H7819" t="s">
        <v>8258</v>
      </c>
      <c r="I7819">
        <v>10</v>
      </c>
      <c r="J7819">
        <v>0</v>
      </c>
      <c r="K7819">
        <v>0</v>
      </c>
      <c r="L7819">
        <v>10</v>
      </c>
      <c r="M7819">
        <v>0</v>
      </c>
      <c r="N7819">
        <v>0</v>
      </c>
      <c r="O7819">
        <v>0</v>
      </c>
    </row>
    <row r="7820" spans="1:15" x14ac:dyDescent="0.25">
      <c r="A7820" t="s">
        <v>1529</v>
      </c>
      <c r="B7820" t="s">
        <v>1954</v>
      </c>
      <c r="C7820" t="s">
        <v>927</v>
      </c>
      <c r="D7820" t="s">
        <v>3052</v>
      </c>
      <c r="E7820" t="s">
        <v>3053</v>
      </c>
      <c r="F7820" t="s">
        <v>738</v>
      </c>
      <c r="G7820" t="s">
        <v>739</v>
      </c>
      <c r="H7820" t="s">
        <v>8259</v>
      </c>
      <c r="I7820">
        <v>834</v>
      </c>
      <c r="J7820">
        <v>750</v>
      </c>
      <c r="K7820">
        <v>0</v>
      </c>
      <c r="L7820">
        <v>14</v>
      </c>
      <c r="M7820">
        <v>46</v>
      </c>
      <c r="N7820">
        <v>0</v>
      </c>
      <c r="O7820">
        <v>24</v>
      </c>
    </row>
    <row r="7821" spans="1:15" x14ac:dyDescent="0.25">
      <c r="A7821" t="s">
        <v>953</v>
      </c>
      <c r="B7821" t="s">
        <v>2014</v>
      </c>
      <c r="C7821" t="s">
        <v>927</v>
      </c>
      <c r="D7821" t="s">
        <v>3052</v>
      </c>
      <c r="E7821" t="s">
        <v>3053</v>
      </c>
      <c r="F7821" t="s">
        <v>738</v>
      </c>
      <c r="G7821" t="s">
        <v>739</v>
      </c>
      <c r="H7821" t="s">
        <v>8260</v>
      </c>
      <c r="I7821">
        <v>19</v>
      </c>
      <c r="J7821">
        <v>0</v>
      </c>
      <c r="K7821">
        <v>0</v>
      </c>
      <c r="L7821">
        <v>19</v>
      </c>
      <c r="M7821">
        <v>0</v>
      </c>
      <c r="N7821">
        <v>0</v>
      </c>
      <c r="O7821">
        <v>0</v>
      </c>
    </row>
    <row r="7822" spans="1:15" x14ac:dyDescent="0.25">
      <c r="A7822" t="s">
        <v>1056</v>
      </c>
      <c r="B7822" t="s">
        <v>2966</v>
      </c>
      <c r="C7822" t="s">
        <v>927</v>
      </c>
      <c r="D7822" t="s">
        <v>3052</v>
      </c>
      <c r="E7822" t="s">
        <v>3053</v>
      </c>
      <c r="F7822" t="s">
        <v>738</v>
      </c>
      <c r="G7822" t="s">
        <v>739</v>
      </c>
      <c r="H7822" t="s">
        <v>8261</v>
      </c>
      <c r="I7822">
        <v>179</v>
      </c>
      <c r="J7822">
        <v>33</v>
      </c>
      <c r="K7822">
        <v>0</v>
      </c>
      <c r="L7822">
        <v>64</v>
      </c>
      <c r="M7822">
        <v>82</v>
      </c>
      <c r="N7822">
        <v>0</v>
      </c>
      <c r="O7822">
        <v>0</v>
      </c>
    </row>
    <row r="7823" spans="1:15" x14ac:dyDescent="0.25">
      <c r="A7823" t="s">
        <v>1057</v>
      </c>
      <c r="B7823" t="s">
        <v>1972</v>
      </c>
      <c r="C7823" t="s">
        <v>927</v>
      </c>
      <c r="D7823" t="s">
        <v>3052</v>
      </c>
      <c r="E7823" t="s">
        <v>3053</v>
      </c>
      <c r="F7823" t="s">
        <v>738</v>
      </c>
      <c r="G7823" t="s">
        <v>739</v>
      </c>
      <c r="H7823" t="s">
        <v>8262</v>
      </c>
      <c r="I7823">
        <v>16</v>
      </c>
      <c r="J7823">
        <v>16</v>
      </c>
      <c r="K7823">
        <v>0</v>
      </c>
      <c r="L7823">
        <v>0</v>
      </c>
      <c r="M7823">
        <v>0</v>
      </c>
      <c r="N7823">
        <v>0</v>
      </c>
      <c r="O7823">
        <v>0</v>
      </c>
    </row>
    <row r="7824" spans="1:15" x14ac:dyDescent="0.25">
      <c r="A7824" t="s">
        <v>955</v>
      </c>
      <c r="B7824" t="s">
        <v>2660</v>
      </c>
      <c r="C7824" t="s">
        <v>927</v>
      </c>
      <c r="D7824" t="s">
        <v>3052</v>
      </c>
      <c r="E7824" t="s">
        <v>3053</v>
      </c>
      <c r="F7824" t="s">
        <v>738</v>
      </c>
      <c r="G7824" t="s">
        <v>739</v>
      </c>
      <c r="H7824" t="s">
        <v>8263</v>
      </c>
      <c r="I7824">
        <v>77</v>
      </c>
      <c r="J7824">
        <v>77</v>
      </c>
      <c r="K7824">
        <v>0</v>
      </c>
      <c r="L7824">
        <v>0</v>
      </c>
      <c r="M7824">
        <v>0</v>
      </c>
      <c r="N7824">
        <v>0</v>
      </c>
      <c r="O7824">
        <v>0</v>
      </c>
    </row>
    <row r="7825" spans="1:15" x14ac:dyDescent="0.25">
      <c r="A7825" t="s">
        <v>1066</v>
      </c>
      <c r="B7825" t="s">
        <v>2557</v>
      </c>
      <c r="C7825" t="s">
        <v>927</v>
      </c>
      <c r="D7825" t="s">
        <v>3052</v>
      </c>
      <c r="E7825" t="s">
        <v>3053</v>
      </c>
      <c r="F7825" t="s">
        <v>738</v>
      </c>
      <c r="G7825" t="s">
        <v>739</v>
      </c>
      <c r="H7825" t="s">
        <v>8264</v>
      </c>
      <c r="I7825">
        <v>8</v>
      </c>
      <c r="J7825">
        <v>0</v>
      </c>
      <c r="K7825">
        <v>0</v>
      </c>
      <c r="L7825">
        <v>0</v>
      </c>
      <c r="M7825">
        <v>8</v>
      </c>
      <c r="N7825">
        <v>0</v>
      </c>
      <c r="O7825">
        <v>0</v>
      </c>
    </row>
    <row r="7826" spans="1:15" x14ac:dyDescent="0.25">
      <c r="A7826" t="s">
        <v>1072</v>
      </c>
      <c r="B7826" t="s">
        <v>2907</v>
      </c>
      <c r="C7826" t="s">
        <v>927</v>
      </c>
      <c r="D7826" t="s">
        <v>3052</v>
      </c>
      <c r="E7826" t="s">
        <v>3053</v>
      </c>
      <c r="F7826" t="s">
        <v>738</v>
      </c>
      <c r="G7826" t="s">
        <v>739</v>
      </c>
      <c r="H7826" t="s">
        <v>8265</v>
      </c>
      <c r="I7826">
        <v>1135</v>
      </c>
      <c r="J7826">
        <v>913</v>
      </c>
      <c r="K7826">
        <v>0</v>
      </c>
      <c r="L7826">
        <v>21</v>
      </c>
      <c r="M7826">
        <v>141</v>
      </c>
      <c r="N7826">
        <v>0</v>
      </c>
      <c r="O7826">
        <v>60</v>
      </c>
    </row>
    <row r="7827" spans="1:15" x14ac:dyDescent="0.25">
      <c r="A7827" t="s">
        <v>1553</v>
      </c>
      <c r="B7827" t="s">
        <v>2132</v>
      </c>
      <c r="C7827" t="s">
        <v>927</v>
      </c>
      <c r="D7827" t="s">
        <v>3052</v>
      </c>
      <c r="E7827" t="s">
        <v>3053</v>
      </c>
      <c r="F7827" t="s">
        <v>738</v>
      </c>
      <c r="G7827" t="s">
        <v>739</v>
      </c>
      <c r="H7827" t="s">
        <v>8266</v>
      </c>
      <c r="I7827">
        <v>13079</v>
      </c>
      <c r="J7827">
        <v>11269</v>
      </c>
      <c r="K7827">
        <v>0</v>
      </c>
      <c r="L7827">
        <v>89</v>
      </c>
      <c r="M7827">
        <v>1409</v>
      </c>
      <c r="N7827">
        <v>42</v>
      </c>
      <c r="O7827">
        <v>312</v>
      </c>
    </row>
    <row r="7828" spans="1:15" x14ac:dyDescent="0.25">
      <c r="A7828" t="s">
        <v>1562</v>
      </c>
      <c r="B7828" t="s">
        <v>2973</v>
      </c>
      <c r="C7828" t="s">
        <v>923</v>
      </c>
      <c r="D7828" t="s">
        <v>3063</v>
      </c>
      <c r="E7828" t="s">
        <v>3053</v>
      </c>
      <c r="F7828" t="s">
        <v>738</v>
      </c>
      <c r="G7828" t="s">
        <v>739</v>
      </c>
      <c r="H7828" t="s">
        <v>8267</v>
      </c>
      <c r="I7828">
        <v>147</v>
      </c>
      <c r="J7828">
        <v>44</v>
      </c>
      <c r="K7828">
        <v>0</v>
      </c>
      <c r="L7828">
        <v>103</v>
      </c>
      <c r="M7828">
        <v>0</v>
      </c>
      <c r="N7828">
        <v>0</v>
      </c>
      <c r="O7828">
        <v>0</v>
      </c>
    </row>
    <row r="7829" spans="1:15" x14ac:dyDescent="0.25">
      <c r="A7829" t="s">
        <v>1083</v>
      </c>
      <c r="B7829" t="s">
        <v>2757</v>
      </c>
      <c r="C7829" t="s">
        <v>927</v>
      </c>
      <c r="D7829" t="s">
        <v>3052</v>
      </c>
      <c r="E7829" t="s">
        <v>3053</v>
      </c>
      <c r="F7829" t="s">
        <v>738</v>
      </c>
      <c r="G7829" t="s">
        <v>739</v>
      </c>
      <c r="H7829" t="s">
        <v>8268</v>
      </c>
      <c r="I7829">
        <v>1491</v>
      </c>
      <c r="J7829">
        <v>921</v>
      </c>
      <c r="K7829">
        <v>0</v>
      </c>
      <c r="L7829">
        <v>122</v>
      </c>
      <c r="M7829">
        <v>328</v>
      </c>
      <c r="N7829">
        <v>1</v>
      </c>
      <c r="O7829">
        <v>120</v>
      </c>
    </row>
    <row r="7830" spans="1:15" x14ac:dyDescent="0.25">
      <c r="A7830" t="s">
        <v>926</v>
      </c>
      <c r="B7830" t="s">
        <v>2923</v>
      </c>
      <c r="C7830" t="s">
        <v>927</v>
      </c>
      <c r="D7830" t="s">
        <v>3052</v>
      </c>
      <c r="E7830" t="s">
        <v>3053</v>
      </c>
      <c r="F7830" t="s">
        <v>740</v>
      </c>
      <c r="G7830" t="s">
        <v>741</v>
      </c>
      <c r="H7830" t="s">
        <v>12378</v>
      </c>
      <c r="I7830">
        <v>1</v>
      </c>
      <c r="J7830">
        <v>0</v>
      </c>
      <c r="K7830">
        <v>0</v>
      </c>
      <c r="L7830">
        <v>0</v>
      </c>
      <c r="M7830">
        <v>0</v>
      </c>
      <c r="N7830">
        <v>0</v>
      </c>
      <c r="O7830">
        <v>1</v>
      </c>
    </row>
    <row r="7831" spans="1:15" x14ac:dyDescent="0.25">
      <c r="A7831" t="s">
        <v>1456</v>
      </c>
      <c r="B7831" t="s">
        <v>2844</v>
      </c>
      <c r="C7831" t="s">
        <v>927</v>
      </c>
      <c r="D7831" t="s">
        <v>3052</v>
      </c>
      <c r="E7831" t="s">
        <v>3053</v>
      </c>
      <c r="F7831" t="s">
        <v>740</v>
      </c>
      <c r="G7831" t="s">
        <v>741</v>
      </c>
      <c r="H7831" t="s">
        <v>8269</v>
      </c>
      <c r="I7831">
        <v>71</v>
      </c>
      <c r="J7831">
        <v>71</v>
      </c>
      <c r="K7831">
        <v>0</v>
      </c>
      <c r="L7831">
        <v>0</v>
      </c>
      <c r="M7831">
        <v>0</v>
      </c>
      <c r="N7831">
        <v>0</v>
      </c>
      <c r="O7831">
        <v>0</v>
      </c>
    </row>
    <row r="7832" spans="1:15" x14ac:dyDescent="0.25">
      <c r="A7832" t="s">
        <v>9784</v>
      </c>
      <c r="B7832" t="s">
        <v>1994</v>
      </c>
      <c r="C7832" t="s">
        <v>927</v>
      </c>
      <c r="D7832" t="s">
        <v>3052</v>
      </c>
      <c r="E7832" t="s">
        <v>3053</v>
      </c>
      <c r="F7832" t="s">
        <v>740</v>
      </c>
      <c r="G7832" t="s">
        <v>741</v>
      </c>
      <c r="H7832" t="s">
        <v>9983</v>
      </c>
      <c r="I7832">
        <v>11</v>
      </c>
      <c r="J7832">
        <v>0</v>
      </c>
      <c r="K7832">
        <v>0</v>
      </c>
      <c r="L7832">
        <v>11</v>
      </c>
      <c r="M7832">
        <v>0</v>
      </c>
      <c r="N7832">
        <v>0</v>
      </c>
      <c r="O7832">
        <v>0</v>
      </c>
    </row>
    <row r="7833" spans="1:15" x14ac:dyDescent="0.25">
      <c r="A7833" t="s">
        <v>983</v>
      </c>
      <c r="B7833" t="s">
        <v>2069</v>
      </c>
      <c r="C7833" t="s">
        <v>927</v>
      </c>
      <c r="D7833" t="s">
        <v>3052</v>
      </c>
      <c r="E7833" t="s">
        <v>3053</v>
      </c>
      <c r="F7833" t="s">
        <v>740</v>
      </c>
      <c r="G7833" t="s">
        <v>741</v>
      </c>
      <c r="H7833" t="s">
        <v>8270</v>
      </c>
      <c r="I7833">
        <v>380</v>
      </c>
      <c r="J7833">
        <v>340</v>
      </c>
      <c r="K7833">
        <v>0</v>
      </c>
      <c r="L7833">
        <v>0</v>
      </c>
      <c r="M7833">
        <v>0</v>
      </c>
      <c r="N7833">
        <v>0</v>
      </c>
      <c r="O7833">
        <v>40</v>
      </c>
    </row>
    <row r="7834" spans="1:15" x14ac:dyDescent="0.25">
      <c r="A7834" t="s">
        <v>1812</v>
      </c>
      <c r="B7834" t="s">
        <v>2833</v>
      </c>
      <c r="C7834" t="s">
        <v>923</v>
      </c>
      <c r="D7834" t="s">
        <v>3063</v>
      </c>
      <c r="E7834" t="s">
        <v>3053</v>
      </c>
      <c r="F7834" t="s">
        <v>740</v>
      </c>
      <c r="G7834" t="s">
        <v>741</v>
      </c>
      <c r="H7834" t="s">
        <v>15276</v>
      </c>
      <c r="I7834">
        <v>8</v>
      </c>
      <c r="J7834">
        <v>0</v>
      </c>
      <c r="K7834">
        <v>0</v>
      </c>
      <c r="L7834">
        <v>8</v>
      </c>
      <c r="M7834">
        <v>0</v>
      </c>
      <c r="N7834">
        <v>0</v>
      </c>
      <c r="O7834">
        <v>0</v>
      </c>
    </row>
    <row r="7835" spans="1:15" x14ac:dyDescent="0.25">
      <c r="A7835" t="s">
        <v>10643</v>
      </c>
      <c r="B7835" t="s">
        <v>2987</v>
      </c>
      <c r="C7835" t="s">
        <v>927</v>
      </c>
      <c r="D7835" t="s">
        <v>3052</v>
      </c>
      <c r="E7835" t="s">
        <v>3053</v>
      </c>
      <c r="F7835" t="s">
        <v>740</v>
      </c>
      <c r="G7835" t="s">
        <v>741</v>
      </c>
      <c r="H7835" t="s">
        <v>11349</v>
      </c>
      <c r="I7835">
        <v>73</v>
      </c>
      <c r="J7835">
        <v>55</v>
      </c>
      <c r="K7835">
        <v>0</v>
      </c>
      <c r="L7835">
        <v>4</v>
      </c>
      <c r="M7835">
        <v>0</v>
      </c>
      <c r="N7835">
        <v>1</v>
      </c>
      <c r="O7835">
        <v>14</v>
      </c>
    </row>
    <row r="7836" spans="1:15" x14ac:dyDescent="0.25">
      <c r="A7836" t="s">
        <v>1009</v>
      </c>
      <c r="B7836" t="s">
        <v>1958</v>
      </c>
      <c r="C7836" t="s">
        <v>923</v>
      </c>
      <c r="D7836" t="s">
        <v>3063</v>
      </c>
      <c r="E7836" t="s">
        <v>3053</v>
      </c>
      <c r="F7836" t="s">
        <v>740</v>
      </c>
      <c r="G7836" t="s">
        <v>741</v>
      </c>
      <c r="H7836" t="s">
        <v>8271</v>
      </c>
      <c r="I7836">
        <v>1</v>
      </c>
      <c r="J7836">
        <v>0</v>
      </c>
      <c r="K7836">
        <v>0</v>
      </c>
      <c r="L7836">
        <v>1</v>
      </c>
      <c r="M7836">
        <v>0</v>
      </c>
      <c r="N7836">
        <v>0</v>
      </c>
      <c r="O7836">
        <v>0</v>
      </c>
    </row>
    <row r="7837" spans="1:15" x14ac:dyDescent="0.25">
      <c r="A7837" t="s">
        <v>937</v>
      </c>
      <c r="B7837" t="s">
        <v>1962</v>
      </c>
      <c r="C7837" t="s">
        <v>927</v>
      </c>
      <c r="D7837" t="s">
        <v>3052</v>
      </c>
      <c r="E7837" t="s">
        <v>3053</v>
      </c>
      <c r="F7837" t="s">
        <v>740</v>
      </c>
      <c r="G7837" t="s">
        <v>741</v>
      </c>
      <c r="H7837" t="s">
        <v>8272</v>
      </c>
      <c r="I7837">
        <v>56</v>
      </c>
      <c r="J7837">
        <v>0</v>
      </c>
      <c r="K7837">
        <v>0</v>
      </c>
      <c r="L7837">
        <v>0</v>
      </c>
      <c r="M7837">
        <v>0</v>
      </c>
      <c r="N7837">
        <v>0</v>
      </c>
      <c r="O7837">
        <v>56</v>
      </c>
    </row>
    <row r="7838" spans="1:15" x14ac:dyDescent="0.25">
      <c r="A7838" t="s">
        <v>10652</v>
      </c>
      <c r="B7838" t="s">
        <v>3002</v>
      </c>
      <c r="C7838" t="s">
        <v>927</v>
      </c>
      <c r="D7838" t="s">
        <v>3052</v>
      </c>
      <c r="E7838" t="s">
        <v>3053</v>
      </c>
      <c r="F7838" t="s">
        <v>740</v>
      </c>
      <c r="G7838" t="s">
        <v>741</v>
      </c>
      <c r="H7838" t="s">
        <v>11350</v>
      </c>
      <c r="I7838">
        <v>6865</v>
      </c>
      <c r="J7838">
        <v>5748</v>
      </c>
      <c r="K7838">
        <v>0</v>
      </c>
      <c r="L7838">
        <v>42</v>
      </c>
      <c r="M7838">
        <v>807</v>
      </c>
      <c r="N7838">
        <v>19</v>
      </c>
      <c r="O7838">
        <v>268</v>
      </c>
    </row>
    <row r="7839" spans="1:15" x14ac:dyDescent="0.25">
      <c r="A7839" t="s">
        <v>1493</v>
      </c>
      <c r="B7839" t="s">
        <v>2962</v>
      </c>
      <c r="C7839" t="s">
        <v>927</v>
      </c>
      <c r="D7839" t="s">
        <v>3052</v>
      </c>
      <c r="E7839" t="s">
        <v>3053</v>
      </c>
      <c r="F7839" t="s">
        <v>740</v>
      </c>
      <c r="G7839" t="s">
        <v>741</v>
      </c>
      <c r="H7839" t="s">
        <v>8273</v>
      </c>
      <c r="I7839">
        <v>165</v>
      </c>
      <c r="J7839">
        <v>141</v>
      </c>
      <c r="K7839">
        <v>0</v>
      </c>
      <c r="L7839">
        <v>0</v>
      </c>
      <c r="M7839">
        <v>0</v>
      </c>
      <c r="N7839">
        <v>0</v>
      </c>
      <c r="O7839">
        <v>24</v>
      </c>
    </row>
    <row r="7840" spans="1:15" x14ac:dyDescent="0.25">
      <c r="A7840" t="s">
        <v>940</v>
      </c>
      <c r="B7840" t="s">
        <v>2647</v>
      </c>
      <c r="C7840" t="s">
        <v>927</v>
      </c>
      <c r="D7840" t="s">
        <v>3052</v>
      </c>
      <c r="E7840" t="s">
        <v>3053</v>
      </c>
      <c r="F7840" t="s">
        <v>740</v>
      </c>
      <c r="G7840" t="s">
        <v>741</v>
      </c>
      <c r="H7840" t="s">
        <v>8274</v>
      </c>
      <c r="I7840">
        <v>219</v>
      </c>
      <c r="J7840">
        <v>0</v>
      </c>
      <c r="K7840">
        <v>0</v>
      </c>
      <c r="L7840">
        <v>18</v>
      </c>
      <c r="M7840">
        <v>201</v>
      </c>
      <c r="N7840">
        <v>0</v>
      </c>
      <c r="O7840">
        <v>0</v>
      </c>
    </row>
    <row r="7841" spans="1:15" x14ac:dyDescent="0.25">
      <c r="A7841" t="s">
        <v>1422</v>
      </c>
      <c r="B7841" t="s">
        <v>1990</v>
      </c>
      <c r="C7841" t="s">
        <v>923</v>
      </c>
      <c r="D7841" t="s">
        <v>3063</v>
      </c>
      <c r="E7841" t="s">
        <v>3053</v>
      </c>
      <c r="F7841" t="s">
        <v>740</v>
      </c>
      <c r="G7841" t="s">
        <v>741</v>
      </c>
      <c r="H7841" t="s">
        <v>11351</v>
      </c>
      <c r="I7841">
        <v>5</v>
      </c>
      <c r="J7841">
        <v>0</v>
      </c>
      <c r="K7841">
        <v>0</v>
      </c>
      <c r="L7841">
        <v>5</v>
      </c>
      <c r="M7841">
        <v>0</v>
      </c>
      <c r="N7841">
        <v>0</v>
      </c>
      <c r="O7841">
        <v>0</v>
      </c>
    </row>
    <row r="7842" spans="1:15" x14ac:dyDescent="0.25">
      <c r="A7842" t="s">
        <v>1013</v>
      </c>
      <c r="B7842" t="s">
        <v>1959</v>
      </c>
      <c r="C7842" t="s">
        <v>927</v>
      </c>
      <c r="D7842" t="s">
        <v>3052</v>
      </c>
      <c r="E7842" t="s">
        <v>3053</v>
      </c>
      <c r="F7842" t="s">
        <v>740</v>
      </c>
      <c r="G7842" t="s">
        <v>741</v>
      </c>
      <c r="H7842" t="s">
        <v>8275</v>
      </c>
      <c r="I7842">
        <v>55</v>
      </c>
      <c r="J7842">
        <v>0</v>
      </c>
      <c r="K7842">
        <v>0</v>
      </c>
      <c r="L7842">
        <v>55</v>
      </c>
      <c r="M7842">
        <v>0</v>
      </c>
      <c r="N7842">
        <v>0</v>
      </c>
      <c r="O7842">
        <v>0</v>
      </c>
    </row>
    <row r="7843" spans="1:15" x14ac:dyDescent="0.25">
      <c r="A7843" t="s">
        <v>1030</v>
      </c>
      <c r="B7843" t="s">
        <v>2880</v>
      </c>
      <c r="C7843" t="s">
        <v>927</v>
      </c>
      <c r="D7843" t="s">
        <v>3052</v>
      </c>
      <c r="E7843" t="s">
        <v>3053</v>
      </c>
      <c r="F7843" t="s">
        <v>740</v>
      </c>
      <c r="G7843" t="s">
        <v>741</v>
      </c>
      <c r="H7843" t="s">
        <v>8276</v>
      </c>
      <c r="I7843">
        <v>299</v>
      </c>
      <c r="J7843">
        <v>222</v>
      </c>
      <c r="K7843">
        <v>0</v>
      </c>
      <c r="L7843">
        <v>43</v>
      </c>
      <c r="M7843">
        <v>0</v>
      </c>
      <c r="N7843">
        <v>0</v>
      </c>
      <c r="O7843">
        <v>34</v>
      </c>
    </row>
    <row r="7844" spans="1:15" x14ac:dyDescent="0.25">
      <c r="A7844" t="s">
        <v>1049</v>
      </c>
      <c r="B7844" t="s">
        <v>2138</v>
      </c>
      <c r="C7844" t="s">
        <v>927</v>
      </c>
      <c r="D7844" t="s">
        <v>3052</v>
      </c>
      <c r="E7844" t="s">
        <v>3053</v>
      </c>
      <c r="F7844" t="s">
        <v>740</v>
      </c>
      <c r="G7844" t="s">
        <v>741</v>
      </c>
      <c r="H7844" t="s">
        <v>8277</v>
      </c>
      <c r="I7844">
        <v>99</v>
      </c>
      <c r="J7844">
        <v>37</v>
      </c>
      <c r="K7844">
        <v>0</v>
      </c>
      <c r="L7844">
        <v>0</v>
      </c>
      <c r="M7844">
        <v>0</v>
      </c>
      <c r="N7844">
        <v>0</v>
      </c>
      <c r="O7844">
        <v>62</v>
      </c>
    </row>
    <row r="7845" spans="1:15" x14ac:dyDescent="0.25">
      <c r="A7845" t="s">
        <v>11720</v>
      </c>
      <c r="B7845" t="s">
        <v>10718</v>
      </c>
      <c r="C7845" t="s">
        <v>927</v>
      </c>
      <c r="D7845" t="s">
        <v>3052</v>
      </c>
      <c r="E7845" t="s">
        <v>3053</v>
      </c>
      <c r="F7845" t="s">
        <v>740</v>
      </c>
      <c r="G7845" t="s">
        <v>741</v>
      </c>
      <c r="H7845" t="s">
        <v>15277</v>
      </c>
      <c r="I7845">
        <v>20</v>
      </c>
      <c r="J7845">
        <v>0</v>
      </c>
      <c r="K7845">
        <v>0</v>
      </c>
      <c r="L7845">
        <v>0</v>
      </c>
      <c r="M7845">
        <v>0</v>
      </c>
      <c r="N7845">
        <v>0</v>
      </c>
      <c r="O7845">
        <v>20</v>
      </c>
    </row>
    <row r="7846" spans="1:15" x14ac:dyDescent="0.25">
      <c r="A7846" t="s">
        <v>9788</v>
      </c>
      <c r="B7846" t="s">
        <v>9871</v>
      </c>
      <c r="C7846" t="s">
        <v>927</v>
      </c>
      <c r="D7846" t="s">
        <v>3052</v>
      </c>
      <c r="E7846" t="s">
        <v>3053</v>
      </c>
      <c r="F7846" t="s">
        <v>740</v>
      </c>
      <c r="G7846" t="s">
        <v>741</v>
      </c>
      <c r="H7846" t="s">
        <v>10377</v>
      </c>
      <c r="I7846">
        <v>75</v>
      </c>
      <c r="J7846">
        <v>75</v>
      </c>
      <c r="K7846">
        <v>0</v>
      </c>
      <c r="L7846">
        <v>0</v>
      </c>
      <c r="M7846">
        <v>0</v>
      </c>
      <c r="N7846">
        <v>0</v>
      </c>
      <c r="O7846">
        <v>0</v>
      </c>
    </row>
    <row r="7847" spans="1:15" x14ac:dyDescent="0.25">
      <c r="A7847" t="s">
        <v>1057</v>
      </c>
      <c r="B7847" t="s">
        <v>1972</v>
      </c>
      <c r="C7847" t="s">
        <v>927</v>
      </c>
      <c r="D7847" t="s">
        <v>3052</v>
      </c>
      <c r="E7847" t="s">
        <v>3053</v>
      </c>
      <c r="F7847" t="s">
        <v>740</v>
      </c>
      <c r="G7847" t="s">
        <v>741</v>
      </c>
      <c r="H7847" t="s">
        <v>11352</v>
      </c>
      <c r="I7847">
        <v>10</v>
      </c>
      <c r="J7847">
        <v>10</v>
      </c>
      <c r="K7847">
        <v>0</v>
      </c>
      <c r="L7847">
        <v>0</v>
      </c>
      <c r="M7847">
        <v>0</v>
      </c>
      <c r="N7847">
        <v>0</v>
      </c>
      <c r="O7847">
        <v>0</v>
      </c>
    </row>
    <row r="7848" spans="1:15" x14ac:dyDescent="0.25">
      <c r="A7848" t="s">
        <v>955</v>
      </c>
      <c r="B7848" t="s">
        <v>2660</v>
      </c>
      <c r="C7848" t="s">
        <v>927</v>
      </c>
      <c r="D7848" t="s">
        <v>3052</v>
      </c>
      <c r="E7848" t="s">
        <v>3053</v>
      </c>
      <c r="F7848" t="s">
        <v>740</v>
      </c>
      <c r="G7848" t="s">
        <v>741</v>
      </c>
      <c r="H7848" t="s">
        <v>8278</v>
      </c>
      <c r="I7848">
        <v>333</v>
      </c>
      <c r="J7848">
        <v>216</v>
      </c>
      <c r="K7848">
        <v>0</v>
      </c>
      <c r="L7848">
        <v>15</v>
      </c>
      <c r="M7848">
        <v>87</v>
      </c>
      <c r="N7848">
        <v>0</v>
      </c>
      <c r="O7848">
        <v>15</v>
      </c>
    </row>
    <row r="7849" spans="1:15" x14ac:dyDescent="0.25">
      <c r="A7849" t="s">
        <v>14374</v>
      </c>
      <c r="B7849" t="s">
        <v>1943</v>
      </c>
      <c r="C7849" t="s">
        <v>927</v>
      </c>
      <c r="D7849" t="s">
        <v>3052</v>
      </c>
      <c r="E7849" t="s">
        <v>3053</v>
      </c>
      <c r="F7849" t="s">
        <v>740</v>
      </c>
      <c r="G7849" t="s">
        <v>741</v>
      </c>
      <c r="H7849" t="s">
        <v>15278</v>
      </c>
      <c r="I7849">
        <v>22</v>
      </c>
      <c r="J7849">
        <v>0</v>
      </c>
      <c r="K7849">
        <v>0</v>
      </c>
      <c r="L7849">
        <v>0</v>
      </c>
      <c r="M7849">
        <v>0</v>
      </c>
      <c r="N7849">
        <v>0</v>
      </c>
      <c r="O7849">
        <v>22</v>
      </c>
    </row>
    <row r="7850" spans="1:15" x14ac:dyDescent="0.25">
      <c r="A7850" t="s">
        <v>1072</v>
      </c>
      <c r="B7850" t="s">
        <v>2907</v>
      </c>
      <c r="C7850" t="s">
        <v>927</v>
      </c>
      <c r="D7850" t="s">
        <v>3052</v>
      </c>
      <c r="E7850" t="s">
        <v>3053</v>
      </c>
      <c r="F7850" t="s">
        <v>740</v>
      </c>
      <c r="G7850" t="s">
        <v>741</v>
      </c>
      <c r="H7850" t="s">
        <v>8279</v>
      </c>
      <c r="I7850">
        <v>3</v>
      </c>
      <c r="J7850">
        <v>0</v>
      </c>
      <c r="K7850">
        <v>0</v>
      </c>
      <c r="L7850">
        <v>3</v>
      </c>
      <c r="M7850">
        <v>0</v>
      </c>
      <c r="N7850">
        <v>0</v>
      </c>
      <c r="O7850">
        <v>0</v>
      </c>
    </row>
    <row r="7851" spans="1:15" x14ac:dyDescent="0.25">
      <c r="A7851" t="s">
        <v>1861</v>
      </c>
      <c r="B7851" t="s">
        <v>3011</v>
      </c>
      <c r="C7851" t="s">
        <v>927</v>
      </c>
      <c r="D7851" t="s">
        <v>3052</v>
      </c>
      <c r="E7851" t="s">
        <v>3053</v>
      </c>
      <c r="F7851" t="s">
        <v>740</v>
      </c>
      <c r="G7851" t="s">
        <v>741</v>
      </c>
      <c r="H7851" t="s">
        <v>8280</v>
      </c>
      <c r="I7851">
        <v>491</v>
      </c>
      <c r="J7851">
        <v>387</v>
      </c>
      <c r="K7851">
        <v>0</v>
      </c>
      <c r="L7851">
        <v>89</v>
      </c>
      <c r="M7851">
        <v>0</v>
      </c>
      <c r="N7851">
        <v>0</v>
      </c>
      <c r="O7851">
        <v>15</v>
      </c>
    </row>
    <row r="7852" spans="1:15" x14ac:dyDescent="0.25">
      <c r="A7852" t="s">
        <v>1182</v>
      </c>
      <c r="B7852" t="s">
        <v>2583</v>
      </c>
      <c r="C7852" t="s">
        <v>923</v>
      </c>
      <c r="D7852" t="s">
        <v>3063</v>
      </c>
      <c r="E7852" t="s">
        <v>3053</v>
      </c>
      <c r="F7852" t="s">
        <v>740</v>
      </c>
      <c r="G7852" t="s">
        <v>741</v>
      </c>
      <c r="H7852" t="s">
        <v>15279</v>
      </c>
      <c r="I7852">
        <v>6</v>
      </c>
      <c r="J7852">
        <v>0</v>
      </c>
      <c r="K7852">
        <v>0</v>
      </c>
      <c r="L7852">
        <v>6</v>
      </c>
      <c r="M7852">
        <v>0</v>
      </c>
      <c r="N7852">
        <v>0</v>
      </c>
      <c r="O7852">
        <v>0</v>
      </c>
    </row>
    <row r="7853" spans="1:15" x14ac:dyDescent="0.25">
      <c r="A7853" t="s">
        <v>1865</v>
      </c>
      <c r="B7853" t="s">
        <v>2866</v>
      </c>
      <c r="C7853" t="s">
        <v>927</v>
      </c>
      <c r="D7853" t="s">
        <v>3052</v>
      </c>
      <c r="E7853" t="s">
        <v>3053</v>
      </c>
      <c r="F7853" t="s">
        <v>740</v>
      </c>
      <c r="G7853" t="s">
        <v>741</v>
      </c>
      <c r="H7853" t="s">
        <v>8281</v>
      </c>
      <c r="I7853">
        <v>97</v>
      </c>
      <c r="J7853">
        <v>69</v>
      </c>
      <c r="K7853">
        <v>0</v>
      </c>
      <c r="L7853">
        <v>0</v>
      </c>
      <c r="M7853">
        <v>0</v>
      </c>
      <c r="N7853">
        <v>0</v>
      </c>
      <c r="O7853">
        <v>28</v>
      </c>
    </row>
    <row r="7854" spans="1:15" x14ac:dyDescent="0.25">
      <c r="A7854" t="s">
        <v>929</v>
      </c>
      <c r="B7854" t="s">
        <v>2999</v>
      </c>
      <c r="C7854" t="s">
        <v>927</v>
      </c>
      <c r="D7854" t="s">
        <v>3052</v>
      </c>
      <c r="E7854" t="s">
        <v>3053</v>
      </c>
      <c r="F7854" t="s">
        <v>742</v>
      </c>
      <c r="G7854" t="s">
        <v>743</v>
      </c>
      <c r="H7854" t="s">
        <v>8282</v>
      </c>
      <c r="I7854">
        <v>31</v>
      </c>
      <c r="J7854">
        <v>0</v>
      </c>
      <c r="K7854">
        <v>0</v>
      </c>
      <c r="L7854">
        <v>0</v>
      </c>
      <c r="M7854">
        <v>31</v>
      </c>
      <c r="N7854">
        <v>0</v>
      </c>
      <c r="O7854">
        <v>0</v>
      </c>
    </row>
    <row r="7855" spans="1:15" x14ac:dyDescent="0.25">
      <c r="A7855" t="s">
        <v>1456</v>
      </c>
      <c r="B7855" t="s">
        <v>2844</v>
      </c>
      <c r="C7855" t="s">
        <v>927</v>
      </c>
      <c r="D7855" t="s">
        <v>3052</v>
      </c>
      <c r="E7855" t="s">
        <v>3053</v>
      </c>
      <c r="F7855" t="s">
        <v>742</v>
      </c>
      <c r="G7855" t="s">
        <v>743</v>
      </c>
      <c r="H7855" t="s">
        <v>9902</v>
      </c>
      <c r="I7855">
        <v>10</v>
      </c>
      <c r="J7855">
        <v>7</v>
      </c>
      <c r="K7855">
        <v>0</v>
      </c>
      <c r="L7855">
        <v>0</v>
      </c>
      <c r="M7855">
        <v>0</v>
      </c>
      <c r="N7855">
        <v>0</v>
      </c>
      <c r="O7855">
        <v>3</v>
      </c>
    </row>
    <row r="7856" spans="1:15" x14ac:dyDescent="0.25">
      <c r="A7856" t="s">
        <v>1458</v>
      </c>
      <c r="B7856" t="s">
        <v>2024</v>
      </c>
      <c r="C7856" t="s">
        <v>923</v>
      </c>
      <c r="D7856" t="s">
        <v>3063</v>
      </c>
      <c r="E7856" t="s">
        <v>3053</v>
      </c>
      <c r="F7856" t="s">
        <v>742</v>
      </c>
      <c r="G7856" t="s">
        <v>743</v>
      </c>
      <c r="H7856" t="s">
        <v>12379</v>
      </c>
      <c r="I7856">
        <v>23</v>
      </c>
      <c r="J7856">
        <v>23</v>
      </c>
      <c r="K7856">
        <v>0</v>
      </c>
      <c r="L7856">
        <v>0</v>
      </c>
      <c r="M7856">
        <v>0</v>
      </c>
      <c r="N7856">
        <v>0</v>
      </c>
      <c r="O7856">
        <v>0</v>
      </c>
    </row>
    <row r="7857" spans="1:15" x14ac:dyDescent="0.25">
      <c r="A7857" t="s">
        <v>9784</v>
      </c>
      <c r="B7857" t="s">
        <v>1994</v>
      </c>
      <c r="C7857" t="s">
        <v>927</v>
      </c>
      <c r="D7857" t="s">
        <v>3052</v>
      </c>
      <c r="E7857" t="s">
        <v>3053</v>
      </c>
      <c r="F7857" t="s">
        <v>742</v>
      </c>
      <c r="G7857" t="s">
        <v>743</v>
      </c>
      <c r="H7857" t="s">
        <v>9984</v>
      </c>
      <c r="I7857">
        <v>4</v>
      </c>
      <c r="J7857">
        <v>0</v>
      </c>
      <c r="K7857">
        <v>0</v>
      </c>
      <c r="L7857">
        <v>4</v>
      </c>
      <c r="M7857">
        <v>0</v>
      </c>
      <c r="N7857">
        <v>0</v>
      </c>
      <c r="O7857">
        <v>0</v>
      </c>
    </row>
    <row r="7858" spans="1:15" x14ac:dyDescent="0.25">
      <c r="A7858" t="s">
        <v>1806</v>
      </c>
      <c r="B7858" t="s">
        <v>2633</v>
      </c>
      <c r="C7858" t="s">
        <v>923</v>
      </c>
      <c r="D7858" t="s">
        <v>3063</v>
      </c>
      <c r="E7858" t="s">
        <v>3053</v>
      </c>
      <c r="F7858" t="s">
        <v>742</v>
      </c>
      <c r="G7858" t="s">
        <v>743</v>
      </c>
      <c r="H7858" t="s">
        <v>8283</v>
      </c>
      <c r="I7858">
        <v>8</v>
      </c>
      <c r="J7858">
        <v>0</v>
      </c>
      <c r="K7858">
        <v>0</v>
      </c>
      <c r="L7858">
        <v>8</v>
      </c>
      <c r="M7858">
        <v>0</v>
      </c>
      <c r="N7858">
        <v>0</v>
      </c>
      <c r="O7858">
        <v>0</v>
      </c>
    </row>
    <row r="7859" spans="1:15" x14ac:dyDescent="0.25">
      <c r="A7859" t="s">
        <v>1814</v>
      </c>
      <c r="B7859" t="s">
        <v>2266</v>
      </c>
      <c r="C7859" t="s">
        <v>923</v>
      </c>
      <c r="D7859" t="s">
        <v>3063</v>
      </c>
      <c r="E7859" t="s">
        <v>3053</v>
      </c>
      <c r="F7859" t="s">
        <v>742</v>
      </c>
      <c r="G7859" t="s">
        <v>743</v>
      </c>
      <c r="H7859" t="s">
        <v>8284</v>
      </c>
      <c r="I7859">
        <v>8</v>
      </c>
      <c r="J7859">
        <v>8</v>
      </c>
      <c r="K7859">
        <v>0</v>
      </c>
      <c r="L7859">
        <v>0</v>
      </c>
      <c r="M7859">
        <v>0</v>
      </c>
      <c r="N7859">
        <v>0</v>
      </c>
      <c r="O7859">
        <v>0</v>
      </c>
    </row>
    <row r="7860" spans="1:15" x14ac:dyDescent="0.25">
      <c r="A7860" t="s">
        <v>997</v>
      </c>
      <c r="B7860" t="s">
        <v>2033</v>
      </c>
      <c r="C7860" t="s">
        <v>927</v>
      </c>
      <c r="D7860" t="s">
        <v>3052</v>
      </c>
      <c r="E7860" t="s">
        <v>3053</v>
      </c>
      <c r="F7860" t="s">
        <v>742</v>
      </c>
      <c r="G7860" t="s">
        <v>743</v>
      </c>
      <c r="H7860" t="s">
        <v>8285</v>
      </c>
      <c r="I7860">
        <v>37</v>
      </c>
      <c r="J7860">
        <v>37</v>
      </c>
      <c r="K7860">
        <v>0</v>
      </c>
      <c r="L7860">
        <v>0</v>
      </c>
      <c r="M7860">
        <v>0</v>
      </c>
      <c r="N7860">
        <v>0</v>
      </c>
      <c r="O7860">
        <v>0</v>
      </c>
    </row>
    <row r="7861" spans="1:15" x14ac:dyDescent="0.25">
      <c r="A7861" t="s">
        <v>1817</v>
      </c>
      <c r="B7861" t="s">
        <v>2831</v>
      </c>
      <c r="C7861" t="s">
        <v>927</v>
      </c>
      <c r="D7861" t="s">
        <v>3052</v>
      </c>
      <c r="E7861" t="s">
        <v>3053</v>
      </c>
      <c r="F7861" t="s">
        <v>742</v>
      </c>
      <c r="G7861" t="s">
        <v>743</v>
      </c>
      <c r="H7861" t="s">
        <v>8286</v>
      </c>
      <c r="I7861">
        <v>13</v>
      </c>
      <c r="J7861">
        <v>13</v>
      </c>
      <c r="K7861">
        <v>0</v>
      </c>
      <c r="L7861">
        <v>0</v>
      </c>
      <c r="M7861">
        <v>0</v>
      </c>
      <c r="N7861">
        <v>0</v>
      </c>
      <c r="O7861">
        <v>0</v>
      </c>
    </row>
    <row r="7862" spans="1:15" x14ac:dyDescent="0.25">
      <c r="A7862" t="s">
        <v>1001</v>
      </c>
      <c r="B7862" t="s">
        <v>3007</v>
      </c>
      <c r="C7862" t="s">
        <v>927</v>
      </c>
      <c r="D7862" t="s">
        <v>3052</v>
      </c>
      <c r="E7862" t="s">
        <v>3053</v>
      </c>
      <c r="F7862" t="s">
        <v>742</v>
      </c>
      <c r="G7862" t="s">
        <v>743</v>
      </c>
      <c r="H7862" t="s">
        <v>12380</v>
      </c>
      <c r="I7862">
        <v>4</v>
      </c>
      <c r="J7862">
        <v>0</v>
      </c>
      <c r="K7862">
        <v>0</v>
      </c>
      <c r="L7862">
        <v>4</v>
      </c>
      <c r="M7862">
        <v>0</v>
      </c>
      <c r="N7862">
        <v>0</v>
      </c>
      <c r="O7862">
        <v>0</v>
      </c>
    </row>
    <row r="7863" spans="1:15" x14ac:dyDescent="0.25">
      <c r="A7863" t="s">
        <v>1006</v>
      </c>
      <c r="B7863" t="s">
        <v>2724</v>
      </c>
      <c r="C7863" t="s">
        <v>927</v>
      </c>
      <c r="D7863" t="s">
        <v>3052</v>
      </c>
      <c r="E7863" t="s">
        <v>3053</v>
      </c>
      <c r="F7863" t="s">
        <v>742</v>
      </c>
      <c r="G7863" t="s">
        <v>743</v>
      </c>
      <c r="H7863" t="s">
        <v>10081</v>
      </c>
      <c r="I7863">
        <v>1</v>
      </c>
      <c r="J7863">
        <v>0</v>
      </c>
      <c r="K7863">
        <v>0</v>
      </c>
      <c r="L7863">
        <v>0</v>
      </c>
      <c r="M7863">
        <v>0</v>
      </c>
      <c r="N7863">
        <v>0</v>
      </c>
      <c r="O7863">
        <v>1</v>
      </c>
    </row>
    <row r="7864" spans="1:15" x14ac:dyDescent="0.25">
      <c r="A7864" t="s">
        <v>10643</v>
      </c>
      <c r="B7864" t="s">
        <v>2987</v>
      </c>
      <c r="C7864" t="s">
        <v>927</v>
      </c>
      <c r="D7864" t="s">
        <v>3052</v>
      </c>
      <c r="E7864" t="s">
        <v>3053</v>
      </c>
      <c r="F7864" t="s">
        <v>742</v>
      </c>
      <c r="G7864" t="s">
        <v>743</v>
      </c>
      <c r="H7864" t="s">
        <v>11353</v>
      </c>
      <c r="I7864">
        <v>3</v>
      </c>
      <c r="J7864">
        <v>0</v>
      </c>
      <c r="K7864">
        <v>0</v>
      </c>
      <c r="L7864">
        <v>3</v>
      </c>
      <c r="M7864">
        <v>0</v>
      </c>
      <c r="N7864">
        <v>0</v>
      </c>
      <c r="O7864">
        <v>0</v>
      </c>
    </row>
    <row r="7865" spans="1:15" x14ac:dyDescent="0.25">
      <c r="A7865" t="s">
        <v>1009</v>
      </c>
      <c r="B7865" t="s">
        <v>1958</v>
      </c>
      <c r="C7865" t="s">
        <v>923</v>
      </c>
      <c r="D7865" t="s">
        <v>3063</v>
      </c>
      <c r="E7865" t="s">
        <v>3053</v>
      </c>
      <c r="F7865" t="s">
        <v>742</v>
      </c>
      <c r="G7865" t="s">
        <v>743</v>
      </c>
      <c r="H7865" t="s">
        <v>8287</v>
      </c>
      <c r="I7865">
        <v>4</v>
      </c>
      <c r="J7865">
        <v>0</v>
      </c>
      <c r="K7865">
        <v>0</v>
      </c>
      <c r="L7865">
        <v>4</v>
      </c>
      <c r="M7865">
        <v>0</v>
      </c>
      <c r="N7865">
        <v>0</v>
      </c>
      <c r="O7865">
        <v>0</v>
      </c>
    </row>
    <row r="7866" spans="1:15" x14ac:dyDescent="0.25">
      <c r="A7866" t="s">
        <v>937</v>
      </c>
      <c r="B7866" t="s">
        <v>1962</v>
      </c>
      <c r="C7866" t="s">
        <v>927</v>
      </c>
      <c r="D7866" t="s">
        <v>3052</v>
      </c>
      <c r="E7866" t="s">
        <v>3053</v>
      </c>
      <c r="F7866" t="s">
        <v>742</v>
      </c>
      <c r="G7866" t="s">
        <v>743</v>
      </c>
      <c r="H7866" t="s">
        <v>10103</v>
      </c>
      <c r="I7866">
        <v>13</v>
      </c>
      <c r="J7866">
        <v>0</v>
      </c>
      <c r="K7866">
        <v>0</v>
      </c>
      <c r="L7866">
        <v>0</v>
      </c>
      <c r="M7866">
        <v>0</v>
      </c>
      <c r="N7866">
        <v>0</v>
      </c>
      <c r="O7866">
        <v>13</v>
      </c>
    </row>
    <row r="7867" spans="1:15" x14ac:dyDescent="0.25">
      <c r="A7867" t="s">
        <v>1011</v>
      </c>
      <c r="B7867" t="s">
        <v>2020</v>
      </c>
      <c r="C7867" t="s">
        <v>927</v>
      </c>
      <c r="D7867" t="s">
        <v>3052</v>
      </c>
      <c r="E7867" t="s">
        <v>3053</v>
      </c>
      <c r="F7867" t="s">
        <v>742</v>
      </c>
      <c r="G7867" t="s">
        <v>743</v>
      </c>
      <c r="H7867" t="s">
        <v>12381</v>
      </c>
      <c r="I7867">
        <v>19</v>
      </c>
      <c r="J7867">
        <v>0</v>
      </c>
      <c r="K7867">
        <v>0</v>
      </c>
      <c r="L7867">
        <v>19</v>
      </c>
      <c r="M7867">
        <v>0</v>
      </c>
      <c r="N7867">
        <v>0</v>
      </c>
      <c r="O7867">
        <v>0</v>
      </c>
    </row>
    <row r="7868" spans="1:15" x14ac:dyDescent="0.25">
      <c r="A7868" t="s">
        <v>1493</v>
      </c>
      <c r="B7868" t="s">
        <v>2962</v>
      </c>
      <c r="C7868" t="s">
        <v>927</v>
      </c>
      <c r="D7868" t="s">
        <v>3052</v>
      </c>
      <c r="E7868" t="s">
        <v>3053</v>
      </c>
      <c r="F7868" t="s">
        <v>742</v>
      </c>
      <c r="G7868" t="s">
        <v>743</v>
      </c>
      <c r="H7868" t="s">
        <v>8288</v>
      </c>
      <c r="I7868">
        <v>415</v>
      </c>
      <c r="J7868">
        <v>326</v>
      </c>
      <c r="K7868">
        <v>5</v>
      </c>
      <c r="L7868">
        <v>52</v>
      </c>
      <c r="M7868">
        <v>0</v>
      </c>
      <c r="N7868">
        <v>3</v>
      </c>
      <c r="O7868">
        <v>32</v>
      </c>
    </row>
    <row r="7869" spans="1:15" x14ac:dyDescent="0.25">
      <c r="A7869" t="s">
        <v>1013</v>
      </c>
      <c r="B7869" t="s">
        <v>1959</v>
      </c>
      <c r="C7869" t="s">
        <v>927</v>
      </c>
      <c r="D7869" t="s">
        <v>3052</v>
      </c>
      <c r="E7869" t="s">
        <v>3053</v>
      </c>
      <c r="F7869" t="s">
        <v>742</v>
      </c>
      <c r="G7869" t="s">
        <v>743</v>
      </c>
      <c r="H7869" t="s">
        <v>10131</v>
      </c>
      <c r="I7869">
        <v>15</v>
      </c>
      <c r="J7869">
        <v>0</v>
      </c>
      <c r="K7869">
        <v>0</v>
      </c>
      <c r="L7869">
        <v>15</v>
      </c>
      <c r="M7869">
        <v>0</v>
      </c>
      <c r="N7869">
        <v>0</v>
      </c>
      <c r="O7869">
        <v>0</v>
      </c>
    </row>
    <row r="7870" spans="1:15" x14ac:dyDescent="0.25">
      <c r="A7870" t="s">
        <v>9819</v>
      </c>
      <c r="B7870" t="s">
        <v>2916</v>
      </c>
      <c r="C7870" t="s">
        <v>927</v>
      </c>
      <c r="D7870" t="s">
        <v>3052</v>
      </c>
      <c r="E7870" t="s">
        <v>3053</v>
      </c>
      <c r="F7870" t="s">
        <v>742</v>
      </c>
      <c r="G7870" t="s">
        <v>743</v>
      </c>
      <c r="H7870" t="s">
        <v>15280</v>
      </c>
      <c r="I7870">
        <v>15</v>
      </c>
      <c r="J7870">
        <v>10</v>
      </c>
      <c r="K7870">
        <v>0</v>
      </c>
      <c r="L7870">
        <v>0</v>
      </c>
      <c r="M7870">
        <v>0</v>
      </c>
      <c r="N7870">
        <v>0</v>
      </c>
      <c r="O7870">
        <v>5</v>
      </c>
    </row>
    <row r="7871" spans="1:15" x14ac:dyDescent="0.25">
      <c r="A7871" t="s">
        <v>1030</v>
      </c>
      <c r="B7871" t="s">
        <v>2880</v>
      </c>
      <c r="C7871" t="s">
        <v>927</v>
      </c>
      <c r="D7871" t="s">
        <v>3052</v>
      </c>
      <c r="E7871" t="s">
        <v>3053</v>
      </c>
      <c r="F7871" t="s">
        <v>742</v>
      </c>
      <c r="G7871" t="s">
        <v>743</v>
      </c>
      <c r="H7871" t="s">
        <v>8289</v>
      </c>
      <c r="I7871">
        <v>64</v>
      </c>
      <c r="J7871">
        <v>0</v>
      </c>
      <c r="K7871">
        <v>0</v>
      </c>
      <c r="L7871">
        <v>18</v>
      </c>
      <c r="M7871">
        <v>41</v>
      </c>
      <c r="N7871">
        <v>0</v>
      </c>
      <c r="O7871">
        <v>5</v>
      </c>
    </row>
    <row r="7872" spans="1:15" x14ac:dyDescent="0.25">
      <c r="A7872" t="s">
        <v>1047</v>
      </c>
      <c r="B7872" t="s">
        <v>2815</v>
      </c>
      <c r="C7872" t="s">
        <v>923</v>
      </c>
      <c r="D7872" t="s">
        <v>3063</v>
      </c>
      <c r="E7872" t="s">
        <v>3053</v>
      </c>
      <c r="F7872" t="s">
        <v>742</v>
      </c>
      <c r="G7872" t="s">
        <v>743</v>
      </c>
      <c r="H7872" t="s">
        <v>8290</v>
      </c>
      <c r="I7872">
        <v>47</v>
      </c>
      <c r="J7872">
        <v>47</v>
      </c>
      <c r="K7872">
        <v>0</v>
      </c>
      <c r="L7872">
        <v>0</v>
      </c>
      <c r="M7872">
        <v>0</v>
      </c>
      <c r="N7872">
        <v>13</v>
      </c>
      <c r="O7872">
        <v>0</v>
      </c>
    </row>
    <row r="7873" spans="1:15" x14ac:dyDescent="0.25">
      <c r="A7873" t="s">
        <v>1525</v>
      </c>
      <c r="B7873" t="s">
        <v>2908</v>
      </c>
      <c r="C7873" t="s">
        <v>927</v>
      </c>
      <c r="D7873" t="s">
        <v>3052</v>
      </c>
      <c r="E7873" t="s">
        <v>3053</v>
      </c>
      <c r="F7873" t="s">
        <v>742</v>
      </c>
      <c r="G7873" t="s">
        <v>743</v>
      </c>
      <c r="H7873" t="s">
        <v>8291</v>
      </c>
      <c r="I7873">
        <v>15</v>
      </c>
      <c r="J7873">
        <v>15</v>
      </c>
      <c r="K7873">
        <v>0</v>
      </c>
      <c r="L7873">
        <v>0</v>
      </c>
      <c r="M7873">
        <v>0</v>
      </c>
      <c r="N7873">
        <v>0</v>
      </c>
      <c r="O7873">
        <v>0</v>
      </c>
    </row>
    <row r="7874" spans="1:15" x14ac:dyDescent="0.25">
      <c r="A7874" t="s">
        <v>11720</v>
      </c>
      <c r="B7874" t="s">
        <v>10718</v>
      </c>
      <c r="C7874" t="s">
        <v>927</v>
      </c>
      <c r="D7874" t="s">
        <v>3052</v>
      </c>
      <c r="E7874" t="s">
        <v>3053</v>
      </c>
      <c r="F7874" t="s">
        <v>742</v>
      </c>
      <c r="G7874" t="s">
        <v>743</v>
      </c>
      <c r="H7874" t="s">
        <v>15281</v>
      </c>
      <c r="I7874">
        <v>3</v>
      </c>
      <c r="J7874">
        <v>0</v>
      </c>
      <c r="K7874">
        <v>0</v>
      </c>
      <c r="L7874">
        <v>0</v>
      </c>
      <c r="M7874">
        <v>0</v>
      </c>
      <c r="N7874">
        <v>0</v>
      </c>
      <c r="O7874">
        <v>3</v>
      </c>
    </row>
    <row r="7875" spans="1:15" x14ac:dyDescent="0.25">
      <c r="A7875" t="s">
        <v>9788</v>
      </c>
      <c r="B7875" t="s">
        <v>9871</v>
      </c>
      <c r="C7875" t="s">
        <v>927</v>
      </c>
      <c r="D7875" t="s">
        <v>3052</v>
      </c>
      <c r="E7875" t="s">
        <v>3053</v>
      </c>
      <c r="F7875" t="s">
        <v>742</v>
      </c>
      <c r="G7875" t="s">
        <v>743</v>
      </c>
      <c r="H7875" t="s">
        <v>11354</v>
      </c>
      <c r="I7875">
        <v>6</v>
      </c>
      <c r="J7875">
        <v>6</v>
      </c>
      <c r="K7875">
        <v>0</v>
      </c>
      <c r="L7875">
        <v>0</v>
      </c>
      <c r="M7875">
        <v>0</v>
      </c>
      <c r="N7875">
        <v>0</v>
      </c>
      <c r="O7875">
        <v>0</v>
      </c>
    </row>
    <row r="7876" spans="1:15" x14ac:dyDescent="0.25">
      <c r="A7876" t="s">
        <v>955</v>
      </c>
      <c r="B7876" t="s">
        <v>2660</v>
      </c>
      <c r="C7876" t="s">
        <v>927</v>
      </c>
      <c r="D7876" t="s">
        <v>3052</v>
      </c>
      <c r="E7876" t="s">
        <v>3053</v>
      </c>
      <c r="F7876" t="s">
        <v>742</v>
      </c>
      <c r="G7876" t="s">
        <v>743</v>
      </c>
      <c r="H7876" t="s">
        <v>8292</v>
      </c>
      <c r="I7876">
        <v>335</v>
      </c>
      <c r="J7876">
        <v>202</v>
      </c>
      <c r="K7876">
        <v>0</v>
      </c>
      <c r="L7876">
        <v>6</v>
      </c>
      <c r="M7876">
        <v>111</v>
      </c>
      <c r="N7876">
        <v>0</v>
      </c>
      <c r="O7876">
        <v>16</v>
      </c>
    </row>
    <row r="7877" spans="1:15" x14ac:dyDescent="0.25">
      <c r="A7877" t="s">
        <v>14374</v>
      </c>
      <c r="B7877" t="s">
        <v>1943</v>
      </c>
      <c r="C7877" t="s">
        <v>927</v>
      </c>
      <c r="D7877" t="s">
        <v>3052</v>
      </c>
      <c r="E7877" t="s">
        <v>3053</v>
      </c>
      <c r="F7877" t="s">
        <v>742</v>
      </c>
      <c r="G7877" t="s">
        <v>743</v>
      </c>
      <c r="H7877" t="s">
        <v>15282</v>
      </c>
      <c r="I7877">
        <v>2</v>
      </c>
      <c r="J7877">
        <v>0</v>
      </c>
      <c r="K7877">
        <v>0</v>
      </c>
      <c r="L7877">
        <v>0</v>
      </c>
      <c r="M7877">
        <v>0</v>
      </c>
      <c r="N7877">
        <v>0</v>
      </c>
      <c r="O7877">
        <v>2</v>
      </c>
    </row>
    <row r="7878" spans="1:15" x14ac:dyDescent="0.25">
      <c r="A7878" t="s">
        <v>1854</v>
      </c>
      <c r="B7878" t="s">
        <v>2267</v>
      </c>
      <c r="C7878" t="s">
        <v>923</v>
      </c>
      <c r="D7878" t="s">
        <v>3063</v>
      </c>
      <c r="E7878" t="s">
        <v>3053</v>
      </c>
      <c r="F7878" t="s">
        <v>742</v>
      </c>
      <c r="G7878" t="s">
        <v>743</v>
      </c>
      <c r="H7878" t="s">
        <v>8293</v>
      </c>
      <c r="I7878">
        <v>14</v>
      </c>
      <c r="J7878">
        <v>14</v>
      </c>
      <c r="K7878">
        <v>0</v>
      </c>
      <c r="L7878">
        <v>0</v>
      </c>
      <c r="M7878">
        <v>0</v>
      </c>
      <c r="N7878">
        <v>0</v>
      </c>
      <c r="O7878">
        <v>0</v>
      </c>
    </row>
    <row r="7879" spans="1:15" x14ac:dyDescent="0.25">
      <c r="A7879" t="s">
        <v>1861</v>
      </c>
      <c r="B7879" t="s">
        <v>3011</v>
      </c>
      <c r="C7879" t="s">
        <v>927</v>
      </c>
      <c r="D7879" t="s">
        <v>3052</v>
      </c>
      <c r="E7879" t="s">
        <v>3053</v>
      </c>
      <c r="F7879" t="s">
        <v>742</v>
      </c>
      <c r="G7879" t="s">
        <v>743</v>
      </c>
      <c r="H7879" t="s">
        <v>8294</v>
      </c>
      <c r="I7879">
        <v>73</v>
      </c>
      <c r="J7879">
        <v>62</v>
      </c>
      <c r="K7879">
        <v>0</v>
      </c>
      <c r="L7879">
        <v>11</v>
      </c>
      <c r="M7879">
        <v>0</v>
      </c>
      <c r="N7879">
        <v>0</v>
      </c>
      <c r="O7879">
        <v>0</v>
      </c>
    </row>
    <row r="7880" spans="1:15" x14ac:dyDescent="0.25">
      <c r="A7880" t="s">
        <v>1083</v>
      </c>
      <c r="B7880" t="s">
        <v>2757</v>
      </c>
      <c r="C7880" t="s">
        <v>927</v>
      </c>
      <c r="D7880" t="s">
        <v>3052</v>
      </c>
      <c r="E7880" t="s">
        <v>3053</v>
      </c>
      <c r="F7880" t="s">
        <v>742</v>
      </c>
      <c r="G7880" t="s">
        <v>743</v>
      </c>
      <c r="H7880" t="s">
        <v>8295</v>
      </c>
      <c r="I7880">
        <v>2795</v>
      </c>
      <c r="J7880">
        <v>2647</v>
      </c>
      <c r="K7880">
        <v>5</v>
      </c>
      <c r="L7880">
        <v>13</v>
      </c>
      <c r="M7880">
        <v>96</v>
      </c>
      <c r="N7880">
        <v>0</v>
      </c>
      <c r="O7880">
        <v>34</v>
      </c>
    </row>
    <row r="7881" spans="1:15" x14ac:dyDescent="0.25">
      <c r="A7881" t="s">
        <v>926</v>
      </c>
      <c r="B7881" t="s">
        <v>2923</v>
      </c>
      <c r="C7881" t="s">
        <v>927</v>
      </c>
      <c r="D7881" t="s">
        <v>3052</v>
      </c>
      <c r="E7881" t="s">
        <v>3053</v>
      </c>
      <c r="F7881" t="s">
        <v>744</v>
      </c>
      <c r="G7881" t="s">
        <v>745</v>
      </c>
      <c r="H7881" t="s">
        <v>8296</v>
      </c>
      <c r="I7881">
        <v>3</v>
      </c>
      <c r="J7881">
        <v>0</v>
      </c>
      <c r="K7881">
        <v>0</v>
      </c>
      <c r="L7881">
        <v>0</v>
      </c>
      <c r="M7881">
        <v>0</v>
      </c>
      <c r="N7881">
        <v>0</v>
      </c>
      <c r="O7881">
        <v>3</v>
      </c>
    </row>
    <row r="7882" spans="1:15" x14ac:dyDescent="0.25">
      <c r="A7882" t="s">
        <v>929</v>
      </c>
      <c r="B7882" t="s">
        <v>2999</v>
      </c>
      <c r="C7882" t="s">
        <v>927</v>
      </c>
      <c r="D7882" t="s">
        <v>3052</v>
      </c>
      <c r="E7882" t="s">
        <v>3053</v>
      </c>
      <c r="F7882" t="s">
        <v>744</v>
      </c>
      <c r="G7882" t="s">
        <v>745</v>
      </c>
      <c r="H7882" t="s">
        <v>8297</v>
      </c>
      <c r="I7882">
        <v>112</v>
      </c>
      <c r="J7882">
        <v>0</v>
      </c>
      <c r="K7882">
        <v>0</v>
      </c>
      <c r="L7882">
        <v>0</v>
      </c>
      <c r="M7882">
        <v>112</v>
      </c>
      <c r="N7882">
        <v>2</v>
      </c>
      <c r="O7882">
        <v>0</v>
      </c>
    </row>
    <row r="7883" spans="1:15" x14ac:dyDescent="0.25">
      <c r="A7883" t="s">
        <v>9790</v>
      </c>
      <c r="B7883" t="s">
        <v>1977</v>
      </c>
      <c r="C7883" t="s">
        <v>923</v>
      </c>
      <c r="D7883" t="s">
        <v>3063</v>
      </c>
      <c r="E7883" t="s">
        <v>3053</v>
      </c>
      <c r="F7883" t="s">
        <v>744</v>
      </c>
      <c r="G7883" t="s">
        <v>745</v>
      </c>
      <c r="H7883" t="s">
        <v>12382</v>
      </c>
      <c r="I7883">
        <v>12</v>
      </c>
      <c r="J7883">
        <v>0</v>
      </c>
      <c r="K7883">
        <v>0</v>
      </c>
      <c r="L7883">
        <v>12</v>
      </c>
      <c r="M7883">
        <v>0</v>
      </c>
      <c r="N7883">
        <v>0</v>
      </c>
      <c r="O7883">
        <v>0</v>
      </c>
    </row>
    <row r="7884" spans="1:15" x14ac:dyDescent="0.25">
      <c r="A7884" t="s">
        <v>1090</v>
      </c>
      <c r="B7884" t="s">
        <v>2875</v>
      </c>
      <c r="C7884" t="s">
        <v>927</v>
      </c>
      <c r="D7884" t="s">
        <v>3052</v>
      </c>
      <c r="E7884" t="s">
        <v>3053</v>
      </c>
      <c r="F7884" t="s">
        <v>744</v>
      </c>
      <c r="G7884" t="s">
        <v>745</v>
      </c>
      <c r="H7884" t="s">
        <v>8298</v>
      </c>
      <c r="I7884">
        <v>1</v>
      </c>
      <c r="J7884">
        <v>0</v>
      </c>
      <c r="K7884">
        <v>0</v>
      </c>
      <c r="L7884">
        <v>0</v>
      </c>
      <c r="M7884">
        <v>0</v>
      </c>
      <c r="N7884">
        <v>0</v>
      </c>
      <c r="O7884">
        <v>1</v>
      </c>
    </row>
    <row r="7885" spans="1:15" x14ac:dyDescent="0.25">
      <c r="A7885" t="s">
        <v>9784</v>
      </c>
      <c r="B7885" t="s">
        <v>1994</v>
      </c>
      <c r="C7885" t="s">
        <v>927</v>
      </c>
      <c r="D7885" t="s">
        <v>3052</v>
      </c>
      <c r="E7885" t="s">
        <v>3053</v>
      </c>
      <c r="F7885" t="s">
        <v>744</v>
      </c>
      <c r="G7885" t="s">
        <v>745</v>
      </c>
      <c r="H7885" t="s">
        <v>9985</v>
      </c>
      <c r="I7885">
        <v>4</v>
      </c>
      <c r="J7885">
        <v>0</v>
      </c>
      <c r="K7885">
        <v>0</v>
      </c>
      <c r="L7885">
        <v>4</v>
      </c>
      <c r="M7885">
        <v>0</v>
      </c>
      <c r="N7885">
        <v>0</v>
      </c>
      <c r="O7885">
        <v>0</v>
      </c>
    </row>
    <row r="7886" spans="1:15" x14ac:dyDescent="0.25">
      <c r="A7886" t="s">
        <v>933</v>
      </c>
      <c r="B7886" t="s">
        <v>2106</v>
      </c>
      <c r="C7886" t="s">
        <v>927</v>
      </c>
      <c r="D7886" t="s">
        <v>3052</v>
      </c>
      <c r="E7886" t="s">
        <v>3053</v>
      </c>
      <c r="F7886" t="s">
        <v>744</v>
      </c>
      <c r="G7886" t="s">
        <v>745</v>
      </c>
      <c r="H7886" t="s">
        <v>8300</v>
      </c>
      <c r="I7886">
        <v>567</v>
      </c>
      <c r="J7886">
        <v>497</v>
      </c>
      <c r="K7886">
        <v>0</v>
      </c>
      <c r="L7886">
        <v>0</v>
      </c>
      <c r="M7886">
        <v>16</v>
      </c>
      <c r="N7886">
        <v>1</v>
      </c>
      <c r="O7886">
        <v>54</v>
      </c>
    </row>
    <row r="7887" spans="1:15" x14ac:dyDescent="0.25">
      <c r="A7887" t="s">
        <v>11660</v>
      </c>
      <c r="B7887" t="s">
        <v>2041</v>
      </c>
      <c r="C7887" t="s">
        <v>923</v>
      </c>
      <c r="D7887" t="s">
        <v>3063</v>
      </c>
      <c r="E7887" t="s">
        <v>3053</v>
      </c>
      <c r="F7887" t="s">
        <v>744</v>
      </c>
      <c r="G7887" t="s">
        <v>745</v>
      </c>
      <c r="H7887" t="s">
        <v>12383</v>
      </c>
      <c r="I7887">
        <v>1</v>
      </c>
      <c r="J7887">
        <v>0</v>
      </c>
      <c r="K7887">
        <v>0</v>
      </c>
      <c r="L7887">
        <v>1</v>
      </c>
      <c r="M7887">
        <v>0</v>
      </c>
      <c r="N7887">
        <v>0</v>
      </c>
      <c r="O7887">
        <v>0</v>
      </c>
    </row>
    <row r="7888" spans="1:15" x14ac:dyDescent="0.25">
      <c r="A7888" t="s">
        <v>1416</v>
      </c>
      <c r="B7888" t="s">
        <v>2029</v>
      </c>
      <c r="C7888" t="s">
        <v>923</v>
      </c>
      <c r="D7888" t="s">
        <v>3063</v>
      </c>
      <c r="E7888" t="s">
        <v>3053</v>
      </c>
      <c r="F7888" t="s">
        <v>744</v>
      </c>
      <c r="G7888" t="s">
        <v>745</v>
      </c>
      <c r="H7888" t="s">
        <v>12384</v>
      </c>
      <c r="I7888">
        <v>5</v>
      </c>
      <c r="J7888">
        <v>0</v>
      </c>
      <c r="K7888">
        <v>0</v>
      </c>
      <c r="L7888">
        <v>5</v>
      </c>
      <c r="M7888">
        <v>0</v>
      </c>
      <c r="N7888">
        <v>0</v>
      </c>
      <c r="O7888">
        <v>0</v>
      </c>
    </row>
    <row r="7889" spans="1:15" x14ac:dyDescent="0.25">
      <c r="A7889" t="s">
        <v>1112</v>
      </c>
      <c r="B7889" t="s">
        <v>2143</v>
      </c>
      <c r="C7889" t="s">
        <v>927</v>
      </c>
      <c r="D7889" t="s">
        <v>3052</v>
      </c>
      <c r="E7889" t="s">
        <v>3053</v>
      </c>
      <c r="F7889" t="s">
        <v>744</v>
      </c>
      <c r="G7889" t="s">
        <v>745</v>
      </c>
      <c r="H7889" t="s">
        <v>8301</v>
      </c>
      <c r="I7889">
        <v>19</v>
      </c>
      <c r="J7889">
        <v>9</v>
      </c>
      <c r="K7889">
        <v>0</v>
      </c>
      <c r="L7889">
        <v>10</v>
      </c>
      <c r="M7889">
        <v>0</v>
      </c>
      <c r="N7889">
        <v>0</v>
      </c>
      <c r="O7889">
        <v>0</v>
      </c>
    </row>
    <row r="7890" spans="1:15" x14ac:dyDescent="0.25">
      <c r="A7890" t="s">
        <v>1000</v>
      </c>
      <c r="B7890" t="s">
        <v>1984</v>
      </c>
      <c r="C7890" t="s">
        <v>923</v>
      </c>
      <c r="D7890" t="s">
        <v>3063</v>
      </c>
      <c r="E7890" t="s">
        <v>3053</v>
      </c>
      <c r="F7890" t="s">
        <v>744</v>
      </c>
      <c r="G7890" t="s">
        <v>745</v>
      </c>
      <c r="H7890" t="s">
        <v>8302</v>
      </c>
      <c r="I7890">
        <v>3</v>
      </c>
      <c r="J7890">
        <v>0</v>
      </c>
      <c r="K7890">
        <v>0</v>
      </c>
      <c r="L7890">
        <v>3</v>
      </c>
      <c r="M7890">
        <v>0</v>
      </c>
      <c r="N7890">
        <v>0</v>
      </c>
      <c r="O7890">
        <v>0</v>
      </c>
    </row>
    <row r="7891" spans="1:15" x14ac:dyDescent="0.25">
      <c r="A7891" t="s">
        <v>10638</v>
      </c>
      <c r="B7891" t="s">
        <v>2057</v>
      </c>
      <c r="C7891" t="s">
        <v>927</v>
      </c>
      <c r="D7891" t="s">
        <v>3052</v>
      </c>
      <c r="E7891" t="s">
        <v>3053</v>
      </c>
      <c r="F7891" t="s">
        <v>744</v>
      </c>
      <c r="G7891" t="s">
        <v>745</v>
      </c>
      <c r="H7891" t="s">
        <v>11355</v>
      </c>
      <c r="I7891">
        <v>10</v>
      </c>
      <c r="J7891">
        <v>0</v>
      </c>
      <c r="K7891">
        <v>0</v>
      </c>
      <c r="L7891">
        <v>10</v>
      </c>
      <c r="M7891">
        <v>0</v>
      </c>
      <c r="N7891">
        <v>0</v>
      </c>
      <c r="O7891">
        <v>0</v>
      </c>
    </row>
    <row r="7892" spans="1:15" x14ac:dyDescent="0.25">
      <c r="A7892" t="s">
        <v>1010</v>
      </c>
      <c r="B7892" t="s">
        <v>2639</v>
      </c>
      <c r="C7892" t="s">
        <v>927</v>
      </c>
      <c r="D7892" t="s">
        <v>3052</v>
      </c>
      <c r="E7892" t="s">
        <v>3053</v>
      </c>
      <c r="F7892" t="s">
        <v>744</v>
      </c>
      <c r="G7892" t="s">
        <v>745</v>
      </c>
      <c r="H7892" t="s">
        <v>8303</v>
      </c>
      <c r="I7892">
        <v>113</v>
      </c>
      <c r="J7892">
        <v>97</v>
      </c>
      <c r="K7892">
        <v>0</v>
      </c>
      <c r="L7892">
        <v>0</v>
      </c>
      <c r="M7892">
        <v>0</v>
      </c>
      <c r="N7892">
        <v>0</v>
      </c>
      <c r="O7892">
        <v>16</v>
      </c>
    </row>
    <row r="7893" spans="1:15" x14ac:dyDescent="0.25">
      <c r="A7893" t="s">
        <v>1119</v>
      </c>
      <c r="B7893" t="s">
        <v>2777</v>
      </c>
      <c r="C7893" t="s">
        <v>927</v>
      </c>
      <c r="D7893" t="s">
        <v>3052</v>
      </c>
      <c r="E7893" t="s">
        <v>3053</v>
      </c>
      <c r="F7893" t="s">
        <v>744</v>
      </c>
      <c r="G7893" t="s">
        <v>745</v>
      </c>
      <c r="H7893" t="s">
        <v>8304</v>
      </c>
      <c r="I7893">
        <v>88</v>
      </c>
      <c r="J7893">
        <v>44</v>
      </c>
      <c r="K7893">
        <v>0</v>
      </c>
      <c r="L7893">
        <v>29</v>
      </c>
      <c r="M7893">
        <v>0</v>
      </c>
      <c r="N7893">
        <v>0</v>
      </c>
      <c r="O7893">
        <v>15</v>
      </c>
    </row>
    <row r="7894" spans="1:15" x14ac:dyDescent="0.25">
      <c r="A7894" t="s">
        <v>1011</v>
      </c>
      <c r="B7894" t="s">
        <v>2020</v>
      </c>
      <c r="C7894" t="s">
        <v>927</v>
      </c>
      <c r="D7894" t="s">
        <v>3052</v>
      </c>
      <c r="E7894" t="s">
        <v>3053</v>
      </c>
      <c r="F7894" t="s">
        <v>744</v>
      </c>
      <c r="G7894" t="s">
        <v>745</v>
      </c>
      <c r="H7894" t="s">
        <v>8305</v>
      </c>
      <c r="I7894">
        <v>6</v>
      </c>
      <c r="J7894">
        <v>0</v>
      </c>
      <c r="K7894">
        <v>0</v>
      </c>
      <c r="L7894">
        <v>6</v>
      </c>
      <c r="M7894">
        <v>0</v>
      </c>
      <c r="N7894">
        <v>0</v>
      </c>
      <c r="O7894">
        <v>0</v>
      </c>
    </row>
    <row r="7895" spans="1:15" x14ac:dyDescent="0.25">
      <c r="A7895" t="s">
        <v>938</v>
      </c>
      <c r="B7895" t="s">
        <v>2791</v>
      </c>
      <c r="C7895" t="s">
        <v>927</v>
      </c>
      <c r="D7895" t="s">
        <v>3052</v>
      </c>
      <c r="E7895" t="s">
        <v>3053</v>
      </c>
      <c r="F7895" t="s">
        <v>744</v>
      </c>
      <c r="G7895" t="s">
        <v>745</v>
      </c>
      <c r="H7895" t="s">
        <v>8306</v>
      </c>
      <c r="I7895">
        <v>160</v>
      </c>
      <c r="J7895">
        <v>159</v>
      </c>
      <c r="K7895">
        <v>0</v>
      </c>
      <c r="L7895">
        <v>0</v>
      </c>
      <c r="M7895">
        <v>0</v>
      </c>
      <c r="N7895">
        <v>0</v>
      </c>
      <c r="O7895">
        <v>1</v>
      </c>
    </row>
    <row r="7896" spans="1:15" x14ac:dyDescent="0.25">
      <c r="A7896" t="s">
        <v>940</v>
      </c>
      <c r="B7896" t="s">
        <v>2647</v>
      </c>
      <c r="C7896" t="s">
        <v>927</v>
      </c>
      <c r="D7896" t="s">
        <v>3052</v>
      </c>
      <c r="E7896" t="s">
        <v>3053</v>
      </c>
      <c r="F7896" t="s">
        <v>744</v>
      </c>
      <c r="G7896" t="s">
        <v>745</v>
      </c>
      <c r="H7896" t="s">
        <v>8307</v>
      </c>
      <c r="I7896">
        <v>33</v>
      </c>
      <c r="J7896">
        <v>0</v>
      </c>
      <c r="K7896">
        <v>0</v>
      </c>
      <c r="L7896">
        <v>0</v>
      </c>
      <c r="M7896">
        <v>33</v>
      </c>
      <c r="N7896">
        <v>0</v>
      </c>
      <c r="O7896">
        <v>0</v>
      </c>
    </row>
    <row r="7897" spans="1:15" x14ac:dyDescent="0.25">
      <c r="A7897" t="s">
        <v>1025</v>
      </c>
      <c r="B7897" t="s">
        <v>2893</v>
      </c>
      <c r="C7897" t="s">
        <v>927</v>
      </c>
      <c r="D7897" t="s">
        <v>3052</v>
      </c>
      <c r="E7897" t="s">
        <v>3053</v>
      </c>
      <c r="F7897" t="s">
        <v>744</v>
      </c>
      <c r="G7897" t="s">
        <v>745</v>
      </c>
      <c r="H7897" t="s">
        <v>8308</v>
      </c>
      <c r="I7897">
        <v>3</v>
      </c>
      <c r="J7897">
        <v>0</v>
      </c>
      <c r="K7897">
        <v>0</v>
      </c>
      <c r="L7897">
        <v>0</v>
      </c>
      <c r="M7897">
        <v>0</v>
      </c>
      <c r="N7897">
        <v>0</v>
      </c>
      <c r="O7897">
        <v>3</v>
      </c>
    </row>
    <row r="7898" spans="1:15" x14ac:dyDescent="0.25">
      <c r="A7898" t="s">
        <v>943</v>
      </c>
      <c r="B7898" t="s">
        <v>2694</v>
      </c>
      <c r="C7898" t="s">
        <v>927</v>
      </c>
      <c r="D7898" t="s">
        <v>3052</v>
      </c>
      <c r="E7898" t="s">
        <v>3053</v>
      </c>
      <c r="F7898" t="s">
        <v>744</v>
      </c>
      <c r="G7898" t="s">
        <v>745</v>
      </c>
      <c r="H7898" t="s">
        <v>8309</v>
      </c>
      <c r="I7898">
        <v>369</v>
      </c>
      <c r="J7898">
        <v>40</v>
      </c>
      <c r="K7898">
        <v>0</v>
      </c>
      <c r="L7898">
        <v>0</v>
      </c>
      <c r="M7898">
        <v>0</v>
      </c>
      <c r="N7898">
        <v>0</v>
      </c>
      <c r="O7898">
        <v>329</v>
      </c>
    </row>
    <row r="7899" spans="1:15" x14ac:dyDescent="0.25">
      <c r="A7899" t="s">
        <v>1134</v>
      </c>
      <c r="B7899" t="s">
        <v>2118</v>
      </c>
      <c r="C7899" t="s">
        <v>927</v>
      </c>
      <c r="D7899" t="s">
        <v>3052</v>
      </c>
      <c r="E7899" t="s">
        <v>3053</v>
      </c>
      <c r="F7899" t="s">
        <v>744</v>
      </c>
      <c r="G7899" t="s">
        <v>745</v>
      </c>
      <c r="H7899" t="s">
        <v>8310</v>
      </c>
      <c r="I7899">
        <v>197</v>
      </c>
      <c r="J7899">
        <v>104</v>
      </c>
      <c r="K7899">
        <v>0</v>
      </c>
      <c r="L7899">
        <v>0</v>
      </c>
      <c r="M7899">
        <v>0</v>
      </c>
      <c r="N7899">
        <v>0</v>
      </c>
      <c r="O7899">
        <v>93</v>
      </c>
    </row>
    <row r="7900" spans="1:15" x14ac:dyDescent="0.25">
      <c r="A7900" t="s">
        <v>949</v>
      </c>
      <c r="B7900" t="s">
        <v>3035</v>
      </c>
      <c r="C7900" t="s">
        <v>927</v>
      </c>
      <c r="D7900" t="s">
        <v>3052</v>
      </c>
      <c r="E7900" t="s">
        <v>3053</v>
      </c>
      <c r="F7900" t="s">
        <v>744</v>
      </c>
      <c r="G7900" t="s">
        <v>745</v>
      </c>
      <c r="H7900" t="s">
        <v>8311</v>
      </c>
      <c r="I7900">
        <v>2</v>
      </c>
      <c r="J7900">
        <v>0</v>
      </c>
      <c r="K7900">
        <v>0</v>
      </c>
      <c r="L7900">
        <v>0</v>
      </c>
      <c r="M7900">
        <v>0</v>
      </c>
      <c r="N7900">
        <v>0</v>
      </c>
      <c r="O7900">
        <v>2</v>
      </c>
    </row>
    <row r="7901" spans="1:15" x14ac:dyDescent="0.25">
      <c r="A7901" t="s">
        <v>1138</v>
      </c>
      <c r="B7901" t="s">
        <v>2635</v>
      </c>
      <c r="C7901" t="s">
        <v>923</v>
      </c>
      <c r="D7901" t="s">
        <v>3063</v>
      </c>
      <c r="E7901" t="s">
        <v>3053</v>
      </c>
      <c r="F7901" t="s">
        <v>744</v>
      </c>
      <c r="G7901" t="s">
        <v>745</v>
      </c>
      <c r="H7901" t="s">
        <v>11356</v>
      </c>
      <c r="I7901">
        <v>60</v>
      </c>
      <c r="J7901">
        <v>0</v>
      </c>
      <c r="K7901">
        <v>0</v>
      </c>
      <c r="L7901">
        <v>60</v>
      </c>
      <c r="M7901">
        <v>0</v>
      </c>
      <c r="N7901">
        <v>0</v>
      </c>
      <c r="O7901">
        <v>0</v>
      </c>
    </row>
    <row r="7902" spans="1:15" x14ac:dyDescent="0.25">
      <c r="A7902" t="s">
        <v>1140</v>
      </c>
      <c r="B7902" t="s">
        <v>2697</v>
      </c>
      <c r="C7902" t="s">
        <v>927</v>
      </c>
      <c r="D7902" t="s">
        <v>3052</v>
      </c>
      <c r="E7902" t="s">
        <v>3053</v>
      </c>
      <c r="F7902" t="s">
        <v>744</v>
      </c>
      <c r="G7902" t="s">
        <v>745</v>
      </c>
      <c r="H7902" t="s">
        <v>8312</v>
      </c>
      <c r="I7902">
        <v>323</v>
      </c>
      <c r="J7902">
        <v>214</v>
      </c>
      <c r="K7902">
        <v>0</v>
      </c>
      <c r="L7902">
        <v>20</v>
      </c>
      <c r="M7902">
        <v>68</v>
      </c>
      <c r="N7902">
        <v>2</v>
      </c>
      <c r="O7902">
        <v>21</v>
      </c>
    </row>
    <row r="7903" spans="1:15" x14ac:dyDescent="0.25">
      <c r="A7903" t="s">
        <v>1142</v>
      </c>
      <c r="B7903" t="s">
        <v>3003</v>
      </c>
      <c r="C7903" t="s">
        <v>927</v>
      </c>
      <c r="D7903" t="s">
        <v>3052</v>
      </c>
      <c r="E7903" t="s">
        <v>3053</v>
      </c>
      <c r="F7903" t="s">
        <v>744</v>
      </c>
      <c r="G7903" t="s">
        <v>745</v>
      </c>
      <c r="H7903" t="s">
        <v>8313</v>
      </c>
      <c r="I7903">
        <v>12</v>
      </c>
      <c r="J7903">
        <v>12</v>
      </c>
      <c r="K7903">
        <v>0</v>
      </c>
      <c r="L7903">
        <v>0</v>
      </c>
      <c r="M7903">
        <v>0</v>
      </c>
      <c r="N7903">
        <v>0</v>
      </c>
      <c r="O7903">
        <v>0</v>
      </c>
    </row>
    <row r="7904" spans="1:15" x14ac:dyDescent="0.25">
      <c r="A7904" t="s">
        <v>1146</v>
      </c>
      <c r="B7904" t="s">
        <v>2117</v>
      </c>
      <c r="C7904" t="s">
        <v>927</v>
      </c>
      <c r="D7904" t="s">
        <v>3052</v>
      </c>
      <c r="E7904" t="s">
        <v>3053</v>
      </c>
      <c r="F7904" t="s">
        <v>744</v>
      </c>
      <c r="G7904" t="s">
        <v>745</v>
      </c>
      <c r="H7904" t="s">
        <v>15283</v>
      </c>
      <c r="I7904">
        <v>311</v>
      </c>
      <c r="J7904">
        <v>218</v>
      </c>
      <c r="K7904">
        <v>0</v>
      </c>
      <c r="L7904">
        <v>15</v>
      </c>
      <c r="M7904">
        <v>58</v>
      </c>
      <c r="N7904">
        <v>0</v>
      </c>
      <c r="O7904">
        <v>20</v>
      </c>
    </row>
    <row r="7905" spans="1:15" x14ac:dyDescent="0.25">
      <c r="A7905" t="s">
        <v>953</v>
      </c>
      <c r="B7905" t="s">
        <v>2014</v>
      </c>
      <c r="C7905" t="s">
        <v>927</v>
      </c>
      <c r="D7905" t="s">
        <v>3052</v>
      </c>
      <c r="E7905" t="s">
        <v>3053</v>
      </c>
      <c r="F7905" t="s">
        <v>744</v>
      </c>
      <c r="G7905" t="s">
        <v>745</v>
      </c>
      <c r="H7905" t="s">
        <v>8314</v>
      </c>
      <c r="I7905">
        <v>11</v>
      </c>
      <c r="J7905">
        <v>0</v>
      </c>
      <c r="K7905">
        <v>0</v>
      </c>
      <c r="L7905">
        <v>11</v>
      </c>
      <c r="M7905">
        <v>0</v>
      </c>
      <c r="N7905">
        <v>0</v>
      </c>
      <c r="O7905">
        <v>0</v>
      </c>
    </row>
    <row r="7906" spans="1:15" x14ac:dyDescent="0.25">
      <c r="A7906" t="s">
        <v>1154</v>
      </c>
      <c r="B7906" t="s">
        <v>2861</v>
      </c>
      <c r="C7906" t="s">
        <v>927</v>
      </c>
      <c r="D7906" t="s">
        <v>3052</v>
      </c>
      <c r="E7906" t="s">
        <v>3053</v>
      </c>
      <c r="F7906" t="s">
        <v>744</v>
      </c>
      <c r="G7906" t="s">
        <v>745</v>
      </c>
      <c r="H7906" t="s">
        <v>8315</v>
      </c>
      <c r="I7906">
        <v>47</v>
      </c>
      <c r="J7906">
        <v>38</v>
      </c>
      <c r="K7906">
        <v>0</v>
      </c>
      <c r="L7906">
        <v>0</v>
      </c>
      <c r="M7906">
        <v>0</v>
      </c>
      <c r="N7906">
        <v>0</v>
      </c>
      <c r="O7906">
        <v>9</v>
      </c>
    </row>
    <row r="7907" spans="1:15" x14ac:dyDescent="0.25">
      <c r="A7907" t="s">
        <v>1155</v>
      </c>
      <c r="B7907" t="s">
        <v>2912</v>
      </c>
      <c r="C7907" t="s">
        <v>927</v>
      </c>
      <c r="D7907" t="s">
        <v>3052</v>
      </c>
      <c r="E7907" t="s">
        <v>3053</v>
      </c>
      <c r="F7907" t="s">
        <v>744</v>
      </c>
      <c r="G7907" t="s">
        <v>745</v>
      </c>
      <c r="H7907" t="s">
        <v>8316</v>
      </c>
      <c r="I7907">
        <v>2</v>
      </c>
      <c r="J7907">
        <v>0</v>
      </c>
      <c r="K7907">
        <v>0</v>
      </c>
      <c r="L7907">
        <v>0</v>
      </c>
      <c r="M7907">
        <v>0</v>
      </c>
      <c r="N7907">
        <v>0</v>
      </c>
      <c r="O7907">
        <v>2</v>
      </c>
    </row>
    <row r="7908" spans="1:15" x14ac:dyDescent="0.25">
      <c r="A7908" t="s">
        <v>14380</v>
      </c>
      <c r="B7908" t="s">
        <v>2074</v>
      </c>
      <c r="C7908" t="s">
        <v>927</v>
      </c>
      <c r="D7908" t="s">
        <v>3052</v>
      </c>
      <c r="E7908" t="s">
        <v>3053</v>
      </c>
      <c r="F7908" t="s">
        <v>744</v>
      </c>
      <c r="G7908" t="s">
        <v>745</v>
      </c>
      <c r="H7908" t="s">
        <v>15284</v>
      </c>
      <c r="I7908">
        <v>43</v>
      </c>
      <c r="J7908">
        <v>36</v>
      </c>
      <c r="K7908">
        <v>0</v>
      </c>
      <c r="L7908">
        <v>0</v>
      </c>
      <c r="M7908">
        <v>0</v>
      </c>
      <c r="N7908">
        <v>0</v>
      </c>
      <c r="O7908">
        <v>7</v>
      </c>
    </row>
    <row r="7909" spans="1:15" x14ac:dyDescent="0.25">
      <c r="A7909" t="s">
        <v>1069</v>
      </c>
      <c r="B7909" t="s">
        <v>2001</v>
      </c>
      <c r="C7909" t="s">
        <v>927</v>
      </c>
      <c r="D7909" t="s">
        <v>3052</v>
      </c>
      <c r="E7909" t="s">
        <v>3053</v>
      </c>
      <c r="F7909" t="s">
        <v>744</v>
      </c>
      <c r="G7909" t="s">
        <v>745</v>
      </c>
      <c r="H7909" t="s">
        <v>8317</v>
      </c>
      <c r="I7909">
        <v>213</v>
      </c>
      <c r="J7909">
        <v>187</v>
      </c>
      <c r="K7909">
        <v>0</v>
      </c>
      <c r="L7909">
        <v>0</v>
      </c>
      <c r="M7909">
        <v>14</v>
      </c>
      <c r="N7909">
        <v>0</v>
      </c>
      <c r="O7909">
        <v>12</v>
      </c>
    </row>
    <row r="7910" spans="1:15" x14ac:dyDescent="0.25">
      <c r="A7910" t="s">
        <v>1191</v>
      </c>
      <c r="B7910" t="s">
        <v>2398</v>
      </c>
      <c r="C7910" t="s">
        <v>923</v>
      </c>
      <c r="D7910" t="s">
        <v>3063</v>
      </c>
      <c r="E7910" t="s">
        <v>3053</v>
      </c>
      <c r="F7910" t="s">
        <v>744</v>
      </c>
      <c r="G7910" t="s">
        <v>745</v>
      </c>
      <c r="H7910" t="s">
        <v>8318</v>
      </c>
      <c r="I7910">
        <v>94</v>
      </c>
      <c r="J7910">
        <v>94</v>
      </c>
      <c r="K7910">
        <v>0</v>
      </c>
      <c r="L7910">
        <v>0</v>
      </c>
      <c r="M7910">
        <v>0</v>
      </c>
      <c r="N7910">
        <v>0</v>
      </c>
      <c r="O7910">
        <v>0</v>
      </c>
    </row>
    <row r="7911" spans="1:15" x14ac:dyDescent="0.25">
      <c r="A7911" t="s">
        <v>981</v>
      </c>
      <c r="B7911" t="s">
        <v>2985</v>
      </c>
      <c r="C7911" t="s">
        <v>927</v>
      </c>
      <c r="D7911" t="s">
        <v>3052</v>
      </c>
      <c r="E7911" t="s">
        <v>3053</v>
      </c>
      <c r="F7911" t="s">
        <v>744</v>
      </c>
      <c r="G7911" t="s">
        <v>745</v>
      </c>
      <c r="H7911" t="s">
        <v>8299</v>
      </c>
      <c r="I7911">
        <v>1</v>
      </c>
      <c r="J7911">
        <v>1</v>
      </c>
      <c r="K7911">
        <v>0</v>
      </c>
      <c r="L7911">
        <v>0</v>
      </c>
      <c r="M7911">
        <v>0</v>
      </c>
      <c r="N7911">
        <v>0</v>
      </c>
      <c r="O7911">
        <v>0</v>
      </c>
    </row>
    <row r="7912" spans="1:15" x14ac:dyDescent="0.25">
      <c r="A7912" t="s">
        <v>1016</v>
      </c>
      <c r="B7912" t="s">
        <v>2725</v>
      </c>
      <c r="C7912" t="s">
        <v>927</v>
      </c>
      <c r="D7912" t="s">
        <v>3052</v>
      </c>
      <c r="E7912" t="s">
        <v>3053</v>
      </c>
      <c r="F7912" t="s">
        <v>746</v>
      </c>
      <c r="G7912" t="s">
        <v>747</v>
      </c>
      <c r="H7912" t="s">
        <v>8327</v>
      </c>
      <c r="I7912">
        <v>794</v>
      </c>
      <c r="J7912">
        <v>200</v>
      </c>
      <c r="K7912">
        <v>0</v>
      </c>
      <c r="L7912">
        <v>25</v>
      </c>
      <c r="M7912">
        <v>360</v>
      </c>
      <c r="N7912">
        <v>3</v>
      </c>
      <c r="O7912">
        <v>209</v>
      </c>
    </row>
    <row r="7913" spans="1:15" x14ac:dyDescent="0.25">
      <c r="A7913" t="s">
        <v>929</v>
      </c>
      <c r="B7913" t="s">
        <v>2999</v>
      </c>
      <c r="C7913" t="s">
        <v>927</v>
      </c>
      <c r="D7913" t="s">
        <v>3052</v>
      </c>
      <c r="E7913" t="s">
        <v>3053</v>
      </c>
      <c r="F7913" t="s">
        <v>746</v>
      </c>
      <c r="G7913" t="s">
        <v>747</v>
      </c>
      <c r="H7913" t="s">
        <v>8319</v>
      </c>
      <c r="I7913">
        <v>177</v>
      </c>
      <c r="J7913">
        <v>0</v>
      </c>
      <c r="K7913">
        <v>0</v>
      </c>
      <c r="L7913">
        <v>0</v>
      </c>
      <c r="M7913">
        <v>127</v>
      </c>
      <c r="N7913">
        <v>0</v>
      </c>
      <c r="O7913">
        <v>50</v>
      </c>
    </row>
    <row r="7914" spans="1:15" x14ac:dyDescent="0.25">
      <c r="A7914" t="s">
        <v>1454</v>
      </c>
      <c r="B7914" t="s">
        <v>2805</v>
      </c>
      <c r="C7914" t="s">
        <v>927</v>
      </c>
      <c r="D7914" t="s">
        <v>3052</v>
      </c>
      <c r="E7914" t="s">
        <v>3053</v>
      </c>
      <c r="F7914" t="s">
        <v>746</v>
      </c>
      <c r="G7914" t="s">
        <v>747</v>
      </c>
      <c r="H7914" t="s">
        <v>8320</v>
      </c>
      <c r="I7914">
        <v>18</v>
      </c>
      <c r="J7914">
        <v>18</v>
      </c>
      <c r="K7914">
        <v>0</v>
      </c>
      <c r="L7914">
        <v>0</v>
      </c>
      <c r="M7914">
        <v>0</v>
      </c>
      <c r="N7914">
        <v>0</v>
      </c>
      <c r="O7914">
        <v>0</v>
      </c>
    </row>
    <row r="7915" spans="1:15" x14ac:dyDescent="0.25">
      <c r="A7915" t="s">
        <v>1461</v>
      </c>
      <c r="B7915" t="s">
        <v>1927</v>
      </c>
      <c r="C7915" t="s">
        <v>927</v>
      </c>
      <c r="D7915" t="s">
        <v>3052</v>
      </c>
      <c r="E7915" t="s">
        <v>3053</v>
      </c>
      <c r="F7915" t="s">
        <v>746</v>
      </c>
      <c r="G7915" t="s">
        <v>747</v>
      </c>
      <c r="H7915" t="s">
        <v>15285</v>
      </c>
      <c r="I7915">
        <v>29</v>
      </c>
      <c r="J7915">
        <v>29</v>
      </c>
      <c r="K7915">
        <v>0</v>
      </c>
      <c r="L7915">
        <v>0</v>
      </c>
      <c r="M7915">
        <v>0</v>
      </c>
      <c r="N7915">
        <v>0</v>
      </c>
      <c r="O7915">
        <v>0</v>
      </c>
    </row>
    <row r="7916" spans="1:15" x14ac:dyDescent="0.25">
      <c r="A7916" t="s">
        <v>985</v>
      </c>
      <c r="B7916" t="s">
        <v>1964</v>
      </c>
      <c r="C7916" t="s">
        <v>923</v>
      </c>
      <c r="D7916" t="s">
        <v>3063</v>
      </c>
      <c r="E7916" t="s">
        <v>3053</v>
      </c>
      <c r="F7916" t="s">
        <v>746</v>
      </c>
      <c r="G7916" t="s">
        <v>747</v>
      </c>
      <c r="H7916" t="s">
        <v>8321</v>
      </c>
      <c r="I7916">
        <v>57</v>
      </c>
      <c r="J7916">
        <v>0</v>
      </c>
      <c r="K7916">
        <v>0</v>
      </c>
      <c r="L7916">
        <v>57</v>
      </c>
      <c r="M7916">
        <v>0</v>
      </c>
      <c r="N7916">
        <v>0</v>
      </c>
      <c r="O7916">
        <v>0</v>
      </c>
    </row>
    <row r="7917" spans="1:15" x14ac:dyDescent="0.25">
      <c r="A7917" t="s">
        <v>991</v>
      </c>
      <c r="B7917" t="s">
        <v>1976</v>
      </c>
      <c r="C7917" t="s">
        <v>923</v>
      </c>
      <c r="D7917" t="s">
        <v>3063</v>
      </c>
      <c r="E7917" t="s">
        <v>3053</v>
      </c>
      <c r="F7917" t="s">
        <v>746</v>
      </c>
      <c r="G7917" t="s">
        <v>747</v>
      </c>
      <c r="H7917" t="s">
        <v>8322</v>
      </c>
      <c r="I7917">
        <v>20</v>
      </c>
      <c r="J7917">
        <v>0</v>
      </c>
      <c r="K7917">
        <v>0</v>
      </c>
      <c r="L7917">
        <v>20</v>
      </c>
      <c r="M7917">
        <v>0</v>
      </c>
      <c r="N7917">
        <v>0</v>
      </c>
      <c r="O7917">
        <v>0</v>
      </c>
    </row>
    <row r="7918" spans="1:15" x14ac:dyDescent="0.25">
      <c r="A7918" t="s">
        <v>935</v>
      </c>
      <c r="B7918" t="s">
        <v>1960</v>
      </c>
      <c r="C7918" t="s">
        <v>923</v>
      </c>
      <c r="D7918" t="s">
        <v>3063</v>
      </c>
      <c r="E7918" t="s">
        <v>3053</v>
      </c>
      <c r="F7918" t="s">
        <v>746</v>
      </c>
      <c r="G7918" t="s">
        <v>747</v>
      </c>
      <c r="H7918" t="s">
        <v>8323</v>
      </c>
      <c r="I7918">
        <v>8</v>
      </c>
      <c r="J7918">
        <v>0</v>
      </c>
      <c r="K7918">
        <v>0</v>
      </c>
      <c r="L7918">
        <v>8</v>
      </c>
      <c r="M7918">
        <v>0</v>
      </c>
      <c r="N7918">
        <v>0</v>
      </c>
      <c r="O7918">
        <v>0</v>
      </c>
    </row>
    <row r="7919" spans="1:15" x14ac:dyDescent="0.25">
      <c r="A7919" t="s">
        <v>11660</v>
      </c>
      <c r="B7919" t="s">
        <v>2041</v>
      </c>
      <c r="C7919" t="s">
        <v>923</v>
      </c>
      <c r="D7919" t="s">
        <v>3063</v>
      </c>
      <c r="E7919" t="s">
        <v>3053</v>
      </c>
      <c r="F7919" t="s">
        <v>746</v>
      </c>
      <c r="G7919" t="s">
        <v>747</v>
      </c>
      <c r="H7919" t="s">
        <v>12385</v>
      </c>
      <c r="I7919">
        <v>31</v>
      </c>
      <c r="J7919">
        <v>0</v>
      </c>
      <c r="K7919">
        <v>0</v>
      </c>
      <c r="L7919">
        <v>31</v>
      </c>
      <c r="M7919">
        <v>0</v>
      </c>
      <c r="N7919">
        <v>0</v>
      </c>
      <c r="O7919">
        <v>0</v>
      </c>
    </row>
    <row r="7920" spans="1:15" x14ac:dyDescent="0.25">
      <c r="A7920" t="s">
        <v>1416</v>
      </c>
      <c r="B7920" t="s">
        <v>2029</v>
      </c>
      <c r="C7920" t="s">
        <v>923</v>
      </c>
      <c r="D7920" t="s">
        <v>3063</v>
      </c>
      <c r="E7920" t="s">
        <v>3053</v>
      </c>
      <c r="F7920" t="s">
        <v>746</v>
      </c>
      <c r="G7920" t="s">
        <v>747</v>
      </c>
      <c r="H7920" t="s">
        <v>12386</v>
      </c>
      <c r="I7920">
        <v>4</v>
      </c>
      <c r="J7920">
        <v>0</v>
      </c>
      <c r="K7920">
        <v>0</v>
      </c>
      <c r="L7920">
        <v>4</v>
      </c>
      <c r="M7920">
        <v>0</v>
      </c>
      <c r="N7920">
        <v>0</v>
      </c>
      <c r="O7920">
        <v>0</v>
      </c>
    </row>
    <row r="7921" spans="1:15" x14ac:dyDescent="0.25">
      <c r="A7921" t="s">
        <v>10638</v>
      </c>
      <c r="B7921" t="s">
        <v>2057</v>
      </c>
      <c r="C7921" t="s">
        <v>927</v>
      </c>
      <c r="D7921" t="s">
        <v>3052</v>
      </c>
      <c r="E7921" t="s">
        <v>3053</v>
      </c>
      <c r="F7921" t="s">
        <v>746</v>
      </c>
      <c r="G7921" t="s">
        <v>747</v>
      </c>
      <c r="H7921" t="s">
        <v>11357</v>
      </c>
      <c r="I7921">
        <v>14</v>
      </c>
      <c r="J7921">
        <v>0</v>
      </c>
      <c r="K7921">
        <v>0</v>
      </c>
      <c r="L7921">
        <v>14</v>
      </c>
      <c r="M7921">
        <v>0</v>
      </c>
      <c r="N7921">
        <v>0</v>
      </c>
      <c r="O7921">
        <v>0</v>
      </c>
    </row>
    <row r="7922" spans="1:15" x14ac:dyDescent="0.25">
      <c r="A7922" t="s">
        <v>1006</v>
      </c>
      <c r="B7922" t="s">
        <v>2724</v>
      </c>
      <c r="C7922" t="s">
        <v>927</v>
      </c>
      <c r="D7922" t="s">
        <v>3052</v>
      </c>
      <c r="E7922" t="s">
        <v>3053</v>
      </c>
      <c r="F7922" t="s">
        <v>746</v>
      </c>
      <c r="G7922" t="s">
        <v>747</v>
      </c>
      <c r="H7922" t="s">
        <v>10082</v>
      </c>
      <c r="I7922">
        <v>1648</v>
      </c>
      <c r="J7922">
        <v>773</v>
      </c>
      <c r="K7922">
        <v>0</v>
      </c>
      <c r="L7922">
        <v>164</v>
      </c>
      <c r="M7922">
        <v>66</v>
      </c>
      <c r="N7922">
        <v>0</v>
      </c>
      <c r="O7922">
        <v>645</v>
      </c>
    </row>
    <row r="7923" spans="1:15" x14ac:dyDescent="0.25">
      <c r="A7923" t="s">
        <v>1009</v>
      </c>
      <c r="B7923" t="s">
        <v>1958</v>
      </c>
      <c r="C7923" t="s">
        <v>923</v>
      </c>
      <c r="D7923" t="s">
        <v>3063</v>
      </c>
      <c r="E7923" t="s">
        <v>3053</v>
      </c>
      <c r="F7923" t="s">
        <v>746</v>
      </c>
      <c r="G7923" t="s">
        <v>747</v>
      </c>
      <c r="H7923" t="s">
        <v>8324</v>
      </c>
      <c r="I7923">
        <v>29</v>
      </c>
      <c r="J7923">
        <v>0</v>
      </c>
      <c r="K7923">
        <v>0</v>
      </c>
      <c r="L7923">
        <v>29</v>
      </c>
      <c r="M7923">
        <v>0</v>
      </c>
      <c r="N7923">
        <v>0</v>
      </c>
      <c r="O7923">
        <v>0</v>
      </c>
    </row>
    <row r="7924" spans="1:15" x14ac:dyDescent="0.25">
      <c r="A7924" t="s">
        <v>940</v>
      </c>
      <c r="B7924" t="s">
        <v>2647</v>
      </c>
      <c r="C7924" t="s">
        <v>927</v>
      </c>
      <c r="D7924" t="s">
        <v>3052</v>
      </c>
      <c r="E7924" t="s">
        <v>3053</v>
      </c>
      <c r="F7924" t="s">
        <v>746</v>
      </c>
      <c r="G7924" t="s">
        <v>747</v>
      </c>
      <c r="H7924" t="s">
        <v>8325</v>
      </c>
      <c r="I7924">
        <v>80</v>
      </c>
      <c r="J7924">
        <v>13</v>
      </c>
      <c r="K7924">
        <v>0</v>
      </c>
      <c r="L7924">
        <v>0</v>
      </c>
      <c r="M7924">
        <v>67</v>
      </c>
      <c r="N7924">
        <v>0</v>
      </c>
      <c r="O7924">
        <v>0</v>
      </c>
    </row>
    <row r="7925" spans="1:15" x14ac:dyDescent="0.25">
      <c r="A7925" t="s">
        <v>1013</v>
      </c>
      <c r="B7925" t="s">
        <v>1959</v>
      </c>
      <c r="C7925" t="s">
        <v>927</v>
      </c>
      <c r="D7925" t="s">
        <v>3052</v>
      </c>
      <c r="E7925" t="s">
        <v>3053</v>
      </c>
      <c r="F7925" t="s">
        <v>746</v>
      </c>
      <c r="G7925" t="s">
        <v>747</v>
      </c>
      <c r="H7925" t="s">
        <v>11358</v>
      </c>
      <c r="I7925">
        <v>18</v>
      </c>
      <c r="J7925">
        <v>0</v>
      </c>
      <c r="K7925">
        <v>0</v>
      </c>
      <c r="L7925">
        <v>18</v>
      </c>
      <c r="M7925">
        <v>0</v>
      </c>
      <c r="N7925">
        <v>0</v>
      </c>
      <c r="O7925">
        <v>0</v>
      </c>
    </row>
    <row r="7926" spans="1:15" x14ac:dyDescent="0.25">
      <c r="A7926" t="s">
        <v>1495</v>
      </c>
      <c r="B7926" t="s">
        <v>2648</v>
      </c>
      <c r="C7926" t="s">
        <v>927</v>
      </c>
      <c r="D7926" t="s">
        <v>3052</v>
      </c>
      <c r="E7926" t="s">
        <v>3053</v>
      </c>
      <c r="F7926" t="s">
        <v>746</v>
      </c>
      <c r="G7926" t="s">
        <v>747</v>
      </c>
      <c r="H7926" t="s">
        <v>8326</v>
      </c>
      <c r="I7926">
        <v>59</v>
      </c>
      <c r="J7926">
        <v>1</v>
      </c>
      <c r="K7926">
        <v>0</v>
      </c>
      <c r="L7926">
        <v>0</v>
      </c>
      <c r="M7926">
        <v>55</v>
      </c>
      <c r="N7926">
        <v>0</v>
      </c>
      <c r="O7926">
        <v>3</v>
      </c>
    </row>
    <row r="7927" spans="1:15" x14ac:dyDescent="0.25">
      <c r="A7927" t="s">
        <v>9819</v>
      </c>
      <c r="B7927" t="s">
        <v>2916</v>
      </c>
      <c r="C7927" t="s">
        <v>927</v>
      </c>
      <c r="D7927" t="s">
        <v>3052</v>
      </c>
      <c r="E7927" t="s">
        <v>3053</v>
      </c>
      <c r="F7927" t="s">
        <v>746</v>
      </c>
      <c r="G7927" t="s">
        <v>747</v>
      </c>
      <c r="H7927" t="s">
        <v>10148</v>
      </c>
      <c r="I7927">
        <v>8</v>
      </c>
      <c r="J7927">
        <v>8</v>
      </c>
      <c r="K7927">
        <v>0</v>
      </c>
      <c r="L7927">
        <v>0</v>
      </c>
      <c r="M7927">
        <v>0</v>
      </c>
      <c r="N7927">
        <v>0</v>
      </c>
      <c r="O7927">
        <v>0</v>
      </c>
    </row>
    <row r="7928" spans="1:15" x14ac:dyDescent="0.25">
      <c r="A7928" t="s">
        <v>9820</v>
      </c>
      <c r="B7928" t="s">
        <v>3017</v>
      </c>
      <c r="C7928" t="s">
        <v>927</v>
      </c>
      <c r="D7928" t="s">
        <v>3052</v>
      </c>
      <c r="E7928" t="s">
        <v>3053</v>
      </c>
      <c r="F7928" t="s">
        <v>746</v>
      </c>
      <c r="G7928" t="s">
        <v>747</v>
      </c>
      <c r="H7928" t="s">
        <v>10155</v>
      </c>
      <c r="I7928">
        <v>34</v>
      </c>
      <c r="J7928">
        <v>0</v>
      </c>
      <c r="K7928">
        <v>0</v>
      </c>
      <c r="L7928">
        <v>0</v>
      </c>
      <c r="M7928">
        <v>34</v>
      </c>
      <c r="N7928">
        <v>0</v>
      </c>
      <c r="O7928">
        <v>0</v>
      </c>
    </row>
    <row r="7929" spans="1:15" x14ac:dyDescent="0.25">
      <c r="A7929" t="s">
        <v>1020</v>
      </c>
      <c r="B7929" t="s">
        <v>2104</v>
      </c>
      <c r="C7929" t="s">
        <v>923</v>
      </c>
      <c r="D7929" t="s">
        <v>3063</v>
      </c>
      <c r="E7929" t="s">
        <v>3053</v>
      </c>
      <c r="F7929" t="s">
        <v>746</v>
      </c>
      <c r="G7929" t="s">
        <v>747</v>
      </c>
      <c r="H7929" t="s">
        <v>8328</v>
      </c>
      <c r="I7929">
        <v>3</v>
      </c>
      <c r="J7929">
        <v>0</v>
      </c>
      <c r="K7929">
        <v>0</v>
      </c>
      <c r="L7929">
        <v>3</v>
      </c>
      <c r="M7929">
        <v>0</v>
      </c>
      <c r="N7929">
        <v>0</v>
      </c>
      <c r="O7929">
        <v>0</v>
      </c>
    </row>
    <row r="7930" spans="1:15" x14ac:dyDescent="0.25">
      <c r="A7930" t="s">
        <v>1025</v>
      </c>
      <c r="B7930" t="s">
        <v>2893</v>
      </c>
      <c r="C7930" t="s">
        <v>927</v>
      </c>
      <c r="D7930" t="s">
        <v>3052</v>
      </c>
      <c r="E7930" t="s">
        <v>3053</v>
      </c>
      <c r="F7930" t="s">
        <v>746</v>
      </c>
      <c r="G7930" t="s">
        <v>747</v>
      </c>
      <c r="H7930" t="s">
        <v>12387</v>
      </c>
      <c r="I7930">
        <v>11</v>
      </c>
      <c r="J7930">
        <v>11</v>
      </c>
      <c r="K7930">
        <v>0</v>
      </c>
      <c r="L7930">
        <v>0</v>
      </c>
      <c r="M7930">
        <v>0</v>
      </c>
      <c r="N7930">
        <v>0</v>
      </c>
      <c r="O7930">
        <v>0</v>
      </c>
    </row>
    <row r="7931" spans="1:15" x14ac:dyDescent="0.25">
      <c r="A7931" t="s">
        <v>1516</v>
      </c>
      <c r="B7931" t="s">
        <v>2098</v>
      </c>
      <c r="C7931" t="s">
        <v>927</v>
      </c>
      <c r="D7931" t="s">
        <v>3052</v>
      </c>
      <c r="E7931" t="s">
        <v>3053</v>
      </c>
      <c r="F7931" t="s">
        <v>746</v>
      </c>
      <c r="G7931" t="s">
        <v>747</v>
      </c>
      <c r="H7931" t="s">
        <v>8329</v>
      </c>
      <c r="I7931">
        <v>1154</v>
      </c>
      <c r="J7931">
        <v>1087</v>
      </c>
      <c r="K7931">
        <v>0</v>
      </c>
      <c r="L7931">
        <v>7</v>
      </c>
      <c r="M7931">
        <v>0</v>
      </c>
      <c r="N7931">
        <v>0</v>
      </c>
      <c r="O7931">
        <v>60</v>
      </c>
    </row>
    <row r="7932" spans="1:15" x14ac:dyDescent="0.25">
      <c r="A7932" t="s">
        <v>1031</v>
      </c>
      <c r="B7932" t="s">
        <v>2779</v>
      </c>
      <c r="C7932" t="s">
        <v>927</v>
      </c>
      <c r="D7932" t="s">
        <v>3052</v>
      </c>
      <c r="E7932" t="s">
        <v>3053</v>
      </c>
      <c r="F7932" t="s">
        <v>746</v>
      </c>
      <c r="G7932" t="s">
        <v>747</v>
      </c>
      <c r="H7932" t="s">
        <v>8330</v>
      </c>
      <c r="I7932">
        <v>19</v>
      </c>
      <c r="J7932">
        <v>19</v>
      </c>
      <c r="K7932">
        <v>0</v>
      </c>
      <c r="L7932">
        <v>0</v>
      </c>
      <c r="M7932">
        <v>0</v>
      </c>
      <c r="N7932">
        <v>0</v>
      </c>
      <c r="O7932">
        <v>0</v>
      </c>
    </row>
    <row r="7933" spans="1:15" x14ac:dyDescent="0.25">
      <c r="A7933" t="s">
        <v>1521</v>
      </c>
      <c r="B7933" t="s">
        <v>2920</v>
      </c>
      <c r="C7933" t="s">
        <v>927</v>
      </c>
      <c r="D7933" t="s">
        <v>3052</v>
      </c>
      <c r="E7933" t="s">
        <v>3053</v>
      </c>
      <c r="F7933" t="s">
        <v>746</v>
      </c>
      <c r="G7933" t="s">
        <v>747</v>
      </c>
      <c r="H7933" t="s">
        <v>11359</v>
      </c>
      <c r="I7933">
        <v>847</v>
      </c>
      <c r="J7933">
        <v>459</v>
      </c>
      <c r="K7933">
        <v>0</v>
      </c>
      <c r="L7933">
        <v>92</v>
      </c>
      <c r="M7933">
        <v>168</v>
      </c>
      <c r="N7933">
        <v>0</v>
      </c>
      <c r="O7933">
        <v>128</v>
      </c>
    </row>
    <row r="7934" spans="1:15" x14ac:dyDescent="0.25">
      <c r="A7934" t="s">
        <v>1046</v>
      </c>
      <c r="B7934" t="s">
        <v>2027</v>
      </c>
      <c r="C7934" t="s">
        <v>923</v>
      </c>
      <c r="D7934" t="s">
        <v>3063</v>
      </c>
      <c r="E7934" t="s">
        <v>3053</v>
      </c>
      <c r="F7934" t="s">
        <v>746</v>
      </c>
      <c r="G7934" t="s">
        <v>747</v>
      </c>
      <c r="H7934" t="s">
        <v>10300</v>
      </c>
      <c r="I7934">
        <v>21</v>
      </c>
      <c r="J7934">
        <v>0</v>
      </c>
      <c r="K7934">
        <v>0</v>
      </c>
      <c r="L7934">
        <v>21</v>
      </c>
      <c r="M7934">
        <v>0</v>
      </c>
      <c r="N7934">
        <v>0</v>
      </c>
      <c r="O7934">
        <v>0</v>
      </c>
    </row>
    <row r="7935" spans="1:15" x14ac:dyDescent="0.25">
      <c r="A7935" t="s">
        <v>951</v>
      </c>
      <c r="B7935" t="s">
        <v>2680</v>
      </c>
      <c r="C7935" t="s">
        <v>927</v>
      </c>
      <c r="D7935" t="s">
        <v>3052</v>
      </c>
      <c r="E7935" t="s">
        <v>3053</v>
      </c>
      <c r="F7935" t="s">
        <v>746</v>
      </c>
      <c r="G7935" t="s">
        <v>747</v>
      </c>
      <c r="H7935" t="s">
        <v>8331</v>
      </c>
      <c r="I7935">
        <v>13</v>
      </c>
      <c r="J7935">
        <v>10</v>
      </c>
      <c r="K7935">
        <v>0</v>
      </c>
      <c r="L7935">
        <v>0</v>
      </c>
      <c r="M7935">
        <v>0</v>
      </c>
      <c r="N7935">
        <v>0</v>
      </c>
      <c r="O7935">
        <v>3</v>
      </c>
    </row>
    <row r="7936" spans="1:15" x14ac:dyDescent="0.25">
      <c r="A7936" t="s">
        <v>1048</v>
      </c>
      <c r="B7936" t="s">
        <v>2989</v>
      </c>
      <c r="C7936" t="s">
        <v>927</v>
      </c>
      <c r="D7936" t="s">
        <v>3052</v>
      </c>
      <c r="E7936" t="s">
        <v>3053</v>
      </c>
      <c r="F7936" t="s">
        <v>746</v>
      </c>
      <c r="G7936" t="s">
        <v>747</v>
      </c>
      <c r="H7936" t="s">
        <v>8332</v>
      </c>
      <c r="I7936">
        <v>32</v>
      </c>
      <c r="J7936">
        <v>0</v>
      </c>
      <c r="K7936">
        <v>0</v>
      </c>
      <c r="L7936">
        <v>32</v>
      </c>
      <c r="M7936">
        <v>0</v>
      </c>
      <c r="N7936">
        <v>0</v>
      </c>
      <c r="O7936">
        <v>0</v>
      </c>
    </row>
    <row r="7937" spans="1:15" x14ac:dyDescent="0.25">
      <c r="A7937" t="s">
        <v>1051</v>
      </c>
      <c r="B7937" t="s">
        <v>2995</v>
      </c>
      <c r="C7937" t="s">
        <v>927</v>
      </c>
      <c r="D7937" t="s">
        <v>3052</v>
      </c>
      <c r="E7937" t="s">
        <v>3053</v>
      </c>
      <c r="F7937" t="s">
        <v>746</v>
      </c>
      <c r="G7937" t="s">
        <v>747</v>
      </c>
      <c r="H7937" t="s">
        <v>8333</v>
      </c>
      <c r="I7937">
        <v>20</v>
      </c>
      <c r="J7937">
        <v>0</v>
      </c>
      <c r="K7937">
        <v>0</v>
      </c>
      <c r="L7937">
        <v>20</v>
      </c>
      <c r="M7937">
        <v>0</v>
      </c>
      <c r="N7937">
        <v>0</v>
      </c>
      <c r="O7937">
        <v>0</v>
      </c>
    </row>
    <row r="7938" spans="1:15" x14ac:dyDescent="0.25">
      <c r="A7938" t="s">
        <v>9788</v>
      </c>
      <c r="B7938" t="s">
        <v>9871</v>
      </c>
      <c r="C7938" t="s">
        <v>927</v>
      </c>
      <c r="D7938" t="s">
        <v>3052</v>
      </c>
      <c r="E7938" t="s">
        <v>3053</v>
      </c>
      <c r="F7938" t="s">
        <v>746</v>
      </c>
      <c r="G7938" t="s">
        <v>747</v>
      </c>
      <c r="H7938" t="s">
        <v>10378</v>
      </c>
      <c r="I7938">
        <v>12</v>
      </c>
      <c r="J7938">
        <v>12</v>
      </c>
      <c r="K7938">
        <v>0</v>
      </c>
      <c r="L7938">
        <v>0</v>
      </c>
      <c r="M7938">
        <v>0</v>
      </c>
      <c r="N7938">
        <v>0</v>
      </c>
      <c r="O7938">
        <v>0</v>
      </c>
    </row>
    <row r="7939" spans="1:15" x14ac:dyDescent="0.25">
      <c r="A7939" t="s">
        <v>14374</v>
      </c>
      <c r="B7939" t="s">
        <v>1943</v>
      </c>
      <c r="C7939" t="s">
        <v>927</v>
      </c>
      <c r="D7939" t="s">
        <v>3052</v>
      </c>
      <c r="E7939" t="s">
        <v>3053</v>
      </c>
      <c r="F7939" t="s">
        <v>746</v>
      </c>
      <c r="G7939" t="s">
        <v>747</v>
      </c>
      <c r="H7939" t="s">
        <v>15286</v>
      </c>
      <c r="I7939">
        <v>15</v>
      </c>
      <c r="J7939">
        <v>0</v>
      </c>
      <c r="K7939">
        <v>0</v>
      </c>
      <c r="L7939">
        <v>0</v>
      </c>
      <c r="M7939">
        <v>0</v>
      </c>
      <c r="N7939">
        <v>0</v>
      </c>
      <c r="O7939">
        <v>15</v>
      </c>
    </row>
    <row r="7940" spans="1:15" x14ac:dyDescent="0.25">
      <c r="A7940" t="s">
        <v>1545</v>
      </c>
      <c r="B7940" t="s">
        <v>1938</v>
      </c>
      <c r="C7940" t="s">
        <v>923</v>
      </c>
      <c r="D7940" t="s">
        <v>3063</v>
      </c>
      <c r="E7940" t="s">
        <v>3053</v>
      </c>
      <c r="F7940" t="s">
        <v>746</v>
      </c>
      <c r="G7940" t="s">
        <v>747</v>
      </c>
      <c r="H7940" t="s">
        <v>8334</v>
      </c>
      <c r="I7940">
        <v>529</v>
      </c>
      <c r="J7940">
        <v>511</v>
      </c>
      <c r="K7940">
        <v>0</v>
      </c>
      <c r="L7940">
        <v>18</v>
      </c>
      <c r="M7940">
        <v>0</v>
      </c>
      <c r="N7940">
        <v>0</v>
      </c>
      <c r="O7940">
        <v>0</v>
      </c>
    </row>
    <row r="7941" spans="1:15" x14ac:dyDescent="0.25">
      <c r="A7941" t="s">
        <v>1066</v>
      </c>
      <c r="B7941" t="s">
        <v>2557</v>
      </c>
      <c r="C7941" t="s">
        <v>927</v>
      </c>
      <c r="D7941" t="s">
        <v>3052</v>
      </c>
      <c r="E7941" t="s">
        <v>3053</v>
      </c>
      <c r="F7941" t="s">
        <v>746</v>
      </c>
      <c r="G7941" t="s">
        <v>747</v>
      </c>
      <c r="H7941" t="s">
        <v>8335</v>
      </c>
      <c r="I7941">
        <v>21</v>
      </c>
      <c r="J7941">
        <v>0</v>
      </c>
      <c r="K7941">
        <v>0</v>
      </c>
      <c r="L7941">
        <v>0</v>
      </c>
      <c r="M7941">
        <v>21</v>
      </c>
      <c r="N7941">
        <v>0</v>
      </c>
      <c r="O7941">
        <v>0</v>
      </c>
    </row>
    <row r="7942" spans="1:15" x14ac:dyDescent="0.25">
      <c r="A7942" t="s">
        <v>1069</v>
      </c>
      <c r="B7942" t="s">
        <v>2001</v>
      </c>
      <c r="C7942" t="s">
        <v>927</v>
      </c>
      <c r="D7942" t="s">
        <v>3052</v>
      </c>
      <c r="E7942" t="s">
        <v>3053</v>
      </c>
      <c r="F7942" t="s">
        <v>746</v>
      </c>
      <c r="G7942" t="s">
        <v>747</v>
      </c>
      <c r="H7942" t="s">
        <v>8336</v>
      </c>
      <c r="I7942">
        <v>1228</v>
      </c>
      <c r="J7942">
        <v>864</v>
      </c>
      <c r="K7942">
        <v>0</v>
      </c>
      <c r="L7942">
        <v>11</v>
      </c>
      <c r="M7942">
        <v>217</v>
      </c>
      <c r="N7942">
        <v>0</v>
      </c>
      <c r="O7942">
        <v>136</v>
      </c>
    </row>
    <row r="7943" spans="1:15" x14ac:dyDescent="0.25">
      <c r="A7943" t="s">
        <v>1072</v>
      </c>
      <c r="B7943" t="s">
        <v>2907</v>
      </c>
      <c r="C7943" t="s">
        <v>927</v>
      </c>
      <c r="D7943" t="s">
        <v>3052</v>
      </c>
      <c r="E7943" t="s">
        <v>3053</v>
      </c>
      <c r="F7943" t="s">
        <v>746</v>
      </c>
      <c r="G7943" t="s">
        <v>747</v>
      </c>
      <c r="H7943" t="s">
        <v>8337</v>
      </c>
      <c r="I7943">
        <v>38</v>
      </c>
      <c r="J7943">
        <v>0</v>
      </c>
      <c r="K7943">
        <v>0</v>
      </c>
      <c r="L7943">
        <v>0</v>
      </c>
      <c r="M7943">
        <v>38</v>
      </c>
      <c r="N7943">
        <v>0</v>
      </c>
      <c r="O7943">
        <v>0</v>
      </c>
    </row>
    <row r="7944" spans="1:15" x14ac:dyDescent="0.25">
      <c r="A7944" t="s">
        <v>1083</v>
      </c>
      <c r="B7944" t="s">
        <v>2757</v>
      </c>
      <c r="C7944" t="s">
        <v>927</v>
      </c>
      <c r="D7944" t="s">
        <v>3052</v>
      </c>
      <c r="E7944" t="s">
        <v>3053</v>
      </c>
      <c r="F7944" t="s">
        <v>746</v>
      </c>
      <c r="G7944" t="s">
        <v>747</v>
      </c>
      <c r="H7944" t="s">
        <v>8338</v>
      </c>
      <c r="I7944">
        <v>1011</v>
      </c>
      <c r="J7944">
        <v>810</v>
      </c>
      <c r="K7944">
        <v>0</v>
      </c>
      <c r="L7944">
        <v>28</v>
      </c>
      <c r="M7944">
        <v>88</v>
      </c>
      <c r="N7944">
        <v>0</v>
      </c>
      <c r="O7944">
        <v>85</v>
      </c>
    </row>
    <row r="7945" spans="1:15" x14ac:dyDescent="0.25">
      <c r="A7945" t="s">
        <v>971</v>
      </c>
      <c r="B7945" t="s">
        <v>2956</v>
      </c>
      <c r="C7945" t="s">
        <v>927</v>
      </c>
      <c r="D7945" t="s">
        <v>3052</v>
      </c>
      <c r="E7945" t="s">
        <v>3053</v>
      </c>
      <c r="F7945" t="s">
        <v>748</v>
      </c>
      <c r="G7945" t="s">
        <v>749</v>
      </c>
      <c r="H7945" t="s">
        <v>8339</v>
      </c>
      <c r="I7945">
        <v>688</v>
      </c>
      <c r="J7945">
        <v>525</v>
      </c>
      <c r="K7945">
        <v>0</v>
      </c>
      <c r="L7945">
        <v>0</v>
      </c>
      <c r="M7945">
        <v>161</v>
      </c>
      <c r="N7945">
        <v>0</v>
      </c>
      <c r="O7945">
        <v>2</v>
      </c>
    </row>
    <row r="7946" spans="1:15" x14ac:dyDescent="0.25">
      <c r="A7946" t="s">
        <v>929</v>
      </c>
      <c r="B7946" t="s">
        <v>2999</v>
      </c>
      <c r="C7946" t="s">
        <v>927</v>
      </c>
      <c r="D7946" t="s">
        <v>3052</v>
      </c>
      <c r="E7946" t="s">
        <v>3053</v>
      </c>
      <c r="F7946" t="s">
        <v>748</v>
      </c>
      <c r="G7946" t="s">
        <v>749</v>
      </c>
      <c r="H7946" t="s">
        <v>8340</v>
      </c>
      <c r="I7946">
        <v>196</v>
      </c>
      <c r="J7946">
        <v>0</v>
      </c>
      <c r="K7946">
        <v>0</v>
      </c>
      <c r="L7946">
        <v>0</v>
      </c>
      <c r="M7946">
        <v>196</v>
      </c>
      <c r="N7946">
        <v>0</v>
      </c>
      <c r="O7946">
        <v>0</v>
      </c>
    </row>
    <row r="7947" spans="1:15" x14ac:dyDescent="0.25">
      <c r="A7947" t="s">
        <v>978</v>
      </c>
      <c r="B7947" t="s">
        <v>1999</v>
      </c>
      <c r="C7947" t="s">
        <v>923</v>
      </c>
      <c r="D7947" t="s">
        <v>3063</v>
      </c>
      <c r="E7947" t="s">
        <v>3053</v>
      </c>
      <c r="F7947" t="s">
        <v>748</v>
      </c>
      <c r="G7947" t="s">
        <v>749</v>
      </c>
      <c r="H7947" t="s">
        <v>8341</v>
      </c>
      <c r="I7947">
        <v>1</v>
      </c>
      <c r="J7947">
        <v>1</v>
      </c>
      <c r="K7947">
        <v>0</v>
      </c>
      <c r="L7947">
        <v>0</v>
      </c>
      <c r="M7947">
        <v>0</v>
      </c>
      <c r="N7947">
        <v>0</v>
      </c>
      <c r="O7947">
        <v>0</v>
      </c>
    </row>
    <row r="7948" spans="1:15" x14ac:dyDescent="0.25">
      <c r="A7948" t="s">
        <v>1406</v>
      </c>
      <c r="B7948" t="s">
        <v>2134</v>
      </c>
      <c r="C7948" t="s">
        <v>927</v>
      </c>
      <c r="D7948" t="s">
        <v>3052</v>
      </c>
      <c r="E7948" t="s">
        <v>3053</v>
      </c>
      <c r="F7948" t="s">
        <v>748</v>
      </c>
      <c r="G7948" t="s">
        <v>749</v>
      </c>
      <c r="H7948" t="s">
        <v>8342</v>
      </c>
      <c r="I7948">
        <v>51</v>
      </c>
      <c r="J7948">
        <v>51</v>
      </c>
      <c r="K7948">
        <v>0</v>
      </c>
      <c r="L7948">
        <v>0</v>
      </c>
      <c r="M7948">
        <v>0</v>
      </c>
      <c r="N7948">
        <v>0</v>
      </c>
      <c r="O7948">
        <v>0</v>
      </c>
    </row>
    <row r="7949" spans="1:15" x14ac:dyDescent="0.25">
      <c r="A7949" t="s">
        <v>1407</v>
      </c>
      <c r="B7949" t="s">
        <v>2109</v>
      </c>
      <c r="C7949" t="s">
        <v>927</v>
      </c>
      <c r="D7949" t="s">
        <v>3052</v>
      </c>
      <c r="E7949" t="s">
        <v>3053</v>
      </c>
      <c r="F7949" t="s">
        <v>748</v>
      </c>
      <c r="G7949" t="s">
        <v>749</v>
      </c>
      <c r="H7949" t="s">
        <v>8343</v>
      </c>
      <c r="I7949">
        <v>8</v>
      </c>
      <c r="J7949">
        <v>1</v>
      </c>
      <c r="K7949">
        <v>0</v>
      </c>
      <c r="L7949">
        <v>7</v>
      </c>
      <c r="M7949">
        <v>0</v>
      </c>
      <c r="N7949">
        <v>0</v>
      </c>
      <c r="O7949">
        <v>0</v>
      </c>
    </row>
    <row r="7950" spans="1:15" x14ac:dyDescent="0.25">
      <c r="A7950" t="s">
        <v>1408</v>
      </c>
      <c r="B7950" t="s">
        <v>3028</v>
      </c>
      <c r="C7950" t="s">
        <v>927</v>
      </c>
      <c r="D7950" t="s">
        <v>3052</v>
      </c>
      <c r="E7950" t="s">
        <v>3053</v>
      </c>
      <c r="F7950" t="s">
        <v>748</v>
      </c>
      <c r="G7950" t="s">
        <v>749</v>
      </c>
      <c r="H7950" t="s">
        <v>8344</v>
      </c>
      <c r="I7950">
        <v>115</v>
      </c>
      <c r="J7950">
        <v>97</v>
      </c>
      <c r="K7950">
        <v>0</v>
      </c>
      <c r="L7950">
        <v>0</v>
      </c>
      <c r="M7950">
        <v>0</v>
      </c>
      <c r="N7950">
        <v>0</v>
      </c>
      <c r="O7950">
        <v>18</v>
      </c>
    </row>
    <row r="7951" spans="1:15" x14ac:dyDescent="0.25">
      <c r="A7951" t="s">
        <v>1411</v>
      </c>
      <c r="B7951" t="s">
        <v>2993</v>
      </c>
      <c r="C7951" t="s">
        <v>927</v>
      </c>
      <c r="D7951" t="s">
        <v>3052</v>
      </c>
      <c r="E7951" t="s">
        <v>3053</v>
      </c>
      <c r="F7951" t="s">
        <v>748</v>
      </c>
      <c r="G7951" t="s">
        <v>749</v>
      </c>
      <c r="H7951" t="s">
        <v>12388</v>
      </c>
      <c r="I7951">
        <v>39</v>
      </c>
      <c r="J7951">
        <v>9</v>
      </c>
      <c r="K7951">
        <v>0</v>
      </c>
      <c r="L7951">
        <v>0</v>
      </c>
      <c r="M7951">
        <v>0</v>
      </c>
      <c r="N7951">
        <v>0</v>
      </c>
      <c r="O7951">
        <v>30</v>
      </c>
    </row>
    <row r="7952" spans="1:15" x14ac:dyDescent="0.25">
      <c r="A7952" t="s">
        <v>985</v>
      </c>
      <c r="B7952" t="s">
        <v>1964</v>
      </c>
      <c r="C7952" t="s">
        <v>923</v>
      </c>
      <c r="D7952" t="s">
        <v>3063</v>
      </c>
      <c r="E7952" t="s">
        <v>3053</v>
      </c>
      <c r="F7952" t="s">
        <v>748</v>
      </c>
      <c r="G7952" t="s">
        <v>749</v>
      </c>
      <c r="H7952" t="s">
        <v>10023</v>
      </c>
      <c r="I7952">
        <v>23</v>
      </c>
      <c r="J7952">
        <v>0</v>
      </c>
      <c r="K7952">
        <v>0</v>
      </c>
      <c r="L7952">
        <v>23</v>
      </c>
      <c r="M7952">
        <v>0</v>
      </c>
      <c r="N7952">
        <v>0</v>
      </c>
      <c r="O7952">
        <v>0</v>
      </c>
    </row>
    <row r="7953" spans="1:15" x14ac:dyDescent="0.25">
      <c r="A7953" t="s">
        <v>991</v>
      </c>
      <c r="B7953" t="s">
        <v>1976</v>
      </c>
      <c r="C7953" t="s">
        <v>923</v>
      </c>
      <c r="D7953" t="s">
        <v>3063</v>
      </c>
      <c r="E7953" t="s">
        <v>3053</v>
      </c>
      <c r="F7953" t="s">
        <v>748</v>
      </c>
      <c r="G7953" t="s">
        <v>749</v>
      </c>
      <c r="H7953" t="s">
        <v>8345</v>
      </c>
      <c r="I7953">
        <v>18</v>
      </c>
      <c r="J7953">
        <v>0</v>
      </c>
      <c r="K7953">
        <v>0</v>
      </c>
      <c r="L7953">
        <v>18</v>
      </c>
      <c r="M7953">
        <v>0</v>
      </c>
      <c r="N7953">
        <v>0</v>
      </c>
      <c r="O7953">
        <v>0</v>
      </c>
    </row>
    <row r="7954" spans="1:15" x14ac:dyDescent="0.25">
      <c r="A7954" t="s">
        <v>996</v>
      </c>
      <c r="B7954" t="s">
        <v>1952</v>
      </c>
      <c r="C7954" t="s">
        <v>923</v>
      </c>
      <c r="D7954" t="s">
        <v>3063</v>
      </c>
      <c r="E7954" t="s">
        <v>3053</v>
      </c>
      <c r="F7954" t="s">
        <v>748</v>
      </c>
      <c r="G7954" t="s">
        <v>749</v>
      </c>
      <c r="H7954" t="s">
        <v>8346</v>
      </c>
      <c r="I7954">
        <v>4</v>
      </c>
      <c r="J7954">
        <v>0</v>
      </c>
      <c r="K7954">
        <v>0</v>
      </c>
      <c r="L7954">
        <v>4</v>
      </c>
      <c r="M7954">
        <v>0</v>
      </c>
      <c r="N7954">
        <v>0</v>
      </c>
      <c r="O7954">
        <v>0</v>
      </c>
    </row>
    <row r="7955" spans="1:15" x14ac:dyDescent="0.25">
      <c r="A7955" t="s">
        <v>1008</v>
      </c>
      <c r="B7955" t="s">
        <v>2928</v>
      </c>
      <c r="C7955" t="s">
        <v>927</v>
      </c>
      <c r="D7955" t="s">
        <v>3052</v>
      </c>
      <c r="E7955" t="s">
        <v>3053</v>
      </c>
      <c r="F7955" t="s">
        <v>748</v>
      </c>
      <c r="G7955" t="s">
        <v>749</v>
      </c>
      <c r="H7955" t="s">
        <v>8347</v>
      </c>
      <c r="I7955">
        <v>130</v>
      </c>
      <c r="J7955">
        <v>89</v>
      </c>
      <c r="K7955">
        <v>0</v>
      </c>
      <c r="L7955">
        <v>33</v>
      </c>
      <c r="M7955">
        <v>8</v>
      </c>
      <c r="N7955">
        <v>1</v>
      </c>
      <c r="O7955">
        <v>0</v>
      </c>
    </row>
    <row r="7956" spans="1:15" x14ac:dyDescent="0.25">
      <c r="A7956" t="s">
        <v>1419</v>
      </c>
      <c r="B7956" t="s">
        <v>2013</v>
      </c>
      <c r="C7956" t="s">
        <v>923</v>
      </c>
      <c r="D7956" t="s">
        <v>3063</v>
      </c>
      <c r="E7956" t="s">
        <v>3053</v>
      </c>
      <c r="F7956" t="s">
        <v>748</v>
      </c>
      <c r="G7956" t="s">
        <v>749</v>
      </c>
      <c r="H7956" t="s">
        <v>8348</v>
      </c>
      <c r="I7956">
        <v>152</v>
      </c>
      <c r="J7956">
        <v>152</v>
      </c>
      <c r="K7956">
        <v>0</v>
      </c>
      <c r="L7956">
        <v>0</v>
      </c>
      <c r="M7956">
        <v>0</v>
      </c>
      <c r="N7956">
        <v>0</v>
      </c>
      <c r="O7956">
        <v>0</v>
      </c>
    </row>
    <row r="7957" spans="1:15" x14ac:dyDescent="0.25">
      <c r="A7957" t="s">
        <v>937</v>
      </c>
      <c r="B7957" t="s">
        <v>1962</v>
      </c>
      <c r="C7957" t="s">
        <v>927</v>
      </c>
      <c r="D7957" t="s">
        <v>3052</v>
      </c>
      <c r="E7957" t="s">
        <v>3053</v>
      </c>
      <c r="F7957" t="s">
        <v>748</v>
      </c>
      <c r="G7957" t="s">
        <v>749</v>
      </c>
      <c r="H7957" t="s">
        <v>8349</v>
      </c>
      <c r="I7957">
        <v>44</v>
      </c>
      <c r="J7957">
        <v>0</v>
      </c>
      <c r="K7957">
        <v>0</v>
      </c>
      <c r="L7957">
        <v>0</v>
      </c>
      <c r="M7957">
        <v>0</v>
      </c>
      <c r="N7957">
        <v>0</v>
      </c>
      <c r="O7957">
        <v>44</v>
      </c>
    </row>
    <row r="7958" spans="1:15" x14ac:dyDescent="0.25">
      <c r="A7958" t="s">
        <v>938</v>
      </c>
      <c r="B7958" t="s">
        <v>2791</v>
      </c>
      <c r="C7958" t="s">
        <v>927</v>
      </c>
      <c r="D7958" t="s">
        <v>3052</v>
      </c>
      <c r="E7958" t="s">
        <v>3053</v>
      </c>
      <c r="F7958" t="s">
        <v>748</v>
      </c>
      <c r="G7958" t="s">
        <v>749</v>
      </c>
      <c r="H7958" t="s">
        <v>8350</v>
      </c>
      <c r="I7958">
        <v>221</v>
      </c>
      <c r="J7958">
        <v>142</v>
      </c>
      <c r="K7958">
        <v>0</v>
      </c>
      <c r="L7958">
        <v>0</v>
      </c>
      <c r="M7958">
        <v>42</v>
      </c>
      <c r="N7958">
        <v>0</v>
      </c>
      <c r="O7958">
        <v>37</v>
      </c>
    </row>
    <row r="7959" spans="1:15" x14ac:dyDescent="0.25">
      <c r="A7959" t="s">
        <v>940</v>
      </c>
      <c r="B7959" t="s">
        <v>2647</v>
      </c>
      <c r="C7959" t="s">
        <v>927</v>
      </c>
      <c r="D7959" t="s">
        <v>3052</v>
      </c>
      <c r="E7959" t="s">
        <v>3053</v>
      </c>
      <c r="F7959" t="s">
        <v>748</v>
      </c>
      <c r="G7959" t="s">
        <v>749</v>
      </c>
      <c r="H7959" t="s">
        <v>8351</v>
      </c>
      <c r="I7959">
        <v>37</v>
      </c>
      <c r="J7959">
        <v>0</v>
      </c>
      <c r="K7959">
        <v>0</v>
      </c>
      <c r="L7959">
        <v>0</v>
      </c>
      <c r="M7959">
        <v>37</v>
      </c>
      <c r="N7959">
        <v>0</v>
      </c>
      <c r="O7959">
        <v>0</v>
      </c>
    </row>
    <row r="7960" spans="1:15" x14ac:dyDescent="0.25">
      <c r="A7960" t="s">
        <v>1427</v>
      </c>
      <c r="B7960" t="s">
        <v>2087</v>
      </c>
      <c r="C7960" t="s">
        <v>927</v>
      </c>
      <c r="D7960" t="s">
        <v>3052</v>
      </c>
      <c r="E7960" t="s">
        <v>3053</v>
      </c>
      <c r="F7960" t="s">
        <v>748</v>
      </c>
      <c r="G7960" t="s">
        <v>749</v>
      </c>
      <c r="H7960" t="s">
        <v>8352</v>
      </c>
      <c r="I7960">
        <v>328</v>
      </c>
      <c r="J7960">
        <v>294</v>
      </c>
      <c r="K7960">
        <v>0</v>
      </c>
      <c r="L7960">
        <v>0</v>
      </c>
      <c r="M7960">
        <v>0</v>
      </c>
      <c r="N7960">
        <v>0</v>
      </c>
      <c r="O7960">
        <v>34</v>
      </c>
    </row>
    <row r="7961" spans="1:15" x14ac:dyDescent="0.25">
      <c r="A7961" t="s">
        <v>1430</v>
      </c>
      <c r="B7961" t="s">
        <v>2901</v>
      </c>
      <c r="C7961" t="s">
        <v>927</v>
      </c>
      <c r="D7961" t="s">
        <v>3052</v>
      </c>
      <c r="E7961" t="s">
        <v>3053</v>
      </c>
      <c r="F7961" t="s">
        <v>748</v>
      </c>
      <c r="G7961" t="s">
        <v>749</v>
      </c>
      <c r="H7961" t="s">
        <v>8353</v>
      </c>
      <c r="I7961">
        <v>17</v>
      </c>
      <c r="J7961">
        <v>16</v>
      </c>
      <c r="K7961">
        <v>0</v>
      </c>
      <c r="L7961">
        <v>0</v>
      </c>
      <c r="M7961">
        <v>0</v>
      </c>
      <c r="N7961">
        <v>0</v>
      </c>
      <c r="O7961">
        <v>1</v>
      </c>
    </row>
    <row r="7962" spans="1:15" x14ac:dyDescent="0.25">
      <c r="A7962" t="s">
        <v>1432</v>
      </c>
      <c r="B7962" t="s">
        <v>2022</v>
      </c>
      <c r="C7962" t="s">
        <v>923</v>
      </c>
      <c r="D7962" t="s">
        <v>3063</v>
      </c>
      <c r="E7962" t="s">
        <v>3053</v>
      </c>
      <c r="F7962" t="s">
        <v>748</v>
      </c>
      <c r="G7962" t="s">
        <v>749</v>
      </c>
      <c r="H7962" t="s">
        <v>8354</v>
      </c>
      <c r="I7962">
        <v>20</v>
      </c>
      <c r="J7962">
        <v>20</v>
      </c>
      <c r="K7962">
        <v>0</v>
      </c>
      <c r="L7962">
        <v>0</v>
      </c>
      <c r="M7962">
        <v>0</v>
      </c>
      <c r="N7962">
        <v>0</v>
      </c>
      <c r="O7962">
        <v>0</v>
      </c>
    </row>
    <row r="7963" spans="1:15" x14ac:dyDescent="0.25">
      <c r="A7963" t="s">
        <v>1433</v>
      </c>
      <c r="B7963" t="s">
        <v>2914</v>
      </c>
      <c r="C7963" t="s">
        <v>927</v>
      </c>
      <c r="D7963" t="s">
        <v>3052</v>
      </c>
      <c r="E7963" t="s">
        <v>3053</v>
      </c>
      <c r="F7963" t="s">
        <v>748</v>
      </c>
      <c r="G7963" t="s">
        <v>749</v>
      </c>
      <c r="H7963" t="s">
        <v>8355</v>
      </c>
      <c r="I7963">
        <v>808</v>
      </c>
      <c r="J7963">
        <v>610</v>
      </c>
      <c r="K7963">
        <v>0</v>
      </c>
      <c r="L7963">
        <v>93</v>
      </c>
      <c r="M7963">
        <v>102</v>
      </c>
      <c r="N7963">
        <v>0</v>
      </c>
      <c r="O7963">
        <v>3</v>
      </c>
    </row>
    <row r="7964" spans="1:15" x14ac:dyDescent="0.25">
      <c r="A7964" t="s">
        <v>951</v>
      </c>
      <c r="B7964" t="s">
        <v>2680</v>
      </c>
      <c r="C7964" t="s">
        <v>927</v>
      </c>
      <c r="D7964" t="s">
        <v>3052</v>
      </c>
      <c r="E7964" t="s">
        <v>3053</v>
      </c>
      <c r="F7964" t="s">
        <v>748</v>
      </c>
      <c r="G7964" t="s">
        <v>749</v>
      </c>
      <c r="H7964" t="s">
        <v>8356</v>
      </c>
      <c r="I7964">
        <v>302</v>
      </c>
      <c r="J7964">
        <v>302</v>
      </c>
      <c r="K7964">
        <v>0</v>
      </c>
      <c r="L7964">
        <v>0</v>
      </c>
      <c r="M7964">
        <v>0</v>
      </c>
      <c r="N7964">
        <v>0</v>
      </c>
      <c r="O7964">
        <v>0</v>
      </c>
    </row>
    <row r="7965" spans="1:15" x14ac:dyDescent="0.25">
      <c r="A7965" t="s">
        <v>1436</v>
      </c>
      <c r="B7965" t="s">
        <v>2209</v>
      </c>
      <c r="C7965" t="s">
        <v>927</v>
      </c>
      <c r="D7965" t="s">
        <v>3052</v>
      </c>
      <c r="E7965" t="s">
        <v>3053</v>
      </c>
      <c r="F7965" t="s">
        <v>748</v>
      </c>
      <c r="G7965" t="s">
        <v>749</v>
      </c>
      <c r="H7965" t="s">
        <v>8357</v>
      </c>
      <c r="I7965">
        <v>53</v>
      </c>
      <c r="J7965">
        <v>4</v>
      </c>
      <c r="K7965">
        <v>0</v>
      </c>
      <c r="L7965">
        <v>41</v>
      </c>
      <c r="M7965">
        <v>8</v>
      </c>
      <c r="N7965">
        <v>51</v>
      </c>
      <c r="O7965">
        <v>0</v>
      </c>
    </row>
    <row r="7966" spans="1:15" x14ac:dyDescent="0.25">
      <c r="A7966" t="s">
        <v>1069</v>
      </c>
      <c r="B7966" t="s">
        <v>2001</v>
      </c>
      <c r="C7966" t="s">
        <v>927</v>
      </c>
      <c r="D7966" t="s">
        <v>3052</v>
      </c>
      <c r="E7966" t="s">
        <v>3053</v>
      </c>
      <c r="F7966" t="s">
        <v>748</v>
      </c>
      <c r="G7966" t="s">
        <v>749</v>
      </c>
      <c r="H7966" t="s">
        <v>8358</v>
      </c>
      <c r="I7966">
        <v>1</v>
      </c>
      <c r="J7966">
        <v>0</v>
      </c>
      <c r="K7966">
        <v>0</v>
      </c>
      <c r="L7966">
        <v>0</v>
      </c>
      <c r="M7966">
        <v>0</v>
      </c>
      <c r="N7966">
        <v>0</v>
      </c>
      <c r="O7966">
        <v>1</v>
      </c>
    </row>
    <row r="7967" spans="1:15" x14ac:dyDescent="0.25">
      <c r="A7967" t="s">
        <v>1072</v>
      </c>
      <c r="B7967" t="s">
        <v>2907</v>
      </c>
      <c r="C7967" t="s">
        <v>927</v>
      </c>
      <c r="D7967" t="s">
        <v>3052</v>
      </c>
      <c r="E7967" t="s">
        <v>3053</v>
      </c>
      <c r="F7967" t="s">
        <v>748</v>
      </c>
      <c r="G7967" t="s">
        <v>749</v>
      </c>
      <c r="H7967" t="s">
        <v>8359</v>
      </c>
      <c r="I7967">
        <v>7</v>
      </c>
      <c r="J7967">
        <v>3</v>
      </c>
      <c r="K7967">
        <v>0</v>
      </c>
      <c r="L7967">
        <v>4</v>
      </c>
      <c r="M7967">
        <v>0</v>
      </c>
      <c r="N7967">
        <v>0</v>
      </c>
      <c r="O7967">
        <v>0</v>
      </c>
    </row>
    <row r="7968" spans="1:15" x14ac:dyDescent="0.25">
      <c r="A7968" t="s">
        <v>1180</v>
      </c>
      <c r="B7968" t="s">
        <v>2896</v>
      </c>
      <c r="C7968" t="s">
        <v>927</v>
      </c>
      <c r="D7968" t="s">
        <v>3052</v>
      </c>
      <c r="E7968" t="s">
        <v>3053</v>
      </c>
      <c r="F7968" t="s">
        <v>748</v>
      </c>
      <c r="G7968" t="s">
        <v>749</v>
      </c>
      <c r="H7968" t="s">
        <v>8360</v>
      </c>
      <c r="I7968">
        <v>11151</v>
      </c>
      <c r="J7968">
        <v>10599</v>
      </c>
      <c r="K7968">
        <v>0</v>
      </c>
      <c r="L7968">
        <v>72</v>
      </c>
      <c r="M7968">
        <v>222</v>
      </c>
      <c r="N7968">
        <v>5</v>
      </c>
      <c r="O7968">
        <v>258</v>
      </c>
    </row>
    <row r="7969" spans="1:15" x14ac:dyDescent="0.25">
      <c r="A7969" t="s">
        <v>1075</v>
      </c>
      <c r="B7969" t="s">
        <v>2830</v>
      </c>
      <c r="C7969" t="s">
        <v>927</v>
      </c>
      <c r="D7969" t="s">
        <v>3052</v>
      </c>
      <c r="E7969" t="s">
        <v>3053</v>
      </c>
      <c r="F7969" t="s">
        <v>748</v>
      </c>
      <c r="G7969" t="s">
        <v>749</v>
      </c>
      <c r="H7969" t="s">
        <v>15287</v>
      </c>
      <c r="I7969">
        <v>18</v>
      </c>
      <c r="J7969">
        <v>0</v>
      </c>
      <c r="K7969">
        <v>0</v>
      </c>
      <c r="L7969">
        <v>0</v>
      </c>
      <c r="M7969">
        <v>0</v>
      </c>
      <c r="N7969">
        <v>0</v>
      </c>
      <c r="O7969">
        <v>18</v>
      </c>
    </row>
    <row r="7970" spans="1:15" x14ac:dyDescent="0.25">
      <c r="A7970" t="s">
        <v>974</v>
      </c>
      <c r="B7970" t="s">
        <v>2949</v>
      </c>
      <c r="C7970" t="s">
        <v>923</v>
      </c>
      <c r="D7970" t="s">
        <v>3063</v>
      </c>
      <c r="E7970" t="s">
        <v>3053</v>
      </c>
      <c r="F7970" t="s">
        <v>750</v>
      </c>
      <c r="G7970" t="s">
        <v>751</v>
      </c>
      <c r="H7970" t="s">
        <v>11360</v>
      </c>
      <c r="I7970">
        <v>8</v>
      </c>
      <c r="J7970">
        <v>0</v>
      </c>
      <c r="K7970">
        <v>0</v>
      </c>
      <c r="L7970">
        <v>8</v>
      </c>
      <c r="M7970">
        <v>0</v>
      </c>
      <c r="N7970">
        <v>0</v>
      </c>
      <c r="O7970">
        <v>0</v>
      </c>
    </row>
    <row r="7971" spans="1:15" x14ac:dyDescent="0.25">
      <c r="A7971" t="s">
        <v>929</v>
      </c>
      <c r="B7971" t="s">
        <v>2999</v>
      </c>
      <c r="C7971" t="s">
        <v>927</v>
      </c>
      <c r="D7971" t="s">
        <v>3052</v>
      </c>
      <c r="E7971" t="s">
        <v>3053</v>
      </c>
      <c r="F7971" t="s">
        <v>750</v>
      </c>
      <c r="G7971" t="s">
        <v>751</v>
      </c>
      <c r="H7971" t="s">
        <v>8361</v>
      </c>
      <c r="I7971">
        <v>34</v>
      </c>
      <c r="J7971">
        <v>0</v>
      </c>
      <c r="K7971">
        <v>0</v>
      </c>
      <c r="L7971">
        <v>0</v>
      </c>
      <c r="M7971">
        <v>34</v>
      </c>
      <c r="N7971">
        <v>0</v>
      </c>
      <c r="O7971">
        <v>0</v>
      </c>
    </row>
    <row r="7972" spans="1:15" x14ac:dyDescent="0.25">
      <c r="A7972" t="s">
        <v>1456</v>
      </c>
      <c r="B7972" t="s">
        <v>2844</v>
      </c>
      <c r="C7972" t="s">
        <v>927</v>
      </c>
      <c r="D7972" t="s">
        <v>3052</v>
      </c>
      <c r="E7972" t="s">
        <v>3053</v>
      </c>
      <c r="F7972" t="s">
        <v>750</v>
      </c>
      <c r="G7972" t="s">
        <v>751</v>
      </c>
      <c r="H7972" t="s">
        <v>8362</v>
      </c>
      <c r="I7972">
        <v>129</v>
      </c>
      <c r="J7972">
        <v>116</v>
      </c>
      <c r="K7972">
        <v>0</v>
      </c>
      <c r="L7972">
        <v>0</v>
      </c>
      <c r="M7972">
        <v>0</v>
      </c>
      <c r="N7972">
        <v>0</v>
      </c>
      <c r="O7972">
        <v>13</v>
      </c>
    </row>
    <row r="7973" spans="1:15" x14ac:dyDescent="0.25">
      <c r="A7973" t="s">
        <v>1212</v>
      </c>
      <c r="B7973" t="s">
        <v>2004</v>
      </c>
      <c r="C7973" t="s">
        <v>923</v>
      </c>
      <c r="D7973" t="s">
        <v>3063</v>
      </c>
      <c r="E7973" t="s">
        <v>3053</v>
      </c>
      <c r="F7973" t="s">
        <v>750</v>
      </c>
      <c r="G7973" t="s">
        <v>751</v>
      </c>
      <c r="H7973" t="s">
        <v>10005</v>
      </c>
      <c r="I7973">
        <v>47</v>
      </c>
      <c r="J7973">
        <v>0</v>
      </c>
      <c r="K7973">
        <v>0</v>
      </c>
      <c r="L7973">
        <v>47</v>
      </c>
      <c r="M7973">
        <v>0</v>
      </c>
      <c r="N7973">
        <v>0</v>
      </c>
      <c r="O7973">
        <v>0</v>
      </c>
    </row>
    <row r="7974" spans="1:15" x14ac:dyDescent="0.25">
      <c r="A7974" t="s">
        <v>1806</v>
      </c>
      <c r="B7974" t="s">
        <v>2633</v>
      </c>
      <c r="C7974" t="s">
        <v>923</v>
      </c>
      <c r="D7974" t="s">
        <v>3063</v>
      </c>
      <c r="E7974" t="s">
        <v>3053</v>
      </c>
      <c r="F7974" t="s">
        <v>750</v>
      </c>
      <c r="G7974" t="s">
        <v>751</v>
      </c>
      <c r="H7974" t="s">
        <v>8363</v>
      </c>
      <c r="I7974">
        <v>183</v>
      </c>
      <c r="J7974">
        <v>0</v>
      </c>
      <c r="K7974">
        <v>0</v>
      </c>
      <c r="L7974">
        <v>183</v>
      </c>
      <c r="M7974">
        <v>0</v>
      </c>
      <c r="N7974">
        <v>1</v>
      </c>
      <c r="O7974">
        <v>0</v>
      </c>
    </row>
    <row r="7975" spans="1:15" x14ac:dyDescent="0.25">
      <c r="A7975" t="s">
        <v>1812</v>
      </c>
      <c r="B7975" t="s">
        <v>2833</v>
      </c>
      <c r="C7975" t="s">
        <v>923</v>
      </c>
      <c r="D7975" t="s">
        <v>3063</v>
      </c>
      <c r="E7975" t="s">
        <v>3053</v>
      </c>
      <c r="F7975" t="s">
        <v>750</v>
      </c>
      <c r="G7975" t="s">
        <v>751</v>
      </c>
      <c r="H7975" t="s">
        <v>8364</v>
      </c>
      <c r="I7975">
        <v>3</v>
      </c>
      <c r="J7975">
        <v>0</v>
      </c>
      <c r="K7975">
        <v>0</v>
      </c>
      <c r="L7975">
        <v>3</v>
      </c>
      <c r="M7975">
        <v>0</v>
      </c>
      <c r="N7975">
        <v>0</v>
      </c>
      <c r="O7975">
        <v>0</v>
      </c>
    </row>
    <row r="7976" spans="1:15" x14ac:dyDescent="0.25">
      <c r="A7976" t="s">
        <v>933</v>
      </c>
      <c r="B7976" t="s">
        <v>2106</v>
      </c>
      <c r="C7976" t="s">
        <v>927</v>
      </c>
      <c r="D7976" t="s">
        <v>3052</v>
      </c>
      <c r="E7976" t="s">
        <v>3053</v>
      </c>
      <c r="F7976" t="s">
        <v>750</v>
      </c>
      <c r="G7976" t="s">
        <v>751</v>
      </c>
      <c r="H7976" t="s">
        <v>8365</v>
      </c>
      <c r="I7976">
        <v>701</v>
      </c>
      <c r="J7976">
        <v>672</v>
      </c>
      <c r="K7976">
        <v>0</v>
      </c>
      <c r="L7976">
        <v>0</v>
      </c>
      <c r="M7976">
        <v>26</v>
      </c>
      <c r="N7976">
        <v>3</v>
      </c>
      <c r="O7976">
        <v>3</v>
      </c>
    </row>
    <row r="7977" spans="1:15" x14ac:dyDescent="0.25">
      <c r="A7977" t="s">
        <v>1817</v>
      </c>
      <c r="B7977" t="s">
        <v>2831</v>
      </c>
      <c r="C7977" t="s">
        <v>927</v>
      </c>
      <c r="D7977" t="s">
        <v>3052</v>
      </c>
      <c r="E7977" t="s">
        <v>3053</v>
      </c>
      <c r="F7977" t="s">
        <v>750</v>
      </c>
      <c r="G7977" t="s">
        <v>751</v>
      </c>
      <c r="H7977" t="s">
        <v>8366</v>
      </c>
      <c r="I7977">
        <v>1334</v>
      </c>
      <c r="J7977">
        <v>1312</v>
      </c>
      <c r="K7977">
        <v>0</v>
      </c>
      <c r="L7977">
        <v>20</v>
      </c>
      <c r="M7977">
        <v>0</v>
      </c>
      <c r="N7977">
        <v>0</v>
      </c>
      <c r="O7977">
        <v>2</v>
      </c>
    </row>
    <row r="7978" spans="1:15" x14ac:dyDescent="0.25">
      <c r="A7978" t="s">
        <v>10638</v>
      </c>
      <c r="B7978" t="s">
        <v>2057</v>
      </c>
      <c r="C7978" t="s">
        <v>927</v>
      </c>
      <c r="D7978" t="s">
        <v>3052</v>
      </c>
      <c r="E7978" t="s">
        <v>3053</v>
      </c>
      <c r="F7978" t="s">
        <v>750</v>
      </c>
      <c r="G7978" t="s">
        <v>751</v>
      </c>
      <c r="H7978" t="s">
        <v>11361</v>
      </c>
      <c r="I7978">
        <v>5</v>
      </c>
      <c r="J7978">
        <v>0</v>
      </c>
      <c r="K7978">
        <v>0</v>
      </c>
      <c r="L7978">
        <v>5</v>
      </c>
      <c r="M7978">
        <v>0</v>
      </c>
      <c r="N7978">
        <v>0</v>
      </c>
      <c r="O7978">
        <v>0</v>
      </c>
    </row>
    <row r="7979" spans="1:15" x14ac:dyDescent="0.25">
      <c r="A7979" t="s">
        <v>1821</v>
      </c>
      <c r="B7979" t="s">
        <v>1987</v>
      </c>
      <c r="C7979" t="s">
        <v>923</v>
      </c>
      <c r="D7979" t="s">
        <v>3063</v>
      </c>
      <c r="E7979" t="s">
        <v>3053</v>
      </c>
      <c r="F7979" t="s">
        <v>750</v>
      </c>
      <c r="G7979" t="s">
        <v>751</v>
      </c>
      <c r="H7979" t="s">
        <v>8367</v>
      </c>
      <c r="I7979">
        <v>29</v>
      </c>
      <c r="J7979">
        <v>29</v>
      </c>
      <c r="K7979">
        <v>0</v>
      </c>
      <c r="L7979">
        <v>0</v>
      </c>
      <c r="M7979">
        <v>0</v>
      </c>
      <c r="N7979">
        <v>0</v>
      </c>
      <c r="O7979">
        <v>0</v>
      </c>
    </row>
    <row r="7980" spans="1:15" x14ac:dyDescent="0.25">
      <c r="A7980" t="s">
        <v>937</v>
      </c>
      <c r="B7980" t="s">
        <v>1962</v>
      </c>
      <c r="C7980" t="s">
        <v>927</v>
      </c>
      <c r="D7980" t="s">
        <v>3052</v>
      </c>
      <c r="E7980" t="s">
        <v>3053</v>
      </c>
      <c r="F7980" t="s">
        <v>750</v>
      </c>
      <c r="G7980" t="s">
        <v>751</v>
      </c>
      <c r="H7980" t="s">
        <v>8368</v>
      </c>
      <c r="I7980">
        <v>30</v>
      </c>
      <c r="J7980">
        <v>0</v>
      </c>
      <c r="K7980">
        <v>0</v>
      </c>
      <c r="L7980">
        <v>0</v>
      </c>
      <c r="M7980">
        <v>0</v>
      </c>
      <c r="N7980">
        <v>0</v>
      </c>
      <c r="O7980">
        <v>30</v>
      </c>
    </row>
    <row r="7981" spans="1:15" x14ac:dyDescent="0.25">
      <c r="A7981" t="s">
        <v>1011</v>
      </c>
      <c r="B7981" t="s">
        <v>2020</v>
      </c>
      <c r="C7981" t="s">
        <v>927</v>
      </c>
      <c r="D7981" t="s">
        <v>3052</v>
      </c>
      <c r="E7981" t="s">
        <v>3053</v>
      </c>
      <c r="F7981" t="s">
        <v>750</v>
      </c>
      <c r="G7981" t="s">
        <v>751</v>
      </c>
      <c r="H7981" t="s">
        <v>10114</v>
      </c>
      <c r="I7981">
        <v>17</v>
      </c>
      <c r="J7981">
        <v>0</v>
      </c>
      <c r="K7981">
        <v>0</v>
      </c>
      <c r="L7981">
        <v>17</v>
      </c>
      <c r="M7981">
        <v>0</v>
      </c>
      <c r="N7981">
        <v>0</v>
      </c>
      <c r="O7981">
        <v>0</v>
      </c>
    </row>
    <row r="7982" spans="1:15" x14ac:dyDescent="0.25">
      <c r="A7982" t="s">
        <v>1493</v>
      </c>
      <c r="B7982" t="s">
        <v>2962</v>
      </c>
      <c r="C7982" t="s">
        <v>927</v>
      </c>
      <c r="D7982" t="s">
        <v>3052</v>
      </c>
      <c r="E7982" t="s">
        <v>3053</v>
      </c>
      <c r="F7982" t="s">
        <v>750</v>
      </c>
      <c r="G7982" t="s">
        <v>751</v>
      </c>
      <c r="H7982" t="s">
        <v>8369</v>
      </c>
      <c r="I7982">
        <v>1879</v>
      </c>
      <c r="J7982">
        <v>1229</v>
      </c>
      <c r="K7982">
        <v>6</v>
      </c>
      <c r="L7982">
        <v>98</v>
      </c>
      <c r="M7982">
        <v>456</v>
      </c>
      <c r="N7982">
        <v>42</v>
      </c>
      <c r="O7982">
        <v>90</v>
      </c>
    </row>
    <row r="7983" spans="1:15" x14ac:dyDescent="0.25">
      <c r="A7983" t="s">
        <v>940</v>
      </c>
      <c r="B7983" t="s">
        <v>2647</v>
      </c>
      <c r="C7983" t="s">
        <v>927</v>
      </c>
      <c r="D7983" t="s">
        <v>3052</v>
      </c>
      <c r="E7983" t="s">
        <v>3053</v>
      </c>
      <c r="F7983" t="s">
        <v>750</v>
      </c>
      <c r="G7983" t="s">
        <v>751</v>
      </c>
      <c r="H7983" t="s">
        <v>8370</v>
      </c>
      <c r="I7983">
        <v>37</v>
      </c>
      <c r="J7983">
        <v>0</v>
      </c>
      <c r="K7983">
        <v>0</v>
      </c>
      <c r="L7983">
        <v>0</v>
      </c>
      <c r="M7983">
        <v>37</v>
      </c>
      <c r="N7983">
        <v>0</v>
      </c>
      <c r="O7983">
        <v>0</v>
      </c>
    </row>
    <row r="7984" spans="1:15" x14ac:dyDescent="0.25">
      <c r="A7984" t="s">
        <v>1013</v>
      </c>
      <c r="B7984" t="s">
        <v>1959</v>
      </c>
      <c r="C7984" t="s">
        <v>927</v>
      </c>
      <c r="D7984" t="s">
        <v>3052</v>
      </c>
      <c r="E7984" t="s">
        <v>3053</v>
      </c>
      <c r="F7984" t="s">
        <v>750</v>
      </c>
      <c r="G7984" t="s">
        <v>751</v>
      </c>
      <c r="H7984" t="s">
        <v>8371</v>
      </c>
      <c r="I7984">
        <v>49</v>
      </c>
      <c r="J7984">
        <v>0</v>
      </c>
      <c r="K7984">
        <v>0</v>
      </c>
      <c r="L7984">
        <v>49</v>
      </c>
      <c r="M7984">
        <v>0</v>
      </c>
      <c r="N7984">
        <v>0</v>
      </c>
      <c r="O7984">
        <v>0</v>
      </c>
    </row>
    <row r="7985" spans="1:15" x14ac:dyDescent="0.25">
      <c r="A7985" t="s">
        <v>9820</v>
      </c>
      <c r="B7985" t="s">
        <v>3017</v>
      </c>
      <c r="C7985" t="s">
        <v>927</v>
      </c>
      <c r="D7985" t="s">
        <v>3052</v>
      </c>
      <c r="E7985" t="s">
        <v>3053</v>
      </c>
      <c r="F7985" t="s">
        <v>750</v>
      </c>
      <c r="G7985" t="s">
        <v>751</v>
      </c>
      <c r="H7985" t="s">
        <v>12389</v>
      </c>
      <c r="I7985">
        <v>13</v>
      </c>
      <c r="J7985">
        <v>7</v>
      </c>
      <c r="K7985">
        <v>0</v>
      </c>
      <c r="L7985">
        <v>0</v>
      </c>
      <c r="M7985">
        <v>0</v>
      </c>
      <c r="N7985">
        <v>0</v>
      </c>
      <c r="O7985">
        <v>6</v>
      </c>
    </row>
    <row r="7986" spans="1:15" x14ac:dyDescent="0.25">
      <c r="A7986" t="s">
        <v>1030</v>
      </c>
      <c r="B7986" t="s">
        <v>2880</v>
      </c>
      <c r="C7986" t="s">
        <v>927</v>
      </c>
      <c r="D7986" t="s">
        <v>3052</v>
      </c>
      <c r="E7986" t="s">
        <v>3053</v>
      </c>
      <c r="F7986" t="s">
        <v>750</v>
      </c>
      <c r="G7986" t="s">
        <v>751</v>
      </c>
      <c r="H7986" t="s">
        <v>8372</v>
      </c>
      <c r="I7986">
        <v>1053</v>
      </c>
      <c r="J7986">
        <v>674</v>
      </c>
      <c r="K7986">
        <v>0</v>
      </c>
      <c r="L7986">
        <v>15</v>
      </c>
      <c r="M7986">
        <v>344</v>
      </c>
      <c r="N7986">
        <v>0</v>
      </c>
      <c r="O7986">
        <v>20</v>
      </c>
    </row>
    <row r="7987" spans="1:15" x14ac:dyDescent="0.25">
      <c r="A7987" t="s">
        <v>1033</v>
      </c>
      <c r="B7987" t="s">
        <v>2039</v>
      </c>
      <c r="C7987" t="s">
        <v>923</v>
      </c>
      <c r="D7987" t="s">
        <v>3063</v>
      </c>
      <c r="E7987" t="s">
        <v>3053</v>
      </c>
      <c r="F7987" t="s">
        <v>750</v>
      </c>
      <c r="G7987" t="s">
        <v>751</v>
      </c>
      <c r="H7987" t="s">
        <v>8373</v>
      </c>
      <c r="I7987">
        <v>4</v>
      </c>
      <c r="J7987">
        <v>0</v>
      </c>
      <c r="K7987">
        <v>0</v>
      </c>
      <c r="L7987">
        <v>4</v>
      </c>
      <c r="M7987">
        <v>0</v>
      </c>
      <c r="N7987">
        <v>0</v>
      </c>
      <c r="O7987">
        <v>0</v>
      </c>
    </row>
    <row r="7988" spans="1:15" x14ac:dyDescent="0.25">
      <c r="A7988" t="s">
        <v>1048</v>
      </c>
      <c r="B7988" t="s">
        <v>2989</v>
      </c>
      <c r="C7988" t="s">
        <v>927</v>
      </c>
      <c r="D7988" t="s">
        <v>3052</v>
      </c>
      <c r="E7988" t="s">
        <v>3053</v>
      </c>
      <c r="F7988" t="s">
        <v>750</v>
      </c>
      <c r="G7988" t="s">
        <v>751</v>
      </c>
      <c r="H7988" t="s">
        <v>12390</v>
      </c>
      <c r="I7988">
        <v>61</v>
      </c>
      <c r="J7988">
        <v>49</v>
      </c>
      <c r="K7988">
        <v>0</v>
      </c>
      <c r="L7988">
        <v>0</v>
      </c>
      <c r="M7988">
        <v>12</v>
      </c>
      <c r="N7988">
        <v>0</v>
      </c>
      <c r="O7988">
        <v>0</v>
      </c>
    </row>
    <row r="7989" spans="1:15" x14ac:dyDescent="0.25">
      <c r="A7989" t="s">
        <v>1056</v>
      </c>
      <c r="B7989" t="s">
        <v>2966</v>
      </c>
      <c r="C7989" t="s">
        <v>927</v>
      </c>
      <c r="D7989" t="s">
        <v>3052</v>
      </c>
      <c r="E7989" t="s">
        <v>3053</v>
      </c>
      <c r="F7989" t="s">
        <v>750</v>
      </c>
      <c r="G7989" t="s">
        <v>751</v>
      </c>
      <c r="H7989" t="s">
        <v>8374</v>
      </c>
      <c r="I7989">
        <v>77</v>
      </c>
      <c r="J7989">
        <v>13</v>
      </c>
      <c r="K7989">
        <v>0</v>
      </c>
      <c r="L7989">
        <v>64</v>
      </c>
      <c r="M7989">
        <v>0</v>
      </c>
      <c r="N7989">
        <v>0</v>
      </c>
      <c r="O7989">
        <v>0</v>
      </c>
    </row>
    <row r="7990" spans="1:15" x14ac:dyDescent="0.25">
      <c r="A7990" t="s">
        <v>1057</v>
      </c>
      <c r="B7990" t="s">
        <v>1972</v>
      </c>
      <c r="C7990" t="s">
        <v>927</v>
      </c>
      <c r="D7990" t="s">
        <v>3052</v>
      </c>
      <c r="E7990" t="s">
        <v>3053</v>
      </c>
      <c r="F7990" t="s">
        <v>750</v>
      </c>
      <c r="G7990" t="s">
        <v>751</v>
      </c>
      <c r="H7990" t="s">
        <v>8375</v>
      </c>
      <c r="I7990">
        <v>185</v>
      </c>
      <c r="J7990">
        <v>105</v>
      </c>
      <c r="K7990">
        <v>0</v>
      </c>
      <c r="L7990">
        <v>0</v>
      </c>
      <c r="M7990">
        <v>74</v>
      </c>
      <c r="N7990">
        <v>0</v>
      </c>
      <c r="O7990">
        <v>6</v>
      </c>
    </row>
    <row r="7991" spans="1:15" x14ac:dyDescent="0.25">
      <c r="A7991" t="s">
        <v>955</v>
      </c>
      <c r="B7991" t="s">
        <v>2660</v>
      </c>
      <c r="C7991" t="s">
        <v>927</v>
      </c>
      <c r="D7991" t="s">
        <v>3052</v>
      </c>
      <c r="E7991" t="s">
        <v>3053</v>
      </c>
      <c r="F7991" t="s">
        <v>750</v>
      </c>
      <c r="G7991" t="s">
        <v>751</v>
      </c>
      <c r="H7991" t="s">
        <v>8376</v>
      </c>
      <c r="I7991">
        <v>1052</v>
      </c>
      <c r="J7991">
        <v>806</v>
      </c>
      <c r="K7991">
        <v>0</v>
      </c>
      <c r="L7991">
        <v>55</v>
      </c>
      <c r="M7991">
        <v>132</v>
      </c>
      <c r="N7991">
        <v>3</v>
      </c>
      <c r="O7991">
        <v>59</v>
      </c>
    </row>
    <row r="7992" spans="1:15" x14ac:dyDescent="0.25">
      <c r="A7992" t="s">
        <v>1851</v>
      </c>
      <c r="B7992" t="s">
        <v>2640</v>
      </c>
      <c r="C7992" t="s">
        <v>923</v>
      </c>
      <c r="D7992" t="s">
        <v>3063</v>
      </c>
      <c r="E7992" t="s">
        <v>3053</v>
      </c>
      <c r="F7992" t="s">
        <v>750</v>
      </c>
      <c r="G7992" t="s">
        <v>751</v>
      </c>
      <c r="H7992" t="s">
        <v>8377</v>
      </c>
      <c r="I7992">
        <v>588</v>
      </c>
      <c r="J7992">
        <v>588</v>
      </c>
      <c r="K7992">
        <v>0</v>
      </c>
      <c r="L7992">
        <v>0</v>
      </c>
      <c r="M7992">
        <v>0</v>
      </c>
      <c r="N7992">
        <v>0</v>
      </c>
      <c r="O7992">
        <v>0</v>
      </c>
    </row>
    <row r="7993" spans="1:15" x14ac:dyDescent="0.25">
      <c r="A7993" t="s">
        <v>11721</v>
      </c>
      <c r="B7993" t="s">
        <v>11773</v>
      </c>
      <c r="C7993" t="s">
        <v>923</v>
      </c>
      <c r="D7993" t="s">
        <v>3063</v>
      </c>
      <c r="E7993" t="s">
        <v>3053</v>
      </c>
      <c r="F7993" t="s">
        <v>750</v>
      </c>
      <c r="G7993" t="s">
        <v>751</v>
      </c>
      <c r="H7993" t="s">
        <v>12391</v>
      </c>
      <c r="I7993">
        <v>5</v>
      </c>
      <c r="J7993">
        <v>5</v>
      </c>
      <c r="K7993">
        <v>0</v>
      </c>
      <c r="L7993">
        <v>0</v>
      </c>
      <c r="M7993">
        <v>0</v>
      </c>
      <c r="N7993">
        <v>0</v>
      </c>
      <c r="O7993">
        <v>0</v>
      </c>
    </row>
    <row r="7994" spans="1:15" x14ac:dyDescent="0.25">
      <c r="A7994" t="s">
        <v>1353</v>
      </c>
      <c r="B7994" t="s">
        <v>2927</v>
      </c>
      <c r="C7994" t="s">
        <v>923</v>
      </c>
      <c r="D7994" t="s">
        <v>3063</v>
      </c>
      <c r="E7994" t="s">
        <v>3053</v>
      </c>
      <c r="F7994" t="s">
        <v>750</v>
      </c>
      <c r="G7994" t="s">
        <v>751</v>
      </c>
      <c r="H7994" t="s">
        <v>8378</v>
      </c>
      <c r="I7994">
        <v>21</v>
      </c>
      <c r="J7994">
        <v>0</v>
      </c>
      <c r="K7994">
        <v>0</v>
      </c>
      <c r="L7994">
        <v>0</v>
      </c>
      <c r="M7994">
        <v>21</v>
      </c>
      <c r="N7994">
        <v>0</v>
      </c>
      <c r="O7994">
        <v>0</v>
      </c>
    </row>
    <row r="7995" spans="1:15" x14ac:dyDescent="0.25">
      <c r="A7995" t="s">
        <v>1072</v>
      </c>
      <c r="B7995" t="s">
        <v>2907</v>
      </c>
      <c r="C7995" t="s">
        <v>927</v>
      </c>
      <c r="D7995" t="s">
        <v>3052</v>
      </c>
      <c r="E7995" t="s">
        <v>3053</v>
      </c>
      <c r="F7995" t="s">
        <v>750</v>
      </c>
      <c r="G7995" t="s">
        <v>751</v>
      </c>
      <c r="H7995" t="s">
        <v>8379</v>
      </c>
      <c r="I7995">
        <v>587</v>
      </c>
      <c r="J7995">
        <v>516</v>
      </c>
      <c r="K7995">
        <v>0</v>
      </c>
      <c r="L7995">
        <v>39</v>
      </c>
      <c r="M7995">
        <v>0</v>
      </c>
      <c r="N7995">
        <v>0</v>
      </c>
      <c r="O7995">
        <v>32</v>
      </c>
    </row>
    <row r="7996" spans="1:15" x14ac:dyDescent="0.25">
      <c r="A7996" t="s">
        <v>1861</v>
      </c>
      <c r="B7996" t="s">
        <v>3011</v>
      </c>
      <c r="C7996" t="s">
        <v>927</v>
      </c>
      <c r="D7996" t="s">
        <v>3052</v>
      </c>
      <c r="E7996" t="s">
        <v>3053</v>
      </c>
      <c r="F7996" t="s">
        <v>750</v>
      </c>
      <c r="G7996" t="s">
        <v>751</v>
      </c>
      <c r="H7996" t="s">
        <v>8380</v>
      </c>
      <c r="I7996">
        <v>8</v>
      </c>
      <c r="J7996">
        <v>0</v>
      </c>
      <c r="K7996">
        <v>0</v>
      </c>
      <c r="L7996">
        <v>8</v>
      </c>
      <c r="M7996">
        <v>0</v>
      </c>
      <c r="N7996">
        <v>0</v>
      </c>
      <c r="O7996">
        <v>0</v>
      </c>
    </row>
    <row r="7997" spans="1:15" x14ac:dyDescent="0.25">
      <c r="A7997" t="s">
        <v>1080</v>
      </c>
      <c r="B7997" t="s">
        <v>2030</v>
      </c>
      <c r="C7997" t="s">
        <v>923</v>
      </c>
      <c r="D7997" t="s">
        <v>3063</v>
      </c>
      <c r="E7997" t="s">
        <v>3053</v>
      </c>
      <c r="F7997" t="s">
        <v>750</v>
      </c>
      <c r="G7997" t="s">
        <v>751</v>
      </c>
      <c r="H7997" t="s">
        <v>8381</v>
      </c>
      <c r="I7997">
        <v>9</v>
      </c>
      <c r="J7997">
        <v>0</v>
      </c>
      <c r="K7997">
        <v>0</v>
      </c>
      <c r="L7997">
        <v>9</v>
      </c>
      <c r="M7997">
        <v>0</v>
      </c>
      <c r="N7997">
        <v>0</v>
      </c>
      <c r="O7997">
        <v>0</v>
      </c>
    </row>
    <row r="7998" spans="1:15" x14ac:dyDescent="0.25">
      <c r="A7998" t="s">
        <v>9847</v>
      </c>
      <c r="B7998" t="s">
        <v>2636</v>
      </c>
      <c r="C7998" t="s">
        <v>923</v>
      </c>
      <c r="D7998" t="s">
        <v>3063</v>
      </c>
      <c r="E7998" t="s">
        <v>3053</v>
      </c>
      <c r="F7998" t="s">
        <v>750</v>
      </c>
      <c r="G7998" t="s">
        <v>751</v>
      </c>
      <c r="H7998" t="s">
        <v>10519</v>
      </c>
      <c r="I7998">
        <v>209</v>
      </c>
      <c r="J7998">
        <v>0</v>
      </c>
      <c r="K7998">
        <v>0</v>
      </c>
      <c r="L7998">
        <v>209</v>
      </c>
      <c r="M7998">
        <v>0</v>
      </c>
      <c r="N7998">
        <v>0</v>
      </c>
      <c r="O7998">
        <v>0</v>
      </c>
    </row>
    <row r="7999" spans="1:15" x14ac:dyDescent="0.25">
      <c r="A7999" t="s">
        <v>1083</v>
      </c>
      <c r="B7999" t="s">
        <v>2757</v>
      </c>
      <c r="C7999" t="s">
        <v>927</v>
      </c>
      <c r="D7999" t="s">
        <v>3052</v>
      </c>
      <c r="E7999" t="s">
        <v>3053</v>
      </c>
      <c r="F7999" t="s">
        <v>750</v>
      </c>
      <c r="G7999" t="s">
        <v>751</v>
      </c>
      <c r="H7999" t="s">
        <v>8382</v>
      </c>
      <c r="I7999">
        <v>427</v>
      </c>
      <c r="J7999">
        <v>37</v>
      </c>
      <c r="K7999">
        <v>0</v>
      </c>
      <c r="L7999">
        <v>0</v>
      </c>
      <c r="M7999">
        <v>390</v>
      </c>
      <c r="N7999">
        <v>0</v>
      </c>
      <c r="O7999">
        <v>0</v>
      </c>
    </row>
    <row r="8000" spans="1:15" x14ac:dyDescent="0.25">
      <c r="A8000" t="s">
        <v>926</v>
      </c>
      <c r="B8000" t="s">
        <v>2923</v>
      </c>
      <c r="C8000" t="s">
        <v>927</v>
      </c>
      <c r="D8000" t="s">
        <v>3052</v>
      </c>
      <c r="E8000" t="s">
        <v>3053</v>
      </c>
      <c r="F8000" t="s">
        <v>752</v>
      </c>
      <c r="G8000" t="s">
        <v>753</v>
      </c>
      <c r="H8000" t="s">
        <v>8383</v>
      </c>
      <c r="I8000">
        <v>8</v>
      </c>
      <c r="J8000">
        <v>0</v>
      </c>
      <c r="K8000">
        <v>0</v>
      </c>
      <c r="L8000">
        <v>5</v>
      </c>
      <c r="M8000">
        <v>0</v>
      </c>
      <c r="N8000">
        <v>0</v>
      </c>
      <c r="O8000">
        <v>3</v>
      </c>
    </row>
    <row r="8001" spans="1:15" x14ac:dyDescent="0.25">
      <c r="A8001" t="s">
        <v>9784</v>
      </c>
      <c r="B8001" t="s">
        <v>1994</v>
      </c>
      <c r="C8001" t="s">
        <v>927</v>
      </c>
      <c r="D8001" t="s">
        <v>3052</v>
      </c>
      <c r="E8001" t="s">
        <v>3053</v>
      </c>
      <c r="F8001" t="s">
        <v>752</v>
      </c>
      <c r="G8001" t="s">
        <v>753</v>
      </c>
      <c r="H8001" t="s">
        <v>9986</v>
      </c>
      <c r="I8001">
        <v>2</v>
      </c>
      <c r="J8001">
        <v>0</v>
      </c>
      <c r="K8001">
        <v>0</v>
      </c>
      <c r="L8001">
        <v>2</v>
      </c>
      <c r="M8001">
        <v>0</v>
      </c>
      <c r="N8001">
        <v>0</v>
      </c>
      <c r="O8001">
        <v>0</v>
      </c>
    </row>
    <row r="8002" spans="1:15" x14ac:dyDescent="0.25">
      <c r="A8002" t="s">
        <v>982</v>
      </c>
      <c r="B8002" t="s">
        <v>2874</v>
      </c>
      <c r="C8002" t="s">
        <v>923</v>
      </c>
      <c r="D8002" t="s">
        <v>3063</v>
      </c>
      <c r="E8002" t="s">
        <v>3053</v>
      </c>
      <c r="F8002" t="s">
        <v>752</v>
      </c>
      <c r="G8002" t="s">
        <v>753</v>
      </c>
      <c r="H8002" t="s">
        <v>8384</v>
      </c>
      <c r="I8002">
        <v>11</v>
      </c>
      <c r="J8002">
        <v>11</v>
      </c>
      <c r="K8002">
        <v>0</v>
      </c>
      <c r="L8002">
        <v>0</v>
      </c>
      <c r="M8002">
        <v>0</v>
      </c>
      <c r="N8002">
        <v>0</v>
      </c>
      <c r="O8002">
        <v>0</v>
      </c>
    </row>
    <row r="8003" spans="1:15" x14ac:dyDescent="0.25">
      <c r="A8003" t="s">
        <v>983</v>
      </c>
      <c r="B8003" t="s">
        <v>2069</v>
      </c>
      <c r="C8003" t="s">
        <v>927</v>
      </c>
      <c r="D8003" t="s">
        <v>3052</v>
      </c>
      <c r="E8003" t="s">
        <v>3053</v>
      </c>
      <c r="F8003" t="s">
        <v>752</v>
      </c>
      <c r="G8003" t="s">
        <v>753</v>
      </c>
      <c r="H8003" t="s">
        <v>8385</v>
      </c>
      <c r="I8003">
        <v>830</v>
      </c>
      <c r="J8003">
        <v>659</v>
      </c>
      <c r="K8003">
        <v>0</v>
      </c>
      <c r="L8003">
        <v>4</v>
      </c>
      <c r="M8003">
        <v>0</v>
      </c>
      <c r="N8003">
        <v>0</v>
      </c>
      <c r="O8003">
        <v>167</v>
      </c>
    </row>
    <row r="8004" spans="1:15" x14ac:dyDescent="0.25">
      <c r="A8004" t="s">
        <v>1715</v>
      </c>
      <c r="B8004" t="s">
        <v>2136</v>
      </c>
      <c r="C8004" t="s">
        <v>927</v>
      </c>
      <c r="D8004" t="s">
        <v>3052</v>
      </c>
      <c r="E8004" t="s">
        <v>3053</v>
      </c>
      <c r="F8004" t="s">
        <v>752</v>
      </c>
      <c r="G8004" t="s">
        <v>753</v>
      </c>
      <c r="H8004" t="s">
        <v>15288</v>
      </c>
      <c r="I8004">
        <v>13</v>
      </c>
      <c r="J8004">
        <v>8</v>
      </c>
      <c r="K8004">
        <v>0</v>
      </c>
      <c r="L8004">
        <v>0</v>
      </c>
      <c r="M8004">
        <v>0</v>
      </c>
      <c r="N8004">
        <v>0</v>
      </c>
      <c r="O8004">
        <v>5</v>
      </c>
    </row>
    <row r="8005" spans="1:15" x14ac:dyDescent="0.25">
      <c r="A8005" t="s">
        <v>991</v>
      </c>
      <c r="B8005" t="s">
        <v>1976</v>
      </c>
      <c r="C8005" t="s">
        <v>923</v>
      </c>
      <c r="D8005" t="s">
        <v>3063</v>
      </c>
      <c r="E8005" t="s">
        <v>3053</v>
      </c>
      <c r="F8005" t="s">
        <v>752</v>
      </c>
      <c r="G8005" t="s">
        <v>753</v>
      </c>
      <c r="H8005" t="s">
        <v>8386</v>
      </c>
      <c r="I8005">
        <v>21</v>
      </c>
      <c r="J8005">
        <v>0</v>
      </c>
      <c r="K8005">
        <v>0</v>
      </c>
      <c r="L8005">
        <v>21</v>
      </c>
      <c r="M8005">
        <v>0</v>
      </c>
      <c r="N8005">
        <v>0</v>
      </c>
      <c r="O8005">
        <v>0</v>
      </c>
    </row>
    <row r="8006" spans="1:15" x14ac:dyDescent="0.25">
      <c r="A8006" t="s">
        <v>1485</v>
      </c>
      <c r="B8006" t="s">
        <v>2836</v>
      </c>
      <c r="C8006" t="s">
        <v>927</v>
      </c>
      <c r="D8006" t="s">
        <v>3052</v>
      </c>
      <c r="E8006" t="s">
        <v>3053</v>
      </c>
      <c r="F8006" t="s">
        <v>752</v>
      </c>
      <c r="G8006" t="s">
        <v>753</v>
      </c>
      <c r="H8006" t="s">
        <v>8387</v>
      </c>
      <c r="I8006">
        <v>1</v>
      </c>
      <c r="J8006">
        <v>0</v>
      </c>
      <c r="K8006">
        <v>0</v>
      </c>
      <c r="L8006">
        <v>0</v>
      </c>
      <c r="M8006">
        <v>0</v>
      </c>
      <c r="N8006">
        <v>0</v>
      </c>
      <c r="O8006">
        <v>1</v>
      </c>
    </row>
    <row r="8007" spans="1:15" x14ac:dyDescent="0.25">
      <c r="A8007" t="s">
        <v>10638</v>
      </c>
      <c r="B8007" t="s">
        <v>2057</v>
      </c>
      <c r="C8007" t="s">
        <v>927</v>
      </c>
      <c r="D8007" t="s">
        <v>3052</v>
      </c>
      <c r="E8007" t="s">
        <v>3053</v>
      </c>
      <c r="F8007" t="s">
        <v>752</v>
      </c>
      <c r="G8007" t="s">
        <v>753</v>
      </c>
      <c r="H8007" t="s">
        <v>12392</v>
      </c>
      <c r="I8007">
        <v>3</v>
      </c>
      <c r="J8007">
        <v>0</v>
      </c>
      <c r="K8007">
        <v>0</v>
      </c>
      <c r="L8007">
        <v>3</v>
      </c>
      <c r="M8007">
        <v>0</v>
      </c>
      <c r="N8007">
        <v>0</v>
      </c>
      <c r="O8007">
        <v>0</v>
      </c>
    </row>
    <row r="8008" spans="1:15" x14ac:dyDescent="0.25">
      <c r="A8008" t="s">
        <v>937</v>
      </c>
      <c r="B8008" t="s">
        <v>1962</v>
      </c>
      <c r="C8008" t="s">
        <v>927</v>
      </c>
      <c r="D8008" t="s">
        <v>3052</v>
      </c>
      <c r="E8008" t="s">
        <v>3053</v>
      </c>
      <c r="F8008" t="s">
        <v>752</v>
      </c>
      <c r="G8008" t="s">
        <v>753</v>
      </c>
      <c r="H8008" t="s">
        <v>8388</v>
      </c>
      <c r="I8008">
        <v>74</v>
      </c>
      <c r="J8008">
        <v>0</v>
      </c>
      <c r="K8008">
        <v>0</v>
      </c>
      <c r="L8008">
        <v>0</v>
      </c>
      <c r="M8008">
        <v>0</v>
      </c>
      <c r="N8008">
        <v>0</v>
      </c>
      <c r="O8008">
        <v>74</v>
      </c>
    </row>
    <row r="8009" spans="1:15" x14ac:dyDescent="0.25">
      <c r="A8009" t="s">
        <v>940</v>
      </c>
      <c r="B8009" t="s">
        <v>2647</v>
      </c>
      <c r="C8009" t="s">
        <v>927</v>
      </c>
      <c r="D8009" t="s">
        <v>3052</v>
      </c>
      <c r="E8009" t="s">
        <v>3053</v>
      </c>
      <c r="F8009" t="s">
        <v>752</v>
      </c>
      <c r="G8009" t="s">
        <v>753</v>
      </c>
      <c r="H8009" t="s">
        <v>11362</v>
      </c>
      <c r="I8009">
        <v>75</v>
      </c>
      <c r="J8009">
        <v>0</v>
      </c>
      <c r="K8009">
        <v>0</v>
      </c>
      <c r="L8009">
        <v>0</v>
      </c>
      <c r="M8009">
        <v>59</v>
      </c>
      <c r="N8009">
        <v>0</v>
      </c>
      <c r="O8009">
        <v>16</v>
      </c>
    </row>
    <row r="8010" spans="1:15" x14ac:dyDescent="0.25">
      <c r="A8010" t="s">
        <v>1013</v>
      </c>
      <c r="B8010" t="s">
        <v>1959</v>
      </c>
      <c r="C8010" t="s">
        <v>927</v>
      </c>
      <c r="D8010" t="s">
        <v>3052</v>
      </c>
      <c r="E8010" t="s">
        <v>3053</v>
      </c>
      <c r="F8010" t="s">
        <v>752</v>
      </c>
      <c r="G8010" t="s">
        <v>753</v>
      </c>
      <c r="H8010" t="s">
        <v>11363</v>
      </c>
      <c r="I8010">
        <v>11</v>
      </c>
      <c r="J8010">
        <v>0</v>
      </c>
      <c r="K8010">
        <v>0</v>
      </c>
      <c r="L8010">
        <v>11</v>
      </c>
      <c r="M8010">
        <v>0</v>
      </c>
      <c r="N8010">
        <v>0</v>
      </c>
      <c r="O8010">
        <v>0</v>
      </c>
    </row>
    <row r="8011" spans="1:15" x14ac:dyDescent="0.25">
      <c r="A8011" t="s">
        <v>10667</v>
      </c>
      <c r="B8011" t="s">
        <v>10666</v>
      </c>
      <c r="C8011" t="s">
        <v>927</v>
      </c>
      <c r="D8011" t="s">
        <v>3052</v>
      </c>
      <c r="E8011" t="s">
        <v>3053</v>
      </c>
      <c r="F8011" t="s">
        <v>752</v>
      </c>
      <c r="G8011" t="s">
        <v>753</v>
      </c>
      <c r="H8011" t="s">
        <v>12393</v>
      </c>
      <c r="I8011">
        <v>27</v>
      </c>
      <c r="J8011">
        <v>27</v>
      </c>
      <c r="K8011">
        <v>0</v>
      </c>
      <c r="L8011">
        <v>0</v>
      </c>
      <c r="M8011">
        <v>0</v>
      </c>
      <c r="N8011">
        <v>0</v>
      </c>
      <c r="O8011">
        <v>0</v>
      </c>
    </row>
    <row r="8012" spans="1:15" x14ac:dyDescent="0.25">
      <c r="A8012" t="s">
        <v>1126</v>
      </c>
      <c r="B8012" t="s">
        <v>2130</v>
      </c>
      <c r="C8012" t="s">
        <v>927</v>
      </c>
      <c r="D8012" t="s">
        <v>3052</v>
      </c>
      <c r="E8012" t="s">
        <v>3053</v>
      </c>
      <c r="F8012" t="s">
        <v>752</v>
      </c>
      <c r="G8012" t="s">
        <v>753</v>
      </c>
      <c r="H8012" t="s">
        <v>8389</v>
      </c>
      <c r="I8012">
        <v>59</v>
      </c>
      <c r="J8012">
        <v>10</v>
      </c>
      <c r="K8012">
        <v>0</v>
      </c>
      <c r="L8012">
        <v>0</v>
      </c>
      <c r="M8012">
        <v>0</v>
      </c>
      <c r="N8012">
        <v>0</v>
      </c>
      <c r="O8012">
        <v>49</v>
      </c>
    </row>
    <row r="8013" spans="1:15" x14ac:dyDescent="0.25">
      <c r="A8013" t="s">
        <v>1025</v>
      </c>
      <c r="B8013" t="s">
        <v>2893</v>
      </c>
      <c r="C8013" t="s">
        <v>927</v>
      </c>
      <c r="D8013" t="s">
        <v>3052</v>
      </c>
      <c r="E8013" t="s">
        <v>3053</v>
      </c>
      <c r="F8013" t="s">
        <v>752</v>
      </c>
      <c r="G8013" t="s">
        <v>753</v>
      </c>
      <c r="H8013" t="s">
        <v>10196</v>
      </c>
      <c r="I8013">
        <v>103</v>
      </c>
      <c r="J8013">
        <v>52</v>
      </c>
      <c r="K8013">
        <v>0</v>
      </c>
      <c r="L8013">
        <v>0</v>
      </c>
      <c r="M8013">
        <v>0</v>
      </c>
      <c r="N8013">
        <v>0</v>
      </c>
      <c r="O8013">
        <v>51</v>
      </c>
    </row>
    <row r="8014" spans="1:15" x14ac:dyDescent="0.25">
      <c r="A8014" t="s">
        <v>1030</v>
      </c>
      <c r="B8014" t="s">
        <v>2880</v>
      </c>
      <c r="C8014" t="s">
        <v>927</v>
      </c>
      <c r="D8014" t="s">
        <v>3052</v>
      </c>
      <c r="E8014" t="s">
        <v>3053</v>
      </c>
      <c r="F8014" t="s">
        <v>752</v>
      </c>
      <c r="G8014" t="s">
        <v>753</v>
      </c>
      <c r="H8014" t="s">
        <v>12394</v>
      </c>
      <c r="I8014">
        <v>50</v>
      </c>
      <c r="J8014">
        <v>30</v>
      </c>
      <c r="K8014">
        <v>0</v>
      </c>
      <c r="L8014">
        <v>0</v>
      </c>
      <c r="M8014">
        <v>0</v>
      </c>
      <c r="N8014">
        <v>0</v>
      </c>
      <c r="O8014">
        <v>20</v>
      </c>
    </row>
    <row r="8015" spans="1:15" x14ac:dyDescent="0.25">
      <c r="A8015" t="s">
        <v>1747</v>
      </c>
      <c r="B8015" t="s">
        <v>2251</v>
      </c>
      <c r="C8015" t="s">
        <v>923</v>
      </c>
      <c r="D8015" t="s">
        <v>3063</v>
      </c>
      <c r="E8015" t="s">
        <v>3053</v>
      </c>
      <c r="F8015" t="s">
        <v>752</v>
      </c>
      <c r="G8015" t="s">
        <v>753</v>
      </c>
      <c r="H8015" t="s">
        <v>12395</v>
      </c>
      <c r="I8015">
        <v>46</v>
      </c>
      <c r="J8015">
        <v>0</v>
      </c>
      <c r="K8015">
        <v>0</v>
      </c>
      <c r="L8015">
        <v>0</v>
      </c>
      <c r="M8015">
        <v>46</v>
      </c>
      <c r="N8015">
        <v>0</v>
      </c>
      <c r="O8015">
        <v>0</v>
      </c>
    </row>
    <row r="8016" spans="1:15" x14ac:dyDescent="0.25">
      <c r="A8016" t="s">
        <v>1041</v>
      </c>
      <c r="B8016" t="s">
        <v>2826</v>
      </c>
      <c r="C8016" t="s">
        <v>927</v>
      </c>
      <c r="D8016" t="s">
        <v>3052</v>
      </c>
      <c r="E8016" t="s">
        <v>3053</v>
      </c>
      <c r="F8016" t="s">
        <v>752</v>
      </c>
      <c r="G8016" t="s">
        <v>753</v>
      </c>
      <c r="H8016" t="s">
        <v>8390</v>
      </c>
      <c r="I8016">
        <v>466</v>
      </c>
      <c r="J8016">
        <v>0</v>
      </c>
      <c r="K8016">
        <v>0</v>
      </c>
      <c r="L8016">
        <v>0</v>
      </c>
      <c r="M8016">
        <v>0</v>
      </c>
      <c r="N8016">
        <v>0</v>
      </c>
      <c r="O8016">
        <v>466</v>
      </c>
    </row>
    <row r="8017" spans="1:15" x14ac:dyDescent="0.25">
      <c r="A8017" t="s">
        <v>9787</v>
      </c>
      <c r="B8017" t="s">
        <v>2822</v>
      </c>
      <c r="C8017" t="s">
        <v>927</v>
      </c>
      <c r="D8017" t="s">
        <v>3052</v>
      </c>
      <c r="E8017" t="s">
        <v>3053</v>
      </c>
      <c r="F8017" t="s">
        <v>752</v>
      </c>
      <c r="G8017" t="s">
        <v>753</v>
      </c>
      <c r="H8017" t="s">
        <v>10281</v>
      </c>
      <c r="I8017">
        <v>6532</v>
      </c>
      <c r="J8017">
        <v>5742</v>
      </c>
      <c r="K8017">
        <v>2</v>
      </c>
      <c r="L8017">
        <v>33</v>
      </c>
      <c r="M8017">
        <v>738</v>
      </c>
      <c r="N8017">
        <v>17</v>
      </c>
      <c r="O8017">
        <v>17</v>
      </c>
    </row>
    <row r="8018" spans="1:15" x14ac:dyDescent="0.25">
      <c r="A8018" t="s">
        <v>1049</v>
      </c>
      <c r="B8018" t="s">
        <v>2138</v>
      </c>
      <c r="C8018" t="s">
        <v>927</v>
      </c>
      <c r="D8018" t="s">
        <v>3052</v>
      </c>
      <c r="E8018" t="s">
        <v>3053</v>
      </c>
      <c r="F8018" t="s">
        <v>752</v>
      </c>
      <c r="G8018" t="s">
        <v>753</v>
      </c>
      <c r="H8018" t="s">
        <v>8391</v>
      </c>
      <c r="I8018">
        <v>520</v>
      </c>
      <c r="J8018">
        <v>373</v>
      </c>
      <c r="K8018">
        <v>0</v>
      </c>
      <c r="L8018">
        <v>0</v>
      </c>
      <c r="M8018">
        <v>0</v>
      </c>
      <c r="N8018">
        <v>0</v>
      </c>
      <c r="O8018">
        <v>147</v>
      </c>
    </row>
    <row r="8019" spans="1:15" x14ac:dyDescent="0.25">
      <c r="A8019" t="s">
        <v>11720</v>
      </c>
      <c r="B8019" t="s">
        <v>10718</v>
      </c>
      <c r="C8019" t="s">
        <v>927</v>
      </c>
      <c r="D8019" t="s">
        <v>3052</v>
      </c>
      <c r="E8019" t="s">
        <v>3053</v>
      </c>
      <c r="F8019" t="s">
        <v>752</v>
      </c>
      <c r="G8019" t="s">
        <v>753</v>
      </c>
      <c r="H8019" t="s">
        <v>15289</v>
      </c>
      <c r="I8019">
        <v>151</v>
      </c>
      <c r="J8019">
        <v>54</v>
      </c>
      <c r="K8019">
        <v>0</v>
      </c>
      <c r="L8019">
        <v>0</v>
      </c>
      <c r="M8019">
        <v>0</v>
      </c>
      <c r="N8019">
        <v>0</v>
      </c>
      <c r="O8019">
        <v>97</v>
      </c>
    </row>
    <row r="8020" spans="1:15" x14ac:dyDescent="0.25">
      <c r="A8020" t="s">
        <v>9788</v>
      </c>
      <c r="B8020" t="s">
        <v>9871</v>
      </c>
      <c r="C8020" t="s">
        <v>927</v>
      </c>
      <c r="D8020" t="s">
        <v>3052</v>
      </c>
      <c r="E8020" t="s">
        <v>3053</v>
      </c>
      <c r="F8020" t="s">
        <v>752</v>
      </c>
      <c r="G8020" t="s">
        <v>753</v>
      </c>
      <c r="H8020" t="s">
        <v>10379</v>
      </c>
      <c r="I8020">
        <v>187</v>
      </c>
      <c r="J8020">
        <v>187</v>
      </c>
      <c r="K8020">
        <v>0</v>
      </c>
      <c r="L8020">
        <v>0</v>
      </c>
      <c r="M8020">
        <v>0</v>
      </c>
      <c r="N8020">
        <v>0</v>
      </c>
      <c r="O8020">
        <v>0</v>
      </c>
    </row>
    <row r="8021" spans="1:15" x14ac:dyDescent="0.25">
      <c r="A8021" t="s">
        <v>1835</v>
      </c>
      <c r="B8021" t="s">
        <v>2272</v>
      </c>
      <c r="C8021" t="s">
        <v>923</v>
      </c>
      <c r="D8021" t="s">
        <v>3063</v>
      </c>
      <c r="E8021" t="s">
        <v>3053</v>
      </c>
      <c r="F8021" t="s">
        <v>752</v>
      </c>
      <c r="G8021" t="s">
        <v>753</v>
      </c>
      <c r="H8021" t="s">
        <v>8392</v>
      </c>
      <c r="I8021">
        <v>10</v>
      </c>
      <c r="J8021">
        <v>10</v>
      </c>
      <c r="K8021">
        <v>0</v>
      </c>
      <c r="L8021">
        <v>0</v>
      </c>
      <c r="M8021">
        <v>0</v>
      </c>
      <c r="N8021">
        <v>0</v>
      </c>
      <c r="O8021">
        <v>0</v>
      </c>
    </row>
    <row r="8022" spans="1:15" x14ac:dyDescent="0.25">
      <c r="A8022" t="s">
        <v>1057</v>
      </c>
      <c r="B8022" t="s">
        <v>1972</v>
      </c>
      <c r="C8022" t="s">
        <v>927</v>
      </c>
      <c r="D8022" t="s">
        <v>3052</v>
      </c>
      <c r="E8022" t="s">
        <v>3053</v>
      </c>
      <c r="F8022" t="s">
        <v>752</v>
      </c>
      <c r="G8022" t="s">
        <v>753</v>
      </c>
      <c r="H8022" t="s">
        <v>8393</v>
      </c>
      <c r="I8022">
        <v>10</v>
      </c>
      <c r="J8022">
        <v>0</v>
      </c>
      <c r="K8022">
        <v>0</v>
      </c>
      <c r="L8022">
        <v>0</v>
      </c>
      <c r="M8022">
        <v>0</v>
      </c>
      <c r="N8022">
        <v>0</v>
      </c>
      <c r="O8022">
        <v>10</v>
      </c>
    </row>
    <row r="8023" spans="1:15" x14ac:dyDescent="0.25">
      <c r="A8023" t="s">
        <v>955</v>
      </c>
      <c r="B8023" t="s">
        <v>2660</v>
      </c>
      <c r="C8023" t="s">
        <v>927</v>
      </c>
      <c r="D8023" t="s">
        <v>3052</v>
      </c>
      <c r="E8023" t="s">
        <v>3053</v>
      </c>
      <c r="F8023" t="s">
        <v>752</v>
      </c>
      <c r="G8023" t="s">
        <v>753</v>
      </c>
      <c r="H8023" t="s">
        <v>8394</v>
      </c>
      <c r="I8023">
        <v>50</v>
      </c>
      <c r="J8023">
        <v>40</v>
      </c>
      <c r="K8023">
        <v>0</v>
      </c>
      <c r="L8023">
        <v>0</v>
      </c>
      <c r="M8023">
        <v>0</v>
      </c>
      <c r="N8023">
        <v>0</v>
      </c>
      <c r="O8023">
        <v>10</v>
      </c>
    </row>
    <row r="8024" spans="1:15" x14ac:dyDescent="0.25">
      <c r="A8024" t="s">
        <v>14374</v>
      </c>
      <c r="B8024" t="s">
        <v>1943</v>
      </c>
      <c r="C8024" t="s">
        <v>927</v>
      </c>
      <c r="D8024" t="s">
        <v>3052</v>
      </c>
      <c r="E8024" t="s">
        <v>3053</v>
      </c>
      <c r="F8024" t="s">
        <v>752</v>
      </c>
      <c r="G8024" t="s">
        <v>753</v>
      </c>
      <c r="H8024" t="s">
        <v>15290</v>
      </c>
      <c r="I8024">
        <v>43</v>
      </c>
      <c r="J8024">
        <v>0</v>
      </c>
      <c r="K8024">
        <v>0</v>
      </c>
      <c r="L8024">
        <v>0</v>
      </c>
      <c r="M8024">
        <v>0</v>
      </c>
      <c r="N8024">
        <v>0</v>
      </c>
      <c r="O8024">
        <v>43</v>
      </c>
    </row>
    <row r="8025" spans="1:15" x14ac:dyDescent="0.25">
      <c r="A8025" t="s">
        <v>1848</v>
      </c>
      <c r="B8025" t="s">
        <v>2620</v>
      </c>
      <c r="C8025" t="s">
        <v>923</v>
      </c>
      <c r="D8025" t="s">
        <v>3063</v>
      </c>
      <c r="E8025" t="s">
        <v>3053</v>
      </c>
      <c r="F8025" t="s">
        <v>752</v>
      </c>
      <c r="G8025" t="s">
        <v>753</v>
      </c>
      <c r="H8025" t="s">
        <v>15291</v>
      </c>
      <c r="I8025">
        <v>6</v>
      </c>
      <c r="J8025">
        <v>0</v>
      </c>
      <c r="K8025">
        <v>0</v>
      </c>
      <c r="L8025">
        <v>6</v>
      </c>
      <c r="M8025">
        <v>0</v>
      </c>
      <c r="N8025">
        <v>0</v>
      </c>
      <c r="O8025">
        <v>0</v>
      </c>
    </row>
    <row r="8026" spans="1:15" x14ac:dyDescent="0.25">
      <c r="A8026" t="s">
        <v>1849</v>
      </c>
      <c r="B8026" t="s">
        <v>2794</v>
      </c>
      <c r="C8026" t="s">
        <v>923</v>
      </c>
      <c r="D8026" t="s">
        <v>3063</v>
      </c>
      <c r="E8026" t="s">
        <v>3053</v>
      </c>
      <c r="F8026" t="s">
        <v>752</v>
      </c>
      <c r="G8026" t="s">
        <v>753</v>
      </c>
      <c r="H8026" t="s">
        <v>12396</v>
      </c>
      <c r="I8026">
        <v>15</v>
      </c>
      <c r="J8026">
        <v>0</v>
      </c>
      <c r="K8026">
        <v>0</v>
      </c>
      <c r="L8026">
        <v>15</v>
      </c>
      <c r="M8026">
        <v>0</v>
      </c>
      <c r="N8026">
        <v>0</v>
      </c>
      <c r="O8026">
        <v>0</v>
      </c>
    </row>
    <row r="8027" spans="1:15" x14ac:dyDescent="0.25">
      <c r="A8027" t="s">
        <v>962</v>
      </c>
      <c r="B8027" t="s">
        <v>2752</v>
      </c>
      <c r="C8027" t="s">
        <v>927</v>
      </c>
      <c r="D8027" t="s">
        <v>3052</v>
      </c>
      <c r="E8027" t="s">
        <v>3053</v>
      </c>
      <c r="F8027" t="s">
        <v>752</v>
      </c>
      <c r="G8027" t="s">
        <v>753</v>
      </c>
      <c r="H8027" t="s">
        <v>10454</v>
      </c>
      <c r="I8027">
        <v>507</v>
      </c>
      <c r="J8027">
        <v>373</v>
      </c>
      <c r="K8027">
        <v>0</v>
      </c>
      <c r="L8027">
        <v>0</v>
      </c>
      <c r="M8027">
        <v>0</v>
      </c>
      <c r="N8027">
        <v>0</v>
      </c>
      <c r="O8027">
        <v>134</v>
      </c>
    </row>
    <row r="8028" spans="1:15" x14ac:dyDescent="0.25">
      <c r="A8028" t="s">
        <v>1865</v>
      </c>
      <c r="B8028" t="s">
        <v>2866</v>
      </c>
      <c r="C8028" t="s">
        <v>927</v>
      </c>
      <c r="D8028" t="s">
        <v>3052</v>
      </c>
      <c r="E8028" t="s">
        <v>3053</v>
      </c>
      <c r="F8028" t="s">
        <v>752</v>
      </c>
      <c r="G8028" t="s">
        <v>753</v>
      </c>
      <c r="H8028" t="s">
        <v>15292</v>
      </c>
      <c r="I8028">
        <v>7</v>
      </c>
      <c r="J8028">
        <v>0</v>
      </c>
      <c r="K8028">
        <v>0</v>
      </c>
      <c r="L8028">
        <v>0</v>
      </c>
      <c r="M8028">
        <v>0</v>
      </c>
      <c r="N8028">
        <v>0</v>
      </c>
      <c r="O8028">
        <v>7</v>
      </c>
    </row>
    <row r="8029" spans="1:15" x14ac:dyDescent="0.25">
      <c r="A8029" t="s">
        <v>1866</v>
      </c>
      <c r="B8029" t="s">
        <v>2813</v>
      </c>
      <c r="C8029" t="s">
        <v>923</v>
      </c>
      <c r="D8029" t="s">
        <v>3063</v>
      </c>
      <c r="E8029" t="s">
        <v>3053</v>
      </c>
      <c r="F8029" t="s">
        <v>752</v>
      </c>
      <c r="G8029" t="s">
        <v>753</v>
      </c>
      <c r="H8029" t="s">
        <v>8395</v>
      </c>
      <c r="I8029">
        <v>390</v>
      </c>
      <c r="J8029">
        <v>390</v>
      </c>
      <c r="K8029">
        <v>0</v>
      </c>
      <c r="L8029">
        <v>0</v>
      </c>
      <c r="M8029">
        <v>0</v>
      </c>
      <c r="N8029">
        <v>4</v>
      </c>
      <c r="O8029">
        <v>0</v>
      </c>
    </row>
    <row r="8030" spans="1:15" x14ac:dyDescent="0.25">
      <c r="A8030" t="s">
        <v>1867</v>
      </c>
      <c r="B8030" t="s">
        <v>2285</v>
      </c>
      <c r="C8030" t="s">
        <v>923</v>
      </c>
      <c r="D8030" t="s">
        <v>3063</v>
      </c>
      <c r="E8030" t="s">
        <v>3053</v>
      </c>
      <c r="F8030" t="s">
        <v>752</v>
      </c>
      <c r="G8030" t="s">
        <v>753</v>
      </c>
      <c r="H8030" t="s">
        <v>8396</v>
      </c>
      <c r="I8030">
        <v>12</v>
      </c>
      <c r="J8030">
        <v>12</v>
      </c>
      <c r="K8030">
        <v>0</v>
      </c>
      <c r="L8030">
        <v>0</v>
      </c>
      <c r="M8030">
        <v>0</v>
      </c>
      <c r="N8030">
        <v>0</v>
      </c>
      <c r="O8030">
        <v>0</v>
      </c>
    </row>
    <row r="8031" spans="1:15" x14ac:dyDescent="0.25">
      <c r="A8031" t="s">
        <v>926</v>
      </c>
      <c r="B8031" t="s">
        <v>2923</v>
      </c>
      <c r="C8031" t="s">
        <v>927</v>
      </c>
      <c r="D8031" t="s">
        <v>3052</v>
      </c>
      <c r="E8031" t="s">
        <v>3053</v>
      </c>
      <c r="F8031" t="s">
        <v>754</v>
      </c>
      <c r="G8031" t="s">
        <v>755</v>
      </c>
      <c r="H8031" t="s">
        <v>8397</v>
      </c>
      <c r="I8031">
        <v>8</v>
      </c>
      <c r="J8031">
        <v>0</v>
      </c>
      <c r="K8031">
        <v>0</v>
      </c>
      <c r="L8031">
        <v>4</v>
      </c>
      <c r="M8031">
        <v>0</v>
      </c>
      <c r="N8031">
        <v>0</v>
      </c>
      <c r="O8031">
        <v>4</v>
      </c>
    </row>
    <row r="8032" spans="1:15" x14ac:dyDescent="0.25">
      <c r="A8032" t="s">
        <v>929</v>
      </c>
      <c r="B8032" t="s">
        <v>2999</v>
      </c>
      <c r="C8032" t="s">
        <v>927</v>
      </c>
      <c r="D8032" t="s">
        <v>3052</v>
      </c>
      <c r="E8032" t="s">
        <v>3053</v>
      </c>
      <c r="F8032" t="s">
        <v>754</v>
      </c>
      <c r="G8032" t="s">
        <v>755</v>
      </c>
      <c r="H8032" t="s">
        <v>8398</v>
      </c>
      <c r="I8032">
        <v>87</v>
      </c>
      <c r="J8032">
        <v>0</v>
      </c>
      <c r="K8032">
        <v>0</v>
      </c>
      <c r="L8032">
        <v>0</v>
      </c>
      <c r="M8032">
        <v>87</v>
      </c>
      <c r="N8032">
        <v>0</v>
      </c>
      <c r="O8032">
        <v>0</v>
      </c>
    </row>
    <row r="8033" spans="1:15" x14ac:dyDescent="0.25">
      <c r="A8033" t="s">
        <v>931</v>
      </c>
      <c r="B8033" t="s">
        <v>1978</v>
      </c>
      <c r="C8033" t="s">
        <v>927</v>
      </c>
      <c r="D8033" t="s">
        <v>3052</v>
      </c>
      <c r="E8033" t="s">
        <v>3053</v>
      </c>
      <c r="F8033" t="s">
        <v>754</v>
      </c>
      <c r="G8033" t="s">
        <v>755</v>
      </c>
      <c r="H8033" t="s">
        <v>8399</v>
      </c>
      <c r="I8033">
        <v>69</v>
      </c>
      <c r="J8033">
        <v>39</v>
      </c>
      <c r="K8033">
        <v>0</v>
      </c>
      <c r="L8033">
        <v>0</v>
      </c>
      <c r="M8033">
        <v>0</v>
      </c>
      <c r="N8033">
        <v>0</v>
      </c>
      <c r="O8033">
        <v>30</v>
      </c>
    </row>
    <row r="8034" spans="1:15" x14ac:dyDescent="0.25">
      <c r="A8034" t="s">
        <v>9790</v>
      </c>
      <c r="B8034" t="s">
        <v>1977</v>
      </c>
      <c r="C8034" t="s">
        <v>923</v>
      </c>
      <c r="D8034" t="s">
        <v>3063</v>
      </c>
      <c r="E8034" t="s">
        <v>3053</v>
      </c>
      <c r="F8034" t="s">
        <v>754</v>
      </c>
      <c r="G8034" t="s">
        <v>755</v>
      </c>
      <c r="H8034" t="s">
        <v>12397</v>
      </c>
      <c r="I8034">
        <v>4</v>
      </c>
      <c r="J8034">
        <v>0</v>
      </c>
      <c r="K8034">
        <v>0</v>
      </c>
      <c r="L8034">
        <v>4</v>
      </c>
      <c r="M8034">
        <v>0</v>
      </c>
      <c r="N8034">
        <v>0</v>
      </c>
      <c r="O8034">
        <v>0</v>
      </c>
    </row>
    <row r="8035" spans="1:15" x14ac:dyDescent="0.25">
      <c r="A8035" t="s">
        <v>1094</v>
      </c>
      <c r="B8035" t="s">
        <v>2742</v>
      </c>
      <c r="C8035" t="s">
        <v>923</v>
      </c>
      <c r="D8035" t="s">
        <v>3063</v>
      </c>
      <c r="E8035" t="s">
        <v>3053</v>
      </c>
      <c r="F8035" t="s">
        <v>754</v>
      </c>
      <c r="G8035" t="s">
        <v>755</v>
      </c>
      <c r="H8035" t="s">
        <v>8400</v>
      </c>
      <c r="I8035">
        <v>37</v>
      </c>
      <c r="J8035">
        <v>23</v>
      </c>
      <c r="K8035">
        <v>0</v>
      </c>
      <c r="L8035">
        <v>14</v>
      </c>
      <c r="M8035">
        <v>0</v>
      </c>
      <c r="N8035">
        <v>0</v>
      </c>
      <c r="O8035">
        <v>0</v>
      </c>
    </row>
    <row r="8036" spans="1:15" x14ac:dyDescent="0.25">
      <c r="A8036" t="s">
        <v>1212</v>
      </c>
      <c r="B8036" t="s">
        <v>2004</v>
      </c>
      <c r="C8036" t="s">
        <v>923</v>
      </c>
      <c r="D8036" t="s">
        <v>3063</v>
      </c>
      <c r="E8036" t="s">
        <v>3053</v>
      </c>
      <c r="F8036" t="s">
        <v>754</v>
      </c>
      <c r="G8036" t="s">
        <v>755</v>
      </c>
      <c r="H8036" t="s">
        <v>10006</v>
      </c>
      <c r="I8036">
        <v>8</v>
      </c>
      <c r="J8036">
        <v>0</v>
      </c>
      <c r="K8036">
        <v>0</v>
      </c>
      <c r="L8036">
        <v>8</v>
      </c>
      <c r="M8036">
        <v>0</v>
      </c>
      <c r="N8036">
        <v>0</v>
      </c>
      <c r="O8036">
        <v>0</v>
      </c>
    </row>
    <row r="8037" spans="1:15" x14ac:dyDescent="0.25">
      <c r="A8037" t="s">
        <v>983</v>
      </c>
      <c r="B8037" t="s">
        <v>2069</v>
      </c>
      <c r="C8037" t="s">
        <v>927</v>
      </c>
      <c r="D8037" t="s">
        <v>3052</v>
      </c>
      <c r="E8037" t="s">
        <v>3053</v>
      </c>
      <c r="F8037" t="s">
        <v>754</v>
      </c>
      <c r="G8037" t="s">
        <v>755</v>
      </c>
      <c r="H8037" t="s">
        <v>8401</v>
      </c>
      <c r="I8037">
        <v>300</v>
      </c>
      <c r="J8037">
        <v>230</v>
      </c>
      <c r="K8037">
        <v>0</v>
      </c>
      <c r="L8037">
        <v>7</v>
      </c>
      <c r="M8037">
        <v>0</v>
      </c>
      <c r="N8037">
        <v>0</v>
      </c>
      <c r="O8037">
        <v>63</v>
      </c>
    </row>
    <row r="8038" spans="1:15" x14ac:dyDescent="0.25">
      <c r="A8038" t="s">
        <v>1590</v>
      </c>
      <c r="B8038" t="s">
        <v>2853</v>
      </c>
      <c r="C8038" t="s">
        <v>927</v>
      </c>
      <c r="D8038" t="s">
        <v>3052</v>
      </c>
      <c r="E8038" t="s">
        <v>3053</v>
      </c>
      <c r="F8038" t="s">
        <v>754</v>
      </c>
      <c r="G8038" t="s">
        <v>755</v>
      </c>
      <c r="H8038" t="s">
        <v>8402</v>
      </c>
      <c r="I8038">
        <v>62</v>
      </c>
      <c r="J8038">
        <v>42</v>
      </c>
      <c r="K8038">
        <v>0</v>
      </c>
      <c r="L8038">
        <v>0</v>
      </c>
      <c r="M8038">
        <v>0</v>
      </c>
      <c r="N8038">
        <v>0</v>
      </c>
      <c r="O8038">
        <v>20</v>
      </c>
    </row>
    <row r="8039" spans="1:15" x14ac:dyDescent="0.25">
      <c r="A8039" t="s">
        <v>996</v>
      </c>
      <c r="B8039" t="s">
        <v>1952</v>
      </c>
      <c r="C8039" t="s">
        <v>923</v>
      </c>
      <c r="D8039" t="s">
        <v>3063</v>
      </c>
      <c r="E8039" t="s">
        <v>3053</v>
      </c>
      <c r="F8039" t="s">
        <v>754</v>
      </c>
      <c r="G8039" t="s">
        <v>755</v>
      </c>
      <c r="H8039" t="s">
        <v>15293</v>
      </c>
      <c r="I8039">
        <v>7</v>
      </c>
      <c r="J8039">
        <v>0</v>
      </c>
      <c r="K8039">
        <v>0</v>
      </c>
      <c r="L8039">
        <v>7</v>
      </c>
      <c r="M8039">
        <v>0</v>
      </c>
      <c r="N8039">
        <v>0</v>
      </c>
      <c r="O8039">
        <v>0</v>
      </c>
    </row>
    <row r="8040" spans="1:15" x14ac:dyDescent="0.25">
      <c r="A8040" t="s">
        <v>1729</v>
      </c>
      <c r="B8040" t="s">
        <v>2943</v>
      </c>
      <c r="C8040" t="s">
        <v>923</v>
      </c>
      <c r="D8040" t="s">
        <v>3063</v>
      </c>
      <c r="E8040" t="s">
        <v>3053</v>
      </c>
      <c r="F8040" t="s">
        <v>754</v>
      </c>
      <c r="G8040" t="s">
        <v>755</v>
      </c>
      <c r="H8040" t="s">
        <v>8403</v>
      </c>
      <c r="I8040">
        <v>6</v>
      </c>
      <c r="J8040">
        <v>6</v>
      </c>
      <c r="K8040">
        <v>0</v>
      </c>
      <c r="L8040">
        <v>0</v>
      </c>
      <c r="M8040">
        <v>0</v>
      </c>
      <c r="N8040">
        <v>0</v>
      </c>
      <c r="O8040">
        <v>0</v>
      </c>
    </row>
    <row r="8041" spans="1:15" x14ac:dyDescent="0.25">
      <c r="A8041" t="s">
        <v>11660</v>
      </c>
      <c r="B8041" t="s">
        <v>2041</v>
      </c>
      <c r="C8041" t="s">
        <v>923</v>
      </c>
      <c r="D8041" t="s">
        <v>3063</v>
      </c>
      <c r="E8041" t="s">
        <v>3053</v>
      </c>
      <c r="F8041" t="s">
        <v>754</v>
      </c>
      <c r="G8041" t="s">
        <v>755</v>
      </c>
      <c r="H8041" t="s">
        <v>12398</v>
      </c>
      <c r="I8041">
        <v>12</v>
      </c>
      <c r="J8041">
        <v>0</v>
      </c>
      <c r="K8041">
        <v>0</v>
      </c>
      <c r="L8041">
        <v>12</v>
      </c>
      <c r="M8041">
        <v>0</v>
      </c>
      <c r="N8041">
        <v>0</v>
      </c>
      <c r="O8041">
        <v>0</v>
      </c>
    </row>
    <row r="8042" spans="1:15" x14ac:dyDescent="0.25">
      <c r="A8042" t="s">
        <v>998</v>
      </c>
      <c r="B8042" t="s">
        <v>2820</v>
      </c>
      <c r="C8042" t="s">
        <v>927</v>
      </c>
      <c r="D8042" t="s">
        <v>3052</v>
      </c>
      <c r="E8042" t="s">
        <v>3053</v>
      </c>
      <c r="F8042" t="s">
        <v>754</v>
      </c>
      <c r="G8042" t="s">
        <v>755</v>
      </c>
      <c r="H8042" t="s">
        <v>15294</v>
      </c>
      <c r="I8042">
        <v>41</v>
      </c>
      <c r="J8042">
        <v>39</v>
      </c>
      <c r="K8042">
        <v>0</v>
      </c>
      <c r="L8042">
        <v>0</v>
      </c>
      <c r="M8042">
        <v>0</v>
      </c>
      <c r="N8042">
        <v>0</v>
      </c>
      <c r="O8042">
        <v>2</v>
      </c>
    </row>
    <row r="8043" spans="1:15" x14ac:dyDescent="0.25">
      <c r="A8043" t="s">
        <v>1000</v>
      </c>
      <c r="B8043" t="s">
        <v>1984</v>
      </c>
      <c r="C8043" t="s">
        <v>923</v>
      </c>
      <c r="D8043" t="s">
        <v>3063</v>
      </c>
      <c r="E8043" t="s">
        <v>3053</v>
      </c>
      <c r="F8043" t="s">
        <v>754</v>
      </c>
      <c r="G8043" t="s">
        <v>755</v>
      </c>
      <c r="H8043" t="s">
        <v>8404</v>
      </c>
      <c r="I8043">
        <v>1</v>
      </c>
      <c r="J8043">
        <v>0</v>
      </c>
      <c r="K8043">
        <v>0</v>
      </c>
      <c r="L8043">
        <v>1</v>
      </c>
      <c r="M8043">
        <v>0</v>
      </c>
      <c r="N8043">
        <v>0</v>
      </c>
      <c r="O8043">
        <v>0</v>
      </c>
    </row>
    <row r="8044" spans="1:15" x14ac:dyDescent="0.25">
      <c r="A8044" t="s">
        <v>1734</v>
      </c>
      <c r="B8044" t="s">
        <v>2939</v>
      </c>
      <c r="C8044" t="s">
        <v>923</v>
      </c>
      <c r="D8044" t="s">
        <v>3063</v>
      </c>
      <c r="E8044" t="s">
        <v>3053</v>
      </c>
      <c r="F8044" t="s">
        <v>754</v>
      </c>
      <c r="G8044" t="s">
        <v>755</v>
      </c>
      <c r="H8044" t="s">
        <v>8405</v>
      </c>
      <c r="I8044">
        <v>7</v>
      </c>
      <c r="J8044">
        <v>7</v>
      </c>
      <c r="K8044">
        <v>0</v>
      </c>
      <c r="L8044">
        <v>0</v>
      </c>
      <c r="M8044">
        <v>0</v>
      </c>
      <c r="N8044">
        <v>0</v>
      </c>
      <c r="O8044">
        <v>0</v>
      </c>
    </row>
    <row r="8045" spans="1:15" x14ac:dyDescent="0.25">
      <c r="A8045" t="s">
        <v>10635</v>
      </c>
      <c r="B8045" t="s">
        <v>9860</v>
      </c>
      <c r="C8045" t="s">
        <v>923</v>
      </c>
      <c r="D8045" t="s">
        <v>3063</v>
      </c>
      <c r="E8045" t="s">
        <v>3053</v>
      </c>
      <c r="F8045" t="s">
        <v>754</v>
      </c>
      <c r="G8045" t="s">
        <v>755</v>
      </c>
      <c r="H8045" t="s">
        <v>11364</v>
      </c>
      <c r="I8045">
        <v>2</v>
      </c>
      <c r="J8045">
        <v>2</v>
      </c>
      <c r="K8045">
        <v>0</v>
      </c>
      <c r="L8045">
        <v>0</v>
      </c>
      <c r="M8045">
        <v>0</v>
      </c>
      <c r="N8045">
        <v>0</v>
      </c>
      <c r="O8045">
        <v>0</v>
      </c>
    </row>
    <row r="8046" spans="1:15" x14ac:dyDescent="0.25">
      <c r="A8046" t="s">
        <v>1737</v>
      </c>
      <c r="B8046" t="s">
        <v>1933</v>
      </c>
      <c r="C8046" t="s">
        <v>927</v>
      </c>
      <c r="D8046" t="s">
        <v>3052</v>
      </c>
      <c r="E8046" t="s">
        <v>3053</v>
      </c>
      <c r="F8046" t="s">
        <v>754</v>
      </c>
      <c r="G8046" t="s">
        <v>755</v>
      </c>
      <c r="H8046" t="s">
        <v>8406</v>
      </c>
      <c r="I8046">
        <v>102</v>
      </c>
      <c r="J8046">
        <v>43</v>
      </c>
      <c r="K8046">
        <v>0</v>
      </c>
      <c r="L8046">
        <v>5</v>
      </c>
      <c r="M8046">
        <v>0</v>
      </c>
      <c r="N8046">
        <v>0</v>
      </c>
      <c r="O8046">
        <v>54</v>
      </c>
    </row>
    <row r="8047" spans="1:15" x14ac:dyDescent="0.25">
      <c r="A8047" t="s">
        <v>10643</v>
      </c>
      <c r="B8047" t="s">
        <v>2987</v>
      </c>
      <c r="C8047" t="s">
        <v>927</v>
      </c>
      <c r="D8047" t="s">
        <v>3052</v>
      </c>
      <c r="E8047" t="s">
        <v>3053</v>
      </c>
      <c r="F8047" t="s">
        <v>754</v>
      </c>
      <c r="G8047" t="s">
        <v>755</v>
      </c>
      <c r="H8047" t="s">
        <v>11365</v>
      </c>
      <c r="I8047">
        <v>227</v>
      </c>
      <c r="J8047">
        <v>149</v>
      </c>
      <c r="K8047">
        <v>0</v>
      </c>
      <c r="L8047">
        <v>14</v>
      </c>
      <c r="M8047">
        <v>0</v>
      </c>
      <c r="N8047">
        <v>0</v>
      </c>
      <c r="O8047">
        <v>64</v>
      </c>
    </row>
    <row r="8048" spans="1:15" x14ac:dyDescent="0.25">
      <c r="A8048" t="s">
        <v>937</v>
      </c>
      <c r="B8048" t="s">
        <v>1962</v>
      </c>
      <c r="C8048" t="s">
        <v>927</v>
      </c>
      <c r="D8048" t="s">
        <v>3052</v>
      </c>
      <c r="E8048" t="s">
        <v>3053</v>
      </c>
      <c r="F8048" t="s">
        <v>754</v>
      </c>
      <c r="G8048" t="s">
        <v>755</v>
      </c>
      <c r="H8048" t="s">
        <v>8407</v>
      </c>
      <c r="I8048">
        <v>116</v>
      </c>
      <c r="J8048">
        <v>0</v>
      </c>
      <c r="K8048">
        <v>0</v>
      </c>
      <c r="L8048">
        <v>0</v>
      </c>
      <c r="M8048">
        <v>0</v>
      </c>
      <c r="N8048">
        <v>0</v>
      </c>
      <c r="O8048">
        <v>116</v>
      </c>
    </row>
    <row r="8049" spans="1:15" x14ac:dyDescent="0.25">
      <c r="A8049" t="s">
        <v>1011</v>
      </c>
      <c r="B8049" t="s">
        <v>2020</v>
      </c>
      <c r="C8049" t="s">
        <v>927</v>
      </c>
      <c r="D8049" t="s">
        <v>3052</v>
      </c>
      <c r="E8049" t="s">
        <v>3053</v>
      </c>
      <c r="F8049" t="s">
        <v>754</v>
      </c>
      <c r="G8049" t="s">
        <v>755</v>
      </c>
      <c r="H8049" t="s">
        <v>8408</v>
      </c>
      <c r="I8049">
        <v>13</v>
      </c>
      <c r="J8049">
        <v>0</v>
      </c>
      <c r="K8049">
        <v>0</v>
      </c>
      <c r="L8049">
        <v>13</v>
      </c>
      <c r="M8049">
        <v>0</v>
      </c>
      <c r="N8049">
        <v>0</v>
      </c>
      <c r="O8049">
        <v>0</v>
      </c>
    </row>
    <row r="8050" spans="1:15" x14ac:dyDescent="0.25">
      <c r="A8050" t="s">
        <v>938</v>
      </c>
      <c r="B8050" t="s">
        <v>2791</v>
      </c>
      <c r="C8050" t="s">
        <v>927</v>
      </c>
      <c r="D8050" t="s">
        <v>3052</v>
      </c>
      <c r="E8050" t="s">
        <v>3053</v>
      </c>
      <c r="F8050" t="s">
        <v>754</v>
      </c>
      <c r="G8050" t="s">
        <v>755</v>
      </c>
      <c r="H8050" t="s">
        <v>8409</v>
      </c>
      <c r="I8050">
        <v>9</v>
      </c>
      <c r="J8050">
        <v>0</v>
      </c>
      <c r="K8050">
        <v>0</v>
      </c>
      <c r="L8050">
        <v>9</v>
      </c>
      <c r="M8050">
        <v>0</v>
      </c>
      <c r="N8050">
        <v>0</v>
      </c>
      <c r="O8050">
        <v>0</v>
      </c>
    </row>
    <row r="8051" spans="1:15" x14ac:dyDescent="0.25">
      <c r="A8051" t="s">
        <v>940</v>
      </c>
      <c r="B8051" t="s">
        <v>2647</v>
      </c>
      <c r="C8051" t="s">
        <v>927</v>
      </c>
      <c r="D8051" t="s">
        <v>3052</v>
      </c>
      <c r="E8051" t="s">
        <v>3053</v>
      </c>
      <c r="F8051" t="s">
        <v>754</v>
      </c>
      <c r="G8051" t="s">
        <v>755</v>
      </c>
      <c r="H8051" t="s">
        <v>8410</v>
      </c>
      <c r="I8051">
        <v>33</v>
      </c>
      <c r="J8051">
        <v>0</v>
      </c>
      <c r="K8051">
        <v>0</v>
      </c>
      <c r="L8051">
        <v>0</v>
      </c>
      <c r="M8051">
        <v>33</v>
      </c>
      <c r="N8051">
        <v>0</v>
      </c>
      <c r="O8051">
        <v>0</v>
      </c>
    </row>
    <row r="8052" spans="1:15" x14ac:dyDescent="0.25">
      <c r="A8052" t="s">
        <v>942</v>
      </c>
      <c r="B8052" t="s">
        <v>2113</v>
      </c>
      <c r="C8052" t="s">
        <v>927</v>
      </c>
      <c r="D8052" t="s">
        <v>3052</v>
      </c>
      <c r="E8052" t="s">
        <v>3053</v>
      </c>
      <c r="F8052" t="s">
        <v>754</v>
      </c>
      <c r="G8052" t="s">
        <v>755</v>
      </c>
      <c r="H8052" t="s">
        <v>8411</v>
      </c>
      <c r="I8052">
        <v>101</v>
      </c>
      <c r="J8052">
        <v>70</v>
      </c>
      <c r="K8052">
        <v>0</v>
      </c>
      <c r="L8052">
        <v>13</v>
      </c>
      <c r="M8052">
        <v>0</v>
      </c>
      <c r="N8052">
        <v>0</v>
      </c>
      <c r="O8052">
        <v>18</v>
      </c>
    </row>
    <row r="8053" spans="1:15" x14ac:dyDescent="0.25">
      <c r="A8053" t="s">
        <v>10681</v>
      </c>
      <c r="B8053" t="s">
        <v>10680</v>
      </c>
      <c r="C8053" t="s">
        <v>927</v>
      </c>
      <c r="D8053" t="s">
        <v>3052</v>
      </c>
      <c r="E8053" t="s">
        <v>3053</v>
      </c>
      <c r="F8053" t="s">
        <v>754</v>
      </c>
      <c r="G8053" t="s">
        <v>755</v>
      </c>
      <c r="H8053" t="s">
        <v>15295</v>
      </c>
      <c r="I8053">
        <v>1</v>
      </c>
      <c r="J8053">
        <v>0</v>
      </c>
      <c r="K8053">
        <v>0</v>
      </c>
      <c r="L8053">
        <v>0</v>
      </c>
      <c r="M8053">
        <v>0</v>
      </c>
      <c r="N8053">
        <v>0</v>
      </c>
      <c r="O8053">
        <v>1</v>
      </c>
    </row>
    <row r="8054" spans="1:15" x14ac:dyDescent="0.25">
      <c r="A8054" t="s">
        <v>1745</v>
      </c>
      <c r="B8054" t="s">
        <v>2884</v>
      </c>
      <c r="C8054" t="s">
        <v>927</v>
      </c>
      <c r="D8054" t="s">
        <v>3052</v>
      </c>
      <c r="E8054" t="s">
        <v>3053</v>
      </c>
      <c r="F8054" t="s">
        <v>754</v>
      </c>
      <c r="G8054" t="s">
        <v>755</v>
      </c>
      <c r="H8054" t="s">
        <v>8412</v>
      </c>
      <c r="I8054">
        <v>102</v>
      </c>
      <c r="J8054">
        <v>67</v>
      </c>
      <c r="K8054">
        <v>0</v>
      </c>
      <c r="L8054">
        <v>0</v>
      </c>
      <c r="M8054">
        <v>0</v>
      </c>
      <c r="N8054">
        <v>0</v>
      </c>
      <c r="O8054">
        <v>35</v>
      </c>
    </row>
    <row r="8055" spans="1:15" x14ac:dyDescent="0.25">
      <c r="A8055" t="s">
        <v>951</v>
      </c>
      <c r="B8055" t="s">
        <v>2680</v>
      </c>
      <c r="C8055" t="s">
        <v>927</v>
      </c>
      <c r="D8055" t="s">
        <v>3052</v>
      </c>
      <c r="E8055" t="s">
        <v>3053</v>
      </c>
      <c r="F8055" t="s">
        <v>754</v>
      </c>
      <c r="G8055" t="s">
        <v>755</v>
      </c>
      <c r="H8055" t="s">
        <v>8413</v>
      </c>
      <c r="I8055">
        <v>13</v>
      </c>
      <c r="J8055">
        <v>7</v>
      </c>
      <c r="K8055">
        <v>0</v>
      </c>
      <c r="L8055">
        <v>0</v>
      </c>
      <c r="M8055">
        <v>0</v>
      </c>
      <c r="N8055">
        <v>0</v>
      </c>
      <c r="O8055">
        <v>6</v>
      </c>
    </row>
    <row r="8056" spans="1:15" x14ac:dyDescent="0.25">
      <c r="A8056" t="s">
        <v>1048</v>
      </c>
      <c r="B8056" t="s">
        <v>2989</v>
      </c>
      <c r="C8056" t="s">
        <v>927</v>
      </c>
      <c r="D8056" t="s">
        <v>3052</v>
      </c>
      <c r="E8056" t="s">
        <v>3053</v>
      </c>
      <c r="F8056" t="s">
        <v>754</v>
      </c>
      <c r="G8056" t="s">
        <v>755</v>
      </c>
      <c r="H8056" t="s">
        <v>8414</v>
      </c>
      <c r="I8056">
        <v>8</v>
      </c>
      <c r="J8056">
        <v>8</v>
      </c>
      <c r="K8056">
        <v>0</v>
      </c>
      <c r="L8056">
        <v>0</v>
      </c>
      <c r="M8056">
        <v>0</v>
      </c>
      <c r="N8056">
        <v>0</v>
      </c>
      <c r="O8056">
        <v>0</v>
      </c>
    </row>
    <row r="8057" spans="1:15" x14ac:dyDescent="0.25">
      <c r="A8057" t="s">
        <v>1049</v>
      </c>
      <c r="B8057" t="s">
        <v>2138</v>
      </c>
      <c r="C8057" t="s">
        <v>927</v>
      </c>
      <c r="D8057" t="s">
        <v>3052</v>
      </c>
      <c r="E8057" t="s">
        <v>3053</v>
      </c>
      <c r="F8057" t="s">
        <v>754</v>
      </c>
      <c r="G8057" t="s">
        <v>755</v>
      </c>
      <c r="H8057" t="s">
        <v>8415</v>
      </c>
      <c r="I8057">
        <v>116</v>
      </c>
      <c r="J8057">
        <v>53</v>
      </c>
      <c r="K8057">
        <v>0</v>
      </c>
      <c r="L8057">
        <v>0</v>
      </c>
      <c r="M8057">
        <v>0</v>
      </c>
      <c r="N8057">
        <v>0</v>
      </c>
      <c r="O8057">
        <v>63</v>
      </c>
    </row>
    <row r="8058" spans="1:15" x14ac:dyDescent="0.25">
      <c r="A8058" t="s">
        <v>1758</v>
      </c>
      <c r="B8058" t="s">
        <v>2997</v>
      </c>
      <c r="C8058" t="s">
        <v>927</v>
      </c>
      <c r="D8058" t="s">
        <v>3052</v>
      </c>
      <c r="E8058" t="s">
        <v>3053</v>
      </c>
      <c r="F8058" t="s">
        <v>754</v>
      </c>
      <c r="G8058" t="s">
        <v>755</v>
      </c>
      <c r="H8058" t="s">
        <v>8416</v>
      </c>
      <c r="I8058">
        <v>51</v>
      </c>
      <c r="J8058">
        <v>44</v>
      </c>
      <c r="K8058">
        <v>4</v>
      </c>
      <c r="L8058">
        <v>3</v>
      </c>
      <c r="M8058">
        <v>0</v>
      </c>
      <c r="N8058">
        <v>0</v>
      </c>
      <c r="O8058">
        <v>0</v>
      </c>
    </row>
    <row r="8059" spans="1:15" x14ac:dyDescent="0.25">
      <c r="A8059" t="s">
        <v>11720</v>
      </c>
      <c r="B8059" t="s">
        <v>10718</v>
      </c>
      <c r="C8059" t="s">
        <v>927</v>
      </c>
      <c r="D8059" t="s">
        <v>3052</v>
      </c>
      <c r="E8059" t="s">
        <v>3053</v>
      </c>
      <c r="F8059" t="s">
        <v>754</v>
      </c>
      <c r="G8059" t="s">
        <v>755</v>
      </c>
      <c r="H8059" t="s">
        <v>15296</v>
      </c>
      <c r="I8059">
        <v>20</v>
      </c>
      <c r="J8059">
        <v>6</v>
      </c>
      <c r="K8059">
        <v>0</v>
      </c>
      <c r="L8059">
        <v>0</v>
      </c>
      <c r="M8059">
        <v>0</v>
      </c>
      <c r="N8059">
        <v>0</v>
      </c>
      <c r="O8059">
        <v>14</v>
      </c>
    </row>
    <row r="8060" spans="1:15" x14ac:dyDescent="0.25">
      <c r="A8060" t="s">
        <v>9788</v>
      </c>
      <c r="B8060" t="s">
        <v>9871</v>
      </c>
      <c r="C8060" t="s">
        <v>927</v>
      </c>
      <c r="D8060" t="s">
        <v>3052</v>
      </c>
      <c r="E8060" t="s">
        <v>3053</v>
      </c>
      <c r="F8060" t="s">
        <v>754</v>
      </c>
      <c r="G8060" t="s">
        <v>755</v>
      </c>
      <c r="H8060" t="s">
        <v>11366</v>
      </c>
      <c r="I8060">
        <v>6</v>
      </c>
      <c r="J8060">
        <v>6</v>
      </c>
      <c r="K8060">
        <v>0</v>
      </c>
      <c r="L8060">
        <v>0</v>
      </c>
      <c r="M8060">
        <v>0</v>
      </c>
      <c r="N8060">
        <v>0</v>
      </c>
      <c r="O8060">
        <v>0</v>
      </c>
    </row>
    <row r="8061" spans="1:15" x14ac:dyDescent="0.25">
      <c r="A8061" t="s">
        <v>1056</v>
      </c>
      <c r="B8061" t="s">
        <v>2966</v>
      </c>
      <c r="C8061" t="s">
        <v>927</v>
      </c>
      <c r="D8061" t="s">
        <v>3052</v>
      </c>
      <c r="E8061" t="s">
        <v>3053</v>
      </c>
      <c r="F8061" t="s">
        <v>754</v>
      </c>
      <c r="G8061" t="s">
        <v>755</v>
      </c>
      <c r="H8061" t="s">
        <v>8417</v>
      </c>
      <c r="I8061">
        <v>46</v>
      </c>
      <c r="J8061">
        <v>46</v>
      </c>
      <c r="K8061">
        <v>0</v>
      </c>
      <c r="L8061">
        <v>0</v>
      </c>
      <c r="M8061">
        <v>0</v>
      </c>
      <c r="N8061">
        <v>0</v>
      </c>
      <c r="O8061">
        <v>0</v>
      </c>
    </row>
    <row r="8062" spans="1:15" x14ac:dyDescent="0.25">
      <c r="A8062" t="s">
        <v>1057</v>
      </c>
      <c r="B8062" t="s">
        <v>1972</v>
      </c>
      <c r="C8062" t="s">
        <v>927</v>
      </c>
      <c r="D8062" t="s">
        <v>3052</v>
      </c>
      <c r="E8062" t="s">
        <v>3053</v>
      </c>
      <c r="F8062" t="s">
        <v>754</v>
      </c>
      <c r="G8062" t="s">
        <v>755</v>
      </c>
      <c r="H8062" t="s">
        <v>8418</v>
      </c>
      <c r="I8062">
        <v>59</v>
      </c>
      <c r="J8062">
        <v>35</v>
      </c>
      <c r="K8062">
        <v>0</v>
      </c>
      <c r="L8062">
        <v>0</v>
      </c>
      <c r="M8062">
        <v>0</v>
      </c>
      <c r="N8062">
        <v>0</v>
      </c>
      <c r="O8062">
        <v>24</v>
      </c>
    </row>
    <row r="8063" spans="1:15" x14ac:dyDescent="0.25">
      <c r="A8063" t="s">
        <v>955</v>
      </c>
      <c r="B8063" t="s">
        <v>2660</v>
      </c>
      <c r="C8063" t="s">
        <v>927</v>
      </c>
      <c r="D8063" t="s">
        <v>3052</v>
      </c>
      <c r="E8063" t="s">
        <v>3053</v>
      </c>
      <c r="F8063" t="s">
        <v>754</v>
      </c>
      <c r="G8063" t="s">
        <v>755</v>
      </c>
      <c r="H8063" t="s">
        <v>8419</v>
      </c>
      <c r="I8063">
        <v>314</v>
      </c>
      <c r="J8063">
        <v>268</v>
      </c>
      <c r="K8063">
        <v>0</v>
      </c>
      <c r="L8063">
        <v>4</v>
      </c>
      <c r="M8063">
        <v>20</v>
      </c>
      <c r="N8063">
        <v>0</v>
      </c>
      <c r="O8063">
        <v>22</v>
      </c>
    </row>
    <row r="8064" spans="1:15" x14ac:dyDescent="0.25">
      <c r="A8064" t="s">
        <v>960</v>
      </c>
      <c r="B8064" t="s">
        <v>2080</v>
      </c>
      <c r="C8064" t="s">
        <v>927</v>
      </c>
      <c r="D8064" t="s">
        <v>3052</v>
      </c>
      <c r="E8064" t="s">
        <v>3053</v>
      </c>
      <c r="F8064" t="s">
        <v>754</v>
      </c>
      <c r="G8064" t="s">
        <v>755</v>
      </c>
      <c r="H8064" t="s">
        <v>8420</v>
      </c>
      <c r="I8064">
        <v>560</v>
      </c>
      <c r="J8064">
        <v>330</v>
      </c>
      <c r="K8064">
        <v>0</v>
      </c>
      <c r="L8064">
        <v>0</v>
      </c>
      <c r="M8064">
        <v>0</v>
      </c>
      <c r="N8064">
        <v>1</v>
      </c>
      <c r="O8064">
        <v>230</v>
      </c>
    </row>
    <row r="8065" spans="1:15" x14ac:dyDescent="0.25">
      <c r="A8065" t="s">
        <v>14374</v>
      </c>
      <c r="B8065" t="s">
        <v>1943</v>
      </c>
      <c r="C8065" t="s">
        <v>927</v>
      </c>
      <c r="D8065" t="s">
        <v>3052</v>
      </c>
      <c r="E8065" t="s">
        <v>3053</v>
      </c>
      <c r="F8065" t="s">
        <v>754</v>
      </c>
      <c r="G8065" t="s">
        <v>755</v>
      </c>
      <c r="H8065" t="s">
        <v>15297</v>
      </c>
      <c r="I8065">
        <v>27</v>
      </c>
      <c r="J8065">
        <v>0</v>
      </c>
      <c r="K8065">
        <v>0</v>
      </c>
      <c r="L8065">
        <v>0</v>
      </c>
      <c r="M8065">
        <v>0</v>
      </c>
      <c r="N8065">
        <v>0</v>
      </c>
      <c r="O8065">
        <v>27</v>
      </c>
    </row>
    <row r="8066" spans="1:15" x14ac:dyDescent="0.25">
      <c r="A8066" t="s">
        <v>962</v>
      </c>
      <c r="B8066" t="s">
        <v>2752</v>
      </c>
      <c r="C8066" t="s">
        <v>927</v>
      </c>
      <c r="D8066" t="s">
        <v>3052</v>
      </c>
      <c r="E8066" t="s">
        <v>3053</v>
      </c>
      <c r="F8066" t="s">
        <v>754</v>
      </c>
      <c r="G8066" t="s">
        <v>755</v>
      </c>
      <c r="H8066" t="s">
        <v>8421</v>
      </c>
      <c r="I8066">
        <v>113</v>
      </c>
      <c r="J8066">
        <v>93</v>
      </c>
      <c r="K8066">
        <v>0</v>
      </c>
      <c r="L8066">
        <v>0</v>
      </c>
      <c r="M8066">
        <v>0</v>
      </c>
      <c r="N8066">
        <v>0</v>
      </c>
      <c r="O8066">
        <v>20</v>
      </c>
    </row>
    <row r="8067" spans="1:15" x14ac:dyDescent="0.25">
      <c r="A8067" t="s">
        <v>10810</v>
      </c>
      <c r="B8067" t="s">
        <v>2015</v>
      </c>
      <c r="C8067" t="s">
        <v>923</v>
      </c>
      <c r="D8067" t="s">
        <v>3063</v>
      </c>
      <c r="E8067" t="s">
        <v>3053</v>
      </c>
      <c r="F8067" t="s">
        <v>754</v>
      </c>
      <c r="G8067" t="s">
        <v>755</v>
      </c>
      <c r="H8067" t="s">
        <v>11367</v>
      </c>
      <c r="I8067">
        <v>6</v>
      </c>
      <c r="J8067">
        <v>0</v>
      </c>
      <c r="K8067">
        <v>0</v>
      </c>
      <c r="L8067">
        <v>6</v>
      </c>
      <c r="M8067">
        <v>0</v>
      </c>
      <c r="N8067">
        <v>0</v>
      </c>
      <c r="O8067">
        <v>0</v>
      </c>
    </row>
    <row r="8068" spans="1:15" x14ac:dyDescent="0.25">
      <c r="A8068" t="s">
        <v>1069</v>
      </c>
      <c r="B8068" t="s">
        <v>2001</v>
      </c>
      <c r="C8068" t="s">
        <v>927</v>
      </c>
      <c r="D8068" t="s">
        <v>3052</v>
      </c>
      <c r="E8068" t="s">
        <v>3053</v>
      </c>
      <c r="F8068" t="s">
        <v>754</v>
      </c>
      <c r="G8068" t="s">
        <v>755</v>
      </c>
      <c r="H8068" t="s">
        <v>8422</v>
      </c>
      <c r="I8068">
        <v>300</v>
      </c>
      <c r="J8068">
        <v>233</v>
      </c>
      <c r="K8068">
        <v>0</v>
      </c>
      <c r="L8068">
        <v>0</v>
      </c>
      <c r="M8068">
        <v>0</v>
      </c>
      <c r="N8068">
        <v>0</v>
      </c>
      <c r="O8068">
        <v>67</v>
      </c>
    </row>
    <row r="8069" spans="1:15" x14ac:dyDescent="0.25">
      <c r="A8069" t="s">
        <v>1786</v>
      </c>
      <c r="B8069" t="s">
        <v>2158</v>
      </c>
      <c r="C8069" t="s">
        <v>923</v>
      </c>
      <c r="D8069" t="s">
        <v>3063</v>
      </c>
      <c r="E8069" t="s">
        <v>3053</v>
      </c>
      <c r="F8069" t="s">
        <v>754</v>
      </c>
      <c r="G8069" t="s">
        <v>755</v>
      </c>
      <c r="H8069" t="s">
        <v>8423</v>
      </c>
      <c r="I8069">
        <v>7</v>
      </c>
      <c r="J8069">
        <v>7</v>
      </c>
      <c r="K8069">
        <v>0</v>
      </c>
      <c r="L8069">
        <v>0</v>
      </c>
      <c r="M8069">
        <v>0</v>
      </c>
      <c r="N8069">
        <v>0</v>
      </c>
      <c r="O8069">
        <v>0</v>
      </c>
    </row>
    <row r="8070" spans="1:15" x14ac:dyDescent="0.25">
      <c r="A8070" t="s">
        <v>1072</v>
      </c>
      <c r="B8070" t="s">
        <v>2907</v>
      </c>
      <c r="C8070" t="s">
        <v>927</v>
      </c>
      <c r="D8070" t="s">
        <v>3052</v>
      </c>
      <c r="E8070" t="s">
        <v>3053</v>
      </c>
      <c r="F8070" t="s">
        <v>754</v>
      </c>
      <c r="G8070" t="s">
        <v>755</v>
      </c>
      <c r="H8070" t="s">
        <v>8424</v>
      </c>
      <c r="I8070">
        <v>18</v>
      </c>
      <c r="J8070">
        <v>0</v>
      </c>
      <c r="K8070">
        <v>0</v>
      </c>
      <c r="L8070">
        <v>18</v>
      </c>
      <c r="M8070">
        <v>0</v>
      </c>
      <c r="N8070">
        <v>0</v>
      </c>
      <c r="O8070">
        <v>0</v>
      </c>
    </row>
    <row r="8071" spans="1:15" x14ac:dyDescent="0.25">
      <c r="A8071" t="s">
        <v>1078</v>
      </c>
      <c r="B8071" t="s">
        <v>1950</v>
      </c>
      <c r="C8071" t="s">
        <v>923</v>
      </c>
      <c r="D8071" t="s">
        <v>3063</v>
      </c>
      <c r="E8071" t="s">
        <v>3053</v>
      </c>
      <c r="F8071" t="s">
        <v>754</v>
      </c>
      <c r="G8071" t="s">
        <v>755</v>
      </c>
      <c r="H8071" t="s">
        <v>8425</v>
      </c>
      <c r="I8071">
        <v>14</v>
      </c>
      <c r="J8071">
        <v>0</v>
      </c>
      <c r="K8071">
        <v>0</v>
      </c>
      <c r="L8071">
        <v>14</v>
      </c>
      <c r="M8071">
        <v>0</v>
      </c>
      <c r="N8071">
        <v>0</v>
      </c>
      <c r="O8071">
        <v>0</v>
      </c>
    </row>
    <row r="8072" spans="1:15" x14ac:dyDescent="0.25">
      <c r="A8072" t="s">
        <v>1790</v>
      </c>
      <c r="B8072" t="s">
        <v>2865</v>
      </c>
      <c r="C8072" t="s">
        <v>927</v>
      </c>
      <c r="D8072" t="s">
        <v>3052</v>
      </c>
      <c r="E8072" t="s">
        <v>3053</v>
      </c>
      <c r="F8072" t="s">
        <v>754</v>
      </c>
      <c r="G8072" t="s">
        <v>755</v>
      </c>
      <c r="H8072" t="s">
        <v>8426</v>
      </c>
      <c r="I8072">
        <v>80</v>
      </c>
      <c r="J8072">
        <v>54</v>
      </c>
      <c r="K8072">
        <v>0</v>
      </c>
      <c r="L8072">
        <v>0</v>
      </c>
      <c r="M8072">
        <v>0</v>
      </c>
      <c r="N8072">
        <v>0</v>
      </c>
      <c r="O8072">
        <v>26</v>
      </c>
    </row>
    <row r="8073" spans="1:15" x14ac:dyDescent="0.25">
      <c r="A8073" t="s">
        <v>1080</v>
      </c>
      <c r="B8073" t="s">
        <v>2030</v>
      </c>
      <c r="C8073" t="s">
        <v>923</v>
      </c>
      <c r="D8073" t="s">
        <v>3063</v>
      </c>
      <c r="E8073" t="s">
        <v>3053</v>
      </c>
      <c r="F8073" t="s">
        <v>754</v>
      </c>
      <c r="G8073" t="s">
        <v>755</v>
      </c>
      <c r="H8073" t="s">
        <v>8427</v>
      </c>
      <c r="I8073">
        <v>3</v>
      </c>
      <c r="J8073">
        <v>0</v>
      </c>
      <c r="K8073">
        <v>0</v>
      </c>
      <c r="L8073">
        <v>3</v>
      </c>
      <c r="M8073">
        <v>0</v>
      </c>
      <c r="N8073">
        <v>0</v>
      </c>
      <c r="O8073">
        <v>0</v>
      </c>
    </row>
    <row r="8074" spans="1:15" x14ac:dyDescent="0.25">
      <c r="A8074" t="s">
        <v>971</v>
      </c>
      <c r="B8074" t="s">
        <v>2956</v>
      </c>
      <c r="C8074" t="s">
        <v>927</v>
      </c>
      <c r="D8074" t="s">
        <v>3052</v>
      </c>
      <c r="E8074" t="s">
        <v>3053</v>
      </c>
      <c r="F8074" t="s">
        <v>756</v>
      </c>
      <c r="G8074" t="s">
        <v>757</v>
      </c>
      <c r="H8074" t="s">
        <v>8428</v>
      </c>
      <c r="I8074">
        <v>90</v>
      </c>
      <c r="J8074">
        <v>90</v>
      </c>
      <c r="K8074">
        <v>0</v>
      </c>
      <c r="L8074">
        <v>0</v>
      </c>
      <c r="M8074">
        <v>0</v>
      </c>
      <c r="N8074">
        <v>0</v>
      </c>
      <c r="O8074">
        <v>0</v>
      </c>
    </row>
    <row r="8075" spans="1:15" x14ac:dyDescent="0.25">
      <c r="A8075" t="s">
        <v>1403</v>
      </c>
      <c r="B8075" t="s">
        <v>2206</v>
      </c>
      <c r="C8075" t="s">
        <v>923</v>
      </c>
      <c r="D8075" t="s">
        <v>3063</v>
      </c>
      <c r="E8075" t="s">
        <v>3053</v>
      </c>
      <c r="F8075" t="s">
        <v>756</v>
      </c>
      <c r="G8075" t="s">
        <v>757</v>
      </c>
      <c r="H8075" t="s">
        <v>8429</v>
      </c>
      <c r="I8075">
        <v>31</v>
      </c>
      <c r="J8075">
        <v>31</v>
      </c>
      <c r="K8075">
        <v>0</v>
      </c>
      <c r="L8075">
        <v>0</v>
      </c>
      <c r="M8075">
        <v>0</v>
      </c>
      <c r="N8075">
        <v>3</v>
      </c>
      <c r="O8075">
        <v>0</v>
      </c>
    </row>
    <row r="8076" spans="1:15" x14ac:dyDescent="0.25">
      <c r="A8076" t="s">
        <v>929</v>
      </c>
      <c r="B8076" t="s">
        <v>2999</v>
      </c>
      <c r="C8076" t="s">
        <v>927</v>
      </c>
      <c r="D8076" t="s">
        <v>3052</v>
      </c>
      <c r="E8076" t="s">
        <v>3053</v>
      </c>
      <c r="F8076" t="s">
        <v>756</v>
      </c>
      <c r="G8076" t="s">
        <v>757</v>
      </c>
      <c r="H8076" t="s">
        <v>8430</v>
      </c>
      <c r="I8076">
        <v>524</v>
      </c>
      <c r="J8076">
        <v>0</v>
      </c>
      <c r="K8076">
        <v>0</v>
      </c>
      <c r="L8076">
        <v>0</v>
      </c>
      <c r="M8076">
        <v>524</v>
      </c>
      <c r="N8076">
        <v>0</v>
      </c>
      <c r="O8076">
        <v>0</v>
      </c>
    </row>
    <row r="8077" spans="1:15" x14ac:dyDescent="0.25">
      <c r="A8077" t="s">
        <v>1405</v>
      </c>
      <c r="B8077" t="s">
        <v>2439</v>
      </c>
      <c r="C8077" t="s">
        <v>923</v>
      </c>
      <c r="D8077" t="s">
        <v>3063</v>
      </c>
      <c r="E8077" t="s">
        <v>3053</v>
      </c>
      <c r="F8077" t="s">
        <v>756</v>
      </c>
      <c r="G8077" t="s">
        <v>757</v>
      </c>
      <c r="H8077" t="s">
        <v>8431</v>
      </c>
      <c r="I8077">
        <v>31</v>
      </c>
      <c r="J8077">
        <v>31</v>
      </c>
      <c r="K8077">
        <v>0</v>
      </c>
      <c r="L8077">
        <v>0</v>
      </c>
      <c r="M8077">
        <v>0</v>
      </c>
      <c r="N8077">
        <v>0</v>
      </c>
      <c r="O8077">
        <v>0</v>
      </c>
    </row>
    <row r="8078" spans="1:15" x14ac:dyDescent="0.25">
      <c r="A8078" t="s">
        <v>9790</v>
      </c>
      <c r="B8078" t="s">
        <v>1977</v>
      </c>
      <c r="C8078" t="s">
        <v>923</v>
      </c>
      <c r="D8078" t="s">
        <v>3063</v>
      </c>
      <c r="E8078" t="s">
        <v>3053</v>
      </c>
      <c r="F8078" t="s">
        <v>756</v>
      </c>
      <c r="G8078" t="s">
        <v>757</v>
      </c>
      <c r="H8078" t="s">
        <v>9911</v>
      </c>
      <c r="I8078">
        <v>68</v>
      </c>
      <c r="J8078">
        <v>0</v>
      </c>
      <c r="K8078">
        <v>0</v>
      </c>
      <c r="L8078">
        <v>68</v>
      </c>
      <c r="M8078">
        <v>0</v>
      </c>
      <c r="N8078">
        <v>0</v>
      </c>
      <c r="O8078">
        <v>0</v>
      </c>
    </row>
    <row r="8079" spans="1:15" x14ac:dyDescent="0.25">
      <c r="A8079" t="s">
        <v>1406</v>
      </c>
      <c r="B8079" t="s">
        <v>2134</v>
      </c>
      <c r="C8079" t="s">
        <v>927</v>
      </c>
      <c r="D8079" t="s">
        <v>3052</v>
      </c>
      <c r="E8079" t="s">
        <v>3053</v>
      </c>
      <c r="F8079" t="s">
        <v>756</v>
      </c>
      <c r="G8079" t="s">
        <v>757</v>
      </c>
      <c r="H8079" t="s">
        <v>8432</v>
      </c>
      <c r="I8079">
        <v>74</v>
      </c>
      <c r="J8079">
        <v>74</v>
      </c>
      <c r="K8079">
        <v>0</v>
      </c>
      <c r="L8079">
        <v>0</v>
      </c>
      <c r="M8079">
        <v>0</v>
      </c>
      <c r="N8079">
        <v>0</v>
      </c>
      <c r="O8079">
        <v>0</v>
      </c>
    </row>
    <row r="8080" spans="1:15" x14ac:dyDescent="0.25">
      <c r="A8080" t="s">
        <v>1407</v>
      </c>
      <c r="B8080" t="s">
        <v>2109</v>
      </c>
      <c r="C8080" t="s">
        <v>927</v>
      </c>
      <c r="D8080" t="s">
        <v>3052</v>
      </c>
      <c r="E8080" t="s">
        <v>3053</v>
      </c>
      <c r="F8080" t="s">
        <v>756</v>
      </c>
      <c r="G8080" t="s">
        <v>757</v>
      </c>
      <c r="H8080" t="s">
        <v>8433</v>
      </c>
      <c r="I8080">
        <v>1219</v>
      </c>
      <c r="J8080">
        <v>786</v>
      </c>
      <c r="K8080">
        <v>0</v>
      </c>
      <c r="L8080">
        <v>183</v>
      </c>
      <c r="M8080">
        <v>233</v>
      </c>
      <c r="N8080">
        <v>0</v>
      </c>
      <c r="O8080">
        <v>17</v>
      </c>
    </row>
    <row r="8081" spans="1:15" x14ac:dyDescent="0.25">
      <c r="A8081" t="s">
        <v>9784</v>
      </c>
      <c r="B8081" t="s">
        <v>1994</v>
      </c>
      <c r="C8081" t="s">
        <v>927</v>
      </c>
      <c r="D8081" t="s">
        <v>3052</v>
      </c>
      <c r="E8081" t="s">
        <v>3053</v>
      </c>
      <c r="F8081" t="s">
        <v>756</v>
      </c>
      <c r="G8081" t="s">
        <v>757</v>
      </c>
      <c r="H8081" t="s">
        <v>9987</v>
      </c>
      <c r="I8081">
        <v>11</v>
      </c>
      <c r="J8081">
        <v>0</v>
      </c>
      <c r="K8081">
        <v>0</v>
      </c>
      <c r="L8081">
        <v>11</v>
      </c>
      <c r="M8081">
        <v>0</v>
      </c>
      <c r="N8081">
        <v>0</v>
      </c>
      <c r="O8081">
        <v>0</v>
      </c>
    </row>
    <row r="8082" spans="1:15" x14ac:dyDescent="0.25">
      <c r="A8082" t="s">
        <v>1412</v>
      </c>
      <c r="B8082" t="s">
        <v>2099</v>
      </c>
      <c r="C8082" t="s">
        <v>927</v>
      </c>
      <c r="D8082" t="s">
        <v>3052</v>
      </c>
      <c r="E8082" t="s">
        <v>3053</v>
      </c>
      <c r="F8082" t="s">
        <v>756</v>
      </c>
      <c r="G8082" t="s">
        <v>757</v>
      </c>
      <c r="H8082" t="s">
        <v>8434</v>
      </c>
      <c r="I8082">
        <v>403</v>
      </c>
      <c r="J8082">
        <v>140</v>
      </c>
      <c r="K8082">
        <v>0</v>
      </c>
      <c r="L8082">
        <v>0</v>
      </c>
      <c r="M8082">
        <v>263</v>
      </c>
      <c r="N8082">
        <v>1</v>
      </c>
      <c r="O8082">
        <v>0</v>
      </c>
    </row>
    <row r="8083" spans="1:15" x14ac:dyDescent="0.25">
      <c r="A8083" t="s">
        <v>1415</v>
      </c>
      <c r="B8083" t="s">
        <v>10618</v>
      </c>
      <c r="C8083" t="s">
        <v>927</v>
      </c>
      <c r="D8083" t="s">
        <v>3052</v>
      </c>
      <c r="E8083" t="s">
        <v>3053</v>
      </c>
      <c r="F8083" t="s">
        <v>756</v>
      </c>
      <c r="G8083" t="s">
        <v>757</v>
      </c>
      <c r="H8083" t="s">
        <v>8435</v>
      </c>
      <c r="I8083">
        <v>188</v>
      </c>
      <c r="J8083">
        <v>188</v>
      </c>
      <c r="K8083">
        <v>0</v>
      </c>
      <c r="L8083">
        <v>0</v>
      </c>
      <c r="M8083">
        <v>0</v>
      </c>
      <c r="N8083">
        <v>0</v>
      </c>
      <c r="O8083">
        <v>0</v>
      </c>
    </row>
    <row r="8084" spans="1:15" x14ac:dyDescent="0.25">
      <c r="A8084" t="s">
        <v>1416</v>
      </c>
      <c r="B8084" t="s">
        <v>2029</v>
      </c>
      <c r="C8084" t="s">
        <v>923</v>
      </c>
      <c r="D8084" t="s">
        <v>3063</v>
      </c>
      <c r="E8084" t="s">
        <v>3053</v>
      </c>
      <c r="F8084" t="s">
        <v>756</v>
      </c>
      <c r="G8084" t="s">
        <v>757</v>
      </c>
      <c r="H8084" t="s">
        <v>12399</v>
      </c>
      <c r="I8084">
        <v>45</v>
      </c>
      <c r="J8084">
        <v>0</v>
      </c>
      <c r="K8084">
        <v>0</v>
      </c>
      <c r="L8084">
        <v>45</v>
      </c>
      <c r="M8084">
        <v>0</v>
      </c>
      <c r="N8084">
        <v>0</v>
      </c>
      <c r="O8084">
        <v>0</v>
      </c>
    </row>
    <row r="8085" spans="1:15" x14ac:dyDescent="0.25">
      <c r="A8085" t="s">
        <v>1418</v>
      </c>
      <c r="B8085" t="s">
        <v>2854</v>
      </c>
      <c r="C8085" t="s">
        <v>927</v>
      </c>
      <c r="D8085" t="s">
        <v>3052</v>
      </c>
      <c r="E8085" t="s">
        <v>3053</v>
      </c>
      <c r="F8085" t="s">
        <v>756</v>
      </c>
      <c r="G8085" t="s">
        <v>757</v>
      </c>
      <c r="H8085" t="s">
        <v>8436</v>
      </c>
      <c r="I8085">
        <v>28589</v>
      </c>
      <c r="J8085">
        <v>28069</v>
      </c>
      <c r="K8085">
        <v>0</v>
      </c>
      <c r="L8085">
        <v>130</v>
      </c>
      <c r="M8085">
        <v>233</v>
      </c>
      <c r="N8085">
        <v>21</v>
      </c>
      <c r="O8085">
        <v>157</v>
      </c>
    </row>
    <row r="8086" spans="1:15" x14ac:dyDescent="0.25">
      <c r="A8086" t="s">
        <v>10638</v>
      </c>
      <c r="B8086" t="s">
        <v>2057</v>
      </c>
      <c r="C8086" t="s">
        <v>927</v>
      </c>
      <c r="D8086" t="s">
        <v>3052</v>
      </c>
      <c r="E8086" t="s">
        <v>3053</v>
      </c>
      <c r="F8086" t="s">
        <v>756</v>
      </c>
      <c r="G8086" t="s">
        <v>757</v>
      </c>
      <c r="H8086" t="s">
        <v>11368</v>
      </c>
      <c r="I8086">
        <v>1</v>
      </c>
      <c r="J8086">
        <v>0</v>
      </c>
      <c r="K8086">
        <v>0</v>
      </c>
      <c r="L8086">
        <v>1</v>
      </c>
      <c r="M8086">
        <v>0</v>
      </c>
      <c r="N8086">
        <v>0</v>
      </c>
      <c r="O8086">
        <v>0</v>
      </c>
    </row>
    <row r="8087" spans="1:15" x14ac:dyDescent="0.25">
      <c r="A8087" t="s">
        <v>1419</v>
      </c>
      <c r="B8087" t="s">
        <v>2013</v>
      </c>
      <c r="C8087" t="s">
        <v>923</v>
      </c>
      <c r="D8087" t="s">
        <v>3063</v>
      </c>
      <c r="E8087" t="s">
        <v>3053</v>
      </c>
      <c r="F8087" t="s">
        <v>756</v>
      </c>
      <c r="G8087" t="s">
        <v>757</v>
      </c>
      <c r="H8087" t="s">
        <v>8437</v>
      </c>
      <c r="I8087">
        <v>35</v>
      </c>
      <c r="J8087">
        <v>35</v>
      </c>
      <c r="K8087">
        <v>0</v>
      </c>
      <c r="L8087">
        <v>0</v>
      </c>
      <c r="M8087">
        <v>0</v>
      </c>
      <c r="N8087">
        <v>0</v>
      </c>
      <c r="O8087">
        <v>0</v>
      </c>
    </row>
    <row r="8088" spans="1:15" x14ac:dyDescent="0.25">
      <c r="A8088" t="s">
        <v>937</v>
      </c>
      <c r="B8088" t="s">
        <v>1962</v>
      </c>
      <c r="C8088" t="s">
        <v>927</v>
      </c>
      <c r="D8088" t="s">
        <v>3052</v>
      </c>
      <c r="E8088" t="s">
        <v>3053</v>
      </c>
      <c r="F8088" t="s">
        <v>756</v>
      </c>
      <c r="G8088" t="s">
        <v>757</v>
      </c>
      <c r="H8088" t="s">
        <v>8438</v>
      </c>
      <c r="I8088">
        <v>26</v>
      </c>
      <c r="J8088">
        <v>0</v>
      </c>
      <c r="K8088">
        <v>0</v>
      </c>
      <c r="L8088">
        <v>0</v>
      </c>
      <c r="M8088">
        <v>0</v>
      </c>
      <c r="N8088">
        <v>0</v>
      </c>
      <c r="O8088">
        <v>26</v>
      </c>
    </row>
    <row r="8089" spans="1:15" x14ac:dyDescent="0.25">
      <c r="A8089" t="s">
        <v>938</v>
      </c>
      <c r="B8089" t="s">
        <v>2791</v>
      </c>
      <c r="C8089" t="s">
        <v>927</v>
      </c>
      <c r="D8089" t="s">
        <v>3052</v>
      </c>
      <c r="E8089" t="s">
        <v>3053</v>
      </c>
      <c r="F8089" t="s">
        <v>756</v>
      </c>
      <c r="G8089" t="s">
        <v>757</v>
      </c>
      <c r="H8089" t="s">
        <v>8439</v>
      </c>
      <c r="I8089">
        <v>1488</v>
      </c>
      <c r="J8089">
        <v>1331</v>
      </c>
      <c r="K8089">
        <v>0</v>
      </c>
      <c r="L8089">
        <v>55</v>
      </c>
      <c r="M8089">
        <v>29</v>
      </c>
      <c r="N8089">
        <v>0</v>
      </c>
      <c r="O8089">
        <v>73</v>
      </c>
    </row>
    <row r="8090" spans="1:15" x14ac:dyDescent="0.25">
      <c r="A8090" t="s">
        <v>940</v>
      </c>
      <c r="B8090" t="s">
        <v>2647</v>
      </c>
      <c r="C8090" t="s">
        <v>927</v>
      </c>
      <c r="D8090" t="s">
        <v>3052</v>
      </c>
      <c r="E8090" t="s">
        <v>3053</v>
      </c>
      <c r="F8090" t="s">
        <v>756</v>
      </c>
      <c r="G8090" t="s">
        <v>757</v>
      </c>
      <c r="H8090" t="s">
        <v>8440</v>
      </c>
      <c r="I8090">
        <v>716</v>
      </c>
      <c r="J8090">
        <v>0</v>
      </c>
      <c r="K8090">
        <v>0</v>
      </c>
      <c r="L8090">
        <v>0</v>
      </c>
      <c r="M8090">
        <v>575</v>
      </c>
      <c r="N8090">
        <v>0</v>
      </c>
      <c r="O8090">
        <v>141</v>
      </c>
    </row>
    <row r="8091" spans="1:15" x14ac:dyDescent="0.25">
      <c r="A8091" t="s">
        <v>1013</v>
      </c>
      <c r="B8091" t="s">
        <v>1959</v>
      </c>
      <c r="C8091" t="s">
        <v>927</v>
      </c>
      <c r="D8091" t="s">
        <v>3052</v>
      </c>
      <c r="E8091" t="s">
        <v>3053</v>
      </c>
      <c r="F8091" t="s">
        <v>756</v>
      </c>
      <c r="G8091" t="s">
        <v>757</v>
      </c>
      <c r="H8091" t="s">
        <v>8441</v>
      </c>
      <c r="I8091">
        <v>114</v>
      </c>
      <c r="J8091">
        <v>0</v>
      </c>
      <c r="K8091">
        <v>0</v>
      </c>
      <c r="L8091">
        <v>76</v>
      </c>
      <c r="M8091">
        <v>38</v>
      </c>
      <c r="N8091">
        <v>0</v>
      </c>
      <c r="O8091">
        <v>0</v>
      </c>
    </row>
    <row r="8092" spans="1:15" x14ac:dyDescent="0.25">
      <c r="A8092" t="s">
        <v>1425</v>
      </c>
      <c r="B8092" t="s">
        <v>2170</v>
      </c>
      <c r="C8092" t="s">
        <v>923</v>
      </c>
      <c r="D8092" t="s">
        <v>3063</v>
      </c>
      <c r="E8092" t="s">
        <v>3053</v>
      </c>
      <c r="F8092" t="s">
        <v>756</v>
      </c>
      <c r="G8092" t="s">
        <v>757</v>
      </c>
      <c r="H8092" t="s">
        <v>8442</v>
      </c>
      <c r="I8092">
        <v>8</v>
      </c>
      <c r="J8092">
        <v>0</v>
      </c>
      <c r="K8092">
        <v>0</v>
      </c>
      <c r="L8092">
        <v>0</v>
      </c>
      <c r="M8092">
        <v>8</v>
      </c>
      <c r="N8092">
        <v>0</v>
      </c>
      <c r="O8092">
        <v>0</v>
      </c>
    </row>
    <row r="8093" spans="1:15" x14ac:dyDescent="0.25">
      <c r="A8093" t="s">
        <v>1427</v>
      </c>
      <c r="B8093" t="s">
        <v>2087</v>
      </c>
      <c r="C8093" t="s">
        <v>927</v>
      </c>
      <c r="D8093" t="s">
        <v>3052</v>
      </c>
      <c r="E8093" t="s">
        <v>3053</v>
      </c>
      <c r="F8093" t="s">
        <v>756</v>
      </c>
      <c r="G8093" t="s">
        <v>757</v>
      </c>
      <c r="H8093" t="s">
        <v>8443</v>
      </c>
      <c r="I8093">
        <v>541</v>
      </c>
      <c r="J8093">
        <v>468</v>
      </c>
      <c r="K8093">
        <v>0</v>
      </c>
      <c r="L8093">
        <v>54</v>
      </c>
      <c r="M8093">
        <v>0</v>
      </c>
      <c r="N8093">
        <v>0</v>
      </c>
      <c r="O8093">
        <v>19</v>
      </c>
    </row>
    <row r="8094" spans="1:15" x14ac:dyDescent="0.25">
      <c r="A8094" t="s">
        <v>1433</v>
      </c>
      <c r="B8094" t="s">
        <v>2914</v>
      </c>
      <c r="C8094" t="s">
        <v>927</v>
      </c>
      <c r="D8094" t="s">
        <v>3052</v>
      </c>
      <c r="E8094" t="s">
        <v>3053</v>
      </c>
      <c r="F8094" t="s">
        <v>756</v>
      </c>
      <c r="G8094" t="s">
        <v>757</v>
      </c>
      <c r="H8094" t="s">
        <v>8444</v>
      </c>
      <c r="I8094">
        <v>74</v>
      </c>
      <c r="J8094">
        <v>39</v>
      </c>
      <c r="K8094">
        <v>0</v>
      </c>
      <c r="L8094">
        <v>34</v>
      </c>
      <c r="M8094">
        <v>0</v>
      </c>
      <c r="N8094">
        <v>0</v>
      </c>
      <c r="O8094">
        <v>1</v>
      </c>
    </row>
    <row r="8095" spans="1:15" x14ac:dyDescent="0.25">
      <c r="A8095" t="s">
        <v>1435</v>
      </c>
      <c r="B8095" t="s">
        <v>2405</v>
      </c>
      <c r="C8095" t="s">
        <v>923</v>
      </c>
      <c r="D8095" t="s">
        <v>3063</v>
      </c>
      <c r="E8095" t="s">
        <v>3053</v>
      </c>
      <c r="F8095" t="s">
        <v>756</v>
      </c>
      <c r="G8095" t="s">
        <v>757</v>
      </c>
      <c r="H8095" t="s">
        <v>8445</v>
      </c>
      <c r="I8095">
        <v>23</v>
      </c>
      <c r="J8095">
        <v>23</v>
      </c>
      <c r="K8095">
        <v>0</v>
      </c>
      <c r="L8095">
        <v>0</v>
      </c>
      <c r="M8095">
        <v>0</v>
      </c>
      <c r="N8095">
        <v>0</v>
      </c>
      <c r="O8095">
        <v>0</v>
      </c>
    </row>
    <row r="8096" spans="1:15" x14ac:dyDescent="0.25">
      <c r="A8096" t="s">
        <v>951</v>
      </c>
      <c r="B8096" t="s">
        <v>2680</v>
      </c>
      <c r="C8096" t="s">
        <v>927</v>
      </c>
      <c r="D8096" t="s">
        <v>3052</v>
      </c>
      <c r="E8096" t="s">
        <v>3053</v>
      </c>
      <c r="F8096" t="s">
        <v>756</v>
      </c>
      <c r="G8096" t="s">
        <v>757</v>
      </c>
      <c r="H8096" t="s">
        <v>8446</v>
      </c>
      <c r="I8096">
        <v>106</v>
      </c>
      <c r="J8096">
        <v>104</v>
      </c>
      <c r="K8096">
        <v>0</v>
      </c>
      <c r="L8096">
        <v>0</v>
      </c>
      <c r="M8096">
        <v>0</v>
      </c>
      <c r="N8096">
        <v>0</v>
      </c>
      <c r="O8096">
        <v>2</v>
      </c>
    </row>
    <row r="8097" spans="1:15" x14ac:dyDescent="0.25">
      <c r="A8097" t="s">
        <v>1048</v>
      </c>
      <c r="B8097" t="s">
        <v>2989</v>
      </c>
      <c r="C8097" t="s">
        <v>927</v>
      </c>
      <c r="D8097" t="s">
        <v>3052</v>
      </c>
      <c r="E8097" t="s">
        <v>3053</v>
      </c>
      <c r="F8097" t="s">
        <v>756</v>
      </c>
      <c r="G8097" t="s">
        <v>757</v>
      </c>
      <c r="H8097" t="s">
        <v>8447</v>
      </c>
      <c r="I8097">
        <v>10</v>
      </c>
      <c r="J8097">
        <v>0</v>
      </c>
      <c r="K8097">
        <v>0</v>
      </c>
      <c r="L8097">
        <v>10</v>
      </c>
      <c r="M8097">
        <v>0</v>
      </c>
      <c r="N8097">
        <v>0</v>
      </c>
      <c r="O8097">
        <v>0</v>
      </c>
    </row>
    <row r="8098" spans="1:15" x14ac:dyDescent="0.25">
      <c r="A8098" t="s">
        <v>1436</v>
      </c>
      <c r="B8098" t="s">
        <v>2209</v>
      </c>
      <c r="C8098" t="s">
        <v>927</v>
      </c>
      <c r="D8098" t="s">
        <v>3052</v>
      </c>
      <c r="E8098" t="s">
        <v>3053</v>
      </c>
      <c r="F8098" t="s">
        <v>756</v>
      </c>
      <c r="G8098" t="s">
        <v>757</v>
      </c>
      <c r="H8098" t="s">
        <v>8448</v>
      </c>
      <c r="I8098">
        <v>14</v>
      </c>
      <c r="J8098">
        <v>14</v>
      </c>
      <c r="K8098">
        <v>0</v>
      </c>
      <c r="L8098">
        <v>0</v>
      </c>
      <c r="M8098">
        <v>0</v>
      </c>
      <c r="N8098">
        <v>10</v>
      </c>
      <c r="O8098">
        <v>0</v>
      </c>
    </row>
    <row r="8099" spans="1:15" x14ac:dyDescent="0.25">
      <c r="A8099" t="s">
        <v>953</v>
      </c>
      <c r="B8099" t="s">
        <v>2014</v>
      </c>
      <c r="C8099" t="s">
        <v>927</v>
      </c>
      <c r="D8099" t="s">
        <v>3052</v>
      </c>
      <c r="E8099" t="s">
        <v>3053</v>
      </c>
      <c r="F8099" t="s">
        <v>756</v>
      </c>
      <c r="G8099" t="s">
        <v>757</v>
      </c>
      <c r="H8099" t="s">
        <v>8449</v>
      </c>
      <c r="I8099">
        <v>19</v>
      </c>
      <c r="J8099">
        <v>0</v>
      </c>
      <c r="K8099">
        <v>0</v>
      </c>
      <c r="L8099">
        <v>19</v>
      </c>
      <c r="M8099">
        <v>0</v>
      </c>
      <c r="N8099">
        <v>0</v>
      </c>
      <c r="O8099">
        <v>0</v>
      </c>
    </row>
    <row r="8100" spans="1:15" x14ac:dyDescent="0.25">
      <c r="A8100" t="s">
        <v>1056</v>
      </c>
      <c r="B8100" t="s">
        <v>2966</v>
      </c>
      <c r="C8100" t="s">
        <v>927</v>
      </c>
      <c r="D8100" t="s">
        <v>3052</v>
      </c>
      <c r="E8100" t="s">
        <v>3053</v>
      </c>
      <c r="F8100" t="s">
        <v>756</v>
      </c>
      <c r="G8100" t="s">
        <v>757</v>
      </c>
      <c r="H8100" t="s">
        <v>8450</v>
      </c>
      <c r="I8100">
        <v>65</v>
      </c>
      <c r="J8100">
        <v>0</v>
      </c>
      <c r="K8100">
        <v>0</v>
      </c>
      <c r="L8100">
        <v>65</v>
      </c>
      <c r="M8100">
        <v>0</v>
      </c>
      <c r="N8100">
        <v>0</v>
      </c>
      <c r="O8100">
        <v>0</v>
      </c>
    </row>
    <row r="8101" spans="1:15" x14ac:dyDescent="0.25">
      <c r="A8101" t="s">
        <v>955</v>
      </c>
      <c r="B8101" t="s">
        <v>2660</v>
      </c>
      <c r="C8101" t="s">
        <v>927</v>
      </c>
      <c r="D8101" t="s">
        <v>3052</v>
      </c>
      <c r="E8101" t="s">
        <v>3053</v>
      </c>
      <c r="F8101" t="s">
        <v>756</v>
      </c>
      <c r="G8101" t="s">
        <v>757</v>
      </c>
      <c r="H8101" t="s">
        <v>8451</v>
      </c>
      <c r="I8101">
        <v>3</v>
      </c>
      <c r="J8101">
        <v>0</v>
      </c>
      <c r="K8101">
        <v>0</v>
      </c>
      <c r="L8101">
        <v>3</v>
      </c>
      <c r="M8101">
        <v>0</v>
      </c>
      <c r="N8101">
        <v>0</v>
      </c>
      <c r="O8101">
        <v>0</v>
      </c>
    </row>
    <row r="8102" spans="1:15" x14ac:dyDescent="0.25">
      <c r="A8102" t="s">
        <v>1441</v>
      </c>
      <c r="B8102" t="s">
        <v>2446</v>
      </c>
      <c r="C8102" t="s">
        <v>923</v>
      </c>
      <c r="D8102" t="s">
        <v>3063</v>
      </c>
      <c r="E8102" t="s">
        <v>3053</v>
      </c>
      <c r="F8102" t="s">
        <v>756</v>
      </c>
      <c r="G8102" t="s">
        <v>757</v>
      </c>
      <c r="H8102" t="s">
        <v>8452</v>
      </c>
      <c r="I8102">
        <v>87</v>
      </c>
      <c r="J8102">
        <v>87</v>
      </c>
      <c r="K8102">
        <v>0</v>
      </c>
      <c r="L8102">
        <v>0</v>
      </c>
      <c r="M8102">
        <v>0</v>
      </c>
      <c r="N8102">
        <v>0</v>
      </c>
      <c r="O8102">
        <v>0</v>
      </c>
    </row>
    <row r="8103" spans="1:15" x14ac:dyDescent="0.25">
      <c r="A8103" t="s">
        <v>1442</v>
      </c>
      <c r="B8103" t="s">
        <v>2017</v>
      </c>
      <c r="C8103" t="s">
        <v>923</v>
      </c>
      <c r="D8103" t="s">
        <v>3063</v>
      </c>
      <c r="E8103" t="s">
        <v>3053</v>
      </c>
      <c r="F8103" t="s">
        <v>756</v>
      </c>
      <c r="G8103" t="s">
        <v>757</v>
      </c>
      <c r="H8103" t="s">
        <v>8453</v>
      </c>
      <c r="I8103">
        <v>56</v>
      </c>
      <c r="J8103">
        <v>1</v>
      </c>
      <c r="K8103">
        <v>0</v>
      </c>
      <c r="L8103">
        <v>55</v>
      </c>
      <c r="M8103">
        <v>0</v>
      </c>
      <c r="N8103">
        <v>0</v>
      </c>
      <c r="O8103">
        <v>0</v>
      </c>
    </row>
    <row r="8104" spans="1:15" x14ac:dyDescent="0.25">
      <c r="A8104" t="s">
        <v>1066</v>
      </c>
      <c r="B8104" t="s">
        <v>2557</v>
      </c>
      <c r="C8104" t="s">
        <v>927</v>
      </c>
      <c r="D8104" t="s">
        <v>3052</v>
      </c>
      <c r="E8104" t="s">
        <v>3053</v>
      </c>
      <c r="F8104" t="s">
        <v>756</v>
      </c>
      <c r="G8104" t="s">
        <v>757</v>
      </c>
      <c r="H8104" t="s">
        <v>8454</v>
      </c>
      <c r="I8104">
        <v>75</v>
      </c>
      <c r="J8104">
        <v>0</v>
      </c>
      <c r="K8104">
        <v>0</v>
      </c>
      <c r="L8104">
        <v>0</v>
      </c>
      <c r="M8104">
        <v>75</v>
      </c>
      <c r="N8104">
        <v>0</v>
      </c>
      <c r="O8104">
        <v>0</v>
      </c>
    </row>
    <row r="8105" spans="1:15" x14ac:dyDescent="0.25">
      <c r="A8105" t="s">
        <v>1072</v>
      </c>
      <c r="B8105" t="s">
        <v>2907</v>
      </c>
      <c r="C8105" t="s">
        <v>927</v>
      </c>
      <c r="D8105" t="s">
        <v>3052</v>
      </c>
      <c r="E8105" t="s">
        <v>3053</v>
      </c>
      <c r="F8105" t="s">
        <v>756</v>
      </c>
      <c r="G8105" t="s">
        <v>757</v>
      </c>
      <c r="H8105" t="s">
        <v>8455</v>
      </c>
      <c r="I8105">
        <v>107</v>
      </c>
      <c r="J8105">
        <v>0</v>
      </c>
      <c r="K8105">
        <v>0</v>
      </c>
      <c r="L8105">
        <v>0</v>
      </c>
      <c r="M8105">
        <v>79</v>
      </c>
      <c r="N8105">
        <v>0</v>
      </c>
      <c r="O8105">
        <v>28</v>
      </c>
    </row>
    <row r="8106" spans="1:15" x14ac:dyDescent="0.25">
      <c r="A8106" t="s">
        <v>1180</v>
      </c>
      <c r="B8106" t="s">
        <v>2896</v>
      </c>
      <c r="C8106" t="s">
        <v>927</v>
      </c>
      <c r="D8106" t="s">
        <v>3052</v>
      </c>
      <c r="E8106" t="s">
        <v>3053</v>
      </c>
      <c r="F8106" t="s">
        <v>756</v>
      </c>
      <c r="G8106" t="s">
        <v>757</v>
      </c>
      <c r="H8106" t="s">
        <v>8456</v>
      </c>
      <c r="I8106">
        <v>252</v>
      </c>
      <c r="J8106">
        <v>188</v>
      </c>
      <c r="K8106">
        <v>0</v>
      </c>
      <c r="L8106">
        <v>36</v>
      </c>
      <c r="M8106">
        <v>6</v>
      </c>
      <c r="N8106">
        <v>0</v>
      </c>
      <c r="O8106">
        <v>22</v>
      </c>
    </row>
    <row r="8107" spans="1:15" x14ac:dyDescent="0.25">
      <c r="A8107" t="s">
        <v>1446</v>
      </c>
      <c r="B8107" t="s">
        <v>2461</v>
      </c>
      <c r="C8107" t="s">
        <v>923</v>
      </c>
      <c r="D8107" t="s">
        <v>3063</v>
      </c>
      <c r="E8107" t="s">
        <v>3053</v>
      </c>
      <c r="F8107" t="s">
        <v>756</v>
      </c>
      <c r="G8107" t="s">
        <v>757</v>
      </c>
      <c r="H8107" t="s">
        <v>8457</v>
      </c>
      <c r="I8107">
        <v>30</v>
      </c>
      <c r="J8107">
        <v>30</v>
      </c>
      <c r="K8107">
        <v>0</v>
      </c>
      <c r="L8107">
        <v>0</v>
      </c>
      <c r="M8107">
        <v>0</v>
      </c>
      <c r="N8107">
        <v>0</v>
      </c>
      <c r="O8107">
        <v>0</v>
      </c>
    </row>
    <row r="8108" spans="1:15" x14ac:dyDescent="0.25">
      <c r="A8108" t="s">
        <v>1448</v>
      </c>
      <c r="B8108" t="s">
        <v>2418</v>
      </c>
      <c r="C8108" t="s">
        <v>923</v>
      </c>
      <c r="D8108" t="s">
        <v>3063</v>
      </c>
      <c r="E8108" t="s">
        <v>3053</v>
      </c>
      <c r="F8108" t="s">
        <v>756</v>
      </c>
      <c r="G8108" t="s">
        <v>757</v>
      </c>
      <c r="H8108" t="s">
        <v>8458</v>
      </c>
      <c r="I8108">
        <v>67</v>
      </c>
      <c r="J8108">
        <v>67</v>
      </c>
      <c r="K8108">
        <v>0</v>
      </c>
      <c r="L8108">
        <v>0</v>
      </c>
      <c r="M8108">
        <v>0</v>
      </c>
      <c r="N8108">
        <v>0</v>
      </c>
      <c r="O8108">
        <v>0</v>
      </c>
    </row>
    <row r="8109" spans="1:15" x14ac:dyDescent="0.25">
      <c r="A8109" t="s">
        <v>1564</v>
      </c>
      <c r="B8109" t="s">
        <v>3039</v>
      </c>
      <c r="C8109" t="s">
        <v>927</v>
      </c>
      <c r="D8109" t="s">
        <v>3052</v>
      </c>
      <c r="E8109" t="s">
        <v>3053</v>
      </c>
      <c r="F8109" t="s">
        <v>758</v>
      </c>
      <c r="G8109" t="s">
        <v>759</v>
      </c>
      <c r="H8109" t="s">
        <v>12400</v>
      </c>
      <c r="I8109">
        <v>38</v>
      </c>
      <c r="J8109">
        <v>0</v>
      </c>
      <c r="K8109">
        <v>0</v>
      </c>
      <c r="L8109">
        <v>0</v>
      </c>
      <c r="M8109">
        <v>0</v>
      </c>
      <c r="N8109">
        <v>0</v>
      </c>
      <c r="O8109">
        <v>38</v>
      </c>
    </row>
    <row r="8110" spans="1:15" x14ac:dyDescent="0.25">
      <c r="A8110" t="s">
        <v>1196</v>
      </c>
      <c r="B8110" t="s">
        <v>3004</v>
      </c>
      <c r="C8110" t="s">
        <v>927</v>
      </c>
      <c r="D8110" t="s">
        <v>3052</v>
      </c>
      <c r="E8110" t="s">
        <v>3053</v>
      </c>
      <c r="F8110" t="s">
        <v>758</v>
      </c>
      <c r="G8110" t="s">
        <v>759</v>
      </c>
      <c r="H8110" t="s">
        <v>8459</v>
      </c>
      <c r="I8110">
        <v>149</v>
      </c>
      <c r="J8110">
        <v>137</v>
      </c>
      <c r="K8110">
        <v>0</v>
      </c>
      <c r="L8110">
        <v>0</v>
      </c>
      <c r="M8110">
        <v>0</v>
      </c>
      <c r="N8110">
        <v>1</v>
      </c>
      <c r="O8110">
        <v>12</v>
      </c>
    </row>
    <row r="8111" spans="1:15" x14ac:dyDescent="0.25">
      <c r="A8111" t="s">
        <v>971</v>
      </c>
      <c r="B8111" t="s">
        <v>2956</v>
      </c>
      <c r="C8111" t="s">
        <v>927</v>
      </c>
      <c r="D8111" t="s">
        <v>3052</v>
      </c>
      <c r="E8111" t="s">
        <v>3053</v>
      </c>
      <c r="F8111" t="s">
        <v>758</v>
      </c>
      <c r="G8111" t="s">
        <v>759</v>
      </c>
      <c r="H8111" t="s">
        <v>8460</v>
      </c>
      <c r="I8111">
        <v>2938</v>
      </c>
      <c r="J8111">
        <v>2670</v>
      </c>
      <c r="K8111">
        <v>0</v>
      </c>
      <c r="L8111">
        <v>0</v>
      </c>
      <c r="M8111">
        <v>227</v>
      </c>
      <c r="N8111">
        <v>0</v>
      </c>
      <c r="O8111">
        <v>41</v>
      </c>
    </row>
    <row r="8112" spans="1:15" x14ac:dyDescent="0.25">
      <c r="A8112" t="s">
        <v>926</v>
      </c>
      <c r="B8112" t="s">
        <v>2923</v>
      </c>
      <c r="C8112" t="s">
        <v>927</v>
      </c>
      <c r="D8112" t="s">
        <v>3052</v>
      </c>
      <c r="E8112" t="s">
        <v>3053</v>
      </c>
      <c r="F8112" t="s">
        <v>758</v>
      </c>
      <c r="G8112" t="s">
        <v>759</v>
      </c>
      <c r="H8112" t="s">
        <v>8461</v>
      </c>
      <c r="I8112">
        <v>1</v>
      </c>
      <c r="J8112">
        <v>0</v>
      </c>
      <c r="K8112">
        <v>0</v>
      </c>
      <c r="L8112">
        <v>0</v>
      </c>
      <c r="M8112">
        <v>0</v>
      </c>
      <c r="N8112">
        <v>0</v>
      </c>
      <c r="O8112">
        <v>1</v>
      </c>
    </row>
    <row r="8113" spans="1:15" x14ac:dyDescent="0.25">
      <c r="A8113" t="s">
        <v>929</v>
      </c>
      <c r="B8113" t="s">
        <v>2999</v>
      </c>
      <c r="C8113" t="s">
        <v>927</v>
      </c>
      <c r="D8113" t="s">
        <v>3052</v>
      </c>
      <c r="E8113" t="s">
        <v>3053</v>
      </c>
      <c r="F8113" t="s">
        <v>758</v>
      </c>
      <c r="G8113" t="s">
        <v>759</v>
      </c>
      <c r="H8113" t="s">
        <v>8462</v>
      </c>
      <c r="I8113">
        <v>74</v>
      </c>
      <c r="J8113">
        <v>0</v>
      </c>
      <c r="K8113">
        <v>0</v>
      </c>
      <c r="L8113">
        <v>0</v>
      </c>
      <c r="M8113">
        <v>74</v>
      </c>
      <c r="N8113">
        <v>0</v>
      </c>
      <c r="O8113">
        <v>0</v>
      </c>
    </row>
    <row r="8114" spans="1:15" x14ac:dyDescent="0.25">
      <c r="A8114" t="s">
        <v>931</v>
      </c>
      <c r="B8114" t="s">
        <v>1978</v>
      </c>
      <c r="C8114" t="s">
        <v>927</v>
      </c>
      <c r="D8114" t="s">
        <v>3052</v>
      </c>
      <c r="E8114" t="s">
        <v>3053</v>
      </c>
      <c r="F8114" t="s">
        <v>758</v>
      </c>
      <c r="G8114" t="s">
        <v>759</v>
      </c>
      <c r="H8114" t="s">
        <v>9907</v>
      </c>
      <c r="I8114">
        <v>80</v>
      </c>
      <c r="J8114">
        <v>41</v>
      </c>
      <c r="K8114">
        <v>0</v>
      </c>
      <c r="L8114">
        <v>0</v>
      </c>
      <c r="M8114">
        <v>0</v>
      </c>
      <c r="N8114">
        <v>0</v>
      </c>
      <c r="O8114">
        <v>39</v>
      </c>
    </row>
    <row r="8115" spans="1:15" x14ac:dyDescent="0.25">
      <c r="A8115" t="s">
        <v>9784</v>
      </c>
      <c r="B8115" t="s">
        <v>1994</v>
      </c>
      <c r="C8115" t="s">
        <v>927</v>
      </c>
      <c r="D8115" t="s">
        <v>3052</v>
      </c>
      <c r="E8115" t="s">
        <v>3053</v>
      </c>
      <c r="F8115" t="s">
        <v>758</v>
      </c>
      <c r="G8115" t="s">
        <v>759</v>
      </c>
      <c r="H8115" t="s">
        <v>9988</v>
      </c>
      <c r="I8115">
        <v>8</v>
      </c>
      <c r="J8115">
        <v>0</v>
      </c>
      <c r="K8115">
        <v>0</v>
      </c>
      <c r="L8115">
        <v>8</v>
      </c>
      <c r="M8115">
        <v>0</v>
      </c>
      <c r="N8115">
        <v>0</v>
      </c>
      <c r="O8115">
        <v>0</v>
      </c>
    </row>
    <row r="8116" spans="1:15" x14ac:dyDescent="0.25">
      <c r="A8116" t="s">
        <v>933</v>
      </c>
      <c r="B8116" t="s">
        <v>2106</v>
      </c>
      <c r="C8116" t="s">
        <v>927</v>
      </c>
      <c r="D8116" t="s">
        <v>3052</v>
      </c>
      <c r="E8116" t="s">
        <v>3053</v>
      </c>
      <c r="F8116" t="s">
        <v>758</v>
      </c>
      <c r="G8116" t="s">
        <v>759</v>
      </c>
      <c r="H8116" t="s">
        <v>8463</v>
      </c>
      <c r="I8116">
        <v>89</v>
      </c>
      <c r="J8116">
        <v>32</v>
      </c>
      <c r="K8116">
        <v>0</v>
      </c>
      <c r="L8116">
        <v>0</v>
      </c>
      <c r="M8116">
        <v>0</v>
      </c>
      <c r="N8116">
        <v>0</v>
      </c>
      <c r="O8116">
        <v>57</v>
      </c>
    </row>
    <row r="8117" spans="1:15" x14ac:dyDescent="0.25">
      <c r="A8117" t="s">
        <v>1416</v>
      </c>
      <c r="B8117" t="s">
        <v>2029</v>
      </c>
      <c r="C8117" t="s">
        <v>923</v>
      </c>
      <c r="D8117" t="s">
        <v>3063</v>
      </c>
      <c r="E8117" t="s">
        <v>3053</v>
      </c>
      <c r="F8117" t="s">
        <v>758</v>
      </c>
      <c r="G8117" t="s">
        <v>759</v>
      </c>
      <c r="H8117" t="s">
        <v>12401</v>
      </c>
      <c r="I8117">
        <v>5</v>
      </c>
      <c r="J8117">
        <v>0</v>
      </c>
      <c r="K8117">
        <v>0</v>
      </c>
      <c r="L8117">
        <v>5</v>
      </c>
      <c r="M8117">
        <v>0</v>
      </c>
      <c r="N8117">
        <v>0</v>
      </c>
      <c r="O8117">
        <v>0</v>
      </c>
    </row>
    <row r="8118" spans="1:15" x14ac:dyDescent="0.25">
      <c r="A8118" t="s">
        <v>937</v>
      </c>
      <c r="B8118" t="s">
        <v>1962</v>
      </c>
      <c r="C8118" t="s">
        <v>927</v>
      </c>
      <c r="D8118" t="s">
        <v>3052</v>
      </c>
      <c r="E8118" t="s">
        <v>3053</v>
      </c>
      <c r="F8118" t="s">
        <v>758</v>
      </c>
      <c r="G8118" t="s">
        <v>759</v>
      </c>
      <c r="H8118" t="s">
        <v>11369</v>
      </c>
      <c r="I8118">
        <v>11</v>
      </c>
      <c r="J8118">
        <v>0</v>
      </c>
      <c r="K8118">
        <v>0</v>
      </c>
      <c r="L8118">
        <v>0</v>
      </c>
      <c r="M8118">
        <v>0</v>
      </c>
      <c r="N8118">
        <v>0</v>
      </c>
      <c r="O8118">
        <v>11</v>
      </c>
    </row>
    <row r="8119" spans="1:15" x14ac:dyDescent="0.25">
      <c r="A8119" t="s">
        <v>938</v>
      </c>
      <c r="B8119" t="s">
        <v>2791</v>
      </c>
      <c r="C8119" t="s">
        <v>927</v>
      </c>
      <c r="D8119" t="s">
        <v>3052</v>
      </c>
      <c r="E8119" t="s">
        <v>3053</v>
      </c>
      <c r="F8119" t="s">
        <v>758</v>
      </c>
      <c r="G8119" t="s">
        <v>759</v>
      </c>
      <c r="H8119" t="s">
        <v>8464</v>
      </c>
      <c r="I8119">
        <v>14</v>
      </c>
      <c r="J8119">
        <v>0</v>
      </c>
      <c r="K8119">
        <v>0</v>
      </c>
      <c r="L8119">
        <v>14</v>
      </c>
      <c r="M8119">
        <v>0</v>
      </c>
      <c r="N8119">
        <v>0</v>
      </c>
      <c r="O8119">
        <v>0</v>
      </c>
    </row>
    <row r="8120" spans="1:15" x14ac:dyDescent="0.25">
      <c r="A8120" t="s">
        <v>1013</v>
      </c>
      <c r="B8120" t="s">
        <v>1959</v>
      </c>
      <c r="C8120" t="s">
        <v>927</v>
      </c>
      <c r="D8120" t="s">
        <v>3052</v>
      </c>
      <c r="E8120" t="s">
        <v>3053</v>
      </c>
      <c r="F8120" t="s">
        <v>758</v>
      </c>
      <c r="G8120" t="s">
        <v>759</v>
      </c>
      <c r="H8120" t="s">
        <v>8465</v>
      </c>
      <c r="I8120">
        <v>6</v>
      </c>
      <c r="J8120">
        <v>0</v>
      </c>
      <c r="K8120">
        <v>0</v>
      </c>
      <c r="L8120">
        <v>6</v>
      </c>
      <c r="M8120">
        <v>0</v>
      </c>
      <c r="N8120">
        <v>0</v>
      </c>
      <c r="O8120">
        <v>0</v>
      </c>
    </row>
    <row r="8121" spans="1:15" x14ac:dyDescent="0.25">
      <c r="A8121" t="s">
        <v>1126</v>
      </c>
      <c r="B8121" t="s">
        <v>2130</v>
      </c>
      <c r="C8121" t="s">
        <v>927</v>
      </c>
      <c r="D8121" t="s">
        <v>3052</v>
      </c>
      <c r="E8121" t="s">
        <v>3053</v>
      </c>
      <c r="F8121" t="s">
        <v>758</v>
      </c>
      <c r="G8121" t="s">
        <v>759</v>
      </c>
      <c r="H8121" t="s">
        <v>12402</v>
      </c>
      <c r="I8121">
        <v>18</v>
      </c>
      <c r="J8121">
        <v>0</v>
      </c>
      <c r="K8121">
        <v>0</v>
      </c>
      <c r="L8121">
        <v>0</v>
      </c>
      <c r="M8121">
        <v>0</v>
      </c>
      <c r="N8121">
        <v>0</v>
      </c>
      <c r="O8121">
        <v>18</v>
      </c>
    </row>
    <row r="8122" spans="1:15" x14ac:dyDescent="0.25">
      <c r="A8122" t="s">
        <v>1025</v>
      </c>
      <c r="B8122" t="s">
        <v>2893</v>
      </c>
      <c r="C8122" t="s">
        <v>927</v>
      </c>
      <c r="D8122" t="s">
        <v>3052</v>
      </c>
      <c r="E8122" t="s">
        <v>3053</v>
      </c>
      <c r="F8122" t="s">
        <v>758</v>
      </c>
      <c r="G8122" t="s">
        <v>759</v>
      </c>
      <c r="H8122" t="s">
        <v>8466</v>
      </c>
      <c r="I8122">
        <v>1</v>
      </c>
      <c r="J8122">
        <v>0</v>
      </c>
      <c r="K8122">
        <v>0</v>
      </c>
      <c r="L8122">
        <v>0</v>
      </c>
      <c r="M8122">
        <v>0</v>
      </c>
      <c r="N8122">
        <v>0</v>
      </c>
      <c r="O8122">
        <v>1</v>
      </c>
    </row>
    <row r="8123" spans="1:15" x14ac:dyDescent="0.25">
      <c r="A8123" t="s">
        <v>943</v>
      </c>
      <c r="B8123" t="s">
        <v>2694</v>
      </c>
      <c r="C8123" t="s">
        <v>927</v>
      </c>
      <c r="D8123" t="s">
        <v>3052</v>
      </c>
      <c r="E8123" t="s">
        <v>3053</v>
      </c>
      <c r="F8123" t="s">
        <v>758</v>
      </c>
      <c r="G8123" t="s">
        <v>759</v>
      </c>
      <c r="H8123" t="s">
        <v>8467</v>
      </c>
      <c r="I8123">
        <v>394</v>
      </c>
      <c r="J8123">
        <v>224</v>
      </c>
      <c r="K8123">
        <v>0</v>
      </c>
      <c r="L8123">
        <v>0</v>
      </c>
      <c r="M8123">
        <v>0</v>
      </c>
      <c r="N8123">
        <v>0</v>
      </c>
      <c r="O8123">
        <v>170</v>
      </c>
    </row>
    <row r="8124" spans="1:15" x14ac:dyDescent="0.25">
      <c r="A8124" t="s">
        <v>1300</v>
      </c>
      <c r="B8124" t="s">
        <v>2644</v>
      </c>
      <c r="C8124" t="s">
        <v>927</v>
      </c>
      <c r="D8124" t="s">
        <v>3052</v>
      </c>
      <c r="E8124" t="s">
        <v>3053</v>
      </c>
      <c r="F8124" t="s">
        <v>758</v>
      </c>
      <c r="G8124" t="s">
        <v>759</v>
      </c>
      <c r="H8124" t="s">
        <v>8468</v>
      </c>
      <c r="I8124">
        <v>19</v>
      </c>
      <c r="J8124">
        <v>17</v>
      </c>
      <c r="K8124">
        <v>0</v>
      </c>
      <c r="L8124">
        <v>0</v>
      </c>
      <c r="M8124">
        <v>0</v>
      </c>
      <c r="N8124">
        <v>0</v>
      </c>
      <c r="O8124">
        <v>2</v>
      </c>
    </row>
    <row r="8125" spans="1:15" x14ac:dyDescent="0.25">
      <c r="A8125" t="s">
        <v>953</v>
      </c>
      <c r="B8125" t="s">
        <v>2014</v>
      </c>
      <c r="C8125" t="s">
        <v>927</v>
      </c>
      <c r="D8125" t="s">
        <v>3052</v>
      </c>
      <c r="E8125" t="s">
        <v>3053</v>
      </c>
      <c r="F8125" t="s">
        <v>758</v>
      </c>
      <c r="G8125" t="s">
        <v>759</v>
      </c>
      <c r="H8125" t="s">
        <v>8469</v>
      </c>
      <c r="I8125">
        <v>15</v>
      </c>
      <c r="J8125">
        <v>0</v>
      </c>
      <c r="K8125">
        <v>0</v>
      </c>
      <c r="L8125">
        <v>15</v>
      </c>
      <c r="M8125">
        <v>0</v>
      </c>
      <c r="N8125">
        <v>0</v>
      </c>
      <c r="O8125">
        <v>0</v>
      </c>
    </row>
    <row r="8126" spans="1:15" x14ac:dyDescent="0.25">
      <c r="A8126" t="s">
        <v>11663</v>
      </c>
      <c r="B8126" t="s">
        <v>11768</v>
      </c>
      <c r="C8126" t="s">
        <v>927</v>
      </c>
      <c r="D8126" t="s">
        <v>3052</v>
      </c>
      <c r="E8126" t="s">
        <v>3053</v>
      </c>
      <c r="F8126" t="s">
        <v>758</v>
      </c>
      <c r="G8126" t="s">
        <v>759</v>
      </c>
      <c r="H8126" t="s">
        <v>12403</v>
      </c>
      <c r="I8126">
        <v>8</v>
      </c>
      <c r="J8126">
        <v>7</v>
      </c>
      <c r="K8126">
        <v>0</v>
      </c>
      <c r="L8126">
        <v>0</v>
      </c>
      <c r="M8126">
        <v>0</v>
      </c>
      <c r="N8126">
        <v>0</v>
      </c>
      <c r="O8126">
        <v>1</v>
      </c>
    </row>
    <row r="8127" spans="1:15" x14ac:dyDescent="0.25">
      <c r="A8127" t="s">
        <v>960</v>
      </c>
      <c r="B8127" t="s">
        <v>2080</v>
      </c>
      <c r="C8127" t="s">
        <v>927</v>
      </c>
      <c r="D8127" t="s">
        <v>3052</v>
      </c>
      <c r="E8127" t="s">
        <v>3053</v>
      </c>
      <c r="F8127" t="s">
        <v>758</v>
      </c>
      <c r="G8127" t="s">
        <v>759</v>
      </c>
      <c r="H8127" t="s">
        <v>8470</v>
      </c>
      <c r="I8127">
        <v>1</v>
      </c>
      <c r="J8127">
        <v>0</v>
      </c>
      <c r="K8127">
        <v>0</v>
      </c>
      <c r="L8127">
        <v>0</v>
      </c>
      <c r="M8127">
        <v>0</v>
      </c>
      <c r="N8127">
        <v>0</v>
      </c>
      <c r="O8127">
        <v>1</v>
      </c>
    </row>
    <row r="8128" spans="1:15" x14ac:dyDescent="0.25">
      <c r="A8128" t="s">
        <v>962</v>
      </c>
      <c r="B8128" t="s">
        <v>2752</v>
      </c>
      <c r="C8128" t="s">
        <v>927</v>
      </c>
      <c r="D8128" t="s">
        <v>3052</v>
      </c>
      <c r="E8128" t="s">
        <v>3053</v>
      </c>
      <c r="F8128" t="s">
        <v>758</v>
      </c>
      <c r="G8128" t="s">
        <v>759</v>
      </c>
      <c r="H8128" t="s">
        <v>15298</v>
      </c>
      <c r="I8128">
        <v>1</v>
      </c>
      <c r="J8128">
        <v>0</v>
      </c>
      <c r="K8128">
        <v>0</v>
      </c>
      <c r="L8128">
        <v>1</v>
      </c>
      <c r="M8128">
        <v>0</v>
      </c>
      <c r="N8128">
        <v>0</v>
      </c>
      <c r="O8128">
        <v>0</v>
      </c>
    </row>
    <row r="8129" spans="1:15" x14ac:dyDescent="0.25">
      <c r="A8129" t="s">
        <v>1170</v>
      </c>
      <c r="B8129" t="s">
        <v>2968</v>
      </c>
      <c r="C8129" t="s">
        <v>923</v>
      </c>
      <c r="D8129" t="s">
        <v>3063</v>
      </c>
      <c r="E8129" t="s">
        <v>3053</v>
      </c>
      <c r="F8129" t="s">
        <v>758</v>
      </c>
      <c r="G8129" t="s">
        <v>759</v>
      </c>
      <c r="H8129" t="s">
        <v>8471</v>
      </c>
      <c r="I8129">
        <v>12</v>
      </c>
      <c r="J8129">
        <v>0</v>
      </c>
      <c r="K8129">
        <v>0</v>
      </c>
      <c r="L8129">
        <v>12</v>
      </c>
      <c r="M8129">
        <v>0</v>
      </c>
      <c r="N8129">
        <v>0</v>
      </c>
      <c r="O8129">
        <v>0</v>
      </c>
    </row>
    <row r="8130" spans="1:15" x14ac:dyDescent="0.25">
      <c r="A8130" t="s">
        <v>1071</v>
      </c>
      <c r="B8130" t="s">
        <v>2571</v>
      </c>
      <c r="C8130" t="s">
        <v>923</v>
      </c>
      <c r="D8130" t="s">
        <v>3063</v>
      </c>
      <c r="E8130" t="s">
        <v>3053</v>
      </c>
      <c r="F8130" t="s">
        <v>758</v>
      </c>
      <c r="G8130" t="s">
        <v>759</v>
      </c>
      <c r="H8130" t="s">
        <v>8472</v>
      </c>
      <c r="I8130">
        <v>17</v>
      </c>
      <c r="J8130">
        <v>0</v>
      </c>
      <c r="K8130">
        <v>0</v>
      </c>
      <c r="L8130">
        <v>17</v>
      </c>
      <c r="M8130">
        <v>0</v>
      </c>
      <c r="N8130">
        <v>0</v>
      </c>
      <c r="O8130">
        <v>0</v>
      </c>
    </row>
    <row r="8131" spans="1:15" x14ac:dyDescent="0.25">
      <c r="A8131" t="s">
        <v>1374</v>
      </c>
      <c r="B8131" t="s">
        <v>2580</v>
      </c>
      <c r="C8131" t="s">
        <v>923</v>
      </c>
      <c r="D8131" t="s">
        <v>3063</v>
      </c>
      <c r="E8131" t="s">
        <v>3053</v>
      </c>
      <c r="F8131" t="s">
        <v>758</v>
      </c>
      <c r="G8131" t="s">
        <v>759</v>
      </c>
      <c r="H8131" t="s">
        <v>8473</v>
      </c>
      <c r="I8131">
        <v>11</v>
      </c>
      <c r="J8131">
        <v>0</v>
      </c>
      <c r="K8131">
        <v>0</v>
      </c>
      <c r="L8131">
        <v>11</v>
      </c>
      <c r="M8131">
        <v>0</v>
      </c>
      <c r="N8131">
        <v>0</v>
      </c>
      <c r="O8131">
        <v>0</v>
      </c>
    </row>
    <row r="8132" spans="1:15" x14ac:dyDescent="0.25">
      <c r="A8132" t="s">
        <v>968</v>
      </c>
      <c r="B8132" t="s">
        <v>2091</v>
      </c>
      <c r="C8132" t="s">
        <v>927</v>
      </c>
      <c r="D8132" t="s">
        <v>3052</v>
      </c>
      <c r="E8132" t="s">
        <v>3053</v>
      </c>
      <c r="F8132" t="s">
        <v>758</v>
      </c>
      <c r="G8132" t="s">
        <v>759</v>
      </c>
      <c r="H8132" t="s">
        <v>8474</v>
      </c>
      <c r="I8132">
        <v>258</v>
      </c>
      <c r="J8132">
        <v>174</v>
      </c>
      <c r="K8132">
        <v>0</v>
      </c>
      <c r="L8132">
        <v>0</v>
      </c>
      <c r="M8132">
        <v>0</v>
      </c>
      <c r="N8132">
        <v>0</v>
      </c>
      <c r="O8132">
        <v>84</v>
      </c>
    </row>
    <row r="8133" spans="1:15" x14ac:dyDescent="0.25">
      <c r="A8133" t="s">
        <v>1080</v>
      </c>
      <c r="B8133" t="s">
        <v>2030</v>
      </c>
      <c r="C8133" t="s">
        <v>923</v>
      </c>
      <c r="D8133" t="s">
        <v>3063</v>
      </c>
      <c r="E8133" t="s">
        <v>3053</v>
      </c>
      <c r="F8133" t="s">
        <v>758</v>
      </c>
      <c r="G8133" t="s">
        <v>759</v>
      </c>
      <c r="H8133" t="s">
        <v>8475</v>
      </c>
      <c r="I8133">
        <v>9</v>
      </c>
      <c r="J8133">
        <v>0</v>
      </c>
      <c r="K8133">
        <v>0</v>
      </c>
      <c r="L8133">
        <v>9</v>
      </c>
      <c r="M8133">
        <v>0</v>
      </c>
      <c r="N8133">
        <v>0</v>
      </c>
      <c r="O8133">
        <v>0</v>
      </c>
    </row>
    <row r="8134" spans="1:15" x14ac:dyDescent="0.25">
      <c r="A8134" t="s">
        <v>14377</v>
      </c>
      <c r="B8134" t="s">
        <v>14444</v>
      </c>
      <c r="C8134" t="s">
        <v>923</v>
      </c>
      <c r="D8134" t="s">
        <v>3063</v>
      </c>
      <c r="E8134" t="s">
        <v>3053</v>
      </c>
      <c r="F8134" t="s">
        <v>758</v>
      </c>
      <c r="G8134" t="s">
        <v>759</v>
      </c>
      <c r="H8134" t="s">
        <v>15299</v>
      </c>
      <c r="I8134">
        <v>24</v>
      </c>
      <c r="J8134">
        <v>0</v>
      </c>
      <c r="K8134">
        <v>0</v>
      </c>
      <c r="L8134">
        <v>24</v>
      </c>
      <c r="M8134">
        <v>0</v>
      </c>
      <c r="N8134">
        <v>0</v>
      </c>
      <c r="O8134">
        <v>0</v>
      </c>
    </row>
    <row r="8135" spans="1:15" x14ac:dyDescent="0.25">
      <c r="A8135" t="s">
        <v>1196</v>
      </c>
      <c r="B8135" t="s">
        <v>3004</v>
      </c>
      <c r="C8135" t="s">
        <v>927</v>
      </c>
      <c r="D8135" t="s">
        <v>3052</v>
      </c>
      <c r="E8135" t="s">
        <v>3053</v>
      </c>
      <c r="F8135" t="s">
        <v>760</v>
      </c>
      <c r="G8135" t="s">
        <v>761</v>
      </c>
      <c r="H8135" t="s">
        <v>15300</v>
      </c>
      <c r="I8135">
        <v>53</v>
      </c>
      <c r="J8135">
        <v>53</v>
      </c>
      <c r="K8135">
        <v>0</v>
      </c>
      <c r="L8135">
        <v>0</v>
      </c>
      <c r="M8135">
        <v>0</v>
      </c>
      <c r="N8135">
        <v>0</v>
      </c>
      <c r="O8135">
        <v>0</v>
      </c>
    </row>
    <row r="8136" spans="1:15" x14ac:dyDescent="0.25">
      <c r="A8136" t="s">
        <v>1197</v>
      </c>
      <c r="B8136" t="s">
        <v>2559</v>
      </c>
      <c r="C8136" t="s">
        <v>923</v>
      </c>
      <c r="D8136" t="s">
        <v>3063</v>
      </c>
      <c r="E8136" t="s">
        <v>3053</v>
      </c>
      <c r="F8136" t="s">
        <v>760</v>
      </c>
      <c r="G8136" t="s">
        <v>761</v>
      </c>
      <c r="H8136" t="s">
        <v>8476</v>
      </c>
      <c r="I8136">
        <v>18</v>
      </c>
      <c r="J8136">
        <v>0</v>
      </c>
      <c r="K8136">
        <v>0</v>
      </c>
      <c r="L8136">
        <v>18</v>
      </c>
      <c r="M8136">
        <v>0</v>
      </c>
      <c r="N8136">
        <v>0</v>
      </c>
      <c r="O8136">
        <v>0</v>
      </c>
    </row>
    <row r="8137" spans="1:15" x14ac:dyDescent="0.25">
      <c r="A8137" t="s">
        <v>924</v>
      </c>
      <c r="B8137" t="s">
        <v>2963</v>
      </c>
      <c r="C8137" t="s">
        <v>923</v>
      </c>
      <c r="D8137" t="s">
        <v>3063</v>
      </c>
      <c r="E8137" t="s">
        <v>3053</v>
      </c>
      <c r="F8137" t="s">
        <v>760</v>
      </c>
      <c r="G8137" t="s">
        <v>761</v>
      </c>
      <c r="H8137" t="s">
        <v>8477</v>
      </c>
      <c r="I8137">
        <v>21</v>
      </c>
      <c r="J8137">
        <v>0</v>
      </c>
      <c r="K8137">
        <v>0</v>
      </c>
      <c r="L8137">
        <v>21</v>
      </c>
      <c r="M8137">
        <v>0</v>
      </c>
      <c r="N8137">
        <v>0</v>
      </c>
      <c r="O8137">
        <v>0</v>
      </c>
    </row>
    <row r="8138" spans="1:15" x14ac:dyDescent="0.25">
      <c r="A8138" t="s">
        <v>926</v>
      </c>
      <c r="B8138" t="s">
        <v>2923</v>
      </c>
      <c r="C8138" t="s">
        <v>927</v>
      </c>
      <c r="D8138" t="s">
        <v>3052</v>
      </c>
      <c r="E8138" t="s">
        <v>3053</v>
      </c>
      <c r="F8138" t="s">
        <v>760</v>
      </c>
      <c r="G8138" t="s">
        <v>761</v>
      </c>
      <c r="H8138" t="s">
        <v>8478</v>
      </c>
      <c r="I8138">
        <v>4</v>
      </c>
      <c r="J8138">
        <v>0</v>
      </c>
      <c r="K8138">
        <v>0</v>
      </c>
      <c r="L8138">
        <v>4</v>
      </c>
      <c r="M8138">
        <v>0</v>
      </c>
      <c r="N8138">
        <v>0</v>
      </c>
      <c r="O8138">
        <v>0</v>
      </c>
    </row>
    <row r="8139" spans="1:15" x14ac:dyDescent="0.25">
      <c r="A8139" t="s">
        <v>929</v>
      </c>
      <c r="B8139" t="s">
        <v>2999</v>
      </c>
      <c r="C8139" t="s">
        <v>927</v>
      </c>
      <c r="D8139" t="s">
        <v>3052</v>
      </c>
      <c r="E8139" t="s">
        <v>3053</v>
      </c>
      <c r="F8139" t="s">
        <v>760</v>
      </c>
      <c r="G8139" t="s">
        <v>761</v>
      </c>
      <c r="H8139" t="s">
        <v>8479</v>
      </c>
      <c r="I8139">
        <v>188</v>
      </c>
      <c r="J8139">
        <v>0</v>
      </c>
      <c r="K8139">
        <v>0</v>
      </c>
      <c r="L8139">
        <v>0</v>
      </c>
      <c r="M8139">
        <v>188</v>
      </c>
      <c r="N8139">
        <v>0</v>
      </c>
      <c r="O8139">
        <v>0</v>
      </c>
    </row>
    <row r="8140" spans="1:15" x14ac:dyDescent="0.25">
      <c r="A8140" t="s">
        <v>9790</v>
      </c>
      <c r="B8140" t="s">
        <v>1977</v>
      </c>
      <c r="C8140" t="s">
        <v>923</v>
      </c>
      <c r="D8140" t="s">
        <v>3063</v>
      </c>
      <c r="E8140" t="s">
        <v>3053</v>
      </c>
      <c r="F8140" t="s">
        <v>760</v>
      </c>
      <c r="G8140" t="s">
        <v>761</v>
      </c>
      <c r="H8140" t="s">
        <v>12404</v>
      </c>
      <c r="I8140">
        <v>6</v>
      </c>
      <c r="J8140">
        <v>0</v>
      </c>
      <c r="K8140">
        <v>0</v>
      </c>
      <c r="L8140">
        <v>6</v>
      </c>
      <c r="M8140">
        <v>0</v>
      </c>
      <c r="N8140">
        <v>0</v>
      </c>
      <c r="O8140">
        <v>0</v>
      </c>
    </row>
    <row r="8141" spans="1:15" x14ac:dyDescent="0.25">
      <c r="A8141" t="s">
        <v>933</v>
      </c>
      <c r="B8141" t="s">
        <v>2106</v>
      </c>
      <c r="C8141" t="s">
        <v>927</v>
      </c>
      <c r="D8141" t="s">
        <v>3052</v>
      </c>
      <c r="E8141" t="s">
        <v>3053</v>
      </c>
      <c r="F8141" t="s">
        <v>760</v>
      </c>
      <c r="G8141" t="s">
        <v>761</v>
      </c>
      <c r="H8141" t="s">
        <v>8480</v>
      </c>
      <c r="I8141">
        <v>570</v>
      </c>
      <c r="J8141">
        <v>461</v>
      </c>
      <c r="K8141">
        <v>0</v>
      </c>
      <c r="L8141">
        <v>0</v>
      </c>
      <c r="M8141">
        <v>0</v>
      </c>
      <c r="N8141">
        <v>0</v>
      </c>
      <c r="O8141">
        <v>109</v>
      </c>
    </row>
    <row r="8142" spans="1:15" x14ac:dyDescent="0.25">
      <c r="A8142" t="s">
        <v>1227</v>
      </c>
      <c r="B8142" t="s">
        <v>2023</v>
      </c>
      <c r="C8142" t="s">
        <v>923</v>
      </c>
      <c r="D8142" t="s">
        <v>3063</v>
      </c>
      <c r="E8142" t="s">
        <v>3053</v>
      </c>
      <c r="F8142" t="s">
        <v>760</v>
      </c>
      <c r="G8142" t="s">
        <v>761</v>
      </c>
      <c r="H8142" t="s">
        <v>11370</v>
      </c>
      <c r="I8142">
        <v>8</v>
      </c>
      <c r="J8142">
        <v>8</v>
      </c>
      <c r="K8142">
        <v>0</v>
      </c>
      <c r="L8142">
        <v>0</v>
      </c>
      <c r="M8142">
        <v>0</v>
      </c>
      <c r="N8142">
        <v>0</v>
      </c>
      <c r="O8142">
        <v>0</v>
      </c>
    </row>
    <row r="8143" spans="1:15" x14ac:dyDescent="0.25">
      <c r="A8143" t="s">
        <v>1229</v>
      </c>
      <c r="B8143" t="s">
        <v>2929</v>
      </c>
      <c r="C8143" t="s">
        <v>927</v>
      </c>
      <c r="D8143" t="s">
        <v>3052</v>
      </c>
      <c r="E8143" t="s">
        <v>3053</v>
      </c>
      <c r="F8143" t="s">
        <v>760</v>
      </c>
      <c r="G8143" t="s">
        <v>761</v>
      </c>
      <c r="H8143" t="s">
        <v>8481</v>
      </c>
      <c r="I8143">
        <v>184</v>
      </c>
      <c r="J8143">
        <v>15</v>
      </c>
      <c r="K8143">
        <v>0</v>
      </c>
      <c r="L8143">
        <v>5</v>
      </c>
      <c r="M8143">
        <v>147</v>
      </c>
      <c r="N8143">
        <v>0</v>
      </c>
      <c r="O8143">
        <v>17</v>
      </c>
    </row>
    <row r="8144" spans="1:15" x14ac:dyDescent="0.25">
      <c r="A8144" t="s">
        <v>1416</v>
      </c>
      <c r="B8144" t="s">
        <v>2029</v>
      </c>
      <c r="C8144" t="s">
        <v>923</v>
      </c>
      <c r="D8144" t="s">
        <v>3063</v>
      </c>
      <c r="E8144" t="s">
        <v>3053</v>
      </c>
      <c r="F8144" t="s">
        <v>760</v>
      </c>
      <c r="G8144" t="s">
        <v>761</v>
      </c>
      <c r="H8144" t="s">
        <v>12405</v>
      </c>
      <c r="I8144">
        <v>6</v>
      </c>
      <c r="J8144">
        <v>0</v>
      </c>
      <c r="K8144">
        <v>0</v>
      </c>
      <c r="L8144">
        <v>6</v>
      </c>
      <c r="M8144">
        <v>0</v>
      </c>
      <c r="N8144">
        <v>0</v>
      </c>
      <c r="O8144">
        <v>0</v>
      </c>
    </row>
    <row r="8145" spans="1:15" x14ac:dyDescent="0.25">
      <c r="A8145" t="s">
        <v>10638</v>
      </c>
      <c r="B8145" t="s">
        <v>2057</v>
      </c>
      <c r="C8145" t="s">
        <v>927</v>
      </c>
      <c r="D8145" t="s">
        <v>3052</v>
      </c>
      <c r="E8145" t="s">
        <v>3053</v>
      </c>
      <c r="F8145" t="s">
        <v>760</v>
      </c>
      <c r="G8145" t="s">
        <v>761</v>
      </c>
      <c r="H8145" t="s">
        <v>11371</v>
      </c>
      <c r="I8145">
        <v>17</v>
      </c>
      <c r="J8145">
        <v>0</v>
      </c>
      <c r="K8145">
        <v>0</v>
      </c>
      <c r="L8145">
        <v>17</v>
      </c>
      <c r="M8145">
        <v>0</v>
      </c>
      <c r="N8145">
        <v>0</v>
      </c>
      <c r="O8145">
        <v>0</v>
      </c>
    </row>
    <row r="8146" spans="1:15" x14ac:dyDescent="0.25">
      <c r="A8146" t="s">
        <v>938</v>
      </c>
      <c r="B8146" t="s">
        <v>2791</v>
      </c>
      <c r="C8146" t="s">
        <v>927</v>
      </c>
      <c r="D8146" t="s">
        <v>3052</v>
      </c>
      <c r="E8146" t="s">
        <v>3053</v>
      </c>
      <c r="F8146" t="s">
        <v>760</v>
      </c>
      <c r="G8146" t="s">
        <v>761</v>
      </c>
      <c r="H8146" t="s">
        <v>8482</v>
      </c>
      <c r="I8146">
        <v>93</v>
      </c>
      <c r="J8146">
        <v>76</v>
      </c>
      <c r="K8146">
        <v>0</v>
      </c>
      <c r="L8146">
        <v>17</v>
      </c>
      <c r="M8146">
        <v>0</v>
      </c>
      <c r="N8146">
        <v>0</v>
      </c>
      <c r="O8146">
        <v>0</v>
      </c>
    </row>
    <row r="8147" spans="1:15" x14ac:dyDescent="0.25">
      <c r="A8147" t="s">
        <v>940</v>
      </c>
      <c r="B8147" t="s">
        <v>2647</v>
      </c>
      <c r="C8147" t="s">
        <v>927</v>
      </c>
      <c r="D8147" t="s">
        <v>3052</v>
      </c>
      <c r="E8147" t="s">
        <v>3053</v>
      </c>
      <c r="F8147" t="s">
        <v>760</v>
      </c>
      <c r="G8147" t="s">
        <v>761</v>
      </c>
      <c r="H8147" t="s">
        <v>8483</v>
      </c>
      <c r="I8147">
        <v>171</v>
      </c>
      <c r="J8147">
        <v>0</v>
      </c>
      <c r="K8147">
        <v>0</v>
      </c>
      <c r="L8147">
        <v>52</v>
      </c>
      <c r="M8147">
        <v>111</v>
      </c>
      <c r="N8147">
        <v>0</v>
      </c>
      <c r="O8147">
        <v>8</v>
      </c>
    </row>
    <row r="8148" spans="1:15" x14ac:dyDescent="0.25">
      <c r="A8148" t="s">
        <v>1288</v>
      </c>
      <c r="B8148" t="s">
        <v>2555</v>
      </c>
      <c r="C8148" t="s">
        <v>923</v>
      </c>
      <c r="D8148" t="s">
        <v>3063</v>
      </c>
      <c r="E8148" t="s">
        <v>3053</v>
      </c>
      <c r="F8148" t="s">
        <v>760</v>
      </c>
      <c r="G8148" t="s">
        <v>761</v>
      </c>
      <c r="H8148" t="s">
        <v>8484</v>
      </c>
      <c r="I8148">
        <v>8</v>
      </c>
      <c r="J8148">
        <v>0</v>
      </c>
      <c r="K8148">
        <v>8</v>
      </c>
      <c r="L8148">
        <v>0</v>
      </c>
      <c r="M8148">
        <v>0</v>
      </c>
      <c r="N8148">
        <v>0</v>
      </c>
      <c r="O8148">
        <v>0</v>
      </c>
    </row>
    <row r="8149" spans="1:15" x14ac:dyDescent="0.25">
      <c r="A8149" t="s">
        <v>1126</v>
      </c>
      <c r="B8149" t="s">
        <v>2130</v>
      </c>
      <c r="C8149" t="s">
        <v>927</v>
      </c>
      <c r="D8149" t="s">
        <v>3052</v>
      </c>
      <c r="E8149" t="s">
        <v>3053</v>
      </c>
      <c r="F8149" t="s">
        <v>760</v>
      </c>
      <c r="G8149" t="s">
        <v>761</v>
      </c>
      <c r="H8149" t="s">
        <v>15301</v>
      </c>
      <c r="I8149">
        <v>2</v>
      </c>
      <c r="J8149">
        <v>0</v>
      </c>
      <c r="K8149">
        <v>0</v>
      </c>
      <c r="L8149">
        <v>0</v>
      </c>
      <c r="M8149">
        <v>0</v>
      </c>
      <c r="N8149">
        <v>0</v>
      </c>
      <c r="O8149">
        <v>2</v>
      </c>
    </row>
    <row r="8150" spans="1:15" x14ac:dyDescent="0.25">
      <c r="A8150" t="s">
        <v>1025</v>
      </c>
      <c r="B8150" t="s">
        <v>2893</v>
      </c>
      <c r="C8150" t="s">
        <v>927</v>
      </c>
      <c r="D8150" t="s">
        <v>3052</v>
      </c>
      <c r="E8150" t="s">
        <v>3053</v>
      </c>
      <c r="F8150" t="s">
        <v>760</v>
      </c>
      <c r="G8150" t="s">
        <v>761</v>
      </c>
      <c r="H8150" t="s">
        <v>8485</v>
      </c>
      <c r="I8150">
        <v>699</v>
      </c>
      <c r="J8150">
        <v>463</v>
      </c>
      <c r="K8150">
        <v>0</v>
      </c>
      <c r="L8150">
        <v>26</v>
      </c>
      <c r="M8150">
        <v>0</v>
      </c>
      <c r="N8150">
        <v>3</v>
      </c>
      <c r="O8150">
        <v>210</v>
      </c>
    </row>
    <row r="8151" spans="1:15" x14ac:dyDescent="0.25">
      <c r="A8151" t="s">
        <v>10687</v>
      </c>
      <c r="B8151" t="s">
        <v>10686</v>
      </c>
      <c r="C8151" t="s">
        <v>923</v>
      </c>
      <c r="D8151" t="s">
        <v>3063</v>
      </c>
      <c r="E8151" t="s">
        <v>3053</v>
      </c>
      <c r="F8151" t="s">
        <v>760</v>
      </c>
      <c r="G8151" t="s">
        <v>761</v>
      </c>
      <c r="H8151" t="s">
        <v>15302</v>
      </c>
      <c r="I8151">
        <v>276</v>
      </c>
      <c r="J8151">
        <v>276</v>
      </c>
      <c r="K8151">
        <v>0</v>
      </c>
      <c r="L8151">
        <v>0</v>
      </c>
      <c r="M8151">
        <v>0</v>
      </c>
      <c r="N8151">
        <v>0</v>
      </c>
      <c r="O8151">
        <v>0</v>
      </c>
    </row>
    <row r="8152" spans="1:15" x14ac:dyDescent="0.25">
      <c r="A8152" t="s">
        <v>943</v>
      </c>
      <c r="B8152" t="s">
        <v>2694</v>
      </c>
      <c r="C8152" t="s">
        <v>927</v>
      </c>
      <c r="D8152" t="s">
        <v>3052</v>
      </c>
      <c r="E8152" t="s">
        <v>3053</v>
      </c>
      <c r="F8152" t="s">
        <v>760</v>
      </c>
      <c r="G8152" t="s">
        <v>761</v>
      </c>
      <c r="H8152" t="s">
        <v>8486</v>
      </c>
      <c r="I8152">
        <v>2121</v>
      </c>
      <c r="J8152">
        <v>1844</v>
      </c>
      <c r="K8152">
        <v>0</v>
      </c>
      <c r="L8152">
        <v>11</v>
      </c>
      <c r="M8152">
        <v>0</v>
      </c>
      <c r="N8152">
        <v>5</v>
      </c>
      <c r="O8152">
        <v>266</v>
      </c>
    </row>
    <row r="8153" spans="1:15" x14ac:dyDescent="0.25">
      <c r="A8153" t="s">
        <v>1297</v>
      </c>
      <c r="B8153" t="s">
        <v>2818</v>
      </c>
      <c r="C8153" t="s">
        <v>923</v>
      </c>
      <c r="D8153" t="s">
        <v>3063</v>
      </c>
      <c r="E8153" t="s">
        <v>3053</v>
      </c>
      <c r="F8153" t="s">
        <v>760</v>
      </c>
      <c r="G8153" t="s">
        <v>761</v>
      </c>
      <c r="H8153" t="s">
        <v>8487</v>
      </c>
      <c r="I8153">
        <v>1</v>
      </c>
      <c r="J8153">
        <v>1</v>
      </c>
      <c r="K8153">
        <v>0</v>
      </c>
      <c r="L8153">
        <v>0</v>
      </c>
      <c r="M8153">
        <v>0</v>
      </c>
      <c r="N8153">
        <v>0</v>
      </c>
      <c r="O8153">
        <v>0</v>
      </c>
    </row>
    <row r="8154" spans="1:15" x14ac:dyDescent="0.25">
      <c r="A8154" t="s">
        <v>945</v>
      </c>
      <c r="B8154" t="s">
        <v>2668</v>
      </c>
      <c r="C8154" t="s">
        <v>927</v>
      </c>
      <c r="D8154" t="s">
        <v>3052</v>
      </c>
      <c r="E8154" t="s">
        <v>3053</v>
      </c>
      <c r="F8154" t="s">
        <v>760</v>
      </c>
      <c r="G8154" t="s">
        <v>761</v>
      </c>
      <c r="H8154" t="s">
        <v>8488</v>
      </c>
      <c r="I8154">
        <v>272</v>
      </c>
      <c r="J8154">
        <v>233</v>
      </c>
      <c r="K8154">
        <v>0</v>
      </c>
      <c r="L8154">
        <v>0</v>
      </c>
      <c r="M8154">
        <v>32</v>
      </c>
      <c r="N8154">
        <v>0</v>
      </c>
      <c r="O8154">
        <v>7</v>
      </c>
    </row>
    <row r="8155" spans="1:15" x14ac:dyDescent="0.25">
      <c r="A8155" t="s">
        <v>1134</v>
      </c>
      <c r="B8155" t="s">
        <v>2118</v>
      </c>
      <c r="C8155" t="s">
        <v>927</v>
      </c>
      <c r="D8155" t="s">
        <v>3052</v>
      </c>
      <c r="E8155" t="s">
        <v>3053</v>
      </c>
      <c r="F8155" t="s">
        <v>760</v>
      </c>
      <c r="G8155" t="s">
        <v>761</v>
      </c>
      <c r="H8155" t="s">
        <v>8489</v>
      </c>
      <c r="I8155">
        <v>71</v>
      </c>
      <c r="J8155">
        <v>71</v>
      </c>
      <c r="K8155">
        <v>0</v>
      </c>
      <c r="L8155">
        <v>0</v>
      </c>
      <c r="M8155">
        <v>0</v>
      </c>
      <c r="N8155">
        <v>4</v>
      </c>
      <c r="O8155">
        <v>0</v>
      </c>
    </row>
    <row r="8156" spans="1:15" x14ac:dyDescent="0.25">
      <c r="A8156" t="s">
        <v>949</v>
      </c>
      <c r="B8156" t="s">
        <v>3035</v>
      </c>
      <c r="C8156" t="s">
        <v>927</v>
      </c>
      <c r="D8156" t="s">
        <v>3052</v>
      </c>
      <c r="E8156" t="s">
        <v>3053</v>
      </c>
      <c r="F8156" t="s">
        <v>760</v>
      </c>
      <c r="G8156" t="s">
        <v>761</v>
      </c>
      <c r="H8156" t="s">
        <v>8490</v>
      </c>
      <c r="I8156">
        <v>5</v>
      </c>
      <c r="J8156">
        <v>0</v>
      </c>
      <c r="K8156">
        <v>0</v>
      </c>
      <c r="L8156">
        <v>0</v>
      </c>
      <c r="M8156">
        <v>0</v>
      </c>
      <c r="N8156">
        <v>0</v>
      </c>
      <c r="O8156">
        <v>5</v>
      </c>
    </row>
    <row r="8157" spans="1:15" x14ac:dyDescent="0.25">
      <c r="A8157" t="s">
        <v>1136</v>
      </c>
      <c r="B8157" t="s">
        <v>1942</v>
      </c>
      <c r="C8157" t="s">
        <v>923</v>
      </c>
      <c r="D8157" t="s">
        <v>3063</v>
      </c>
      <c r="E8157" t="s">
        <v>3053</v>
      </c>
      <c r="F8157" t="s">
        <v>760</v>
      </c>
      <c r="G8157" t="s">
        <v>761</v>
      </c>
      <c r="H8157" t="s">
        <v>8491</v>
      </c>
      <c r="I8157">
        <v>40</v>
      </c>
      <c r="J8157">
        <v>40</v>
      </c>
      <c r="K8157">
        <v>0</v>
      </c>
      <c r="L8157">
        <v>0</v>
      </c>
      <c r="M8157">
        <v>0</v>
      </c>
      <c r="N8157">
        <v>0</v>
      </c>
      <c r="O8157">
        <v>0</v>
      </c>
    </row>
    <row r="8158" spans="1:15" x14ac:dyDescent="0.25">
      <c r="A8158" t="s">
        <v>1041</v>
      </c>
      <c r="B8158" t="s">
        <v>2826</v>
      </c>
      <c r="C8158" t="s">
        <v>927</v>
      </c>
      <c r="D8158" t="s">
        <v>3052</v>
      </c>
      <c r="E8158" t="s">
        <v>3053</v>
      </c>
      <c r="F8158" t="s">
        <v>760</v>
      </c>
      <c r="G8158" t="s">
        <v>761</v>
      </c>
      <c r="H8158" t="s">
        <v>8492</v>
      </c>
      <c r="I8158">
        <v>16</v>
      </c>
      <c r="J8158">
        <v>0</v>
      </c>
      <c r="K8158">
        <v>0</v>
      </c>
      <c r="L8158">
        <v>0</v>
      </c>
      <c r="M8158">
        <v>0</v>
      </c>
      <c r="N8158">
        <v>0</v>
      </c>
      <c r="O8158">
        <v>16</v>
      </c>
    </row>
    <row r="8159" spans="1:15" x14ac:dyDescent="0.25">
      <c r="A8159" t="s">
        <v>9787</v>
      </c>
      <c r="B8159" t="s">
        <v>2822</v>
      </c>
      <c r="C8159" t="s">
        <v>927</v>
      </c>
      <c r="D8159" t="s">
        <v>3052</v>
      </c>
      <c r="E8159" t="s">
        <v>3053</v>
      </c>
      <c r="F8159" t="s">
        <v>760</v>
      </c>
      <c r="G8159" t="s">
        <v>761</v>
      </c>
      <c r="H8159" t="s">
        <v>10282</v>
      </c>
      <c r="I8159">
        <v>405</v>
      </c>
      <c r="J8159">
        <v>405</v>
      </c>
      <c r="K8159">
        <v>0</v>
      </c>
      <c r="L8159">
        <v>0</v>
      </c>
      <c r="M8159">
        <v>0</v>
      </c>
      <c r="N8159">
        <v>0</v>
      </c>
      <c r="O8159">
        <v>0</v>
      </c>
    </row>
    <row r="8160" spans="1:15" x14ac:dyDescent="0.25">
      <c r="A8160" t="s">
        <v>1146</v>
      </c>
      <c r="B8160" t="s">
        <v>2117</v>
      </c>
      <c r="C8160" t="s">
        <v>927</v>
      </c>
      <c r="D8160" t="s">
        <v>3052</v>
      </c>
      <c r="E8160" t="s">
        <v>3053</v>
      </c>
      <c r="F8160" t="s">
        <v>760</v>
      </c>
      <c r="G8160" t="s">
        <v>761</v>
      </c>
      <c r="H8160" t="s">
        <v>8493</v>
      </c>
      <c r="I8160">
        <v>43</v>
      </c>
      <c r="J8160">
        <v>24</v>
      </c>
      <c r="K8160">
        <v>0</v>
      </c>
      <c r="L8160">
        <v>0</v>
      </c>
      <c r="M8160">
        <v>0</v>
      </c>
      <c r="N8160">
        <v>0</v>
      </c>
      <c r="O8160">
        <v>19</v>
      </c>
    </row>
    <row r="8161" spans="1:15" x14ac:dyDescent="0.25">
      <c r="A8161" t="s">
        <v>951</v>
      </c>
      <c r="B8161" t="s">
        <v>2680</v>
      </c>
      <c r="C8161" t="s">
        <v>927</v>
      </c>
      <c r="D8161" t="s">
        <v>3052</v>
      </c>
      <c r="E8161" t="s">
        <v>3053</v>
      </c>
      <c r="F8161" t="s">
        <v>760</v>
      </c>
      <c r="G8161" t="s">
        <v>761</v>
      </c>
      <c r="H8161" t="s">
        <v>8494</v>
      </c>
      <c r="I8161">
        <v>3</v>
      </c>
      <c r="J8161">
        <v>3</v>
      </c>
      <c r="K8161">
        <v>0</v>
      </c>
      <c r="L8161">
        <v>0</v>
      </c>
      <c r="M8161">
        <v>0</v>
      </c>
      <c r="N8161">
        <v>0</v>
      </c>
      <c r="O8161">
        <v>0</v>
      </c>
    </row>
    <row r="8162" spans="1:15" x14ac:dyDescent="0.25">
      <c r="A8162" t="s">
        <v>1051</v>
      </c>
      <c r="B8162" t="s">
        <v>2995</v>
      </c>
      <c r="C8162" t="s">
        <v>927</v>
      </c>
      <c r="D8162" t="s">
        <v>3052</v>
      </c>
      <c r="E8162" t="s">
        <v>3053</v>
      </c>
      <c r="F8162" t="s">
        <v>760</v>
      </c>
      <c r="G8162" t="s">
        <v>761</v>
      </c>
      <c r="H8162" t="s">
        <v>8495</v>
      </c>
      <c r="I8162">
        <v>38</v>
      </c>
      <c r="J8162">
        <v>0</v>
      </c>
      <c r="K8162">
        <v>0</v>
      </c>
      <c r="L8162">
        <v>38</v>
      </c>
      <c r="M8162">
        <v>0</v>
      </c>
      <c r="N8162">
        <v>0</v>
      </c>
      <c r="O8162">
        <v>0</v>
      </c>
    </row>
    <row r="8163" spans="1:15" x14ac:dyDescent="0.25">
      <c r="A8163" t="s">
        <v>1331</v>
      </c>
      <c r="B8163" t="s">
        <v>2856</v>
      </c>
      <c r="C8163" t="s">
        <v>927</v>
      </c>
      <c r="D8163" t="s">
        <v>3052</v>
      </c>
      <c r="E8163" t="s">
        <v>3053</v>
      </c>
      <c r="F8163" t="s">
        <v>760</v>
      </c>
      <c r="G8163" t="s">
        <v>761</v>
      </c>
      <c r="H8163" t="s">
        <v>8496</v>
      </c>
      <c r="I8163">
        <v>8</v>
      </c>
      <c r="J8163">
        <v>8</v>
      </c>
      <c r="K8163">
        <v>0</v>
      </c>
      <c r="L8163">
        <v>0</v>
      </c>
      <c r="M8163">
        <v>0</v>
      </c>
      <c r="N8163">
        <v>0</v>
      </c>
      <c r="O8163">
        <v>0</v>
      </c>
    </row>
    <row r="8164" spans="1:15" x14ac:dyDescent="0.25">
      <c r="A8164" t="s">
        <v>953</v>
      </c>
      <c r="B8164" t="s">
        <v>2014</v>
      </c>
      <c r="C8164" t="s">
        <v>927</v>
      </c>
      <c r="D8164" t="s">
        <v>3052</v>
      </c>
      <c r="E8164" t="s">
        <v>3053</v>
      </c>
      <c r="F8164" t="s">
        <v>760</v>
      </c>
      <c r="G8164" t="s">
        <v>761</v>
      </c>
      <c r="H8164" t="s">
        <v>8497</v>
      </c>
      <c r="I8164">
        <v>6</v>
      </c>
      <c r="J8164">
        <v>0</v>
      </c>
      <c r="K8164">
        <v>0</v>
      </c>
      <c r="L8164">
        <v>6</v>
      </c>
      <c r="M8164">
        <v>0</v>
      </c>
      <c r="N8164">
        <v>0</v>
      </c>
      <c r="O8164">
        <v>0</v>
      </c>
    </row>
    <row r="8165" spans="1:15" x14ac:dyDescent="0.25">
      <c r="A8165" t="s">
        <v>11720</v>
      </c>
      <c r="B8165" t="s">
        <v>10718</v>
      </c>
      <c r="C8165" t="s">
        <v>927</v>
      </c>
      <c r="D8165" t="s">
        <v>3052</v>
      </c>
      <c r="E8165" t="s">
        <v>3053</v>
      </c>
      <c r="F8165" t="s">
        <v>760</v>
      </c>
      <c r="G8165" t="s">
        <v>761</v>
      </c>
      <c r="H8165" t="s">
        <v>15303</v>
      </c>
      <c r="I8165">
        <v>15</v>
      </c>
      <c r="J8165">
        <v>0</v>
      </c>
      <c r="K8165">
        <v>0</v>
      </c>
      <c r="L8165">
        <v>0</v>
      </c>
      <c r="M8165">
        <v>0</v>
      </c>
      <c r="N8165">
        <v>0</v>
      </c>
      <c r="O8165">
        <v>15</v>
      </c>
    </row>
    <row r="8166" spans="1:15" x14ac:dyDescent="0.25">
      <c r="A8166" t="s">
        <v>9788</v>
      </c>
      <c r="B8166" t="s">
        <v>9871</v>
      </c>
      <c r="C8166" t="s">
        <v>927</v>
      </c>
      <c r="D8166" t="s">
        <v>3052</v>
      </c>
      <c r="E8166" t="s">
        <v>3053</v>
      </c>
      <c r="F8166" t="s">
        <v>760</v>
      </c>
      <c r="G8166" t="s">
        <v>761</v>
      </c>
      <c r="H8166" t="s">
        <v>10380</v>
      </c>
      <c r="I8166">
        <v>21</v>
      </c>
      <c r="J8166">
        <v>21</v>
      </c>
      <c r="K8166">
        <v>0</v>
      </c>
      <c r="L8166">
        <v>0</v>
      </c>
      <c r="M8166">
        <v>0</v>
      </c>
      <c r="N8166">
        <v>0</v>
      </c>
      <c r="O8166">
        <v>0</v>
      </c>
    </row>
    <row r="8167" spans="1:15" x14ac:dyDescent="0.25">
      <c r="A8167" t="s">
        <v>1155</v>
      </c>
      <c r="B8167" t="s">
        <v>2912</v>
      </c>
      <c r="C8167" t="s">
        <v>927</v>
      </c>
      <c r="D8167" t="s">
        <v>3052</v>
      </c>
      <c r="E8167" t="s">
        <v>3053</v>
      </c>
      <c r="F8167" t="s">
        <v>760</v>
      </c>
      <c r="G8167" t="s">
        <v>761</v>
      </c>
      <c r="H8167" t="s">
        <v>8498</v>
      </c>
      <c r="I8167">
        <v>3</v>
      </c>
      <c r="J8167">
        <v>0</v>
      </c>
      <c r="K8167">
        <v>0</v>
      </c>
      <c r="L8167">
        <v>0</v>
      </c>
      <c r="M8167">
        <v>0</v>
      </c>
      <c r="N8167">
        <v>0</v>
      </c>
      <c r="O8167">
        <v>3</v>
      </c>
    </row>
    <row r="8168" spans="1:15" x14ac:dyDescent="0.25">
      <c r="A8168" t="s">
        <v>11663</v>
      </c>
      <c r="B8168" t="s">
        <v>11768</v>
      </c>
      <c r="C8168" t="s">
        <v>927</v>
      </c>
      <c r="D8168" t="s">
        <v>3052</v>
      </c>
      <c r="E8168" t="s">
        <v>3053</v>
      </c>
      <c r="F8168" t="s">
        <v>760</v>
      </c>
      <c r="G8168" t="s">
        <v>761</v>
      </c>
      <c r="H8168" t="s">
        <v>12406</v>
      </c>
      <c r="I8168">
        <v>573</v>
      </c>
      <c r="J8168">
        <v>274</v>
      </c>
      <c r="K8168">
        <v>0</v>
      </c>
      <c r="L8168">
        <v>25</v>
      </c>
      <c r="M8168">
        <v>86</v>
      </c>
      <c r="N8168">
        <v>0</v>
      </c>
      <c r="O8168">
        <v>188</v>
      </c>
    </row>
    <row r="8169" spans="1:15" x14ac:dyDescent="0.25">
      <c r="A8169" t="s">
        <v>14374</v>
      </c>
      <c r="B8169" t="s">
        <v>1943</v>
      </c>
      <c r="C8169" t="s">
        <v>927</v>
      </c>
      <c r="D8169" t="s">
        <v>3052</v>
      </c>
      <c r="E8169" t="s">
        <v>3053</v>
      </c>
      <c r="F8169" t="s">
        <v>760</v>
      </c>
      <c r="G8169" t="s">
        <v>761</v>
      </c>
      <c r="H8169" t="s">
        <v>15304</v>
      </c>
      <c r="I8169">
        <v>32</v>
      </c>
      <c r="J8169">
        <v>0</v>
      </c>
      <c r="K8169">
        <v>0</v>
      </c>
      <c r="L8169">
        <v>0</v>
      </c>
      <c r="M8169">
        <v>0</v>
      </c>
      <c r="N8169">
        <v>0</v>
      </c>
      <c r="O8169">
        <v>32</v>
      </c>
    </row>
    <row r="8170" spans="1:15" x14ac:dyDescent="0.25">
      <c r="A8170" t="s">
        <v>1158</v>
      </c>
      <c r="B8170" t="s">
        <v>2922</v>
      </c>
      <c r="C8170" t="s">
        <v>927</v>
      </c>
      <c r="D8170" t="s">
        <v>3052</v>
      </c>
      <c r="E8170" t="s">
        <v>3053</v>
      </c>
      <c r="F8170" t="s">
        <v>760</v>
      </c>
      <c r="G8170" t="s">
        <v>761</v>
      </c>
      <c r="H8170" t="s">
        <v>8499</v>
      </c>
      <c r="I8170">
        <v>42</v>
      </c>
      <c r="J8170">
        <v>0</v>
      </c>
      <c r="K8170">
        <v>0</v>
      </c>
      <c r="L8170">
        <v>42</v>
      </c>
      <c r="M8170">
        <v>0</v>
      </c>
      <c r="N8170">
        <v>0</v>
      </c>
      <c r="O8170">
        <v>0</v>
      </c>
    </row>
    <row r="8171" spans="1:15" x14ac:dyDescent="0.25">
      <c r="A8171" t="s">
        <v>1349</v>
      </c>
      <c r="B8171" t="s">
        <v>2693</v>
      </c>
      <c r="C8171" t="s">
        <v>923</v>
      </c>
      <c r="D8171" t="s">
        <v>3063</v>
      </c>
      <c r="E8171" t="s">
        <v>3053</v>
      </c>
      <c r="F8171" t="s">
        <v>760</v>
      </c>
      <c r="G8171" t="s">
        <v>761</v>
      </c>
      <c r="H8171" t="s">
        <v>8500</v>
      </c>
      <c r="I8171">
        <v>500</v>
      </c>
      <c r="J8171">
        <v>107</v>
      </c>
      <c r="K8171">
        <v>0</v>
      </c>
      <c r="L8171">
        <v>6</v>
      </c>
      <c r="M8171">
        <v>387</v>
      </c>
      <c r="N8171">
        <v>0</v>
      </c>
      <c r="O8171">
        <v>0</v>
      </c>
    </row>
    <row r="8172" spans="1:15" x14ac:dyDescent="0.25">
      <c r="A8172" t="s">
        <v>1354</v>
      </c>
      <c r="B8172" t="s">
        <v>2676</v>
      </c>
      <c r="C8172" t="s">
        <v>927</v>
      </c>
      <c r="D8172" t="s">
        <v>3052</v>
      </c>
      <c r="E8172" t="s">
        <v>3053</v>
      </c>
      <c r="F8172" t="s">
        <v>760</v>
      </c>
      <c r="G8172" t="s">
        <v>761</v>
      </c>
      <c r="H8172" t="s">
        <v>8501</v>
      </c>
      <c r="I8172">
        <v>30</v>
      </c>
      <c r="J8172">
        <v>0</v>
      </c>
      <c r="K8172">
        <v>0</v>
      </c>
      <c r="L8172">
        <v>0</v>
      </c>
      <c r="M8172">
        <v>0</v>
      </c>
      <c r="N8172">
        <v>0</v>
      </c>
      <c r="O8172">
        <v>30</v>
      </c>
    </row>
    <row r="8173" spans="1:15" x14ac:dyDescent="0.25">
      <c r="A8173" t="s">
        <v>1072</v>
      </c>
      <c r="B8173" t="s">
        <v>2907</v>
      </c>
      <c r="C8173" t="s">
        <v>927</v>
      </c>
      <c r="D8173" t="s">
        <v>3052</v>
      </c>
      <c r="E8173" t="s">
        <v>3053</v>
      </c>
      <c r="F8173" t="s">
        <v>760</v>
      </c>
      <c r="G8173" t="s">
        <v>761</v>
      </c>
      <c r="H8173" t="s">
        <v>8502</v>
      </c>
      <c r="I8173">
        <v>24</v>
      </c>
      <c r="J8173">
        <v>23</v>
      </c>
      <c r="K8173">
        <v>0</v>
      </c>
      <c r="L8173">
        <v>1</v>
      </c>
      <c r="M8173">
        <v>0</v>
      </c>
      <c r="N8173">
        <v>0</v>
      </c>
      <c r="O8173">
        <v>0</v>
      </c>
    </row>
    <row r="8174" spans="1:15" x14ac:dyDescent="0.25">
      <c r="A8174" t="s">
        <v>1374</v>
      </c>
      <c r="B8174" t="s">
        <v>2580</v>
      </c>
      <c r="C8174" t="s">
        <v>923</v>
      </c>
      <c r="D8174" t="s">
        <v>3063</v>
      </c>
      <c r="E8174" t="s">
        <v>3053</v>
      </c>
      <c r="F8174" t="s">
        <v>760</v>
      </c>
      <c r="G8174" t="s">
        <v>761</v>
      </c>
      <c r="H8174" t="s">
        <v>8503</v>
      </c>
      <c r="I8174">
        <v>73</v>
      </c>
      <c r="J8174">
        <v>0</v>
      </c>
      <c r="K8174">
        <v>0</v>
      </c>
      <c r="L8174">
        <v>73</v>
      </c>
      <c r="M8174">
        <v>0</v>
      </c>
      <c r="N8174">
        <v>0</v>
      </c>
      <c r="O8174">
        <v>0</v>
      </c>
    </row>
    <row r="8175" spans="1:15" x14ac:dyDescent="0.25">
      <c r="A8175" t="s">
        <v>1380</v>
      </c>
      <c r="B8175" t="s">
        <v>2664</v>
      </c>
      <c r="C8175" t="s">
        <v>927</v>
      </c>
      <c r="D8175" t="s">
        <v>3052</v>
      </c>
      <c r="E8175" t="s">
        <v>3053</v>
      </c>
      <c r="F8175" t="s">
        <v>760</v>
      </c>
      <c r="G8175" t="s">
        <v>761</v>
      </c>
      <c r="H8175" t="s">
        <v>8504</v>
      </c>
      <c r="I8175">
        <v>234</v>
      </c>
      <c r="J8175">
        <v>185</v>
      </c>
      <c r="K8175">
        <v>0</v>
      </c>
      <c r="L8175">
        <v>4</v>
      </c>
      <c r="M8175">
        <v>0</v>
      </c>
      <c r="N8175">
        <v>0</v>
      </c>
      <c r="O8175">
        <v>45</v>
      </c>
    </row>
    <row r="8176" spans="1:15" x14ac:dyDescent="0.25">
      <c r="A8176" t="s">
        <v>1080</v>
      </c>
      <c r="B8176" t="s">
        <v>2030</v>
      </c>
      <c r="C8176" t="s">
        <v>923</v>
      </c>
      <c r="D8176" t="s">
        <v>3063</v>
      </c>
      <c r="E8176" t="s">
        <v>3053</v>
      </c>
      <c r="F8176" t="s">
        <v>760</v>
      </c>
      <c r="G8176" t="s">
        <v>761</v>
      </c>
      <c r="H8176" t="s">
        <v>8505</v>
      </c>
      <c r="I8176">
        <v>32</v>
      </c>
      <c r="J8176">
        <v>0</v>
      </c>
      <c r="K8176">
        <v>0</v>
      </c>
      <c r="L8176">
        <v>32</v>
      </c>
      <c r="M8176">
        <v>0</v>
      </c>
      <c r="N8176">
        <v>0</v>
      </c>
      <c r="O8176">
        <v>0</v>
      </c>
    </row>
    <row r="8177" spans="1:15" x14ac:dyDescent="0.25">
      <c r="A8177" t="s">
        <v>926</v>
      </c>
      <c r="B8177" t="s">
        <v>2923</v>
      </c>
      <c r="C8177" t="s">
        <v>927</v>
      </c>
      <c r="D8177" t="s">
        <v>3052</v>
      </c>
      <c r="E8177" t="s">
        <v>3053</v>
      </c>
      <c r="F8177" t="s">
        <v>762</v>
      </c>
      <c r="G8177" t="s">
        <v>763</v>
      </c>
      <c r="H8177" t="s">
        <v>12407</v>
      </c>
      <c r="I8177">
        <v>2</v>
      </c>
      <c r="J8177">
        <v>0</v>
      </c>
      <c r="K8177">
        <v>0</v>
      </c>
      <c r="L8177">
        <v>0</v>
      </c>
      <c r="M8177">
        <v>0</v>
      </c>
      <c r="N8177">
        <v>0</v>
      </c>
      <c r="O8177">
        <v>2</v>
      </c>
    </row>
    <row r="8178" spans="1:15" x14ac:dyDescent="0.25">
      <c r="A8178" t="s">
        <v>929</v>
      </c>
      <c r="B8178" t="s">
        <v>2999</v>
      </c>
      <c r="C8178" t="s">
        <v>927</v>
      </c>
      <c r="D8178" t="s">
        <v>3052</v>
      </c>
      <c r="E8178" t="s">
        <v>3053</v>
      </c>
      <c r="F8178" t="s">
        <v>762</v>
      </c>
      <c r="G8178" t="s">
        <v>763</v>
      </c>
      <c r="H8178" t="s">
        <v>8506</v>
      </c>
      <c r="I8178">
        <v>72</v>
      </c>
      <c r="J8178">
        <v>0</v>
      </c>
      <c r="K8178">
        <v>0</v>
      </c>
      <c r="L8178">
        <v>0</v>
      </c>
      <c r="M8178">
        <v>72</v>
      </c>
      <c r="N8178">
        <v>0</v>
      </c>
      <c r="O8178">
        <v>0</v>
      </c>
    </row>
    <row r="8179" spans="1:15" x14ac:dyDescent="0.25">
      <c r="A8179" t="s">
        <v>1585</v>
      </c>
      <c r="B8179" t="s">
        <v>2232</v>
      </c>
      <c r="C8179" t="s">
        <v>923</v>
      </c>
      <c r="D8179" t="s">
        <v>3063</v>
      </c>
      <c r="E8179" t="s">
        <v>3053</v>
      </c>
      <c r="F8179" t="s">
        <v>762</v>
      </c>
      <c r="G8179" t="s">
        <v>763</v>
      </c>
      <c r="H8179" t="s">
        <v>8507</v>
      </c>
      <c r="I8179">
        <v>14</v>
      </c>
      <c r="J8179">
        <v>14</v>
      </c>
      <c r="K8179">
        <v>0</v>
      </c>
      <c r="L8179">
        <v>0</v>
      </c>
      <c r="M8179">
        <v>0</v>
      </c>
      <c r="N8179">
        <v>0</v>
      </c>
      <c r="O8179">
        <v>0</v>
      </c>
    </row>
    <row r="8180" spans="1:15" x14ac:dyDescent="0.25">
      <c r="A8180" t="s">
        <v>998</v>
      </c>
      <c r="B8180" t="s">
        <v>2820</v>
      </c>
      <c r="C8180" t="s">
        <v>927</v>
      </c>
      <c r="D8180" t="s">
        <v>3052</v>
      </c>
      <c r="E8180" t="s">
        <v>3053</v>
      </c>
      <c r="F8180" t="s">
        <v>762</v>
      </c>
      <c r="G8180" t="s">
        <v>763</v>
      </c>
      <c r="H8180" t="s">
        <v>8508</v>
      </c>
      <c r="I8180">
        <v>43</v>
      </c>
      <c r="J8180">
        <v>34</v>
      </c>
      <c r="K8180">
        <v>0</v>
      </c>
      <c r="L8180">
        <v>0</v>
      </c>
      <c r="M8180">
        <v>0</v>
      </c>
      <c r="N8180">
        <v>0</v>
      </c>
      <c r="O8180">
        <v>9</v>
      </c>
    </row>
    <row r="8181" spans="1:15" x14ac:dyDescent="0.25">
      <c r="A8181" t="s">
        <v>1249</v>
      </c>
      <c r="B8181" t="s">
        <v>3029</v>
      </c>
      <c r="C8181" t="s">
        <v>927</v>
      </c>
      <c r="D8181" t="s">
        <v>3052</v>
      </c>
      <c r="E8181" t="s">
        <v>3053</v>
      </c>
      <c r="F8181" t="s">
        <v>762</v>
      </c>
      <c r="G8181" t="s">
        <v>763</v>
      </c>
      <c r="H8181" t="s">
        <v>8509</v>
      </c>
      <c r="I8181">
        <v>125</v>
      </c>
      <c r="J8181">
        <v>91</v>
      </c>
      <c r="K8181">
        <v>0</v>
      </c>
      <c r="L8181">
        <v>0</v>
      </c>
      <c r="M8181">
        <v>0</v>
      </c>
      <c r="N8181">
        <v>1</v>
      </c>
      <c r="O8181">
        <v>34</v>
      </c>
    </row>
    <row r="8182" spans="1:15" x14ac:dyDescent="0.25">
      <c r="A8182" t="s">
        <v>1250</v>
      </c>
      <c r="B8182" t="s">
        <v>2012</v>
      </c>
      <c r="C8182" t="s">
        <v>923</v>
      </c>
      <c r="D8182" t="s">
        <v>3063</v>
      </c>
      <c r="E8182" t="s">
        <v>3053</v>
      </c>
      <c r="F8182" t="s">
        <v>762</v>
      </c>
      <c r="G8182" t="s">
        <v>763</v>
      </c>
      <c r="H8182" t="s">
        <v>8510</v>
      </c>
      <c r="I8182">
        <v>22</v>
      </c>
      <c r="J8182">
        <v>22</v>
      </c>
      <c r="K8182">
        <v>0</v>
      </c>
      <c r="L8182">
        <v>0</v>
      </c>
      <c r="M8182">
        <v>0</v>
      </c>
      <c r="N8182">
        <v>0</v>
      </c>
      <c r="O8182">
        <v>0</v>
      </c>
    </row>
    <row r="8183" spans="1:15" x14ac:dyDescent="0.25">
      <c r="A8183" t="s">
        <v>1008</v>
      </c>
      <c r="B8183" t="s">
        <v>2928</v>
      </c>
      <c r="C8183" t="s">
        <v>927</v>
      </c>
      <c r="D8183" t="s">
        <v>3052</v>
      </c>
      <c r="E8183" t="s">
        <v>3053</v>
      </c>
      <c r="F8183" t="s">
        <v>762</v>
      </c>
      <c r="G8183" t="s">
        <v>763</v>
      </c>
      <c r="H8183" t="s">
        <v>8511</v>
      </c>
      <c r="I8183">
        <v>26</v>
      </c>
      <c r="J8183">
        <v>26</v>
      </c>
      <c r="K8183">
        <v>0</v>
      </c>
      <c r="L8183">
        <v>0</v>
      </c>
      <c r="M8183">
        <v>0</v>
      </c>
      <c r="N8183">
        <v>0</v>
      </c>
      <c r="O8183">
        <v>0</v>
      </c>
    </row>
    <row r="8184" spans="1:15" x14ac:dyDescent="0.25">
      <c r="A8184" t="s">
        <v>10651</v>
      </c>
      <c r="B8184" t="s">
        <v>1941</v>
      </c>
      <c r="C8184" t="s">
        <v>927</v>
      </c>
      <c r="D8184" t="s">
        <v>3052</v>
      </c>
      <c r="E8184" t="s">
        <v>3053</v>
      </c>
      <c r="F8184" t="s">
        <v>762</v>
      </c>
      <c r="G8184" t="s">
        <v>763</v>
      </c>
      <c r="H8184" t="s">
        <v>15305</v>
      </c>
      <c r="I8184">
        <v>1</v>
      </c>
      <c r="J8184">
        <v>1</v>
      </c>
      <c r="K8184">
        <v>0</v>
      </c>
      <c r="L8184">
        <v>0</v>
      </c>
      <c r="M8184">
        <v>0</v>
      </c>
      <c r="N8184">
        <v>0</v>
      </c>
      <c r="O8184">
        <v>0</v>
      </c>
    </row>
    <row r="8185" spans="1:15" x14ac:dyDescent="0.25">
      <c r="A8185" t="s">
        <v>1264</v>
      </c>
      <c r="B8185" t="s">
        <v>2749</v>
      </c>
      <c r="C8185" t="s">
        <v>927</v>
      </c>
      <c r="D8185" t="s">
        <v>3052</v>
      </c>
      <c r="E8185" t="s">
        <v>3053</v>
      </c>
      <c r="F8185" t="s">
        <v>762</v>
      </c>
      <c r="G8185" t="s">
        <v>763</v>
      </c>
      <c r="H8185" t="s">
        <v>8512</v>
      </c>
      <c r="I8185">
        <v>10</v>
      </c>
      <c r="J8185">
        <v>10</v>
      </c>
      <c r="K8185">
        <v>0</v>
      </c>
      <c r="L8185">
        <v>0</v>
      </c>
      <c r="M8185">
        <v>0</v>
      </c>
      <c r="N8185">
        <v>0</v>
      </c>
      <c r="O8185">
        <v>0</v>
      </c>
    </row>
    <row r="8186" spans="1:15" x14ac:dyDescent="0.25">
      <c r="A8186" t="s">
        <v>937</v>
      </c>
      <c r="B8186" t="s">
        <v>1962</v>
      </c>
      <c r="C8186" t="s">
        <v>927</v>
      </c>
      <c r="D8186" t="s">
        <v>3052</v>
      </c>
      <c r="E8186" t="s">
        <v>3053</v>
      </c>
      <c r="F8186" t="s">
        <v>762</v>
      </c>
      <c r="G8186" t="s">
        <v>763</v>
      </c>
      <c r="H8186" t="s">
        <v>8513</v>
      </c>
      <c r="I8186">
        <v>64</v>
      </c>
      <c r="J8186">
        <v>0</v>
      </c>
      <c r="K8186">
        <v>0</v>
      </c>
      <c r="L8186">
        <v>0</v>
      </c>
      <c r="M8186">
        <v>0</v>
      </c>
      <c r="N8186">
        <v>0</v>
      </c>
      <c r="O8186">
        <v>64</v>
      </c>
    </row>
    <row r="8187" spans="1:15" x14ac:dyDescent="0.25">
      <c r="A8187" t="s">
        <v>940</v>
      </c>
      <c r="B8187" t="s">
        <v>2647</v>
      </c>
      <c r="C8187" t="s">
        <v>927</v>
      </c>
      <c r="D8187" t="s">
        <v>3052</v>
      </c>
      <c r="E8187" t="s">
        <v>3053</v>
      </c>
      <c r="F8187" t="s">
        <v>762</v>
      </c>
      <c r="G8187" t="s">
        <v>763</v>
      </c>
      <c r="H8187" t="s">
        <v>8514</v>
      </c>
      <c r="I8187">
        <v>6</v>
      </c>
      <c r="J8187">
        <v>6</v>
      </c>
      <c r="K8187">
        <v>0</v>
      </c>
      <c r="L8187">
        <v>0</v>
      </c>
      <c r="M8187">
        <v>0</v>
      </c>
      <c r="N8187">
        <v>0</v>
      </c>
      <c r="O8187">
        <v>0</v>
      </c>
    </row>
    <row r="8188" spans="1:15" x14ac:dyDescent="0.25">
      <c r="A8188" t="s">
        <v>1012</v>
      </c>
      <c r="B8188" t="s">
        <v>2911</v>
      </c>
      <c r="C8188" t="s">
        <v>927</v>
      </c>
      <c r="D8188" t="s">
        <v>3052</v>
      </c>
      <c r="E8188" t="s">
        <v>3053</v>
      </c>
      <c r="F8188" t="s">
        <v>762</v>
      </c>
      <c r="G8188" t="s">
        <v>763</v>
      </c>
      <c r="H8188" t="s">
        <v>8515</v>
      </c>
      <c r="I8188">
        <v>672</v>
      </c>
      <c r="J8188">
        <v>379</v>
      </c>
      <c r="K8188">
        <v>0</v>
      </c>
      <c r="L8188">
        <v>0</v>
      </c>
      <c r="M8188">
        <v>0</v>
      </c>
      <c r="N8188">
        <v>0</v>
      </c>
      <c r="O8188">
        <v>293</v>
      </c>
    </row>
    <row r="8189" spans="1:15" x14ac:dyDescent="0.25">
      <c r="A8189" t="s">
        <v>1025</v>
      </c>
      <c r="B8189" t="s">
        <v>2893</v>
      </c>
      <c r="C8189" t="s">
        <v>927</v>
      </c>
      <c r="D8189" t="s">
        <v>3052</v>
      </c>
      <c r="E8189" t="s">
        <v>3053</v>
      </c>
      <c r="F8189" t="s">
        <v>762</v>
      </c>
      <c r="G8189" t="s">
        <v>763</v>
      </c>
      <c r="H8189" t="s">
        <v>8516</v>
      </c>
      <c r="I8189">
        <v>3</v>
      </c>
      <c r="J8189">
        <v>0</v>
      </c>
      <c r="K8189">
        <v>0</v>
      </c>
      <c r="L8189">
        <v>0</v>
      </c>
      <c r="M8189">
        <v>0</v>
      </c>
      <c r="N8189">
        <v>0</v>
      </c>
      <c r="O8189">
        <v>3</v>
      </c>
    </row>
    <row r="8190" spans="1:15" x14ac:dyDescent="0.25">
      <c r="A8190" t="s">
        <v>1626</v>
      </c>
      <c r="B8190" t="s">
        <v>2524</v>
      </c>
      <c r="C8190" t="s">
        <v>923</v>
      </c>
      <c r="D8190" t="s">
        <v>3063</v>
      </c>
      <c r="E8190" t="s">
        <v>3053</v>
      </c>
      <c r="F8190" t="s">
        <v>762</v>
      </c>
      <c r="G8190" t="s">
        <v>763</v>
      </c>
      <c r="H8190" t="s">
        <v>8517</v>
      </c>
      <c r="I8190">
        <v>17</v>
      </c>
      <c r="J8190">
        <v>17</v>
      </c>
      <c r="K8190">
        <v>0</v>
      </c>
      <c r="L8190">
        <v>0</v>
      </c>
      <c r="M8190">
        <v>0</v>
      </c>
      <c r="N8190">
        <v>0</v>
      </c>
      <c r="O8190">
        <v>0</v>
      </c>
    </row>
    <row r="8191" spans="1:15" x14ac:dyDescent="0.25">
      <c r="A8191" t="s">
        <v>10681</v>
      </c>
      <c r="B8191" t="s">
        <v>10680</v>
      </c>
      <c r="C8191" t="s">
        <v>927</v>
      </c>
      <c r="D8191" t="s">
        <v>3052</v>
      </c>
      <c r="E8191" t="s">
        <v>3053</v>
      </c>
      <c r="F8191" t="s">
        <v>762</v>
      </c>
      <c r="G8191" t="s">
        <v>763</v>
      </c>
      <c r="H8191" t="s">
        <v>15306</v>
      </c>
      <c r="I8191">
        <v>71</v>
      </c>
      <c r="J8191">
        <v>0</v>
      </c>
      <c r="K8191">
        <v>0</v>
      </c>
      <c r="L8191">
        <v>0</v>
      </c>
      <c r="M8191">
        <v>0</v>
      </c>
      <c r="N8191">
        <v>0</v>
      </c>
      <c r="O8191">
        <v>71</v>
      </c>
    </row>
    <row r="8192" spans="1:15" x14ac:dyDescent="0.25">
      <c r="A8192" t="s">
        <v>1631</v>
      </c>
      <c r="B8192" t="s">
        <v>2525</v>
      </c>
      <c r="C8192" t="s">
        <v>923</v>
      </c>
      <c r="D8192" t="s">
        <v>3063</v>
      </c>
      <c r="E8192" t="s">
        <v>3053</v>
      </c>
      <c r="F8192" t="s">
        <v>762</v>
      </c>
      <c r="G8192" t="s">
        <v>763</v>
      </c>
      <c r="H8192" t="s">
        <v>8518</v>
      </c>
      <c r="I8192">
        <v>36</v>
      </c>
      <c r="J8192">
        <v>36</v>
      </c>
      <c r="K8192">
        <v>0</v>
      </c>
      <c r="L8192">
        <v>0</v>
      </c>
      <c r="M8192">
        <v>0</v>
      </c>
      <c r="N8192">
        <v>0</v>
      </c>
      <c r="O8192">
        <v>0</v>
      </c>
    </row>
    <row r="8193" spans="1:15" x14ac:dyDescent="0.25">
      <c r="A8193" t="s">
        <v>945</v>
      </c>
      <c r="B8193" t="s">
        <v>2668</v>
      </c>
      <c r="C8193" t="s">
        <v>927</v>
      </c>
      <c r="D8193" t="s">
        <v>3052</v>
      </c>
      <c r="E8193" t="s">
        <v>3053</v>
      </c>
      <c r="F8193" t="s">
        <v>762</v>
      </c>
      <c r="G8193" t="s">
        <v>763</v>
      </c>
      <c r="H8193" t="s">
        <v>8519</v>
      </c>
      <c r="I8193">
        <v>1032</v>
      </c>
      <c r="J8193">
        <v>776</v>
      </c>
      <c r="K8193">
        <v>0</v>
      </c>
      <c r="L8193">
        <v>12</v>
      </c>
      <c r="M8193">
        <v>0</v>
      </c>
      <c r="N8193">
        <v>0</v>
      </c>
      <c r="O8193">
        <v>244</v>
      </c>
    </row>
    <row r="8194" spans="1:15" x14ac:dyDescent="0.25">
      <c r="A8194" t="s">
        <v>1135</v>
      </c>
      <c r="B8194" t="s">
        <v>1996</v>
      </c>
      <c r="C8194" t="s">
        <v>923</v>
      </c>
      <c r="D8194" t="s">
        <v>3063</v>
      </c>
      <c r="E8194" t="s">
        <v>3053</v>
      </c>
      <c r="F8194" t="s">
        <v>762</v>
      </c>
      <c r="G8194" t="s">
        <v>763</v>
      </c>
      <c r="H8194" t="s">
        <v>10223</v>
      </c>
      <c r="I8194">
        <v>1</v>
      </c>
      <c r="J8194">
        <v>1</v>
      </c>
      <c r="K8194">
        <v>0</v>
      </c>
      <c r="L8194">
        <v>0</v>
      </c>
      <c r="M8194">
        <v>0</v>
      </c>
      <c r="N8194">
        <v>0</v>
      </c>
      <c r="O8194">
        <v>0</v>
      </c>
    </row>
    <row r="8195" spans="1:15" x14ac:dyDescent="0.25">
      <c r="A8195" t="s">
        <v>1041</v>
      </c>
      <c r="B8195" t="s">
        <v>2826</v>
      </c>
      <c r="C8195" t="s">
        <v>927</v>
      </c>
      <c r="D8195" t="s">
        <v>3052</v>
      </c>
      <c r="E8195" t="s">
        <v>3053</v>
      </c>
      <c r="F8195" t="s">
        <v>762</v>
      </c>
      <c r="G8195" t="s">
        <v>763</v>
      </c>
      <c r="H8195" t="s">
        <v>8520</v>
      </c>
      <c r="I8195">
        <v>9</v>
      </c>
      <c r="J8195">
        <v>0</v>
      </c>
      <c r="K8195">
        <v>0</v>
      </c>
      <c r="L8195">
        <v>0</v>
      </c>
      <c r="M8195">
        <v>0</v>
      </c>
      <c r="N8195">
        <v>0</v>
      </c>
      <c r="O8195">
        <v>9</v>
      </c>
    </row>
    <row r="8196" spans="1:15" x14ac:dyDescent="0.25">
      <c r="A8196" t="s">
        <v>9787</v>
      </c>
      <c r="B8196" t="s">
        <v>2822</v>
      </c>
      <c r="C8196" t="s">
        <v>927</v>
      </c>
      <c r="D8196" t="s">
        <v>3052</v>
      </c>
      <c r="E8196" t="s">
        <v>3053</v>
      </c>
      <c r="F8196" t="s">
        <v>762</v>
      </c>
      <c r="G8196" t="s">
        <v>763</v>
      </c>
      <c r="H8196" t="s">
        <v>10283</v>
      </c>
      <c r="I8196">
        <v>8</v>
      </c>
      <c r="J8196">
        <v>8</v>
      </c>
      <c r="K8196">
        <v>0</v>
      </c>
      <c r="L8196">
        <v>0</v>
      </c>
      <c r="M8196">
        <v>0</v>
      </c>
      <c r="N8196">
        <v>0</v>
      </c>
      <c r="O8196">
        <v>0</v>
      </c>
    </row>
    <row r="8197" spans="1:15" x14ac:dyDescent="0.25">
      <c r="A8197" t="s">
        <v>951</v>
      </c>
      <c r="B8197" t="s">
        <v>2680</v>
      </c>
      <c r="C8197" t="s">
        <v>927</v>
      </c>
      <c r="D8197" t="s">
        <v>3052</v>
      </c>
      <c r="E8197" t="s">
        <v>3053</v>
      </c>
      <c r="F8197" t="s">
        <v>762</v>
      </c>
      <c r="G8197" t="s">
        <v>763</v>
      </c>
      <c r="H8197" t="s">
        <v>8521</v>
      </c>
      <c r="I8197">
        <v>129</v>
      </c>
      <c r="J8197">
        <v>129</v>
      </c>
      <c r="K8197">
        <v>0</v>
      </c>
      <c r="L8197">
        <v>0</v>
      </c>
      <c r="M8197">
        <v>0</v>
      </c>
      <c r="N8197">
        <v>0</v>
      </c>
      <c r="O8197">
        <v>0</v>
      </c>
    </row>
    <row r="8198" spans="1:15" x14ac:dyDescent="0.25">
      <c r="A8198" t="s">
        <v>1048</v>
      </c>
      <c r="B8198" t="s">
        <v>2989</v>
      </c>
      <c r="C8198" t="s">
        <v>927</v>
      </c>
      <c r="D8198" t="s">
        <v>3052</v>
      </c>
      <c r="E8198" t="s">
        <v>3053</v>
      </c>
      <c r="F8198" t="s">
        <v>762</v>
      </c>
      <c r="G8198" t="s">
        <v>763</v>
      </c>
      <c r="H8198" t="s">
        <v>8522</v>
      </c>
      <c r="I8198">
        <v>20</v>
      </c>
      <c r="J8198">
        <v>0</v>
      </c>
      <c r="K8198">
        <v>0</v>
      </c>
      <c r="L8198">
        <v>20</v>
      </c>
      <c r="M8198">
        <v>0</v>
      </c>
      <c r="N8198">
        <v>0</v>
      </c>
      <c r="O8198">
        <v>0</v>
      </c>
    </row>
    <row r="8199" spans="1:15" x14ac:dyDescent="0.25">
      <c r="A8199" t="s">
        <v>953</v>
      </c>
      <c r="B8199" t="s">
        <v>2014</v>
      </c>
      <c r="C8199" t="s">
        <v>927</v>
      </c>
      <c r="D8199" t="s">
        <v>3052</v>
      </c>
      <c r="E8199" t="s">
        <v>3053</v>
      </c>
      <c r="F8199" t="s">
        <v>762</v>
      </c>
      <c r="G8199" t="s">
        <v>763</v>
      </c>
      <c r="H8199" t="s">
        <v>8523</v>
      </c>
      <c r="I8199">
        <v>20</v>
      </c>
      <c r="J8199">
        <v>0</v>
      </c>
      <c r="K8199">
        <v>0</v>
      </c>
      <c r="L8199">
        <v>20</v>
      </c>
      <c r="M8199">
        <v>0</v>
      </c>
      <c r="N8199">
        <v>0</v>
      </c>
      <c r="O8199">
        <v>0</v>
      </c>
    </row>
    <row r="8200" spans="1:15" x14ac:dyDescent="0.25">
      <c r="A8200" t="s">
        <v>11720</v>
      </c>
      <c r="B8200" t="s">
        <v>10718</v>
      </c>
      <c r="C8200" t="s">
        <v>927</v>
      </c>
      <c r="D8200" t="s">
        <v>3052</v>
      </c>
      <c r="E8200" t="s">
        <v>3053</v>
      </c>
      <c r="F8200" t="s">
        <v>762</v>
      </c>
      <c r="G8200" t="s">
        <v>763</v>
      </c>
      <c r="H8200" t="s">
        <v>15307</v>
      </c>
      <c r="I8200">
        <v>17</v>
      </c>
      <c r="J8200">
        <v>15</v>
      </c>
      <c r="K8200">
        <v>0</v>
      </c>
      <c r="L8200">
        <v>0</v>
      </c>
      <c r="M8200">
        <v>0</v>
      </c>
      <c r="N8200">
        <v>0</v>
      </c>
      <c r="O8200">
        <v>2</v>
      </c>
    </row>
    <row r="8201" spans="1:15" x14ac:dyDescent="0.25">
      <c r="A8201" t="s">
        <v>9788</v>
      </c>
      <c r="B8201" t="s">
        <v>9871</v>
      </c>
      <c r="C8201" t="s">
        <v>927</v>
      </c>
      <c r="D8201" t="s">
        <v>3052</v>
      </c>
      <c r="E8201" t="s">
        <v>3053</v>
      </c>
      <c r="F8201" t="s">
        <v>762</v>
      </c>
      <c r="G8201" t="s">
        <v>763</v>
      </c>
      <c r="H8201" t="s">
        <v>10381</v>
      </c>
      <c r="I8201">
        <v>9</v>
      </c>
      <c r="J8201">
        <v>9</v>
      </c>
      <c r="K8201">
        <v>0</v>
      </c>
      <c r="L8201">
        <v>0</v>
      </c>
      <c r="M8201">
        <v>0</v>
      </c>
      <c r="N8201">
        <v>0</v>
      </c>
      <c r="O8201">
        <v>0</v>
      </c>
    </row>
    <row r="8202" spans="1:15" x14ac:dyDescent="0.25">
      <c r="A8202" t="s">
        <v>1057</v>
      </c>
      <c r="B8202" t="s">
        <v>1972</v>
      </c>
      <c r="C8202" t="s">
        <v>927</v>
      </c>
      <c r="D8202" t="s">
        <v>3052</v>
      </c>
      <c r="E8202" t="s">
        <v>3053</v>
      </c>
      <c r="F8202" t="s">
        <v>762</v>
      </c>
      <c r="G8202" t="s">
        <v>763</v>
      </c>
      <c r="H8202" t="s">
        <v>8524</v>
      </c>
      <c r="I8202">
        <v>118</v>
      </c>
      <c r="J8202">
        <v>45</v>
      </c>
      <c r="K8202">
        <v>0</v>
      </c>
      <c r="L8202">
        <v>0</v>
      </c>
      <c r="M8202">
        <v>0</v>
      </c>
      <c r="N8202">
        <v>0</v>
      </c>
      <c r="O8202">
        <v>73</v>
      </c>
    </row>
    <row r="8203" spans="1:15" x14ac:dyDescent="0.25">
      <c r="A8203" t="s">
        <v>955</v>
      </c>
      <c r="B8203" t="s">
        <v>2660</v>
      </c>
      <c r="C8203" t="s">
        <v>927</v>
      </c>
      <c r="D8203" t="s">
        <v>3052</v>
      </c>
      <c r="E8203" t="s">
        <v>3053</v>
      </c>
      <c r="F8203" t="s">
        <v>762</v>
      </c>
      <c r="G8203" t="s">
        <v>763</v>
      </c>
      <c r="H8203" t="s">
        <v>8525</v>
      </c>
      <c r="I8203">
        <v>39</v>
      </c>
      <c r="J8203">
        <v>16</v>
      </c>
      <c r="K8203">
        <v>0</v>
      </c>
      <c r="L8203">
        <v>17</v>
      </c>
      <c r="M8203">
        <v>0</v>
      </c>
      <c r="N8203">
        <v>0</v>
      </c>
      <c r="O8203">
        <v>6</v>
      </c>
    </row>
    <row r="8204" spans="1:15" x14ac:dyDescent="0.25">
      <c r="A8204" t="s">
        <v>11663</v>
      </c>
      <c r="B8204" t="s">
        <v>11768</v>
      </c>
      <c r="C8204" t="s">
        <v>927</v>
      </c>
      <c r="D8204" t="s">
        <v>3052</v>
      </c>
      <c r="E8204" t="s">
        <v>3053</v>
      </c>
      <c r="F8204" t="s">
        <v>762</v>
      </c>
      <c r="G8204" t="s">
        <v>763</v>
      </c>
      <c r="H8204" t="s">
        <v>12408</v>
      </c>
      <c r="I8204">
        <v>6794</v>
      </c>
      <c r="J8204">
        <v>6261</v>
      </c>
      <c r="K8204">
        <v>0</v>
      </c>
      <c r="L8204">
        <v>83</v>
      </c>
      <c r="M8204">
        <v>243</v>
      </c>
      <c r="N8204">
        <v>10</v>
      </c>
      <c r="O8204">
        <v>207</v>
      </c>
    </row>
    <row r="8205" spans="1:15" x14ac:dyDescent="0.25">
      <c r="A8205" t="s">
        <v>14374</v>
      </c>
      <c r="B8205" t="s">
        <v>1943</v>
      </c>
      <c r="C8205" t="s">
        <v>927</v>
      </c>
      <c r="D8205" t="s">
        <v>3052</v>
      </c>
      <c r="E8205" t="s">
        <v>3053</v>
      </c>
      <c r="F8205" t="s">
        <v>762</v>
      </c>
      <c r="G8205" t="s">
        <v>763</v>
      </c>
      <c r="H8205" t="s">
        <v>15308</v>
      </c>
      <c r="I8205">
        <v>10</v>
      </c>
      <c r="J8205">
        <v>0</v>
      </c>
      <c r="K8205">
        <v>0</v>
      </c>
      <c r="L8205">
        <v>0</v>
      </c>
      <c r="M8205">
        <v>0</v>
      </c>
      <c r="N8205">
        <v>0</v>
      </c>
      <c r="O8205">
        <v>10</v>
      </c>
    </row>
    <row r="8206" spans="1:15" x14ac:dyDescent="0.25">
      <c r="A8206" t="s">
        <v>9876</v>
      </c>
      <c r="B8206" t="s">
        <v>2205</v>
      </c>
      <c r="C8206" t="s">
        <v>923</v>
      </c>
      <c r="D8206" t="s">
        <v>3063</v>
      </c>
      <c r="E8206" t="s">
        <v>3053</v>
      </c>
      <c r="F8206" t="s">
        <v>762</v>
      </c>
      <c r="G8206" t="s">
        <v>763</v>
      </c>
      <c r="H8206" t="s">
        <v>10476</v>
      </c>
      <c r="I8206">
        <v>69</v>
      </c>
      <c r="J8206">
        <v>0</v>
      </c>
      <c r="K8206">
        <v>0</v>
      </c>
      <c r="L8206">
        <v>0</v>
      </c>
      <c r="M8206">
        <v>69</v>
      </c>
      <c r="N8206">
        <v>0</v>
      </c>
      <c r="O8206">
        <v>0</v>
      </c>
    </row>
    <row r="8207" spans="1:15" x14ac:dyDescent="0.25">
      <c r="A8207" t="s">
        <v>1072</v>
      </c>
      <c r="B8207" t="s">
        <v>2907</v>
      </c>
      <c r="C8207" t="s">
        <v>927</v>
      </c>
      <c r="D8207" t="s">
        <v>3052</v>
      </c>
      <c r="E8207" t="s">
        <v>3053</v>
      </c>
      <c r="F8207" t="s">
        <v>762</v>
      </c>
      <c r="G8207" t="s">
        <v>763</v>
      </c>
      <c r="H8207" t="s">
        <v>8526</v>
      </c>
      <c r="I8207">
        <v>291</v>
      </c>
      <c r="J8207">
        <v>153</v>
      </c>
      <c r="K8207">
        <v>0</v>
      </c>
      <c r="L8207">
        <v>86</v>
      </c>
      <c r="M8207">
        <v>48</v>
      </c>
      <c r="N8207">
        <v>0</v>
      </c>
      <c r="O8207">
        <v>4</v>
      </c>
    </row>
    <row r="8208" spans="1:15" x14ac:dyDescent="0.25">
      <c r="A8208" t="s">
        <v>1691</v>
      </c>
      <c r="B8208" t="s">
        <v>2980</v>
      </c>
      <c r="C8208" t="s">
        <v>927</v>
      </c>
      <c r="D8208" t="s">
        <v>3052</v>
      </c>
      <c r="E8208" t="s">
        <v>3053</v>
      </c>
      <c r="F8208" t="s">
        <v>762</v>
      </c>
      <c r="G8208" t="s">
        <v>763</v>
      </c>
      <c r="H8208" t="s">
        <v>8527</v>
      </c>
      <c r="I8208">
        <v>213</v>
      </c>
      <c r="J8208">
        <v>137</v>
      </c>
      <c r="K8208">
        <v>0</v>
      </c>
      <c r="L8208">
        <v>0</v>
      </c>
      <c r="M8208">
        <v>0</v>
      </c>
      <c r="N8208">
        <v>0</v>
      </c>
      <c r="O8208">
        <v>76</v>
      </c>
    </row>
    <row r="8209" spans="1:15" x14ac:dyDescent="0.25">
      <c r="A8209" t="s">
        <v>1195</v>
      </c>
      <c r="B8209" t="s">
        <v>2924</v>
      </c>
      <c r="C8209" t="s">
        <v>927</v>
      </c>
      <c r="D8209" t="s">
        <v>3052</v>
      </c>
      <c r="E8209" t="s">
        <v>3053</v>
      </c>
      <c r="F8209" t="s">
        <v>764</v>
      </c>
      <c r="G8209" t="s">
        <v>765</v>
      </c>
      <c r="H8209" t="s">
        <v>8528</v>
      </c>
      <c r="I8209">
        <v>38</v>
      </c>
      <c r="J8209">
        <v>35</v>
      </c>
      <c r="K8209">
        <v>0</v>
      </c>
      <c r="L8209">
        <v>0</v>
      </c>
      <c r="M8209">
        <v>0</v>
      </c>
      <c r="N8209">
        <v>0</v>
      </c>
      <c r="O8209">
        <v>3</v>
      </c>
    </row>
    <row r="8210" spans="1:15" x14ac:dyDescent="0.25">
      <c r="A8210" t="s">
        <v>924</v>
      </c>
      <c r="B8210" t="s">
        <v>2963</v>
      </c>
      <c r="C8210" t="s">
        <v>923</v>
      </c>
      <c r="D8210" t="s">
        <v>3063</v>
      </c>
      <c r="E8210" t="s">
        <v>3053</v>
      </c>
      <c r="F8210" t="s">
        <v>764</v>
      </c>
      <c r="G8210" t="s">
        <v>765</v>
      </c>
      <c r="H8210" t="s">
        <v>8529</v>
      </c>
      <c r="I8210">
        <v>24</v>
      </c>
      <c r="J8210">
        <v>0</v>
      </c>
      <c r="K8210">
        <v>0</v>
      </c>
      <c r="L8210">
        <v>24</v>
      </c>
      <c r="M8210">
        <v>0</v>
      </c>
      <c r="N8210">
        <v>0</v>
      </c>
      <c r="O8210">
        <v>0</v>
      </c>
    </row>
    <row r="8211" spans="1:15" x14ac:dyDescent="0.25">
      <c r="A8211" t="s">
        <v>926</v>
      </c>
      <c r="B8211" t="s">
        <v>2923</v>
      </c>
      <c r="C8211" t="s">
        <v>927</v>
      </c>
      <c r="D8211" t="s">
        <v>3052</v>
      </c>
      <c r="E8211" t="s">
        <v>3053</v>
      </c>
      <c r="F8211" t="s">
        <v>764</v>
      </c>
      <c r="G8211" t="s">
        <v>765</v>
      </c>
      <c r="H8211" t="s">
        <v>8530</v>
      </c>
      <c r="I8211">
        <v>22</v>
      </c>
      <c r="J8211">
        <v>0</v>
      </c>
      <c r="K8211">
        <v>0</v>
      </c>
      <c r="L8211">
        <v>11</v>
      </c>
      <c r="M8211">
        <v>0</v>
      </c>
      <c r="N8211">
        <v>0</v>
      </c>
      <c r="O8211">
        <v>11</v>
      </c>
    </row>
    <row r="8212" spans="1:15" x14ac:dyDescent="0.25">
      <c r="A8212" t="s">
        <v>929</v>
      </c>
      <c r="B8212" t="s">
        <v>2999</v>
      </c>
      <c r="C8212" t="s">
        <v>927</v>
      </c>
      <c r="D8212" t="s">
        <v>3052</v>
      </c>
      <c r="E8212" t="s">
        <v>3053</v>
      </c>
      <c r="F8212" t="s">
        <v>764</v>
      </c>
      <c r="G8212" t="s">
        <v>765</v>
      </c>
      <c r="H8212" t="s">
        <v>8531</v>
      </c>
      <c r="I8212">
        <v>85</v>
      </c>
      <c r="J8212">
        <v>0</v>
      </c>
      <c r="K8212">
        <v>0</v>
      </c>
      <c r="L8212">
        <v>0</v>
      </c>
      <c r="M8212">
        <v>85</v>
      </c>
      <c r="N8212">
        <v>0</v>
      </c>
      <c r="O8212">
        <v>0</v>
      </c>
    </row>
    <row r="8213" spans="1:15" x14ac:dyDescent="0.25">
      <c r="A8213" t="s">
        <v>1575</v>
      </c>
      <c r="B8213" t="s">
        <v>2112</v>
      </c>
      <c r="C8213" t="s">
        <v>927</v>
      </c>
      <c r="D8213" t="s">
        <v>3052</v>
      </c>
      <c r="E8213" t="s">
        <v>3053</v>
      </c>
      <c r="F8213" t="s">
        <v>764</v>
      </c>
      <c r="G8213" t="s">
        <v>765</v>
      </c>
      <c r="H8213" t="s">
        <v>9906</v>
      </c>
      <c r="I8213">
        <v>11</v>
      </c>
      <c r="J8213">
        <v>8</v>
      </c>
      <c r="K8213">
        <v>0</v>
      </c>
      <c r="L8213">
        <v>0</v>
      </c>
      <c r="M8213">
        <v>0</v>
      </c>
      <c r="N8213">
        <v>0</v>
      </c>
      <c r="O8213">
        <v>3</v>
      </c>
    </row>
    <row r="8214" spans="1:15" x14ac:dyDescent="0.25">
      <c r="A8214" t="s">
        <v>931</v>
      </c>
      <c r="B8214" t="s">
        <v>1978</v>
      </c>
      <c r="C8214" t="s">
        <v>927</v>
      </c>
      <c r="D8214" t="s">
        <v>3052</v>
      </c>
      <c r="E8214" t="s">
        <v>3053</v>
      </c>
      <c r="F8214" t="s">
        <v>764</v>
      </c>
      <c r="G8214" t="s">
        <v>765</v>
      </c>
      <c r="H8214" t="s">
        <v>8532</v>
      </c>
      <c r="I8214">
        <v>565</v>
      </c>
      <c r="J8214">
        <v>410</v>
      </c>
      <c r="K8214">
        <v>0</v>
      </c>
      <c r="L8214">
        <v>12</v>
      </c>
      <c r="M8214">
        <v>0</v>
      </c>
      <c r="N8214">
        <v>0</v>
      </c>
      <c r="O8214">
        <v>143</v>
      </c>
    </row>
    <row r="8215" spans="1:15" x14ac:dyDescent="0.25">
      <c r="A8215" t="s">
        <v>10577</v>
      </c>
      <c r="B8215" t="s">
        <v>10576</v>
      </c>
      <c r="C8215" t="s">
        <v>923</v>
      </c>
      <c r="D8215" t="s">
        <v>3063</v>
      </c>
      <c r="E8215" t="s">
        <v>3053</v>
      </c>
      <c r="F8215" t="s">
        <v>764</v>
      </c>
      <c r="G8215" t="s">
        <v>765</v>
      </c>
      <c r="H8215" t="s">
        <v>15309</v>
      </c>
      <c r="I8215">
        <v>2</v>
      </c>
      <c r="J8215">
        <v>2</v>
      </c>
      <c r="K8215">
        <v>0</v>
      </c>
      <c r="L8215">
        <v>0</v>
      </c>
      <c r="M8215">
        <v>0</v>
      </c>
      <c r="N8215">
        <v>0</v>
      </c>
      <c r="O8215">
        <v>0</v>
      </c>
    </row>
    <row r="8216" spans="1:15" x14ac:dyDescent="0.25">
      <c r="A8216" t="s">
        <v>9836</v>
      </c>
      <c r="B8216" t="s">
        <v>2808</v>
      </c>
      <c r="C8216" t="s">
        <v>927</v>
      </c>
      <c r="D8216" t="s">
        <v>3052</v>
      </c>
      <c r="E8216" t="s">
        <v>3053</v>
      </c>
      <c r="F8216" t="s">
        <v>764</v>
      </c>
      <c r="G8216" t="s">
        <v>765</v>
      </c>
      <c r="H8216" t="s">
        <v>10018</v>
      </c>
      <c r="I8216">
        <v>107</v>
      </c>
      <c r="J8216">
        <v>107</v>
      </c>
      <c r="K8216">
        <v>0</v>
      </c>
      <c r="L8216">
        <v>0</v>
      </c>
      <c r="M8216">
        <v>0</v>
      </c>
      <c r="N8216">
        <v>1</v>
      </c>
      <c r="O8216">
        <v>0</v>
      </c>
    </row>
    <row r="8217" spans="1:15" x14ac:dyDescent="0.25">
      <c r="A8217" t="s">
        <v>983</v>
      </c>
      <c r="B8217" t="s">
        <v>2069</v>
      </c>
      <c r="C8217" t="s">
        <v>927</v>
      </c>
      <c r="D8217" t="s">
        <v>3052</v>
      </c>
      <c r="E8217" t="s">
        <v>3053</v>
      </c>
      <c r="F8217" t="s">
        <v>764</v>
      </c>
      <c r="G8217" t="s">
        <v>765</v>
      </c>
      <c r="H8217" t="s">
        <v>8533</v>
      </c>
      <c r="I8217">
        <v>210</v>
      </c>
      <c r="J8217">
        <v>140</v>
      </c>
      <c r="K8217">
        <v>0</v>
      </c>
      <c r="L8217">
        <v>35</v>
      </c>
      <c r="M8217">
        <v>0</v>
      </c>
      <c r="N8217">
        <v>0</v>
      </c>
      <c r="O8217">
        <v>35</v>
      </c>
    </row>
    <row r="8218" spans="1:15" x14ac:dyDescent="0.25">
      <c r="A8218" t="s">
        <v>1590</v>
      </c>
      <c r="B8218" t="s">
        <v>2853</v>
      </c>
      <c r="C8218" t="s">
        <v>927</v>
      </c>
      <c r="D8218" t="s">
        <v>3052</v>
      </c>
      <c r="E8218" t="s">
        <v>3053</v>
      </c>
      <c r="F8218" t="s">
        <v>764</v>
      </c>
      <c r="G8218" t="s">
        <v>765</v>
      </c>
      <c r="H8218" t="s">
        <v>8534</v>
      </c>
      <c r="I8218">
        <v>119</v>
      </c>
      <c r="J8218">
        <v>91</v>
      </c>
      <c r="K8218">
        <v>0</v>
      </c>
      <c r="L8218">
        <v>0</v>
      </c>
      <c r="M8218">
        <v>0</v>
      </c>
      <c r="N8218">
        <v>0</v>
      </c>
      <c r="O8218">
        <v>28</v>
      </c>
    </row>
    <row r="8219" spans="1:15" x14ac:dyDescent="0.25">
      <c r="A8219" t="s">
        <v>1485</v>
      </c>
      <c r="B8219" t="s">
        <v>2836</v>
      </c>
      <c r="C8219" t="s">
        <v>927</v>
      </c>
      <c r="D8219" t="s">
        <v>3052</v>
      </c>
      <c r="E8219" t="s">
        <v>3053</v>
      </c>
      <c r="F8219" t="s">
        <v>764</v>
      </c>
      <c r="G8219" t="s">
        <v>765</v>
      </c>
      <c r="H8219" t="s">
        <v>8535</v>
      </c>
      <c r="I8219">
        <v>6</v>
      </c>
      <c r="J8219">
        <v>0</v>
      </c>
      <c r="K8219">
        <v>0</v>
      </c>
      <c r="L8219">
        <v>0</v>
      </c>
      <c r="M8219">
        <v>0</v>
      </c>
      <c r="N8219">
        <v>0</v>
      </c>
      <c r="O8219">
        <v>6</v>
      </c>
    </row>
    <row r="8220" spans="1:15" x14ac:dyDescent="0.25">
      <c r="A8220" t="s">
        <v>10638</v>
      </c>
      <c r="B8220" t="s">
        <v>2057</v>
      </c>
      <c r="C8220" t="s">
        <v>927</v>
      </c>
      <c r="D8220" t="s">
        <v>3052</v>
      </c>
      <c r="E8220" t="s">
        <v>3053</v>
      </c>
      <c r="F8220" t="s">
        <v>764</v>
      </c>
      <c r="G8220" t="s">
        <v>765</v>
      </c>
      <c r="H8220" t="s">
        <v>12409</v>
      </c>
      <c r="I8220">
        <v>8</v>
      </c>
      <c r="J8220">
        <v>0</v>
      </c>
      <c r="K8220">
        <v>0</v>
      </c>
      <c r="L8220">
        <v>8</v>
      </c>
      <c r="M8220">
        <v>0</v>
      </c>
      <c r="N8220">
        <v>0</v>
      </c>
      <c r="O8220">
        <v>0</v>
      </c>
    </row>
    <row r="8221" spans="1:15" x14ac:dyDescent="0.25">
      <c r="A8221" t="s">
        <v>10643</v>
      </c>
      <c r="B8221" t="s">
        <v>2987</v>
      </c>
      <c r="C8221" t="s">
        <v>927</v>
      </c>
      <c r="D8221" t="s">
        <v>3052</v>
      </c>
      <c r="E8221" t="s">
        <v>3053</v>
      </c>
      <c r="F8221" t="s">
        <v>764</v>
      </c>
      <c r="G8221" t="s">
        <v>765</v>
      </c>
      <c r="H8221" t="s">
        <v>11372</v>
      </c>
      <c r="I8221">
        <v>1118</v>
      </c>
      <c r="J8221">
        <v>697</v>
      </c>
      <c r="K8221">
        <v>0</v>
      </c>
      <c r="L8221">
        <v>162</v>
      </c>
      <c r="M8221">
        <v>0</v>
      </c>
      <c r="N8221">
        <v>8</v>
      </c>
      <c r="O8221">
        <v>259</v>
      </c>
    </row>
    <row r="8222" spans="1:15" x14ac:dyDescent="0.25">
      <c r="A8222" t="s">
        <v>1008</v>
      </c>
      <c r="B8222" t="s">
        <v>2928</v>
      </c>
      <c r="C8222" t="s">
        <v>927</v>
      </c>
      <c r="D8222" t="s">
        <v>3052</v>
      </c>
      <c r="E8222" t="s">
        <v>3053</v>
      </c>
      <c r="F8222" t="s">
        <v>764</v>
      </c>
      <c r="G8222" t="s">
        <v>765</v>
      </c>
      <c r="H8222" t="s">
        <v>8536</v>
      </c>
      <c r="I8222">
        <v>36</v>
      </c>
      <c r="J8222">
        <v>18</v>
      </c>
      <c r="K8222">
        <v>0</v>
      </c>
      <c r="L8222">
        <v>18</v>
      </c>
      <c r="M8222">
        <v>0</v>
      </c>
      <c r="N8222">
        <v>0</v>
      </c>
      <c r="O8222">
        <v>0</v>
      </c>
    </row>
    <row r="8223" spans="1:15" x14ac:dyDescent="0.25">
      <c r="A8223" t="s">
        <v>937</v>
      </c>
      <c r="B8223" t="s">
        <v>1962</v>
      </c>
      <c r="C8223" t="s">
        <v>927</v>
      </c>
      <c r="D8223" t="s">
        <v>3052</v>
      </c>
      <c r="E8223" t="s">
        <v>3053</v>
      </c>
      <c r="F8223" t="s">
        <v>764</v>
      </c>
      <c r="G8223" t="s">
        <v>765</v>
      </c>
      <c r="H8223" t="s">
        <v>8537</v>
      </c>
      <c r="I8223">
        <v>14</v>
      </c>
      <c r="J8223">
        <v>0</v>
      </c>
      <c r="K8223">
        <v>0</v>
      </c>
      <c r="L8223">
        <v>0</v>
      </c>
      <c r="M8223">
        <v>0</v>
      </c>
      <c r="N8223">
        <v>0</v>
      </c>
      <c r="O8223">
        <v>14</v>
      </c>
    </row>
    <row r="8224" spans="1:15" x14ac:dyDescent="0.25">
      <c r="A8224" t="s">
        <v>938</v>
      </c>
      <c r="B8224" t="s">
        <v>2791</v>
      </c>
      <c r="C8224" t="s">
        <v>927</v>
      </c>
      <c r="D8224" t="s">
        <v>3052</v>
      </c>
      <c r="E8224" t="s">
        <v>3053</v>
      </c>
      <c r="F8224" t="s">
        <v>764</v>
      </c>
      <c r="G8224" t="s">
        <v>765</v>
      </c>
      <c r="H8224" t="s">
        <v>8538</v>
      </c>
      <c r="I8224">
        <v>38</v>
      </c>
      <c r="J8224">
        <v>0</v>
      </c>
      <c r="K8224">
        <v>0</v>
      </c>
      <c r="L8224">
        <v>38</v>
      </c>
      <c r="M8224">
        <v>0</v>
      </c>
      <c r="N8224">
        <v>0</v>
      </c>
      <c r="O8224">
        <v>0</v>
      </c>
    </row>
    <row r="8225" spans="1:15" x14ac:dyDescent="0.25">
      <c r="A8225" t="s">
        <v>940</v>
      </c>
      <c r="B8225" t="s">
        <v>2647</v>
      </c>
      <c r="C8225" t="s">
        <v>927</v>
      </c>
      <c r="D8225" t="s">
        <v>3052</v>
      </c>
      <c r="E8225" t="s">
        <v>3053</v>
      </c>
      <c r="F8225" t="s">
        <v>764</v>
      </c>
      <c r="G8225" t="s">
        <v>765</v>
      </c>
      <c r="H8225" t="s">
        <v>8539</v>
      </c>
      <c r="I8225">
        <v>129</v>
      </c>
      <c r="J8225">
        <v>0</v>
      </c>
      <c r="K8225">
        <v>0</v>
      </c>
      <c r="L8225">
        <v>0</v>
      </c>
      <c r="M8225">
        <v>114</v>
      </c>
      <c r="N8225">
        <v>0</v>
      </c>
      <c r="O8225">
        <v>15</v>
      </c>
    </row>
    <row r="8226" spans="1:15" x14ac:dyDescent="0.25">
      <c r="A8226" t="s">
        <v>942</v>
      </c>
      <c r="B8226" t="s">
        <v>2113</v>
      </c>
      <c r="C8226" t="s">
        <v>927</v>
      </c>
      <c r="D8226" t="s">
        <v>3052</v>
      </c>
      <c r="E8226" t="s">
        <v>3053</v>
      </c>
      <c r="F8226" t="s">
        <v>764</v>
      </c>
      <c r="G8226" t="s">
        <v>765</v>
      </c>
      <c r="H8226" t="s">
        <v>8540</v>
      </c>
      <c r="I8226">
        <v>10</v>
      </c>
      <c r="J8226">
        <v>0</v>
      </c>
      <c r="K8226">
        <v>0</v>
      </c>
      <c r="L8226">
        <v>0</v>
      </c>
      <c r="M8226">
        <v>0</v>
      </c>
      <c r="N8226">
        <v>0</v>
      </c>
      <c r="O8226">
        <v>10</v>
      </c>
    </row>
    <row r="8227" spans="1:15" x14ac:dyDescent="0.25">
      <c r="A8227" t="s">
        <v>1025</v>
      </c>
      <c r="B8227" t="s">
        <v>2893</v>
      </c>
      <c r="C8227" t="s">
        <v>927</v>
      </c>
      <c r="D8227" t="s">
        <v>3052</v>
      </c>
      <c r="E8227" t="s">
        <v>3053</v>
      </c>
      <c r="F8227" t="s">
        <v>764</v>
      </c>
      <c r="G8227" t="s">
        <v>765</v>
      </c>
      <c r="H8227" t="s">
        <v>10197</v>
      </c>
      <c r="I8227">
        <v>1</v>
      </c>
      <c r="J8227">
        <v>0</v>
      </c>
      <c r="K8227">
        <v>0</v>
      </c>
      <c r="L8227">
        <v>0</v>
      </c>
      <c r="M8227">
        <v>0</v>
      </c>
      <c r="N8227">
        <v>0</v>
      </c>
      <c r="O8227">
        <v>1</v>
      </c>
    </row>
    <row r="8228" spans="1:15" x14ac:dyDescent="0.25">
      <c r="A8228" t="s">
        <v>10681</v>
      </c>
      <c r="B8228" t="s">
        <v>10680</v>
      </c>
      <c r="C8228" t="s">
        <v>927</v>
      </c>
      <c r="D8228" t="s">
        <v>3052</v>
      </c>
      <c r="E8228" t="s">
        <v>3053</v>
      </c>
      <c r="F8228" t="s">
        <v>764</v>
      </c>
      <c r="G8228" t="s">
        <v>765</v>
      </c>
      <c r="H8228" t="s">
        <v>15310</v>
      </c>
      <c r="I8228">
        <v>10</v>
      </c>
      <c r="J8228">
        <v>0</v>
      </c>
      <c r="K8228">
        <v>0</v>
      </c>
      <c r="L8228">
        <v>0</v>
      </c>
      <c r="M8228">
        <v>0</v>
      </c>
      <c r="N8228">
        <v>0</v>
      </c>
      <c r="O8228">
        <v>10</v>
      </c>
    </row>
    <row r="8229" spans="1:15" x14ac:dyDescent="0.25">
      <c r="A8229" t="s">
        <v>1296</v>
      </c>
      <c r="B8229" t="s">
        <v>2965</v>
      </c>
      <c r="C8229" t="s">
        <v>923</v>
      </c>
      <c r="D8229" t="s">
        <v>3063</v>
      </c>
      <c r="E8229" t="s">
        <v>3053</v>
      </c>
      <c r="F8229" t="s">
        <v>764</v>
      </c>
      <c r="G8229" t="s">
        <v>765</v>
      </c>
      <c r="H8229" t="s">
        <v>8541</v>
      </c>
      <c r="I8229">
        <v>25</v>
      </c>
      <c r="J8229">
        <v>0</v>
      </c>
      <c r="K8229">
        <v>0</v>
      </c>
      <c r="L8229">
        <v>0</v>
      </c>
      <c r="M8229">
        <v>25</v>
      </c>
      <c r="N8229">
        <v>0</v>
      </c>
      <c r="O8229">
        <v>0</v>
      </c>
    </row>
    <row r="8230" spans="1:15" x14ac:dyDescent="0.25">
      <c r="A8230" t="s">
        <v>945</v>
      </c>
      <c r="B8230" t="s">
        <v>2668</v>
      </c>
      <c r="C8230" t="s">
        <v>927</v>
      </c>
      <c r="D8230" t="s">
        <v>3052</v>
      </c>
      <c r="E8230" t="s">
        <v>3053</v>
      </c>
      <c r="F8230" t="s">
        <v>764</v>
      </c>
      <c r="G8230" t="s">
        <v>765</v>
      </c>
      <c r="H8230" t="s">
        <v>8542</v>
      </c>
      <c r="I8230">
        <v>8</v>
      </c>
      <c r="J8230">
        <v>0</v>
      </c>
      <c r="K8230">
        <v>0</v>
      </c>
      <c r="L8230">
        <v>0</v>
      </c>
      <c r="M8230">
        <v>0</v>
      </c>
      <c r="N8230">
        <v>0</v>
      </c>
      <c r="O8230">
        <v>8</v>
      </c>
    </row>
    <row r="8231" spans="1:15" x14ac:dyDescent="0.25">
      <c r="A8231" t="s">
        <v>951</v>
      </c>
      <c r="B8231" t="s">
        <v>2680</v>
      </c>
      <c r="C8231" t="s">
        <v>927</v>
      </c>
      <c r="D8231" t="s">
        <v>3052</v>
      </c>
      <c r="E8231" t="s">
        <v>3053</v>
      </c>
      <c r="F8231" t="s">
        <v>764</v>
      </c>
      <c r="G8231" t="s">
        <v>765</v>
      </c>
      <c r="H8231" t="s">
        <v>8543</v>
      </c>
      <c r="I8231">
        <v>157</v>
      </c>
      <c r="J8231">
        <v>97</v>
      </c>
      <c r="K8231">
        <v>0</v>
      </c>
      <c r="L8231">
        <v>0</v>
      </c>
      <c r="M8231">
        <v>0</v>
      </c>
      <c r="N8231">
        <v>1</v>
      </c>
      <c r="O8231">
        <v>60</v>
      </c>
    </row>
    <row r="8232" spans="1:15" x14ac:dyDescent="0.25">
      <c r="A8232" t="s">
        <v>1048</v>
      </c>
      <c r="B8232" t="s">
        <v>2989</v>
      </c>
      <c r="C8232" t="s">
        <v>927</v>
      </c>
      <c r="D8232" t="s">
        <v>3052</v>
      </c>
      <c r="E8232" t="s">
        <v>3053</v>
      </c>
      <c r="F8232" t="s">
        <v>764</v>
      </c>
      <c r="G8232" t="s">
        <v>765</v>
      </c>
      <c r="H8232" t="s">
        <v>8544</v>
      </c>
      <c r="I8232">
        <v>8</v>
      </c>
      <c r="J8232">
        <v>0</v>
      </c>
      <c r="K8232">
        <v>0</v>
      </c>
      <c r="L8232">
        <v>2</v>
      </c>
      <c r="M8232">
        <v>0</v>
      </c>
      <c r="N8232">
        <v>0</v>
      </c>
      <c r="O8232">
        <v>6</v>
      </c>
    </row>
    <row r="8233" spans="1:15" x14ac:dyDescent="0.25">
      <c r="A8233" t="s">
        <v>11720</v>
      </c>
      <c r="B8233" t="s">
        <v>10718</v>
      </c>
      <c r="C8233" t="s">
        <v>927</v>
      </c>
      <c r="D8233" t="s">
        <v>3052</v>
      </c>
      <c r="E8233" t="s">
        <v>3053</v>
      </c>
      <c r="F8233" t="s">
        <v>764</v>
      </c>
      <c r="G8233" t="s">
        <v>765</v>
      </c>
      <c r="H8233" t="s">
        <v>15311</v>
      </c>
      <c r="I8233">
        <v>5</v>
      </c>
      <c r="J8233">
        <v>0</v>
      </c>
      <c r="K8233">
        <v>0</v>
      </c>
      <c r="L8233">
        <v>0</v>
      </c>
      <c r="M8233">
        <v>0</v>
      </c>
      <c r="N8233">
        <v>0</v>
      </c>
      <c r="O8233">
        <v>5</v>
      </c>
    </row>
    <row r="8234" spans="1:15" x14ac:dyDescent="0.25">
      <c r="A8234" t="s">
        <v>1056</v>
      </c>
      <c r="B8234" t="s">
        <v>2966</v>
      </c>
      <c r="C8234" t="s">
        <v>927</v>
      </c>
      <c r="D8234" t="s">
        <v>3052</v>
      </c>
      <c r="E8234" t="s">
        <v>3053</v>
      </c>
      <c r="F8234" t="s">
        <v>764</v>
      </c>
      <c r="G8234" t="s">
        <v>765</v>
      </c>
      <c r="H8234" t="s">
        <v>8545</v>
      </c>
      <c r="I8234">
        <v>90</v>
      </c>
      <c r="J8234">
        <v>90</v>
      </c>
      <c r="K8234">
        <v>0</v>
      </c>
      <c r="L8234">
        <v>0</v>
      </c>
      <c r="M8234">
        <v>0</v>
      </c>
      <c r="N8234">
        <v>30</v>
      </c>
      <c r="O8234">
        <v>0</v>
      </c>
    </row>
    <row r="8235" spans="1:15" x14ac:dyDescent="0.25">
      <c r="A8235" t="s">
        <v>955</v>
      </c>
      <c r="B8235" t="s">
        <v>2660</v>
      </c>
      <c r="C8235" t="s">
        <v>927</v>
      </c>
      <c r="D8235" t="s">
        <v>3052</v>
      </c>
      <c r="E8235" t="s">
        <v>3053</v>
      </c>
      <c r="F8235" t="s">
        <v>764</v>
      </c>
      <c r="G8235" t="s">
        <v>765</v>
      </c>
      <c r="H8235" t="s">
        <v>8546</v>
      </c>
      <c r="I8235">
        <v>888</v>
      </c>
      <c r="J8235">
        <v>385</v>
      </c>
      <c r="K8235">
        <v>0</v>
      </c>
      <c r="L8235">
        <v>68</v>
      </c>
      <c r="M8235">
        <v>403</v>
      </c>
      <c r="N8235">
        <v>0</v>
      </c>
      <c r="O8235">
        <v>32</v>
      </c>
    </row>
    <row r="8236" spans="1:15" x14ac:dyDescent="0.25">
      <c r="A8236" t="s">
        <v>1660</v>
      </c>
      <c r="B8236" t="s">
        <v>2827</v>
      </c>
      <c r="C8236" t="s">
        <v>927</v>
      </c>
      <c r="D8236" t="s">
        <v>3052</v>
      </c>
      <c r="E8236" t="s">
        <v>3053</v>
      </c>
      <c r="F8236" t="s">
        <v>764</v>
      </c>
      <c r="G8236" t="s">
        <v>765</v>
      </c>
      <c r="H8236" t="s">
        <v>8547</v>
      </c>
      <c r="I8236">
        <v>115</v>
      </c>
      <c r="J8236">
        <v>96</v>
      </c>
      <c r="K8236">
        <v>0</v>
      </c>
      <c r="L8236">
        <v>0</v>
      </c>
      <c r="M8236">
        <v>0</v>
      </c>
      <c r="N8236">
        <v>0</v>
      </c>
      <c r="O8236">
        <v>19</v>
      </c>
    </row>
    <row r="8237" spans="1:15" x14ac:dyDescent="0.25">
      <c r="A8237" t="s">
        <v>960</v>
      </c>
      <c r="B8237" t="s">
        <v>2080</v>
      </c>
      <c r="C8237" t="s">
        <v>927</v>
      </c>
      <c r="D8237" t="s">
        <v>3052</v>
      </c>
      <c r="E8237" t="s">
        <v>3053</v>
      </c>
      <c r="F8237" t="s">
        <v>764</v>
      </c>
      <c r="G8237" t="s">
        <v>765</v>
      </c>
      <c r="H8237" t="s">
        <v>8548</v>
      </c>
      <c r="I8237">
        <v>1663</v>
      </c>
      <c r="J8237">
        <v>1252</v>
      </c>
      <c r="K8237">
        <v>0</v>
      </c>
      <c r="L8237">
        <v>0</v>
      </c>
      <c r="M8237">
        <v>0</v>
      </c>
      <c r="N8237">
        <v>1</v>
      </c>
      <c r="O8237">
        <v>411</v>
      </c>
    </row>
    <row r="8238" spans="1:15" x14ac:dyDescent="0.25">
      <c r="A8238" t="s">
        <v>1062</v>
      </c>
      <c r="B8238" t="s">
        <v>1993</v>
      </c>
      <c r="C8238" t="s">
        <v>927</v>
      </c>
      <c r="D8238" t="s">
        <v>3052</v>
      </c>
      <c r="E8238" t="s">
        <v>3053</v>
      </c>
      <c r="F8238" t="s">
        <v>764</v>
      </c>
      <c r="G8238" t="s">
        <v>765</v>
      </c>
      <c r="H8238" t="s">
        <v>8549</v>
      </c>
      <c r="I8238">
        <v>15</v>
      </c>
      <c r="J8238">
        <v>15</v>
      </c>
      <c r="K8238">
        <v>0</v>
      </c>
      <c r="L8238">
        <v>0</v>
      </c>
      <c r="M8238">
        <v>0</v>
      </c>
      <c r="N8238">
        <v>7</v>
      </c>
      <c r="O8238">
        <v>0</v>
      </c>
    </row>
    <row r="8239" spans="1:15" x14ac:dyDescent="0.25">
      <c r="A8239" t="s">
        <v>962</v>
      </c>
      <c r="B8239" t="s">
        <v>2752</v>
      </c>
      <c r="C8239" t="s">
        <v>927</v>
      </c>
      <c r="D8239" t="s">
        <v>3052</v>
      </c>
      <c r="E8239" t="s">
        <v>3053</v>
      </c>
      <c r="F8239" t="s">
        <v>764</v>
      </c>
      <c r="G8239" t="s">
        <v>765</v>
      </c>
      <c r="H8239" t="s">
        <v>8550</v>
      </c>
      <c r="I8239">
        <v>1099</v>
      </c>
      <c r="J8239">
        <v>695</v>
      </c>
      <c r="K8239">
        <v>0</v>
      </c>
      <c r="L8239">
        <v>140</v>
      </c>
      <c r="M8239">
        <v>147</v>
      </c>
      <c r="N8239">
        <v>0</v>
      </c>
      <c r="O8239">
        <v>117</v>
      </c>
    </row>
    <row r="8240" spans="1:15" x14ac:dyDescent="0.25">
      <c r="A8240" t="s">
        <v>964</v>
      </c>
      <c r="B8240" t="s">
        <v>1969</v>
      </c>
      <c r="C8240" t="s">
        <v>927</v>
      </c>
      <c r="D8240" t="s">
        <v>3052</v>
      </c>
      <c r="E8240" t="s">
        <v>3053</v>
      </c>
      <c r="F8240" t="s">
        <v>764</v>
      </c>
      <c r="G8240" t="s">
        <v>765</v>
      </c>
      <c r="H8240" t="s">
        <v>8551</v>
      </c>
      <c r="I8240">
        <v>20</v>
      </c>
      <c r="J8240">
        <v>11</v>
      </c>
      <c r="K8240">
        <v>0</v>
      </c>
      <c r="L8240">
        <v>0</v>
      </c>
      <c r="M8240">
        <v>0</v>
      </c>
      <c r="N8240">
        <v>0</v>
      </c>
      <c r="O8240">
        <v>9</v>
      </c>
    </row>
    <row r="8241" spans="1:15" x14ac:dyDescent="0.25">
      <c r="A8241" t="s">
        <v>1069</v>
      </c>
      <c r="B8241" t="s">
        <v>2001</v>
      </c>
      <c r="C8241" t="s">
        <v>927</v>
      </c>
      <c r="D8241" t="s">
        <v>3052</v>
      </c>
      <c r="E8241" t="s">
        <v>3053</v>
      </c>
      <c r="F8241" t="s">
        <v>764</v>
      </c>
      <c r="G8241" t="s">
        <v>765</v>
      </c>
      <c r="H8241" t="s">
        <v>8552</v>
      </c>
      <c r="I8241">
        <v>312</v>
      </c>
      <c r="J8241">
        <v>173</v>
      </c>
      <c r="K8241">
        <v>0</v>
      </c>
      <c r="L8241">
        <v>0</v>
      </c>
      <c r="M8241">
        <v>134</v>
      </c>
      <c r="N8241">
        <v>0</v>
      </c>
      <c r="O8241">
        <v>5</v>
      </c>
    </row>
    <row r="8242" spans="1:15" x14ac:dyDescent="0.25">
      <c r="A8242" t="s">
        <v>1072</v>
      </c>
      <c r="B8242" t="s">
        <v>2907</v>
      </c>
      <c r="C8242" t="s">
        <v>927</v>
      </c>
      <c r="D8242" t="s">
        <v>3052</v>
      </c>
      <c r="E8242" t="s">
        <v>3053</v>
      </c>
      <c r="F8242" t="s">
        <v>764</v>
      </c>
      <c r="G8242" t="s">
        <v>765</v>
      </c>
      <c r="H8242" t="s">
        <v>8553</v>
      </c>
      <c r="I8242">
        <v>49</v>
      </c>
      <c r="J8242">
        <v>0</v>
      </c>
      <c r="K8242">
        <v>0</v>
      </c>
      <c r="L8242">
        <v>34</v>
      </c>
      <c r="M8242">
        <v>15</v>
      </c>
      <c r="N8242">
        <v>0</v>
      </c>
      <c r="O8242">
        <v>0</v>
      </c>
    </row>
    <row r="8243" spans="1:15" x14ac:dyDescent="0.25">
      <c r="A8243" t="s">
        <v>1794</v>
      </c>
      <c r="B8243" t="s">
        <v>2796</v>
      </c>
      <c r="C8243" t="s">
        <v>923</v>
      </c>
      <c r="D8243" t="s">
        <v>3063</v>
      </c>
      <c r="E8243" t="s">
        <v>3053</v>
      </c>
      <c r="F8243" t="s">
        <v>764</v>
      </c>
      <c r="G8243" t="s">
        <v>765</v>
      </c>
      <c r="H8243" t="s">
        <v>8554</v>
      </c>
      <c r="I8243">
        <v>56</v>
      </c>
      <c r="J8243">
        <v>56</v>
      </c>
      <c r="K8243">
        <v>0</v>
      </c>
      <c r="L8243">
        <v>0</v>
      </c>
      <c r="M8243">
        <v>0</v>
      </c>
      <c r="N8243">
        <v>0</v>
      </c>
      <c r="O8243">
        <v>0</v>
      </c>
    </row>
    <row r="8244" spans="1:15" x14ac:dyDescent="0.25">
      <c r="A8244" t="s">
        <v>1016</v>
      </c>
      <c r="B8244" t="s">
        <v>2725</v>
      </c>
      <c r="C8244" t="s">
        <v>927</v>
      </c>
      <c r="D8244" t="s">
        <v>3052</v>
      </c>
      <c r="E8244" t="s">
        <v>3053</v>
      </c>
      <c r="F8244" t="s">
        <v>766</v>
      </c>
      <c r="G8244" t="s">
        <v>767</v>
      </c>
      <c r="H8244" t="s">
        <v>8569</v>
      </c>
      <c r="I8244">
        <v>346</v>
      </c>
      <c r="J8244">
        <v>65</v>
      </c>
      <c r="K8244">
        <v>0</v>
      </c>
      <c r="L8244">
        <v>0</v>
      </c>
      <c r="M8244">
        <v>198</v>
      </c>
      <c r="N8244">
        <v>0</v>
      </c>
      <c r="O8244">
        <v>83</v>
      </c>
    </row>
    <row r="8245" spans="1:15" x14ac:dyDescent="0.25">
      <c r="A8245" t="s">
        <v>971</v>
      </c>
      <c r="B8245" t="s">
        <v>2956</v>
      </c>
      <c r="C8245" t="s">
        <v>927</v>
      </c>
      <c r="D8245" t="s">
        <v>3052</v>
      </c>
      <c r="E8245" t="s">
        <v>3053</v>
      </c>
      <c r="F8245" t="s">
        <v>766</v>
      </c>
      <c r="G8245" t="s">
        <v>767</v>
      </c>
      <c r="H8245" t="s">
        <v>8555</v>
      </c>
      <c r="I8245">
        <v>569</v>
      </c>
      <c r="J8245">
        <v>515</v>
      </c>
      <c r="K8245">
        <v>0</v>
      </c>
      <c r="L8245">
        <v>0</v>
      </c>
      <c r="M8245">
        <v>39</v>
      </c>
      <c r="N8245">
        <v>0</v>
      </c>
      <c r="O8245">
        <v>15</v>
      </c>
    </row>
    <row r="8246" spans="1:15" x14ac:dyDescent="0.25">
      <c r="A8246" t="s">
        <v>974</v>
      </c>
      <c r="B8246" t="s">
        <v>2949</v>
      </c>
      <c r="C8246" t="s">
        <v>923</v>
      </c>
      <c r="D8246" t="s">
        <v>3063</v>
      </c>
      <c r="E8246" t="s">
        <v>3053</v>
      </c>
      <c r="F8246" t="s">
        <v>766</v>
      </c>
      <c r="G8246" t="s">
        <v>767</v>
      </c>
      <c r="H8246" t="s">
        <v>8556</v>
      </c>
      <c r="I8246">
        <v>2</v>
      </c>
      <c r="J8246">
        <v>0</v>
      </c>
      <c r="K8246">
        <v>1</v>
      </c>
      <c r="L8246">
        <v>1</v>
      </c>
      <c r="M8246">
        <v>0</v>
      </c>
      <c r="N8246">
        <v>0</v>
      </c>
      <c r="O8246">
        <v>0</v>
      </c>
    </row>
    <row r="8247" spans="1:15" x14ac:dyDescent="0.25">
      <c r="A8247" t="s">
        <v>926</v>
      </c>
      <c r="B8247" t="s">
        <v>2923</v>
      </c>
      <c r="C8247" t="s">
        <v>927</v>
      </c>
      <c r="D8247" t="s">
        <v>3052</v>
      </c>
      <c r="E8247" t="s">
        <v>3053</v>
      </c>
      <c r="F8247" t="s">
        <v>766</v>
      </c>
      <c r="G8247" t="s">
        <v>767</v>
      </c>
      <c r="H8247" t="s">
        <v>8557</v>
      </c>
      <c r="I8247">
        <v>1</v>
      </c>
      <c r="J8247">
        <v>0</v>
      </c>
      <c r="K8247">
        <v>0</v>
      </c>
      <c r="L8247">
        <v>0</v>
      </c>
      <c r="M8247">
        <v>0</v>
      </c>
      <c r="N8247">
        <v>0</v>
      </c>
      <c r="O8247">
        <v>1</v>
      </c>
    </row>
    <row r="8248" spans="1:15" x14ac:dyDescent="0.25">
      <c r="A8248" t="s">
        <v>929</v>
      </c>
      <c r="B8248" t="s">
        <v>2999</v>
      </c>
      <c r="C8248" t="s">
        <v>927</v>
      </c>
      <c r="D8248" t="s">
        <v>3052</v>
      </c>
      <c r="E8248" t="s">
        <v>3053</v>
      </c>
      <c r="F8248" t="s">
        <v>766</v>
      </c>
      <c r="G8248" t="s">
        <v>767</v>
      </c>
      <c r="H8248" t="s">
        <v>8558</v>
      </c>
      <c r="I8248">
        <v>74</v>
      </c>
      <c r="J8248">
        <v>0</v>
      </c>
      <c r="K8248">
        <v>0</v>
      </c>
      <c r="L8248">
        <v>0</v>
      </c>
      <c r="M8248">
        <v>74</v>
      </c>
      <c r="N8248">
        <v>0</v>
      </c>
      <c r="O8248">
        <v>0</v>
      </c>
    </row>
    <row r="8249" spans="1:15" x14ac:dyDescent="0.25">
      <c r="A8249" t="s">
        <v>1455</v>
      </c>
      <c r="B8249" t="s">
        <v>2835</v>
      </c>
      <c r="C8249" t="s">
        <v>923</v>
      </c>
      <c r="D8249" t="s">
        <v>3063</v>
      </c>
      <c r="E8249" t="s">
        <v>3053</v>
      </c>
      <c r="F8249" t="s">
        <v>766</v>
      </c>
      <c r="G8249" t="s">
        <v>767</v>
      </c>
      <c r="H8249" t="s">
        <v>8559</v>
      </c>
      <c r="I8249">
        <v>951</v>
      </c>
      <c r="J8249">
        <v>951</v>
      </c>
      <c r="K8249">
        <v>0</v>
      </c>
      <c r="L8249">
        <v>0</v>
      </c>
      <c r="M8249">
        <v>0</v>
      </c>
      <c r="N8249">
        <v>0</v>
      </c>
      <c r="O8249">
        <v>0</v>
      </c>
    </row>
    <row r="8250" spans="1:15" x14ac:dyDescent="0.25">
      <c r="A8250" t="s">
        <v>1461</v>
      </c>
      <c r="B8250" t="s">
        <v>1927</v>
      </c>
      <c r="C8250" t="s">
        <v>927</v>
      </c>
      <c r="D8250" t="s">
        <v>3052</v>
      </c>
      <c r="E8250" t="s">
        <v>3053</v>
      </c>
      <c r="F8250" t="s">
        <v>766</v>
      </c>
      <c r="G8250" t="s">
        <v>767</v>
      </c>
      <c r="H8250" t="s">
        <v>15312</v>
      </c>
      <c r="I8250">
        <v>92</v>
      </c>
      <c r="J8250">
        <v>86</v>
      </c>
      <c r="K8250">
        <v>0</v>
      </c>
      <c r="L8250">
        <v>0</v>
      </c>
      <c r="M8250">
        <v>0</v>
      </c>
      <c r="N8250">
        <v>3</v>
      </c>
      <c r="O8250">
        <v>6</v>
      </c>
    </row>
    <row r="8251" spans="1:15" x14ac:dyDescent="0.25">
      <c r="A8251" t="s">
        <v>985</v>
      </c>
      <c r="B8251" t="s">
        <v>1964</v>
      </c>
      <c r="C8251" t="s">
        <v>923</v>
      </c>
      <c r="D8251" t="s">
        <v>3063</v>
      </c>
      <c r="E8251" t="s">
        <v>3053</v>
      </c>
      <c r="F8251" t="s">
        <v>766</v>
      </c>
      <c r="G8251" t="s">
        <v>767</v>
      </c>
      <c r="H8251" t="s">
        <v>11373</v>
      </c>
      <c r="I8251">
        <v>8</v>
      </c>
      <c r="J8251">
        <v>0</v>
      </c>
      <c r="K8251">
        <v>0</v>
      </c>
      <c r="L8251">
        <v>8</v>
      </c>
      <c r="M8251">
        <v>0</v>
      </c>
      <c r="N8251">
        <v>0</v>
      </c>
      <c r="O8251">
        <v>0</v>
      </c>
    </row>
    <row r="8252" spans="1:15" x14ac:dyDescent="0.25">
      <c r="A8252" t="s">
        <v>991</v>
      </c>
      <c r="B8252" t="s">
        <v>1976</v>
      </c>
      <c r="C8252" t="s">
        <v>923</v>
      </c>
      <c r="D8252" t="s">
        <v>3063</v>
      </c>
      <c r="E8252" t="s">
        <v>3053</v>
      </c>
      <c r="F8252" t="s">
        <v>766</v>
      </c>
      <c r="G8252" t="s">
        <v>767</v>
      </c>
      <c r="H8252" t="s">
        <v>8560</v>
      </c>
      <c r="I8252">
        <v>72</v>
      </c>
      <c r="J8252">
        <v>0</v>
      </c>
      <c r="K8252">
        <v>0</v>
      </c>
      <c r="L8252">
        <v>72</v>
      </c>
      <c r="M8252">
        <v>0</v>
      </c>
      <c r="N8252">
        <v>0</v>
      </c>
      <c r="O8252">
        <v>0</v>
      </c>
    </row>
    <row r="8253" spans="1:15" x14ac:dyDescent="0.25">
      <c r="A8253" t="s">
        <v>1480</v>
      </c>
      <c r="B8253" t="s">
        <v>2809</v>
      </c>
      <c r="C8253" t="s">
        <v>923</v>
      </c>
      <c r="D8253" t="s">
        <v>3063</v>
      </c>
      <c r="E8253" t="s">
        <v>3053</v>
      </c>
      <c r="F8253" t="s">
        <v>766</v>
      </c>
      <c r="G8253" t="s">
        <v>767</v>
      </c>
      <c r="H8253" t="s">
        <v>8561</v>
      </c>
      <c r="I8253">
        <v>16</v>
      </c>
      <c r="J8253">
        <v>16</v>
      </c>
      <c r="K8253">
        <v>0</v>
      </c>
      <c r="L8253">
        <v>0</v>
      </c>
      <c r="M8253">
        <v>0</v>
      </c>
      <c r="N8253">
        <v>16</v>
      </c>
      <c r="O8253">
        <v>0</v>
      </c>
    </row>
    <row r="8254" spans="1:15" x14ac:dyDescent="0.25">
      <c r="A8254" t="s">
        <v>1483</v>
      </c>
      <c r="B8254" t="s">
        <v>1932</v>
      </c>
      <c r="C8254" t="s">
        <v>927</v>
      </c>
      <c r="D8254" t="s">
        <v>3052</v>
      </c>
      <c r="E8254" t="s">
        <v>3053</v>
      </c>
      <c r="F8254" t="s">
        <v>766</v>
      </c>
      <c r="G8254" t="s">
        <v>767</v>
      </c>
      <c r="H8254" t="s">
        <v>12410</v>
      </c>
      <c r="I8254">
        <v>8</v>
      </c>
      <c r="J8254">
        <v>0</v>
      </c>
      <c r="K8254">
        <v>0</v>
      </c>
      <c r="L8254">
        <v>0</v>
      </c>
      <c r="M8254">
        <v>0</v>
      </c>
      <c r="N8254">
        <v>0</v>
      </c>
      <c r="O8254">
        <v>8</v>
      </c>
    </row>
    <row r="8255" spans="1:15" x14ac:dyDescent="0.25">
      <c r="A8255" t="s">
        <v>1000</v>
      </c>
      <c r="B8255" t="s">
        <v>1984</v>
      </c>
      <c r="C8255" t="s">
        <v>923</v>
      </c>
      <c r="D8255" t="s">
        <v>3063</v>
      </c>
      <c r="E8255" t="s">
        <v>3053</v>
      </c>
      <c r="F8255" t="s">
        <v>766</v>
      </c>
      <c r="G8255" t="s">
        <v>767</v>
      </c>
      <c r="H8255" t="s">
        <v>8562</v>
      </c>
      <c r="I8255">
        <v>8</v>
      </c>
      <c r="J8255">
        <v>0</v>
      </c>
      <c r="K8255">
        <v>0</v>
      </c>
      <c r="L8255">
        <v>8</v>
      </c>
      <c r="M8255">
        <v>0</v>
      </c>
      <c r="N8255">
        <v>0</v>
      </c>
      <c r="O8255">
        <v>0</v>
      </c>
    </row>
    <row r="8256" spans="1:15" x14ac:dyDescent="0.25">
      <c r="A8256" t="s">
        <v>10638</v>
      </c>
      <c r="B8256" t="s">
        <v>2057</v>
      </c>
      <c r="C8256" t="s">
        <v>927</v>
      </c>
      <c r="D8256" t="s">
        <v>3052</v>
      </c>
      <c r="E8256" t="s">
        <v>3053</v>
      </c>
      <c r="F8256" t="s">
        <v>766</v>
      </c>
      <c r="G8256" t="s">
        <v>767</v>
      </c>
      <c r="H8256" t="s">
        <v>11374</v>
      </c>
      <c r="I8256">
        <v>9</v>
      </c>
      <c r="J8256">
        <v>0</v>
      </c>
      <c r="K8256">
        <v>0</v>
      </c>
      <c r="L8256">
        <v>9</v>
      </c>
      <c r="M8256">
        <v>0</v>
      </c>
      <c r="N8256">
        <v>0</v>
      </c>
      <c r="O8256">
        <v>0</v>
      </c>
    </row>
    <row r="8257" spans="1:15" x14ac:dyDescent="0.25">
      <c r="A8257" t="s">
        <v>1006</v>
      </c>
      <c r="B8257" t="s">
        <v>2724</v>
      </c>
      <c r="C8257" t="s">
        <v>927</v>
      </c>
      <c r="D8257" t="s">
        <v>3052</v>
      </c>
      <c r="E8257" t="s">
        <v>3053</v>
      </c>
      <c r="F8257" t="s">
        <v>766</v>
      </c>
      <c r="G8257" t="s">
        <v>767</v>
      </c>
      <c r="H8257" t="s">
        <v>8563</v>
      </c>
      <c r="I8257">
        <v>81</v>
      </c>
      <c r="J8257">
        <v>61</v>
      </c>
      <c r="K8257">
        <v>0</v>
      </c>
      <c r="L8257">
        <v>11</v>
      </c>
      <c r="M8257">
        <v>0</v>
      </c>
      <c r="N8257">
        <v>0</v>
      </c>
      <c r="O8257">
        <v>9</v>
      </c>
    </row>
    <row r="8258" spans="1:15" x14ac:dyDescent="0.25">
      <c r="A8258" t="s">
        <v>1009</v>
      </c>
      <c r="B8258" t="s">
        <v>1958</v>
      </c>
      <c r="C8258" t="s">
        <v>923</v>
      </c>
      <c r="D8258" t="s">
        <v>3063</v>
      </c>
      <c r="E8258" t="s">
        <v>3053</v>
      </c>
      <c r="F8258" t="s">
        <v>766</v>
      </c>
      <c r="G8258" t="s">
        <v>767</v>
      </c>
      <c r="H8258" t="s">
        <v>8564</v>
      </c>
      <c r="I8258">
        <v>33</v>
      </c>
      <c r="J8258">
        <v>0</v>
      </c>
      <c r="K8258">
        <v>0</v>
      </c>
      <c r="L8258">
        <v>33</v>
      </c>
      <c r="M8258">
        <v>0</v>
      </c>
      <c r="N8258">
        <v>0</v>
      </c>
      <c r="O8258">
        <v>0</v>
      </c>
    </row>
    <row r="8259" spans="1:15" x14ac:dyDescent="0.25">
      <c r="A8259" t="s">
        <v>937</v>
      </c>
      <c r="B8259" t="s">
        <v>1962</v>
      </c>
      <c r="C8259" t="s">
        <v>927</v>
      </c>
      <c r="D8259" t="s">
        <v>3052</v>
      </c>
      <c r="E8259" t="s">
        <v>3053</v>
      </c>
      <c r="F8259" t="s">
        <v>766</v>
      </c>
      <c r="G8259" t="s">
        <v>767</v>
      </c>
      <c r="H8259" t="s">
        <v>8565</v>
      </c>
      <c r="I8259">
        <v>9</v>
      </c>
      <c r="J8259">
        <v>0</v>
      </c>
      <c r="K8259">
        <v>0</v>
      </c>
      <c r="L8259">
        <v>0</v>
      </c>
      <c r="M8259">
        <v>0</v>
      </c>
      <c r="N8259">
        <v>0</v>
      </c>
      <c r="O8259">
        <v>9</v>
      </c>
    </row>
    <row r="8260" spans="1:15" x14ac:dyDescent="0.25">
      <c r="A8260" t="s">
        <v>1011</v>
      </c>
      <c r="B8260" t="s">
        <v>2020</v>
      </c>
      <c r="C8260" t="s">
        <v>927</v>
      </c>
      <c r="D8260" t="s">
        <v>3052</v>
      </c>
      <c r="E8260" t="s">
        <v>3053</v>
      </c>
      <c r="F8260" t="s">
        <v>766</v>
      </c>
      <c r="G8260" t="s">
        <v>767</v>
      </c>
      <c r="H8260" t="s">
        <v>11375</v>
      </c>
      <c r="I8260">
        <v>12</v>
      </c>
      <c r="J8260">
        <v>0</v>
      </c>
      <c r="K8260">
        <v>0</v>
      </c>
      <c r="L8260">
        <v>12</v>
      </c>
      <c r="M8260">
        <v>0</v>
      </c>
      <c r="N8260">
        <v>0</v>
      </c>
      <c r="O8260">
        <v>0</v>
      </c>
    </row>
    <row r="8261" spans="1:15" x14ac:dyDescent="0.25">
      <c r="A8261" t="s">
        <v>940</v>
      </c>
      <c r="B8261" t="s">
        <v>2647</v>
      </c>
      <c r="C8261" t="s">
        <v>927</v>
      </c>
      <c r="D8261" t="s">
        <v>3052</v>
      </c>
      <c r="E8261" t="s">
        <v>3053</v>
      </c>
      <c r="F8261" t="s">
        <v>766</v>
      </c>
      <c r="G8261" t="s">
        <v>767</v>
      </c>
      <c r="H8261" t="s">
        <v>8566</v>
      </c>
      <c r="I8261">
        <v>72</v>
      </c>
      <c r="J8261">
        <v>0</v>
      </c>
      <c r="K8261">
        <v>0</v>
      </c>
      <c r="L8261">
        <v>0</v>
      </c>
      <c r="M8261">
        <v>72</v>
      </c>
      <c r="N8261">
        <v>0</v>
      </c>
      <c r="O8261">
        <v>0</v>
      </c>
    </row>
    <row r="8262" spans="1:15" x14ac:dyDescent="0.25">
      <c r="A8262" t="s">
        <v>1013</v>
      </c>
      <c r="B8262" t="s">
        <v>1959</v>
      </c>
      <c r="C8262" t="s">
        <v>927</v>
      </c>
      <c r="D8262" t="s">
        <v>3052</v>
      </c>
      <c r="E8262" t="s">
        <v>3053</v>
      </c>
      <c r="F8262" t="s">
        <v>766</v>
      </c>
      <c r="G8262" t="s">
        <v>767</v>
      </c>
      <c r="H8262" t="s">
        <v>11376</v>
      </c>
      <c r="I8262">
        <v>6</v>
      </c>
      <c r="J8262">
        <v>0</v>
      </c>
      <c r="K8262">
        <v>0</v>
      </c>
      <c r="L8262">
        <v>6</v>
      </c>
      <c r="M8262">
        <v>0</v>
      </c>
      <c r="N8262">
        <v>0</v>
      </c>
      <c r="O8262">
        <v>0</v>
      </c>
    </row>
    <row r="8263" spans="1:15" x14ac:dyDescent="0.25">
      <c r="A8263" t="s">
        <v>1495</v>
      </c>
      <c r="B8263" t="s">
        <v>2648</v>
      </c>
      <c r="C8263" t="s">
        <v>927</v>
      </c>
      <c r="D8263" t="s">
        <v>3052</v>
      </c>
      <c r="E8263" t="s">
        <v>3053</v>
      </c>
      <c r="F8263" t="s">
        <v>766</v>
      </c>
      <c r="G8263" t="s">
        <v>767</v>
      </c>
      <c r="H8263" t="s">
        <v>8567</v>
      </c>
      <c r="I8263">
        <v>995</v>
      </c>
      <c r="J8263">
        <v>959</v>
      </c>
      <c r="K8263">
        <v>0</v>
      </c>
      <c r="L8263">
        <v>25</v>
      </c>
      <c r="M8263">
        <v>0</v>
      </c>
      <c r="N8263">
        <v>4</v>
      </c>
      <c r="O8263">
        <v>11</v>
      </c>
    </row>
    <row r="8264" spans="1:15" x14ac:dyDescent="0.25">
      <c r="A8264" t="s">
        <v>1497</v>
      </c>
      <c r="B8264" t="s">
        <v>3025</v>
      </c>
      <c r="C8264" t="s">
        <v>923</v>
      </c>
      <c r="D8264" t="s">
        <v>3063</v>
      </c>
      <c r="E8264" t="s">
        <v>3053</v>
      </c>
      <c r="F8264" t="s">
        <v>766</v>
      </c>
      <c r="G8264" t="s">
        <v>767</v>
      </c>
      <c r="H8264" t="s">
        <v>8568</v>
      </c>
      <c r="I8264">
        <v>5</v>
      </c>
      <c r="J8264">
        <v>5</v>
      </c>
      <c r="K8264">
        <v>0</v>
      </c>
      <c r="L8264">
        <v>0</v>
      </c>
      <c r="M8264">
        <v>0</v>
      </c>
      <c r="N8264">
        <v>0</v>
      </c>
      <c r="O8264">
        <v>0</v>
      </c>
    </row>
    <row r="8265" spans="1:15" x14ac:dyDescent="0.25">
      <c r="A8265" t="s">
        <v>9819</v>
      </c>
      <c r="B8265" t="s">
        <v>2916</v>
      </c>
      <c r="C8265" t="s">
        <v>927</v>
      </c>
      <c r="D8265" t="s">
        <v>3052</v>
      </c>
      <c r="E8265" t="s">
        <v>3053</v>
      </c>
      <c r="F8265" t="s">
        <v>766</v>
      </c>
      <c r="G8265" t="s">
        <v>767</v>
      </c>
      <c r="H8265" t="s">
        <v>11377</v>
      </c>
      <c r="I8265">
        <v>33</v>
      </c>
      <c r="J8265">
        <v>33</v>
      </c>
      <c r="K8265">
        <v>0</v>
      </c>
      <c r="L8265">
        <v>0</v>
      </c>
      <c r="M8265">
        <v>0</v>
      </c>
      <c r="N8265">
        <v>0</v>
      </c>
      <c r="O8265">
        <v>0</v>
      </c>
    </row>
    <row r="8266" spans="1:15" x14ac:dyDescent="0.25">
      <c r="A8266" t="s">
        <v>9820</v>
      </c>
      <c r="B8266" t="s">
        <v>3017</v>
      </c>
      <c r="C8266" t="s">
        <v>927</v>
      </c>
      <c r="D8266" t="s">
        <v>3052</v>
      </c>
      <c r="E8266" t="s">
        <v>3053</v>
      </c>
      <c r="F8266" t="s">
        <v>766</v>
      </c>
      <c r="G8266" t="s">
        <v>767</v>
      </c>
      <c r="H8266" t="s">
        <v>10156</v>
      </c>
      <c r="I8266">
        <v>15053</v>
      </c>
      <c r="J8266">
        <v>14146</v>
      </c>
      <c r="K8266">
        <v>0</v>
      </c>
      <c r="L8266">
        <v>281</v>
      </c>
      <c r="M8266">
        <v>621</v>
      </c>
      <c r="N8266">
        <v>52</v>
      </c>
      <c r="O8266">
        <v>5</v>
      </c>
    </row>
    <row r="8267" spans="1:15" x14ac:dyDescent="0.25">
      <c r="A8267" t="s">
        <v>11696</v>
      </c>
      <c r="B8267" t="s">
        <v>11756</v>
      </c>
      <c r="C8267" t="s">
        <v>923</v>
      </c>
      <c r="D8267" t="s">
        <v>3063</v>
      </c>
      <c r="E8267" t="s">
        <v>3053</v>
      </c>
      <c r="F8267" t="s">
        <v>766</v>
      </c>
      <c r="G8267" t="s">
        <v>767</v>
      </c>
      <c r="H8267" t="s">
        <v>12411</v>
      </c>
      <c r="I8267">
        <v>84</v>
      </c>
      <c r="J8267">
        <v>84</v>
      </c>
      <c r="K8267">
        <v>0</v>
      </c>
      <c r="L8267">
        <v>0</v>
      </c>
      <c r="M8267">
        <v>0</v>
      </c>
      <c r="N8267">
        <v>0</v>
      </c>
      <c r="O8267">
        <v>0</v>
      </c>
    </row>
    <row r="8268" spans="1:15" x14ac:dyDescent="0.25">
      <c r="A8268" t="s">
        <v>1516</v>
      </c>
      <c r="B8268" t="s">
        <v>2098</v>
      </c>
      <c r="C8268" t="s">
        <v>927</v>
      </c>
      <c r="D8268" t="s">
        <v>3052</v>
      </c>
      <c r="E8268" t="s">
        <v>3053</v>
      </c>
      <c r="F8268" t="s">
        <v>766</v>
      </c>
      <c r="G8268" t="s">
        <v>767</v>
      </c>
      <c r="H8268" t="s">
        <v>8570</v>
      </c>
      <c r="I8268">
        <v>289</v>
      </c>
      <c r="J8268">
        <v>169</v>
      </c>
      <c r="K8268">
        <v>0</v>
      </c>
      <c r="L8268">
        <v>61</v>
      </c>
      <c r="M8268">
        <v>8</v>
      </c>
      <c r="N8268">
        <v>0</v>
      </c>
      <c r="O8268">
        <v>51</v>
      </c>
    </row>
    <row r="8269" spans="1:15" x14ac:dyDescent="0.25">
      <c r="A8269" t="s">
        <v>1521</v>
      </c>
      <c r="B8269" t="s">
        <v>2920</v>
      </c>
      <c r="C8269" t="s">
        <v>927</v>
      </c>
      <c r="D8269" t="s">
        <v>3052</v>
      </c>
      <c r="E8269" t="s">
        <v>3053</v>
      </c>
      <c r="F8269" t="s">
        <v>766</v>
      </c>
      <c r="G8269" t="s">
        <v>767</v>
      </c>
      <c r="H8269" t="s">
        <v>8571</v>
      </c>
      <c r="I8269">
        <v>1875</v>
      </c>
      <c r="J8269">
        <v>1631</v>
      </c>
      <c r="K8269">
        <v>0</v>
      </c>
      <c r="L8269">
        <v>38</v>
      </c>
      <c r="M8269">
        <v>168</v>
      </c>
      <c r="N8269">
        <v>0</v>
      </c>
      <c r="O8269">
        <v>38</v>
      </c>
    </row>
    <row r="8270" spans="1:15" x14ac:dyDescent="0.25">
      <c r="A8270" t="s">
        <v>951</v>
      </c>
      <c r="B8270" t="s">
        <v>2680</v>
      </c>
      <c r="C8270" t="s">
        <v>927</v>
      </c>
      <c r="D8270" t="s">
        <v>3052</v>
      </c>
      <c r="E8270" t="s">
        <v>3053</v>
      </c>
      <c r="F8270" t="s">
        <v>766</v>
      </c>
      <c r="G8270" t="s">
        <v>767</v>
      </c>
      <c r="H8270" t="s">
        <v>8572</v>
      </c>
      <c r="I8270">
        <v>113</v>
      </c>
      <c r="J8270">
        <v>108</v>
      </c>
      <c r="K8270">
        <v>0</v>
      </c>
      <c r="L8270">
        <v>0</v>
      </c>
      <c r="M8270">
        <v>0</v>
      </c>
      <c r="N8270">
        <v>0</v>
      </c>
      <c r="O8270">
        <v>5</v>
      </c>
    </row>
    <row r="8271" spans="1:15" x14ac:dyDescent="0.25">
      <c r="A8271" t="s">
        <v>1529</v>
      </c>
      <c r="B8271" t="s">
        <v>1954</v>
      </c>
      <c r="C8271" t="s">
        <v>927</v>
      </c>
      <c r="D8271" t="s">
        <v>3052</v>
      </c>
      <c r="E8271" t="s">
        <v>3053</v>
      </c>
      <c r="F8271" t="s">
        <v>766</v>
      </c>
      <c r="G8271" t="s">
        <v>767</v>
      </c>
      <c r="H8271" t="s">
        <v>8573</v>
      </c>
      <c r="I8271">
        <v>1018</v>
      </c>
      <c r="J8271">
        <v>826</v>
      </c>
      <c r="K8271">
        <v>0</v>
      </c>
      <c r="L8271">
        <v>112</v>
      </c>
      <c r="M8271">
        <v>80</v>
      </c>
      <c r="N8271">
        <v>0</v>
      </c>
      <c r="O8271">
        <v>0</v>
      </c>
    </row>
    <row r="8272" spans="1:15" x14ac:dyDescent="0.25">
      <c r="A8272" t="s">
        <v>955</v>
      </c>
      <c r="B8272" t="s">
        <v>2660</v>
      </c>
      <c r="C8272" t="s">
        <v>927</v>
      </c>
      <c r="D8272" t="s">
        <v>3052</v>
      </c>
      <c r="E8272" t="s">
        <v>3053</v>
      </c>
      <c r="F8272" t="s">
        <v>766</v>
      </c>
      <c r="G8272" t="s">
        <v>767</v>
      </c>
      <c r="H8272" t="s">
        <v>8574</v>
      </c>
      <c r="I8272">
        <v>60</v>
      </c>
      <c r="J8272">
        <v>60</v>
      </c>
      <c r="K8272">
        <v>0</v>
      </c>
      <c r="L8272">
        <v>0</v>
      </c>
      <c r="M8272">
        <v>0</v>
      </c>
      <c r="N8272">
        <v>0</v>
      </c>
      <c r="O8272">
        <v>0</v>
      </c>
    </row>
    <row r="8273" spans="1:15" x14ac:dyDescent="0.25">
      <c r="A8273" t="s">
        <v>1541</v>
      </c>
      <c r="B8273" t="s">
        <v>2890</v>
      </c>
      <c r="C8273" t="s">
        <v>927</v>
      </c>
      <c r="D8273" t="s">
        <v>3052</v>
      </c>
      <c r="E8273" t="s">
        <v>3053</v>
      </c>
      <c r="F8273" t="s">
        <v>766</v>
      </c>
      <c r="G8273" t="s">
        <v>767</v>
      </c>
      <c r="H8273" t="s">
        <v>8575</v>
      </c>
      <c r="I8273">
        <v>56</v>
      </c>
      <c r="J8273">
        <v>35</v>
      </c>
      <c r="K8273">
        <v>0</v>
      </c>
      <c r="L8273">
        <v>0</v>
      </c>
      <c r="M8273">
        <v>12</v>
      </c>
      <c r="N8273">
        <v>0</v>
      </c>
      <c r="O8273">
        <v>9</v>
      </c>
    </row>
    <row r="8274" spans="1:15" x14ac:dyDescent="0.25">
      <c r="A8274" t="s">
        <v>1069</v>
      </c>
      <c r="B8274" t="s">
        <v>2001</v>
      </c>
      <c r="C8274" t="s">
        <v>927</v>
      </c>
      <c r="D8274" t="s">
        <v>3052</v>
      </c>
      <c r="E8274" t="s">
        <v>3053</v>
      </c>
      <c r="F8274" t="s">
        <v>766</v>
      </c>
      <c r="G8274" t="s">
        <v>767</v>
      </c>
      <c r="H8274" t="s">
        <v>8576</v>
      </c>
      <c r="I8274">
        <v>297</v>
      </c>
      <c r="J8274">
        <v>194</v>
      </c>
      <c r="K8274">
        <v>0</v>
      </c>
      <c r="L8274">
        <v>37</v>
      </c>
      <c r="M8274">
        <v>59</v>
      </c>
      <c r="N8274">
        <v>0</v>
      </c>
      <c r="O8274">
        <v>7</v>
      </c>
    </row>
    <row r="8275" spans="1:15" x14ac:dyDescent="0.25">
      <c r="A8275" t="s">
        <v>1083</v>
      </c>
      <c r="B8275" t="s">
        <v>2757</v>
      </c>
      <c r="C8275" t="s">
        <v>927</v>
      </c>
      <c r="D8275" t="s">
        <v>3052</v>
      </c>
      <c r="E8275" t="s">
        <v>3053</v>
      </c>
      <c r="F8275" t="s">
        <v>766</v>
      </c>
      <c r="G8275" t="s">
        <v>767</v>
      </c>
      <c r="H8275" t="s">
        <v>8577</v>
      </c>
      <c r="I8275">
        <v>511</v>
      </c>
      <c r="J8275">
        <v>415</v>
      </c>
      <c r="K8275">
        <v>0</v>
      </c>
      <c r="L8275">
        <v>23</v>
      </c>
      <c r="M8275">
        <v>43</v>
      </c>
      <c r="N8275">
        <v>0</v>
      </c>
      <c r="O8275">
        <v>30</v>
      </c>
    </row>
    <row r="8276" spans="1:15" x14ac:dyDescent="0.25">
      <c r="A8276" t="s">
        <v>929</v>
      </c>
      <c r="B8276" t="s">
        <v>2999</v>
      </c>
      <c r="C8276" t="s">
        <v>927</v>
      </c>
      <c r="D8276" t="s">
        <v>3052</v>
      </c>
      <c r="E8276" t="s">
        <v>3053</v>
      </c>
      <c r="F8276" t="s">
        <v>768</v>
      </c>
      <c r="G8276" t="s">
        <v>769</v>
      </c>
      <c r="H8276" t="s">
        <v>8578</v>
      </c>
      <c r="I8276">
        <v>21</v>
      </c>
      <c r="J8276">
        <v>0</v>
      </c>
      <c r="K8276">
        <v>0</v>
      </c>
      <c r="L8276">
        <v>0</v>
      </c>
      <c r="M8276">
        <v>21</v>
      </c>
      <c r="N8276">
        <v>0</v>
      </c>
      <c r="O8276">
        <v>0</v>
      </c>
    </row>
    <row r="8277" spans="1:15" x14ac:dyDescent="0.25">
      <c r="A8277" t="s">
        <v>983</v>
      </c>
      <c r="B8277" t="s">
        <v>2069</v>
      </c>
      <c r="C8277" t="s">
        <v>927</v>
      </c>
      <c r="D8277" t="s">
        <v>3052</v>
      </c>
      <c r="E8277" t="s">
        <v>3053</v>
      </c>
      <c r="F8277" t="s">
        <v>768</v>
      </c>
      <c r="G8277" t="s">
        <v>769</v>
      </c>
      <c r="H8277" t="s">
        <v>8579</v>
      </c>
      <c r="I8277">
        <v>423</v>
      </c>
      <c r="J8277">
        <v>341</v>
      </c>
      <c r="K8277">
        <v>0</v>
      </c>
      <c r="L8277">
        <v>8</v>
      </c>
      <c r="M8277">
        <v>0</v>
      </c>
      <c r="N8277">
        <v>0</v>
      </c>
      <c r="O8277">
        <v>74</v>
      </c>
    </row>
    <row r="8278" spans="1:15" x14ac:dyDescent="0.25">
      <c r="A8278" t="s">
        <v>1715</v>
      </c>
      <c r="B8278" t="s">
        <v>2136</v>
      </c>
      <c r="C8278" t="s">
        <v>927</v>
      </c>
      <c r="D8278" t="s">
        <v>3052</v>
      </c>
      <c r="E8278" t="s">
        <v>3053</v>
      </c>
      <c r="F8278" t="s">
        <v>768</v>
      </c>
      <c r="G8278" t="s">
        <v>769</v>
      </c>
      <c r="H8278" t="s">
        <v>8580</v>
      </c>
      <c r="I8278">
        <v>4</v>
      </c>
      <c r="J8278">
        <v>4</v>
      </c>
      <c r="K8278">
        <v>0</v>
      </c>
      <c r="L8278">
        <v>0</v>
      </c>
      <c r="M8278">
        <v>0</v>
      </c>
      <c r="N8278">
        <v>0</v>
      </c>
      <c r="O8278">
        <v>0</v>
      </c>
    </row>
    <row r="8279" spans="1:15" x14ac:dyDescent="0.25">
      <c r="A8279" t="s">
        <v>933</v>
      </c>
      <c r="B8279" t="s">
        <v>2106</v>
      </c>
      <c r="C8279" t="s">
        <v>927</v>
      </c>
      <c r="D8279" t="s">
        <v>3052</v>
      </c>
      <c r="E8279" t="s">
        <v>3053</v>
      </c>
      <c r="F8279" t="s">
        <v>768</v>
      </c>
      <c r="G8279" t="s">
        <v>769</v>
      </c>
      <c r="H8279" t="s">
        <v>8581</v>
      </c>
      <c r="I8279">
        <v>340</v>
      </c>
      <c r="J8279">
        <v>316</v>
      </c>
      <c r="K8279">
        <v>0</v>
      </c>
      <c r="L8279">
        <v>0</v>
      </c>
      <c r="M8279">
        <v>24</v>
      </c>
      <c r="N8279">
        <v>0</v>
      </c>
      <c r="O8279">
        <v>0</v>
      </c>
    </row>
    <row r="8280" spans="1:15" x14ac:dyDescent="0.25">
      <c r="A8280" t="s">
        <v>997</v>
      </c>
      <c r="B8280" t="s">
        <v>2033</v>
      </c>
      <c r="C8280" t="s">
        <v>927</v>
      </c>
      <c r="D8280" t="s">
        <v>3052</v>
      </c>
      <c r="E8280" t="s">
        <v>3053</v>
      </c>
      <c r="F8280" t="s">
        <v>768</v>
      </c>
      <c r="G8280" t="s">
        <v>769</v>
      </c>
      <c r="H8280" t="s">
        <v>8582</v>
      </c>
      <c r="I8280">
        <v>1</v>
      </c>
      <c r="J8280">
        <v>0</v>
      </c>
      <c r="K8280">
        <v>0</v>
      </c>
      <c r="L8280">
        <v>0</v>
      </c>
      <c r="M8280">
        <v>0</v>
      </c>
      <c r="N8280">
        <v>0</v>
      </c>
      <c r="O8280">
        <v>1</v>
      </c>
    </row>
    <row r="8281" spans="1:15" x14ac:dyDescent="0.25">
      <c r="A8281" t="s">
        <v>935</v>
      </c>
      <c r="B8281" t="s">
        <v>1960</v>
      </c>
      <c r="C8281" t="s">
        <v>923</v>
      </c>
      <c r="D8281" t="s">
        <v>3063</v>
      </c>
      <c r="E8281" t="s">
        <v>3053</v>
      </c>
      <c r="F8281" t="s">
        <v>768</v>
      </c>
      <c r="G8281" t="s">
        <v>769</v>
      </c>
      <c r="H8281" t="s">
        <v>8583</v>
      </c>
      <c r="I8281">
        <v>1</v>
      </c>
      <c r="J8281">
        <v>0</v>
      </c>
      <c r="K8281">
        <v>0</v>
      </c>
      <c r="L8281">
        <v>1</v>
      </c>
      <c r="M8281">
        <v>0</v>
      </c>
      <c r="N8281">
        <v>0</v>
      </c>
      <c r="O8281">
        <v>0</v>
      </c>
    </row>
    <row r="8282" spans="1:15" x14ac:dyDescent="0.25">
      <c r="A8282" t="s">
        <v>10638</v>
      </c>
      <c r="B8282" t="s">
        <v>2057</v>
      </c>
      <c r="C8282" t="s">
        <v>927</v>
      </c>
      <c r="D8282" t="s">
        <v>3052</v>
      </c>
      <c r="E8282" t="s">
        <v>3053</v>
      </c>
      <c r="F8282" t="s">
        <v>768</v>
      </c>
      <c r="G8282" t="s">
        <v>769</v>
      </c>
      <c r="H8282" t="s">
        <v>11378</v>
      </c>
      <c r="I8282">
        <v>3</v>
      </c>
      <c r="J8282">
        <v>0</v>
      </c>
      <c r="K8282">
        <v>0</v>
      </c>
      <c r="L8282">
        <v>3</v>
      </c>
      <c r="M8282">
        <v>0</v>
      </c>
      <c r="N8282">
        <v>0</v>
      </c>
      <c r="O8282">
        <v>0</v>
      </c>
    </row>
    <row r="8283" spans="1:15" x14ac:dyDescent="0.25">
      <c r="A8283" t="s">
        <v>1006</v>
      </c>
      <c r="B8283" t="s">
        <v>2724</v>
      </c>
      <c r="C8283" t="s">
        <v>927</v>
      </c>
      <c r="D8283" t="s">
        <v>3052</v>
      </c>
      <c r="E8283" t="s">
        <v>3053</v>
      </c>
      <c r="F8283" t="s">
        <v>768</v>
      </c>
      <c r="G8283" t="s">
        <v>769</v>
      </c>
      <c r="H8283" t="s">
        <v>10083</v>
      </c>
      <c r="I8283">
        <v>1</v>
      </c>
      <c r="J8283">
        <v>0</v>
      </c>
      <c r="K8283">
        <v>0</v>
      </c>
      <c r="L8283">
        <v>0</v>
      </c>
      <c r="M8283">
        <v>0</v>
      </c>
      <c r="N8283">
        <v>0</v>
      </c>
      <c r="O8283">
        <v>1</v>
      </c>
    </row>
    <row r="8284" spans="1:15" x14ac:dyDescent="0.25">
      <c r="A8284" t="s">
        <v>1013</v>
      </c>
      <c r="B8284" t="s">
        <v>1959</v>
      </c>
      <c r="C8284" t="s">
        <v>927</v>
      </c>
      <c r="D8284" t="s">
        <v>3052</v>
      </c>
      <c r="E8284" t="s">
        <v>3053</v>
      </c>
      <c r="F8284" t="s">
        <v>768</v>
      </c>
      <c r="G8284" t="s">
        <v>769</v>
      </c>
      <c r="H8284" t="s">
        <v>15313</v>
      </c>
      <c r="I8284">
        <v>3</v>
      </c>
      <c r="J8284">
        <v>0</v>
      </c>
      <c r="K8284">
        <v>0</v>
      </c>
      <c r="L8284">
        <v>3</v>
      </c>
      <c r="M8284">
        <v>0</v>
      </c>
      <c r="N8284">
        <v>0</v>
      </c>
      <c r="O8284">
        <v>0</v>
      </c>
    </row>
    <row r="8285" spans="1:15" x14ac:dyDescent="0.25">
      <c r="A8285" t="s">
        <v>1126</v>
      </c>
      <c r="B8285" t="s">
        <v>2130</v>
      </c>
      <c r="C8285" t="s">
        <v>927</v>
      </c>
      <c r="D8285" t="s">
        <v>3052</v>
      </c>
      <c r="E8285" t="s">
        <v>3053</v>
      </c>
      <c r="F8285" t="s">
        <v>768</v>
      </c>
      <c r="G8285" t="s">
        <v>769</v>
      </c>
      <c r="H8285" t="s">
        <v>12412</v>
      </c>
      <c r="I8285">
        <v>102</v>
      </c>
      <c r="J8285">
        <v>78</v>
      </c>
      <c r="K8285">
        <v>0</v>
      </c>
      <c r="L8285">
        <v>0</v>
      </c>
      <c r="M8285">
        <v>0</v>
      </c>
      <c r="N8285">
        <v>0</v>
      </c>
      <c r="O8285">
        <v>24</v>
      </c>
    </row>
    <row r="8286" spans="1:15" x14ac:dyDescent="0.25">
      <c r="A8286" t="s">
        <v>10681</v>
      </c>
      <c r="B8286" t="s">
        <v>10680</v>
      </c>
      <c r="C8286" t="s">
        <v>927</v>
      </c>
      <c r="D8286" t="s">
        <v>3052</v>
      </c>
      <c r="E8286" t="s">
        <v>3053</v>
      </c>
      <c r="F8286" t="s">
        <v>768</v>
      </c>
      <c r="G8286" t="s">
        <v>769</v>
      </c>
      <c r="H8286" t="s">
        <v>15314</v>
      </c>
      <c r="I8286">
        <v>5</v>
      </c>
      <c r="J8286">
        <v>0</v>
      </c>
      <c r="K8286">
        <v>0</v>
      </c>
      <c r="L8286">
        <v>0</v>
      </c>
      <c r="M8286">
        <v>0</v>
      </c>
      <c r="N8286">
        <v>0</v>
      </c>
      <c r="O8286">
        <v>5</v>
      </c>
    </row>
    <row r="8287" spans="1:15" x14ac:dyDescent="0.25">
      <c r="A8287" t="s">
        <v>943</v>
      </c>
      <c r="B8287" t="s">
        <v>2694</v>
      </c>
      <c r="C8287" t="s">
        <v>927</v>
      </c>
      <c r="D8287" t="s">
        <v>3052</v>
      </c>
      <c r="E8287" t="s">
        <v>3053</v>
      </c>
      <c r="F8287" t="s">
        <v>768</v>
      </c>
      <c r="G8287" t="s">
        <v>769</v>
      </c>
      <c r="H8287" t="s">
        <v>8584</v>
      </c>
      <c r="I8287">
        <v>8</v>
      </c>
      <c r="J8287">
        <v>8</v>
      </c>
      <c r="K8287">
        <v>0</v>
      </c>
      <c r="L8287">
        <v>0</v>
      </c>
      <c r="M8287">
        <v>0</v>
      </c>
      <c r="N8287">
        <v>0</v>
      </c>
      <c r="O8287">
        <v>0</v>
      </c>
    </row>
    <row r="8288" spans="1:15" x14ac:dyDescent="0.25">
      <c r="A8288" t="s">
        <v>1030</v>
      </c>
      <c r="B8288" t="s">
        <v>2880</v>
      </c>
      <c r="C8288" t="s">
        <v>927</v>
      </c>
      <c r="D8288" t="s">
        <v>3052</v>
      </c>
      <c r="E8288" t="s">
        <v>3053</v>
      </c>
      <c r="F8288" t="s">
        <v>768</v>
      </c>
      <c r="G8288" t="s">
        <v>769</v>
      </c>
      <c r="H8288" t="s">
        <v>8585</v>
      </c>
      <c r="I8288">
        <v>633</v>
      </c>
      <c r="J8288">
        <v>541</v>
      </c>
      <c r="K8288">
        <v>0</v>
      </c>
      <c r="L8288">
        <v>0</v>
      </c>
      <c r="M8288">
        <v>65</v>
      </c>
      <c r="N8288">
        <v>0</v>
      </c>
      <c r="O8288">
        <v>27</v>
      </c>
    </row>
    <row r="8289" spans="1:15" x14ac:dyDescent="0.25">
      <c r="A8289" t="s">
        <v>1041</v>
      </c>
      <c r="B8289" t="s">
        <v>2826</v>
      </c>
      <c r="C8289" t="s">
        <v>927</v>
      </c>
      <c r="D8289" t="s">
        <v>3052</v>
      </c>
      <c r="E8289" t="s">
        <v>3053</v>
      </c>
      <c r="F8289" t="s">
        <v>768</v>
      </c>
      <c r="G8289" t="s">
        <v>769</v>
      </c>
      <c r="H8289" t="s">
        <v>8586</v>
      </c>
      <c r="I8289">
        <v>32</v>
      </c>
      <c r="J8289">
        <v>0</v>
      </c>
      <c r="K8289">
        <v>0</v>
      </c>
      <c r="L8289">
        <v>0</v>
      </c>
      <c r="M8289">
        <v>0</v>
      </c>
      <c r="N8289">
        <v>0</v>
      </c>
      <c r="O8289">
        <v>32</v>
      </c>
    </row>
    <row r="8290" spans="1:15" x14ac:dyDescent="0.25">
      <c r="A8290" t="s">
        <v>9787</v>
      </c>
      <c r="B8290" t="s">
        <v>2822</v>
      </c>
      <c r="C8290" t="s">
        <v>927</v>
      </c>
      <c r="D8290" t="s">
        <v>3052</v>
      </c>
      <c r="E8290" t="s">
        <v>3053</v>
      </c>
      <c r="F8290" t="s">
        <v>768</v>
      </c>
      <c r="G8290" t="s">
        <v>769</v>
      </c>
      <c r="H8290" t="s">
        <v>10284</v>
      </c>
      <c r="I8290">
        <v>55</v>
      </c>
      <c r="J8290">
        <v>55</v>
      </c>
      <c r="K8290">
        <v>0</v>
      </c>
      <c r="L8290">
        <v>0</v>
      </c>
      <c r="M8290">
        <v>0</v>
      </c>
      <c r="N8290">
        <v>0</v>
      </c>
      <c r="O8290">
        <v>0</v>
      </c>
    </row>
    <row r="8291" spans="1:15" x14ac:dyDescent="0.25">
      <c r="A8291" t="s">
        <v>1048</v>
      </c>
      <c r="B8291" t="s">
        <v>2989</v>
      </c>
      <c r="C8291" t="s">
        <v>927</v>
      </c>
      <c r="D8291" t="s">
        <v>3052</v>
      </c>
      <c r="E8291" t="s">
        <v>3053</v>
      </c>
      <c r="F8291" t="s">
        <v>768</v>
      </c>
      <c r="G8291" t="s">
        <v>769</v>
      </c>
      <c r="H8291" t="s">
        <v>12413</v>
      </c>
      <c r="I8291">
        <v>81</v>
      </c>
      <c r="J8291">
        <v>77</v>
      </c>
      <c r="K8291">
        <v>0</v>
      </c>
      <c r="L8291">
        <v>0</v>
      </c>
      <c r="M8291">
        <v>0</v>
      </c>
      <c r="N8291">
        <v>0</v>
      </c>
      <c r="O8291">
        <v>4</v>
      </c>
    </row>
    <row r="8292" spans="1:15" x14ac:dyDescent="0.25">
      <c r="A8292" t="s">
        <v>1049</v>
      </c>
      <c r="B8292" t="s">
        <v>2138</v>
      </c>
      <c r="C8292" t="s">
        <v>927</v>
      </c>
      <c r="D8292" t="s">
        <v>3052</v>
      </c>
      <c r="E8292" t="s">
        <v>3053</v>
      </c>
      <c r="F8292" t="s">
        <v>768</v>
      </c>
      <c r="G8292" t="s">
        <v>769</v>
      </c>
      <c r="H8292" t="s">
        <v>8587</v>
      </c>
      <c r="I8292">
        <v>283</v>
      </c>
      <c r="J8292">
        <v>185</v>
      </c>
      <c r="K8292">
        <v>0</v>
      </c>
      <c r="L8292">
        <v>69</v>
      </c>
      <c r="M8292">
        <v>0</v>
      </c>
      <c r="N8292">
        <v>0</v>
      </c>
      <c r="O8292">
        <v>29</v>
      </c>
    </row>
    <row r="8293" spans="1:15" x14ac:dyDescent="0.25">
      <c r="A8293" t="s">
        <v>9788</v>
      </c>
      <c r="B8293" t="s">
        <v>9871</v>
      </c>
      <c r="C8293" t="s">
        <v>927</v>
      </c>
      <c r="D8293" t="s">
        <v>3052</v>
      </c>
      <c r="E8293" t="s">
        <v>3053</v>
      </c>
      <c r="F8293" t="s">
        <v>768</v>
      </c>
      <c r="G8293" t="s">
        <v>769</v>
      </c>
      <c r="H8293" t="s">
        <v>10382</v>
      </c>
      <c r="I8293">
        <v>48</v>
      </c>
      <c r="J8293">
        <v>48</v>
      </c>
      <c r="K8293">
        <v>0</v>
      </c>
      <c r="L8293">
        <v>0</v>
      </c>
      <c r="M8293">
        <v>0</v>
      </c>
      <c r="N8293">
        <v>0</v>
      </c>
      <c r="O8293">
        <v>0</v>
      </c>
    </row>
    <row r="8294" spans="1:15" x14ac:dyDescent="0.25">
      <c r="A8294" t="s">
        <v>14374</v>
      </c>
      <c r="B8294" t="s">
        <v>1943</v>
      </c>
      <c r="C8294" t="s">
        <v>927</v>
      </c>
      <c r="D8294" t="s">
        <v>3052</v>
      </c>
      <c r="E8294" t="s">
        <v>3053</v>
      </c>
      <c r="F8294" t="s">
        <v>768</v>
      </c>
      <c r="G8294" t="s">
        <v>769</v>
      </c>
      <c r="H8294" t="s">
        <v>15315</v>
      </c>
      <c r="I8294">
        <v>12</v>
      </c>
      <c r="J8294">
        <v>0</v>
      </c>
      <c r="K8294">
        <v>0</v>
      </c>
      <c r="L8294">
        <v>0</v>
      </c>
      <c r="M8294">
        <v>0</v>
      </c>
      <c r="N8294">
        <v>0</v>
      </c>
      <c r="O8294">
        <v>12</v>
      </c>
    </row>
    <row r="8295" spans="1:15" x14ac:dyDescent="0.25">
      <c r="A8295" t="s">
        <v>1852</v>
      </c>
      <c r="B8295" t="s">
        <v>1956</v>
      </c>
      <c r="C8295" t="s">
        <v>923</v>
      </c>
      <c r="D8295" t="s">
        <v>3063</v>
      </c>
      <c r="E8295" t="s">
        <v>3053</v>
      </c>
      <c r="F8295" t="s">
        <v>768</v>
      </c>
      <c r="G8295" t="s">
        <v>769</v>
      </c>
      <c r="H8295" t="s">
        <v>8588</v>
      </c>
      <c r="I8295">
        <v>49</v>
      </c>
      <c r="J8295">
        <v>0</v>
      </c>
      <c r="K8295">
        <v>0</v>
      </c>
      <c r="L8295">
        <v>49</v>
      </c>
      <c r="M8295">
        <v>0</v>
      </c>
      <c r="N8295">
        <v>0</v>
      </c>
      <c r="O8295">
        <v>0</v>
      </c>
    </row>
    <row r="8296" spans="1:15" x14ac:dyDescent="0.25">
      <c r="A8296" t="s">
        <v>1072</v>
      </c>
      <c r="B8296" t="s">
        <v>2907</v>
      </c>
      <c r="C8296" t="s">
        <v>927</v>
      </c>
      <c r="D8296" t="s">
        <v>3052</v>
      </c>
      <c r="E8296" t="s">
        <v>3053</v>
      </c>
      <c r="F8296" t="s">
        <v>768</v>
      </c>
      <c r="G8296" t="s">
        <v>769</v>
      </c>
      <c r="H8296" t="s">
        <v>8589</v>
      </c>
      <c r="I8296">
        <v>1</v>
      </c>
      <c r="J8296">
        <v>1</v>
      </c>
      <c r="K8296">
        <v>0</v>
      </c>
      <c r="L8296">
        <v>0</v>
      </c>
      <c r="M8296">
        <v>0</v>
      </c>
      <c r="N8296">
        <v>0</v>
      </c>
      <c r="O8296">
        <v>0</v>
      </c>
    </row>
    <row r="8297" spans="1:15" x14ac:dyDescent="0.25">
      <c r="A8297" t="s">
        <v>1077</v>
      </c>
      <c r="B8297" t="s">
        <v>2711</v>
      </c>
      <c r="C8297" t="s">
        <v>927</v>
      </c>
      <c r="D8297" t="s">
        <v>3052</v>
      </c>
      <c r="E8297" t="s">
        <v>3053</v>
      </c>
      <c r="F8297" t="s">
        <v>768</v>
      </c>
      <c r="G8297" t="s">
        <v>769</v>
      </c>
      <c r="H8297" t="s">
        <v>8590</v>
      </c>
      <c r="I8297">
        <v>3</v>
      </c>
      <c r="J8297">
        <v>3</v>
      </c>
      <c r="K8297">
        <v>0</v>
      </c>
      <c r="L8297">
        <v>0</v>
      </c>
      <c r="M8297">
        <v>0</v>
      </c>
      <c r="N8297">
        <v>0</v>
      </c>
      <c r="O8297">
        <v>0</v>
      </c>
    </row>
    <row r="8298" spans="1:15" x14ac:dyDescent="0.25">
      <c r="A8298" t="s">
        <v>1865</v>
      </c>
      <c r="B8298" t="s">
        <v>2866</v>
      </c>
      <c r="C8298" t="s">
        <v>927</v>
      </c>
      <c r="D8298" t="s">
        <v>3052</v>
      </c>
      <c r="E8298" t="s">
        <v>3053</v>
      </c>
      <c r="F8298" t="s">
        <v>768</v>
      </c>
      <c r="G8298" t="s">
        <v>769</v>
      </c>
      <c r="H8298" t="s">
        <v>8591</v>
      </c>
      <c r="I8298">
        <v>159</v>
      </c>
      <c r="J8298">
        <v>107</v>
      </c>
      <c r="K8298">
        <v>0</v>
      </c>
      <c r="L8298">
        <v>0</v>
      </c>
      <c r="M8298">
        <v>0</v>
      </c>
      <c r="N8298">
        <v>0</v>
      </c>
      <c r="O8298">
        <v>52</v>
      </c>
    </row>
    <row r="8299" spans="1:15" x14ac:dyDescent="0.25">
      <c r="A8299" t="s">
        <v>1195</v>
      </c>
      <c r="B8299" t="s">
        <v>2924</v>
      </c>
      <c r="C8299" t="s">
        <v>927</v>
      </c>
      <c r="D8299" t="s">
        <v>3052</v>
      </c>
      <c r="E8299" t="s">
        <v>3053</v>
      </c>
      <c r="F8299" t="s">
        <v>770</v>
      </c>
      <c r="G8299" t="s">
        <v>771</v>
      </c>
      <c r="H8299" t="s">
        <v>8592</v>
      </c>
      <c r="I8299">
        <v>109</v>
      </c>
      <c r="J8299">
        <v>26</v>
      </c>
      <c r="K8299">
        <v>0</v>
      </c>
      <c r="L8299">
        <v>0</v>
      </c>
      <c r="M8299">
        <v>0</v>
      </c>
      <c r="N8299">
        <v>0</v>
      </c>
      <c r="O8299">
        <v>83</v>
      </c>
    </row>
    <row r="8300" spans="1:15" x14ac:dyDescent="0.25">
      <c r="A8300" t="s">
        <v>1196</v>
      </c>
      <c r="B8300" t="s">
        <v>3004</v>
      </c>
      <c r="C8300" t="s">
        <v>927</v>
      </c>
      <c r="D8300" t="s">
        <v>3052</v>
      </c>
      <c r="E8300" t="s">
        <v>3053</v>
      </c>
      <c r="F8300" t="s">
        <v>770</v>
      </c>
      <c r="G8300" t="s">
        <v>771</v>
      </c>
      <c r="H8300" t="s">
        <v>8593</v>
      </c>
      <c r="I8300">
        <v>14</v>
      </c>
      <c r="J8300">
        <v>13</v>
      </c>
      <c r="K8300">
        <v>0</v>
      </c>
      <c r="L8300">
        <v>0</v>
      </c>
      <c r="M8300">
        <v>0</v>
      </c>
      <c r="N8300">
        <v>0</v>
      </c>
      <c r="O8300">
        <v>1</v>
      </c>
    </row>
    <row r="8301" spans="1:15" x14ac:dyDescent="0.25">
      <c r="A8301" t="s">
        <v>1566</v>
      </c>
      <c r="B8301" t="s">
        <v>2600</v>
      </c>
      <c r="C8301" t="s">
        <v>923</v>
      </c>
      <c r="D8301" t="s">
        <v>3063</v>
      </c>
      <c r="E8301" t="s">
        <v>3053</v>
      </c>
      <c r="F8301" t="s">
        <v>770</v>
      </c>
      <c r="G8301" t="s">
        <v>771</v>
      </c>
      <c r="H8301" t="s">
        <v>15316</v>
      </c>
      <c r="I8301">
        <v>5</v>
      </c>
      <c r="J8301">
        <v>0</v>
      </c>
      <c r="K8301">
        <v>0</v>
      </c>
      <c r="L8301">
        <v>0</v>
      </c>
      <c r="M8301">
        <v>5</v>
      </c>
      <c r="N8301">
        <v>0</v>
      </c>
      <c r="O8301">
        <v>0</v>
      </c>
    </row>
    <row r="8302" spans="1:15" x14ac:dyDescent="0.25">
      <c r="A8302" t="s">
        <v>926</v>
      </c>
      <c r="B8302" t="s">
        <v>2923</v>
      </c>
      <c r="C8302" t="s">
        <v>927</v>
      </c>
      <c r="D8302" t="s">
        <v>3052</v>
      </c>
      <c r="E8302" t="s">
        <v>3053</v>
      </c>
      <c r="F8302" t="s">
        <v>770</v>
      </c>
      <c r="G8302" t="s">
        <v>771</v>
      </c>
      <c r="H8302" t="s">
        <v>9894</v>
      </c>
      <c r="I8302">
        <v>1</v>
      </c>
      <c r="J8302">
        <v>0</v>
      </c>
      <c r="K8302">
        <v>0</v>
      </c>
      <c r="L8302">
        <v>0</v>
      </c>
      <c r="M8302">
        <v>0</v>
      </c>
      <c r="N8302">
        <v>0</v>
      </c>
      <c r="O8302">
        <v>1</v>
      </c>
    </row>
    <row r="8303" spans="1:15" x14ac:dyDescent="0.25">
      <c r="A8303" t="s">
        <v>933</v>
      </c>
      <c r="B8303" t="s">
        <v>2106</v>
      </c>
      <c r="C8303" t="s">
        <v>927</v>
      </c>
      <c r="D8303" t="s">
        <v>3052</v>
      </c>
      <c r="E8303" t="s">
        <v>3053</v>
      </c>
      <c r="F8303" t="s">
        <v>770</v>
      </c>
      <c r="G8303" t="s">
        <v>771</v>
      </c>
      <c r="H8303" t="s">
        <v>8594</v>
      </c>
      <c r="I8303">
        <v>420</v>
      </c>
      <c r="J8303">
        <v>272</v>
      </c>
      <c r="K8303">
        <v>0</v>
      </c>
      <c r="L8303">
        <v>0</v>
      </c>
      <c r="M8303">
        <v>0</v>
      </c>
      <c r="N8303">
        <v>0</v>
      </c>
      <c r="O8303">
        <v>148</v>
      </c>
    </row>
    <row r="8304" spans="1:15" x14ac:dyDescent="0.25">
      <c r="A8304" t="s">
        <v>998</v>
      </c>
      <c r="B8304" t="s">
        <v>2820</v>
      </c>
      <c r="C8304" t="s">
        <v>927</v>
      </c>
      <c r="D8304" t="s">
        <v>3052</v>
      </c>
      <c r="E8304" t="s">
        <v>3053</v>
      </c>
      <c r="F8304" t="s">
        <v>770</v>
      </c>
      <c r="G8304" t="s">
        <v>771</v>
      </c>
      <c r="H8304" t="s">
        <v>8595</v>
      </c>
      <c r="I8304">
        <v>41</v>
      </c>
      <c r="J8304">
        <v>32</v>
      </c>
      <c r="K8304">
        <v>0</v>
      </c>
      <c r="L8304">
        <v>0</v>
      </c>
      <c r="M8304">
        <v>0</v>
      </c>
      <c r="N8304">
        <v>0</v>
      </c>
      <c r="O8304">
        <v>9</v>
      </c>
    </row>
    <row r="8305" spans="1:15" x14ac:dyDescent="0.25">
      <c r="A8305" t="s">
        <v>10638</v>
      </c>
      <c r="B8305" t="s">
        <v>2057</v>
      </c>
      <c r="C8305" t="s">
        <v>927</v>
      </c>
      <c r="D8305" t="s">
        <v>3052</v>
      </c>
      <c r="E8305" t="s">
        <v>3053</v>
      </c>
      <c r="F8305" t="s">
        <v>770</v>
      </c>
      <c r="G8305" t="s">
        <v>771</v>
      </c>
      <c r="H8305" t="s">
        <v>11379</v>
      </c>
      <c r="I8305">
        <v>12</v>
      </c>
      <c r="J8305">
        <v>0</v>
      </c>
      <c r="K8305">
        <v>0</v>
      </c>
      <c r="L8305">
        <v>12</v>
      </c>
      <c r="M8305">
        <v>0</v>
      </c>
      <c r="N8305">
        <v>0</v>
      </c>
      <c r="O8305">
        <v>0</v>
      </c>
    </row>
    <row r="8306" spans="1:15" x14ac:dyDescent="0.25">
      <c r="A8306" t="s">
        <v>1610</v>
      </c>
      <c r="B8306" t="s">
        <v>2736</v>
      </c>
      <c r="C8306" t="s">
        <v>923</v>
      </c>
      <c r="D8306" t="s">
        <v>3063</v>
      </c>
      <c r="E8306" t="s">
        <v>3053</v>
      </c>
      <c r="F8306" t="s">
        <v>770</v>
      </c>
      <c r="G8306" t="s">
        <v>771</v>
      </c>
      <c r="H8306" t="s">
        <v>8596</v>
      </c>
      <c r="I8306">
        <v>24</v>
      </c>
      <c r="J8306">
        <v>0</v>
      </c>
      <c r="K8306">
        <v>0</v>
      </c>
      <c r="L8306">
        <v>0</v>
      </c>
      <c r="M8306">
        <v>24</v>
      </c>
      <c r="N8306">
        <v>0</v>
      </c>
      <c r="O8306">
        <v>0</v>
      </c>
    </row>
    <row r="8307" spans="1:15" x14ac:dyDescent="0.25">
      <c r="A8307" t="s">
        <v>1008</v>
      </c>
      <c r="B8307" t="s">
        <v>2928</v>
      </c>
      <c r="C8307" t="s">
        <v>927</v>
      </c>
      <c r="D8307" t="s">
        <v>3052</v>
      </c>
      <c r="E8307" t="s">
        <v>3053</v>
      </c>
      <c r="F8307" t="s">
        <v>770</v>
      </c>
      <c r="G8307" t="s">
        <v>771</v>
      </c>
      <c r="H8307" t="s">
        <v>8597</v>
      </c>
      <c r="I8307">
        <v>28</v>
      </c>
      <c r="J8307">
        <v>9</v>
      </c>
      <c r="K8307">
        <v>0</v>
      </c>
      <c r="L8307">
        <v>0</v>
      </c>
      <c r="M8307">
        <v>19</v>
      </c>
      <c r="N8307">
        <v>2</v>
      </c>
      <c r="O8307">
        <v>0</v>
      </c>
    </row>
    <row r="8308" spans="1:15" x14ac:dyDescent="0.25">
      <c r="A8308" t="s">
        <v>1009</v>
      </c>
      <c r="B8308" t="s">
        <v>1958</v>
      </c>
      <c r="C8308" t="s">
        <v>923</v>
      </c>
      <c r="D8308" t="s">
        <v>3063</v>
      </c>
      <c r="E8308" t="s">
        <v>3053</v>
      </c>
      <c r="F8308" t="s">
        <v>770</v>
      </c>
      <c r="G8308" t="s">
        <v>771</v>
      </c>
      <c r="H8308" t="s">
        <v>8598</v>
      </c>
      <c r="I8308">
        <v>15</v>
      </c>
      <c r="J8308">
        <v>0</v>
      </c>
      <c r="K8308">
        <v>0</v>
      </c>
      <c r="L8308">
        <v>15</v>
      </c>
      <c r="M8308">
        <v>0</v>
      </c>
      <c r="N8308">
        <v>0</v>
      </c>
      <c r="O8308">
        <v>0</v>
      </c>
    </row>
    <row r="8309" spans="1:15" x14ac:dyDescent="0.25">
      <c r="A8309" t="s">
        <v>11703</v>
      </c>
      <c r="B8309" t="s">
        <v>11751</v>
      </c>
      <c r="C8309" t="s">
        <v>923</v>
      </c>
      <c r="D8309" t="s">
        <v>3063</v>
      </c>
      <c r="E8309" t="s">
        <v>3053</v>
      </c>
      <c r="F8309" t="s">
        <v>770</v>
      </c>
      <c r="G8309" t="s">
        <v>771</v>
      </c>
      <c r="H8309" t="s">
        <v>12414</v>
      </c>
      <c r="I8309">
        <v>4</v>
      </c>
      <c r="J8309">
        <v>0</v>
      </c>
      <c r="K8309">
        <v>0</v>
      </c>
      <c r="L8309">
        <v>0</v>
      </c>
      <c r="M8309">
        <v>4</v>
      </c>
      <c r="N8309">
        <v>0</v>
      </c>
      <c r="O8309">
        <v>0</v>
      </c>
    </row>
    <row r="8310" spans="1:15" x14ac:dyDescent="0.25">
      <c r="A8310" t="s">
        <v>1123</v>
      </c>
      <c r="B8310" t="s">
        <v>2691</v>
      </c>
      <c r="C8310" t="s">
        <v>927</v>
      </c>
      <c r="D8310" t="s">
        <v>3052</v>
      </c>
      <c r="E8310" t="s">
        <v>3053</v>
      </c>
      <c r="F8310" t="s">
        <v>770</v>
      </c>
      <c r="G8310" t="s">
        <v>771</v>
      </c>
      <c r="H8310" t="s">
        <v>10121</v>
      </c>
      <c r="I8310">
        <v>12</v>
      </c>
      <c r="J8310">
        <v>12</v>
      </c>
      <c r="K8310">
        <v>0</v>
      </c>
      <c r="L8310">
        <v>0</v>
      </c>
      <c r="M8310">
        <v>0</v>
      </c>
      <c r="N8310">
        <v>0</v>
      </c>
      <c r="O8310">
        <v>0</v>
      </c>
    </row>
    <row r="8311" spans="1:15" x14ac:dyDescent="0.25">
      <c r="A8311" t="s">
        <v>1012</v>
      </c>
      <c r="B8311" t="s">
        <v>2911</v>
      </c>
      <c r="C8311" t="s">
        <v>927</v>
      </c>
      <c r="D8311" t="s">
        <v>3052</v>
      </c>
      <c r="E8311" t="s">
        <v>3053</v>
      </c>
      <c r="F8311" t="s">
        <v>770</v>
      </c>
      <c r="G8311" t="s">
        <v>771</v>
      </c>
      <c r="H8311" t="s">
        <v>8599</v>
      </c>
      <c r="I8311">
        <v>26</v>
      </c>
      <c r="J8311">
        <v>0</v>
      </c>
      <c r="K8311">
        <v>0</v>
      </c>
      <c r="L8311">
        <v>26</v>
      </c>
      <c r="M8311">
        <v>0</v>
      </c>
      <c r="N8311">
        <v>0</v>
      </c>
      <c r="O8311">
        <v>0</v>
      </c>
    </row>
    <row r="8312" spans="1:15" x14ac:dyDescent="0.25">
      <c r="A8312" t="s">
        <v>1025</v>
      </c>
      <c r="B8312" t="s">
        <v>2893</v>
      </c>
      <c r="C8312" t="s">
        <v>927</v>
      </c>
      <c r="D8312" t="s">
        <v>3052</v>
      </c>
      <c r="E8312" t="s">
        <v>3053</v>
      </c>
      <c r="F8312" t="s">
        <v>770</v>
      </c>
      <c r="G8312" t="s">
        <v>771</v>
      </c>
      <c r="H8312" t="s">
        <v>8600</v>
      </c>
      <c r="I8312">
        <v>242</v>
      </c>
      <c r="J8312">
        <v>208</v>
      </c>
      <c r="K8312">
        <v>0</v>
      </c>
      <c r="L8312">
        <v>0</v>
      </c>
      <c r="M8312">
        <v>0</v>
      </c>
      <c r="N8312">
        <v>4</v>
      </c>
      <c r="O8312">
        <v>34</v>
      </c>
    </row>
    <row r="8313" spans="1:15" x14ac:dyDescent="0.25">
      <c r="A8313" t="s">
        <v>943</v>
      </c>
      <c r="B8313" t="s">
        <v>2694</v>
      </c>
      <c r="C8313" t="s">
        <v>927</v>
      </c>
      <c r="D8313" t="s">
        <v>3052</v>
      </c>
      <c r="E8313" t="s">
        <v>3053</v>
      </c>
      <c r="F8313" t="s">
        <v>770</v>
      </c>
      <c r="G8313" t="s">
        <v>771</v>
      </c>
      <c r="H8313" t="s">
        <v>8601</v>
      </c>
      <c r="I8313">
        <v>6</v>
      </c>
      <c r="J8313">
        <v>1</v>
      </c>
      <c r="K8313">
        <v>0</v>
      </c>
      <c r="L8313">
        <v>0</v>
      </c>
      <c r="M8313">
        <v>0</v>
      </c>
      <c r="N8313">
        <v>0</v>
      </c>
      <c r="O8313">
        <v>5</v>
      </c>
    </row>
    <row r="8314" spans="1:15" x14ac:dyDescent="0.25">
      <c r="A8314" t="s">
        <v>1300</v>
      </c>
      <c r="B8314" t="s">
        <v>2644</v>
      </c>
      <c r="C8314" t="s">
        <v>927</v>
      </c>
      <c r="D8314" t="s">
        <v>3052</v>
      </c>
      <c r="E8314" t="s">
        <v>3053</v>
      </c>
      <c r="F8314" t="s">
        <v>770</v>
      </c>
      <c r="G8314" t="s">
        <v>771</v>
      </c>
      <c r="H8314" t="s">
        <v>8602</v>
      </c>
      <c r="I8314">
        <v>14</v>
      </c>
      <c r="J8314">
        <v>12</v>
      </c>
      <c r="K8314">
        <v>0</v>
      </c>
      <c r="L8314">
        <v>0</v>
      </c>
      <c r="M8314">
        <v>0</v>
      </c>
      <c r="N8314">
        <v>0</v>
      </c>
      <c r="O8314">
        <v>2</v>
      </c>
    </row>
    <row r="8315" spans="1:15" x14ac:dyDescent="0.25">
      <c r="A8315" t="s">
        <v>1330</v>
      </c>
      <c r="B8315" t="s">
        <v>2776</v>
      </c>
      <c r="C8315" t="s">
        <v>923</v>
      </c>
      <c r="D8315" t="s">
        <v>3063</v>
      </c>
      <c r="E8315" t="s">
        <v>3053</v>
      </c>
      <c r="F8315" t="s">
        <v>770</v>
      </c>
      <c r="G8315" t="s">
        <v>771</v>
      </c>
      <c r="H8315" t="s">
        <v>8603</v>
      </c>
      <c r="I8315">
        <v>11</v>
      </c>
      <c r="J8315">
        <v>11</v>
      </c>
      <c r="K8315">
        <v>0</v>
      </c>
      <c r="L8315">
        <v>0</v>
      </c>
      <c r="M8315">
        <v>0</v>
      </c>
      <c r="N8315">
        <v>0</v>
      </c>
      <c r="O8315">
        <v>0</v>
      </c>
    </row>
    <row r="8316" spans="1:15" x14ac:dyDescent="0.25">
      <c r="A8316" t="s">
        <v>1331</v>
      </c>
      <c r="B8316" t="s">
        <v>2856</v>
      </c>
      <c r="C8316" t="s">
        <v>927</v>
      </c>
      <c r="D8316" t="s">
        <v>3052</v>
      </c>
      <c r="E8316" t="s">
        <v>3053</v>
      </c>
      <c r="F8316" t="s">
        <v>770</v>
      </c>
      <c r="G8316" t="s">
        <v>771</v>
      </c>
      <c r="H8316" t="s">
        <v>8604</v>
      </c>
      <c r="I8316">
        <v>96</v>
      </c>
      <c r="J8316">
        <v>94</v>
      </c>
      <c r="K8316">
        <v>0</v>
      </c>
      <c r="L8316">
        <v>0</v>
      </c>
      <c r="M8316">
        <v>0</v>
      </c>
      <c r="N8316">
        <v>0</v>
      </c>
      <c r="O8316">
        <v>2</v>
      </c>
    </row>
    <row r="8317" spans="1:15" x14ac:dyDescent="0.25">
      <c r="A8317" t="s">
        <v>953</v>
      </c>
      <c r="B8317" t="s">
        <v>2014</v>
      </c>
      <c r="C8317" t="s">
        <v>927</v>
      </c>
      <c r="D8317" t="s">
        <v>3052</v>
      </c>
      <c r="E8317" t="s">
        <v>3053</v>
      </c>
      <c r="F8317" t="s">
        <v>770</v>
      </c>
      <c r="G8317" t="s">
        <v>771</v>
      </c>
      <c r="H8317" t="s">
        <v>8605</v>
      </c>
      <c r="I8317">
        <v>17</v>
      </c>
      <c r="J8317">
        <v>0</v>
      </c>
      <c r="K8317">
        <v>0</v>
      </c>
      <c r="L8317">
        <v>17</v>
      </c>
      <c r="M8317">
        <v>0</v>
      </c>
      <c r="N8317">
        <v>0</v>
      </c>
      <c r="O8317">
        <v>0</v>
      </c>
    </row>
    <row r="8318" spans="1:15" x14ac:dyDescent="0.25">
      <c r="A8318" t="s">
        <v>1155</v>
      </c>
      <c r="B8318" t="s">
        <v>2912</v>
      </c>
      <c r="C8318" t="s">
        <v>927</v>
      </c>
      <c r="D8318" t="s">
        <v>3052</v>
      </c>
      <c r="E8318" t="s">
        <v>3053</v>
      </c>
      <c r="F8318" t="s">
        <v>770</v>
      </c>
      <c r="G8318" t="s">
        <v>771</v>
      </c>
      <c r="H8318" t="s">
        <v>8606</v>
      </c>
      <c r="I8318">
        <v>1</v>
      </c>
      <c r="J8318">
        <v>0</v>
      </c>
      <c r="K8318">
        <v>0</v>
      </c>
      <c r="L8318">
        <v>0</v>
      </c>
      <c r="M8318">
        <v>0</v>
      </c>
      <c r="N8318">
        <v>0</v>
      </c>
      <c r="O8318">
        <v>1</v>
      </c>
    </row>
    <row r="8319" spans="1:15" x14ac:dyDescent="0.25">
      <c r="A8319" t="s">
        <v>11663</v>
      </c>
      <c r="B8319" t="s">
        <v>11768</v>
      </c>
      <c r="C8319" t="s">
        <v>927</v>
      </c>
      <c r="D8319" t="s">
        <v>3052</v>
      </c>
      <c r="E8319" t="s">
        <v>3053</v>
      </c>
      <c r="F8319" t="s">
        <v>770</v>
      </c>
      <c r="G8319" t="s">
        <v>771</v>
      </c>
      <c r="H8319" t="s">
        <v>12415</v>
      </c>
      <c r="I8319">
        <v>195</v>
      </c>
      <c r="J8319">
        <v>159</v>
      </c>
      <c r="K8319">
        <v>0</v>
      </c>
      <c r="L8319">
        <v>5</v>
      </c>
      <c r="M8319">
        <v>8</v>
      </c>
      <c r="N8319">
        <v>0</v>
      </c>
      <c r="O8319">
        <v>23</v>
      </c>
    </row>
    <row r="8320" spans="1:15" x14ac:dyDescent="0.25">
      <c r="A8320" t="s">
        <v>962</v>
      </c>
      <c r="B8320" t="s">
        <v>2752</v>
      </c>
      <c r="C8320" t="s">
        <v>927</v>
      </c>
      <c r="D8320" t="s">
        <v>3052</v>
      </c>
      <c r="E8320" t="s">
        <v>3053</v>
      </c>
      <c r="F8320" t="s">
        <v>770</v>
      </c>
      <c r="G8320" t="s">
        <v>771</v>
      </c>
      <c r="H8320" t="s">
        <v>11380</v>
      </c>
      <c r="I8320">
        <v>51</v>
      </c>
      <c r="J8320">
        <v>26</v>
      </c>
      <c r="K8320">
        <v>0</v>
      </c>
      <c r="L8320">
        <v>0</v>
      </c>
      <c r="M8320">
        <v>0</v>
      </c>
      <c r="N8320">
        <v>0</v>
      </c>
      <c r="O8320">
        <v>25</v>
      </c>
    </row>
    <row r="8321" spans="1:15" x14ac:dyDescent="0.25">
      <c r="A8321" t="s">
        <v>1170</v>
      </c>
      <c r="B8321" t="s">
        <v>2968</v>
      </c>
      <c r="C8321" t="s">
        <v>923</v>
      </c>
      <c r="D8321" t="s">
        <v>3063</v>
      </c>
      <c r="E8321" t="s">
        <v>3053</v>
      </c>
      <c r="F8321" t="s">
        <v>770</v>
      </c>
      <c r="G8321" t="s">
        <v>771</v>
      </c>
      <c r="H8321" t="s">
        <v>8607</v>
      </c>
      <c r="I8321">
        <v>4</v>
      </c>
      <c r="J8321">
        <v>0</v>
      </c>
      <c r="K8321">
        <v>0</v>
      </c>
      <c r="L8321">
        <v>4</v>
      </c>
      <c r="M8321">
        <v>0</v>
      </c>
      <c r="N8321">
        <v>0</v>
      </c>
      <c r="O8321">
        <v>0</v>
      </c>
    </row>
    <row r="8322" spans="1:15" x14ac:dyDescent="0.25">
      <c r="A8322" t="s">
        <v>1069</v>
      </c>
      <c r="B8322" t="s">
        <v>2001</v>
      </c>
      <c r="C8322" t="s">
        <v>927</v>
      </c>
      <c r="D8322" t="s">
        <v>3052</v>
      </c>
      <c r="E8322" t="s">
        <v>3053</v>
      </c>
      <c r="F8322" t="s">
        <v>770</v>
      </c>
      <c r="G8322" t="s">
        <v>771</v>
      </c>
      <c r="H8322" t="s">
        <v>8608</v>
      </c>
      <c r="I8322">
        <v>350</v>
      </c>
      <c r="J8322">
        <v>316</v>
      </c>
      <c r="K8322">
        <v>0</v>
      </c>
      <c r="L8322">
        <v>0</v>
      </c>
      <c r="M8322">
        <v>0</v>
      </c>
      <c r="N8322">
        <v>0</v>
      </c>
      <c r="O8322">
        <v>34</v>
      </c>
    </row>
    <row r="8323" spans="1:15" x14ac:dyDescent="0.25">
      <c r="A8323" t="s">
        <v>9880</v>
      </c>
      <c r="B8323" t="s">
        <v>2144</v>
      </c>
      <c r="C8323" t="s">
        <v>923</v>
      </c>
      <c r="D8323" t="s">
        <v>3063</v>
      </c>
      <c r="E8323" t="s">
        <v>3053</v>
      </c>
      <c r="F8323" t="s">
        <v>770</v>
      </c>
      <c r="G8323" t="s">
        <v>771</v>
      </c>
      <c r="H8323" t="s">
        <v>10488</v>
      </c>
      <c r="I8323">
        <v>43</v>
      </c>
      <c r="J8323">
        <v>0</v>
      </c>
      <c r="K8323">
        <v>0</v>
      </c>
      <c r="L8323">
        <v>0</v>
      </c>
      <c r="M8323">
        <v>43</v>
      </c>
      <c r="N8323">
        <v>0</v>
      </c>
      <c r="O8323">
        <v>0</v>
      </c>
    </row>
    <row r="8324" spans="1:15" x14ac:dyDescent="0.25">
      <c r="A8324" t="s">
        <v>1072</v>
      </c>
      <c r="B8324" t="s">
        <v>2907</v>
      </c>
      <c r="C8324" t="s">
        <v>927</v>
      </c>
      <c r="D8324" t="s">
        <v>3052</v>
      </c>
      <c r="E8324" t="s">
        <v>3053</v>
      </c>
      <c r="F8324" t="s">
        <v>770</v>
      </c>
      <c r="G8324" t="s">
        <v>771</v>
      </c>
      <c r="H8324" t="s">
        <v>15317</v>
      </c>
      <c r="I8324">
        <v>1</v>
      </c>
      <c r="J8324">
        <v>1</v>
      </c>
      <c r="K8324">
        <v>0</v>
      </c>
      <c r="L8324">
        <v>0</v>
      </c>
      <c r="M8324">
        <v>0</v>
      </c>
      <c r="N8324">
        <v>0</v>
      </c>
      <c r="O8324">
        <v>0</v>
      </c>
    </row>
    <row r="8325" spans="1:15" x14ac:dyDescent="0.25">
      <c r="A8325" t="s">
        <v>1684</v>
      </c>
      <c r="B8325" t="s">
        <v>2845</v>
      </c>
      <c r="C8325" t="s">
        <v>927</v>
      </c>
      <c r="D8325" t="s">
        <v>3052</v>
      </c>
      <c r="E8325" t="s">
        <v>3053</v>
      </c>
      <c r="F8325" t="s">
        <v>770</v>
      </c>
      <c r="G8325" t="s">
        <v>771</v>
      </c>
      <c r="H8325" t="s">
        <v>15318</v>
      </c>
      <c r="I8325">
        <v>67</v>
      </c>
      <c r="J8325">
        <v>41</v>
      </c>
      <c r="K8325">
        <v>0</v>
      </c>
      <c r="L8325">
        <v>0</v>
      </c>
      <c r="M8325">
        <v>0</v>
      </c>
      <c r="N8325">
        <v>0</v>
      </c>
      <c r="O8325">
        <v>26</v>
      </c>
    </row>
    <row r="8326" spans="1:15" x14ac:dyDescent="0.25">
      <c r="A8326" t="s">
        <v>1374</v>
      </c>
      <c r="B8326" t="s">
        <v>2580</v>
      </c>
      <c r="C8326" t="s">
        <v>923</v>
      </c>
      <c r="D8326" t="s">
        <v>3063</v>
      </c>
      <c r="E8326" t="s">
        <v>3053</v>
      </c>
      <c r="F8326" t="s">
        <v>770</v>
      </c>
      <c r="G8326" t="s">
        <v>771</v>
      </c>
      <c r="H8326" t="s">
        <v>8609</v>
      </c>
      <c r="I8326">
        <v>46</v>
      </c>
      <c r="J8326">
        <v>0</v>
      </c>
      <c r="K8326">
        <v>0</v>
      </c>
      <c r="L8326">
        <v>46</v>
      </c>
      <c r="M8326">
        <v>0</v>
      </c>
      <c r="N8326">
        <v>0</v>
      </c>
      <c r="O8326">
        <v>0</v>
      </c>
    </row>
    <row r="8327" spans="1:15" x14ac:dyDescent="0.25">
      <c r="A8327" t="s">
        <v>926</v>
      </c>
      <c r="B8327" t="s">
        <v>2923</v>
      </c>
      <c r="C8327" t="s">
        <v>927</v>
      </c>
      <c r="D8327" t="s">
        <v>3052</v>
      </c>
      <c r="E8327" t="s">
        <v>3053</v>
      </c>
      <c r="F8327" t="s">
        <v>772</v>
      </c>
      <c r="G8327" t="s">
        <v>773</v>
      </c>
      <c r="H8327" t="s">
        <v>8610</v>
      </c>
      <c r="I8327">
        <v>12</v>
      </c>
      <c r="J8327">
        <v>0</v>
      </c>
      <c r="K8327">
        <v>0</v>
      </c>
      <c r="L8327">
        <v>0</v>
      </c>
      <c r="M8327">
        <v>0</v>
      </c>
      <c r="N8327">
        <v>0</v>
      </c>
      <c r="O8327">
        <v>12</v>
      </c>
    </row>
    <row r="8328" spans="1:15" x14ac:dyDescent="0.25">
      <c r="A8328" t="s">
        <v>929</v>
      </c>
      <c r="B8328" t="s">
        <v>2999</v>
      </c>
      <c r="C8328" t="s">
        <v>927</v>
      </c>
      <c r="D8328" t="s">
        <v>3052</v>
      </c>
      <c r="E8328" t="s">
        <v>3053</v>
      </c>
      <c r="F8328" t="s">
        <v>772</v>
      </c>
      <c r="G8328" t="s">
        <v>773</v>
      </c>
      <c r="H8328" t="s">
        <v>8611</v>
      </c>
      <c r="I8328">
        <v>35</v>
      </c>
      <c r="J8328">
        <v>0</v>
      </c>
      <c r="K8328">
        <v>0</v>
      </c>
      <c r="L8328">
        <v>0</v>
      </c>
      <c r="M8328">
        <v>35</v>
      </c>
      <c r="N8328">
        <v>0</v>
      </c>
      <c r="O8328">
        <v>0</v>
      </c>
    </row>
    <row r="8329" spans="1:15" x14ac:dyDescent="0.25">
      <c r="A8329" t="s">
        <v>931</v>
      </c>
      <c r="B8329" t="s">
        <v>1978</v>
      </c>
      <c r="C8329" t="s">
        <v>927</v>
      </c>
      <c r="D8329" t="s">
        <v>3052</v>
      </c>
      <c r="E8329" t="s">
        <v>3053</v>
      </c>
      <c r="F8329" t="s">
        <v>772</v>
      </c>
      <c r="G8329" t="s">
        <v>773</v>
      </c>
      <c r="H8329" t="s">
        <v>8612</v>
      </c>
      <c r="I8329">
        <v>143</v>
      </c>
      <c r="J8329">
        <v>60</v>
      </c>
      <c r="K8329">
        <v>0</v>
      </c>
      <c r="L8329">
        <v>50</v>
      </c>
      <c r="M8329">
        <v>0</v>
      </c>
      <c r="N8329">
        <v>0</v>
      </c>
      <c r="O8329">
        <v>33</v>
      </c>
    </row>
    <row r="8330" spans="1:15" x14ac:dyDescent="0.25">
      <c r="A8330" t="s">
        <v>9784</v>
      </c>
      <c r="B8330" t="s">
        <v>1994</v>
      </c>
      <c r="C8330" t="s">
        <v>927</v>
      </c>
      <c r="D8330" t="s">
        <v>3052</v>
      </c>
      <c r="E8330" t="s">
        <v>3053</v>
      </c>
      <c r="F8330" t="s">
        <v>772</v>
      </c>
      <c r="G8330" t="s">
        <v>773</v>
      </c>
      <c r="H8330" t="s">
        <v>9989</v>
      </c>
      <c r="I8330">
        <v>17</v>
      </c>
      <c r="J8330">
        <v>0</v>
      </c>
      <c r="K8330">
        <v>0</v>
      </c>
      <c r="L8330">
        <v>17</v>
      </c>
      <c r="M8330">
        <v>0</v>
      </c>
      <c r="N8330">
        <v>0</v>
      </c>
      <c r="O8330">
        <v>0</v>
      </c>
    </row>
    <row r="8331" spans="1:15" x14ac:dyDescent="0.25">
      <c r="A8331" t="s">
        <v>933</v>
      </c>
      <c r="B8331" t="s">
        <v>2106</v>
      </c>
      <c r="C8331" t="s">
        <v>927</v>
      </c>
      <c r="D8331" t="s">
        <v>3052</v>
      </c>
      <c r="E8331" t="s">
        <v>3053</v>
      </c>
      <c r="F8331" t="s">
        <v>772</v>
      </c>
      <c r="G8331" t="s">
        <v>773</v>
      </c>
      <c r="H8331" t="s">
        <v>8613</v>
      </c>
      <c r="I8331">
        <v>52</v>
      </c>
      <c r="J8331">
        <v>44</v>
      </c>
      <c r="K8331">
        <v>0</v>
      </c>
      <c r="L8331">
        <v>0</v>
      </c>
      <c r="M8331">
        <v>0</v>
      </c>
      <c r="N8331">
        <v>0</v>
      </c>
      <c r="O8331">
        <v>8</v>
      </c>
    </row>
    <row r="8332" spans="1:15" x14ac:dyDescent="0.25">
      <c r="A8332" t="s">
        <v>1720</v>
      </c>
      <c r="B8332" t="s">
        <v>2655</v>
      </c>
      <c r="C8332" t="s">
        <v>927</v>
      </c>
      <c r="D8332" t="s">
        <v>3052</v>
      </c>
      <c r="E8332" t="s">
        <v>3053</v>
      </c>
      <c r="F8332" t="s">
        <v>772</v>
      </c>
      <c r="G8332" t="s">
        <v>773</v>
      </c>
      <c r="H8332" t="s">
        <v>8614</v>
      </c>
      <c r="I8332">
        <v>109</v>
      </c>
      <c r="J8332">
        <v>89</v>
      </c>
      <c r="K8332">
        <v>0</v>
      </c>
      <c r="L8332">
        <v>0</v>
      </c>
      <c r="M8332">
        <v>0</v>
      </c>
      <c r="N8332">
        <v>0</v>
      </c>
      <c r="O8332">
        <v>20</v>
      </c>
    </row>
    <row r="8333" spans="1:15" x14ac:dyDescent="0.25">
      <c r="A8333" t="s">
        <v>935</v>
      </c>
      <c r="B8333" t="s">
        <v>1960</v>
      </c>
      <c r="C8333" t="s">
        <v>923</v>
      </c>
      <c r="D8333" t="s">
        <v>3063</v>
      </c>
      <c r="E8333" t="s">
        <v>3053</v>
      </c>
      <c r="F8333" t="s">
        <v>772</v>
      </c>
      <c r="G8333" t="s">
        <v>773</v>
      </c>
      <c r="H8333" t="s">
        <v>8615</v>
      </c>
      <c r="I8333">
        <v>12</v>
      </c>
      <c r="J8333">
        <v>0</v>
      </c>
      <c r="K8333">
        <v>0</v>
      </c>
      <c r="L8333">
        <v>12</v>
      </c>
      <c r="M8333">
        <v>0</v>
      </c>
      <c r="N8333">
        <v>0</v>
      </c>
      <c r="O8333">
        <v>0</v>
      </c>
    </row>
    <row r="8334" spans="1:15" x14ac:dyDescent="0.25">
      <c r="A8334" t="s">
        <v>11660</v>
      </c>
      <c r="B8334" t="s">
        <v>2041</v>
      </c>
      <c r="C8334" t="s">
        <v>923</v>
      </c>
      <c r="D8334" t="s">
        <v>3063</v>
      </c>
      <c r="E8334" t="s">
        <v>3053</v>
      </c>
      <c r="F8334" t="s">
        <v>772</v>
      </c>
      <c r="G8334" t="s">
        <v>773</v>
      </c>
      <c r="H8334" t="s">
        <v>12416</v>
      </c>
      <c r="I8334">
        <v>14</v>
      </c>
      <c r="J8334">
        <v>0</v>
      </c>
      <c r="K8334">
        <v>0</v>
      </c>
      <c r="L8334">
        <v>14</v>
      </c>
      <c r="M8334">
        <v>0</v>
      </c>
      <c r="N8334">
        <v>0</v>
      </c>
      <c r="O8334">
        <v>0</v>
      </c>
    </row>
    <row r="8335" spans="1:15" x14ac:dyDescent="0.25">
      <c r="A8335" t="s">
        <v>10638</v>
      </c>
      <c r="B8335" t="s">
        <v>2057</v>
      </c>
      <c r="C8335" t="s">
        <v>927</v>
      </c>
      <c r="D8335" t="s">
        <v>3052</v>
      </c>
      <c r="E8335" t="s">
        <v>3053</v>
      </c>
      <c r="F8335" t="s">
        <v>772</v>
      </c>
      <c r="G8335" t="s">
        <v>773</v>
      </c>
      <c r="H8335" t="s">
        <v>11381</v>
      </c>
      <c r="I8335">
        <v>12</v>
      </c>
      <c r="J8335">
        <v>0</v>
      </c>
      <c r="K8335">
        <v>0</v>
      </c>
      <c r="L8335">
        <v>12</v>
      </c>
      <c r="M8335">
        <v>0</v>
      </c>
      <c r="N8335">
        <v>0</v>
      </c>
      <c r="O8335">
        <v>0</v>
      </c>
    </row>
    <row r="8336" spans="1:15" x14ac:dyDescent="0.25">
      <c r="A8336" t="s">
        <v>1010</v>
      </c>
      <c r="B8336" t="s">
        <v>2639</v>
      </c>
      <c r="C8336" t="s">
        <v>927</v>
      </c>
      <c r="D8336" t="s">
        <v>3052</v>
      </c>
      <c r="E8336" t="s">
        <v>3053</v>
      </c>
      <c r="F8336" t="s">
        <v>772</v>
      </c>
      <c r="G8336" t="s">
        <v>773</v>
      </c>
      <c r="H8336" t="s">
        <v>8616</v>
      </c>
      <c r="I8336">
        <v>48</v>
      </c>
      <c r="J8336">
        <v>43</v>
      </c>
      <c r="K8336">
        <v>0</v>
      </c>
      <c r="L8336">
        <v>0</v>
      </c>
      <c r="M8336">
        <v>0</v>
      </c>
      <c r="N8336">
        <v>0</v>
      </c>
      <c r="O8336">
        <v>5</v>
      </c>
    </row>
    <row r="8337" spans="1:15" x14ac:dyDescent="0.25">
      <c r="A8337" t="s">
        <v>937</v>
      </c>
      <c r="B8337" t="s">
        <v>1962</v>
      </c>
      <c r="C8337" t="s">
        <v>927</v>
      </c>
      <c r="D8337" t="s">
        <v>3052</v>
      </c>
      <c r="E8337" t="s">
        <v>3053</v>
      </c>
      <c r="F8337" t="s">
        <v>772</v>
      </c>
      <c r="G8337" t="s">
        <v>773</v>
      </c>
      <c r="H8337" t="s">
        <v>8617</v>
      </c>
      <c r="I8337">
        <v>89</v>
      </c>
      <c r="J8337">
        <v>0</v>
      </c>
      <c r="K8337">
        <v>0</v>
      </c>
      <c r="L8337">
        <v>0</v>
      </c>
      <c r="M8337">
        <v>0</v>
      </c>
      <c r="N8337">
        <v>0</v>
      </c>
      <c r="O8337">
        <v>89</v>
      </c>
    </row>
    <row r="8338" spans="1:15" x14ac:dyDescent="0.25">
      <c r="A8338" t="s">
        <v>1020</v>
      </c>
      <c r="B8338" t="s">
        <v>2104</v>
      </c>
      <c r="C8338" t="s">
        <v>923</v>
      </c>
      <c r="D8338" t="s">
        <v>3063</v>
      </c>
      <c r="E8338" t="s">
        <v>3053</v>
      </c>
      <c r="F8338" t="s">
        <v>772</v>
      </c>
      <c r="G8338" t="s">
        <v>773</v>
      </c>
      <c r="H8338" t="s">
        <v>8618</v>
      </c>
      <c r="I8338">
        <v>11</v>
      </c>
      <c r="J8338">
        <v>0</v>
      </c>
      <c r="K8338">
        <v>0</v>
      </c>
      <c r="L8338">
        <v>11</v>
      </c>
      <c r="M8338">
        <v>0</v>
      </c>
      <c r="N8338">
        <v>0</v>
      </c>
      <c r="O8338">
        <v>0</v>
      </c>
    </row>
    <row r="8339" spans="1:15" x14ac:dyDescent="0.25">
      <c r="A8339" t="s">
        <v>942</v>
      </c>
      <c r="B8339" t="s">
        <v>2113</v>
      </c>
      <c r="C8339" t="s">
        <v>927</v>
      </c>
      <c r="D8339" t="s">
        <v>3052</v>
      </c>
      <c r="E8339" t="s">
        <v>3053</v>
      </c>
      <c r="F8339" t="s">
        <v>772</v>
      </c>
      <c r="G8339" t="s">
        <v>773</v>
      </c>
      <c r="H8339" t="s">
        <v>8619</v>
      </c>
      <c r="I8339">
        <v>871</v>
      </c>
      <c r="J8339">
        <v>677</v>
      </c>
      <c r="K8339">
        <v>0</v>
      </c>
      <c r="L8339">
        <v>10</v>
      </c>
      <c r="M8339">
        <v>0</v>
      </c>
      <c r="N8339">
        <v>0</v>
      </c>
      <c r="O8339">
        <v>184</v>
      </c>
    </row>
    <row r="8340" spans="1:15" x14ac:dyDescent="0.25">
      <c r="A8340" t="s">
        <v>943</v>
      </c>
      <c r="B8340" t="s">
        <v>2694</v>
      </c>
      <c r="C8340" t="s">
        <v>927</v>
      </c>
      <c r="D8340" t="s">
        <v>3052</v>
      </c>
      <c r="E8340" t="s">
        <v>3053</v>
      </c>
      <c r="F8340" t="s">
        <v>772</v>
      </c>
      <c r="G8340" t="s">
        <v>773</v>
      </c>
      <c r="H8340" t="s">
        <v>8620</v>
      </c>
      <c r="I8340">
        <v>1</v>
      </c>
      <c r="J8340">
        <v>0</v>
      </c>
      <c r="K8340">
        <v>0</v>
      </c>
      <c r="L8340">
        <v>0</v>
      </c>
      <c r="M8340">
        <v>0</v>
      </c>
      <c r="N8340">
        <v>0</v>
      </c>
      <c r="O8340">
        <v>1</v>
      </c>
    </row>
    <row r="8341" spans="1:15" x14ac:dyDescent="0.25">
      <c r="A8341" t="s">
        <v>945</v>
      </c>
      <c r="B8341" t="s">
        <v>2668</v>
      </c>
      <c r="C8341" t="s">
        <v>927</v>
      </c>
      <c r="D8341" t="s">
        <v>3052</v>
      </c>
      <c r="E8341" t="s">
        <v>3053</v>
      </c>
      <c r="F8341" t="s">
        <v>772</v>
      </c>
      <c r="G8341" t="s">
        <v>773</v>
      </c>
      <c r="H8341" t="s">
        <v>8621</v>
      </c>
      <c r="I8341">
        <v>1</v>
      </c>
      <c r="J8341">
        <v>0</v>
      </c>
      <c r="K8341">
        <v>0</v>
      </c>
      <c r="L8341">
        <v>0</v>
      </c>
      <c r="M8341">
        <v>0</v>
      </c>
      <c r="N8341">
        <v>0</v>
      </c>
      <c r="O8341">
        <v>1</v>
      </c>
    </row>
    <row r="8342" spans="1:15" x14ac:dyDescent="0.25">
      <c r="A8342" t="s">
        <v>1051</v>
      </c>
      <c r="B8342" t="s">
        <v>2995</v>
      </c>
      <c r="C8342" t="s">
        <v>927</v>
      </c>
      <c r="D8342" t="s">
        <v>3052</v>
      </c>
      <c r="E8342" t="s">
        <v>3053</v>
      </c>
      <c r="F8342" t="s">
        <v>772</v>
      </c>
      <c r="G8342" t="s">
        <v>773</v>
      </c>
      <c r="H8342" t="s">
        <v>8622</v>
      </c>
      <c r="I8342">
        <v>22</v>
      </c>
      <c r="J8342">
        <v>0</v>
      </c>
      <c r="K8342">
        <v>0</v>
      </c>
      <c r="L8342">
        <v>22</v>
      </c>
      <c r="M8342">
        <v>0</v>
      </c>
      <c r="N8342">
        <v>0</v>
      </c>
      <c r="O8342">
        <v>0</v>
      </c>
    </row>
    <row r="8343" spans="1:15" x14ac:dyDescent="0.25">
      <c r="A8343" t="s">
        <v>1756</v>
      </c>
      <c r="B8343" t="s">
        <v>2552</v>
      </c>
      <c r="C8343" t="s">
        <v>923</v>
      </c>
      <c r="D8343" t="s">
        <v>3063</v>
      </c>
      <c r="E8343" t="s">
        <v>3053</v>
      </c>
      <c r="F8343" t="s">
        <v>772</v>
      </c>
      <c r="G8343" t="s">
        <v>773</v>
      </c>
      <c r="H8343" t="s">
        <v>8623</v>
      </c>
      <c r="I8343">
        <v>37</v>
      </c>
      <c r="J8343">
        <v>0</v>
      </c>
      <c r="K8343">
        <v>0</v>
      </c>
      <c r="L8343">
        <v>21</v>
      </c>
      <c r="M8343">
        <v>16</v>
      </c>
      <c r="N8343">
        <v>0</v>
      </c>
      <c r="O8343">
        <v>0</v>
      </c>
    </row>
    <row r="8344" spans="1:15" x14ac:dyDescent="0.25">
      <c r="A8344" t="s">
        <v>11720</v>
      </c>
      <c r="B8344" t="s">
        <v>10718</v>
      </c>
      <c r="C8344" t="s">
        <v>927</v>
      </c>
      <c r="D8344" t="s">
        <v>3052</v>
      </c>
      <c r="E8344" t="s">
        <v>3053</v>
      </c>
      <c r="F8344" t="s">
        <v>772</v>
      </c>
      <c r="G8344" t="s">
        <v>773</v>
      </c>
      <c r="H8344" t="s">
        <v>15319</v>
      </c>
      <c r="I8344">
        <v>12</v>
      </c>
      <c r="J8344">
        <v>0</v>
      </c>
      <c r="K8344">
        <v>0</v>
      </c>
      <c r="L8344">
        <v>0</v>
      </c>
      <c r="M8344">
        <v>0</v>
      </c>
      <c r="N8344">
        <v>0</v>
      </c>
      <c r="O8344">
        <v>12</v>
      </c>
    </row>
    <row r="8345" spans="1:15" x14ac:dyDescent="0.25">
      <c r="A8345" t="s">
        <v>1057</v>
      </c>
      <c r="B8345" t="s">
        <v>1972</v>
      </c>
      <c r="C8345" t="s">
        <v>927</v>
      </c>
      <c r="D8345" t="s">
        <v>3052</v>
      </c>
      <c r="E8345" t="s">
        <v>3053</v>
      </c>
      <c r="F8345" t="s">
        <v>772</v>
      </c>
      <c r="G8345" t="s">
        <v>773</v>
      </c>
      <c r="H8345" t="s">
        <v>8624</v>
      </c>
      <c r="I8345">
        <v>47</v>
      </c>
      <c r="J8345">
        <v>35</v>
      </c>
      <c r="K8345">
        <v>0</v>
      </c>
      <c r="L8345">
        <v>0</v>
      </c>
      <c r="M8345">
        <v>0</v>
      </c>
      <c r="N8345">
        <v>0</v>
      </c>
      <c r="O8345">
        <v>12</v>
      </c>
    </row>
    <row r="8346" spans="1:15" x14ac:dyDescent="0.25">
      <c r="A8346" t="s">
        <v>955</v>
      </c>
      <c r="B8346" t="s">
        <v>2660</v>
      </c>
      <c r="C8346" t="s">
        <v>927</v>
      </c>
      <c r="D8346" t="s">
        <v>3052</v>
      </c>
      <c r="E8346" t="s">
        <v>3053</v>
      </c>
      <c r="F8346" t="s">
        <v>772</v>
      </c>
      <c r="G8346" t="s">
        <v>773</v>
      </c>
      <c r="H8346" t="s">
        <v>8625</v>
      </c>
      <c r="I8346">
        <v>270</v>
      </c>
      <c r="J8346">
        <v>242</v>
      </c>
      <c r="K8346">
        <v>0</v>
      </c>
      <c r="L8346">
        <v>0</v>
      </c>
      <c r="M8346">
        <v>0</v>
      </c>
      <c r="N8346">
        <v>1</v>
      </c>
      <c r="O8346">
        <v>28</v>
      </c>
    </row>
    <row r="8347" spans="1:15" x14ac:dyDescent="0.25">
      <c r="A8347" t="s">
        <v>1765</v>
      </c>
      <c r="B8347" t="s">
        <v>2940</v>
      </c>
      <c r="C8347" t="s">
        <v>923</v>
      </c>
      <c r="D8347" t="s">
        <v>3063</v>
      </c>
      <c r="E8347" t="s">
        <v>3053</v>
      </c>
      <c r="F8347" t="s">
        <v>772</v>
      </c>
      <c r="G8347" t="s">
        <v>773</v>
      </c>
      <c r="H8347" t="s">
        <v>8626</v>
      </c>
      <c r="I8347">
        <v>28</v>
      </c>
      <c r="J8347">
        <v>18</v>
      </c>
      <c r="K8347">
        <v>0</v>
      </c>
      <c r="L8347">
        <v>10</v>
      </c>
      <c r="M8347">
        <v>0</v>
      </c>
      <c r="N8347">
        <v>0</v>
      </c>
      <c r="O8347">
        <v>0</v>
      </c>
    </row>
    <row r="8348" spans="1:15" x14ac:dyDescent="0.25">
      <c r="A8348" t="s">
        <v>960</v>
      </c>
      <c r="B8348" t="s">
        <v>2080</v>
      </c>
      <c r="C8348" t="s">
        <v>927</v>
      </c>
      <c r="D8348" t="s">
        <v>3052</v>
      </c>
      <c r="E8348" t="s">
        <v>3053</v>
      </c>
      <c r="F8348" t="s">
        <v>772</v>
      </c>
      <c r="G8348" t="s">
        <v>773</v>
      </c>
      <c r="H8348" t="s">
        <v>8627</v>
      </c>
      <c r="I8348">
        <v>453</v>
      </c>
      <c r="J8348">
        <v>311</v>
      </c>
      <c r="K8348">
        <v>0</v>
      </c>
      <c r="L8348">
        <v>4</v>
      </c>
      <c r="M8348">
        <v>0</v>
      </c>
      <c r="N8348">
        <v>0</v>
      </c>
      <c r="O8348">
        <v>138</v>
      </c>
    </row>
    <row r="8349" spans="1:15" x14ac:dyDescent="0.25">
      <c r="A8349" t="s">
        <v>962</v>
      </c>
      <c r="B8349" t="s">
        <v>2752</v>
      </c>
      <c r="C8349" t="s">
        <v>927</v>
      </c>
      <c r="D8349" t="s">
        <v>3052</v>
      </c>
      <c r="E8349" t="s">
        <v>3053</v>
      </c>
      <c r="F8349" t="s">
        <v>772</v>
      </c>
      <c r="G8349" t="s">
        <v>773</v>
      </c>
      <c r="H8349" t="s">
        <v>10455</v>
      </c>
      <c r="I8349">
        <v>27</v>
      </c>
      <c r="J8349">
        <v>17</v>
      </c>
      <c r="K8349">
        <v>0</v>
      </c>
      <c r="L8349">
        <v>0</v>
      </c>
      <c r="M8349">
        <v>0</v>
      </c>
      <c r="N8349">
        <v>0</v>
      </c>
      <c r="O8349">
        <v>10</v>
      </c>
    </row>
    <row r="8350" spans="1:15" x14ac:dyDescent="0.25">
      <c r="A8350" t="s">
        <v>964</v>
      </c>
      <c r="B8350" t="s">
        <v>1969</v>
      </c>
      <c r="C8350" t="s">
        <v>927</v>
      </c>
      <c r="D8350" t="s">
        <v>3052</v>
      </c>
      <c r="E8350" t="s">
        <v>3053</v>
      </c>
      <c r="F8350" t="s">
        <v>772</v>
      </c>
      <c r="G8350" t="s">
        <v>773</v>
      </c>
      <c r="H8350" t="s">
        <v>12417</v>
      </c>
      <c r="I8350">
        <v>49</v>
      </c>
      <c r="J8350">
        <v>40</v>
      </c>
      <c r="K8350">
        <v>0</v>
      </c>
      <c r="L8350">
        <v>0</v>
      </c>
      <c r="M8350">
        <v>0</v>
      </c>
      <c r="N8350">
        <v>0</v>
      </c>
      <c r="O8350">
        <v>9</v>
      </c>
    </row>
    <row r="8351" spans="1:15" x14ac:dyDescent="0.25">
      <c r="A8351" t="s">
        <v>1770</v>
      </c>
      <c r="B8351" t="s">
        <v>3030</v>
      </c>
      <c r="C8351" t="s">
        <v>927</v>
      </c>
      <c r="D8351" t="s">
        <v>3052</v>
      </c>
      <c r="E8351" t="s">
        <v>3053</v>
      </c>
      <c r="F8351" t="s">
        <v>772</v>
      </c>
      <c r="G8351" t="s">
        <v>773</v>
      </c>
      <c r="H8351" t="s">
        <v>8628</v>
      </c>
      <c r="I8351">
        <v>3686</v>
      </c>
      <c r="J8351">
        <v>2588</v>
      </c>
      <c r="K8351">
        <v>0</v>
      </c>
      <c r="L8351">
        <v>0</v>
      </c>
      <c r="M8351">
        <v>997</v>
      </c>
      <c r="N8351">
        <v>31</v>
      </c>
      <c r="O8351">
        <v>101</v>
      </c>
    </row>
    <row r="8352" spans="1:15" x14ac:dyDescent="0.25">
      <c r="A8352" t="s">
        <v>10757</v>
      </c>
      <c r="B8352" t="s">
        <v>10756</v>
      </c>
      <c r="C8352" t="s">
        <v>923</v>
      </c>
      <c r="D8352" t="s">
        <v>3063</v>
      </c>
      <c r="E8352" t="s">
        <v>3053</v>
      </c>
      <c r="F8352" t="s">
        <v>772</v>
      </c>
      <c r="G8352" t="s">
        <v>773</v>
      </c>
      <c r="H8352" t="s">
        <v>11382</v>
      </c>
      <c r="I8352">
        <v>8</v>
      </c>
      <c r="J8352">
        <v>0</v>
      </c>
      <c r="K8352">
        <v>0</v>
      </c>
      <c r="L8352">
        <v>0</v>
      </c>
      <c r="M8352">
        <v>8</v>
      </c>
      <c r="N8352">
        <v>0</v>
      </c>
      <c r="O8352">
        <v>0</v>
      </c>
    </row>
    <row r="8353" spans="1:15" x14ac:dyDescent="0.25">
      <c r="A8353" t="s">
        <v>1069</v>
      </c>
      <c r="B8353" t="s">
        <v>2001</v>
      </c>
      <c r="C8353" t="s">
        <v>927</v>
      </c>
      <c r="D8353" t="s">
        <v>3052</v>
      </c>
      <c r="E8353" t="s">
        <v>3053</v>
      </c>
      <c r="F8353" t="s">
        <v>772</v>
      </c>
      <c r="G8353" t="s">
        <v>773</v>
      </c>
      <c r="H8353" t="s">
        <v>8629</v>
      </c>
      <c r="I8353">
        <v>235</v>
      </c>
      <c r="J8353">
        <v>0</v>
      </c>
      <c r="K8353">
        <v>0</v>
      </c>
      <c r="L8353">
        <v>21</v>
      </c>
      <c r="M8353">
        <v>213</v>
      </c>
      <c r="N8353">
        <v>0</v>
      </c>
      <c r="O8353">
        <v>1</v>
      </c>
    </row>
    <row r="8354" spans="1:15" x14ac:dyDescent="0.25">
      <c r="A8354" t="s">
        <v>1793</v>
      </c>
      <c r="B8354" t="s">
        <v>2075</v>
      </c>
      <c r="C8354" t="s">
        <v>927</v>
      </c>
      <c r="D8354" t="s">
        <v>3052</v>
      </c>
      <c r="E8354" t="s">
        <v>3053</v>
      </c>
      <c r="F8354" t="s">
        <v>772</v>
      </c>
      <c r="G8354" t="s">
        <v>773</v>
      </c>
      <c r="H8354" t="s">
        <v>8630</v>
      </c>
      <c r="I8354">
        <v>563</v>
      </c>
      <c r="J8354">
        <v>325</v>
      </c>
      <c r="K8354">
        <v>0</v>
      </c>
      <c r="L8354">
        <v>14</v>
      </c>
      <c r="M8354">
        <v>110</v>
      </c>
      <c r="N8354">
        <v>0</v>
      </c>
      <c r="O8354">
        <v>114</v>
      </c>
    </row>
    <row r="8355" spans="1:15" x14ac:dyDescent="0.25">
      <c r="A8355" t="s">
        <v>11715</v>
      </c>
      <c r="B8355" t="s">
        <v>2784</v>
      </c>
      <c r="C8355" t="s">
        <v>927</v>
      </c>
      <c r="D8355" t="s">
        <v>3052</v>
      </c>
      <c r="E8355" t="s">
        <v>3053</v>
      </c>
      <c r="F8355" t="s">
        <v>772</v>
      </c>
      <c r="G8355" t="s">
        <v>773</v>
      </c>
      <c r="H8355" t="s">
        <v>12418</v>
      </c>
      <c r="I8355">
        <v>9</v>
      </c>
      <c r="J8355">
        <v>7</v>
      </c>
      <c r="K8355">
        <v>0</v>
      </c>
      <c r="L8355">
        <v>0</v>
      </c>
      <c r="M8355">
        <v>0</v>
      </c>
      <c r="N8355">
        <v>0</v>
      </c>
      <c r="O8355">
        <v>2</v>
      </c>
    </row>
    <row r="8356" spans="1:15" x14ac:dyDescent="0.25">
      <c r="A8356" t="s">
        <v>1452</v>
      </c>
      <c r="B8356" t="s">
        <v>2721</v>
      </c>
      <c r="C8356" t="s">
        <v>923</v>
      </c>
      <c r="D8356" t="s">
        <v>3063</v>
      </c>
      <c r="E8356" t="s">
        <v>3053</v>
      </c>
      <c r="F8356" t="s">
        <v>774</v>
      </c>
      <c r="G8356" t="s">
        <v>775</v>
      </c>
      <c r="H8356" t="s">
        <v>8631</v>
      </c>
      <c r="I8356">
        <v>32</v>
      </c>
      <c r="J8356">
        <v>0</v>
      </c>
      <c r="K8356">
        <v>0</v>
      </c>
      <c r="L8356">
        <v>0</v>
      </c>
      <c r="M8356">
        <v>32</v>
      </c>
      <c r="N8356">
        <v>0</v>
      </c>
      <c r="O8356">
        <v>0</v>
      </c>
    </row>
    <row r="8357" spans="1:15" x14ac:dyDescent="0.25">
      <c r="A8357" t="s">
        <v>929</v>
      </c>
      <c r="B8357" t="s">
        <v>2999</v>
      </c>
      <c r="C8357" t="s">
        <v>927</v>
      </c>
      <c r="D8357" t="s">
        <v>3052</v>
      </c>
      <c r="E8357" t="s">
        <v>3053</v>
      </c>
      <c r="F8357" t="s">
        <v>774</v>
      </c>
      <c r="G8357" t="s">
        <v>775</v>
      </c>
      <c r="H8357" t="s">
        <v>8632</v>
      </c>
      <c r="I8357">
        <v>171</v>
      </c>
      <c r="J8357">
        <v>0</v>
      </c>
      <c r="K8357">
        <v>0</v>
      </c>
      <c r="L8357">
        <v>0</v>
      </c>
      <c r="M8357">
        <v>171</v>
      </c>
      <c r="N8357">
        <v>0</v>
      </c>
      <c r="O8357">
        <v>0</v>
      </c>
    </row>
    <row r="8358" spans="1:15" x14ac:dyDescent="0.25">
      <c r="A8358" t="s">
        <v>9790</v>
      </c>
      <c r="B8358" t="s">
        <v>1977</v>
      </c>
      <c r="C8358" t="s">
        <v>923</v>
      </c>
      <c r="D8358" t="s">
        <v>3063</v>
      </c>
      <c r="E8358" t="s">
        <v>3053</v>
      </c>
      <c r="F8358" t="s">
        <v>774</v>
      </c>
      <c r="G8358" t="s">
        <v>775</v>
      </c>
      <c r="H8358" t="s">
        <v>12419</v>
      </c>
      <c r="I8358">
        <v>5</v>
      </c>
      <c r="J8358">
        <v>0</v>
      </c>
      <c r="K8358">
        <v>0</v>
      </c>
      <c r="L8358">
        <v>5</v>
      </c>
      <c r="M8358">
        <v>0</v>
      </c>
      <c r="N8358">
        <v>0</v>
      </c>
      <c r="O8358">
        <v>0</v>
      </c>
    </row>
    <row r="8359" spans="1:15" x14ac:dyDescent="0.25">
      <c r="A8359" t="s">
        <v>1095</v>
      </c>
      <c r="B8359" t="s">
        <v>1946</v>
      </c>
      <c r="C8359" t="s">
        <v>923</v>
      </c>
      <c r="D8359" t="s">
        <v>3063</v>
      </c>
      <c r="E8359" t="s">
        <v>3053</v>
      </c>
      <c r="F8359" t="s">
        <v>774</v>
      </c>
      <c r="G8359" t="s">
        <v>775</v>
      </c>
      <c r="H8359" t="s">
        <v>8633</v>
      </c>
      <c r="I8359">
        <v>298</v>
      </c>
      <c r="J8359">
        <v>0</v>
      </c>
      <c r="K8359">
        <v>0</v>
      </c>
      <c r="L8359">
        <v>298</v>
      </c>
      <c r="M8359">
        <v>0</v>
      </c>
      <c r="N8359">
        <v>0</v>
      </c>
      <c r="O8359">
        <v>0</v>
      </c>
    </row>
    <row r="8360" spans="1:15" x14ac:dyDescent="0.25">
      <c r="A8360" t="s">
        <v>10584</v>
      </c>
      <c r="B8360" t="s">
        <v>10583</v>
      </c>
      <c r="C8360" t="s">
        <v>923</v>
      </c>
      <c r="D8360" t="s">
        <v>3063</v>
      </c>
      <c r="E8360" t="s">
        <v>3053</v>
      </c>
      <c r="F8360" t="s">
        <v>774</v>
      </c>
      <c r="G8360" t="s">
        <v>775</v>
      </c>
      <c r="H8360" t="s">
        <v>11383</v>
      </c>
      <c r="I8360">
        <v>42</v>
      </c>
      <c r="J8360">
        <v>0</v>
      </c>
      <c r="K8360">
        <v>0</v>
      </c>
      <c r="L8360">
        <v>0</v>
      </c>
      <c r="M8360">
        <v>42</v>
      </c>
      <c r="N8360">
        <v>0</v>
      </c>
      <c r="O8360">
        <v>0</v>
      </c>
    </row>
    <row r="8361" spans="1:15" x14ac:dyDescent="0.25">
      <c r="A8361" t="s">
        <v>1804</v>
      </c>
      <c r="B8361" t="s">
        <v>2688</v>
      </c>
      <c r="C8361" t="s">
        <v>927</v>
      </c>
      <c r="D8361" t="s">
        <v>3052</v>
      </c>
      <c r="E8361" t="s">
        <v>3053</v>
      </c>
      <c r="F8361" t="s">
        <v>774</v>
      </c>
      <c r="G8361" t="s">
        <v>775</v>
      </c>
      <c r="H8361" t="s">
        <v>8634</v>
      </c>
      <c r="I8361">
        <v>831</v>
      </c>
      <c r="J8361">
        <v>714</v>
      </c>
      <c r="K8361">
        <v>0</v>
      </c>
      <c r="L8361">
        <v>0</v>
      </c>
      <c r="M8361">
        <v>59</v>
      </c>
      <c r="N8361">
        <v>3</v>
      </c>
      <c r="O8361">
        <v>58</v>
      </c>
    </row>
    <row r="8362" spans="1:15" x14ac:dyDescent="0.25">
      <c r="A8362" t="s">
        <v>983</v>
      </c>
      <c r="B8362" t="s">
        <v>2069</v>
      </c>
      <c r="C8362" t="s">
        <v>927</v>
      </c>
      <c r="D8362" t="s">
        <v>3052</v>
      </c>
      <c r="E8362" t="s">
        <v>3053</v>
      </c>
      <c r="F8362" t="s">
        <v>774</v>
      </c>
      <c r="G8362" t="s">
        <v>775</v>
      </c>
      <c r="H8362" t="s">
        <v>8635</v>
      </c>
      <c r="I8362">
        <v>1623</v>
      </c>
      <c r="J8362">
        <v>1277</v>
      </c>
      <c r="K8362">
        <v>0</v>
      </c>
      <c r="L8362">
        <v>80</v>
      </c>
      <c r="M8362">
        <v>55</v>
      </c>
      <c r="N8362">
        <v>0</v>
      </c>
      <c r="O8362">
        <v>211</v>
      </c>
    </row>
    <row r="8363" spans="1:15" x14ac:dyDescent="0.25">
      <c r="A8363" t="s">
        <v>9841</v>
      </c>
      <c r="B8363" t="s">
        <v>3026</v>
      </c>
      <c r="C8363" t="s">
        <v>927</v>
      </c>
      <c r="D8363" t="s">
        <v>3052</v>
      </c>
      <c r="E8363" t="s">
        <v>3053</v>
      </c>
      <c r="F8363" t="s">
        <v>774</v>
      </c>
      <c r="G8363" t="s">
        <v>775</v>
      </c>
      <c r="H8363" t="s">
        <v>11384</v>
      </c>
      <c r="I8363">
        <v>64</v>
      </c>
      <c r="J8363">
        <v>48</v>
      </c>
      <c r="K8363">
        <v>0</v>
      </c>
      <c r="L8363">
        <v>0</v>
      </c>
      <c r="M8363">
        <v>0</v>
      </c>
      <c r="N8363">
        <v>0</v>
      </c>
      <c r="O8363">
        <v>16</v>
      </c>
    </row>
    <row r="8364" spans="1:15" x14ac:dyDescent="0.25">
      <c r="A8364" t="s">
        <v>991</v>
      </c>
      <c r="B8364" t="s">
        <v>1976</v>
      </c>
      <c r="C8364" t="s">
        <v>923</v>
      </c>
      <c r="D8364" t="s">
        <v>3063</v>
      </c>
      <c r="E8364" t="s">
        <v>3053</v>
      </c>
      <c r="F8364" t="s">
        <v>774</v>
      </c>
      <c r="G8364" t="s">
        <v>775</v>
      </c>
      <c r="H8364" t="s">
        <v>15320</v>
      </c>
      <c r="I8364">
        <v>4</v>
      </c>
      <c r="J8364">
        <v>0</v>
      </c>
      <c r="K8364">
        <v>0</v>
      </c>
      <c r="L8364">
        <v>4</v>
      </c>
      <c r="M8364">
        <v>0</v>
      </c>
      <c r="N8364">
        <v>0</v>
      </c>
      <c r="O8364">
        <v>0</v>
      </c>
    </row>
    <row r="8365" spans="1:15" x14ac:dyDescent="0.25">
      <c r="A8365" t="s">
        <v>996</v>
      </c>
      <c r="B8365" t="s">
        <v>1952</v>
      </c>
      <c r="C8365" t="s">
        <v>923</v>
      </c>
      <c r="D8365" t="s">
        <v>3063</v>
      </c>
      <c r="E8365" t="s">
        <v>3053</v>
      </c>
      <c r="F8365" t="s">
        <v>774</v>
      </c>
      <c r="G8365" t="s">
        <v>775</v>
      </c>
      <c r="H8365" t="s">
        <v>8636</v>
      </c>
      <c r="I8365">
        <v>1</v>
      </c>
      <c r="J8365">
        <v>0</v>
      </c>
      <c r="K8365">
        <v>0</v>
      </c>
      <c r="L8365">
        <v>1</v>
      </c>
      <c r="M8365">
        <v>0</v>
      </c>
      <c r="N8365">
        <v>0</v>
      </c>
      <c r="O8365">
        <v>0</v>
      </c>
    </row>
    <row r="8366" spans="1:15" x14ac:dyDescent="0.25">
      <c r="A8366" t="s">
        <v>10638</v>
      </c>
      <c r="B8366" t="s">
        <v>2057</v>
      </c>
      <c r="C8366" t="s">
        <v>927</v>
      </c>
      <c r="D8366" t="s">
        <v>3052</v>
      </c>
      <c r="E8366" t="s">
        <v>3053</v>
      </c>
      <c r="F8366" t="s">
        <v>774</v>
      </c>
      <c r="G8366" t="s">
        <v>775</v>
      </c>
      <c r="H8366" t="s">
        <v>11385</v>
      </c>
      <c r="I8366">
        <v>2</v>
      </c>
      <c r="J8366">
        <v>0</v>
      </c>
      <c r="K8366">
        <v>0</v>
      </c>
      <c r="L8366">
        <v>2</v>
      </c>
      <c r="M8366">
        <v>0</v>
      </c>
      <c r="N8366">
        <v>0</v>
      </c>
      <c r="O8366">
        <v>0</v>
      </c>
    </row>
    <row r="8367" spans="1:15" x14ac:dyDescent="0.25">
      <c r="A8367" t="s">
        <v>10643</v>
      </c>
      <c r="B8367" t="s">
        <v>2987</v>
      </c>
      <c r="C8367" t="s">
        <v>927</v>
      </c>
      <c r="D8367" t="s">
        <v>3052</v>
      </c>
      <c r="E8367" t="s">
        <v>3053</v>
      </c>
      <c r="F8367" t="s">
        <v>774</v>
      </c>
      <c r="G8367" t="s">
        <v>775</v>
      </c>
      <c r="H8367" t="s">
        <v>11386</v>
      </c>
      <c r="I8367">
        <v>135</v>
      </c>
      <c r="J8367">
        <v>123</v>
      </c>
      <c r="K8367">
        <v>0</v>
      </c>
      <c r="L8367">
        <v>0</v>
      </c>
      <c r="M8367">
        <v>0</v>
      </c>
      <c r="N8367">
        <v>0</v>
      </c>
      <c r="O8367">
        <v>12</v>
      </c>
    </row>
    <row r="8368" spans="1:15" x14ac:dyDescent="0.25">
      <c r="A8368" t="s">
        <v>1008</v>
      </c>
      <c r="B8368" t="s">
        <v>2928</v>
      </c>
      <c r="C8368" t="s">
        <v>927</v>
      </c>
      <c r="D8368" t="s">
        <v>3052</v>
      </c>
      <c r="E8368" t="s">
        <v>3053</v>
      </c>
      <c r="F8368" t="s">
        <v>774</v>
      </c>
      <c r="G8368" t="s">
        <v>775</v>
      </c>
      <c r="H8368" t="s">
        <v>8637</v>
      </c>
      <c r="I8368">
        <v>53</v>
      </c>
      <c r="J8368">
        <v>35</v>
      </c>
      <c r="K8368">
        <v>0</v>
      </c>
      <c r="L8368">
        <v>15</v>
      </c>
      <c r="M8368">
        <v>3</v>
      </c>
      <c r="N8368">
        <v>3</v>
      </c>
      <c r="O8368">
        <v>0</v>
      </c>
    </row>
    <row r="8369" spans="1:15" x14ac:dyDescent="0.25">
      <c r="A8369" t="s">
        <v>1009</v>
      </c>
      <c r="B8369" t="s">
        <v>1958</v>
      </c>
      <c r="C8369" t="s">
        <v>923</v>
      </c>
      <c r="D8369" t="s">
        <v>3063</v>
      </c>
      <c r="E8369" t="s">
        <v>3053</v>
      </c>
      <c r="F8369" t="s">
        <v>774</v>
      </c>
      <c r="G8369" t="s">
        <v>775</v>
      </c>
      <c r="H8369" t="s">
        <v>8638</v>
      </c>
      <c r="I8369">
        <v>27</v>
      </c>
      <c r="J8369">
        <v>0</v>
      </c>
      <c r="K8369">
        <v>0</v>
      </c>
      <c r="L8369">
        <v>27</v>
      </c>
      <c r="M8369">
        <v>0</v>
      </c>
      <c r="N8369">
        <v>0</v>
      </c>
      <c r="O8369">
        <v>0</v>
      </c>
    </row>
    <row r="8370" spans="1:15" x14ac:dyDescent="0.25">
      <c r="A8370" t="s">
        <v>937</v>
      </c>
      <c r="B8370" t="s">
        <v>1962</v>
      </c>
      <c r="C8370" t="s">
        <v>927</v>
      </c>
      <c r="D8370" t="s">
        <v>3052</v>
      </c>
      <c r="E8370" t="s">
        <v>3053</v>
      </c>
      <c r="F8370" t="s">
        <v>774</v>
      </c>
      <c r="G8370" t="s">
        <v>775</v>
      </c>
      <c r="H8370" t="s">
        <v>8639</v>
      </c>
      <c r="I8370">
        <v>79</v>
      </c>
      <c r="J8370">
        <v>0</v>
      </c>
      <c r="K8370">
        <v>0</v>
      </c>
      <c r="L8370">
        <v>0</v>
      </c>
      <c r="M8370">
        <v>0</v>
      </c>
      <c r="N8370">
        <v>0</v>
      </c>
      <c r="O8370">
        <v>79</v>
      </c>
    </row>
    <row r="8371" spans="1:15" x14ac:dyDescent="0.25">
      <c r="A8371" t="s">
        <v>938</v>
      </c>
      <c r="B8371" t="s">
        <v>2791</v>
      </c>
      <c r="C8371" t="s">
        <v>927</v>
      </c>
      <c r="D8371" t="s">
        <v>3052</v>
      </c>
      <c r="E8371" t="s">
        <v>3053</v>
      </c>
      <c r="F8371" t="s">
        <v>774</v>
      </c>
      <c r="G8371" t="s">
        <v>775</v>
      </c>
      <c r="H8371" t="s">
        <v>8640</v>
      </c>
      <c r="I8371">
        <v>8</v>
      </c>
      <c r="J8371">
        <v>0</v>
      </c>
      <c r="K8371">
        <v>0</v>
      </c>
      <c r="L8371">
        <v>8</v>
      </c>
      <c r="M8371">
        <v>0</v>
      </c>
      <c r="N8371">
        <v>0</v>
      </c>
      <c r="O8371">
        <v>0</v>
      </c>
    </row>
    <row r="8372" spans="1:15" x14ac:dyDescent="0.25">
      <c r="A8372" t="s">
        <v>10652</v>
      </c>
      <c r="B8372" t="s">
        <v>3002</v>
      </c>
      <c r="C8372" t="s">
        <v>927</v>
      </c>
      <c r="D8372" t="s">
        <v>3052</v>
      </c>
      <c r="E8372" t="s">
        <v>3053</v>
      </c>
      <c r="F8372" t="s">
        <v>774</v>
      </c>
      <c r="G8372" t="s">
        <v>775</v>
      </c>
      <c r="H8372" t="s">
        <v>11387</v>
      </c>
      <c r="I8372">
        <v>342</v>
      </c>
      <c r="J8372">
        <v>297</v>
      </c>
      <c r="K8372">
        <v>0</v>
      </c>
      <c r="L8372">
        <v>0</v>
      </c>
      <c r="M8372">
        <v>0</v>
      </c>
      <c r="N8372">
        <v>0</v>
      </c>
      <c r="O8372">
        <v>45</v>
      </c>
    </row>
    <row r="8373" spans="1:15" x14ac:dyDescent="0.25">
      <c r="A8373" t="s">
        <v>940</v>
      </c>
      <c r="B8373" t="s">
        <v>2647</v>
      </c>
      <c r="C8373" t="s">
        <v>927</v>
      </c>
      <c r="D8373" t="s">
        <v>3052</v>
      </c>
      <c r="E8373" t="s">
        <v>3053</v>
      </c>
      <c r="F8373" t="s">
        <v>774</v>
      </c>
      <c r="G8373" t="s">
        <v>775</v>
      </c>
      <c r="H8373" t="s">
        <v>8641</v>
      </c>
      <c r="I8373">
        <v>103</v>
      </c>
      <c r="J8373">
        <v>0</v>
      </c>
      <c r="K8373">
        <v>0</v>
      </c>
      <c r="L8373">
        <v>0</v>
      </c>
      <c r="M8373">
        <v>103</v>
      </c>
      <c r="N8373">
        <v>0</v>
      </c>
      <c r="O8373">
        <v>0</v>
      </c>
    </row>
    <row r="8374" spans="1:15" x14ac:dyDescent="0.25">
      <c r="A8374" t="s">
        <v>1013</v>
      </c>
      <c r="B8374" t="s">
        <v>1959</v>
      </c>
      <c r="C8374" t="s">
        <v>927</v>
      </c>
      <c r="D8374" t="s">
        <v>3052</v>
      </c>
      <c r="E8374" t="s">
        <v>3053</v>
      </c>
      <c r="F8374" t="s">
        <v>774</v>
      </c>
      <c r="G8374" t="s">
        <v>775</v>
      </c>
      <c r="H8374" t="s">
        <v>8642</v>
      </c>
      <c r="I8374">
        <v>45</v>
      </c>
      <c r="J8374">
        <v>0</v>
      </c>
      <c r="K8374">
        <v>0</v>
      </c>
      <c r="L8374">
        <v>45</v>
      </c>
      <c r="M8374">
        <v>0</v>
      </c>
      <c r="N8374">
        <v>0</v>
      </c>
      <c r="O8374">
        <v>0</v>
      </c>
    </row>
    <row r="8375" spans="1:15" x14ac:dyDescent="0.25">
      <c r="A8375" t="s">
        <v>1030</v>
      </c>
      <c r="B8375" t="s">
        <v>2880</v>
      </c>
      <c r="C8375" t="s">
        <v>927</v>
      </c>
      <c r="D8375" t="s">
        <v>3052</v>
      </c>
      <c r="E8375" t="s">
        <v>3053</v>
      </c>
      <c r="F8375" t="s">
        <v>774</v>
      </c>
      <c r="G8375" t="s">
        <v>775</v>
      </c>
      <c r="H8375" t="s">
        <v>12420</v>
      </c>
      <c r="I8375">
        <v>4</v>
      </c>
      <c r="J8375">
        <v>0</v>
      </c>
      <c r="K8375">
        <v>0</v>
      </c>
      <c r="L8375">
        <v>0</v>
      </c>
      <c r="M8375">
        <v>0</v>
      </c>
      <c r="N8375">
        <v>0</v>
      </c>
      <c r="O8375">
        <v>4</v>
      </c>
    </row>
    <row r="8376" spans="1:15" x14ac:dyDescent="0.25">
      <c r="A8376" t="s">
        <v>9827</v>
      </c>
      <c r="B8376" t="s">
        <v>2208</v>
      </c>
      <c r="C8376" t="s">
        <v>923</v>
      </c>
      <c r="D8376" t="s">
        <v>3063</v>
      </c>
      <c r="E8376" t="s">
        <v>3053</v>
      </c>
      <c r="F8376" t="s">
        <v>774</v>
      </c>
      <c r="G8376" t="s">
        <v>775</v>
      </c>
      <c r="H8376" t="s">
        <v>10228</v>
      </c>
      <c r="I8376">
        <v>37</v>
      </c>
      <c r="J8376">
        <v>0</v>
      </c>
      <c r="K8376">
        <v>0</v>
      </c>
      <c r="L8376">
        <v>0</v>
      </c>
      <c r="M8376">
        <v>37</v>
      </c>
      <c r="N8376">
        <v>0</v>
      </c>
      <c r="O8376">
        <v>0</v>
      </c>
    </row>
    <row r="8377" spans="1:15" x14ac:dyDescent="0.25">
      <c r="A8377" t="s">
        <v>951</v>
      </c>
      <c r="B8377" t="s">
        <v>2680</v>
      </c>
      <c r="C8377" t="s">
        <v>927</v>
      </c>
      <c r="D8377" t="s">
        <v>3052</v>
      </c>
      <c r="E8377" t="s">
        <v>3053</v>
      </c>
      <c r="F8377" t="s">
        <v>774</v>
      </c>
      <c r="G8377" t="s">
        <v>775</v>
      </c>
      <c r="H8377" t="s">
        <v>8643</v>
      </c>
      <c r="I8377">
        <v>1</v>
      </c>
      <c r="J8377">
        <v>0</v>
      </c>
      <c r="K8377">
        <v>0</v>
      </c>
      <c r="L8377">
        <v>0</v>
      </c>
      <c r="M8377">
        <v>0</v>
      </c>
      <c r="N8377">
        <v>0</v>
      </c>
      <c r="O8377">
        <v>1</v>
      </c>
    </row>
    <row r="8378" spans="1:15" x14ac:dyDescent="0.25">
      <c r="A8378" t="s">
        <v>1051</v>
      </c>
      <c r="B8378" t="s">
        <v>2995</v>
      </c>
      <c r="C8378" t="s">
        <v>927</v>
      </c>
      <c r="D8378" t="s">
        <v>3052</v>
      </c>
      <c r="E8378" t="s">
        <v>3053</v>
      </c>
      <c r="F8378" t="s">
        <v>774</v>
      </c>
      <c r="G8378" t="s">
        <v>775</v>
      </c>
      <c r="H8378" t="s">
        <v>15321</v>
      </c>
      <c r="I8378">
        <v>1</v>
      </c>
      <c r="J8378">
        <v>0</v>
      </c>
      <c r="K8378">
        <v>0</v>
      </c>
      <c r="L8378">
        <v>1</v>
      </c>
      <c r="M8378">
        <v>0</v>
      </c>
      <c r="N8378">
        <v>0</v>
      </c>
      <c r="O8378">
        <v>0</v>
      </c>
    </row>
    <row r="8379" spans="1:15" x14ac:dyDescent="0.25">
      <c r="A8379" t="s">
        <v>953</v>
      </c>
      <c r="B8379" t="s">
        <v>2014</v>
      </c>
      <c r="C8379" t="s">
        <v>927</v>
      </c>
      <c r="D8379" t="s">
        <v>3052</v>
      </c>
      <c r="E8379" t="s">
        <v>3053</v>
      </c>
      <c r="F8379" t="s">
        <v>774</v>
      </c>
      <c r="G8379" t="s">
        <v>775</v>
      </c>
      <c r="H8379" t="s">
        <v>8644</v>
      </c>
      <c r="I8379">
        <v>4</v>
      </c>
      <c r="J8379">
        <v>0</v>
      </c>
      <c r="K8379">
        <v>0</v>
      </c>
      <c r="L8379">
        <v>4</v>
      </c>
      <c r="M8379">
        <v>0</v>
      </c>
      <c r="N8379">
        <v>0</v>
      </c>
      <c r="O8379">
        <v>0</v>
      </c>
    </row>
    <row r="8380" spans="1:15" x14ac:dyDescent="0.25">
      <c r="A8380" t="s">
        <v>11720</v>
      </c>
      <c r="B8380" t="s">
        <v>10718</v>
      </c>
      <c r="C8380" t="s">
        <v>927</v>
      </c>
      <c r="D8380" t="s">
        <v>3052</v>
      </c>
      <c r="E8380" t="s">
        <v>3053</v>
      </c>
      <c r="F8380" t="s">
        <v>774</v>
      </c>
      <c r="G8380" t="s">
        <v>775</v>
      </c>
      <c r="H8380" t="s">
        <v>15322</v>
      </c>
      <c r="I8380">
        <v>10</v>
      </c>
      <c r="J8380">
        <v>0</v>
      </c>
      <c r="K8380">
        <v>0</v>
      </c>
      <c r="L8380">
        <v>0</v>
      </c>
      <c r="M8380">
        <v>0</v>
      </c>
      <c r="N8380">
        <v>0</v>
      </c>
      <c r="O8380">
        <v>10</v>
      </c>
    </row>
    <row r="8381" spans="1:15" x14ac:dyDescent="0.25">
      <c r="A8381" t="s">
        <v>1057</v>
      </c>
      <c r="B8381" t="s">
        <v>1972</v>
      </c>
      <c r="C8381" t="s">
        <v>927</v>
      </c>
      <c r="D8381" t="s">
        <v>3052</v>
      </c>
      <c r="E8381" t="s">
        <v>3053</v>
      </c>
      <c r="F8381" t="s">
        <v>774</v>
      </c>
      <c r="G8381" t="s">
        <v>775</v>
      </c>
      <c r="H8381" t="s">
        <v>8645</v>
      </c>
      <c r="I8381">
        <v>265</v>
      </c>
      <c r="J8381">
        <v>146</v>
      </c>
      <c r="K8381">
        <v>0</v>
      </c>
      <c r="L8381">
        <v>12</v>
      </c>
      <c r="M8381">
        <v>69</v>
      </c>
      <c r="N8381">
        <v>0</v>
      </c>
      <c r="O8381">
        <v>38</v>
      </c>
    </row>
    <row r="8382" spans="1:15" x14ac:dyDescent="0.25">
      <c r="A8382" t="s">
        <v>955</v>
      </c>
      <c r="B8382" t="s">
        <v>2660</v>
      </c>
      <c r="C8382" t="s">
        <v>927</v>
      </c>
      <c r="D8382" t="s">
        <v>3052</v>
      </c>
      <c r="E8382" t="s">
        <v>3053</v>
      </c>
      <c r="F8382" t="s">
        <v>774</v>
      </c>
      <c r="G8382" t="s">
        <v>775</v>
      </c>
      <c r="H8382" t="s">
        <v>8646</v>
      </c>
      <c r="I8382">
        <v>1103</v>
      </c>
      <c r="J8382">
        <v>908</v>
      </c>
      <c r="K8382">
        <v>0</v>
      </c>
      <c r="L8382">
        <v>12</v>
      </c>
      <c r="M8382">
        <v>101</v>
      </c>
      <c r="N8382">
        <v>0</v>
      </c>
      <c r="O8382">
        <v>82</v>
      </c>
    </row>
    <row r="8383" spans="1:15" x14ac:dyDescent="0.25">
      <c r="A8383" t="s">
        <v>1841</v>
      </c>
      <c r="B8383" t="s">
        <v>2740</v>
      </c>
      <c r="C8383" t="s">
        <v>923</v>
      </c>
      <c r="D8383" t="s">
        <v>3063</v>
      </c>
      <c r="E8383" t="s">
        <v>3053</v>
      </c>
      <c r="F8383" t="s">
        <v>774</v>
      </c>
      <c r="G8383" t="s">
        <v>775</v>
      </c>
      <c r="H8383" t="s">
        <v>10411</v>
      </c>
      <c r="I8383">
        <v>4</v>
      </c>
      <c r="J8383">
        <v>4</v>
      </c>
      <c r="K8383">
        <v>0</v>
      </c>
      <c r="L8383">
        <v>0</v>
      </c>
      <c r="M8383">
        <v>0</v>
      </c>
      <c r="N8383">
        <v>0</v>
      </c>
      <c r="O8383">
        <v>0</v>
      </c>
    </row>
    <row r="8384" spans="1:15" x14ac:dyDescent="0.25">
      <c r="A8384" t="s">
        <v>1861</v>
      </c>
      <c r="B8384" t="s">
        <v>3011</v>
      </c>
      <c r="C8384" t="s">
        <v>927</v>
      </c>
      <c r="D8384" t="s">
        <v>3052</v>
      </c>
      <c r="E8384" t="s">
        <v>3053</v>
      </c>
      <c r="F8384" t="s">
        <v>774</v>
      </c>
      <c r="G8384" t="s">
        <v>775</v>
      </c>
      <c r="H8384" t="s">
        <v>8647</v>
      </c>
      <c r="I8384">
        <v>9901</v>
      </c>
      <c r="J8384">
        <v>8238</v>
      </c>
      <c r="K8384">
        <v>0</v>
      </c>
      <c r="L8384">
        <v>152</v>
      </c>
      <c r="M8384">
        <v>1358</v>
      </c>
      <c r="N8384">
        <v>6</v>
      </c>
      <c r="O8384">
        <v>153</v>
      </c>
    </row>
    <row r="8385" spans="1:15" x14ac:dyDescent="0.25">
      <c r="A8385" t="s">
        <v>1077</v>
      </c>
      <c r="B8385" t="s">
        <v>2711</v>
      </c>
      <c r="C8385" t="s">
        <v>927</v>
      </c>
      <c r="D8385" t="s">
        <v>3052</v>
      </c>
      <c r="E8385" t="s">
        <v>3053</v>
      </c>
      <c r="F8385" t="s">
        <v>774</v>
      </c>
      <c r="G8385" t="s">
        <v>775</v>
      </c>
      <c r="H8385" t="s">
        <v>8648</v>
      </c>
      <c r="I8385">
        <v>61</v>
      </c>
      <c r="J8385">
        <v>61</v>
      </c>
      <c r="K8385">
        <v>0</v>
      </c>
      <c r="L8385">
        <v>0</v>
      </c>
      <c r="M8385">
        <v>0</v>
      </c>
      <c r="N8385">
        <v>0</v>
      </c>
      <c r="O8385">
        <v>0</v>
      </c>
    </row>
    <row r="8386" spans="1:15" x14ac:dyDescent="0.25">
      <c r="A8386" t="s">
        <v>1865</v>
      </c>
      <c r="B8386" t="s">
        <v>2866</v>
      </c>
      <c r="C8386" t="s">
        <v>927</v>
      </c>
      <c r="D8386" t="s">
        <v>3052</v>
      </c>
      <c r="E8386" t="s">
        <v>3053</v>
      </c>
      <c r="F8386" t="s">
        <v>774</v>
      </c>
      <c r="G8386" t="s">
        <v>775</v>
      </c>
      <c r="H8386" t="s">
        <v>8649</v>
      </c>
      <c r="I8386">
        <v>286</v>
      </c>
      <c r="J8386">
        <v>190</v>
      </c>
      <c r="K8386">
        <v>0</v>
      </c>
      <c r="L8386">
        <v>0</v>
      </c>
      <c r="M8386">
        <v>0</v>
      </c>
      <c r="N8386">
        <v>0</v>
      </c>
      <c r="O8386">
        <v>96</v>
      </c>
    </row>
    <row r="8387" spans="1:15" x14ac:dyDescent="0.25">
      <c r="A8387" t="s">
        <v>926</v>
      </c>
      <c r="B8387" t="s">
        <v>2923</v>
      </c>
      <c r="C8387" t="s">
        <v>927</v>
      </c>
      <c r="D8387" t="s">
        <v>3052</v>
      </c>
      <c r="E8387" t="s">
        <v>3053</v>
      </c>
      <c r="F8387" t="s">
        <v>776</v>
      </c>
      <c r="G8387" t="s">
        <v>777</v>
      </c>
      <c r="H8387" t="s">
        <v>8650</v>
      </c>
      <c r="I8387">
        <v>13</v>
      </c>
      <c r="J8387">
        <v>0</v>
      </c>
      <c r="K8387">
        <v>0</v>
      </c>
      <c r="L8387">
        <v>9</v>
      </c>
      <c r="M8387">
        <v>0</v>
      </c>
      <c r="N8387">
        <v>0</v>
      </c>
      <c r="O8387">
        <v>4</v>
      </c>
    </row>
    <row r="8388" spans="1:15" x14ac:dyDescent="0.25">
      <c r="A8388" t="s">
        <v>929</v>
      </c>
      <c r="B8388" t="s">
        <v>2999</v>
      </c>
      <c r="C8388" t="s">
        <v>927</v>
      </c>
      <c r="D8388" t="s">
        <v>3052</v>
      </c>
      <c r="E8388" t="s">
        <v>3053</v>
      </c>
      <c r="F8388" t="s">
        <v>776</v>
      </c>
      <c r="G8388" t="s">
        <v>777</v>
      </c>
      <c r="H8388" t="s">
        <v>8651</v>
      </c>
      <c r="I8388">
        <v>355</v>
      </c>
      <c r="J8388">
        <v>20</v>
      </c>
      <c r="K8388">
        <v>0</v>
      </c>
      <c r="L8388">
        <v>0</v>
      </c>
      <c r="M8388">
        <v>335</v>
      </c>
      <c r="N8388">
        <v>0</v>
      </c>
      <c r="O8388">
        <v>0</v>
      </c>
    </row>
    <row r="8389" spans="1:15" x14ac:dyDescent="0.25">
      <c r="A8389" t="s">
        <v>9790</v>
      </c>
      <c r="B8389" t="s">
        <v>1977</v>
      </c>
      <c r="C8389" t="s">
        <v>923</v>
      </c>
      <c r="D8389" t="s">
        <v>3063</v>
      </c>
      <c r="E8389" t="s">
        <v>3053</v>
      </c>
      <c r="F8389" t="s">
        <v>776</v>
      </c>
      <c r="G8389" t="s">
        <v>777</v>
      </c>
      <c r="H8389" t="s">
        <v>12421</v>
      </c>
      <c r="I8389">
        <v>8</v>
      </c>
      <c r="J8389">
        <v>0</v>
      </c>
      <c r="K8389">
        <v>0</v>
      </c>
      <c r="L8389">
        <v>8</v>
      </c>
      <c r="M8389">
        <v>0</v>
      </c>
      <c r="N8389">
        <v>0</v>
      </c>
      <c r="O8389">
        <v>0</v>
      </c>
    </row>
    <row r="8390" spans="1:15" x14ac:dyDescent="0.25">
      <c r="A8390" t="s">
        <v>1100</v>
      </c>
      <c r="B8390" t="s">
        <v>2855</v>
      </c>
      <c r="C8390" t="s">
        <v>927</v>
      </c>
      <c r="D8390" t="s">
        <v>3052</v>
      </c>
      <c r="E8390" t="s">
        <v>3053</v>
      </c>
      <c r="F8390" t="s">
        <v>776</v>
      </c>
      <c r="G8390" t="s">
        <v>777</v>
      </c>
      <c r="H8390" t="s">
        <v>8652</v>
      </c>
      <c r="I8390">
        <v>381</v>
      </c>
      <c r="J8390">
        <v>361</v>
      </c>
      <c r="K8390">
        <v>0</v>
      </c>
      <c r="L8390">
        <v>0</v>
      </c>
      <c r="M8390">
        <v>0</v>
      </c>
      <c r="N8390">
        <v>0</v>
      </c>
      <c r="O8390">
        <v>20</v>
      </c>
    </row>
    <row r="8391" spans="1:15" x14ac:dyDescent="0.25">
      <c r="A8391" t="s">
        <v>933</v>
      </c>
      <c r="B8391" t="s">
        <v>2106</v>
      </c>
      <c r="C8391" t="s">
        <v>927</v>
      </c>
      <c r="D8391" t="s">
        <v>3052</v>
      </c>
      <c r="E8391" t="s">
        <v>3053</v>
      </c>
      <c r="F8391" t="s">
        <v>776</v>
      </c>
      <c r="G8391" t="s">
        <v>777</v>
      </c>
      <c r="H8391" t="s">
        <v>8653</v>
      </c>
      <c r="I8391">
        <v>68</v>
      </c>
      <c r="J8391">
        <v>58</v>
      </c>
      <c r="K8391">
        <v>0</v>
      </c>
      <c r="L8391">
        <v>8</v>
      </c>
      <c r="M8391">
        <v>0</v>
      </c>
      <c r="N8391">
        <v>0</v>
      </c>
      <c r="O8391">
        <v>2</v>
      </c>
    </row>
    <row r="8392" spans="1:15" x14ac:dyDescent="0.25">
      <c r="A8392" t="s">
        <v>996</v>
      </c>
      <c r="B8392" t="s">
        <v>1952</v>
      </c>
      <c r="C8392" t="s">
        <v>923</v>
      </c>
      <c r="D8392" t="s">
        <v>3063</v>
      </c>
      <c r="E8392" t="s">
        <v>3053</v>
      </c>
      <c r="F8392" t="s">
        <v>776</v>
      </c>
      <c r="G8392" t="s">
        <v>777</v>
      </c>
      <c r="H8392" t="s">
        <v>8654</v>
      </c>
      <c r="I8392">
        <v>1</v>
      </c>
      <c r="J8392">
        <v>0</v>
      </c>
      <c r="K8392">
        <v>0</v>
      </c>
      <c r="L8392">
        <v>1</v>
      </c>
      <c r="M8392">
        <v>0</v>
      </c>
      <c r="N8392">
        <v>0</v>
      </c>
      <c r="O8392">
        <v>0</v>
      </c>
    </row>
    <row r="8393" spans="1:15" x14ac:dyDescent="0.25">
      <c r="A8393" t="s">
        <v>1110</v>
      </c>
      <c r="B8393" t="s">
        <v>2888</v>
      </c>
      <c r="C8393" t="s">
        <v>927</v>
      </c>
      <c r="D8393" t="s">
        <v>3052</v>
      </c>
      <c r="E8393" t="s">
        <v>3053</v>
      </c>
      <c r="F8393" t="s">
        <v>776</v>
      </c>
      <c r="G8393" t="s">
        <v>777</v>
      </c>
      <c r="H8393" t="s">
        <v>10059</v>
      </c>
      <c r="I8393">
        <v>679</v>
      </c>
      <c r="J8393">
        <v>467</v>
      </c>
      <c r="K8393">
        <v>0</v>
      </c>
      <c r="L8393">
        <v>57</v>
      </c>
      <c r="M8393">
        <v>97</v>
      </c>
      <c r="N8393">
        <v>1</v>
      </c>
      <c r="O8393">
        <v>58</v>
      </c>
    </row>
    <row r="8394" spans="1:15" x14ac:dyDescent="0.25">
      <c r="A8394" t="s">
        <v>935</v>
      </c>
      <c r="B8394" t="s">
        <v>1960</v>
      </c>
      <c r="C8394" t="s">
        <v>923</v>
      </c>
      <c r="D8394" t="s">
        <v>3063</v>
      </c>
      <c r="E8394" t="s">
        <v>3053</v>
      </c>
      <c r="F8394" t="s">
        <v>776</v>
      </c>
      <c r="G8394" t="s">
        <v>777</v>
      </c>
      <c r="H8394" t="s">
        <v>8655</v>
      </c>
      <c r="I8394">
        <v>5</v>
      </c>
      <c r="J8394">
        <v>0</v>
      </c>
      <c r="K8394">
        <v>0</v>
      </c>
      <c r="L8394">
        <v>5</v>
      </c>
      <c r="M8394">
        <v>0</v>
      </c>
      <c r="N8394">
        <v>0</v>
      </c>
      <c r="O8394">
        <v>0</v>
      </c>
    </row>
    <row r="8395" spans="1:15" x14ac:dyDescent="0.25">
      <c r="A8395" t="s">
        <v>998</v>
      </c>
      <c r="B8395" t="s">
        <v>2820</v>
      </c>
      <c r="C8395" t="s">
        <v>927</v>
      </c>
      <c r="D8395" t="s">
        <v>3052</v>
      </c>
      <c r="E8395" t="s">
        <v>3053</v>
      </c>
      <c r="F8395" t="s">
        <v>776</v>
      </c>
      <c r="G8395" t="s">
        <v>777</v>
      </c>
      <c r="H8395" t="s">
        <v>8656</v>
      </c>
      <c r="I8395">
        <v>47</v>
      </c>
      <c r="J8395">
        <v>45</v>
      </c>
      <c r="K8395">
        <v>0</v>
      </c>
      <c r="L8395">
        <v>0</v>
      </c>
      <c r="M8395">
        <v>0</v>
      </c>
      <c r="N8395">
        <v>0</v>
      </c>
      <c r="O8395">
        <v>2</v>
      </c>
    </row>
    <row r="8396" spans="1:15" x14ac:dyDescent="0.25">
      <c r="A8396" t="s">
        <v>1111</v>
      </c>
      <c r="B8396" t="s">
        <v>2795</v>
      </c>
      <c r="C8396" t="s">
        <v>927</v>
      </c>
      <c r="D8396" t="s">
        <v>3052</v>
      </c>
      <c r="E8396" t="s">
        <v>3053</v>
      </c>
      <c r="F8396" t="s">
        <v>776</v>
      </c>
      <c r="G8396" t="s">
        <v>777</v>
      </c>
      <c r="H8396" t="s">
        <v>8657</v>
      </c>
      <c r="I8396">
        <v>98</v>
      </c>
      <c r="J8396">
        <v>89</v>
      </c>
      <c r="K8396">
        <v>0</v>
      </c>
      <c r="L8396">
        <v>0</v>
      </c>
      <c r="M8396">
        <v>0</v>
      </c>
      <c r="N8396">
        <v>0</v>
      </c>
      <c r="O8396">
        <v>9</v>
      </c>
    </row>
    <row r="8397" spans="1:15" x14ac:dyDescent="0.25">
      <c r="A8397" t="s">
        <v>1113</v>
      </c>
      <c r="B8397" t="s">
        <v>1953</v>
      </c>
      <c r="C8397" t="s">
        <v>927</v>
      </c>
      <c r="D8397" t="s">
        <v>3052</v>
      </c>
      <c r="E8397" t="s">
        <v>3053</v>
      </c>
      <c r="F8397" t="s">
        <v>776</v>
      </c>
      <c r="G8397" t="s">
        <v>777</v>
      </c>
      <c r="H8397" t="s">
        <v>8658</v>
      </c>
      <c r="I8397">
        <v>144</v>
      </c>
      <c r="J8397">
        <v>106</v>
      </c>
      <c r="K8397">
        <v>0</v>
      </c>
      <c r="L8397">
        <v>8</v>
      </c>
      <c r="M8397">
        <v>0</v>
      </c>
      <c r="N8397">
        <v>3</v>
      </c>
      <c r="O8397">
        <v>30</v>
      </c>
    </row>
    <row r="8398" spans="1:15" x14ac:dyDescent="0.25">
      <c r="A8398" t="s">
        <v>10630</v>
      </c>
      <c r="B8398" t="s">
        <v>10629</v>
      </c>
      <c r="C8398" t="s">
        <v>923</v>
      </c>
      <c r="D8398" t="s">
        <v>3063</v>
      </c>
      <c r="E8398" t="s">
        <v>3053</v>
      </c>
      <c r="F8398" t="s">
        <v>776</v>
      </c>
      <c r="G8398" t="s">
        <v>777</v>
      </c>
      <c r="H8398" t="s">
        <v>15323</v>
      </c>
      <c r="I8398">
        <v>8</v>
      </c>
      <c r="J8398">
        <v>8</v>
      </c>
      <c r="K8398">
        <v>0</v>
      </c>
      <c r="L8398">
        <v>0</v>
      </c>
      <c r="M8398">
        <v>0</v>
      </c>
      <c r="N8398">
        <v>0</v>
      </c>
      <c r="O8398">
        <v>0</v>
      </c>
    </row>
    <row r="8399" spans="1:15" x14ac:dyDescent="0.25">
      <c r="A8399" t="s">
        <v>10638</v>
      </c>
      <c r="B8399" t="s">
        <v>2057</v>
      </c>
      <c r="C8399" t="s">
        <v>927</v>
      </c>
      <c r="D8399" t="s">
        <v>3052</v>
      </c>
      <c r="E8399" t="s">
        <v>3053</v>
      </c>
      <c r="F8399" t="s">
        <v>776</v>
      </c>
      <c r="G8399" t="s">
        <v>777</v>
      </c>
      <c r="H8399" t="s">
        <v>11388</v>
      </c>
      <c r="I8399">
        <v>17</v>
      </c>
      <c r="J8399">
        <v>0</v>
      </c>
      <c r="K8399">
        <v>0</v>
      </c>
      <c r="L8399">
        <v>17</v>
      </c>
      <c r="M8399">
        <v>0</v>
      </c>
      <c r="N8399">
        <v>0</v>
      </c>
      <c r="O8399">
        <v>0</v>
      </c>
    </row>
    <row r="8400" spans="1:15" x14ac:dyDescent="0.25">
      <c r="A8400" t="s">
        <v>1009</v>
      </c>
      <c r="B8400" t="s">
        <v>1958</v>
      </c>
      <c r="C8400" t="s">
        <v>923</v>
      </c>
      <c r="D8400" t="s">
        <v>3063</v>
      </c>
      <c r="E8400" t="s">
        <v>3053</v>
      </c>
      <c r="F8400" t="s">
        <v>776</v>
      </c>
      <c r="G8400" t="s">
        <v>777</v>
      </c>
      <c r="H8400" t="s">
        <v>12422</v>
      </c>
      <c r="I8400">
        <v>7</v>
      </c>
      <c r="J8400">
        <v>0</v>
      </c>
      <c r="K8400">
        <v>0</v>
      </c>
      <c r="L8400">
        <v>7</v>
      </c>
      <c r="M8400">
        <v>0</v>
      </c>
      <c r="N8400">
        <v>0</v>
      </c>
      <c r="O8400">
        <v>0</v>
      </c>
    </row>
    <row r="8401" spans="1:15" x14ac:dyDescent="0.25">
      <c r="A8401" t="s">
        <v>1010</v>
      </c>
      <c r="B8401" t="s">
        <v>2639</v>
      </c>
      <c r="C8401" t="s">
        <v>927</v>
      </c>
      <c r="D8401" t="s">
        <v>3052</v>
      </c>
      <c r="E8401" t="s">
        <v>3053</v>
      </c>
      <c r="F8401" t="s">
        <v>776</v>
      </c>
      <c r="G8401" t="s">
        <v>777</v>
      </c>
      <c r="H8401" t="s">
        <v>8659</v>
      </c>
      <c r="I8401">
        <v>12</v>
      </c>
      <c r="J8401">
        <v>12</v>
      </c>
      <c r="K8401">
        <v>0</v>
      </c>
      <c r="L8401">
        <v>0</v>
      </c>
      <c r="M8401">
        <v>0</v>
      </c>
      <c r="N8401">
        <v>0</v>
      </c>
      <c r="O8401">
        <v>0</v>
      </c>
    </row>
    <row r="8402" spans="1:15" x14ac:dyDescent="0.25">
      <c r="A8402" t="s">
        <v>937</v>
      </c>
      <c r="B8402" t="s">
        <v>1962</v>
      </c>
      <c r="C8402" t="s">
        <v>927</v>
      </c>
      <c r="D8402" t="s">
        <v>3052</v>
      </c>
      <c r="E8402" t="s">
        <v>3053</v>
      </c>
      <c r="F8402" t="s">
        <v>776</v>
      </c>
      <c r="G8402" t="s">
        <v>777</v>
      </c>
      <c r="H8402" t="s">
        <v>8660</v>
      </c>
      <c r="I8402">
        <v>34</v>
      </c>
      <c r="J8402">
        <v>0</v>
      </c>
      <c r="K8402">
        <v>0</v>
      </c>
      <c r="L8402">
        <v>0</v>
      </c>
      <c r="M8402">
        <v>0</v>
      </c>
      <c r="N8402">
        <v>0</v>
      </c>
      <c r="O8402">
        <v>34</v>
      </c>
    </row>
    <row r="8403" spans="1:15" x14ac:dyDescent="0.25">
      <c r="A8403" t="s">
        <v>938</v>
      </c>
      <c r="B8403" t="s">
        <v>2791</v>
      </c>
      <c r="C8403" t="s">
        <v>927</v>
      </c>
      <c r="D8403" t="s">
        <v>3052</v>
      </c>
      <c r="E8403" t="s">
        <v>3053</v>
      </c>
      <c r="F8403" t="s">
        <v>776</v>
      </c>
      <c r="G8403" t="s">
        <v>777</v>
      </c>
      <c r="H8403" t="s">
        <v>8661</v>
      </c>
      <c r="I8403">
        <v>17</v>
      </c>
      <c r="J8403">
        <v>0</v>
      </c>
      <c r="K8403">
        <v>0</v>
      </c>
      <c r="L8403">
        <v>0</v>
      </c>
      <c r="M8403">
        <v>0</v>
      </c>
      <c r="N8403">
        <v>0</v>
      </c>
      <c r="O8403">
        <v>17</v>
      </c>
    </row>
    <row r="8404" spans="1:15" x14ac:dyDescent="0.25">
      <c r="A8404" t="s">
        <v>940</v>
      </c>
      <c r="B8404" t="s">
        <v>2647</v>
      </c>
      <c r="C8404" t="s">
        <v>927</v>
      </c>
      <c r="D8404" t="s">
        <v>3052</v>
      </c>
      <c r="E8404" t="s">
        <v>3053</v>
      </c>
      <c r="F8404" t="s">
        <v>776</v>
      </c>
      <c r="G8404" t="s">
        <v>777</v>
      </c>
      <c r="H8404" t="s">
        <v>8662</v>
      </c>
      <c r="I8404">
        <v>74</v>
      </c>
      <c r="J8404">
        <v>0</v>
      </c>
      <c r="K8404">
        <v>0</v>
      </c>
      <c r="L8404">
        <v>0</v>
      </c>
      <c r="M8404">
        <v>74</v>
      </c>
      <c r="N8404">
        <v>0</v>
      </c>
      <c r="O8404">
        <v>0</v>
      </c>
    </row>
    <row r="8405" spans="1:15" x14ac:dyDescent="0.25">
      <c r="A8405" t="s">
        <v>1013</v>
      </c>
      <c r="B8405" t="s">
        <v>1959</v>
      </c>
      <c r="C8405" t="s">
        <v>927</v>
      </c>
      <c r="D8405" t="s">
        <v>3052</v>
      </c>
      <c r="E8405" t="s">
        <v>3053</v>
      </c>
      <c r="F8405" t="s">
        <v>776</v>
      </c>
      <c r="G8405" t="s">
        <v>777</v>
      </c>
      <c r="H8405" t="s">
        <v>8663</v>
      </c>
      <c r="I8405">
        <v>17</v>
      </c>
      <c r="J8405">
        <v>0</v>
      </c>
      <c r="K8405">
        <v>0</v>
      </c>
      <c r="L8405">
        <v>17</v>
      </c>
      <c r="M8405">
        <v>0</v>
      </c>
      <c r="N8405">
        <v>0</v>
      </c>
      <c r="O8405">
        <v>0</v>
      </c>
    </row>
    <row r="8406" spans="1:15" x14ac:dyDescent="0.25">
      <c r="A8406" t="s">
        <v>10667</v>
      </c>
      <c r="B8406" t="s">
        <v>10666</v>
      </c>
      <c r="C8406" t="s">
        <v>927</v>
      </c>
      <c r="D8406" t="s">
        <v>3052</v>
      </c>
      <c r="E8406" t="s">
        <v>3053</v>
      </c>
      <c r="F8406" t="s">
        <v>776</v>
      </c>
      <c r="G8406" t="s">
        <v>777</v>
      </c>
      <c r="H8406" t="s">
        <v>12423</v>
      </c>
      <c r="I8406">
        <v>1</v>
      </c>
      <c r="J8406">
        <v>1</v>
      </c>
      <c r="K8406">
        <v>0</v>
      </c>
      <c r="L8406">
        <v>0</v>
      </c>
      <c r="M8406">
        <v>0</v>
      </c>
      <c r="N8406">
        <v>0</v>
      </c>
      <c r="O8406">
        <v>0</v>
      </c>
    </row>
    <row r="8407" spans="1:15" x14ac:dyDescent="0.25">
      <c r="A8407" t="s">
        <v>1126</v>
      </c>
      <c r="B8407" t="s">
        <v>2130</v>
      </c>
      <c r="C8407" t="s">
        <v>927</v>
      </c>
      <c r="D8407" t="s">
        <v>3052</v>
      </c>
      <c r="E8407" t="s">
        <v>3053</v>
      </c>
      <c r="F8407" t="s">
        <v>776</v>
      </c>
      <c r="G8407" t="s">
        <v>777</v>
      </c>
      <c r="H8407" t="s">
        <v>11389</v>
      </c>
      <c r="I8407">
        <v>19</v>
      </c>
      <c r="J8407">
        <v>12</v>
      </c>
      <c r="K8407">
        <v>0</v>
      </c>
      <c r="L8407">
        <v>0</v>
      </c>
      <c r="M8407">
        <v>0</v>
      </c>
      <c r="N8407">
        <v>0</v>
      </c>
      <c r="O8407">
        <v>7</v>
      </c>
    </row>
    <row r="8408" spans="1:15" x14ac:dyDescent="0.25">
      <c r="A8408" t="s">
        <v>1020</v>
      </c>
      <c r="B8408" t="s">
        <v>2104</v>
      </c>
      <c r="C8408" t="s">
        <v>923</v>
      </c>
      <c r="D8408" t="s">
        <v>3063</v>
      </c>
      <c r="E8408" t="s">
        <v>3053</v>
      </c>
      <c r="F8408" t="s">
        <v>776</v>
      </c>
      <c r="G8408" t="s">
        <v>777</v>
      </c>
      <c r="H8408" t="s">
        <v>8664</v>
      </c>
      <c r="I8408">
        <v>4</v>
      </c>
      <c r="J8408">
        <v>0</v>
      </c>
      <c r="K8408">
        <v>0</v>
      </c>
      <c r="L8408">
        <v>4</v>
      </c>
      <c r="M8408">
        <v>0</v>
      </c>
      <c r="N8408">
        <v>0</v>
      </c>
      <c r="O8408">
        <v>0</v>
      </c>
    </row>
    <row r="8409" spans="1:15" x14ac:dyDescent="0.25">
      <c r="A8409" t="s">
        <v>1025</v>
      </c>
      <c r="B8409" t="s">
        <v>2893</v>
      </c>
      <c r="C8409" t="s">
        <v>927</v>
      </c>
      <c r="D8409" t="s">
        <v>3052</v>
      </c>
      <c r="E8409" t="s">
        <v>3053</v>
      </c>
      <c r="F8409" t="s">
        <v>776</v>
      </c>
      <c r="G8409" t="s">
        <v>777</v>
      </c>
      <c r="H8409" t="s">
        <v>8665</v>
      </c>
      <c r="I8409">
        <v>123</v>
      </c>
      <c r="J8409">
        <v>122</v>
      </c>
      <c r="K8409">
        <v>0</v>
      </c>
      <c r="L8409">
        <v>0</v>
      </c>
      <c r="M8409">
        <v>0</v>
      </c>
      <c r="N8409">
        <v>3</v>
      </c>
      <c r="O8409">
        <v>1</v>
      </c>
    </row>
    <row r="8410" spans="1:15" x14ac:dyDescent="0.25">
      <c r="A8410" t="s">
        <v>10681</v>
      </c>
      <c r="B8410" t="s">
        <v>10680</v>
      </c>
      <c r="C8410" t="s">
        <v>927</v>
      </c>
      <c r="D8410" t="s">
        <v>3052</v>
      </c>
      <c r="E8410" t="s">
        <v>3053</v>
      </c>
      <c r="F8410" t="s">
        <v>776</v>
      </c>
      <c r="G8410" t="s">
        <v>777</v>
      </c>
      <c r="H8410" t="s">
        <v>15324</v>
      </c>
      <c r="I8410">
        <v>5</v>
      </c>
      <c r="J8410">
        <v>0</v>
      </c>
      <c r="K8410">
        <v>0</v>
      </c>
      <c r="L8410">
        <v>0</v>
      </c>
      <c r="M8410">
        <v>0</v>
      </c>
      <c r="N8410">
        <v>0</v>
      </c>
      <c r="O8410">
        <v>5</v>
      </c>
    </row>
    <row r="8411" spans="1:15" x14ac:dyDescent="0.25">
      <c r="A8411" t="s">
        <v>1033</v>
      </c>
      <c r="B8411" t="s">
        <v>2039</v>
      </c>
      <c r="C8411" t="s">
        <v>923</v>
      </c>
      <c r="D8411" t="s">
        <v>3063</v>
      </c>
      <c r="E8411" t="s">
        <v>3053</v>
      </c>
      <c r="F8411" t="s">
        <v>776</v>
      </c>
      <c r="G8411" t="s">
        <v>777</v>
      </c>
      <c r="H8411" t="s">
        <v>8666</v>
      </c>
      <c r="I8411">
        <v>13</v>
      </c>
      <c r="J8411">
        <v>0</v>
      </c>
      <c r="K8411">
        <v>0</v>
      </c>
      <c r="L8411">
        <v>13</v>
      </c>
      <c r="M8411">
        <v>0</v>
      </c>
      <c r="N8411">
        <v>0</v>
      </c>
      <c r="O8411">
        <v>0</v>
      </c>
    </row>
    <row r="8412" spans="1:15" x14ac:dyDescent="0.25">
      <c r="A8412" t="s">
        <v>1141</v>
      </c>
      <c r="B8412" t="s">
        <v>2642</v>
      </c>
      <c r="C8412" t="s">
        <v>927</v>
      </c>
      <c r="D8412" t="s">
        <v>3052</v>
      </c>
      <c r="E8412" t="s">
        <v>3053</v>
      </c>
      <c r="F8412" t="s">
        <v>776</v>
      </c>
      <c r="G8412" t="s">
        <v>777</v>
      </c>
      <c r="H8412" t="s">
        <v>8667</v>
      </c>
      <c r="I8412">
        <v>24</v>
      </c>
      <c r="J8412">
        <v>8</v>
      </c>
      <c r="K8412">
        <v>0</v>
      </c>
      <c r="L8412">
        <v>9</v>
      </c>
      <c r="M8412">
        <v>0</v>
      </c>
      <c r="N8412">
        <v>0</v>
      </c>
      <c r="O8412">
        <v>7</v>
      </c>
    </row>
    <row r="8413" spans="1:15" x14ac:dyDescent="0.25">
      <c r="A8413" t="s">
        <v>1146</v>
      </c>
      <c r="B8413" t="s">
        <v>2117</v>
      </c>
      <c r="C8413" t="s">
        <v>927</v>
      </c>
      <c r="D8413" t="s">
        <v>3052</v>
      </c>
      <c r="E8413" t="s">
        <v>3053</v>
      </c>
      <c r="F8413" t="s">
        <v>776</v>
      </c>
      <c r="G8413" t="s">
        <v>777</v>
      </c>
      <c r="H8413" t="s">
        <v>11390</v>
      </c>
      <c r="I8413">
        <v>63</v>
      </c>
      <c r="J8413">
        <v>23</v>
      </c>
      <c r="K8413">
        <v>0</v>
      </c>
      <c r="L8413">
        <v>40</v>
      </c>
      <c r="M8413">
        <v>0</v>
      </c>
      <c r="N8413">
        <v>0</v>
      </c>
      <c r="O8413">
        <v>0</v>
      </c>
    </row>
    <row r="8414" spans="1:15" x14ac:dyDescent="0.25">
      <c r="A8414" t="s">
        <v>951</v>
      </c>
      <c r="B8414" t="s">
        <v>2680</v>
      </c>
      <c r="C8414" t="s">
        <v>927</v>
      </c>
      <c r="D8414" t="s">
        <v>3052</v>
      </c>
      <c r="E8414" t="s">
        <v>3053</v>
      </c>
      <c r="F8414" t="s">
        <v>776</v>
      </c>
      <c r="G8414" t="s">
        <v>777</v>
      </c>
      <c r="H8414" t="s">
        <v>8668</v>
      </c>
      <c r="I8414">
        <v>543</v>
      </c>
      <c r="J8414">
        <v>543</v>
      </c>
      <c r="K8414">
        <v>0</v>
      </c>
      <c r="L8414">
        <v>0</v>
      </c>
      <c r="M8414">
        <v>0</v>
      </c>
      <c r="N8414">
        <v>0</v>
      </c>
      <c r="O8414">
        <v>0</v>
      </c>
    </row>
    <row r="8415" spans="1:15" x14ac:dyDescent="0.25">
      <c r="A8415" t="s">
        <v>1051</v>
      </c>
      <c r="B8415" t="s">
        <v>2995</v>
      </c>
      <c r="C8415" t="s">
        <v>927</v>
      </c>
      <c r="D8415" t="s">
        <v>3052</v>
      </c>
      <c r="E8415" t="s">
        <v>3053</v>
      </c>
      <c r="F8415" t="s">
        <v>776</v>
      </c>
      <c r="G8415" t="s">
        <v>777</v>
      </c>
      <c r="H8415" t="s">
        <v>8669</v>
      </c>
      <c r="I8415">
        <v>2</v>
      </c>
      <c r="J8415">
        <v>0</v>
      </c>
      <c r="K8415">
        <v>0</v>
      </c>
      <c r="L8415">
        <v>2</v>
      </c>
      <c r="M8415">
        <v>0</v>
      </c>
      <c r="N8415">
        <v>0</v>
      </c>
      <c r="O8415">
        <v>0</v>
      </c>
    </row>
    <row r="8416" spans="1:15" x14ac:dyDescent="0.25">
      <c r="A8416" t="s">
        <v>953</v>
      </c>
      <c r="B8416" t="s">
        <v>2014</v>
      </c>
      <c r="C8416" t="s">
        <v>927</v>
      </c>
      <c r="D8416" t="s">
        <v>3052</v>
      </c>
      <c r="E8416" t="s">
        <v>3053</v>
      </c>
      <c r="F8416" t="s">
        <v>776</v>
      </c>
      <c r="G8416" t="s">
        <v>777</v>
      </c>
      <c r="H8416" t="s">
        <v>10324</v>
      </c>
      <c r="I8416">
        <v>1</v>
      </c>
      <c r="J8416">
        <v>0</v>
      </c>
      <c r="K8416">
        <v>0</v>
      </c>
      <c r="L8416">
        <v>1</v>
      </c>
      <c r="M8416">
        <v>0</v>
      </c>
      <c r="N8416">
        <v>0</v>
      </c>
      <c r="O8416">
        <v>0</v>
      </c>
    </row>
    <row r="8417" spans="1:15" x14ac:dyDescent="0.25">
      <c r="A8417" t="s">
        <v>1152</v>
      </c>
      <c r="B8417" t="s">
        <v>3031</v>
      </c>
      <c r="C8417" t="s">
        <v>927</v>
      </c>
      <c r="D8417" t="s">
        <v>3052</v>
      </c>
      <c r="E8417" t="s">
        <v>3053</v>
      </c>
      <c r="F8417" t="s">
        <v>776</v>
      </c>
      <c r="G8417" t="s">
        <v>777</v>
      </c>
      <c r="H8417" t="s">
        <v>8670</v>
      </c>
      <c r="I8417">
        <v>1</v>
      </c>
      <c r="J8417">
        <v>0</v>
      </c>
      <c r="K8417">
        <v>0</v>
      </c>
      <c r="L8417">
        <v>0</v>
      </c>
      <c r="M8417">
        <v>0</v>
      </c>
      <c r="N8417">
        <v>0</v>
      </c>
      <c r="O8417">
        <v>1</v>
      </c>
    </row>
    <row r="8418" spans="1:15" x14ac:dyDescent="0.25">
      <c r="A8418" t="s">
        <v>11720</v>
      </c>
      <c r="B8418" t="s">
        <v>10718</v>
      </c>
      <c r="C8418" t="s">
        <v>927</v>
      </c>
      <c r="D8418" t="s">
        <v>3052</v>
      </c>
      <c r="E8418" t="s">
        <v>3053</v>
      </c>
      <c r="F8418" t="s">
        <v>776</v>
      </c>
      <c r="G8418" t="s">
        <v>777</v>
      </c>
      <c r="H8418" t="s">
        <v>15325</v>
      </c>
      <c r="I8418">
        <v>22</v>
      </c>
      <c r="J8418">
        <v>9</v>
      </c>
      <c r="K8418">
        <v>0</v>
      </c>
      <c r="L8418">
        <v>0</v>
      </c>
      <c r="M8418">
        <v>0</v>
      </c>
      <c r="N8418">
        <v>0</v>
      </c>
      <c r="O8418">
        <v>13</v>
      </c>
    </row>
    <row r="8419" spans="1:15" x14ac:dyDescent="0.25">
      <c r="A8419" t="s">
        <v>9788</v>
      </c>
      <c r="B8419" t="s">
        <v>9871</v>
      </c>
      <c r="C8419" t="s">
        <v>927</v>
      </c>
      <c r="D8419" t="s">
        <v>3052</v>
      </c>
      <c r="E8419" t="s">
        <v>3053</v>
      </c>
      <c r="F8419" t="s">
        <v>776</v>
      </c>
      <c r="G8419" t="s">
        <v>777</v>
      </c>
      <c r="H8419" t="s">
        <v>10383</v>
      </c>
      <c r="I8419">
        <v>50</v>
      </c>
      <c r="J8419">
        <v>50</v>
      </c>
      <c r="K8419">
        <v>0</v>
      </c>
      <c r="L8419">
        <v>0</v>
      </c>
      <c r="M8419">
        <v>0</v>
      </c>
      <c r="N8419">
        <v>0</v>
      </c>
      <c r="O8419">
        <v>0</v>
      </c>
    </row>
    <row r="8420" spans="1:15" x14ac:dyDescent="0.25">
      <c r="A8420" t="s">
        <v>1056</v>
      </c>
      <c r="B8420" t="s">
        <v>2966</v>
      </c>
      <c r="C8420" t="s">
        <v>927</v>
      </c>
      <c r="D8420" t="s">
        <v>3052</v>
      </c>
      <c r="E8420" t="s">
        <v>3053</v>
      </c>
      <c r="F8420" t="s">
        <v>776</v>
      </c>
      <c r="G8420" t="s">
        <v>777</v>
      </c>
      <c r="H8420" t="s">
        <v>8671</v>
      </c>
      <c r="I8420">
        <v>56</v>
      </c>
      <c r="J8420">
        <v>56</v>
      </c>
      <c r="K8420">
        <v>0</v>
      </c>
      <c r="L8420">
        <v>0</v>
      </c>
      <c r="M8420">
        <v>0</v>
      </c>
      <c r="N8420">
        <v>0</v>
      </c>
      <c r="O8420">
        <v>0</v>
      </c>
    </row>
    <row r="8421" spans="1:15" x14ac:dyDescent="0.25">
      <c r="A8421" t="s">
        <v>1057</v>
      </c>
      <c r="B8421" t="s">
        <v>1972</v>
      </c>
      <c r="C8421" t="s">
        <v>927</v>
      </c>
      <c r="D8421" t="s">
        <v>3052</v>
      </c>
      <c r="E8421" t="s">
        <v>3053</v>
      </c>
      <c r="F8421" t="s">
        <v>776</v>
      </c>
      <c r="G8421" t="s">
        <v>777</v>
      </c>
      <c r="H8421" t="s">
        <v>8672</v>
      </c>
      <c r="I8421">
        <v>67</v>
      </c>
      <c r="J8421">
        <v>18</v>
      </c>
      <c r="K8421">
        <v>0</v>
      </c>
      <c r="L8421">
        <v>17</v>
      </c>
      <c r="M8421">
        <v>0</v>
      </c>
      <c r="N8421">
        <v>0</v>
      </c>
      <c r="O8421">
        <v>32</v>
      </c>
    </row>
    <row r="8422" spans="1:15" x14ac:dyDescent="0.25">
      <c r="A8422" t="s">
        <v>955</v>
      </c>
      <c r="B8422" t="s">
        <v>2660</v>
      </c>
      <c r="C8422" t="s">
        <v>927</v>
      </c>
      <c r="D8422" t="s">
        <v>3052</v>
      </c>
      <c r="E8422" t="s">
        <v>3053</v>
      </c>
      <c r="F8422" t="s">
        <v>776</v>
      </c>
      <c r="G8422" t="s">
        <v>777</v>
      </c>
      <c r="H8422" t="s">
        <v>8673</v>
      </c>
      <c r="I8422">
        <v>144</v>
      </c>
      <c r="J8422">
        <v>108</v>
      </c>
      <c r="K8422">
        <v>0</v>
      </c>
      <c r="L8422">
        <v>5</v>
      </c>
      <c r="M8422">
        <v>31</v>
      </c>
      <c r="N8422">
        <v>0</v>
      </c>
      <c r="O8422">
        <v>0</v>
      </c>
    </row>
    <row r="8423" spans="1:15" x14ac:dyDescent="0.25">
      <c r="A8423" t="s">
        <v>14374</v>
      </c>
      <c r="B8423" t="s">
        <v>1943</v>
      </c>
      <c r="C8423" t="s">
        <v>927</v>
      </c>
      <c r="D8423" t="s">
        <v>3052</v>
      </c>
      <c r="E8423" t="s">
        <v>3053</v>
      </c>
      <c r="F8423" t="s">
        <v>776</v>
      </c>
      <c r="G8423" t="s">
        <v>777</v>
      </c>
      <c r="H8423" t="s">
        <v>15326</v>
      </c>
      <c r="I8423">
        <v>24</v>
      </c>
      <c r="J8423">
        <v>0</v>
      </c>
      <c r="K8423">
        <v>0</v>
      </c>
      <c r="L8423">
        <v>0</v>
      </c>
      <c r="M8423">
        <v>0</v>
      </c>
      <c r="N8423">
        <v>0</v>
      </c>
      <c r="O8423">
        <v>24</v>
      </c>
    </row>
    <row r="8424" spans="1:15" x14ac:dyDescent="0.25">
      <c r="A8424" t="s">
        <v>1159</v>
      </c>
      <c r="B8424" t="s">
        <v>2829</v>
      </c>
      <c r="C8424" t="s">
        <v>927</v>
      </c>
      <c r="D8424" t="s">
        <v>3052</v>
      </c>
      <c r="E8424" t="s">
        <v>3053</v>
      </c>
      <c r="F8424" t="s">
        <v>776</v>
      </c>
      <c r="G8424" t="s">
        <v>777</v>
      </c>
      <c r="H8424" t="s">
        <v>8674</v>
      </c>
      <c r="I8424">
        <v>134</v>
      </c>
      <c r="J8424">
        <v>110</v>
      </c>
      <c r="K8424">
        <v>0</v>
      </c>
      <c r="L8424">
        <v>24</v>
      </c>
      <c r="M8424">
        <v>0</v>
      </c>
      <c r="N8424">
        <v>1</v>
      </c>
      <c r="O8424">
        <v>0</v>
      </c>
    </row>
    <row r="8425" spans="1:15" x14ac:dyDescent="0.25">
      <c r="A8425" t="s">
        <v>1069</v>
      </c>
      <c r="B8425" t="s">
        <v>2001</v>
      </c>
      <c r="C8425" t="s">
        <v>927</v>
      </c>
      <c r="D8425" t="s">
        <v>3052</v>
      </c>
      <c r="E8425" t="s">
        <v>3053</v>
      </c>
      <c r="F8425" t="s">
        <v>776</v>
      </c>
      <c r="G8425" t="s">
        <v>777</v>
      </c>
      <c r="H8425" t="s">
        <v>8675</v>
      </c>
      <c r="I8425">
        <v>39</v>
      </c>
      <c r="J8425">
        <v>39</v>
      </c>
      <c r="K8425">
        <v>0</v>
      </c>
      <c r="L8425">
        <v>0</v>
      </c>
      <c r="M8425">
        <v>0</v>
      </c>
      <c r="N8425">
        <v>0</v>
      </c>
      <c r="O8425">
        <v>0</v>
      </c>
    </row>
    <row r="8426" spans="1:15" x14ac:dyDescent="0.25">
      <c r="A8426" t="s">
        <v>1072</v>
      </c>
      <c r="B8426" t="s">
        <v>2907</v>
      </c>
      <c r="C8426" t="s">
        <v>927</v>
      </c>
      <c r="D8426" t="s">
        <v>3052</v>
      </c>
      <c r="E8426" t="s">
        <v>3053</v>
      </c>
      <c r="F8426" t="s">
        <v>776</v>
      </c>
      <c r="G8426" t="s">
        <v>777</v>
      </c>
      <c r="H8426" t="s">
        <v>8676</v>
      </c>
      <c r="I8426">
        <v>28</v>
      </c>
      <c r="J8426">
        <v>12</v>
      </c>
      <c r="K8426">
        <v>0</v>
      </c>
      <c r="L8426">
        <v>0</v>
      </c>
      <c r="M8426">
        <v>16</v>
      </c>
      <c r="N8426">
        <v>0</v>
      </c>
      <c r="O8426">
        <v>0</v>
      </c>
    </row>
    <row r="8427" spans="1:15" x14ac:dyDescent="0.25">
      <c r="A8427" t="s">
        <v>922</v>
      </c>
      <c r="B8427" t="s">
        <v>2573</v>
      </c>
      <c r="C8427" t="s">
        <v>923</v>
      </c>
      <c r="D8427" t="s">
        <v>3063</v>
      </c>
      <c r="E8427" t="s">
        <v>3053</v>
      </c>
      <c r="F8427" t="s">
        <v>778</v>
      </c>
      <c r="G8427" t="s">
        <v>779</v>
      </c>
      <c r="H8427" t="s">
        <v>8677</v>
      </c>
      <c r="I8427">
        <v>12</v>
      </c>
      <c r="J8427">
        <v>0</v>
      </c>
      <c r="K8427">
        <v>0</v>
      </c>
      <c r="L8427">
        <v>0</v>
      </c>
      <c r="M8427">
        <v>12</v>
      </c>
      <c r="N8427">
        <v>0</v>
      </c>
      <c r="O8427">
        <v>0</v>
      </c>
    </row>
    <row r="8428" spans="1:15" x14ac:dyDescent="0.25">
      <c r="A8428" t="s">
        <v>10568</v>
      </c>
      <c r="B8428" t="s">
        <v>10567</v>
      </c>
      <c r="C8428" t="s">
        <v>927</v>
      </c>
      <c r="D8428" t="s">
        <v>3052</v>
      </c>
      <c r="E8428" t="s">
        <v>3053</v>
      </c>
      <c r="F8428" t="s">
        <v>778</v>
      </c>
      <c r="G8428" t="s">
        <v>779</v>
      </c>
      <c r="H8428" t="s">
        <v>11391</v>
      </c>
      <c r="I8428">
        <v>327</v>
      </c>
      <c r="J8428">
        <v>295</v>
      </c>
      <c r="K8428">
        <v>0</v>
      </c>
      <c r="L8428">
        <v>0</v>
      </c>
      <c r="M8428">
        <v>0</v>
      </c>
      <c r="N8428">
        <v>0</v>
      </c>
      <c r="O8428">
        <v>32</v>
      </c>
    </row>
    <row r="8429" spans="1:15" x14ac:dyDescent="0.25">
      <c r="A8429" t="s">
        <v>926</v>
      </c>
      <c r="B8429" t="s">
        <v>2923</v>
      </c>
      <c r="C8429" t="s">
        <v>927</v>
      </c>
      <c r="D8429" t="s">
        <v>3052</v>
      </c>
      <c r="E8429" t="s">
        <v>3053</v>
      </c>
      <c r="F8429" t="s">
        <v>778</v>
      </c>
      <c r="G8429" t="s">
        <v>779</v>
      </c>
      <c r="H8429" t="s">
        <v>8678</v>
      </c>
      <c r="I8429">
        <v>19</v>
      </c>
      <c r="J8429">
        <v>0</v>
      </c>
      <c r="K8429">
        <v>0</v>
      </c>
      <c r="L8429">
        <v>15</v>
      </c>
      <c r="M8429">
        <v>0</v>
      </c>
      <c r="N8429">
        <v>0</v>
      </c>
      <c r="O8429">
        <v>4</v>
      </c>
    </row>
    <row r="8430" spans="1:15" x14ac:dyDescent="0.25">
      <c r="A8430" t="s">
        <v>929</v>
      </c>
      <c r="B8430" t="s">
        <v>2999</v>
      </c>
      <c r="C8430" t="s">
        <v>927</v>
      </c>
      <c r="D8430" t="s">
        <v>3052</v>
      </c>
      <c r="E8430" t="s">
        <v>3053</v>
      </c>
      <c r="F8430" t="s">
        <v>778</v>
      </c>
      <c r="G8430" t="s">
        <v>779</v>
      </c>
      <c r="H8430" t="s">
        <v>8679</v>
      </c>
      <c r="I8430">
        <v>103</v>
      </c>
      <c r="J8430">
        <v>8</v>
      </c>
      <c r="K8430">
        <v>0</v>
      </c>
      <c r="L8430">
        <v>0</v>
      </c>
      <c r="M8430">
        <v>95</v>
      </c>
      <c r="N8430">
        <v>0</v>
      </c>
      <c r="O8430">
        <v>0</v>
      </c>
    </row>
    <row r="8431" spans="1:15" x14ac:dyDescent="0.25">
      <c r="A8431" t="s">
        <v>1575</v>
      </c>
      <c r="B8431" t="s">
        <v>2112</v>
      </c>
      <c r="C8431" t="s">
        <v>927</v>
      </c>
      <c r="D8431" t="s">
        <v>3052</v>
      </c>
      <c r="E8431" t="s">
        <v>3053</v>
      </c>
      <c r="F8431" t="s">
        <v>778</v>
      </c>
      <c r="G8431" t="s">
        <v>779</v>
      </c>
      <c r="H8431" t="s">
        <v>8680</v>
      </c>
      <c r="I8431">
        <v>115</v>
      </c>
      <c r="J8431">
        <v>112</v>
      </c>
      <c r="K8431">
        <v>0</v>
      </c>
      <c r="L8431">
        <v>3</v>
      </c>
      <c r="M8431">
        <v>0</v>
      </c>
      <c r="N8431">
        <v>0</v>
      </c>
      <c r="O8431">
        <v>0</v>
      </c>
    </row>
    <row r="8432" spans="1:15" x14ac:dyDescent="0.25">
      <c r="A8432" t="s">
        <v>931</v>
      </c>
      <c r="B8432" t="s">
        <v>1978</v>
      </c>
      <c r="C8432" t="s">
        <v>927</v>
      </c>
      <c r="D8432" t="s">
        <v>3052</v>
      </c>
      <c r="E8432" t="s">
        <v>3053</v>
      </c>
      <c r="F8432" t="s">
        <v>778</v>
      </c>
      <c r="G8432" t="s">
        <v>779</v>
      </c>
      <c r="H8432" t="s">
        <v>8681</v>
      </c>
      <c r="I8432">
        <v>5009</v>
      </c>
      <c r="J8432">
        <v>4676</v>
      </c>
      <c r="K8432">
        <v>0</v>
      </c>
      <c r="L8432">
        <v>38</v>
      </c>
      <c r="M8432">
        <v>148</v>
      </c>
      <c r="N8432">
        <v>2</v>
      </c>
      <c r="O8432">
        <v>147</v>
      </c>
    </row>
    <row r="8433" spans="1:15" x14ac:dyDescent="0.25">
      <c r="A8433" t="s">
        <v>933</v>
      </c>
      <c r="B8433" t="s">
        <v>2106</v>
      </c>
      <c r="C8433" t="s">
        <v>927</v>
      </c>
      <c r="D8433" t="s">
        <v>3052</v>
      </c>
      <c r="E8433" t="s">
        <v>3053</v>
      </c>
      <c r="F8433" t="s">
        <v>778</v>
      </c>
      <c r="G8433" t="s">
        <v>779</v>
      </c>
      <c r="H8433" t="s">
        <v>8682</v>
      </c>
      <c r="I8433">
        <v>298</v>
      </c>
      <c r="J8433">
        <v>165</v>
      </c>
      <c r="K8433">
        <v>0</v>
      </c>
      <c r="L8433">
        <v>0</v>
      </c>
      <c r="M8433">
        <v>0</v>
      </c>
      <c r="N8433">
        <v>0</v>
      </c>
      <c r="O8433">
        <v>133</v>
      </c>
    </row>
    <row r="8434" spans="1:15" x14ac:dyDescent="0.25">
      <c r="A8434" t="s">
        <v>996</v>
      </c>
      <c r="B8434" t="s">
        <v>1952</v>
      </c>
      <c r="C8434" t="s">
        <v>923</v>
      </c>
      <c r="D8434" t="s">
        <v>3063</v>
      </c>
      <c r="E8434" t="s">
        <v>3053</v>
      </c>
      <c r="F8434" t="s">
        <v>778</v>
      </c>
      <c r="G8434" t="s">
        <v>779</v>
      </c>
      <c r="H8434" t="s">
        <v>8683</v>
      </c>
      <c r="I8434">
        <v>11</v>
      </c>
      <c r="J8434">
        <v>0</v>
      </c>
      <c r="K8434">
        <v>0</v>
      </c>
      <c r="L8434">
        <v>11</v>
      </c>
      <c r="M8434">
        <v>0</v>
      </c>
      <c r="N8434">
        <v>0</v>
      </c>
      <c r="O8434">
        <v>0</v>
      </c>
    </row>
    <row r="8435" spans="1:15" x14ac:dyDescent="0.25">
      <c r="A8435" t="s">
        <v>998</v>
      </c>
      <c r="B8435" t="s">
        <v>2820</v>
      </c>
      <c r="C8435" t="s">
        <v>927</v>
      </c>
      <c r="D8435" t="s">
        <v>3052</v>
      </c>
      <c r="E8435" t="s">
        <v>3053</v>
      </c>
      <c r="F8435" t="s">
        <v>778</v>
      </c>
      <c r="G8435" t="s">
        <v>779</v>
      </c>
      <c r="H8435" t="s">
        <v>8684</v>
      </c>
      <c r="I8435">
        <v>149</v>
      </c>
      <c r="J8435">
        <v>110</v>
      </c>
      <c r="K8435">
        <v>0</v>
      </c>
      <c r="L8435">
        <v>0</v>
      </c>
      <c r="M8435">
        <v>0</v>
      </c>
      <c r="N8435">
        <v>0</v>
      </c>
      <c r="O8435">
        <v>39</v>
      </c>
    </row>
    <row r="8436" spans="1:15" x14ac:dyDescent="0.25">
      <c r="A8436" t="s">
        <v>1601</v>
      </c>
      <c r="B8436" t="s">
        <v>2930</v>
      </c>
      <c r="C8436" t="s">
        <v>923</v>
      </c>
      <c r="D8436" t="s">
        <v>3063</v>
      </c>
      <c r="E8436" t="s">
        <v>3053</v>
      </c>
      <c r="F8436" t="s">
        <v>778</v>
      </c>
      <c r="G8436" t="s">
        <v>779</v>
      </c>
      <c r="H8436" t="s">
        <v>8685</v>
      </c>
      <c r="I8436">
        <v>254</v>
      </c>
      <c r="J8436">
        <v>185</v>
      </c>
      <c r="K8436">
        <v>0</v>
      </c>
      <c r="L8436">
        <v>69</v>
      </c>
      <c r="M8436">
        <v>0</v>
      </c>
      <c r="N8436">
        <v>5</v>
      </c>
      <c r="O8436">
        <v>0</v>
      </c>
    </row>
    <row r="8437" spans="1:15" x14ac:dyDescent="0.25">
      <c r="A8437" t="s">
        <v>938</v>
      </c>
      <c r="B8437" t="s">
        <v>2791</v>
      </c>
      <c r="C8437" t="s">
        <v>927</v>
      </c>
      <c r="D8437" t="s">
        <v>3052</v>
      </c>
      <c r="E8437" t="s">
        <v>3053</v>
      </c>
      <c r="F8437" t="s">
        <v>778</v>
      </c>
      <c r="G8437" t="s">
        <v>779</v>
      </c>
      <c r="H8437" t="s">
        <v>8686</v>
      </c>
      <c r="I8437">
        <v>8</v>
      </c>
      <c r="J8437">
        <v>0</v>
      </c>
      <c r="K8437">
        <v>0</v>
      </c>
      <c r="L8437">
        <v>8</v>
      </c>
      <c r="M8437">
        <v>0</v>
      </c>
      <c r="N8437">
        <v>0</v>
      </c>
      <c r="O8437">
        <v>0</v>
      </c>
    </row>
    <row r="8438" spans="1:15" x14ac:dyDescent="0.25">
      <c r="A8438" t="s">
        <v>940</v>
      </c>
      <c r="B8438" t="s">
        <v>2647</v>
      </c>
      <c r="C8438" t="s">
        <v>927</v>
      </c>
      <c r="D8438" t="s">
        <v>3052</v>
      </c>
      <c r="E8438" t="s">
        <v>3053</v>
      </c>
      <c r="F8438" t="s">
        <v>778</v>
      </c>
      <c r="G8438" t="s">
        <v>779</v>
      </c>
      <c r="H8438" t="s">
        <v>8687</v>
      </c>
      <c r="I8438">
        <v>55</v>
      </c>
      <c r="J8438">
        <v>0</v>
      </c>
      <c r="K8438">
        <v>0</v>
      </c>
      <c r="L8438">
        <v>0</v>
      </c>
      <c r="M8438">
        <v>55</v>
      </c>
      <c r="N8438">
        <v>0</v>
      </c>
      <c r="O8438">
        <v>0</v>
      </c>
    </row>
    <row r="8439" spans="1:15" x14ac:dyDescent="0.25">
      <c r="A8439" t="s">
        <v>942</v>
      </c>
      <c r="B8439" t="s">
        <v>2113</v>
      </c>
      <c r="C8439" t="s">
        <v>927</v>
      </c>
      <c r="D8439" t="s">
        <v>3052</v>
      </c>
      <c r="E8439" t="s">
        <v>3053</v>
      </c>
      <c r="F8439" t="s">
        <v>778</v>
      </c>
      <c r="G8439" t="s">
        <v>779</v>
      </c>
      <c r="H8439" t="s">
        <v>8688</v>
      </c>
      <c r="I8439">
        <v>1</v>
      </c>
      <c r="J8439">
        <v>0</v>
      </c>
      <c r="K8439">
        <v>0</v>
      </c>
      <c r="L8439">
        <v>0</v>
      </c>
      <c r="M8439">
        <v>0</v>
      </c>
      <c r="N8439">
        <v>0</v>
      </c>
      <c r="O8439">
        <v>1</v>
      </c>
    </row>
    <row r="8440" spans="1:15" x14ac:dyDescent="0.25">
      <c r="A8440" t="s">
        <v>1025</v>
      </c>
      <c r="B8440" t="s">
        <v>2893</v>
      </c>
      <c r="C8440" t="s">
        <v>927</v>
      </c>
      <c r="D8440" t="s">
        <v>3052</v>
      </c>
      <c r="E8440" t="s">
        <v>3053</v>
      </c>
      <c r="F8440" t="s">
        <v>778</v>
      </c>
      <c r="G8440" t="s">
        <v>779</v>
      </c>
      <c r="H8440" t="s">
        <v>8689</v>
      </c>
      <c r="I8440">
        <v>3</v>
      </c>
      <c r="J8440">
        <v>1</v>
      </c>
      <c r="K8440">
        <v>0</v>
      </c>
      <c r="L8440">
        <v>0</v>
      </c>
      <c r="M8440">
        <v>0</v>
      </c>
      <c r="N8440">
        <v>0</v>
      </c>
      <c r="O8440">
        <v>2</v>
      </c>
    </row>
    <row r="8441" spans="1:15" x14ac:dyDescent="0.25">
      <c r="A8441" t="s">
        <v>10681</v>
      </c>
      <c r="B8441" t="s">
        <v>10680</v>
      </c>
      <c r="C8441" t="s">
        <v>927</v>
      </c>
      <c r="D8441" t="s">
        <v>3052</v>
      </c>
      <c r="E8441" t="s">
        <v>3053</v>
      </c>
      <c r="F8441" t="s">
        <v>778</v>
      </c>
      <c r="G8441" t="s">
        <v>779</v>
      </c>
      <c r="H8441" t="s">
        <v>15327</v>
      </c>
      <c r="I8441">
        <v>11</v>
      </c>
      <c r="J8441">
        <v>0</v>
      </c>
      <c r="K8441">
        <v>0</v>
      </c>
      <c r="L8441">
        <v>0</v>
      </c>
      <c r="M8441">
        <v>0</v>
      </c>
      <c r="N8441">
        <v>0</v>
      </c>
      <c r="O8441">
        <v>11</v>
      </c>
    </row>
    <row r="8442" spans="1:15" x14ac:dyDescent="0.25">
      <c r="A8442" t="s">
        <v>945</v>
      </c>
      <c r="B8442" t="s">
        <v>2668</v>
      </c>
      <c r="C8442" t="s">
        <v>927</v>
      </c>
      <c r="D8442" t="s">
        <v>3052</v>
      </c>
      <c r="E8442" t="s">
        <v>3053</v>
      </c>
      <c r="F8442" t="s">
        <v>778</v>
      </c>
      <c r="G8442" t="s">
        <v>779</v>
      </c>
      <c r="H8442" t="s">
        <v>8690</v>
      </c>
      <c r="I8442">
        <v>3</v>
      </c>
      <c r="J8442">
        <v>0</v>
      </c>
      <c r="K8442">
        <v>0</v>
      </c>
      <c r="L8442">
        <v>0</v>
      </c>
      <c r="M8442">
        <v>0</v>
      </c>
      <c r="N8442">
        <v>0</v>
      </c>
      <c r="O8442">
        <v>3</v>
      </c>
    </row>
    <row r="8443" spans="1:15" x14ac:dyDescent="0.25">
      <c r="A8443" t="s">
        <v>1044</v>
      </c>
      <c r="B8443" t="s">
        <v>2000</v>
      </c>
      <c r="C8443" t="s">
        <v>923</v>
      </c>
      <c r="D8443" t="s">
        <v>3063</v>
      </c>
      <c r="E8443" t="s">
        <v>3053</v>
      </c>
      <c r="F8443" t="s">
        <v>778</v>
      </c>
      <c r="G8443" t="s">
        <v>779</v>
      </c>
      <c r="H8443" t="s">
        <v>8691</v>
      </c>
      <c r="I8443">
        <v>4</v>
      </c>
      <c r="J8443">
        <v>0</v>
      </c>
      <c r="K8443">
        <v>0</v>
      </c>
      <c r="L8443">
        <v>4</v>
      </c>
      <c r="M8443">
        <v>0</v>
      </c>
      <c r="N8443">
        <v>0</v>
      </c>
      <c r="O8443">
        <v>0</v>
      </c>
    </row>
    <row r="8444" spans="1:15" x14ac:dyDescent="0.25">
      <c r="A8444" t="s">
        <v>951</v>
      </c>
      <c r="B8444" t="s">
        <v>2680</v>
      </c>
      <c r="C8444" t="s">
        <v>927</v>
      </c>
      <c r="D8444" t="s">
        <v>3052</v>
      </c>
      <c r="E8444" t="s">
        <v>3053</v>
      </c>
      <c r="F8444" t="s">
        <v>778</v>
      </c>
      <c r="G8444" t="s">
        <v>779</v>
      </c>
      <c r="H8444" t="s">
        <v>8692</v>
      </c>
      <c r="I8444">
        <v>18</v>
      </c>
      <c r="J8444">
        <v>17</v>
      </c>
      <c r="K8444">
        <v>0</v>
      </c>
      <c r="L8444">
        <v>0</v>
      </c>
      <c r="M8444">
        <v>0</v>
      </c>
      <c r="N8444">
        <v>0</v>
      </c>
      <c r="O8444">
        <v>1</v>
      </c>
    </row>
    <row r="8445" spans="1:15" x14ac:dyDescent="0.25">
      <c r="A8445" t="s">
        <v>1048</v>
      </c>
      <c r="B8445" t="s">
        <v>2989</v>
      </c>
      <c r="C8445" t="s">
        <v>927</v>
      </c>
      <c r="D8445" t="s">
        <v>3052</v>
      </c>
      <c r="E8445" t="s">
        <v>3053</v>
      </c>
      <c r="F8445" t="s">
        <v>778</v>
      </c>
      <c r="G8445" t="s">
        <v>779</v>
      </c>
      <c r="H8445" t="s">
        <v>11392</v>
      </c>
      <c r="I8445">
        <v>54</v>
      </c>
      <c r="J8445">
        <v>0</v>
      </c>
      <c r="K8445">
        <v>0</v>
      </c>
      <c r="L8445">
        <v>37</v>
      </c>
      <c r="M8445">
        <v>0</v>
      </c>
      <c r="N8445">
        <v>0</v>
      </c>
      <c r="O8445">
        <v>17</v>
      </c>
    </row>
    <row r="8446" spans="1:15" x14ac:dyDescent="0.25">
      <c r="A8446" t="s">
        <v>11720</v>
      </c>
      <c r="B8446" t="s">
        <v>10718</v>
      </c>
      <c r="C8446" t="s">
        <v>927</v>
      </c>
      <c r="D8446" t="s">
        <v>3052</v>
      </c>
      <c r="E8446" t="s">
        <v>3053</v>
      </c>
      <c r="F8446" t="s">
        <v>778</v>
      </c>
      <c r="G8446" t="s">
        <v>779</v>
      </c>
      <c r="H8446" t="s">
        <v>15328</v>
      </c>
      <c r="I8446">
        <v>5</v>
      </c>
      <c r="J8446">
        <v>0</v>
      </c>
      <c r="K8446">
        <v>0</v>
      </c>
      <c r="L8446">
        <v>0</v>
      </c>
      <c r="M8446">
        <v>0</v>
      </c>
      <c r="N8446">
        <v>0</v>
      </c>
      <c r="O8446">
        <v>5</v>
      </c>
    </row>
    <row r="8447" spans="1:15" x14ac:dyDescent="0.25">
      <c r="A8447" t="s">
        <v>9788</v>
      </c>
      <c r="B8447" t="s">
        <v>9871</v>
      </c>
      <c r="C8447" t="s">
        <v>927</v>
      </c>
      <c r="D8447" t="s">
        <v>3052</v>
      </c>
      <c r="E8447" t="s">
        <v>3053</v>
      </c>
      <c r="F8447" t="s">
        <v>778</v>
      </c>
      <c r="G8447" t="s">
        <v>779</v>
      </c>
      <c r="H8447" t="s">
        <v>10384</v>
      </c>
      <c r="I8447">
        <v>154</v>
      </c>
      <c r="J8447">
        <v>154</v>
      </c>
      <c r="K8447">
        <v>0</v>
      </c>
      <c r="L8447">
        <v>0</v>
      </c>
      <c r="M8447">
        <v>0</v>
      </c>
      <c r="N8447">
        <v>0</v>
      </c>
      <c r="O8447">
        <v>0</v>
      </c>
    </row>
    <row r="8448" spans="1:15" x14ac:dyDescent="0.25">
      <c r="A8448" t="s">
        <v>1056</v>
      </c>
      <c r="B8448" t="s">
        <v>2966</v>
      </c>
      <c r="C8448" t="s">
        <v>927</v>
      </c>
      <c r="D8448" t="s">
        <v>3052</v>
      </c>
      <c r="E8448" t="s">
        <v>3053</v>
      </c>
      <c r="F8448" t="s">
        <v>778</v>
      </c>
      <c r="G8448" t="s">
        <v>779</v>
      </c>
      <c r="H8448" t="s">
        <v>8693</v>
      </c>
      <c r="I8448">
        <v>10</v>
      </c>
      <c r="J8448">
        <v>0</v>
      </c>
      <c r="K8448">
        <v>0</v>
      </c>
      <c r="L8448">
        <v>10</v>
      </c>
      <c r="M8448">
        <v>0</v>
      </c>
      <c r="N8448">
        <v>0</v>
      </c>
      <c r="O8448">
        <v>0</v>
      </c>
    </row>
    <row r="8449" spans="1:15" x14ac:dyDescent="0.25">
      <c r="A8449" t="s">
        <v>955</v>
      </c>
      <c r="B8449" t="s">
        <v>2660</v>
      </c>
      <c r="C8449" t="s">
        <v>927</v>
      </c>
      <c r="D8449" t="s">
        <v>3052</v>
      </c>
      <c r="E8449" t="s">
        <v>3053</v>
      </c>
      <c r="F8449" t="s">
        <v>778</v>
      </c>
      <c r="G8449" t="s">
        <v>779</v>
      </c>
      <c r="H8449" t="s">
        <v>8694</v>
      </c>
      <c r="I8449">
        <v>9</v>
      </c>
      <c r="J8449">
        <v>1</v>
      </c>
      <c r="K8449">
        <v>0</v>
      </c>
      <c r="L8449">
        <v>8</v>
      </c>
      <c r="M8449">
        <v>0</v>
      </c>
      <c r="N8449">
        <v>0</v>
      </c>
      <c r="O8449">
        <v>0</v>
      </c>
    </row>
    <row r="8450" spans="1:15" x14ac:dyDescent="0.25">
      <c r="A8450" t="s">
        <v>960</v>
      </c>
      <c r="B8450" t="s">
        <v>2080</v>
      </c>
      <c r="C8450" t="s">
        <v>927</v>
      </c>
      <c r="D8450" t="s">
        <v>3052</v>
      </c>
      <c r="E8450" t="s">
        <v>3053</v>
      </c>
      <c r="F8450" t="s">
        <v>778</v>
      </c>
      <c r="G8450" t="s">
        <v>779</v>
      </c>
      <c r="H8450" t="s">
        <v>8695</v>
      </c>
      <c r="I8450">
        <v>1274</v>
      </c>
      <c r="J8450">
        <v>1008</v>
      </c>
      <c r="K8450">
        <v>0</v>
      </c>
      <c r="L8450">
        <v>64</v>
      </c>
      <c r="M8450">
        <v>0</v>
      </c>
      <c r="N8450">
        <v>5</v>
      </c>
      <c r="O8450">
        <v>202</v>
      </c>
    </row>
    <row r="8451" spans="1:15" x14ac:dyDescent="0.25">
      <c r="A8451" t="s">
        <v>14374</v>
      </c>
      <c r="B8451" t="s">
        <v>1943</v>
      </c>
      <c r="C8451" t="s">
        <v>927</v>
      </c>
      <c r="D8451" t="s">
        <v>3052</v>
      </c>
      <c r="E8451" t="s">
        <v>3053</v>
      </c>
      <c r="F8451" t="s">
        <v>778</v>
      </c>
      <c r="G8451" t="s">
        <v>779</v>
      </c>
      <c r="H8451" t="s">
        <v>15329</v>
      </c>
      <c r="I8451">
        <v>71</v>
      </c>
      <c r="J8451">
        <v>0</v>
      </c>
      <c r="K8451">
        <v>0</v>
      </c>
      <c r="L8451">
        <v>0</v>
      </c>
      <c r="M8451">
        <v>0</v>
      </c>
      <c r="N8451">
        <v>0</v>
      </c>
      <c r="O8451">
        <v>71</v>
      </c>
    </row>
    <row r="8452" spans="1:15" x14ac:dyDescent="0.25">
      <c r="A8452" t="s">
        <v>962</v>
      </c>
      <c r="B8452" t="s">
        <v>2752</v>
      </c>
      <c r="C8452" t="s">
        <v>927</v>
      </c>
      <c r="D8452" t="s">
        <v>3052</v>
      </c>
      <c r="E8452" t="s">
        <v>3053</v>
      </c>
      <c r="F8452" t="s">
        <v>778</v>
      </c>
      <c r="G8452" t="s">
        <v>779</v>
      </c>
      <c r="H8452" t="s">
        <v>8696</v>
      </c>
      <c r="I8452">
        <v>175</v>
      </c>
      <c r="J8452">
        <v>127</v>
      </c>
      <c r="K8452">
        <v>0</v>
      </c>
      <c r="L8452">
        <v>0</v>
      </c>
      <c r="M8452">
        <v>30</v>
      </c>
      <c r="N8452">
        <v>0</v>
      </c>
      <c r="O8452">
        <v>18</v>
      </c>
    </row>
    <row r="8453" spans="1:15" x14ac:dyDescent="0.25">
      <c r="A8453" t="s">
        <v>964</v>
      </c>
      <c r="B8453" t="s">
        <v>1969</v>
      </c>
      <c r="C8453" t="s">
        <v>927</v>
      </c>
      <c r="D8453" t="s">
        <v>3052</v>
      </c>
      <c r="E8453" t="s">
        <v>3053</v>
      </c>
      <c r="F8453" t="s">
        <v>778</v>
      </c>
      <c r="G8453" t="s">
        <v>779</v>
      </c>
      <c r="H8453" t="s">
        <v>8697</v>
      </c>
      <c r="I8453">
        <v>214</v>
      </c>
      <c r="J8453">
        <v>119</v>
      </c>
      <c r="K8453">
        <v>0</v>
      </c>
      <c r="L8453">
        <v>55</v>
      </c>
      <c r="M8453">
        <v>23</v>
      </c>
      <c r="N8453">
        <v>0</v>
      </c>
      <c r="O8453">
        <v>17</v>
      </c>
    </row>
    <row r="8454" spans="1:15" x14ac:dyDescent="0.25">
      <c r="A8454" t="s">
        <v>1674</v>
      </c>
      <c r="B8454" t="s">
        <v>2177</v>
      </c>
      <c r="C8454" t="s">
        <v>923</v>
      </c>
      <c r="D8454" t="s">
        <v>3063</v>
      </c>
      <c r="E8454" t="s">
        <v>3053</v>
      </c>
      <c r="F8454" t="s">
        <v>778</v>
      </c>
      <c r="G8454" t="s">
        <v>779</v>
      </c>
      <c r="H8454" t="s">
        <v>8698</v>
      </c>
      <c r="I8454">
        <v>18</v>
      </c>
      <c r="J8454">
        <v>18</v>
      </c>
      <c r="K8454">
        <v>0</v>
      </c>
      <c r="L8454">
        <v>0</v>
      </c>
      <c r="M8454">
        <v>0</v>
      </c>
      <c r="N8454">
        <v>0</v>
      </c>
      <c r="O8454">
        <v>0</v>
      </c>
    </row>
    <row r="8455" spans="1:15" x14ac:dyDescent="0.25">
      <c r="A8455" t="s">
        <v>966</v>
      </c>
      <c r="B8455" t="s">
        <v>2684</v>
      </c>
      <c r="C8455" t="s">
        <v>927</v>
      </c>
      <c r="D8455" t="s">
        <v>3052</v>
      </c>
      <c r="E8455" t="s">
        <v>3053</v>
      </c>
      <c r="F8455" t="s">
        <v>778</v>
      </c>
      <c r="G8455" t="s">
        <v>779</v>
      </c>
      <c r="H8455" t="s">
        <v>8699</v>
      </c>
      <c r="I8455">
        <v>271</v>
      </c>
      <c r="J8455">
        <v>150</v>
      </c>
      <c r="K8455">
        <v>0</v>
      </c>
      <c r="L8455">
        <v>0</v>
      </c>
      <c r="M8455">
        <v>0</v>
      </c>
      <c r="N8455">
        <v>0</v>
      </c>
      <c r="O8455">
        <v>121</v>
      </c>
    </row>
    <row r="8456" spans="1:15" x14ac:dyDescent="0.25">
      <c r="A8456" t="s">
        <v>1686</v>
      </c>
      <c r="B8456" t="s">
        <v>2988</v>
      </c>
      <c r="C8456" t="s">
        <v>923</v>
      </c>
      <c r="D8456" t="s">
        <v>3063</v>
      </c>
      <c r="E8456" t="s">
        <v>3053</v>
      </c>
      <c r="F8456" t="s">
        <v>778</v>
      </c>
      <c r="G8456" t="s">
        <v>779</v>
      </c>
      <c r="H8456" t="s">
        <v>8700</v>
      </c>
      <c r="I8456">
        <v>25</v>
      </c>
      <c r="J8456">
        <v>0</v>
      </c>
      <c r="K8456">
        <v>0</v>
      </c>
      <c r="L8456">
        <v>25</v>
      </c>
      <c r="M8456">
        <v>0</v>
      </c>
      <c r="N8456">
        <v>0</v>
      </c>
      <c r="O8456">
        <v>0</v>
      </c>
    </row>
    <row r="8457" spans="1:15" x14ac:dyDescent="0.25">
      <c r="A8457" t="s">
        <v>968</v>
      </c>
      <c r="B8457" t="s">
        <v>2091</v>
      </c>
      <c r="C8457" t="s">
        <v>927</v>
      </c>
      <c r="D8457" t="s">
        <v>3052</v>
      </c>
      <c r="E8457" t="s">
        <v>3053</v>
      </c>
      <c r="F8457" t="s">
        <v>778</v>
      </c>
      <c r="G8457" t="s">
        <v>779</v>
      </c>
      <c r="H8457" t="s">
        <v>8701</v>
      </c>
      <c r="I8457">
        <v>1036</v>
      </c>
      <c r="J8457">
        <v>691</v>
      </c>
      <c r="K8457">
        <v>0</v>
      </c>
      <c r="L8457">
        <v>5</v>
      </c>
      <c r="M8457">
        <v>7</v>
      </c>
      <c r="N8457">
        <v>0</v>
      </c>
      <c r="O8457">
        <v>333</v>
      </c>
    </row>
    <row r="8458" spans="1:15" x14ac:dyDescent="0.25">
      <c r="A8458" t="s">
        <v>926</v>
      </c>
      <c r="B8458" t="s">
        <v>2923</v>
      </c>
      <c r="C8458" t="s">
        <v>927</v>
      </c>
      <c r="D8458" t="s">
        <v>3052</v>
      </c>
      <c r="E8458" t="s">
        <v>3053</v>
      </c>
      <c r="F8458" t="s">
        <v>780</v>
      </c>
      <c r="G8458" t="s">
        <v>781</v>
      </c>
      <c r="H8458" t="s">
        <v>8702</v>
      </c>
      <c r="I8458">
        <v>42</v>
      </c>
      <c r="J8458">
        <v>0</v>
      </c>
      <c r="K8458">
        <v>0</v>
      </c>
      <c r="L8458">
        <v>41</v>
      </c>
      <c r="M8458">
        <v>0</v>
      </c>
      <c r="N8458">
        <v>0</v>
      </c>
      <c r="O8458">
        <v>1</v>
      </c>
    </row>
    <row r="8459" spans="1:15" x14ac:dyDescent="0.25">
      <c r="A8459" t="s">
        <v>929</v>
      </c>
      <c r="B8459" t="s">
        <v>2999</v>
      </c>
      <c r="C8459" t="s">
        <v>927</v>
      </c>
      <c r="D8459" t="s">
        <v>3052</v>
      </c>
      <c r="E8459" t="s">
        <v>3053</v>
      </c>
      <c r="F8459" t="s">
        <v>780</v>
      </c>
      <c r="G8459" t="s">
        <v>781</v>
      </c>
      <c r="H8459" t="s">
        <v>8703</v>
      </c>
      <c r="I8459">
        <v>104</v>
      </c>
      <c r="J8459">
        <v>0</v>
      </c>
      <c r="K8459">
        <v>0</v>
      </c>
      <c r="L8459">
        <v>0</v>
      </c>
      <c r="M8459">
        <v>85</v>
      </c>
      <c r="N8459">
        <v>0</v>
      </c>
      <c r="O8459">
        <v>19</v>
      </c>
    </row>
    <row r="8460" spans="1:15" x14ac:dyDescent="0.25">
      <c r="A8460" t="s">
        <v>931</v>
      </c>
      <c r="B8460" t="s">
        <v>1978</v>
      </c>
      <c r="C8460" t="s">
        <v>927</v>
      </c>
      <c r="D8460" t="s">
        <v>3052</v>
      </c>
      <c r="E8460" t="s">
        <v>3053</v>
      </c>
      <c r="F8460" t="s">
        <v>780</v>
      </c>
      <c r="G8460" t="s">
        <v>781</v>
      </c>
      <c r="H8460" t="s">
        <v>11393</v>
      </c>
      <c r="I8460">
        <v>47</v>
      </c>
      <c r="J8460">
        <v>18</v>
      </c>
      <c r="K8460">
        <v>0</v>
      </c>
      <c r="L8460">
        <v>0</v>
      </c>
      <c r="M8460">
        <v>0</v>
      </c>
      <c r="N8460">
        <v>0</v>
      </c>
      <c r="O8460">
        <v>29</v>
      </c>
    </row>
    <row r="8461" spans="1:15" x14ac:dyDescent="0.25">
      <c r="A8461" t="s">
        <v>983</v>
      </c>
      <c r="B8461" t="s">
        <v>2069</v>
      </c>
      <c r="C8461" t="s">
        <v>927</v>
      </c>
      <c r="D8461" t="s">
        <v>3052</v>
      </c>
      <c r="E8461" t="s">
        <v>3053</v>
      </c>
      <c r="F8461" t="s">
        <v>780</v>
      </c>
      <c r="G8461" t="s">
        <v>781</v>
      </c>
      <c r="H8461" t="s">
        <v>8704</v>
      </c>
      <c r="I8461">
        <v>1319</v>
      </c>
      <c r="J8461">
        <v>854</v>
      </c>
      <c r="K8461">
        <v>0</v>
      </c>
      <c r="L8461">
        <v>3</v>
      </c>
      <c r="M8461">
        <v>0</v>
      </c>
      <c r="N8461">
        <v>0</v>
      </c>
      <c r="O8461">
        <v>462</v>
      </c>
    </row>
    <row r="8462" spans="1:15" x14ac:dyDescent="0.25">
      <c r="A8462" t="s">
        <v>1715</v>
      </c>
      <c r="B8462" t="s">
        <v>2136</v>
      </c>
      <c r="C8462" t="s">
        <v>927</v>
      </c>
      <c r="D8462" t="s">
        <v>3052</v>
      </c>
      <c r="E8462" t="s">
        <v>3053</v>
      </c>
      <c r="F8462" t="s">
        <v>780</v>
      </c>
      <c r="G8462" t="s">
        <v>781</v>
      </c>
      <c r="H8462" t="s">
        <v>8705</v>
      </c>
      <c r="I8462">
        <v>25</v>
      </c>
      <c r="J8462">
        <v>25</v>
      </c>
      <c r="K8462">
        <v>0</v>
      </c>
      <c r="L8462">
        <v>0</v>
      </c>
      <c r="M8462">
        <v>0</v>
      </c>
      <c r="N8462">
        <v>0</v>
      </c>
      <c r="O8462">
        <v>0</v>
      </c>
    </row>
    <row r="8463" spans="1:15" x14ac:dyDescent="0.25">
      <c r="A8463" t="s">
        <v>1590</v>
      </c>
      <c r="B8463" t="s">
        <v>2853</v>
      </c>
      <c r="C8463" t="s">
        <v>927</v>
      </c>
      <c r="D8463" t="s">
        <v>3052</v>
      </c>
      <c r="E8463" t="s">
        <v>3053</v>
      </c>
      <c r="F8463" t="s">
        <v>780</v>
      </c>
      <c r="G8463" t="s">
        <v>781</v>
      </c>
      <c r="H8463" t="s">
        <v>8706</v>
      </c>
      <c r="I8463">
        <v>178</v>
      </c>
      <c r="J8463">
        <v>142</v>
      </c>
      <c r="K8463">
        <v>0</v>
      </c>
      <c r="L8463">
        <v>0</v>
      </c>
      <c r="M8463">
        <v>0</v>
      </c>
      <c r="N8463">
        <v>0</v>
      </c>
      <c r="O8463">
        <v>36</v>
      </c>
    </row>
    <row r="8464" spans="1:15" x14ac:dyDescent="0.25">
      <c r="A8464" t="s">
        <v>998</v>
      </c>
      <c r="B8464" t="s">
        <v>2820</v>
      </c>
      <c r="C8464" t="s">
        <v>927</v>
      </c>
      <c r="D8464" t="s">
        <v>3052</v>
      </c>
      <c r="E8464" t="s">
        <v>3053</v>
      </c>
      <c r="F8464" t="s">
        <v>780</v>
      </c>
      <c r="G8464" t="s">
        <v>781</v>
      </c>
      <c r="H8464" t="s">
        <v>8707</v>
      </c>
      <c r="I8464">
        <v>10</v>
      </c>
      <c r="J8464">
        <v>6</v>
      </c>
      <c r="K8464">
        <v>0</v>
      </c>
      <c r="L8464">
        <v>0</v>
      </c>
      <c r="M8464">
        <v>0</v>
      </c>
      <c r="N8464">
        <v>0</v>
      </c>
      <c r="O8464">
        <v>4</v>
      </c>
    </row>
    <row r="8465" spans="1:15" x14ac:dyDescent="0.25">
      <c r="A8465" t="s">
        <v>1737</v>
      </c>
      <c r="B8465" t="s">
        <v>1933</v>
      </c>
      <c r="C8465" t="s">
        <v>927</v>
      </c>
      <c r="D8465" t="s">
        <v>3052</v>
      </c>
      <c r="E8465" t="s">
        <v>3053</v>
      </c>
      <c r="F8465" t="s">
        <v>780</v>
      </c>
      <c r="G8465" t="s">
        <v>781</v>
      </c>
      <c r="H8465" t="s">
        <v>8708</v>
      </c>
      <c r="I8465">
        <v>112</v>
      </c>
      <c r="J8465">
        <v>95</v>
      </c>
      <c r="K8465">
        <v>0</v>
      </c>
      <c r="L8465">
        <v>0</v>
      </c>
      <c r="M8465">
        <v>0</v>
      </c>
      <c r="N8465">
        <v>0</v>
      </c>
      <c r="O8465">
        <v>17</v>
      </c>
    </row>
    <row r="8466" spans="1:15" x14ac:dyDescent="0.25">
      <c r="A8466" t="s">
        <v>10638</v>
      </c>
      <c r="B8466" t="s">
        <v>2057</v>
      </c>
      <c r="C8466" t="s">
        <v>927</v>
      </c>
      <c r="D8466" t="s">
        <v>3052</v>
      </c>
      <c r="E8466" t="s">
        <v>3053</v>
      </c>
      <c r="F8466" t="s">
        <v>780</v>
      </c>
      <c r="G8466" t="s">
        <v>781</v>
      </c>
      <c r="H8466" t="s">
        <v>11394</v>
      </c>
      <c r="I8466">
        <v>8</v>
      </c>
      <c r="J8466">
        <v>0</v>
      </c>
      <c r="K8466">
        <v>0</v>
      </c>
      <c r="L8466">
        <v>8</v>
      </c>
      <c r="M8466">
        <v>0</v>
      </c>
      <c r="N8466">
        <v>0</v>
      </c>
      <c r="O8466">
        <v>0</v>
      </c>
    </row>
    <row r="8467" spans="1:15" x14ac:dyDescent="0.25">
      <c r="A8467" t="s">
        <v>10643</v>
      </c>
      <c r="B8467" t="s">
        <v>2987</v>
      </c>
      <c r="C8467" t="s">
        <v>927</v>
      </c>
      <c r="D8467" t="s">
        <v>3052</v>
      </c>
      <c r="E8467" t="s">
        <v>3053</v>
      </c>
      <c r="F8467" t="s">
        <v>780</v>
      </c>
      <c r="G8467" t="s">
        <v>781</v>
      </c>
      <c r="H8467" t="s">
        <v>11395</v>
      </c>
      <c r="I8467">
        <v>16</v>
      </c>
      <c r="J8467">
        <v>12</v>
      </c>
      <c r="K8467">
        <v>0</v>
      </c>
      <c r="L8467">
        <v>1</v>
      </c>
      <c r="M8467">
        <v>0</v>
      </c>
      <c r="N8467">
        <v>0</v>
      </c>
      <c r="O8467">
        <v>3</v>
      </c>
    </row>
    <row r="8468" spans="1:15" x14ac:dyDescent="0.25">
      <c r="A8468" t="s">
        <v>937</v>
      </c>
      <c r="B8468" t="s">
        <v>1962</v>
      </c>
      <c r="C8468" t="s">
        <v>927</v>
      </c>
      <c r="D8468" t="s">
        <v>3052</v>
      </c>
      <c r="E8468" t="s">
        <v>3053</v>
      </c>
      <c r="F8468" t="s">
        <v>780</v>
      </c>
      <c r="G8468" t="s">
        <v>781</v>
      </c>
      <c r="H8468" t="s">
        <v>8709</v>
      </c>
      <c r="I8468">
        <v>77</v>
      </c>
      <c r="J8468">
        <v>0</v>
      </c>
      <c r="K8468">
        <v>0</v>
      </c>
      <c r="L8468">
        <v>0</v>
      </c>
      <c r="M8468">
        <v>0</v>
      </c>
      <c r="N8468">
        <v>0</v>
      </c>
      <c r="O8468">
        <v>77</v>
      </c>
    </row>
    <row r="8469" spans="1:15" x14ac:dyDescent="0.25">
      <c r="A8469" t="s">
        <v>940</v>
      </c>
      <c r="B8469" t="s">
        <v>2647</v>
      </c>
      <c r="C8469" t="s">
        <v>927</v>
      </c>
      <c r="D8469" t="s">
        <v>3052</v>
      </c>
      <c r="E8469" t="s">
        <v>3053</v>
      </c>
      <c r="F8469" t="s">
        <v>780</v>
      </c>
      <c r="G8469" t="s">
        <v>781</v>
      </c>
      <c r="H8469" t="s">
        <v>8710</v>
      </c>
      <c r="I8469">
        <v>30</v>
      </c>
      <c r="J8469">
        <v>0</v>
      </c>
      <c r="K8469">
        <v>0</v>
      </c>
      <c r="L8469">
        <v>0</v>
      </c>
      <c r="M8469">
        <v>30</v>
      </c>
      <c r="N8469">
        <v>0</v>
      </c>
      <c r="O8469">
        <v>0</v>
      </c>
    </row>
    <row r="8470" spans="1:15" x14ac:dyDescent="0.25">
      <c r="A8470" t="s">
        <v>1018</v>
      </c>
      <c r="B8470" t="s">
        <v>1980</v>
      </c>
      <c r="C8470" t="s">
        <v>923</v>
      </c>
      <c r="D8470" t="s">
        <v>3063</v>
      </c>
      <c r="E8470" t="s">
        <v>3053</v>
      </c>
      <c r="F8470" t="s">
        <v>780</v>
      </c>
      <c r="G8470" t="s">
        <v>781</v>
      </c>
      <c r="H8470" t="s">
        <v>8711</v>
      </c>
      <c r="I8470">
        <v>5</v>
      </c>
      <c r="J8470">
        <v>0</v>
      </c>
      <c r="K8470">
        <v>0</v>
      </c>
      <c r="L8470">
        <v>5</v>
      </c>
      <c r="M8470">
        <v>0</v>
      </c>
      <c r="N8470">
        <v>0</v>
      </c>
      <c r="O8470">
        <v>0</v>
      </c>
    </row>
    <row r="8471" spans="1:15" x14ac:dyDescent="0.25">
      <c r="A8471" t="s">
        <v>942</v>
      </c>
      <c r="B8471" t="s">
        <v>2113</v>
      </c>
      <c r="C8471" t="s">
        <v>927</v>
      </c>
      <c r="D8471" t="s">
        <v>3052</v>
      </c>
      <c r="E8471" t="s">
        <v>3053</v>
      </c>
      <c r="F8471" t="s">
        <v>780</v>
      </c>
      <c r="G8471" t="s">
        <v>781</v>
      </c>
      <c r="H8471" t="s">
        <v>8712</v>
      </c>
      <c r="I8471">
        <v>61</v>
      </c>
      <c r="J8471">
        <v>61</v>
      </c>
      <c r="K8471">
        <v>0</v>
      </c>
      <c r="L8471">
        <v>0</v>
      </c>
      <c r="M8471">
        <v>0</v>
      </c>
      <c r="N8471">
        <v>0</v>
      </c>
      <c r="O8471">
        <v>0</v>
      </c>
    </row>
    <row r="8472" spans="1:15" x14ac:dyDescent="0.25">
      <c r="A8472" t="s">
        <v>10681</v>
      </c>
      <c r="B8472" t="s">
        <v>10680</v>
      </c>
      <c r="C8472" t="s">
        <v>927</v>
      </c>
      <c r="D8472" t="s">
        <v>3052</v>
      </c>
      <c r="E8472" t="s">
        <v>3053</v>
      </c>
      <c r="F8472" t="s">
        <v>780</v>
      </c>
      <c r="G8472" t="s">
        <v>781</v>
      </c>
      <c r="H8472" t="s">
        <v>15330</v>
      </c>
      <c r="I8472">
        <v>1</v>
      </c>
      <c r="J8472">
        <v>0</v>
      </c>
      <c r="K8472">
        <v>0</v>
      </c>
      <c r="L8472">
        <v>0</v>
      </c>
      <c r="M8472">
        <v>0</v>
      </c>
      <c r="N8472">
        <v>0</v>
      </c>
      <c r="O8472">
        <v>1</v>
      </c>
    </row>
    <row r="8473" spans="1:15" x14ac:dyDescent="0.25">
      <c r="A8473" t="s">
        <v>1745</v>
      </c>
      <c r="B8473" t="s">
        <v>2884</v>
      </c>
      <c r="C8473" t="s">
        <v>927</v>
      </c>
      <c r="D8473" t="s">
        <v>3052</v>
      </c>
      <c r="E8473" t="s">
        <v>3053</v>
      </c>
      <c r="F8473" t="s">
        <v>780</v>
      </c>
      <c r="G8473" t="s">
        <v>781</v>
      </c>
      <c r="H8473" t="s">
        <v>8713</v>
      </c>
      <c r="I8473">
        <v>3076</v>
      </c>
      <c r="J8473">
        <v>2574</v>
      </c>
      <c r="K8473">
        <v>0</v>
      </c>
      <c r="L8473">
        <v>0</v>
      </c>
      <c r="M8473">
        <v>422</v>
      </c>
      <c r="N8473">
        <v>3</v>
      </c>
      <c r="O8473">
        <v>80</v>
      </c>
    </row>
    <row r="8474" spans="1:15" x14ac:dyDescent="0.25">
      <c r="A8474" t="s">
        <v>945</v>
      </c>
      <c r="B8474" t="s">
        <v>2668</v>
      </c>
      <c r="C8474" t="s">
        <v>927</v>
      </c>
      <c r="D8474" t="s">
        <v>3052</v>
      </c>
      <c r="E8474" t="s">
        <v>3053</v>
      </c>
      <c r="F8474" t="s">
        <v>780</v>
      </c>
      <c r="G8474" t="s">
        <v>781</v>
      </c>
      <c r="H8474" t="s">
        <v>8714</v>
      </c>
      <c r="I8474">
        <v>2</v>
      </c>
      <c r="J8474">
        <v>0</v>
      </c>
      <c r="K8474">
        <v>0</v>
      </c>
      <c r="L8474">
        <v>0</v>
      </c>
      <c r="M8474">
        <v>0</v>
      </c>
      <c r="N8474">
        <v>0</v>
      </c>
      <c r="O8474">
        <v>2</v>
      </c>
    </row>
    <row r="8475" spans="1:15" x14ac:dyDescent="0.25">
      <c r="A8475" t="s">
        <v>1049</v>
      </c>
      <c r="B8475" t="s">
        <v>2138</v>
      </c>
      <c r="C8475" t="s">
        <v>927</v>
      </c>
      <c r="D8475" t="s">
        <v>3052</v>
      </c>
      <c r="E8475" t="s">
        <v>3053</v>
      </c>
      <c r="F8475" t="s">
        <v>780</v>
      </c>
      <c r="G8475" t="s">
        <v>781</v>
      </c>
      <c r="H8475" t="s">
        <v>8715</v>
      </c>
      <c r="I8475">
        <v>104</v>
      </c>
      <c r="J8475">
        <v>57</v>
      </c>
      <c r="K8475">
        <v>0</v>
      </c>
      <c r="L8475">
        <v>0</v>
      </c>
      <c r="M8475">
        <v>0</v>
      </c>
      <c r="N8475">
        <v>0</v>
      </c>
      <c r="O8475">
        <v>47</v>
      </c>
    </row>
    <row r="8476" spans="1:15" x14ac:dyDescent="0.25">
      <c r="A8476" t="s">
        <v>1758</v>
      </c>
      <c r="B8476" t="s">
        <v>2997</v>
      </c>
      <c r="C8476" t="s">
        <v>927</v>
      </c>
      <c r="D8476" t="s">
        <v>3052</v>
      </c>
      <c r="E8476" t="s">
        <v>3053</v>
      </c>
      <c r="F8476" t="s">
        <v>780</v>
      </c>
      <c r="G8476" t="s">
        <v>781</v>
      </c>
      <c r="H8476" t="s">
        <v>8716</v>
      </c>
      <c r="I8476">
        <v>439</v>
      </c>
      <c r="J8476">
        <v>362</v>
      </c>
      <c r="K8476">
        <v>0</v>
      </c>
      <c r="L8476">
        <v>15</v>
      </c>
      <c r="M8476">
        <v>0</v>
      </c>
      <c r="N8476">
        <v>9</v>
      </c>
      <c r="O8476">
        <v>62</v>
      </c>
    </row>
    <row r="8477" spans="1:15" x14ac:dyDescent="0.25">
      <c r="A8477" t="s">
        <v>11720</v>
      </c>
      <c r="B8477" t="s">
        <v>10718</v>
      </c>
      <c r="C8477" t="s">
        <v>927</v>
      </c>
      <c r="D8477" t="s">
        <v>3052</v>
      </c>
      <c r="E8477" t="s">
        <v>3053</v>
      </c>
      <c r="F8477" t="s">
        <v>780</v>
      </c>
      <c r="G8477" t="s">
        <v>781</v>
      </c>
      <c r="H8477" t="s">
        <v>15331</v>
      </c>
      <c r="I8477">
        <v>13</v>
      </c>
      <c r="J8477">
        <v>0</v>
      </c>
      <c r="K8477">
        <v>0</v>
      </c>
      <c r="L8477">
        <v>0</v>
      </c>
      <c r="M8477">
        <v>0</v>
      </c>
      <c r="N8477">
        <v>0</v>
      </c>
      <c r="O8477">
        <v>13</v>
      </c>
    </row>
    <row r="8478" spans="1:15" x14ac:dyDescent="0.25">
      <c r="A8478" t="s">
        <v>955</v>
      </c>
      <c r="B8478" t="s">
        <v>2660</v>
      </c>
      <c r="C8478" t="s">
        <v>927</v>
      </c>
      <c r="D8478" t="s">
        <v>3052</v>
      </c>
      <c r="E8478" t="s">
        <v>3053</v>
      </c>
      <c r="F8478" t="s">
        <v>780</v>
      </c>
      <c r="G8478" t="s">
        <v>781</v>
      </c>
      <c r="H8478" t="s">
        <v>8717</v>
      </c>
      <c r="I8478">
        <v>19</v>
      </c>
      <c r="J8478">
        <v>19</v>
      </c>
      <c r="K8478">
        <v>0</v>
      </c>
      <c r="L8478">
        <v>0</v>
      </c>
      <c r="M8478">
        <v>0</v>
      </c>
      <c r="N8478">
        <v>0</v>
      </c>
      <c r="O8478">
        <v>0</v>
      </c>
    </row>
    <row r="8479" spans="1:15" x14ac:dyDescent="0.25">
      <c r="A8479" t="s">
        <v>960</v>
      </c>
      <c r="B8479" t="s">
        <v>2080</v>
      </c>
      <c r="C8479" t="s">
        <v>927</v>
      </c>
      <c r="D8479" t="s">
        <v>3052</v>
      </c>
      <c r="E8479" t="s">
        <v>3053</v>
      </c>
      <c r="F8479" t="s">
        <v>780</v>
      </c>
      <c r="G8479" t="s">
        <v>781</v>
      </c>
      <c r="H8479" t="s">
        <v>8718</v>
      </c>
      <c r="I8479">
        <v>540</v>
      </c>
      <c r="J8479">
        <v>334</v>
      </c>
      <c r="K8479">
        <v>0</v>
      </c>
      <c r="L8479">
        <v>0</v>
      </c>
      <c r="M8479">
        <v>0</v>
      </c>
      <c r="N8479">
        <v>0</v>
      </c>
      <c r="O8479">
        <v>206</v>
      </c>
    </row>
    <row r="8480" spans="1:15" x14ac:dyDescent="0.25">
      <c r="A8480" t="s">
        <v>14374</v>
      </c>
      <c r="B8480" t="s">
        <v>1943</v>
      </c>
      <c r="C8480" t="s">
        <v>927</v>
      </c>
      <c r="D8480" t="s">
        <v>3052</v>
      </c>
      <c r="E8480" t="s">
        <v>3053</v>
      </c>
      <c r="F8480" t="s">
        <v>780</v>
      </c>
      <c r="G8480" t="s">
        <v>781</v>
      </c>
      <c r="H8480" t="s">
        <v>15332</v>
      </c>
      <c r="I8480">
        <v>36</v>
      </c>
      <c r="J8480">
        <v>0</v>
      </c>
      <c r="K8480">
        <v>0</v>
      </c>
      <c r="L8480">
        <v>0</v>
      </c>
      <c r="M8480">
        <v>0</v>
      </c>
      <c r="N8480">
        <v>0</v>
      </c>
      <c r="O8480">
        <v>36</v>
      </c>
    </row>
    <row r="8481" spans="1:15" x14ac:dyDescent="0.25">
      <c r="A8481" t="s">
        <v>962</v>
      </c>
      <c r="B8481" t="s">
        <v>2752</v>
      </c>
      <c r="C8481" t="s">
        <v>927</v>
      </c>
      <c r="D8481" t="s">
        <v>3052</v>
      </c>
      <c r="E8481" t="s">
        <v>3053</v>
      </c>
      <c r="F8481" t="s">
        <v>780</v>
      </c>
      <c r="G8481" t="s">
        <v>781</v>
      </c>
      <c r="H8481" t="s">
        <v>10456</v>
      </c>
      <c r="I8481">
        <v>153</v>
      </c>
      <c r="J8481">
        <v>102</v>
      </c>
      <c r="K8481">
        <v>0</v>
      </c>
      <c r="L8481">
        <v>0</v>
      </c>
      <c r="M8481">
        <v>34</v>
      </c>
      <c r="N8481">
        <v>0</v>
      </c>
      <c r="O8481">
        <v>17</v>
      </c>
    </row>
    <row r="8482" spans="1:15" x14ac:dyDescent="0.25">
      <c r="A8482" t="s">
        <v>1069</v>
      </c>
      <c r="B8482" t="s">
        <v>2001</v>
      </c>
      <c r="C8482" t="s">
        <v>927</v>
      </c>
      <c r="D8482" t="s">
        <v>3052</v>
      </c>
      <c r="E8482" t="s">
        <v>3053</v>
      </c>
      <c r="F8482" t="s">
        <v>780</v>
      </c>
      <c r="G8482" t="s">
        <v>781</v>
      </c>
      <c r="H8482" t="s">
        <v>8719</v>
      </c>
      <c r="I8482">
        <v>491</v>
      </c>
      <c r="J8482">
        <v>429</v>
      </c>
      <c r="K8482">
        <v>0</v>
      </c>
      <c r="L8482">
        <v>0</v>
      </c>
      <c r="M8482">
        <v>0</v>
      </c>
      <c r="N8482">
        <v>0</v>
      </c>
      <c r="O8482">
        <v>62</v>
      </c>
    </row>
    <row r="8483" spans="1:15" x14ac:dyDescent="0.25">
      <c r="A8483" t="s">
        <v>1790</v>
      </c>
      <c r="B8483" t="s">
        <v>2865</v>
      </c>
      <c r="C8483" t="s">
        <v>927</v>
      </c>
      <c r="D8483" t="s">
        <v>3052</v>
      </c>
      <c r="E8483" t="s">
        <v>3053</v>
      </c>
      <c r="F8483" t="s">
        <v>780</v>
      </c>
      <c r="G8483" t="s">
        <v>781</v>
      </c>
      <c r="H8483" t="s">
        <v>8720</v>
      </c>
      <c r="I8483">
        <v>247</v>
      </c>
      <c r="J8483">
        <v>154</v>
      </c>
      <c r="K8483">
        <v>0</v>
      </c>
      <c r="L8483">
        <v>0</v>
      </c>
      <c r="M8483">
        <v>0</v>
      </c>
      <c r="N8483">
        <v>0</v>
      </c>
      <c r="O8483">
        <v>93</v>
      </c>
    </row>
    <row r="8484" spans="1:15" x14ac:dyDescent="0.25">
      <c r="A8484" t="s">
        <v>1080</v>
      </c>
      <c r="B8484" t="s">
        <v>2030</v>
      </c>
      <c r="C8484" t="s">
        <v>923</v>
      </c>
      <c r="D8484" t="s">
        <v>3063</v>
      </c>
      <c r="E8484" t="s">
        <v>3053</v>
      </c>
      <c r="F8484" t="s">
        <v>780</v>
      </c>
      <c r="G8484" t="s">
        <v>781</v>
      </c>
      <c r="H8484" t="s">
        <v>8721</v>
      </c>
      <c r="I8484">
        <v>3</v>
      </c>
      <c r="J8484">
        <v>0</v>
      </c>
      <c r="K8484">
        <v>0</v>
      </c>
      <c r="L8484">
        <v>3</v>
      </c>
      <c r="M8484">
        <v>0</v>
      </c>
      <c r="N8484">
        <v>0</v>
      </c>
      <c r="O8484">
        <v>0</v>
      </c>
    </row>
    <row r="8485" spans="1:15" x14ac:dyDescent="0.25">
      <c r="A8485" t="s">
        <v>926</v>
      </c>
      <c r="B8485" t="s">
        <v>2923</v>
      </c>
      <c r="C8485" t="s">
        <v>927</v>
      </c>
      <c r="D8485" t="s">
        <v>3052</v>
      </c>
      <c r="E8485" t="s">
        <v>3053</v>
      </c>
      <c r="F8485" t="s">
        <v>782</v>
      </c>
      <c r="G8485" t="s">
        <v>783</v>
      </c>
      <c r="H8485" t="s">
        <v>8722</v>
      </c>
      <c r="I8485">
        <v>3</v>
      </c>
      <c r="J8485">
        <v>0</v>
      </c>
      <c r="K8485">
        <v>0</v>
      </c>
      <c r="L8485">
        <v>0</v>
      </c>
      <c r="M8485">
        <v>0</v>
      </c>
      <c r="N8485">
        <v>0</v>
      </c>
      <c r="O8485">
        <v>3</v>
      </c>
    </row>
    <row r="8486" spans="1:15" x14ac:dyDescent="0.25">
      <c r="A8486" t="s">
        <v>929</v>
      </c>
      <c r="B8486" t="s">
        <v>2999</v>
      </c>
      <c r="C8486" t="s">
        <v>927</v>
      </c>
      <c r="D8486" t="s">
        <v>3052</v>
      </c>
      <c r="E8486" t="s">
        <v>3053</v>
      </c>
      <c r="F8486" t="s">
        <v>782</v>
      </c>
      <c r="G8486" t="s">
        <v>783</v>
      </c>
      <c r="H8486" t="s">
        <v>8723</v>
      </c>
      <c r="I8486">
        <v>141</v>
      </c>
      <c r="J8486">
        <v>0</v>
      </c>
      <c r="K8486">
        <v>0</v>
      </c>
      <c r="L8486">
        <v>0</v>
      </c>
      <c r="M8486">
        <v>141</v>
      </c>
      <c r="N8486">
        <v>0</v>
      </c>
      <c r="O8486">
        <v>0</v>
      </c>
    </row>
    <row r="8487" spans="1:15" x14ac:dyDescent="0.25">
      <c r="A8487" t="s">
        <v>9784</v>
      </c>
      <c r="B8487" t="s">
        <v>1994</v>
      </c>
      <c r="C8487" t="s">
        <v>927</v>
      </c>
      <c r="D8487" t="s">
        <v>3052</v>
      </c>
      <c r="E8487" t="s">
        <v>3053</v>
      </c>
      <c r="F8487" t="s">
        <v>782</v>
      </c>
      <c r="G8487" t="s">
        <v>783</v>
      </c>
      <c r="H8487" t="s">
        <v>9990</v>
      </c>
      <c r="I8487">
        <v>6</v>
      </c>
      <c r="J8487">
        <v>0</v>
      </c>
      <c r="K8487">
        <v>0</v>
      </c>
      <c r="L8487">
        <v>6</v>
      </c>
      <c r="M8487">
        <v>0</v>
      </c>
      <c r="N8487">
        <v>0</v>
      </c>
      <c r="O8487">
        <v>0</v>
      </c>
    </row>
    <row r="8488" spans="1:15" x14ac:dyDescent="0.25">
      <c r="A8488" t="s">
        <v>1416</v>
      </c>
      <c r="B8488" t="s">
        <v>2029</v>
      </c>
      <c r="C8488" t="s">
        <v>923</v>
      </c>
      <c r="D8488" t="s">
        <v>3063</v>
      </c>
      <c r="E8488" t="s">
        <v>3053</v>
      </c>
      <c r="F8488" t="s">
        <v>782</v>
      </c>
      <c r="G8488" t="s">
        <v>783</v>
      </c>
      <c r="H8488" t="s">
        <v>8724</v>
      </c>
      <c r="I8488">
        <v>32</v>
      </c>
      <c r="J8488">
        <v>0</v>
      </c>
      <c r="K8488">
        <v>0</v>
      </c>
      <c r="L8488">
        <v>32</v>
      </c>
      <c r="M8488">
        <v>0</v>
      </c>
      <c r="N8488">
        <v>0</v>
      </c>
      <c r="O8488">
        <v>0</v>
      </c>
    </row>
    <row r="8489" spans="1:15" x14ac:dyDescent="0.25">
      <c r="A8489" t="s">
        <v>10638</v>
      </c>
      <c r="B8489" t="s">
        <v>2057</v>
      </c>
      <c r="C8489" t="s">
        <v>927</v>
      </c>
      <c r="D8489" t="s">
        <v>3052</v>
      </c>
      <c r="E8489" t="s">
        <v>3053</v>
      </c>
      <c r="F8489" t="s">
        <v>782</v>
      </c>
      <c r="G8489" t="s">
        <v>783</v>
      </c>
      <c r="H8489" t="s">
        <v>11396</v>
      </c>
      <c r="I8489">
        <v>1</v>
      </c>
      <c r="J8489">
        <v>0</v>
      </c>
      <c r="K8489">
        <v>0</v>
      </c>
      <c r="L8489">
        <v>1</v>
      </c>
      <c r="M8489">
        <v>0</v>
      </c>
      <c r="N8489">
        <v>0</v>
      </c>
      <c r="O8489">
        <v>0</v>
      </c>
    </row>
    <row r="8490" spans="1:15" x14ac:dyDescent="0.25">
      <c r="A8490" t="s">
        <v>1009</v>
      </c>
      <c r="B8490" t="s">
        <v>1958</v>
      </c>
      <c r="C8490" t="s">
        <v>923</v>
      </c>
      <c r="D8490" t="s">
        <v>3063</v>
      </c>
      <c r="E8490" t="s">
        <v>3053</v>
      </c>
      <c r="F8490" t="s">
        <v>782</v>
      </c>
      <c r="G8490" t="s">
        <v>783</v>
      </c>
      <c r="H8490" t="s">
        <v>15333</v>
      </c>
      <c r="I8490">
        <v>1</v>
      </c>
      <c r="J8490">
        <v>0</v>
      </c>
      <c r="K8490">
        <v>0</v>
      </c>
      <c r="L8490">
        <v>1</v>
      </c>
      <c r="M8490">
        <v>0</v>
      </c>
      <c r="N8490">
        <v>0</v>
      </c>
      <c r="O8490">
        <v>0</v>
      </c>
    </row>
    <row r="8491" spans="1:15" x14ac:dyDescent="0.25">
      <c r="A8491" t="s">
        <v>937</v>
      </c>
      <c r="B8491" t="s">
        <v>1962</v>
      </c>
      <c r="C8491" t="s">
        <v>927</v>
      </c>
      <c r="D8491" t="s">
        <v>3052</v>
      </c>
      <c r="E8491" t="s">
        <v>3053</v>
      </c>
      <c r="F8491" t="s">
        <v>782</v>
      </c>
      <c r="G8491" t="s">
        <v>783</v>
      </c>
      <c r="H8491" t="s">
        <v>8725</v>
      </c>
      <c r="I8491">
        <v>16</v>
      </c>
      <c r="J8491">
        <v>0</v>
      </c>
      <c r="K8491">
        <v>0</v>
      </c>
      <c r="L8491">
        <v>0</v>
      </c>
      <c r="M8491">
        <v>0</v>
      </c>
      <c r="N8491">
        <v>0</v>
      </c>
      <c r="O8491">
        <v>16</v>
      </c>
    </row>
    <row r="8492" spans="1:15" x14ac:dyDescent="0.25">
      <c r="A8492" t="s">
        <v>938</v>
      </c>
      <c r="B8492" t="s">
        <v>2791</v>
      </c>
      <c r="C8492" t="s">
        <v>927</v>
      </c>
      <c r="D8492" t="s">
        <v>3052</v>
      </c>
      <c r="E8492" t="s">
        <v>3053</v>
      </c>
      <c r="F8492" t="s">
        <v>782</v>
      </c>
      <c r="G8492" t="s">
        <v>783</v>
      </c>
      <c r="H8492" t="s">
        <v>11397</v>
      </c>
      <c r="I8492">
        <v>1</v>
      </c>
      <c r="J8492">
        <v>0</v>
      </c>
      <c r="K8492">
        <v>0</v>
      </c>
      <c r="L8492">
        <v>1</v>
      </c>
      <c r="M8492">
        <v>0</v>
      </c>
      <c r="N8492">
        <v>0</v>
      </c>
      <c r="O8492">
        <v>0</v>
      </c>
    </row>
    <row r="8493" spans="1:15" x14ac:dyDescent="0.25">
      <c r="A8493" t="s">
        <v>940</v>
      </c>
      <c r="B8493" t="s">
        <v>2647</v>
      </c>
      <c r="C8493" t="s">
        <v>927</v>
      </c>
      <c r="D8493" t="s">
        <v>3052</v>
      </c>
      <c r="E8493" t="s">
        <v>3053</v>
      </c>
      <c r="F8493" t="s">
        <v>782</v>
      </c>
      <c r="G8493" t="s">
        <v>783</v>
      </c>
      <c r="H8493" t="s">
        <v>8726</v>
      </c>
      <c r="I8493">
        <v>71</v>
      </c>
      <c r="J8493">
        <v>0</v>
      </c>
      <c r="K8493">
        <v>0</v>
      </c>
      <c r="L8493">
        <v>0</v>
      </c>
      <c r="M8493">
        <v>71</v>
      </c>
      <c r="N8493">
        <v>0</v>
      </c>
      <c r="O8493">
        <v>0</v>
      </c>
    </row>
    <row r="8494" spans="1:15" x14ac:dyDescent="0.25">
      <c r="A8494" t="s">
        <v>1013</v>
      </c>
      <c r="B8494" t="s">
        <v>1959</v>
      </c>
      <c r="C8494" t="s">
        <v>927</v>
      </c>
      <c r="D8494" t="s">
        <v>3052</v>
      </c>
      <c r="E8494" t="s">
        <v>3053</v>
      </c>
      <c r="F8494" t="s">
        <v>782</v>
      </c>
      <c r="G8494" t="s">
        <v>783</v>
      </c>
      <c r="H8494" t="s">
        <v>15334</v>
      </c>
      <c r="I8494">
        <v>12</v>
      </c>
      <c r="J8494">
        <v>0</v>
      </c>
      <c r="K8494">
        <v>0</v>
      </c>
      <c r="L8494">
        <v>12</v>
      </c>
      <c r="M8494">
        <v>0</v>
      </c>
      <c r="N8494">
        <v>0</v>
      </c>
      <c r="O8494">
        <v>0</v>
      </c>
    </row>
    <row r="8495" spans="1:15" x14ac:dyDescent="0.25">
      <c r="A8495" t="s">
        <v>1125</v>
      </c>
      <c r="B8495" t="s">
        <v>2938</v>
      </c>
      <c r="C8495" t="s">
        <v>923</v>
      </c>
      <c r="D8495" t="s">
        <v>3063</v>
      </c>
      <c r="E8495" t="s">
        <v>3053</v>
      </c>
      <c r="F8495" t="s">
        <v>782</v>
      </c>
      <c r="G8495" t="s">
        <v>783</v>
      </c>
      <c r="H8495" t="s">
        <v>8727</v>
      </c>
      <c r="I8495">
        <v>15</v>
      </c>
      <c r="J8495">
        <v>0</v>
      </c>
      <c r="K8495">
        <v>0</v>
      </c>
      <c r="L8495">
        <v>0</v>
      </c>
      <c r="M8495">
        <v>15</v>
      </c>
      <c r="N8495">
        <v>0</v>
      </c>
      <c r="O8495">
        <v>0</v>
      </c>
    </row>
    <row r="8496" spans="1:15" x14ac:dyDescent="0.25">
      <c r="A8496" t="s">
        <v>1126</v>
      </c>
      <c r="B8496" t="s">
        <v>2130</v>
      </c>
      <c r="C8496" t="s">
        <v>927</v>
      </c>
      <c r="D8496" t="s">
        <v>3052</v>
      </c>
      <c r="E8496" t="s">
        <v>3053</v>
      </c>
      <c r="F8496" t="s">
        <v>782</v>
      </c>
      <c r="G8496" t="s">
        <v>783</v>
      </c>
      <c r="H8496" t="s">
        <v>15335</v>
      </c>
      <c r="I8496">
        <v>4</v>
      </c>
      <c r="J8496">
        <v>0</v>
      </c>
      <c r="K8496">
        <v>0</v>
      </c>
      <c r="L8496">
        <v>0</v>
      </c>
      <c r="M8496">
        <v>0</v>
      </c>
      <c r="N8496">
        <v>0</v>
      </c>
      <c r="O8496">
        <v>4</v>
      </c>
    </row>
    <row r="8497" spans="1:15" x14ac:dyDescent="0.25">
      <c r="A8497" t="s">
        <v>1025</v>
      </c>
      <c r="B8497" t="s">
        <v>2893</v>
      </c>
      <c r="C8497" t="s">
        <v>927</v>
      </c>
      <c r="D8497" t="s">
        <v>3052</v>
      </c>
      <c r="E8497" t="s">
        <v>3053</v>
      </c>
      <c r="F8497" t="s">
        <v>782</v>
      </c>
      <c r="G8497" t="s">
        <v>783</v>
      </c>
      <c r="H8497" t="s">
        <v>10198</v>
      </c>
      <c r="I8497">
        <v>3</v>
      </c>
      <c r="J8497">
        <v>0</v>
      </c>
      <c r="K8497">
        <v>0</v>
      </c>
      <c r="L8497">
        <v>0</v>
      </c>
      <c r="M8497">
        <v>0</v>
      </c>
      <c r="N8497">
        <v>0</v>
      </c>
      <c r="O8497">
        <v>3</v>
      </c>
    </row>
    <row r="8498" spans="1:15" x14ac:dyDescent="0.25">
      <c r="A8498" t="s">
        <v>945</v>
      </c>
      <c r="B8498" t="s">
        <v>2668</v>
      </c>
      <c r="C8498" t="s">
        <v>927</v>
      </c>
      <c r="D8498" t="s">
        <v>3052</v>
      </c>
      <c r="E8498" t="s">
        <v>3053</v>
      </c>
      <c r="F8498" t="s">
        <v>782</v>
      </c>
      <c r="G8498" t="s">
        <v>783</v>
      </c>
      <c r="H8498" t="s">
        <v>8728</v>
      </c>
      <c r="I8498">
        <v>49</v>
      </c>
      <c r="J8498">
        <v>10</v>
      </c>
      <c r="K8498">
        <v>0</v>
      </c>
      <c r="L8498">
        <v>0</v>
      </c>
      <c r="M8498">
        <v>0</v>
      </c>
      <c r="N8498">
        <v>0</v>
      </c>
      <c r="O8498">
        <v>39</v>
      </c>
    </row>
    <row r="8499" spans="1:15" x14ac:dyDescent="0.25">
      <c r="A8499" t="s">
        <v>1302</v>
      </c>
      <c r="B8499" t="s">
        <v>1961</v>
      </c>
      <c r="C8499" t="s">
        <v>923</v>
      </c>
      <c r="D8499" t="s">
        <v>3063</v>
      </c>
      <c r="E8499" t="s">
        <v>3053</v>
      </c>
      <c r="F8499" t="s">
        <v>782</v>
      </c>
      <c r="G8499" t="s">
        <v>783</v>
      </c>
      <c r="H8499" t="s">
        <v>8729</v>
      </c>
      <c r="I8499">
        <v>3</v>
      </c>
      <c r="J8499">
        <v>0</v>
      </c>
      <c r="K8499">
        <v>0</v>
      </c>
      <c r="L8499">
        <v>3</v>
      </c>
      <c r="M8499">
        <v>0</v>
      </c>
      <c r="N8499">
        <v>0</v>
      </c>
      <c r="O8499">
        <v>0</v>
      </c>
    </row>
    <row r="8500" spans="1:15" x14ac:dyDescent="0.25">
      <c r="A8500" t="s">
        <v>1041</v>
      </c>
      <c r="B8500" t="s">
        <v>2826</v>
      </c>
      <c r="C8500" t="s">
        <v>927</v>
      </c>
      <c r="D8500" t="s">
        <v>3052</v>
      </c>
      <c r="E8500" t="s">
        <v>3053</v>
      </c>
      <c r="F8500" t="s">
        <v>782</v>
      </c>
      <c r="G8500" t="s">
        <v>783</v>
      </c>
      <c r="H8500" t="s">
        <v>8730</v>
      </c>
      <c r="I8500">
        <v>206</v>
      </c>
      <c r="J8500">
        <v>0</v>
      </c>
      <c r="K8500">
        <v>0</v>
      </c>
      <c r="L8500">
        <v>0</v>
      </c>
      <c r="M8500">
        <v>0</v>
      </c>
      <c r="N8500">
        <v>0</v>
      </c>
      <c r="O8500">
        <v>206</v>
      </c>
    </row>
    <row r="8501" spans="1:15" x14ac:dyDescent="0.25">
      <c r="A8501" t="s">
        <v>9787</v>
      </c>
      <c r="B8501" t="s">
        <v>2822</v>
      </c>
      <c r="C8501" t="s">
        <v>927</v>
      </c>
      <c r="D8501" t="s">
        <v>3052</v>
      </c>
      <c r="E8501" t="s">
        <v>3053</v>
      </c>
      <c r="F8501" t="s">
        <v>782</v>
      </c>
      <c r="G8501" t="s">
        <v>783</v>
      </c>
      <c r="H8501" t="s">
        <v>10285</v>
      </c>
      <c r="I8501">
        <v>2708</v>
      </c>
      <c r="J8501">
        <v>2373</v>
      </c>
      <c r="K8501">
        <v>0</v>
      </c>
      <c r="L8501">
        <v>6</v>
      </c>
      <c r="M8501">
        <v>328</v>
      </c>
      <c r="N8501">
        <v>17</v>
      </c>
      <c r="O8501">
        <v>1</v>
      </c>
    </row>
    <row r="8502" spans="1:15" x14ac:dyDescent="0.25">
      <c r="A8502" t="s">
        <v>951</v>
      </c>
      <c r="B8502" t="s">
        <v>2680</v>
      </c>
      <c r="C8502" t="s">
        <v>927</v>
      </c>
      <c r="D8502" t="s">
        <v>3052</v>
      </c>
      <c r="E8502" t="s">
        <v>3053</v>
      </c>
      <c r="F8502" t="s">
        <v>782</v>
      </c>
      <c r="G8502" t="s">
        <v>783</v>
      </c>
      <c r="H8502" t="s">
        <v>8731</v>
      </c>
      <c r="I8502">
        <v>170</v>
      </c>
      <c r="J8502">
        <v>170</v>
      </c>
      <c r="K8502">
        <v>0</v>
      </c>
      <c r="L8502">
        <v>0</v>
      </c>
      <c r="M8502">
        <v>0</v>
      </c>
      <c r="N8502">
        <v>0</v>
      </c>
      <c r="O8502">
        <v>0</v>
      </c>
    </row>
    <row r="8503" spans="1:15" x14ac:dyDescent="0.25">
      <c r="A8503" t="s">
        <v>953</v>
      </c>
      <c r="B8503" t="s">
        <v>2014</v>
      </c>
      <c r="C8503" t="s">
        <v>927</v>
      </c>
      <c r="D8503" t="s">
        <v>3052</v>
      </c>
      <c r="E8503" t="s">
        <v>3053</v>
      </c>
      <c r="F8503" t="s">
        <v>782</v>
      </c>
      <c r="G8503" t="s">
        <v>783</v>
      </c>
      <c r="H8503" t="s">
        <v>8732</v>
      </c>
      <c r="I8503">
        <v>1</v>
      </c>
      <c r="J8503">
        <v>0</v>
      </c>
      <c r="K8503">
        <v>0</v>
      </c>
      <c r="L8503">
        <v>1</v>
      </c>
      <c r="M8503">
        <v>0</v>
      </c>
      <c r="N8503">
        <v>0</v>
      </c>
      <c r="O8503">
        <v>0</v>
      </c>
    </row>
    <row r="8504" spans="1:15" x14ac:dyDescent="0.25">
      <c r="A8504" t="s">
        <v>10809</v>
      </c>
      <c r="B8504" t="s">
        <v>10808</v>
      </c>
      <c r="C8504" t="s">
        <v>923</v>
      </c>
      <c r="D8504" t="s">
        <v>3063</v>
      </c>
      <c r="E8504" t="s">
        <v>3053</v>
      </c>
      <c r="F8504" t="s">
        <v>782</v>
      </c>
      <c r="G8504" t="s">
        <v>783</v>
      </c>
      <c r="H8504" t="s">
        <v>15336</v>
      </c>
      <c r="I8504">
        <v>1</v>
      </c>
      <c r="J8504">
        <v>1</v>
      </c>
      <c r="K8504">
        <v>0</v>
      </c>
      <c r="L8504">
        <v>0</v>
      </c>
      <c r="M8504">
        <v>0</v>
      </c>
      <c r="N8504">
        <v>0</v>
      </c>
      <c r="O8504">
        <v>0</v>
      </c>
    </row>
    <row r="8505" spans="1:15" x14ac:dyDescent="0.25">
      <c r="A8505" t="s">
        <v>11720</v>
      </c>
      <c r="B8505" t="s">
        <v>10718</v>
      </c>
      <c r="C8505" t="s">
        <v>927</v>
      </c>
      <c r="D8505" t="s">
        <v>3052</v>
      </c>
      <c r="E8505" t="s">
        <v>3053</v>
      </c>
      <c r="F8505" t="s">
        <v>782</v>
      </c>
      <c r="G8505" t="s">
        <v>783</v>
      </c>
      <c r="H8505" t="s">
        <v>15337</v>
      </c>
      <c r="I8505">
        <v>13</v>
      </c>
      <c r="J8505">
        <v>0</v>
      </c>
      <c r="K8505">
        <v>0</v>
      </c>
      <c r="L8505">
        <v>0</v>
      </c>
      <c r="M8505">
        <v>0</v>
      </c>
      <c r="N8505">
        <v>0</v>
      </c>
      <c r="O8505">
        <v>13</v>
      </c>
    </row>
    <row r="8506" spans="1:15" x14ac:dyDescent="0.25">
      <c r="A8506" t="s">
        <v>955</v>
      </c>
      <c r="B8506" t="s">
        <v>2660</v>
      </c>
      <c r="C8506" t="s">
        <v>927</v>
      </c>
      <c r="D8506" t="s">
        <v>3052</v>
      </c>
      <c r="E8506" t="s">
        <v>3053</v>
      </c>
      <c r="F8506" t="s">
        <v>782</v>
      </c>
      <c r="G8506" t="s">
        <v>783</v>
      </c>
      <c r="H8506" t="s">
        <v>8733</v>
      </c>
      <c r="I8506">
        <v>183</v>
      </c>
      <c r="J8506">
        <v>120</v>
      </c>
      <c r="K8506">
        <v>0</v>
      </c>
      <c r="L8506">
        <v>27</v>
      </c>
      <c r="M8506">
        <v>2</v>
      </c>
      <c r="N8506">
        <v>0</v>
      </c>
      <c r="O8506">
        <v>34</v>
      </c>
    </row>
    <row r="8507" spans="1:15" x14ac:dyDescent="0.25">
      <c r="A8507" t="s">
        <v>11663</v>
      </c>
      <c r="B8507" t="s">
        <v>11768</v>
      </c>
      <c r="C8507" t="s">
        <v>927</v>
      </c>
      <c r="D8507" t="s">
        <v>3052</v>
      </c>
      <c r="E8507" t="s">
        <v>3053</v>
      </c>
      <c r="F8507" t="s">
        <v>782</v>
      </c>
      <c r="G8507" t="s">
        <v>783</v>
      </c>
      <c r="H8507" t="s">
        <v>12424</v>
      </c>
      <c r="I8507">
        <v>516</v>
      </c>
      <c r="J8507">
        <v>478</v>
      </c>
      <c r="K8507">
        <v>0</v>
      </c>
      <c r="L8507">
        <v>27</v>
      </c>
      <c r="M8507">
        <v>0</v>
      </c>
      <c r="N8507">
        <v>1</v>
      </c>
      <c r="O8507">
        <v>11</v>
      </c>
    </row>
    <row r="8508" spans="1:15" x14ac:dyDescent="0.25">
      <c r="A8508" t="s">
        <v>1066</v>
      </c>
      <c r="B8508" t="s">
        <v>2557</v>
      </c>
      <c r="C8508" t="s">
        <v>927</v>
      </c>
      <c r="D8508" t="s">
        <v>3052</v>
      </c>
      <c r="E8508" t="s">
        <v>3053</v>
      </c>
      <c r="F8508" t="s">
        <v>782</v>
      </c>
      <c r="G8508" t="s">
        <v>783</v>
      </c>
      <c r="H8508" t="s">
        <v>8734</v>
      </c>
      <c r="I8508">
        <v>21</v>
      </c>
      <c r="J8508">
        <v>0</v>
      </c>
      <c r="K8508">
        <v>0</v>
      </c>
      <c r="L8508">
        <v>0</v>
      </c>
      <c r="M8508">
        <v>21</v>
      </c>
      <c r="N8508">
        <v>0</v>
      </c>
      <c r="O8508">
        <v>0</v>
      </c>
    </row>
    <row r="8509" spans="1:15" x14ac:dyDescent="0.25">
      <c r="A8509" t="s">
        <v>1072</v>
      </c>
      <c r="B8509" t="s">
        <v>2907</v>
      </c>
      <c r="C8509" t="s">
        <v>927</v>
      </c>
      <c r="D8509" t="s">
        <v>3052</v>
      </c>
      <c r="E8509" t="s">
        <v>3053</v>
      </c>
      <c r="F8509" t="s">
        <v>782</v>
      </c>
      <c r="G8509" t="s">
        <v>783</v>
      </c>
      <c r="H8509" t="s">
        <v>8735</v>
      </c>
      <c r="I8509">
        <v>706</v>
      </c>
      <c r="J8509">
        <v>631</v>
      </c>
      <c r="K8509">
        <v>0</v>
      </c>
      <c r="L8509">
        <v>6</v>
      </c>
      <c r="M8509">
        <v>65</v>
      </c>
      <c r="N8509">
        <v>0</v>
      </c>
      <c r="O8509">
        <v>4</v>
      </c>
    </row>
    <row r="8510" spans="1:15" x14ac:dyDescent="0.25">
      <c r="A8510" t="s">
        <v>1684</v>
      </c>
      <c r="B8510" t="s">
        <v>2845</v>
      </c>
      <c r="C8510" t="s">
        <v>927</v>
      </c>
      <c r="D8510" t="s">
        <v>3052</v>
      </c>
      <c r="E8510" t="s">
        <v>3053</v>
      </c>
      <c r="F8510" t="s">
        <v>782</v>
      </c>
      <c r="G8510" t="s">
        <v>783</v>
      </c>
      <c r="H8510" t="s">
        <v>8736</v>
      </c>
      <c r="I8510">
        <v>419</v>
      </c>
      <c r="J8510">
        <v>251</v>
      </c>
      <c r="K8510">
        <v>0</v>
      </c>
      <c r="L8510">
        <v>0</v>
      </c>
      <c r="M8510">
        <v>0</v>
      </c>
      <c r="N8510">
        <v>0</v>
      </c>
      <c r="O8510">
        <v>168</v>
      </c>
    </row>
    <row r="8511" spans="1:15" x14ac:dyDescent="0.25">
      <c r="A8511" t="s">
        <v>1691</v>
      </c>
      <c r="B8511" t="s">
        <v>2980</v>
      </c>
      <c r="C8511" t="s">
        <v>927</v>
      </c>
      <c r="D8511" t="s">
        <v>3052</v>
      </c>
      <c r="E8511" t="s">
        <v>3053</v>
      </c>
      <c r="F8511" t="s">
        <v>782</v>
      </c>
      <c r="G8511" t="s">
        <v>783</v>
      </c>
      <c r="H8511" t="s">
        <v>8737</v>
      </c>
      <c r="I8511">
        <v>81</v>
      </c>
      <c r="J8511">
        <v>13</v>
      </c>
      <c r="K8511">
        <v>0</v>
      </c>
      <c r="L8511">
        <v>9</v>
      </c>
      <c r="M8511">
        <v>49</v>
      </c>
      <c r="N8511">
        <v>0</v>
      </c>
      <c r="O8511">
        <v>10</v>
      </c>
    </row>
    <row r="8512" spans="1:15" x14ac:dyDescent="0.25">
      <c r="A8512" t="s">
        <v>1080</v>
      </c>
      <c r="B8512" t="s">
        <v>2030</v>
      </c>
      <c r="C8512" t="s">
        <v>923</v>
      </c>
      <c r="D8512" t="s">
        <v>3063</v>
      </c>
      <c r="E8512" t="s">
        <v>3053</v>
      </c>
      <c r="F8512" t="s">
        <v>782</v>
      </c>
      <c r="G8512" t="s">
        <v>783</v>
      </c>
      <c r="H8512" t="s">
        <v>8738</v>
      </c>
      <c r="I8512">
        <v>2</v>
      </c>
      <c r="J8512">
        <v>0</v>
      </c>
      <c r="K8512">
        <v>0</v>
      </c>
      <c r="L8512">
        <v>2</v>
      </c>
      <c r="M8512">
        <v>0</v>
      </c>
      <c r="N8512">
        <v>0</v>
      </c>
      <c r="O8512">
        <v>0</v>
      </c>
    </row>
    <row r="8513" spans="1:15" x14ac:dyDescent="0.25">
      <c r="A8513" t="s">
        <v>929</v>
      </c>
      <c r="B8513" t="s">
        <v>2999</v>
      </c>
      <c r="C8513" t="s">
        <v>927</v>
      </c>
      <c r="D8513" t="s">
        <v>3052</v>
      </c>
      <c r="E8513" t="s">
        <v>3053</v>
      </c>
      <c r="F8513" t="s">
        <v>784</v>
      </c>
      <c r="G8513" t="s">
        <v>785</v>
      </c>
      <c r="H8513" t="s">
        <v>8739</v>
      </c>
      <c r="I8513">
        <v>58</v>
      </c>
      <c r="J8513">
        <v>0</v>
      </c>
      <c r="K8513">
        <v>0</v>
      </c>
      <c r="L8513">
        <v>0</v>
      </c>
      <c r="M8513">
        <v>58</v>
      </c>
      <c r="N8513">
        <v>0</v>
      </c>
      <c r="O8513">
        <v>0</v>
      </c>
    </row>
    <row r="8514" spans="1:15" x14ac:dyDescent="0.25">
      <c r="A8514" t="s">
        <v>933</v>
      </c>
      <c r="B8514" t="s">
        <v>2106</v>
      </c>
      <c r="C8514" t="s">
        <v>927</v>
      </c>
      <c r="D8514" t="s">
        <v>3052</v>
      </c>
      <c r="E8514" t="s">
        <v>3053</v>
      </c>
      <c r="F8514" t="s">
        <v>784</v>
      </c>
      <c r="G8514" t="s">
        <v>785</v>
      </c>
      <c r="H8514" t="s">
        <v>8740</v>
      </c>
      <c r="I8514">
        <v>16</v>
      </c>
      <c r="J8514">
        <v>15</v>
      </c>
      <c r="K8514">
        <v>0</v>
      </c>
      <c r="L8514">
        <v>0</v>
      </c>
      <c r="M8514">
        <v>0</v>
      </c>
      <c r="N8514">
        <v>0</v>
      </c>
      <c r="O8514">
        <v>1</v>
      </c>
    </row>
    <row r="8515" spans="1:15" x14ac:dyDescent="0.25">
      <c r="A8515" t="s">
        <v>1005</v>
      </c>
      <c r="B8515" t="s">
        <v>2128</v>
      </c>
      <c r="C8515" t="s">
        <v>927</v>
      </c>
      <c r="D8515" t="s">
        <v>3052</v>
      </c>
      <c r="E8515" t="s">
        <v>3053</v>
      </c>
      <c r="F8515" t="s">
        <v>784</v>
      </c>
      <c r="G8515" t="s">
        <v>785</v>
      </c>
      <c r="H8515" t="s">
        <v>10071</v>
      </c>
      <c r="I8515">
        <v>4</v>
      </c>
      <c r="J8515">
        <v>0</v>
      </c>
      <c r="K8515">
        <v>0</v>
      </c>
      <c r="L8515">
        <v>4</v>
      </c>
      <c r="M8515">
        <v>0</v>
      </c>
      <c r="N8515">
        <v>0</v>
      </c>
      <c r="O8515">
        <v>0</v>
      </c>
    </row>
    <row r="8516" spans="1:15" x14ac:dyDescent="0.25">
      <c r="A8516" t="s">
        <v>1008</v>
      </c>
      <c r="B8516" t="s">
        <v>2928</v>
      </c>
      <c r="C8516" t="s">
        <v>927</v>
      </c>
      <c r="D8516" t="s">
        <v>3052</v>
      </c>
      <c r="E8516" t="s">
        <v>3053</v>
      </c>
      <c r="F8516" t="s">
        <v>784</v>
      </c>
      <c r="G8516" t="s">
        <v>785</v>
      </c>
      <c r="H8516" t="s">
        <v>8741</v>
      </c>
      <c r="I8516">
        <v>2</v>
      </c>
      <c r="J8516">
        <v>0</v>
      </c>
      <c r="K8516">
        <v>0</v>
      </c>
      <c r="L8516">
        <v>1</v>
      </c>
      <c r="M8516">
        <v>0</v>
      </c>
      <c r="N8516">
        <v>0</v>
      </c>
      <c r="O8516">
        <v>1</v>
      </c>
    </row>
    <row r="8517" spans="1:15" x14ac:dyDescent="0.25">
      <c r="A8517" t="s">
        <v>1119</v>
      </c>
      <c r="B8517" t="s">
        <v>2777</v>
      </c>
      <c r="C8517" t="s">
        <v>927</v>
      </c>
      <c r="D8517" t="s">
        <v>3052</v>
      </c>
      <c r="E8517" t="s">
        <v>3053</v>
      </c>
      <c r="F8517" t="s">
        <v>784</v>
      </c>
      <c r="G8517" t="s">
        <v>785</v>
      </c>
      <c r="H8517" t="s">
        <v>8742</v>
      </c>
      <c r="I8517">
        <v>210</v>
      </c>
      <c r="J8517">
        <v>159</v>
      </c>
      <c r="K8517">
        <v>0</v>
      </c>
      <c r="L8517">
        <v>0</v>
      </c>
      <c r="M8517">
        <v>0</v>
      </c>
      <c r="N8517">
        <v>0</v>
      </c>
      <c r="O8517">
        <v>51</v>
      </c>
    </row>
    <row r="8518" spans="1:15" x14ac:dyDescent="0.25">
      <c r="A8518" t="s">
        <v>938</v>
      </c>
      <c r="B8518" t="s">
        <v>2791</v>
      </c>
      <c r="C8518" t="s">
        <v>927</v>
      </c>
      <c r="D8518" t="s">
        <v>3052</v>
      </c>
      <c r="E8518" t="s">
        <v>3053</v>
      </c>
      <c r="F8518" t="s">
        <v>784</v>
      </c>
      <c r="G8518" t="s">
        <v>785</v>
      </c>
      <c r="H8518" t="s">
        <v>8743</v>
      </c>
      <c r="I8518">
        <v>446</v>
      </c>
      <c r="J8518">
        <v>299</v>
      </c>
      <c r="K8518">
        <v>0</v>
      </c>
      <c r="L8518">
        <v>12</v>
      </c>
      <c r="M8518">
        <v>77</v>
      </c>
      <c r="N8518">
        <v>1</v>
      </c>
      <c r="O8518">
        <v>58</v>
      </c>
    </row>
    <row r="8519" spans="1:15" x14ac:dyDescent="0.25">
      <c r="A8519" t="s">
        <v>940</v>
      </c>
      <c r="B8519" t="s">
        <v>2647</v>
      </c>
      <c r="C8519" t="s">
        <v>927</v>
      </c>
      <c r="D8519" t="s">
        <v>3052</v>
      </c>
      <c r="E8519" t="s">
        <v>3053</v>
      </c>
      <c r="F8519" t="s">
        <v>784</v>
      </c>
      <c r="G8519" t="s">
        <v>785</v>
      </c>
      <c r="H8519" t="s">
        <v>8744</v>
      </c>
      <c r="I8519">
        <v>60</v>
      </c>
      <c r="J8519">
        <v>0</v>
      </c>
      <c r="K8519">
        <v>0</v>
      </c>
      <c r="L8519">
        <v>0</v>
      </c>
      <c r="M8519">
        <v>60</v>
      </c>
      <c r="N8519">
        <v>0</v>
      </c>
      <c r="O8519">
        <v>0</v>
      </c>
    </row>
    <row r="8520" spans="1:15" x14ac:dyDescent="0.25">
      <c r="A8520" t="s">
        <v>943</v>
      </c>
      <c r="B8520" t="s">
        <v>2694</v>
      </c>
      <c r="C8520" t="s">
        <v>927</v>
      </c>
      <c r="D8520" t="s">
        <v>3052</v>
      </c>
      <c r="E8520" t="s">
        <v>3053</v>
      </c>
      <c r="F8520" t="s">
        <v>784</v>
      </c>
      <c r="G8520" t="s">
        <v>785</v>
      </c>
      <c r="H8520" t="s">
        <v>8745</v>
      </c>
      <c r="I8520">
        <v>13</v>
      </c>
      <c r="J8520">
        <v>11</v>
      </c>
      <c r="K8520">
        <v>0</v>
      </c>
      <c r="L8520">
        <v>0</v>
      </c>
      <c r="M8520">
        <v>0</v>
      </c>
      <c r="N8520">
        <v>0</v>
      </c>
      <c r="O8520">
        <v>2</v>
      </c>
    </row>
    <row r="8521" spans="1:15" x14ac:dyDescent="0.25">
      <c r="A8521" t="s">
        <v>1134</v>
      </c>
      <c r="B8521" t="s">
        <v>2118</v>
      </c>
      <c r="C8521" t="s">
        <v>927</v>
      </c>
      <c r="D8521" t="s">
        <v>3052</v>
      </c>
      <c r="E8521" t="s">
        <v>3053</v>
      </c>
      <c r="F8521" t="s">
        <v>784</v>
      </c>
      <c r="G8521" t="s">
        <v>785</v>
      </c>
      <c r="H8521" t="s">
        <v>8746</v>
      </c>
      <c r="I8521">
        <v>54</v>
      </c>
      <c r="J8521">
        <v>22</v>
      </c>
      <c r="K8521">
        <v>0</v>
      </c>
      <c r="L8521">
        <v>0</v>
      </c>
      <c r="M8521">
        <v>0</v>
      </c>
      <c r="N8521">
        <v>0</v>
      </c>
      <c r="O8521">
        <v>32</v>
      </c>
    </row>
    <row r="8522" spans="1:15" x14ac:dyDescent="0.25">
      <c r="A8522" t="s">
        <v>949</v>
      </c>
      <c r="B8522" t="s">
        <v>3035</v>
      </c>
      <c r="C8522" t="s">
        <v>927</v>
      </c>
      <c r="D8522" t="s">
        <v>3052</v>
      </c>
      <c r="E8522" t="s">
        <v>3053</v>
      </c>
      <c r="F8522" t="s">
        <v>784</v>
      </c>
      <c r="G8522" t="s">
        <v>785</v>
      </c>
      <c r="H8522" t="s">
        <v>8747</v>
      </c>
      <c r="I8522">
        <v>13</v>
      </c>
      <c r="J8522">
        <v>0</v>
      </c>
      <c r="K8522">
        <v>0</v>
      </c>
      <c r="L8522">
        <v>0</v>
      </c>
      <c r="M8522">
        <v>0</v>
      </c>
      <c r="N8522">
        <v>0</v>
      </c>
      <c r="O8522">
        <v>13</v>
      </c>
    </row>
    <row r="8523" spans="1:15" x14ac:dyDescent="0.25">
      <c r="A8523" t="s">
        <v>1138</v>
      </c>
      <c r="B8523" t="s">
        <v>2635</v>
      </c>
      <c r="C8523" t="s">
        <v>923</v>
      </c>
      <c r="D8523" t="s">
        <v>3063</v>
      </c>
      <c r="E8523" t="s">
        <v>3053</v>
      </c>
      <c r="F8523" t="s">
        <v>784</v>
      </c>
      <c r="G8523" t="s">
        <v>785</v>
      </c>
      <c r="H8523" t="s">
        <v>11398</v>
      </c>
      <c r="I8523">
        <v>5</v>
      </c>
      <c r="J8523">
        <v>0</v>
      </c>
      <c r="K8523">
        <v>0</v>
      </c>
      <c r="L8523">
        <v>5</v>
      </c>
      <c r="M8523">
        <v>0</v>
      </c>
      <c r="N8523">
        <v>0</v>
      </c>
      <c r="O8523">
        <v>0</v>
      </c>
    </row>
    <row r="8524" spans="1:15" x14ac:dyDescent="0.25">
      <c r="A8524" t="s">
        <v>1140</v>
      </c>
      <c r="B8524" t="s">
        <v>2697</v>
      </c>
      <c r="C8524" t="s">
        <v>927</v>
      </c>
      <c r="D8524" t="s">
        <v>3052</v>
      </c>
      <c r="E8524" t="s">
        <v>3053</v>
      </c>
      <c r="F8524" t="s">
        <v>784</v>
      </c>
      <c r="G8524" t="s">
        <v>785</v>
      </c>
      <c r="H8524" t="s">
        <v>8748</v>
      </c>
      <c r="I8524">
        <v>78</v>
      </c>
      <c r="J8524">
        <v>70</v>
      </c>
      <c r="K8524">
        <v>0</v>
      </c>
      <c r="L8524">
        <v>8</v>
      </c>
      <c r="M8524">
        <v>0</v>
      </c>
      <c r="N8524">
        <v>5</v>
      </c>
      <c r="O8524">
        <v>0</v>
      </c>
    </row>
    <row r="8525" spans="1:15" x14ac:dyDescent="0.25">
      <c r="A8525" t="s">
        <v>1142</v>
      </c>
      <c r="B8525" t="s">
        <v>3003</v>
      </c>
      <c r="C8525" t="s">
        <v>927</v>
      </c>
      <c r="D8525" t="s">
        <v>3052</v>
      </c>
      <c r="E8525" t="s">
        <v>3053</v>
      </c>
      <c r="F8525" t="s">
        <v>784</v>
      </c>
      <c r="G8525" t="s">
        <v>785</v>
      </c>
      <c r="H8525" t="s">
        <v>8749</v>
      </c>
      <c r="I8525">
        <v>69</v>
      </c>
      <c r="J8525">
        <v>57</v>
      </c>
      <c r="K8525">
        <v>0</v>
      </c>
      <c r="L8525">
        <v>0</v>
      </c>
      <c r="M8525">
        <v>0</v>
      </c>
      <c r="N8525">
        <v>1</v>
      </c>
      <c r="O8525">
        <v>12</v>
      </c>
    </row>
    <row r="8526" spans="1:15" x14ac:dyDescent="0.25">
      <c r="A8526" t="s">
        <v>1146</v>
      </c>
      <c r="B8526" t="s">
        <v>2117</v>
      </c>
      <c r="C8526" t="s">
        <v>927</v>
      </c>
      <c r="D8526" t="s">
        <v>3052</v>
      </c>
      <c r="E8526" t="s">
        <v>3053</v>
      </c>
      <c r="F8526" t="s">
        <v>784</v>
      </c>
      <c r="G8526" t="s">
        <v>785</v>
      </c>
      <c r="H8526" t="s">
        <v>15338</v>
      </c>
      <c r="I8526">
        <v>186</v>
      </c>
      <c r="J8526">
        <v>144</v>
      </c>
      <c r="K8526">
        <v>0</v>
      </c>
      <c r="L8526">
        <v>18</v>
      </c>
      <c r="M8526">
        <v>0</v>
      </c>
      <c r="N8526">
        <v>0</v>
      </c>
      <c r="O8526">
        <v>24</v>
      </c>
    </row>
    <row r="8527" spans="1:15" x14ac:dyDescent="0.25">
      <c r="A8527" t="s">
        <v>951</v>
      </c>
      <c r="B8527" t="s">
        <v>2680</v>
      </c>
      <c r="C8527" t="s">
        <v>927</v>
      </c>
      <c r="D8527" t="s">
        <v>3052</v>
      </c>
      <c r="E8527" t="s">
        <v>3053</v>
      </c>
      <c r="F8527" t="s">
        <v>784</v>
      </c>
      <c r="G8527" t="s">
        <v>785</v>
      </c>
      <c r="H8527" t="s">
        <v>8750</v>
      </c>
      <c r="I8527">
        <v>74</v>
      </c>
      <c r="J8527">
        <v>74</v>
      </c>
      <c r="K8527">
        <v>0</v>
      </c>
      <c r="L8527">
        <v>0</v>
      </c>
      <c r="M8527">
        <v>0</v>
      </c>
      <c r="N8527">
        <v>0</v>
      </c>
      <c r="O8527">
        <v>0</v>
      </c>
    </row>
    <row r="8528" spans="1:15" x14ac:dyDescent="0.25">
      <c r="A8528" t="s">
        <v>1048</v>
      </c>
      <c r="B8528" t="s">
        <v>2989</v>
      </c>
      <c r="C8528" t="s">
        <v>927</v>
      </c>
      <c r="D8528" t="s">
        <v>3052</v>
      </c>
      <c r="E8528" t="s">
        <v>3053</v>
      </c>
      <c r="F8528" t="s">
        <v>784</v>
      </c>
      <c r="G8528" t="s">
        <v>785</v>
      </c>
      <c r="H8528" t="s">
        <v>8751</v>
      </c>
      <c r="I8528">
        <v>12</v>
      </c>
      <c r="J8528">
        <v>0</v>
      </c>
      <c r="K8528">
        <v>0</v>
      </c>
      <c r="L8528">
        <v>12</v>
      </c>
      <c r="M8528">
        <v>0</v>
      </c>
      <c r="N8528">
        <v>0</v>
      </c>
      <c r="O8528">
        <v>0</v>
      </c>
    </row>
    <row r="8529" spans="1:15" x14ac:dyDescent="0.25">
      <c r="A8529" t="s">
        <v>1150</v>
      </c>
      <c r="B8529" t="s">
        <v>2701</v>
      </c>
      <c r="C8529" t="s">
        <v>923</v>
      </c>
      <c r="D8529" t="s">
        <v>3063</v>
      </c>
      <c r="E8529" t="s">
        <v>3053</v>
      </c>
      <c r="F8529" t="s">
        <v>784</v>
      </c>
      <c r="G8529" t="s">
        <v>785</v>
      </c>
      <c r="H8529" t="s">
        <v>8752</v>
      </c>
      <c r="I8529">
        <v>27</v>
      </c>
      <c r="J8529">
        <v>0</v>
      </c>
      <c r="K8529">
        <v>0</v>
      </c>
      <c r="L8529">
        <v>0</v>
      </c>
      <c r="M8529">
        <v>27</v>
      </c>
      <c r="N8529">
        <v>0</v>
      </c>
      <c r="O8529">
        <v>0</v>
      </c>
    </row>
    <row r="8530" spans="1:15" x14ac:dyDescent="0.25">
      <c r="A8530" t="s">
        <v>955</v>
      </c>
      <c r="B8530" t="s">
        <v>2660</v>
      </c>
      <c r="C8530" t="s">
        <v>927</v>
      </c>
      <c r="D8530" t="s">
        <v>3052</v>
      </c>
      <c r="E8530" t="s">
        <v>3053</v>
      </c>
      <c r="F8530" t="s">
        <v>784</v>
      </c>
      <c r="G8530" t="s">
        <v>785</v>
      </c>
      <c r="H8530" t="s">
        <v>8753</v>
      </c>
      <c r="I8530">
        <v>182</v>
      </c>
      <c r="J8530">
        <v>142</v>
      </c>
      <c r="K8530">
        <v>0</v>
      </c>
      <c r="L8530">
        <v>0</v>
      </c>
      <c r="M8530">
        <v>39</v>
      </c>
      <c r="N8530">
        <v>1</v>
      </c>
      <c r="O8530">
        <v>1</v>
      </c>
    </row>
    <row r="8531" spans="1:15" x14ac:dyDescent="0.25">
      <c r="A8531" t="s">
        <v>1154</v>
      </c>
      <c r="B8531" t="s">
        <v>2861</v>
      </c>
      <c r="C8531" t="s">
        <v>927</v>
      </c>
      <c r="D8531" t="s">
        <v>3052</v>
      </c>
      <c r="E8531" t="s">
        <v>3053</v>
      </c>
      <c r="F8531" t="s">
        <v>784</v>
      </c>
      <c r="G8531" t="s">
        <v>785</v>
      </c>
      <c r="H8531" t="s">
        <v>11399</v>
      </c>
      <c r="I8531">
        <v>35</v>
      </c>
      <c r="J8531">
        <v>35</v>
      </c>
      <c r="K8531">
        <v>0</v>
      </c>
      <c r="L8531">
        <v>0</v>
      </c>
      <c r="M8531">
        <v>0</v>
      </c>
      <c r="N8531">
        <v>0</v>
      </c>
      <c r="O8531">
        <v>0</v>
      </c>
    </row>
    <row r="8532" spans="1:15" x14ac:dyDescent="0.25">
      <c r="A8532" t="s">
        <v>1155</v>
      </c>
      <c r="B8532" t="s">
        <v>2912</v>
      </c>
      <c r="C8532" t="s">
        <v>927</v>
      </c>
      <c r="D8532" t="s">
        <v>3052</v>
      </c>
      <c r="E8532" t="s">
        <v>3053</v>
      </c>
      <c r="F8532" t="s">
        <v>784</v>
      </c>
      <c r="G8532" t="s">
        <v>785</v>
      </c>
      <c r="H8532" t="s">
        <v>8754</v>
      </c>
      <c r="I8532">
        <v>1</v>
      </c>
      <c r="J8532">
        <v>0</v>
      </c>
      <c r="K8532">
        <v>0</v>
      </c>
      <c r="L8532">
        <v>0</v>
      </c>
      <c r="M8532">
        <v>0</v>
      </c>
      <c r="N8532">
        <v>0</v>
      </c>
      <c r="O8532">
        <v>1</v>
      </c>
    </row>
    <row r="8533" spans="1:15" x14ac:dyDescent="0.25">
      <c r="A8533" t="s">
        <v>14380</v>
      </c>
      <c r="B8533" t="s">
        <v>2074</v>
      </c>
      <c r="C8533" t="s">
        <v>927</v>
      </c>
      <c r="D8533" t="s">
        <v>3052</v>
      </c>
      <c r="E8533" t="s">
        <v>3053</v>
      </c>
      <c r="F8533" t="s">
        <v>784</v>
      </c>
      <c r="G8533" t="s">
        <v>785</v>
      </c>
      <c r="H8533" t="s">
        <v>15339</v>
      </c>
      <c r="I8533">
        <v>106</v>
      </c>
      <c r="J8533">
        <v>106</v>
      </c>
      <c r="K8533">
        <v>0</v>
      </c>
      <c r="L8533">
        <v>0</v>
      </c>
      <c r="M8533">
        <v>0</v>
      </c>
      <c r="N8533">
        <v>1</v>
      </c>
      <c r="O8533">
        <v>0</v>
      </c>
    </row>
    <row r="8534" spans="1:15" x14ac:dyDescent="0.25">
      <c r="A8534" t="s">
        <v>1166</v>
      </c>
      <c r="B8534" t="s">
        <v>2533</v>
      </c>
      <c r="C8534" t="s">
        <v>923</v>
      </c>
      <c r="D8534" t="s">
        <v>3063</v>
      </c>
      <c r="E8534" t="s">
        <v>3053</v>
      </c>
      <c r="F8534" t="s">
        <v>784</v>
      </c>
      <c r="G8534" t="s">
        <v>785</v>
      </c>
      <c r="H8534" t="s">
        <v>8755</v>
      </c>
      <c r="I8534">
        <v>12</v>
      </c>
      <c r="J8534">
        <v>0</v>
      </c>
      <c r="K8534">
        <v>0</v>
      </c>
      <c r="L8534">
        <v>0</v>
      </c>
      <c r="M8534">
        <v>12</v>
      </c>
      <c r="N8534">
        <v>0</v>
      </c>
      <c r="O8534">
        <v>0</v>
      </c>
    </row>
    <row r="8535" spans="1:15" x14ac:dyDescent="0.25">
      <c r="A8535" t="s">
        <v>1072</v>
      </c>
      <c r="B8535" t="s">
        <v>2907</v>
      </c>
      <c r="C8535" t="s">
        <v>927</v>
      </c>
      <c r="D8535" t="s">
        <v>3052</v>
      </c>
      <c r="E8535" t="s">
        <v>3053</v>
      </c>
      <c r="F8535" t="s">
        <v>784</v>
      </c>
      <c r="G8535" t="s">
        <v>785</v>
      </c>
      <c r="H8535" t="s">
        <v>8756</v>
      </c>
      <c r="I8535">
        <v>16</v>
      </c>
      <c r="J8535">
        <v>0</v>
      </c>
      <c r="K8535">
        <v>0</v>
      </c>
      <c r="L8535">
        <v>0</v>
      </c>
      <c r="M8535">
        <v>16</v>
      </c>
      <c r="N8535">
        <v>0</v>
      </c>
      <c r="O8535">
        <v>0</v>
      </c>
    </row>
    <row r="8536" spans="1:15" x14ac:dyDescent="0.25">
      <c r="A8536" t="s">
        <v>1181</v>
      </c>
      <c r="B8536" t="s">
        <v>2894</v>
      </c>
      <c r="C8536" t="s">
        <v>927</v>
      </c>
      <c r="D8536" t="s">
        <v>3052</v>
      </c>
      <c r="E8536" t="s">
        <v>3053</v>
      </c>
      <c r="F8536" t="s">
        <v>784</v>
      </c>
      <c r="G8536" t="s">
        <v>785</v>
      </c>
      <c r="H8536" t="s">
        <v>8757</v>
      </c>
      <c r="I8536">
        <v>3564</v>
      </c>
      <c r="J8536">
        <v>2880</v>
      </c>
      <c r="K8536">
        <v>0</v>
      </c>
      <c r="L8536">
        <v>0</v>
      </c>
      <c r="M8536">
        <v>571</v>
      </c>
      <c r="N8536">
        <v>3</v>
      </c>
      <c r="O8536">
        <v>113</v>
      </c>
    </row>
    <row r="8537" spans="1:15" x14ac:dyDescent="0.25">
      <c r="A8537" t="s">
        <v>1185</v>
      </c>
      <c r="B8537" t="s">
        <v>2886</v>
      </c>
      <c r="C8537" t="s">
        <v>927</v>
      </c>
      <c r="D8537" t="s">
        <v>3052</v>
      </c>
      <c r="E8537" t="s">
        <v>3053</v>
      </c>
      <c r="F8537" t="s">
        <v>784</v>
      </c>
      <c r="G8537" t="s">
        <v>785</v>
      </c>
      <c r="H8537" t="s">
        <v>8758</v>
      </c>
      <c r="I8537">
        <v>497</v>
      </c>
      <c r="J8537">
        <v>461</v>
      </c>
      <c r="K8537">
        <v>21</v>
      </c>
      <c r="L8537">
        <v>0</v>
      </c>
      <c r="M8537">
        <v>0</v>
      </c>
      <c r="N8537">
        <v>0</v>
      </c>
      <c r="O8537">
        <v>15</v>
      </c>
    </row>
    <row r="8538" spans="1:15" x14ac:dyDescent="0.25">
      <c r="A8538" t="s">
        <v>929</v>
      </c>
      <c r="B8538" t="s">
        <v>2999</v>
      </c>
      <c r="C8538" t="s">
        <v>927</v>
      </c>
      <c r="D8538" t="s">
        <v>3052</v>
      </c>
      <c r="E8538" t="s">
        <v>3053</v>
      </c>
      <c r="F8538" t="s">
        <v>786</v>
      </c>
      <c r="G8538" t="s">
        <v>787</v>
      </c>
      <c r="H8538" t="s">
        <v>8759</v>
      </c>
      <c r="I8538">
        <v>65</v>
      </c>
      <c r="J8538">
        <v>0</v>
      </c>
      <c r="K8538">
        <v>0</v>
      </c>
      <c r="L8538">
        <v>0</v>
      </c>
      <c r="M8538">
        <v>47</v>
      </c>
      <c r="N8538">
        <v>0</v>
      </c>
      <c r="O8538">
        <v>18</v>
      </c>
    </row>
    <row r="8539" spans="1:15" x14ac:dyDescent="0.25">
      <c r="A8539" t="s">
        <v>9784</v>
      </c>
      <c r="B8539" t="s">
        <v>1994</v>
      </c>
      <c r="C8539" t="s">
        <v>927</v>
      </c>
      <c r="D8539" t="s">
        <v>3052</v>
      </c>
      <c r="E8539" t="s">
        <v>3053</v>
      </c>
      <c r="F8539" t="s">
        <v>786</v>
      </c>
      <c r="G8539" t="s">
        <v>787</v>
      </c>
      <c r="H8539" t="s">
        <v>9991</v>
      </c>
      <c r="I8539">
        <v>6</v>
      </c>
      <c r="J8539">
        <v>0</v>
      </c>
      <c r="K8539">
        <v>0</v>
      </c>
      <c r="L8539">
        <v>6</v>
      </c>
      <c r="M8539">
        <v>0</v>
      </c>
      <c r="N8539">
        <v>0</v>
      </c>
      <c r="O8539">
        <v>0</v>
      </c>
    </row>
    <row r="8540" spans="1:15" x14ac:dyDescent="0.25">
      <c r="A8540" t="s">
        <v>1094</v>
      </c>
      <c r="B8540" t="s">
        <v>2742</v>
      </c>
      <c r="C8540" t="s">
        <v>923</v>
      </c>
      <c r="D8540" t="s">
        <v>3063</v>
      </c>
      <c r="E8540" t="s">
        <v>3053</v>
      </c>
      <c r="F8540" t="s">
        <v>786</v>
      </c>
      <c r="G8540" t="s">
        <v>787</v>
      </c>
      <c r="H8540" t="s">
        <v>8760</v>
      </c>
      <c r="I8540">
        <v>23</v>
      </c>
      <c r="J8540">
        <v>17</v>
      </c>
      <c r="K8540">
        <v>0</v>
      </c>
      <c r="L8540">
        <v>6</v>
      </c>
      <c r="M8540">
        <v>0</v>
      </c>
      <c r="N8540">
        <v>0</v>
      </c>
      <c r="O8540">
        <v>0</v>
      </c>
    </row>
    <row r="8541" spans="1:15" x14ac:dyDescent="0.25">
      <c r="A8541" t="s">
        <v>1108</v>
      </c>
      <c r="B8541" t="s">
        <v>2746</v>
      </c>
      <c r="C8541" t="s">
        <v>923</v>
      </c>
      <c r="D8541" t="s">
        <v>3063</v>
      </c>
      <c r="E8541" t="s">
        <v>3053</v>
      </c>
      <c r="F8541" t="s">
        <v>786</v>
      </c>
      <c r="G8541" t="s">
        <v>787</v>
      </c>
      <c r="H8541" t="s">
        <v>8763</v>
      </c>
      <c r="I8541">
        <v>30</v>
      </c>
      <c r="J8541">
        <v>0</v>
      </c>
      <c r="K8541">
        <v>0</v>
      </c>
      <c r="L8541">
        <v>0</v>
      </c>
      <c r="M8541">
        <v>30</v>
      </c>
      <c r="N8541">
        <v>0</v>
      </c>
      <c r="O8541">
        <v>0</v>
      </c>
    </row>
    <row r="8542" spans="1:15" x14ac:dyDescent="0.25">
      <c r="A8542" t="s">
        <v>1100</v>
      </c>
      <c r="B8542" t="s">
        <v>2855</v>
      </c>
      <c r="C8542" t="s">
        <v>927</v>
      </c>
      <c r="D8542" t="s">
        <v>3052</v>
      </c>
      <c r="E8542" t="s">
        <v>3053</v>
      </c>
      <c r="F8542" t="s">
        <v>786</v>
      </c>
      <c r="G8542" t="s">
        <v>787</v>
      </c>
      <c r="H8542" t="s">
        <v>8761</v>
      </c>
      <c r="I8542">
        <v>364</v>
      </c>
      <c r="J8542">
        <v>289</v>
      </c>
      <c r="K8542">
        <v>0</v>
      </c>
      <c r="L8542">
        <v>0</v>
      </c>
      <c r="M8542">
        <v>0</v>
      </c>
      <c r="N8542">
        <v>0</v>
      </c>
      <c r="O8542">
        <v>75</v>
      </c>
    </row>
    <row r="8543" spans="1:15" x14ac:dyDescent="0.25">
      <c r="A8543" t="s">
        <v>933</v>
      </c>
      <c r="B8543" t="s">
        <v>2106</v>
      </c>
      <c r="C8543" t="s">
        <v>927</v>
      </c>
      <c r="D8543" t="s">
        <v>3052</v>
      </c>
      <c r="E8543" t="s">
        <v>3053</v>
      </c>
      <c r="F8543" t="s">
        <v>786</v>
      </c>
      <c r="G8543" t="s">
        <v>787</v>
      </c>
      <c r="H8543" t="s">
        <v>8762</v>
      </c>
      <c r="I8543">
        <v>7</v>
      </c>
      <c r="J8543">
        <v>0</v>
      </c>
      <c r="K8543">
        <v>0</v>
      </c>
      <c r="L8543">
        <v>7</v>
      </c>
      <c r="M8543">
        <v>0</v>
      </c>
      <c r="N8543">
        <v>0</v>
      </c>
      <c r="O8543">
        <v>0</v>
      </c>
    </row>
    <row r="8544" spans="1:15" x14ac:dyDescent="0.25">
      <c r="A8544" t="s">
        <v>1111</v>
      </c>
      <c r="B8544" t="s">
        <v>2795</v>
      </c>
      <c r="C8544" t="s">
        <v>927</v>
      </c>
      <c r="D8544" t="s">
        <v>3052</v>
      </c>
      <c r="E8544" t="s">
        <v>3053</v>
      </c>
      <c r="F8544" t="s">
        <v>786</v>
      </c>
      <c r="G8544" t="s">
        <v>787</v>
      </c>
      <c r="H8544" t="s">
        <v>8764</v>
      </c>
      <c r="I8544">
        <v>412</v>
      </c>
      <c r="J8544">
        <v>371</v>
      </c>
      <c r="K8544">
        <v>0</v>
      </c>
      <c r="L8544">
        <v>8</v>
      </c>
      <c r="M8544">
        <v>0</v>
      </c>
      <c r="N8544">
        <v>0</v>
      </c>
      <c r="O8544">
        <v>33</v>
      </c>
    </row>
    <row r="8545" spans="1:15" x14ac:dyDescent="0.25">
      <c r="A8545" t="s">
        <v>937</v>
      </c>
      <c r="B8545" t="s">
        <v>1962</v>
      </c>
      <c r="C8545" t="s">
        <v>927</v>
      </c>
      <c r="D8545" t="s">
        <v>3052</v>
      </c>
      <c r="E8545" t="s">
        <v>3053</v>
      </c>
      <c r="F8545" t="s">
        <v>786</v>
      </c>
      <c r="G8545" t="s">
        <v>787</v>
      </c>
      <c r="H8545" t="s">
        <v>8765</v>
      </c>
      <c r="I8545">
        <v>5</v>
      </c>
      <c r="J8545">
        <v>0</v>
      </c>
      <c r="K8545">
        <v>0</v>
      </c>
      <c r="L8545">
        <v>0</v>
      </c>
      <c r="M8545">
        <v>0</v>
      </c>
      <c r="N8545">
        <v>0</v>
      </c>
      <c r="O8545">
        <v>5</v>
      </c>
    </row>
    <row r="8546" spans="1:15" x14ac:dyDescent="0.25">
      <c r="A8546" t="s">
        <v>1126</v>
      </c>
      <c r="B8546" t="s">
        <v>2130</v>
      </c>
      <c r="C8546" t="s">
        <v>927</v>
      </c>
      <c r="D8546" t="s">
        <v>3052</v>
      </c>
      <c r="E8546" t="s">
        <v>3053</v>
      </c>
      <c r="F8546" t="s">
        <v>786</v>
      </c>
      <c r="G8546" t="s">
        <v>787</v>
      </c>
      <c r="H8546" t="s">
        <v>11400</v>
      </c>
      <c r="I8546">
        <v>57</v>
      </c>
      <c r="J8546">
        <v>0</v>
      </c>
      <c r="K8546">
        <v>0</v>
      </c>
      <c r="L8546">
        <v>0</v>
      </c>
      <c r="M8546">
        <v>0</v>
      </c>
      <c r="N8546">
        <v>0</v>
      </c>
      <c r="O8546">
        <v>57</v>
      </c>
    </row>
    <row r="8547" spans="1:15" x14ac:dyDescent="0.25">
      <c r="A8547" t="s">
        <v>1127</v>
      </c>
      <c r="B8547" t="s">
        <v>3034</v>
      </c>
      <c r="C8547" t="s">
        <v>927</v>
      </c>
      <c r="D8547" t="s">
        <v>3052</v>
      </c>
      <c r="E8547" t="s">
        <v>3053</v>
      </c>
      <c r="F8547" t="s">
        <v>786</v>
      </c>
      <c r="G8547" t="s">
        <v>787</v>
      </c>
      <c r="H8547" t="s">
        <v>8766</v>
      </c>
      <c r="I8547">
        <v>87</v>
      </c>
      <c r="J8547">
        <v>87</v>
      </c>
      <c r="K8547">
        <v>0</v>
      </c>
      <c r="L8547">
        <v>0</v>
      </c>
      <c r="M8547">
        <v>0</v>
      </c>
      <c r="N8547">
        <v>0</v>
      </c>
      <c r="O8547">
        <v>0</v>
      </c>
    </row>
    <row r="8548" spans="1:15" x14ac:dyDescent="0.25">
      <c r="A8548" t="s">
        <v>1025</v>
      </c>
      <c r="B8548" t="s">
        <v>2893</v>
      </c>
      <c r="C8548" t="s">
        <v>927</v>
      </c>
      <c r="D8548" t="s">
        <v>3052</v>
      </c>
      <c r="E8548" t="s">
        <v>3053</v>
      </c>
      <c r="F8548" t="s">
        <v>786</v>
      </c>
      <c r="G8548" t="s">
        <v>787</v>
      </c>
      <c r="H8548" t="s">
        <v>8767</v>
      </c>
      <c r="I8548">
        <v>70</v>
      </c>
      <c r="J8548">
        <v>15</v>
      </c>
      <c r="K8548">
        <v>0</v>
      </c>
      <c r="L8548">
        <v>4</v>
      </c>
      <c r="M8548">
        <v>0</v>
      </c>
      <c r="N8548">
        <v>0</v>
      </c>
      <c r="O8548">
        <v>51</v>
      </c>
    </row>
    <row r="8549" spans="1:15" x14ac:dyDescent="0.25">
      <c r="A8549" t="s">
        <v>945</v>
      </c>
      <c r="B8549" t="s">
        <v>2668</v>
      </c>
      <c r="C8549" t="s">
        <v>927</v>
      </c>
      <c r="D8549" t="s">
        <v>3052</v>
      </c>
      <c r="E8549" t="s">
        <v>3053</v>
      </c>
      <c r="F8549" t="s">
        <v>786</v>
      </c>
      <c r="G8549" t="s">
        <v>787</v>
      </c>
      <c r="H8549" t="s">
        <v>8768</v>
      </c>
      <c r="I8549">
        <v>339</v>
      </c>
      <c r="J8549">
        <v>263</v>
      </c>
      <c r="K8549">
        <v>0</v>
      </c>
      <c r="L8549">
        <v>0</v>
      </c>
      <c r="M8549">
        <v>0</v>
      </c>
      <c r="N8549">
        <v>0</v>
      </c>
      <c r="O8549">
        <v>76</v>
      </c>
    </row>
    <row r="8550" spans="1:15" x14ac:dyDescent="0.25">
      <c r="A8550" t="s">
        <v>1134</v>
      </c>
      <c r="B8550" t="s">
        <v>2118</v>
      </c>
      <c r="C8550" t="s">
        <v>927</v>
      </c>
      <c r="D8550" t="s">
        <v>3052</v>
      </c>
      <c r="E8550" t="s">
        <v>3053</v>
      </c>
      <c r="F8550" t="s">
        <v>786</v>
      </c>
      <c r="G8550" t="s">
        <v>787</v>
      </c>
      <c r="H8550" t="s">
        <v>8769</v>
      </c>
      <c r="I8550">
        <v>50</v>
      </c>
      <c r="J8550">
        <v>41</v>
      </c>
      <c r="K8550">
        <v>0</v>
      </c>
      <c r="L8550">
        <v>0</v>
      </c>
      <c r="M8550">
        <v>0</v>
      </c>
      <c r="N8550">
        <v>0</v>
      </c>
      <c r="O8550">
        <v>9</v>
      </c>
    </row>
    <row r="8551" spans="1:15" x14ac:dyDescent="0.25">
      <c r="A8551" t="s">
        <v>1041</v>
      </c>
      <c r="B8551" t="s">
        <v>2826</v>
      </c>
      <c r="C8551" t="s">
        <v>927</v>
      </c>
      <c r="D8551" t="s">
        <v>3052</v>
      </c>
      <c r="E8551" t="s">
        <v>3053</v>
      </c>
      <c r="F8551" t="s">
        <v>786</v>
      </c>
      <c r="G8551" t="s">
        <v>787</v>
      </c>
      <c r="H8551" t="s">
        <v>11401</v>
      </c>
      <c r="I8551">
        <v>25</v>
      </c>
      <c r="J8551">
        <v>0</v>
      </c>
      <c r="K8551">
        <v>0</v>
      </c>
      <c r="L8551">
        <v>0</v>
      </c>
      <c r="M8551">
        <v>0</v>
      </c>
      <c r="N8551">
        <v>0</v>
      </c>
      <c r="O8551">
        <v>25</v>
      </c>
    </row>
    <row r="8552" spans="1:15" x14ac:dyDescent="0.25">
      <c r="A8552" t="s">
        <v>1146</v>
      </c>
      <c r="B8552" t="s">
        <v>2117</v>
      </c>
      <c r="C8552" t="s">
        <v>927</v>
      </c>
      <c r="D8552" t="s">
        <v>3052</v>
      </c>
      <c r="E8552" t="s">
        <v>3053</v>
      </c>
      <c r="F8552" t="s">
        <v>786</v>
      </c>
      <c r="G8552" t="s">
        <v>787</v>
      </c>
      <c r="H8552" t="s">
        <v>11402</v>
      </c>
      <c r="I8552">
        <v>293</v>
      </c>
      <c r="J8552">
        <v>219</v>
      </c>
      <c r="K8552">
        <v>0</v>
      </c>
      <c r="L8552">
        <v>36</v>
      </c>
      <c r="M8552">
        <v>0</v>
      </c>
      <c r="N8552">
        <v>0</v>
      </c>
      <c r="O8552">
        <v>38</v>
      </c>
    </row>
    <row r="8553" spans="1:15" x14ac:dyDescent="0.25">
      <c r="A8553" t="s">
        <v>951</v>
      </c>
      <c r="B8553" t="s">
        <v>2680</v>
      </c>
      <c r="C8553" t="s">
        <v>927</v>
      </c>
      <c r="D8553" t="s">
        <v>3052</v>
      </c>
      <c r="E8553" t="s">
        <v>3053</v>
      </c>
      <c r="F8553" t="s">
        <v>786</v>
      </c>
      <c r="G8553" t="s">
        <v>787</v>
      </c>
      <c r="H8553" t="s">
        <v>8770</v>
      </c>
      <c r="I8553">
        <v>4</v>
      </c>
      <c r="J8553">
        <v>4</v>
      </c>
      <c r="K8553">
        <v>0</v>
      </c>
      <c r="L8553">
        <v>0</v>
      </c>
      <c r="M8553">
        <v>0</v>
      </c>
      <c r="N8553">
        <v>0</v>
      </c>
      <c r="O8553">
        <v>0</v>
      </c>
    </row>
    <row r="8554" spans="1:15" x14ac:dyDescent="0.25">
      <c r="A8554" t="s">
        <v>9788</v>
      </c>
      <c r="B8554" t="s">
        <v>9871</v>
      </c>
      <c r="C8554" t="s">
        <v>927</v>
      </c>
      <c r="D8554" t="s">
        <v>3052</v>
      </c>
      <c r="E8554" t="s">
        <v>3053</v>
      </c>
      <c r="F8554" t="s">
        <v>786</v>
      </c>
      <c r="G8554" t="s">
        <v>787</v>
      </c>
      <c r="H8554" t="s">
        <v>15340</v>
      </c>
      <c r="I8554">
        <v>44</v>
      </c>
      <c r="J8554">
        <v>44</v>
      </c>
      <c r="K8554">
        <v>0</v>
      </c>
      <c r="L8554">
        <v>0</v>
      </c>
      <c r="M8554">
        <v>0</v>
      </c>
      <c r="N8554">
        <v>0</v>
      </c>
      <c r="O8554">
        <v>0</v>
      </c>
    </row>
    <row r="8555" spans="1:15" x14ac:dyDescent="0.25">
      <c r="A8555" t="s">
        <v>955</v>
      </c>
      <c r="B8555" t="s">
        <v>2660</v>
      </c>
      <c r="C8555" t="s">
        <v>927</v>
      </c>
      <c r="D8555" t="s">
        <v>3052</v>
      </c>
      <c r="E8555" t="s">
        <v>3053</v>
      </c>
      <c r="F8555" t="s">
        <v>786</v>
      </c>
      <c r="G8555" t="s">
        <v>787</v>
      </c>
      <c r="H8555" t="s">
        <v>8771</v>
      </c>
      <c r="I8555">
        <v>134</v>
      </c>
      <c r="J8555">
        <v>74</v>
      </c>
      <c r="K8555">
        <v>0</v>
      </c>
      <c r="L8555">
        <v>60</v>
      </c>
      <c r="M8555">
        <v>0</v>
      </c>
      <c r="N8555">
        <v>0</v>
      </c>
      <c r="O8555">
        <v>0</v>
      </c>
    </row>
    <row r="8556" spans="1:15" x14ac:dyDescent="0.25">
      <c r="A8556" t="s">
        <v>11663</v>
      </c>
      <c r="B8556" t="s">
        <v>11768</v>
      </c>
      <c r="C8556" t="s">
        <v>927</v>
      </c>
      <c r="D8556" t="s">
        <v>3052</v>
      </c>
      <c r="E8556" t="s">
        <v>3053</v>
      </c>
      <c r="F8556" t="s">
        <v>786</v>
      </c>
      <c r="G8556" t="s">
        <v>787</v>
      </c>
      <c r="H8556" t="s">
        <v>12425</v>
      </c>
      <c r="I8556">
        <v>384</v>
      </c>
      <c r="J8556">
        <v>354</v>
      </c>
      <c r="K8556">
        <v>0</v>
      </c>
      <c r="L8556">
        <v>0</v>
      </c>
      <c r="M8556">
        <v>2</v>
      </c>
      <c r="N8556">
        <v>1</v>
      </c>
      <c r="O8556">
        <v>28</v>
      </c>
    </row>
    <row r="8557" spans="1:15" x14ac:dyDescent="0.25">
      <c r="A8557" t="s">
        <v>14374</v>
      </c>
      <c r="B8557" t="s">
        <v>1943</v>
      </c>
      <c r="C8557" t="s">
        <v>927</v>
      </c>
      <c r="D8557" t="s">
        <v>3052</v>
      </c>
      <c r="E8557" t="s">
        <v>3053</v>
      </c>
      <c r="F8557" t="s">
        <v>786</v>
      </c>
      <c r="G8557" t="s">
        <v>787</v>
      </c>
      <c r="H8557" t="s">
        <v>15341</v>
      </c>
      <c r="I8557">
        <v>23</v>
      </c>
      <c r="J8557">
        <v>0</v>
      </c>
      <c r="K8557">
        <v>0</v>
      </c>
      <c r="L8557">
        <v>0</v>
      </c>
      <c r="M8557">
        <v>0</v>
      </c>
      <c r="N8557">
        <v>0</v>
      </c>
      <c r="O8557">
        <v>23</v>
      </c>
    </row>
    <row r="8558" spans="1:15" x14ac:dyDescent="0.25">
      <c r="A8558" t="s">
        <v>1159</v>
      </c>
      <c r="B8558" t="s">
        <v>2829</v>
      </c>
      <c r="C8558" t="s">
        <v>927</v>
      </c>
      <c r="D8558" t="s">
        <v>3052</v>
      </c>
      <c r="E8558" t="s">
        <v>3053</v>
      </c>
      <c r="F8558" t="s">
        <v>786</v>
      </c>
      <c r="G8558" t="s">
        <v>787</v>
      </c>
      <c r="H8558" t="s">
        <v>8772</v>
      </c>
      <c r="I8558">
        <v>179</v>
      </c>
      <c r="J8558">
        <v>176</v>
      </c>
      <c r="K8558">
        <v>0</v>
      </c>
      <c r="L8558">
        <v>0</v>
      </c>
      <c r="M8558">
        <v>0</v>
      </c>
      <c r="N8558">
        <v>1</v>
      </c>
      <c r="O8558">
        <v>3</v>
      </c>
    </row>
    <row r="8559" spans="1:15" x14ac:dyDescent="0.25">
      <c r="A8559" t="s">
        <v>1072</v>
      </c>
      <c r="B8559" t="s">
        <v>2907</v>
      </c>
      <c r="C8559" t="s">
        <v>927</v>
      </c>
      <c r="D8559" t="s">
        <v>3052</v>
      </c>
      <c r="E8559" t="s">
        <v>3053</v>
      </c>
      <c r="F8559" t="s">
        <v>786</v>
      </c>
      <c r="G8559" t="s">
        <v>787</v>
      </c>
      <c r="H8559" t="s">
        <v>8773</v>
      </c>
      <c r="I8559">
        <v>14</v>
      </c>
      <c r="J8559">
        <v>0</v>
      </c>
      <c r="K8559">
        <v>0</v>
      </c>
      <c r="L8559">
        <v>0</v>
      </c>
      <c r="M8559">
        <v>14</v>
      </c>
      <c r="N8559">
        <v>0</v>
      </c>
      <c r="O8559">
        <v>0</v>
      </c>
    </row>
    <row r="8560" spans="1:15" x14ac:dyDescent="0.25">
      <c r="A8560" t="s">
        <v>1195</v>
      </c>
      <c r="B8560" t="s">
        <v>2924</v>
      </c>
      <c r="C8560" t="s">
        <v>927</v>
      </c>
      <c r="D8560" t="s">
        <v>3052</v>
      </c>
      <c r="E8560" t="s">
        <v>3053</v>
      </c>
      <c r="F8560" t="s">
        <v>788</v>
      </c>
      <c r="G8560" t="s">
        <v>789</v>
      </c>
      <c r="H8560" t="s">
        <v>8774</v>
      </c>
      <c r="I8560">
        <v>5</v>
      </c>
      <c r="J8560">
        <v>0</v>
      </c>
      <c r="K8560">
        <v>0</v>
      </c>
      <c r="L8560">
        <v>0</v>
      </c>
      <c r="M8560">
        <v>0</v>
      </c>
      <c r="N8560">
        <v>0</v>
      </c>
      <c r="O8560">
        <v>5</v>
      </c>
    </row>
    <row r="8561" spans="1:15" x14ac:dyDescent="0.25">
      <c r="A8561" t="s">
        <v>926</v>
      </c>
      <c r="B8561" t="s">
        <v>2923</v>
      </c>
      <c r="C8561" t="s">
        <v>927</v>
      </c>
      <c r="D8561" t="s">
        <v>3052</v>
      </c>
      <c r="E8561" t="s">
        <v>3053</v>
      </c>
      <c r="F8561" t="s">
        <v>788</v>
      </c>
      <c r="G8561" t="s">
        <v>789</v>
      </c>
      <c r="H8561" t="s">
        <v>8775</v>
      </c>
      <c r="I8561">
        <v>1</v>
      </c>
      <c r="J8561">
        <v>0</v>
      </c>
      <c r="K8561">
        <v>0</v>
      </c>
      <c r="L8561">
        <v>0</v>
      </c>
      <c r="M8561">
        <v>0</v>
      </c>
      <c r="N8561">
        <v>0</v>
      </c>
      <c r="O8561">
        <v>1</v>
      </c>
    </row>
    <row r="8562" spans="1:15" x14ac:dyDescent="0.25">
      <c r="A8562" t="s">
        <v>1570</v>
      </c>
      <c r="B8562" t="s">
        <v>2306</v>
      </c>
      <c r="C8562" t="s">
        <v>923</v>
      </c>
      <c r="D8562" t="s">
        <v>3063</v>
      </c>
      <c r="E8562" t="s">
        <v>3053</v>
      </c>
      <c r="F8562" t="s">
        <v>788</v>
      </c>
      <c r="G8562" t="s">
        <v>789</v>
      </c>
      <c r="H8562" t="s">
        <v>8776</v>
      </c>
      <c r="I8562">
        <v>10</v>
      </c>
      <c r="J8562">
        <v>0</v>
      </c>
      <c r="K8562">
        <v>0</v>
      </c>
      <c r="L8562">
        <v>0</v>
      </c>
      <c r="M8562">
        <v>10</v>
      </c>
      <c r="N8562">
        <v>0</v>
      </c>
      <c r="O8562">
        <v>0</v>
      </c>
    </row>
    <row r="8563" spans="1:15" x14ac:dyDescent="0.25">
      <c r="A8563" t="s">
        <v>929</v>
      </c>
      <c r="B8563" t="s">
        <v>2999</v>
      </c>
      <c r="C8563" t="s">
        <v>927</v>
      </c>
      <c r="D8563" t="s">
        <v>3052</v>
      </c>
      <c r="E8563" t="s">
        <v>3053</v>
      </c>
      <c r="F8563" t="s">
        <v>788</v>
      </c>
      <c r="G8563" t="s">
        <v>789</v>
      </c>
      <c r="H8563" t="s">
        <v>8777</v>
      </c>
      <c r="I8563">
        <v>14</v>
      </c>
      <c r="J8563">
        <v>0</v>
      </c>
      <c r="K8563">
        <v>0</v>
      </c>
      <c r="L8563">
        <v>0</v>
      </c>
      <c r="M8563">
        <v>14</v>
      </c>
      <c r="N8563">
        <v>0</v>
      </c>
      <c r="O8563">
        <v>0</v>
      </c>
    </row>
    <row r="8564" spans="1:15" x14ac:dyDescent="0.25">
      <c r="A8564" t="s">
        <v>1095</v>
      </c>
      <c r="B8564" t="s">
        <v>1946</v>
      </c>
      <c r="C8564" t="s">
        <v>923</v>
      </c>
      <c r="D8564" t="s">
        <v>3063</v>
      </c>
      <c r="E8564" t="s">
        <v>3053</v>
      </c>
      <c r="F8564" t="s">
        <v>788</v>
      </c>
      <c r="G8564" t="s">
        <v>789</v>
      </c>
      <c r="H8564" t="s">
        <v>8778</v>
      </c>
      <c r="I8564">
        <v>34</v>
      </c>
      <c r="J8564">
        <v>0</v>
      </c>
      <c r="K8564">
        <v>0</v>
      </c>
      <c r="L8564">
        <v>34</v>
      </c>
      <c r="M8564">
        <v>0</v>
      </c>
      <c r="N8564">
        <v>0</v>
      </c>
      <c r="O8564">
        <v>0</v>
      </c>
    </row>
    <row r="8565" spans="1:15" x14ac:dyDescent="0.25">
      <c r="A8565" t="s">
        <v>1580</v>
      </c>
      <c r="B8565" t="s">
        <v>2344</v>
      </c>
      <c r="C8565" t="s">
        <v>923</v>
      </c>
      <c r="D8565" t="s">
        <v>3063</v>
      </c>
      <c r="E8565" t="s">
        <v>3053</v>
      </c>
      <c r="F8565" t="s">
        <v>788</v>
      </c>
      <c r="G8565" t="s">
        <v>789</v>
      </c>
      <c r="H8565" t="s">
        <v>8779</v>
      </c>
      <c r="I8565">
        <v>2</v>
      </c>
      <c r="J8565">
        <v>0</v>
      </c>
      <c r="K8565">
        <v>0</v>
      </c>
      <c r="L8565">
        <v>0</v>
      </c>
      <c r="M8565">
        <v>2</v>
      </c>
      <c r="N8565">
        <v>0</v>
      </c>
      <c r="O8565">
        <v>0</v>
      </c>
    </row>
    <row r="8566" spans="1:15" x14ac:dyDescent="0.25">
      <c r="A8566" t="s">
        <v>933</v>
      </c>
      <c r="B8566" t="s">
        <v>2106</v>
      </c>
      <c r="C8566" t="s">
        <v>927</v>
      </c>
      <c r="D8566" t="s">
        <v>3052</v>
      </c>
      <c r="E8566" t="s">
        <v>3053</v>
      </c>
      <c r="F8566" t="s">
        <v>788</v>
      </c>
      <c r="G8566" t="s">
        <v>789</v>
      </c>
      <c r="H8566" t="s">
        <v>8780</v>
      </c>
      <c r="I8566">
        <v>7043</v>
      </c>
      <c r="J8566">
        <v>6358</v>
      </c>
      <c r="K8566">
        <v>1</v>
      </c>
      <c r="L8566">
        <v>30</v>
      </c>
      <c r="M8566">
        <v>262</v>
      </c>
      <c r="N8566">
        <v>26</v>
      </c>
      <c r="O8566">
        <v>392</v>
      </c>
    </row>
    <row r="8567" spans="1:15" x14ac:dyDescent="0.25">
      <c r="A8567" t="s">
        <v>14395</v>
      </c>
      <c r="B8567" t="s">
        <v>15342</v>
      </c>
      <c r="C8567" t="s">
        <v>923</v>
      </c>
      <c r="D8567" t="s">
        <v>3063</v>
      </c>
      <c r="E8567" t="s">
        <v>3053</v>
      </c>
      <c r="F8567" t="s">
        <v>788</v>
      </c>
      <c r="G8567" t="s">
        <v>789</v>
      </c>
      <c r="H8567" t="s">
        <v>15343</v>
      </c>
      <c r="I8567">
        <v>10</v>
      </c>
      <c r="J8567">
        <v>0</v>
      </c>
      <c r="K8567">
        <v>0</v>
      </c>
      <c r="L8567">
        <v>0</v>
      </c>
      <c r="M8567">
        <v>10</v>
      </c>
      <c r="N8567">
        <v>0</v>
      </c>
      <c r="O8567">
        <v>0</v>
      </c>
    </row>
    <row r="8568" spans="1:15" x14ac:dyDescent="0.25">
      <c r="A8568" t="s">
        <v>1000</v>
      </c>
      <c r="B8568" t="s">
        <v>1984</v>
      </c>
      <c r="C8568" t="s">
        <v>923</v>
      </c>
      <c r="D8568" t="s">
        <v>3063</v>
      </c>
      <c r="E8568" t="s">
        <v>3053</v>
      </c>
      <c r="F8568" t="s">
        <v>788</v>
      </c>
      <c r="G8568" t="s">
        <v>789</v>
      </c>
      <c r="H8568" t="s">
        <v>8781</v>
      </c>
      <c r="I8568">
        <v>2</v>
      </c>
      <c r="J8568">
        <v>0</v>
      </c>
      <c r="K8568">
        <v>0</v>
      </c>
      <c r="L8568">
        <v>2</v>
      </c>
      <c r="M8568">
        <v>0</v>
      </c>
      <c r="N8568">
        <v>0</v>
      </c>
      <c r="O8568">
        <v>0</v>
      </c>
    </row>
    <row r="8569" spans="1:15" x14ac:dyDescent="0.25">
      <c r="A8569" t="s">
        <v>1249</v>
      </c>
      <c r="B8569" t="s">
        <v>3029</v>
      </c>
      <c r="C8569" t="s">
        <v>927</v>
      </c>
      <c r="D8569" t="s">
        <v>3052</v>
      </c>
      <c r="E8569" t="s">
        <v>3053</v>
      </c>
      <c r="F8569" t="s">
        <v>788</v>
      </c>
      <c r="G8569" t="s">
        <v>789</v>
      </c>
      <c r="H8569" t="s">
        <v>8782</v>
      </c>
      <c r="I8569">
        <v>192</v>
      </c>
      <c r="J8569">
        <v>189</v>
      </c>
      <c r="K8569">
        <v>0</v>
      </c>
      <c r="L8569">
        <v>0</v>
      </c>
      <c r="M8569">
        <v>0</v>
      </c>
      <c r="N8569">
        <v>0</v>
      </c>
      <c r="O8569">
        <v>3</v>
      </c>
    </row>
    <row r="8570" spans="1:15" x14ac:dyDescent="0.25">
      <c r="A8570" t="s">
        <v>1614</v>
      </c>
      <c r="B8570" t="s">
        <v>2707</v>
      </c>
      <c r="C8570" t="s">
        <v>923</v>
      </c>
      <c r="D8570" t="s">
        <v>3063</v>
      </c>
      <c r="E8570" t="s">
        <v>3053</v>
      </c>
      <c r="F8570" t="s">
        <v>788</v>
      </c>
      <c r="G8570" t="s">
        <v>789</v>
      </c>
      <c r="H8570" t="s">
        <v>15344</v>
      </c>
      <c r="I8570">
        <v>16</v>
      </c>
      <c r="J8570">
        <v>16</v>
      </c>
      <c r="K8570">
        <v>0</v>
      </c>
      <c r="L8570">
        <v>0</v>
      </c>
      <c r="M8570">
        <v>0</v>
      </c>
      <c r="N8570">
        <v>0</v>
      </c>
      <c r="O8570">
        <v>0</v>
      </c>
    </row>
    <row r="8571" spans="1:15" x14ac:dyDescent="0.25">
      <c r="A8571" t="s">
        <v>938</v>
      </c>
      <c r="B8571" t="s">
        <v>2791</v>
      </c>
      <c r="C8571" t="s">
        <v>927</v>
      </c>
      <c r="D8571" t="s">
        <v>3052</v>
      </c>
      <c r="E8571" t="s">
        <v>3053</v>
      </c>
      <c r="F8571" t="s">
        <v>788</v>
      </c>
      <c r="G8571" t="s">
        <v>789</v>
      </c>
      <c r="H8571" t="s">
        <v>11403</v>
      </c>
      <c r="I8571">
        <v>1</v>
      </c>
      <c r="J8571">
        <v>0</v>
      </c>
      <c r="K8571">
        <v>0</v>
      </c>
      <c r="L8571">
        <v>1</v>
      </c>
      <c r="M8571">
        <v>0</v>
      </c>
      <c r="N8571">
        <v>0</v>
      </c>
      <c r="O8571">
        <v>0</v>
      </c>
    </row>
    <row r="8572" spans="1:15" x14ac:dyDescent="0.25">
      <c r="A8572" t="s">
        <v>940</v>
      </c>
      <c r="B8572" t="s">
        <v>2647</v>
      </c>
      <c r="C8572" t="s">
        <v>927</v>
      </c>
      <c r="D8572" t="s">
        <v>3052</v>
      </c>
      <c r="E8572" t="s">
        <v>3053</v>
      </c>
      <c r="F8572" t="s">
        <v>788</v>
      </c>
      <c r="G8572" t="s">
        <v>789</v>
      </c>
      <c r="H8572" t="s">
        <v>8783</v>
      </c>
      <c r="I8572">
        <v>127</v>
      </c>
      <c r="J8572">
        <v>0</v>
      </c>
      <c r="K8572">
        <v>0</v>
      </c>
      <c r="L8572">
        <v>0</v>
      </c>
      <c r="M8572">
        <v>127</v>
      </c>
      <c r="N8572">
        <v>0</v>
      </c>
      <c r="O8572">
        <v>0</v>
      </c>
    </row>
    <row r="8573" spans="1:15" x14ac:dyDescent="0.25">
      <c r="A8573" t="s">
        <v>1012</v>
      </c>
      <c r="B8573" t="s">
        <v>2911</v>
      </c>
      <c r="C8573" t="s">
        <v>927</v>
      </c>
      <c r="D8573" t="s">
        <v>3052</v>
      </c>
      <c r="E8573" t="s">
        <v>3053</v>
      </c>
      <c r="F8573" t="s">
        <v>788</v>
      </c>
      <c r="G8573" t="s">
        <v>789</v>
      </c>
      <c r="H8573" t="s">
        <v>8784</v>
      </c>
      <c r="I8573">
        <v>302</v>
      </c>
      <c r="J8573">
        <v>233</v>
      </c>
      <c r="K8573">
        <v>0</v>
      </c>
      <c r="L8573">
        <v>6</v>
      </c>
      <c r="M8573">
        <v>0</v>
      </c>
      <c r="N8573">
        <v>2</v>
      </c>
      <c r="O8573">
        <v>63</v>
      </c>
    </row>
    <row r="8574" spans="1:15" x14ac:dyDescent="0.25">
      <c r="A8574" t="s">
        <v>1126</v>
      </c>
      <c r="B8574" t="s">
        <v>2130</v>
      </c>
      <c r="C8574" t="s">
        <v>927</v>
      </c>
      <c r="D8574" t="s">
        <v>3052</v>
      </c>
      <c r="E8574" t="s">
        <v>3053</v>
      </c>
      <c r="F8574" t="s">
        <v>788</v>
      </c>
      <c r="G8574" t="s">
        <v>789</v>
      </c>
      <c r="H8574" t="s">
        <v>11404</v>
      </c>
      <c r="I8574">
        <v>6</v>
      </c>
      <c r="J8574">
        <v>0</v>
      </c>
      <c r="K8574">
        <v>0</v>
      </c>
      <c r="L8574">
        <v>0</v>
      </c>
      <c r="M8574">
        <v>0</v>
      </c>
      <c r="N8574">
        <v>0</v>
      </c>
      <c r="O8574">
        <v>6</v>
      </c>
    </row>
    <row r="8575" spans="1:15" x14ac:dyDescent="0.25">
      <c r="A8575" t="s">
        <v>942</v>
      </c>
      <c r="B8575" t="s">
        <v>2113</v>
      </c>
      <c r="C8575" t="s">
        <v>927</v>
      </c>
      <c r="D8575" t="s">
        <v>3052</v>
      </c>
      <c r="E8575" t="s">
        <v>3053</v>
      </c>
      <c r="F8575" t="s">
        <v>788</v>
      </c>
      <c r="G8575" t="s">
        <v>789</v>
      </c>
      <c r="H8575" t="s">
        <v>8785</v>
      </c>
      <c r="I8575">
        <v>1</v>
      </c>
      <c r="J8575">
        <v>0</v>
      </c>
      <c r="K8575">
        <v>0</v>
      </c>
      <c r="L8575">
        <v>0</v>
      </c>
      <c r="M8575">
        <v>0</v>
      </c>
      <c r="N8575">
        <v>0</v>
      </c>
      <c r="O8575">
        <v>1</v>
      </c>
    </row>
    <row r="8576" spans="1:15" x14ac:dyDescent="0.25">
      <c r="A8576" t="s">
        <v>1025</v>
      </c>
      <c r="B8576" t="s">
        <v>2893</v>
      </c>
      <c r="C8576" t="s">
        <v>927</v>
      </c>
      <c r="D8576" t="s">
        <v>3052</v>
      </c>
      <c r="E8576" t="s">
        <v>3053</v>
      </c>
      <c r="F8576" t="s">
        <v>788</v>
      </c>
      <c r="G8576" t="s">
        <v>789</v>
      </c>
      <c r="H8576" t="s">
        <v>8786</v>
      </c>
      <c r="I8576">
        <v>63</v>
      </c>
      <c r="J8576">
        <v>50</v>
      </c>
      <c r="K8576">
        <v>0</v>
      </c>
      <c r="L8576">
        <v>0</v>
      </c>
      <c r="M8576">
        <v>0</v>
      </c>
      <c r="N8576">
        <v>0</v>
      </c>
      <c r="O8576">
        <v>13</v>
      </c>
    </row>
    <row r="8577" spans="1:15" x14ac:dyDescent="0.25">
      <c r="A8577" t="s">
        <v>10681</v>
      </c>
      <c r="B8577" t="s">
        <v>10680</v>
      </c>
      <c r="C8577" t="s">
        <v>927</v>
      </c>
      <c r="D8577" t="s">
        <v>3052</v>
      </c>
      <c r="E8577" t="s">
        <v>3053</v>
      </c>
      <c r="F8577" t="s">
        <v>788</v>
      </c>
      <c r="G8577" t="s">
        <v>789</v>
      </c>
      <c r="H8577" t="s">
        <v>15345</v>
      </c>
      <c r="I8577">
        <v>7</v>
      </c>
      <c r="J8577">
        <v>0</v>
      </c>
      <c r="K8577">
        <v>0</v>
      </c>
      <c r="L8577">
        <v>0</v>
      </c>
      <c r="M8577">
        <v>0</v>
      </c>
      <c r="N8577">
        <v>0</v>
      </c>
      <c r="O8577">
        <v>7</v>
      </c>
    </row>
    <row r="8578" spans="1:15" x14ac:dyDescent="0.25">
      <c r="A8578" t="s">
        <v>945</v>
      </c>
      <c r="B8578" t="s">
        <v>2668</v>
      </c>
      <c r="C8578" t="s">
        <v>927</v>
      </c>
      <c r="D8578" t="s">
        <v>3052</v>
      </c>
      <c r="E8578" t="s">
        <v>3053</v>
      </c>
      <c r="F8578" t="s">
        <v>788</v>
      </c>
      <c r="G8578" t="s">
        <v>789</v>
      </c>
      <c r="H8578" t="s">
        <v>8787</v>
      </c>
      <c r="I8578">
        <v>715</v>
      </c>
      <c r="J8578">
        <v>274</v>
      </c>
      <c r="K8578">
        <v>0</v>
      </c>
      <c r="L8578">
        <v>22</v>
      </c>
      <c r="M8578">
        <v>28</v>
      </c>
      <c r="N8578">
        <v>0</v>
      </c>
      <c r="O8578">
        <v>391</v>
      </c>
    </row>
    <row r="8579" spans="1:15" x14ac:dyDescent="0.25">
      <c r="A8579" t="s">
        <v>1041</v>
      </c>
      <c r="B8579" t="s">
        <v>2826</v>
      </c>
      <c r="C8579" t="s">
        <v>927</v>
      </c>
      <c r="D8579" t="s">
        <v>3052</v>
      </c>
      <c r="E8579" t="s">
        <v>3053</v>
      </c>
      <c r="F8579" t="s">
        <v>788</v>
      </c>
      <c r="G8579" t="s">
        <v>789</v>
      </c>
      <c r="H8579" t="s">
        <v>8788</v>
      </c>
      <c r="I8579">
        <v>108</v>
      </c>
      <c r="J8579">
        <v>6</v>
      </c>
      <c r="K8579">
        <v>0</v>
      </c>
      <c r="L8579">
        <v>0</v>
      </c>
      <c r="M8579">
        <v>0</v>
      </c>
      <c r="N8579">
        <v>0</v>
      </c>
      <c r="O8579">
        <v>102</v>
      </c>
    </row>
    <row r="8580" spans="1:15" x14ac:dyDescent="0.25">
      <c r="A8580" t="s">
        <v>9787</v>
      </c>
      <c r="B8580" t="s">
        <v>2822</v>
      </c>
      <c r="C8580" t="s">
        <v>927</v>
      </c>
      <c r="D8580" t="s">
        <v>3052</v>
      </c>
      <c r="E8580" t="s">
        <v>3053</v>
      </c>
      <c r="F8580" t="s">
        <v>788</v>
      </c>
      <c r="G8580" t="s">
        <v>789</v>
      </c>
      <c r="H8580" t="s">
        <v>10286</v>
      </c>
      <c r="I8580">
        <v>147</v>
      </c>
      <c r="J8580">
        <v>147</v>
      </c>
      <c r="K8580">
        <v>0</v>
      </c>
      <c r="L8580">
        <v>0</v>
      </c>
      <c r="M8580">
        <v>0</v>
      </c>
      <c r="N8580">
        <v>0</v>
      </c>
      <c r="O8580">
        <v>0</v>
      </c>
    </row>
    <row r="8581" spans="1:15" x14ac:dyDescent="0.25">
      <c r="A8581" t="s">
        <v>1044</v>
      </c>
      <c r="B8581" t="s">
        <v>2000</v>
      </c>
      <c r="C8581" t="s">
        <v>923</v>
      </c>
      <c r="D8581" t="s">
        <v>3063</v>
      </c>
      <c r="E8581" t="s">
        <v>3053</v>
      </c>
      <c r="F8581" t="s">
        <v>788</v>
      </c>
      <c r="G8581" t="s">
        <v>789</v>
      </c>
      <c r="H8581" t="s">
        <v>8789</v>
      </c>
      <c r="I8581">
        <v>26</v>
      </c>
      <c r="J8581">
        <v>0</v>
      </c>
      <c r="K8581">
        <v>0</v>
      </c>
      <c r="L8581">
        <v>26</v>
      </c>
      <c r="M8581">
        <v>0</v>
      </c>
      <c r="N8581">
        <v>0</v>
      </c>
      <c r="O8581">
        <v>0</v>
      </c>
    </row>
    <row r="8582" spans="1:15" x14ac:dyDescent="0.25">
      <c r="A8582" t="s">
        <v>951</v>
      </c>
      <c r="B8582" t="s">
        <v>2680</v>
      </c>
      <c r="C8582" t="s">
        <v>927</v>
      </c>
      <c r="D8582" t="s">
        <v>3052</v>
      </c>
      <c r="E8582" t="s">
        <v>3053</v>
      </c>
      <c r="F8582" t="s">
        <v>788</v>
      </c>
      <c r="G8582" t="s">
        <v>789</v>
      </c>
      <c r="H8582" t="s">
        <v>8790</v>
      </c>
      <c r="I8582">
        <v>21</v>
      </c>
      <c r="J8582">
        <v>21</v>
      </c>
      <c r="K8582">
        <v>0</v>
      </c>
      <c r="L8582">
        <v>0</v>
      </c>
      <c r="M8582">
        <v>0</v>
      </c>
      <c r="N8582">
        <v>0</v>
      </c>
      <c r="O8582">
        <v>0</v>
      </c>
    </row>
    <row r="8583" spans="1:15" x14ac:dyDescent="0.25">
      <c r="A8583" t="s">
        <v>1048</v>
      </c>
      <c r="B8583" t="s">
        <v>2989</v>
      </c>
      <c r="C8583" t="s">
        <v>927</v>
      </c>
      <c r="D8583" t="s">
        <v>3052</v>
      </c>
      <c r="E8583" t="s">
        <v>3053</v>
      </c>
      <c r="F8583" t="s">
        <v>788</v>
      </c>
      <c r="G8583" t="s">
        <v>789</v>
      </c>
      <c r="H8583" t="s">
        <v>11405</v>
      </c>
      <c r="I8583">
        <v>4</v>
      </c>
      <c r="J8583">
        <v>0</v>
      </c>
      <c r="K8583">
        <v>0</v>
      </c>
      <c r="L8583">
        <v>4</v>
      </c>
      <c r="M8583">
        <v>0</v>
      </c>
      <c r="N8583">
        <v>0</v>
      </c>
      <c r="O8583">
        <v>0</v>
      </c>
    </row>
    <row r="8584" spans="1:15" x14ac:dyDescent="0.25">
      <c r="A8584" t="s">
        <v>953</v>
      </c>
      <c r="B8584" t="s">
        <v>2014</v>
      </c>
      <c r="C8584" t="s">
        <v>927</v>
      </c>
      <c r="D8584" t="s">
        <v>3052</v>
      </c>
      <c r="E8584" t="s">
        <v>3053</v>
      </c>
      <c r="F8584" t="s">
        <v>788</v>
      </c>
      <c r="G8584" t="s">
        <v>789</v>
      </c>
      <c r="H8584" t="s">
        <v>8791</v>
      </c>
      <c r="I8584">
        <v>11</v>
      </c>
      <c r="J8584">
        <v>0</v>
      </c>
      <c r="K8584">
        <v>0</v>
      </c>
      <c r="L8584">
        <v>11</v>
      </c>
      <c r="M8584">
        <v>0</v>
      </c>
      <c r="N8584">
        <v>0</v>
      </c>
      <c r="O8584">
        <v>0</v>
      </c>
    </row>
    <row r="8585" spans="1:15" x14ac:dyDescent="0.25">
      <c r="A8585" t="s">
        <v>11720</v>
      </c>
      <c r="B8585" t="s">
        <v>10718</v>
      </c>
      <c r="C8585" t="s">
        <v>927</v>
      </c>
      <c r="D8585" t="s">
        <v>3052</v>
      </c>
      <c r="E8585" t="s">
        <v>3053</v>
      </c>
      <c r="F8585" t="s">
        <v>788</v>
      </c>
      <c r="G8585" t="s">
        <v>789</v>
      </c>
      <c r="H8585" t="s">
        <v>15346</v>
      </c>
      <c r="I8585">
        <v>95</v>
      </c>
      <c r="J8585">
        <v>53</v>
      </c>
      <c r="K8585">
        <v>0</v>
      </c>
      <c r="L8585">
        <v>0</v>
      </c>
      <c r="M8585">
        <v>0</v>
      </c>
      <c r="N8585">
        <v>0</v>
      </c>
      <c r="O8585">
        <v>42</v>
      </c>
    </row>
    <row r="8586" spans="1:15" x14ac:dyDescent="0.25">
      <c r="A8586" t="s">
        <v>9788</v>
      </c>
      <c r="B8586" t="s">
        <v>9871</v>
      </c>
      <c r="C8586" t="s">
        <v>927</v>
      </c>
      <c r="D8586" t="s">
        <v>3052</v>
      </c>
      <c r="E8586" t="s">
        <v>3053</v>
      </c>
      <c r="F8586" t="s">
        <v>788</v>
      </c>
      <c r="G8586" t="s">
        <v>789</v>
      </c>
      <c r="H8586" t="s">
        <v>15347</v>
      </c>
      <c r="I8586">
        <v>8</v>
      </c>
      <c r="J8586">
        <v>8</v>
      </c>
      <c r="K8586">
        <v>0</v>
      </c>
      <c r="L8586">
        <v>0</v>
      </c>
      <c r="M8586">
        <v>0</v>
      </c>
      <c r="N8586">
        <v>0</v>
      </c>
      <c r="O8586">
        <v>0</v>
      </c>
    </row>
    <row r="8587" spans="1:15" x14ac:dyDescent="0.25">
      <c r="A8587" t="s">
        <v>1057</v>
      </c>
      <c r="B8587" t="s">
        <v>1972</v>
      </c>
      <c r="C8587" t="s">
        <v>927</v>
      </c>
      <c r="D8587" t="s">
        <v>3052</v>
      </c>
      <c r="E8587" t="s">
        <v>3053</v>
      </c>
      <c r="F8587" t="s">
        <v>788</v>
      </c>
      <c r="G8587" t="s">
        <v>789</v>
      </c>
      <c r="H8587" t="s">
        <v>8792</v>
      </c>
      <c r="I8587">
        <v>3</v>
      </c>
      <c r="J8587">
        <v>3</v>
      </c>
      <c r="K8587">
        <v>0</v>
      </c>
      <c r="L8587">
        <v>0</v>
      </c>
      <c r="M8587">
        <v>0</v>
      </c>
      <c r="N8587">
        <v>0</v>
      </c>
      <c r="O8587">
        <v>0</v>
      </c>
    </row>
    <row r="8588" spans="1:15" x14ac:dyDescent="0.25">
      <c r="A8588" t="s">
        <v>955</v>
      </c>
      <c r="B8588" t="s">
        <v>2660</v>
      </c>
      <c r="C8588" t="s">
        <v>927</v>
      </c>
      <c r="D8588" t="s">
        <v>3052</v>
      </c>
      <c r="E8588" t="s">
        <v>3053</v>
      </c>
      <c r="F8588" t="s">
        <v>788</v>
      </c>
      <c r="G8588" t="s">
        <v>789</v>
      </c>
      <c r="H8588" t="s">
        <v>8793</v>
      </c>
      <c r="I8588">
        <v>72</v>
      </c>
      <c r="J8588">
        <v>71</v>
      </c>
      <c r="K8588">
        <v>0</v>
      </c>
      <c r="L8588">
        <v>0</v>
      </c>
      <c r="M8588">
        <v>0</v>
      </c>
      <c r="N8588">
        <v>0</v>
      </c>
      <c r="O8588">
        <v>1</v>
      </c>
    </row>
    <row r="8589" spans="1:15" x14ac:dyDescent="0.25">
      <c r="A8589" t="s">
        <v>11663</v>
      </c>
      <c r="B8589" t="s">
        <v>11768</v>
      </c>
      <c r="C8589" t="s">
        <v>927</v>
      </c>
      <c r="D8589" t="s">
        <v>3052</v>
      </c>
      <c r="E8589" t="s">
        <v>3053</v>
      </c>
      <c r="F8589" t="s">
        <v>788</v>
      </c>
      <c r="G8589" t="s">
        <v>789</v>
      </c>
      <c r="H8589" t="s">
        <v>12426</v>
      </c>
      <c r="I8589">
        <v>255</v>
      </c>
      <c r="J8589">
        <v>219</v>
      </c>
      <c r="K8589">
        <v>0</v>
      </c>
      <c r="L8589">
        <v>0</v>
      </c>
      <c r="M8589">
        <v>0</v>
      </c>
      <c r="N8589">
        <v>1</v>
      </c>
      <c r="O8589">
        <v>36</v>
      </c>
    </row>
    <row r="8590" spans="1:15" x14ac:dyDescent="0.25">
      <c r="A8590" t="s">
        <v>1679</v>
      </c>
      <c r="B8590" t="s">
        <v>2292</v>
      </c>
      <c r="C8590" t="s">
        <v>923</v>
      </c>
      <c r="D8590" t="s">
        <v>3063</v>
      </c>
      <c r="E8590" t="s">
        <v>3053</v>
      </c>
      <c r="F8590" t="s">
        <v>788</v>
      </c>
      <c r="G8590" t="s">
        <v>789</v>
      </c>
      <c r="H8590" t="s">
        <v>8794</v>
      </c>
      <c r="I8590">
        <v>14</v>
      </c>
      <c r="J8590">
        <v>0</v>
      </c>
      <c r="K8590">
        <v>0</v>
      </c>
      <c r="L8590">
        <v>0</v>
      </c>
      <c r="M8590">
        <v>14</v>
      </c>
      <c r="N8590">
        <v>0</v>
      </c>
      <c r="O8590">
        <v>0</v>
      </c>
    </row>
    <row r="8591" spans="1:15" x14ac:dyDescent="0.25">
      <c r="A8591" t="s">
        <v>1072</v>
      </c>
      <c r="B8591" t="s">
        <v>2907</v>
      </c>
      <c r="C8591" t="s">
        <v>927</v>
      </c>
      <c r="D8591" t="s">
        <v>3052</v>
      </c>
      <c r="E8591" t="s">
        <v>3053</v>
      </c>
      <c r="F8591" t="s">
        <v>788</v>
      </c>
      <c r="G8591" t="s">
        <v>789</v>
      </c>
      <c r="H8591" t="s">
        <v>8795</v>
      </c>
      <c r="I8591">
        <v>30</v>
      </c>
      <c r="J8591">
        <v>0</v>
      </c>
      <c r="K8591">
        <v>0</v>
      </c>
      <c r="L8591">
        <v>0</v>
      </c>
      <c r="M8591">
        <v>30</v>
      </c>
      <c r="N8591">
        <v>0</v>
      </c>
      <c r="O8591">
        <v>0</v>
      </c>
    </row>
    <row r="8592" spans="1:15" x14ac:dyDescent="0.25">
      <c r="A8592" t="s">
        <v>14396</v>
      </c>
      <c r="B8592" t="s">
        <v>15348</v>
      </c>
      <c r="C8592" t="s">
        <v>923</v>
      </c>
      <c r="D8592" t="s">
        <v>3063</v>
      </c>
      <c r="E8592" t="s">
        <v>3053</v>
      </c>
      <c r="F8592" t="s">
        <v>788</v>
      </c>
      <c r="G8592" t="s">
        <v>789</v>
      </c>
      <c r="H8592" t="s">
        <v>15349</v>
      </c>
      <c r="I8592">
        <v>6</v>
      </c>
      <c r="J8592">
        <v>6</v>
      </c>
      <c r="K8592">
        <v>0</v>
      </c>
      <c r="L8592">
        <v>0</v>
      </c>
      <c r="M8592">
        <v>0</v>
      </c>
      <c r="N8592">
        <v>0</v>
      </c>
      <c r="O8592">
        <v>0</v>
      </c>
    </row>
    <row r="8593" spans="1:15" x14ac:dyDescent="0.25">
      <c r="A8593" t="s">
        <v>1684</v>
      </c>
      <c r="B8593" t="s">
        <v>2845</v>
      </c>
      <c r="C8593" t="s">
        <v>927</v>
      </c>
      <c r="D8593" t="s">
        <v>3052</v>
      </c>
      <c r="E8593" t="s">
        <v>3053</v>
      </c>
      <c r="F8593" t="s">
        <v>788</v>
      </c>
      <c r="G8593" t="s">
        <v>789</v>
      </c>
      <c r="H8593" t="s">
        <v>8796</v>
      </c>
      <c r="I8593">
        <v>349</v>
      </c>
      <c r="J8593">
        <v>160</v>
      </c>
      <c r="K8593">
        <v>0</v>
      </c>
      <c r="L8593">
        <v>0</v>
      </c>
      <c r="M8593">
        <v>109</v>
      </c>
      <c r="N8593">
        <v>0</v>
      </c>
      <c r="O8593">
        <v>80</v>
      </c>
    </row>
    <row r="8594" spans="1:15" x14ac:dyDescent="0.25">
      <c r="A8594" t="s">
        <v>1691</v>
      </c>
      <c r="B8594" t="s">
        <v>2980</v>
      </c>
      <c r="C8594" t="s">
        <v>927</v>
      </c>
      <c r="D8594" t="s">
        <v>3052</v>
      </c>
      <c r="E8594" t="s">
        <v>3053</v>
      </c>
      <c r="F8594" t="s">
        <v>788</v>
      </c>
      <c r="G8594" t="s">
        <v>789</v>
      </c>
      <c r="H8594" t="s">
        <v>8797</v>
      </c>
      <c r="I8594">
        <v>78</v>
      </c>
      <c r="J8594">
        <v>49</v>
      </c>
      <c r="K8594">
        <v>0</v>
      </c>
      <c r="L8594">
        <v>5</v>
      </c>
      <c r="M8594">
        <v>0</v>
      </c>
      <c r="N8594">
        <v>0</v>
      </c>
      <c r="O8594">
        <v>24</v>
      </c>
    </row>
    <row r="8595" spans="1:15" x14ac:dyDescent="0.25">
      <c r="A8595" t="s">
        <v>1399</v>
      </c>
      <c r="B8595" t="s">
        <v>2903</v>
      </c>
      <c r="C8595" t="s">
        <v>923</v>
      </c>
      <c r="D8595" t="s">
        <v>3063</v>
      </c>
      <c r="E8595" t="s">
        <v>3053</v>
      </c>
      <c r="F8595" t="s">
        <v>788</v>
      </c>
      <c r="G8595" t="s">
        <v>789</v>
      </c>
      <c r="H8595" t="s">
        <v>12427</v>
      </c>
      <c r="I8595">
        <v>9</v>
      </c>
      <c r="J8595">
        <v>0</v>
      </c>
      <c r="K8595">
        <v>0</v>
      </c>
      <c r="L8595">
        <v>9</v>
      </c>
      <c r="M8595">
        <v>0</v>
      </c>
      <c r="N8595">
        <v>0</v>
      </c>
      <c r="O8595">
        <v>0</v>
      </c>
    </row>
    <row r="8596" spans="1:15" x14ac:dyDescent="0.25">
      <c r="A8596" t="s">
        <v>926</v>
      </c>
      <c r="B8596" t="s">
        <v>2923</v>
      </c>
      <c r="C8596" t="s">
        <v>927</v>
      </c>
      <c r="D8596" t="s">
        <v>3052</v>
      </c>
      <c r="E8596" t="s">
        <v>3053</v>
      </c>
      <c r="F8596" t="s">
        <v>790</v>
      </c>
      <c r="G8596" t="s">
        <v>791</v>
      </c>
      <c r="H8596" t="s">
        <v>8798</v>
      </c>
      <c r="I8596">
        <v>4</v>
      </c>
      <c r="J8596">
        <v>0</v>
      </c>
      <c r="K8596">
        <v>0</v>
      </c>
      <c r="L8596">
        <v>0</v>
      </c>
      <c r="M8596">
        <v>0</v>
      </c>
      <c r="N8596">
        <v>0</v>
      </c>
      <c r="O8596">
        <v>4</v>
      </c>
    </row>
    <row r="8597" spans="1:15" x14ac:dyDescent="0.25">
      <c r="A8597" t="s">
        <v>929</v>
      </c>
      <c r="B8597" t="s">
        <v>2999</v>
      </c>
      <c r="C8597" t="s">
        <v>927</v>
      </c>
      <c r="D8597" t="s">
        <v>3052</v>
      </c>
      <c r="E8597" t="s">
        <v>3053</v>
      </c>
      <c r="F8597" t="s">
        <v>790</v>
      </c>
      <c r="G8597" t="s">
        <v>791</v>
      </c>
      <c r="H8597" t="s">
        <v>8799</v>
      </c>
      <c r="I8597">
        <v>31</v>
      </c>
      <c r="J8597">
        <v>0</v>
      </c>
      <c r="K8597">
        <v>0</v>
      </c>
      <c r="L8597">
        <v>0</v>
      </c>
      <c r="M8597">
        <v>31</v>
      </c>
      <c r="N8597">
        <v>0</v>
      </c>
      <c r="O8597">
        <v>0</v>
      </c>
    </row>
    <row r="8598" spans="1:15" x14ac:dyDescent="0.25">
      <c r="A8598" t="s">
        <v>931</v>
      </c>
      <c r="B8598" t="s">
        <v>1978</v>
      </c>
      <c r="C8598" t="s">
        <v>927</v>
      </c>
      <c r="D8598" t="s">
        <v>3052</v>
      </c>
      <c r="E8598" t="s">
        <v>3053</v>
      </c>
      <c r="F8598" t="s">
        <v>790</v>
      </c>
      <c r="G8598" t="s">
        <v>791</v>
      </c>
      <c r="H8598" t="s">
        <v>8800</v>
      </c>
      <c r="I8598">
        <v>140</v>
      </c>
      <c r="J8598">
        <v>98</v>
      </c>
      <c r="K8598">
        <v>0</v>
      </c>
      <c r="L8598">
        <v>0</v>
      </c>
      <c r="M8598">
        <v>0</v>
      </c>
      <c r="N8598">
        <v>0</v>
      </c>
      <c r="O8598">
        <v>42</v>
      </c>
    </row>
    <row r="8599" spans="1:15" x14ac:dyDescent="0.25">
      <c r="A8599" t="s">
        <v>9784</v>
      </c>
      <c r="B8599" t="s">
        <v>1994</v>
      </c>
      <c r="C8599" t="s">
        <v>927</v>
      </c>
      <c r="D8599" t="s">
        <v>3052</v>
      </c>
      <c r="E8599" t="s">
        <v>3053</v>
      </c>
      <c r="F8599" t="s">
        <v>790</v>
      </c>
      <c r="G8599" t="s">
        <v>791</v>
      </c>
      <c r="H8599" t="s">
        <v>9992</v>
      </c>
      <c r="I8599">
        <v>4</v>
      </c>
      <c r="J8599">
        <v>0</v>
      </c>
      <c r="K8599">
        <v>0</v>
      </c>
      <c r="L8599">
        <v>4</v>
      </c>
      <c r="M8599">
        <v>0</v>
      </c>
      <c r="N8599">
        <v>0</v>
      </c>
      <c r="O8599">
        <v>0</v>
      </c>
    </row>
    <row r="8600" spans="1:15" x14ac:dyDescent="0.25">
      <c r="A8600" t="s">
        <v>10638</v>
      </c>
      <c r="B8600" t="s">
        <v>2057</v>
      </c>
      <c r="C8600" t="s">
        <v>927</v>
      </c>
      <c r="D8600" t="s">
        <v>3052</v>
      </c>
      <c r="E8600" t="s">
        <v>3053</v>
      </c>
      <c r="F8600" t="s">
        <v>790</v>
      </c>
      <c r="G8600" t="s">
        <v>791</v>
      </c>
      <c r="H8600" t="s">
        <v>11406</v>
      </c>
      <c r="I8600">
        <v>52</v>
      </c>
      <c r="J8600">
        <v>0</v>
      </c>
      <c r="K8600">
        <v>0</v>
      </c>
      <c r="L8600">
        <v>52</v>
      </c>
      <c r="M8600">
        <v>0</v>
      </c>
      <c r="N8600">
        <v>0</v>
      </c>
      <c r="O8600">
        <v>0</v>
      </c>
    </row>
    <row r="8601" spans="1:15" x14ac:dyDescent="0.25">
      <c r="A8601" t="s">
        <v>937</v>
      </c>
      <c r="B8601" t="s">
        <v>1962</v>
      </c>
      <c r="C8601" t="s">
        <v>927</v>
      </c>
      <c r="D8601" t="s">
        <v>3052</v>
      </c>
      <c r="E8601" t="s">
        <v>3053</v>
      </c>
      <c r="F8601" t="s">
        <v>790</v>
      </c>
      <c r="G8601" t="s">
        <v>791</v>
      </c>
      <c r="H8601" t="s">
        <v>8801</v>
      </c>
      <c r="I8601">
        <v>45</v>
      </c>
      <c r="J8601">
        <v>0</v>
      </c>
      <c r="K8601">
        <v>0</v>
      </c>
      <c r="L8601">
        <v>0</v>
      </c>
      <c r="M8601">
        <v>0</v>
      </c>
      <c r="N8601">
        <v>0</v>
      </c>
      <c r="O8601">
        <v>45</v>
      </c>
    </row>
    <row r="8602" spans="1:15" x14ac:dyDescent="0.25">
      <c r="A8602" t="s">
        <v>1011</v>
      </c>
      <c r="B8602" t="s">
        <v>2020</v>
      </c>
      <c r="C8602" t="s">
        <v>927</v>
      </c>
      <c r="D8602" t="s">
        <v>3052</v>
      </c>
      <c r="E8602" t="s">
        <v>3053</v>
      </c>
      <c r="F8602" t="s">
        <v>790</v>
      </c>
      <c r="G8602" t="s">
        <v>791</v>
      </c>
      <c r="H8602" t="s">
        <v>12428</v>
      </c>
      <c r="I8602">
        <v>10</v>
      </c>
      <c r="J8602">
        <v>0</v>
      </c>
      <c r="K8602">
        <v>0</v>
      </c>
      <c r="L8602">
        <v>10</v>
      </c>
      <c r="M8602">
        <v>0</v>
      </c>
      <c r="N8602">
        <v>0</v>
      </c>
      <c r="O8602">
        <v>0</v>
      </c>
    </row>
    <row r="8603" spans="1:15" x14ac:dyDescent="0.25">
      <c r="A8603" t="s">
        <v>938</v>
      </c>
      <c r="B8603" t="s">
        <v>2791</v>
      </c>
      <c r="C8603" t="s">
        <v>927</v>
      </c>
      <c r="D8603" t="s">
        <v>3052</v>
      </c>
      <c r="E8603" t="s">
        <v>3053</v>
      </c>
      <c r="F8603" t="s">
        <v>790</v>
      </c>
      <c r="G8603" t="s">
        <v>791</v>
      </c>
      <c r="H8603" t="s">
        <v>8802</v>
      </c>
      <c r="I8603">
        <v>9</v>
      </c>
      <c r="J8603">
        <v>0</v>
      </c>
      <c r="K8603">
        <v>0</v>
      </c>
      <c r="L8603">
        <v>9</v>
      </c>
      <c r="M8603">
        <v>0</v>
      </c>
      <c r="N8603">
        <v>0</v>
      </c>
      <c r="O8603">
        <v>0</v>
      </c>
    </row>
    <row r="8604" spans="1:15" x14ac:dyDescent="0.25">
      <c r="A8604" t="s">
        <v>1018</v>
      </c>
      <c r="B8604" t="s">
        <v>1980</v>
      </c>
      <c r="C8604" t="s">
        <v>923</v>
      </c>
      <c r="D8604" t="s">
        <v>3063</v>
      </c>
      <c r="E8604" t="s">
        <v>3053</v>
      </c>
      <c r="F8604" t="s">
        <v>790</v>
      </c>
      <c r="G8604" t="s">
        <v>791</v>
      </c>
      <c r="H8604" t="s">
        <v>8803</v>
      </c>
      <c r="I8604">
        <v>30</v>
      </c>
      <c r="J8604">
        <v>0</v>
      </c>
      <c r="K8604">
        <v>0</v>
      </c>
      <c r="L8604">
        <v>30</v>
      </c>
      <c r="M8604">
        <v>0</v>
      </c>
      <c r="N8604">
        <v>0</v>
      </c>
      <c r="O8604">
        <v>0</v>
      </c>
    </row>
    <row r="8605" spans="1:15" x14ac:dyDescent="0.25">
      <c r="A8605" t="s">
        <v>10667</v>
      </c>
      <c r="B8605" t="s">
        <v>10666</v>
      </c>
      <c r="C8605" t="s">
        <v>927</v>
      </c>
      <c r="D8605" t="s">
        <v>3052</v>
      </c>
      <c r="E8605" t="s">
        <v>3053</v>
      </c>
      <c r="F8605" t="s">
        <v>790</v>
      </c>
      <c r="G8605" t="s">
        <v>791</v>
      </c>
      <c r="H8605" t="s">
        <v>12429</v>
      </c>
      <c r="I8605">
        <v>17</v>
      </c>
      <c r="J8605">
        <v>17</v>
      </c>
      <c r="K8605">
        <v>0</v>
      </c>
      <c r="L8605">
        <v>0</v>
      </c>
      <c r="M8605">
        <v>0</v>
      </c>
      <c r="N8605">
        <v>0</v>
      </c>
      <c r="O8605">
        <v>0</v>
      </c>
    </row>
    <row r="8606" spans="1:15" x14ac:dyDescent="0.25">
      <c r="A8606" t="s">
        <v>1126</v>
      </c>
      <c r="B8606" t="s">
        <v>2130</v>
      </c>
      <c r="C8606" t="s">
        <v>927</v>
      </c>
      <c r="D8606" t="s">
        <v>3052</v>
      </c>
      <c r="E8606" t="s">
        <v>3053</v>
      </c>
      <c r="F8606" t="s">
        <v>790</v>
      </c>
      <c r="G8606" t="s">
        <v>791</v>
      </c>
      <c r="H8606" t="s">
        <v>11407</v>
      </c>
      <c r="I8606">
        <v>41</v>
      </c>
      <c r="J8606">
        <v>21</v>
      </c>
      <c r="K8606">
        <v>0</v>
      </c>
      <c r="L8606">
        <v>0</v>
      </c>
      <c r="M8606">
        <v>0</v>
      </c>
      <c r="N8606">
        <v>0</v>
      </c>
      <c r="O8606">
        <v>20</v>
      </c>
    </row>
    <row r="8607" spans="1:15" x14ac:dyDescent="0.25">
      <c r="A8607" t="s">
        <v>1020</v>
      </c>
      <c r="B8607" t="s">
        <v>2104</v>
      </c>
      <c r="C8607" t="s">
        <v>923</v>
      </c>
      <c r="D8607" t="s">
        <v>3063</v>
      </c>
      <c r="E8607" t="s">
        <v>3053</v>
      </c>
      <c r="F8607" t="s">
        <v>790</v>
      </c>
      <c r="G8607" t="s">
        <v>791</v>
      </c>
      <c r="H8607" t="s">
        <v>8804</v>
      </c>
      <c r="I8607">
        <v>15</v>
      </c>
      <c r="J8607">
        <v>0</v>
      </c>
      <c r="K8607">
        <v>0</v>
      </c>
      <c r="L8607">
        <v>15</v>
      </c>
      <c r="M8607">
        <v>0</v>
      </c>
      <c r="N8607">
        <v>0</v>
      </c>
      <c r="O8607">
        <v>0</v>
      </c>
    </row>
    <row r="8608" spans="1:15" x14ac:dyDescent="0.25">
      <c r="A8608" t="s">
        <v>942</v>
      </c>
      <c r="B8608" t="s">
        <v>2113</v>
      </c>
      <c r="C8608" t="s">
        <v>927</v>
      </c>
      <c r="D8608" t="s">
        <v>3052</v>
      </c>
      <c r="E8608" t="s">
        <v>3053</v>
      </c>
      <c r="F8608" t="s">
        <v>790</v>
      </c>
      <c r="G8608" t="s">
        <v>791</v>
      </c>
      <c r="H8608" t="s">
        <v>8805</v>
      </c>
      <c r="I8608">
        <v>491</v>
      </c>
      <c r="J8608">
        <v>369</v>
      </c>
      <c r="K8608">
        <v>0</v>
      </c>
      <c r="L8608">
        <v>59</v>
      </c>
      <c r="M8608">
        <v>0</v>
      </c>
      <c r="N8608">
        <v>0</v>
      </c>
      <c r="O8608">
        <v>63</v>
      </c>
    </row>
    <row r="8609" spans="1:15" x14ac:dyDescent="0.25">
      <c r="A8609" t="s">
        <v>1743</v>
      </c>
      <c r="B8609" t="s">
        <v>2086</v>
      </c>
      <c r="C8609" t="s">
        <v>927</v>
      </c>
      <c r="D8609" t="s">
        <v>3052</v>
      </c>
      <c r="E8609" t="s">
        <v>3053</v>
      </c>
      <c r="F8609" t="s">
        <v>790</v>
      </c>
      <c r="G8609" t="s">
        <v>791</v>
      </c>
      <c r="H8609" t="s">
        <v>8806</v>
      </c>
      <c r="I8609">
        <v>4</v>
      </c>
      <c r="J8609">
        <v>4</v>
      </c>
      <c r="K8609">
        <v>0</v>
      </c>
      <c r="L8609">
        <v>0</v>
      </c>
      <c r="M8609">
        <v>0</v>
      </c>
      <c r="N8609">
        <v>0</v>
      </c>
      <c r="O8609">
        <v>0</v>
      </c>
    </row>
    <row r="8610" spans="1:15" x14ac:dyDescent="0.25">
      <c r="A8610" t="s">
        <v>945</v>
      </c>
      <c r="B8610" t="s">
        <v>2668</v>
      </c>
      <c r="C8610" t="s">
        <v>927</v>
      </c>
      <c r="D8610" t="s">
        <v>3052</v>
      </c>
      <c r="E8610" t="s">
        <v>3053</v>
      </c>
      <c r="F8610" t="s">
        <v>790</v>
      </c>
      <c r="G8610" t="s">
        <v>791</v>
      </c>
      <c r="H8610" t="s">
        <v>8807</v>
      </c>
      <c r="I8610">
        <v>2</v>
      </c>
      <c r="J8610">
        <v>0</v>
      </c>
      <c r="K8610">
        <v>0</v>
      </c>
      <c r="L8610">
        <v>0</v>
      </c>
      <c r="M8610">
        <v>0</v>
      </c>
      <c r="N8610">
        <v>0</v>
      </c>
      <c r="O8610">
        <v>2</v>
      </c>
    </row>
    <row r="8611" spans="1:15" x14ac:dyDescent="0.25">
      <c r="A8611" t="s">
        <v>1135</v>
      </c>
      <c r="B8611" t="s">
        <v>1996</v>
      </c>
      <c r="C8611" t="s">
        <v>923</v>
      </c>
      <c r="D8611" t="s">
        <v>3063</v>
      </c>
      <c r="E8611" t="s">
        <v>3053</v>
      </c>
      <c r="F8611" t="s">
        <v>790</v>
      </c>
      <c r="G8611" t="s">
        <v>791</v>
      </c>
      <c r="H8611" t="s">
        <v>11408</v>
      </c>
      <c r="I8611">
        <v>67</v>
      </c>
      <c r="J8611">
        <v>67</v>
      </c>
      <c r="K8611">
        <v>0</v>
      </c>
      <c r="L8611">
        <v>0</v>
      </c>
      <c r="M8611">
        <v>0</v>
      </c>
      <c r="N8611">
        <v>0</v>
      </c>
      <c r="O8611">
        <v>0</v>
      </c>
    </row>
    <row r="8612" spans="1:15" x14ac:dyDescent="0.25">
      <c r="A8612" t="s">
        <v>1048</v>
      </c>
      <c r="B8612" t="s">
        <v>2989</v>
      </c>
      <c r="C8612" t="s">
        <v>927</v>
      </c>
      <c r="D8612" t="s">
        <v>3052</v>
      </c>
      <c r="E8612" t="s">
        <v>3053</v>
      </c>
      <c r="F8612" t="s">
        <v>790</v>
      </c>
      <c r="G8612" t="s">
        <v>791</v>
      </c>
      <c r="H8612" t="s">
        <v>8808</v>
      </c>
      <c r="I8612">
        <v>7</v>
      </c>
      <c r="J8612">
        <v>0</v>
      </c>
      <c r="K8612">
        <v>0</v>
      </c>
      <c r="L8612">
        <v>7</v>
      </c>
      <c r="M8612">
        <v>0</v>
      </c>
      <c r="N8612">
        <v>0</v>
      </c>
      <c r="O8612">
        <v>0</v>
      </c>
    </row>
    <row r="8613" spans="1:15" x14ac:dyDescent="0.25">
      <c r="A8613" t="s">
        <v>1051</v>
      </c>
      <c r="B8613" t="s">
        <v>2995</v>
      </c>
      <c r="C8613" t="s">
        <v>927</v>
      </c>
      <c r="D8613" t="s">
        <v>3052</v>
      </c>
      <c r="E8613" t="s">
        <v>3053</v>
      </c>
      <c r="F8613" t="s">
        <v>790</v>
      </c>
      <c r="G8613" t="s">
        <v>791</v>
      </c>
      <c r="H8613" t="s">
        <v>8809</v>
      </c>
      <c r="I8613">
        <v>26</v>
      </c>
      <c r="J8613">
        <v>0</v>
      </c>
      <c r="K8613">
        <v>0</v>
      </c>
      <c r="L8613">
        <v>26</v>
      </c>
      <c r="M8613">
        <v>0</v>
      </c>
      <c r="N8613">
        <v>0</v>
      </c>
      <c r="O8613">
        <v>0</v>
      </c>
    </row>
    <row r="8614" spans="1:15" x14ac:dyDescent="0.25">
      <c r="A8614" t="s">
        <v>953</v>
      </c>
      <c r="B8614" t="s">
        <v>2014</v>
      </c>
      <c r="C8614" t="s">
        <v>927</v>
      </c>
      <c r="D8614" t="s">
        <v>3052</v>
      </c>
      <c r="E8614" t="s">
        <v>3053</v>
      </c>
      <c r="F8614" t="s">
        <v>790</v>
      </c>
      <c r="G8614" t="s">
        <v>791</v>
      </c>
      <c r="H8614" t="s">
        <v>8810</v>
      </c>
      <c r="I8614">
        <v>8</v>
      </c>
      <c r="J8614">
        <v>0</v>
      </c>
      <c r="K8614">
        <v>0</v>
      </c>
      <c r="L8614">
        <v>8</v>
      </c>
      <c r="M8614">
        <v>0</v>
      </c>
      <c r="N8614">
        <v>0</v>
      </c>
      <c r="O8614">
        <v>0</v>
      </c>
    </row>
    <row r="8615" spans="1:15" x14ac:dyDescent="0.25">
      <c r="A8615" t="s">
        <v>1056</v>
      </c>
      <c r="B8615" t="s">
        <v>2966</v>
      </c>
      <c r="C8615" t="s">
        <v>927</v>
      </c>
      <c r="D8615" t="s">
        <v>3052</v>
      </c>
      <c r="E8615" t="s">
        <v>3053</v>
      </c>
      <c r="F8615" t="s">
        <v>790</v>
      </c>
      <c r="G8615" t="s">
        <v>791</v>
      </c>
      <c r="H8615" t="s">
        <v>8811</v>
      </c>
      <c r="I8615">
        <v>22</v>
      </c>
      <c r="J8615">
        <v>6</v>
      </c>
      <c r="K8615">
        <v>11</v>
      </c>
      <c r="L8615">
        <v>5</v>
      </c>
      <c r="M8615">
        <v>0</v>
      </c>
      <c r="N8615">
        <v>0</v>
      </c>
      <c r="O8615">
        <v>0</v>
      </c>
    </row>
    <row r="8616" spans="1:15" x14ac:dyDescent="0.25">
      <c r="A8616" t="s">
        <v>1057</v>
      </c>
      <c r="B8616" t="s">
        <v>1972</v>
      </c>
      <c r="C8616" t="s">
        <v>927</v>
      </c>
      <c r="D8616" t="s">
        <v>3052</v>
      </c>
      <c r="E8616" t="s">
        <v>3053</v>
      </c>
      <c r="F8616" t="s">
        <v>790</v>
      </c>
      <c r="G8616" t="s">
        <v>791</v>
      </c>
      <c r="H8616" t="s">
        <v>8812</v>
      </c>
      <c r="I8616">
        <v>82</v>
      </c>
      <c r="J8616">
        <v>81</v>
      </c>
      <c r="K8616">
        <v>0</v>
      </c>
      <c r="L8616">
        <v>1</v>
      </c>
      <c r="M8616">
        <v>0</v>
      </c>
      <c r="N8616">
        <v>0</v>
      </c>
      <c r="O8616">
        <v>0</v>
      </c>
    </row>
    <row r="8617" spans="1:15" x14ac:dyDescent="0.25">
      <c r="A8617" t="s">
        <v>955</v>
      </c>
      <c r="B8617" t="s">
        <v>2660</v>
      </c>
      <c r="C8617" t="s">
        <v>927</v>
      </c>
      <c r="D8617" t="s">
        <v>3052</v>
      </c>
      <c r="E8617" t="s">
        <v>3053</v>
      </c>
      <c r="F8617" t="s">
        <v>790</v>
      </c>
      <c r="G8617" t="s">
        <v>791</v>
      </c>
      <c r="H8617" t="s">
        <v>8813</v>
      </c>
      <c r="I8617">
        <v>2632</v>
      </c>
      <c r="J8617">
        <v>2155</v>
      </c>
      <c r="K8617">
        <v>0</v>
      </c>
      <c r="L8617">
        <v>22</v>
      </c>
      <c r="M8617">
        <v>403</v>
      </c>
      <c r="N8617">
        <v>4</v>
      </c>
      <c r="O8617">
        <v>52</v>
      </c>
    </row>
    <row r="8618" spans="1:15" x14ac:dyDescent="0.25">
      <c r="A8618" t="s">
        <v>960</v>
      </c>
      <c r="B8618" t="s">
        <v>2080</v>
      </c>
      <c r="C8618" t="s">
        <v>927</v>
      </c>
      <c r="D8618" t="s">
        <v>3052</v>
      </c>
      <c r="E8618" t="s">
        <v>3053</v>
      </c>
      <c r="F8618" t="s">
        <v>790</v>
      </c>
      <c r="G8618" t="s">
        <v>791</v>
      </c>
      <c r="H8618" t="s">
        <v>8814</v>
      </c>
      <c r="I8618">
        <v>402</v>
      </c>
      <c r="J8618">
        <v>337</v>
      </c>
      <c r="K8618">
        <v>0</v>
      </c>
      <c r="L8618">
        <v>0</v>
      </c>
      <c r="M8618">
        <v>0</v>
      </c>
      <c r="N8618">
        <v>0</v>
      </c>
      <c r="O8618">
        <v>65</v>
      </c>
    </row>
    <row r="8619" spans="1:15" x14ac:dyDescent="0.25">
      <c r="A8619" t="s">
        <v>1062</v>
      </c>
      <c r="B8619" t="s">
        <v>1993</v>
      </c>
      <c r="C8619" t="s">
        <v>927</v>
      </c>
      <c r="D8619" t="s">
        <v>3052</v>
      </c>
      <c r="E8619" t="s">
        <v>3053</v>
      </c>
      <c r="F8619" t="s">
        <v>790</v>
      </c>
      <c r="G8619" t="s">
        <v>791</v>
      </c>
      <c r="H8619" t="s">
        <v>8815</v>
      </c>
      <c r="I8619">
        <v>66</v>
      </c>
      <c r="J8619">
        <v>0</v>
      </c>
      <c r="K8619">
        <v>0</v>
      </c>
      <c r="L8619">
        <v>0</v>
      </c>
      <c r="M8619">
        <v>66</v>
      </c>
      <c r="N8619">
        <v>0</v>
      </c>
      <c r="O8619">
        <v>0</v>
      </c>
    </row>
    <row r="8620" spans="1:15" x14ac:dyDescent="0.25">
      <c r="A8620" t="s">
        <v>962</v>
      </c>
      <c r="B8620" t="s">
        <v>2752</v>
      </c>
      <c r="C8620" t="s">
        <v>927</v>
      </c>
      <c r="D8620" t="s">
        <v>3052</v>
      </c>
      <c r="E8620" t="s">
        <v>3053</v>
      </c>
      <c r="F8620" t="s">
        <v>790</v>
      </c>
      <c r="G8620" t="s">
        <v>791</v>
      </c>
      <c r="H8620" t="s">
        <v>8816</v>
      </c>
      <c r="I8620">
        <v>71</v>
      </c>
      <c r="J8620">
        <v>71</v>
      </c>
      <c r="K8620">
        <v>0</v>
      </c>
      <c r="L8620">
        <v>0</v>
      </c>
      <c r="M8620">
        <v>0</v>
      </c>
      <c r="N8620">
        <v>0</v>
      </c>
      <c r="O8620">
        <v>0</v>
      </c>
    </row>
    <row r="8621" spans="1:15" x14ac:dyDescent="0.25">
      <c r="A8621" t="s">
        <v>1353</v>
      </c>
      <c r="B8621" t="s">
        <v>2927</v>
      </c>
      <c r="C8621" t="s">
        <v>923</v>
      </c>
      <c r="D8621" t="s">
        <v>3063</v>
      </c>
      <c r="E8621" t="s">
        <v>3053</v>
      </c>
      <c r="F8621" t="s">
        <v>790</v>
      </c>
      <c r="G8621" t="s">
        <v>791</v>
      </c>
      <c r="H8621" t="s">
        <v>8817</v>
      </c>
      <c r="I8621">
        <v>59</v>
      </c>
      <c r="J8621">
        <v>0</v>
      </c>
      <c r="K8621">
        <v>0</v>
      </c>
      <c r="L8621">
        <v>0</v>
      </c>
      <c r="M8621">
        <v>59</v>
      </c>
      <c r="N8621">
        <v>0</v>
      </c>
      <c r="O8621">
        <v>0</v>
      </c>
    </row>
    <row r="8622" spans="1:15" x14ac:dyDescent="0.25">
      <c r="A8622" t="s">
        <v>1778</v>
      </c>
      <c r="B8622" t="s">
        <v>2602</v>
      </c>
      <c r="C8622" t="s">
        <v>923</v>
      </c>
      <c r="D8622" t="s">
        <v>3063</v>
      </c>
      <c r="E8622" t="s">
        <v>3053</v>
      </c>
      <c r="F8622" t="s">
        <v>790</v>
      </c>
      <c r="G8622" t="s">
        <v>791</v>
      </c>
      <c r="H8622" t="s">
        <v>8818</v>
      </c>
      <c r="I8622">
        <v>27</v>
      </c>
      <c r="J8622">
        <v>0</v>
      </c>
      <c r="K8622">
        <v>0</v>
      </c>
      <c r="L8622">
        <v>0</v>
      </c>
      <c r="M8622">
        <v>27</v>
      </c>
      <c r="N8622">
        <v>0</v>
      </c>
      <c r="O8622">
        <v>0</v>
      </c>
    </row>
    <row r="8623" spans="1:15" x14ac:dyDescent="0.25">
      <c r="A8623" t="s">
        <v>1069</v>
      </c>
      <c r="B8623" t="s">
        <v>2001</v>
      </c>
      <c r="C8623" t="s">
        <v>927</v>
      </c>
      <c r="D8623" t="s">
        <v>3052</v>
      </c>
      <c r="E8623" t="s">
        <v>3053</v>
      </c>
      <c r="F8623" t="s">
        <v>790</v>
      </c>
      <c r="G8623" t="s">
        <v>791</v>
      </c>
      <c r="H8623" t="s">
        <v>8819</v>
      </c>
      <c r="I8623">
        <v>128</v>
      </c>
      <c r="J8623">
        <v>0</v>
      </c>
      <c r="K8623">
        <v>0</v>
      </c>
      <c r="L8623">
        <v>16</v>
      </c>
      <c r="M8623">
        <v>111</v>
      </c>
      <c r="N8623">
        <v>0</v>
      </c>
      <c r="O8623">
        <v>1</v>
      </c>
    </row>
    <row r="8624" spans="1:15" x14ac:dyDescent="0.25">
      <c r="A8624" t="s">
        <v>9840</v>
      </c>
      <c r="B8624" t="s">
        <v>9884</v>
      </c>
      <c r="C8624" t="s">
        <v>923</v>
      </c>
      <c r="D8624" t="s">
        <v>3063</v>
      </c>
      <c r="E8624" t="s">
        <v>3053</v>
      </c>
      <c r="F8624" t="s">
        <v>790</v>
      </c>
      <c r="G8624" t="s">
        <v>791</v>
      </c>
      <c r="H8624" t="s">
        <v>10501</v>
      </c>
      <c r="I8624">
        <v>32</v>
      </c>
      <c r="J8624">
        <v>18</v>
      </c>
      <c r="K8624">
        <v>0</v>
      </c>
      <c r="L8624">
        <v>14</v>
      </c>
      <c r="M8624">
        <v>0</v>
      </c>
      <c r="N8624">
        <v>0</v>
      </c>
      <c r="O8624">
        <v>0</v>
      </c>
    </row>
    <row r="8625" spans="1:15" x14ac:dyDescent="0.25">
      <c r="A8625" t="s">
        <v>1793</v>
      </c>
      <c r="B8625" t="s">
        <v>2075</v>
      </c>
      <c r="C8625" t="s">
        <v>927</v>
      </c>
      <c r="D8625" t="s">
        <v>3052</v>
      </c>
      <c r="E8625" t="s">
        <v>3053</v>
      </c>
      <c r="F8625" t="s">
        <v>790</v>
      </c>
      <c r="G8625" t="s">
        <v>791</v>
      </c>
      <c r="H8625" t="s">
        <v>8820</v>
      </c>
      <c r="I8625">
        <v>1583</v>
      </c>
      <c r="J8625">
        <v>1064</v>
      </c>
      <c r="K8625">
        <v>0</v>
      </c>
      <c r="L8625">
        <v>58</v>
      </c>
      <c r="M8625">
        <v>184</v>
      </c>
      <c r="N8625">
        <v>0</v>
      </c>
      <c r="O8625">
        <v>277</v>
      </c>
    </row>
    <row r="8626" spans="1:15" x14ac:dyDescent="0.25">
      <c r="A8626" t="s">
        <v>926</v>
      </c>
      <c r="B8626" t="s">
        <v>2923</v>
      </c>
      <c r="C8626" t="s">
        <v>927</v>
      </c>
      <c r="D8626" t="s">
        <v>3052</v>
      </c>
      <c r="E8626" t="s">
        <v>3053</v>
      </c>
      <c r="F8626" t="s">
        <v>792</v>
      </c>
      <c r="G8626" t="s">
        <v>793</v>
      </c>
      <c r="H8626" t="s">
        <v>8821</v>
      </c>
      <c r="I8626">
        <v>1</v>
      </c>
      <c r="J8626">
        <v>0</v>
      </c>
      <c r="K8626">
        <v>0</v>
      </c>
      <c r="L8626">
        <v>0</v>
      </c>
      <c r="M8626">
        <v>0</v>
      </c>
      <c r="N8626">
        <v>0</v>
      </c>
      <c r="O8626">
        <v>1</v>
      </c>
    </row>
    <row r="8627" spans="1:15" x14ac:dyDescent="0.25">
      <c r="A8627" t="s">
        <v>978</v>
      </c>
      <c r="B8627" t="s">
        <v>1999</v>
      </c>
      <c r="C8627" t="s">
        <v>923</v>
      </c>
      <c r="D8627" t="s">
        <v>3063</v>
      </c>
      <c r="E8627" t="s">
        <v>3053</v>
      </c>
      <c r="F8627" t="s">
        <v>792</v>
      </c>
      <c r="G8627" t="s">
        <v>793</v>
      </c>
      <c r="H8627" t="s">
        <v>11409</v>
      </c>
      <c r="I8627">
        <v>1</v>
      </c>
      <c r="J8627">
        <v>0</v>
      </c>
      <c r="K8627">
        <v>0</v>
      </c>
      <c r="L8627">
        <v>1</v>
      </c>
      <c r="M8627">
        <v>0</v>
      </c>
      <c r="N8627">
        <v>0</v>
      </c>
      <c r="O8627">
        <v>0</v>
      </c>
    </row>
    <row r="8628" spans="1:15" x14ac:dyDescent="0.25">
      <c r="A8628" t="s">
        <v>1575</v>
      </c>
      <c r="B8628" t="s">
        <v>2112</v>
      </c>
      <c r="C8628" t="s">
        <v>927</v>
      </c>
      <c r="D8628" t="s">
        <v>3052</v>
      </c>
      <c r="E8628" t="s">
        <v>3053</v>
      </c>
      <c r="F8628" t="s">
        <v>792</v>
      </c>
      <c r="G8628" t="s">
        <v>793</v>
      </c>
      <c r="H8628" t="s">
        <v>15350</v>
      </c>
      <c r="I8628">
        <v>14</v>
      </c>
      <c r="J8628">
        <v>13</v>
      </c>
      <c r="K8628">
        <v>0</v>
      </c>
      <c r="L8628">
        <v>0</v>
      </c>
      <c r="M8628">
        <v>0</v>
      </c>
      <c r="N8628">
        <v>0</v>
      </c>
      <c r="O8628">
        <v>1</v>
      </c>
    </row>
    <row r="8629" spans="1:15" x14ac:dyDescent="0.25">
      <c r="A8629" t="s">
        <v>931</v>
      </c>
      <c r="B8629" t="s">
        <v>1978</v>
      </c>
      <c r="C8629" t="s">
        <v>927</v>
      </c>
      <c r="D8629" t="s">
        <v>3052</v>
      </c>
      <c r="E8629" t="s">
        <v>3053</v>
      </c>
      <c r="F8629" t="s">
        <v>792</v>
      </c>
      <c r="G8629" t="s">
        <v>793</v>
      </c>
      <c r="H8629" t="s">
        <v>8822</v>
      </c>
      <c r="I8629">
        <v>86</v>
      </c>
      <c r="J8629">
        <v>72</v>
      </c>
      <c r="K8629">
        <v>0</v>
      </c>
      <c r="L8629">
        <v>0</v>
      </c>
      <c r="M8629">
        <v>0</v>
      </c>
      <c r="N8629">
        <v>0</v>
      </c>
      <c r="O8629">
        <v>14</v>
      </c>
    </row>
    <row r="8630" spans="1:15" x14ac:dyDescent="0.25">
      <c r="A8630" t="s">
        <v>9790</v>
      </c>
      <c r="B8630" t="s">
        <v>1977</v>
      </c>
      <c r="C8630" t="s">
        <v>923</v>
      </c>
      <c r="D8630" t="s">
        <v>3063</v>
      </c>
      <c r="E8630" t="s">
        <v>3053</v>
      </c>
      <c r="F8630" t="s">
        <v>792</v>
      </c>
      <c r="G8630" t="s">
        <v>793</v>
      </c>
      <c r="H8630" t="s">
        <v>12430</v>
      </c>
      <c r="I8630">
        <v>6</v>
      </c>
      <c r="J8630">
        <v>0</v>
      </c>
      <c r="K8630">
        <v>0</v>
      </c>
      <c r="L8630">
        <v>6</v>
      </c>
      <c r="M8630">
        <v>0</v>
      </c>
      <c r="N8630">
        <v>0</v>
      </c>
      <c r="O8630">
        <v>0</v>
      </c>
    </row>
    <row r="8631" spans="1:15" x14ac:dyDescent="0.25">
      <c r="A8631" t="s">
        <v>9784</v>
      </c>
      <c r="B8631" t="s">
        <v>1994</v>
      </c>
      <c r="C8631" t="s">
        <v>927</v>
      </c>
      <c r="D8631" t="s">
        <v>3052</v>
      </c>
      <c r="E8631" t="s">
        <v>3053</v>
      </c>
      <c r="F8631" t="s">
        <v>792</v>
      </c>
      <c r="G8631" t="s">
        <v>793</v>
      </c>
      <c r="H8631" t="s">
        <v>9993</v>
      </c>
      <c r="I8631">
        <v>6</v>
      </c>
      <c r="J8631">
        <v>0</v>
      </c>
      <c r="K8631">
        <v>0</v>
      </c>
      <c r="L8631">
        <v>6</v>
      </c>
      <c r="M8631">
        <v>0</v>
      </c>
      <c r="N8631">
        <v>6</v>
      </c>
      <c r="O8631">
        <v>0</v>
      </c>
    </row>
    <row r="8632" spans="1:15" x14ac:dyDescent="0.25">
      <c r="A8632" t="s">
        <v>1416</v>
      </c>
      <c r="B8632" t="s">
        <v>2029</v>
      </c>
      <c r="C8632" t="s">
        <v>923</v>
      </c>
      <c r="D8632" t="s">
        <v>3063</v>
      </c>
      <c r="E8632" t="s">
        <v>3053</v>
      </c>
      <c r="F8632" t="s">
        <v>792</v>
      </c>
      <c r="G8632" t="s">
        <v>793</v>
      </c>
      <c r="H8632" t="s">
        <v>12431</v>
      </c>
      <c r="I8632">
        <v>13</v>
      </c>
      <c r="J8632">
        <v>0</v>
      </c>
      <c r="K8632">
        <v>0</v>
      </c>
      <c r="L8632">
        <v>13</v>
      </c>
      <c r="M8632">
        <v>0</v>
      </c>
      <c r="N8632">
        <v>0</v>
      </c>
      <c r="O8632">
        <v>0</v>
      </c>
    </row>
    <row r="8633" spans="1:15" x14ac:dyDescent="0.25">
      <c r="A8633" t="s">
        <v>10638</v>
      </c>
      <c r="B8633" t="s">
        <v>2057</v>
      </c>
      <c r="C8633" t="s">
        <v>927</v>
      </c>
      <c r="D8633" t="s">
        <v>3052</v>
      </c>
      <c r="E8633" t="s">
        <v>3053</v>
      </c>
      <c r="F8633" t="s">
        <v>792</v>
      </c>
      <c r="G8633" t="s">
        <v>793</v>
      </c>
      <c r="H8633" t="s">
        <v>11410</v>
      </c>
      <c r="I8633">
        <v>1</v>
      </c>
      <c r="J8633">
        <v>0</v>
      </c>
      <c r="K8633">
        <v>0</v>
      </c>
      <c r="L8633">
        <v>1</v>
      </c>
      <c r="M8633">
        <v>0</v>
      </c>
      <c r="N8633">
        <v>0</v>
      </c>
      <c r="O8633">
        <v>0</v>
      </c>
    </row>
    <row r="8634" spans="1:15" x14ac:dyDescent="0.25">
      <c r="A8634" t="s">
        <v>1010</v>
      </c>
      <c r="B8634" t="s">
        <v>2639</v>
      </c>
      <c r="C8634" t="s">
        <v>927</v>
      </c>
      <c r="D8634" t="s">
        <v>3052</v>
      </c>
      <c r="E8634" t="s">
        <v>3053</v>
      </c>
      <c r="F8634" t="s">
        <v>792</v>
      </c>
      <c r="G8634" t="s">
        <v>793</v>
      </c>
      <c r="H8634" t="s">
        <v>8823</v>
      </c>
      <c r="I8634">
        <v>70</v>
      </c>
      <c r="J8634">
        <v>62</v>
      </c>
      <c r="K8634">
        <v>0</v>
      </c>
      <c r="L8634">
        <v>0</v>
      </c>
      <c r="M8634">
        <v>0</v>
      </c>
      <c r="N8634">
        <v>0</v>
      </c>
      <c r="O8634">
        <v>8</v>
      </c>
    </row>
    <row r="8635" spans="1:15" x14ac:dyDescent="0.25">
      <c r="A8635" t="s">
        <v>937</v>
      </c>
      <c r="B8635" t="s">
        <v>1962</v>
      </c>
      <c r="C8635" t="s">
        <v>927</v>
      </c>
      <c r="D8635" t="s">
        <v>3052</v>
      </c>
      <c r="E8635" t="s">
        <v>3053</v>
      </c>
      <c r="F8635" t="s">
        <v>792</v>
      </c>
      <c r="G8635" t="s">
        <v>793</v>
      </c>
      <c r="H8635" t="s">
        <v>8824</v>
      </c>
      <c r="I8635">
        <v>24</v>
      </c>
      <c r="J8635">
        <v>0</v>
      </c>
      <c r="K8635">
        <v>0</v>
      </c>
      <c r="L8635">
        <v>0</v>
      </c>
      <c r="M8635">
        <v>0</v>
      </c>
      <c r="N8635">
        <v>0</v>
      </c>
      <c r="O8635">
        <v>24</v>
      </c>
    </row>
    <row r="8636" spans="1:15" x14ac:dyDescent="0.25">
      <c r="A8636" t="s">
        <v>942</v>
      </c>
      <c r="B8636" t="s">
        <v>2113</v>
      </c>
      <c r="C8636" t="s">
        <v>927</v>
      </c>
      <c r="D8636" t="s">
        <v>3052</v>
      </c>
      <c r="E8636" t="s">
        <v>3053</v>
      </c>
      <c r="F8636" t="s">
        <v>792</v>
      </c>
      <c r="G8636" t="s">
        <v>793</v>
      </c>
      <c r="H8636" t="s">
        <v>8825</v>
      </c>
      <c r="I8636">
        <v>796</v>
      </c>
      <c r="J8636">
        <v>651</v>
      </c>
      <c r="K8636">
        <v>0</v>
      </c>
      <c r="L8636">
        <v>13</v>
      </c>
      <c r="M8636">
        <v>61</v>
      </c>
      <c r="N8636">
        <v>0</v>
      </c>
      <c r="O8636">
        <v>71</v>
      </c>
    </row>
    <row r="8637" spans="1:15" x14ac:dyDescent="0.25">
      <c r="A8637" t="s">
        <v>945</v>
      </c>
      <c r="B8637" t="s">
        <v>2668</v>
      </c>
      <c r="C8637" t="s">
        <v>927</v>
      </c>
      <c r="D8637" t="s">
        <v>3052</v>
      </c>
      <c r="E8637" t="s">
        <v>3053</v>
      </c>
      <c r="F8637" t="s">
        <v>792</v>
      </c>
      <c r="G8637" t="s">
        <v>793</v>
      </c>
      <c r="H8637" t="s">
        <v>8826</v>
      </c>
      <c r="I8637">
        <v>1</v>
      </c>
      <c r="J8637">
        <v>0</v>
      </c>
      <c r="K8637">
        <v>0</v>
      </c>
      <c r="L8637">
        <v>0</v>
      </c>
      <c r="M8637">
        <v>0</v>
      </c>
      <c r="N8637">
        <v>0</v>
      </c>
      <c r="O8637">
        <v>1</v>
      </c>
    </row>
    <row r="8638" spans="1:15" x14ac:dyDescent="0.25">
      <c r="A8638" t="s">
        <v>1748</v>
      </c>
      <c r="B8638" t="s">
        <v>3013</v>
      </c>
      <c r="C8638" t="s">
        <v>927</v>
      </c>
      <c r="D8638" t="s">
        <v>3052</v>
      </c>
      <c r="E8638" t="s">
        <v>3053</v>
      </c>
      <c r="F8638" t="s">
        <v>792</v>
      </c>
      <c r="G8638" t="s">
        <v>793</v>
      </c>
      <c r="H8638" t="s">
        <v>8827</v>
      </c>
      <c r="I8638">
        <v>10</v>
      </c>
      <c r="J8638">
        <v>7</v>
      </c>
      <c r="K8638">
        <v>0</v>
      </c>
      <c r="L8638">
        <v>0</v>
      </c>
      <c r="M8638">
        <v>0</v>
      </c>
      <c r="N8638">
        <v>0</v>
      </c>
      <c r="O8638">
        <v>3</v>
      </c>
    </row>
    <row r="8639" spans="1:15" x14ac:dyDescent="0.25">
      <c r="A8639" t="s">
        <v>951</v>
      </c>
      <c r="B8639" t="s">
        <v>2680</v>
      </c>
      <c r="C8639" t="s">
        <v>927</v>
      </c>
      <c r="D8639" t="s">
        <v>3052</v>
      </c>
      <c r="E8639" t="s">
        <v>3053</v>
      </c>
      <c r="F8639" t="s">
        <v>792</v>
      </c>
      <c r="G8639" t="s">
        <v>793</v>
      </c>
      <c r="H8639" t="s">
        <v>15351</v>
      </c>
      <c r="I8639">
        <v>13</v>
      </c>
      <c r="J8639">
        <v>13</v>
      </c>
      <c r="K8639">
        <v>0</v>
      </c>
      <c r="L8639">
        <v>0</v>
      </c>
      <c r="M8639">
        <v>0</v>
      </c>
      <c r="N8639">
        <v>0</v>
      </c>
      <c r="O8639">
        <v>0</v>
      </c>
    </row>
    <row r="8640" spans="1:15" x14ac:dyDescent="0.25">
      <c r="A8640" t="s">
        <v>1048</v>
      </c>
      <c r="B8640" t="s">
        <v>2989</v>
      </c>
      <c r="C8640" t="s">
        <v>927</v>
      </c>
      <c r="D8640" t="s">
        <v>3052</v>
      </c>
      <c r="E8640" t="s">
        <v>3053</v>
      </c>
      <c r="F8640" t="s">
        <v>792</v>
      </c>
      <c r="G8640" t="s">
        <v>793</v>
      </c>
      <c r="H8640" t="s">
        <v>15352</v>
      </c>
      <c r="I8640">
        <v>2</v>
      </c>
      <c r="J8640">
        <v>0</v>
      </c>
      <c r="K8640">
        <v>0</v>
      </c>
      <c r="L8640">
        <v>0</v>
      </c>
      <c r="M8640">
        <v>0</v>
      </c>
      <c r="N8640">
        <v>0</v>
      </c>
      <c r="O8640">
        <v>2</v>
      </c>
    </row>
    <row r="8641" spans="1:15" x14ac:dyDescent="0.25">
      <c r="A8641" t="s">
        <v>1757</v>
      </c>
      <c r="B8641" t="s">
        <v>2107</v>
      </c>
      <c r="C8641" t="s">
        <v>923</v>
      </c>
      <c r="D8641" t="s">
        <v>3063</v>
      </c>
      <c r="E8641" t="s">
        <v>3053</v>
      </c>
      <c r="F8641" t="s">
        <v>792</v>
      </c>
      <c r="G8641" t="s">
        <v>793</v>
      </c>
      <c r="H8641" t="s">
        <v>8828</v>
      </c>
      <c r="I8641">
        <v>4</v>
      </c>
      <c r="J8641">
        <v>4</v>
      </c>
      <c r="K8641">
        <v>0</v>
      </c>
      <c r="L8641">
        <v>0</v>
      </c>
      <c r="M8641">
        <v>0</v>
      </c>
      <c r="N8641">
        <v>0</v>
      </c>
      <c r="O8641">
        <v>0</v>
      </c>
    </row>
    <row r="8642" spans="1:15" x14ac:dyDescent="0.25">
      <c r="A8642" t="s">
        <v>11720</v>
      </c>
      <c r="B8642" t="s">
        <v>10718</v>
      </c>
      <c r="C8642" t="s">
        <v>927</v>
      </c>
      <c r="D8642" t="s">
        <v>3052</v>
      </c>
      <c r="E8642" t="s">
        <v>3053</v>
      </c>
      <c r="F8642" t="s">
        <v>792</v>
      </c>
      <c r="G8642" t="s">
        <v>793</v>
      </c>
      <c r="H8642" t="s">
        <v>15353</v>
      </c>
      <c r="I8642">
        <v>6</v>
      </c>
      <c r="J8642">
        <v>0</v>
      </c>
      <c r="K8642">
        <v>0</v>
      </c>
      <c r="L8642">
        <v>0</v>
      </c>
      <c r="M8642">
        <v>0</v>
      </c>
      <c r="N8642">
        <v>0</v>
      </c>
      <c r="O8642">
        <v>6</v>
      </c>
    </row>
    <row r="8643" spans="1:15" x14ac:dyDescent="0.25">
      <c r="A8643" t="s">
        <v>1057</v>
      </c>
      <c r="B8643" t="s">
        <v>1972</v>
      </c>
      <c r="C8643" t="s">
        <v>927</v>
      </c>
      <c r="D8643" t="s">
        <v>3052</v>
      </c>
      <c r="E8643" t="s">
        <v>3053</v>
      </c>
      <c r="F8643" t="s">
        <v>792</v>
      </c>
      <c r="G8643" t="s">
        <v>793</v>
      </c>
      <c r="H8643" t="s">
        <v>8829</v>
      </c>
      <c r="I8643">
        <v>73</v>
      </c>
      <c r="J8643">
        <v>12</v>
      </c>
      <c r="K8643">
        <v>0</v>
      </c>
      <c r="L8643">
        <v>0</v>
      </c>
      <c r="M8643">
        <v>41</v>
      </c>
      <c r="N8643">
        <v>0</v>
      </c>
      <c r="O8643">
        <v>20</v>
      </c>
    </row>
    <row r="8644" spans="1:15" x14ac:dyDescent="0.25">
      <c r="A8644" t="s">
        <v>955</v>
      </c>
      <c r="B8644" t="s">
        <v>2660</v>
      </c>
      <c r="C8644" t="s">
        <v>927</v>
      </c>
      <c r="D8644" t="s">
        <v>3052</v>
      </c>
      <c r="E8644" t="s">
        <v>3053</v>
      </c>
      <c r="F8644" t="s">
        <v>792</v>
      </c>
      <c r="G8644" t="s">
        <v>793</v>
      </c>
      <c r="H8644" t="s">
        <v>8830</v>
      </c>
      <c r="I8644">
        <v>67</v>
      </c>
      <c r="J8644">
        <v>46</v>
      </c>
      <c r="K8644">
        <v>0</v>
      </c>
      <c r="L8644">
        <v>0</v>
      </c>
      <c r="M8644">
        <v>20</v>
      </c>
      <c r="N8644">
        <v>0</v>
      </c>
      <c r="O8644">
        <v>1</v>
      </c>
    </row>
    <row r="8645" spans="1:15" x14ac:dyDescent="0.25">
      <c r="A8645" t="s">
        <v>960</v>
      </c>
      <c r="B8645" t="s">
        <v>2080</v>
      </c>
      <c r="C8645" t="s">
        <v>927</v>
      </c>
      <c r="D8645" t="s">
        <v>3052</v>
      </c>
      <c r="E8645" t="s">
        <v>3053</v>
      </c>
      <c r="F8645" t="s">
        <v>792</v>
      </c>
      <c r="G8645" t="s">
        <v>793</v>
      </c>
      <c r="H8645" t="s">
        <v>8831</v>
      </c>
      <c r="I8645">
        <v>12</v>
      </c>
      <c r="J8645">
        <v>0</v>
      </c>
      <c r="K8645">
        <v>0</v>
      </c>
      <c r="L8645">
        <v>0</v>
      </c>
      <c r="M8645">
        <v>0</v>
      </c>
      <c r="N8645">
        <v>0</v>
      </c>
      <c r="O8645">
        <v>12</v>
      </c>
    </row>
    <row r="8646" spans="1:15" x14ac:dyDescent="0.25">
      <c r="A8646" t="s">
        <v>1775</v>
      </c>
      <c r="B8646" t="s">
        <v>2593</v>
      </c>
      <c r="C8646" t="s">
        <v>923</v>
      </c>
      <c r="D8646" t="s">
        <v>3063</v>
      </c>
      <c r="E8646" t="s">
        <v>3053</v>
      </c>
      <c r="F8646" t="s">
        <v>792</v>
      </c>
      <c r="G8646" t="s">
        <v>793</v>
      </c>
      <c r="H8646" t="s">
        <v>8832</v>
      </c>
      <c r="I8646">
        <v>11</v>
      </c>
      <c r="J8646">
        <v>0</v>
      </c>
      <c r="K8646">
        <v>0</v>
      </c>
      <c r="L8646">
        <v>0</v>
      </c>
      <c r="M8646">
        <v>11</v>
      </c>
      <c r="N8646">
        <v>0</v>
      </c>
      <c r="O8646">
        <v>0</v>
      </c>
    </row>
    <row r="8647" spans="1:15" x14ac:dyDescent="0.25">
      <c r="A8647" t="s">
        <v>1778</v>
      </c>
      <c r="B8647" t="s">
        <v>2602</v>
      </c>
      <c r="C8647" t="s">
        <v>923</v>
      </c>
      <c r="D8647" t="s">
        <v>3063</v>
      </c>
      <c r="E8647" t="s">
        <v>3053</v>
      </c>
      <c r="F8647" t="s">
        <v>792</v>
      </c>
      <c r="G8647" t="s">
        <v>793</v>
      </c>
      <c r="H8647" t="s">
        <v>8833</v>
      </c>
      <c r="I8647">
        <v>10</v>
      </c>
      <c r="J8647">
        <v>0</v>
      </c>
      <c r="K8647">
        <v>0</v>
      </c>
      <c r="L8647">
        <v>0</v>
      </c>
      <c r="M8647">
        <v>10</v>
      </c>
      <c r="N8647">
        <v>0</v>
      </c>
      <c r="O8647">
        <v>0</v>
      </c>
    </row>
    <row r="8648" spans="1:15" x14ac:dyDescent="0.25">
      <c r="A8648" t="s">
        <v>1793</v>
      </c>
      <c r="B8648" t="s">
        <v>2075</v>
      </c>
      <c r="C8648" t="s">
        <v>927</v>
      </c>
      <c r="D8648" t="s">
        <v>3052</v>
      </c>
      <c r="E8648" t="s">
        <v>3053</v>
      </c>
      <c r="F8648" t="s">
        <v>792</v>
      </c>
      <c r="G8648" t="s">
        <v>793</v>
      </c>
      <c r="H8648" t="s">
        <v>8834</v>
      </c>
      <c r="I8648">
        <v>1918</v>
      </c>
      <c r="J8648">
        <v>1635</v>
      </c>
      <c r="K8648">
        <v>0</v>
      </c>
      <c r="L8648">
        <v>0</v>
      </c>
      <c r="M8648">
        <v>208</v>
      </c>
      <c r="N8648">
        <v>0</v>
      </c>
      <c r="O8648">
        <v>75</v>
      </c>
    </row>
    <row r="8649" spans="1:15" x14ac:dyDescent="0.25">
      <c r="A8649" t="s">
        <v>11715</v>
      </c>
      <c r="B8649" t="s">
        <v>2784</v>
      </c>
      <c r="C8649" t="s">
        <v>927</v>
      </c>
      <c r="D8649" t="s">
        <v>3052</v>
      </c>
      <c r="E8649" t="s">
        <v>3053</v>
      </c>
      <c r="F8649" t="s">
        <v>792</v>
      </c>
      <c r="G8649" t="s">
        <v>793</v>
      </c>
      <c r="H8649" t="s">
        <v>12432</v>
      </c>
      <c r="I8649">
        <v>8</v>
      </c>
      <c r="J8649">
        <v>8</v>
      </c>
      <c r="K8649">
        <v>0</v>
      </c>
      <c r="L8649">
        <v>0</v>
      </c>
      <c r="M8649">
        <v>0</v>
      </c>
      <c r="N8649">
        <v>0</v>
      </c>
      <c r="O8649">
        <v>0</v>
      </c>
    </row>
    <row r="8650" spans="1:15" x14ac:dyDescent="0.25">
      <c r="A8650" t="s">
        <v>10786</v>
      </c>
      <c r="B8650" t="s">
        <v>10785</v>
      </c>
      <c r="C8650" t="s">
        <v>923</v>
      </c>
      <c r="D8650" t="s">
        <v>3063</v>
      </c>
      <c r="E8650" t="s">
        <v>3053</v>
      </c>
      <c r="F8650" t="s">
        <v>792</v>
      </c>
      <c r="G8650" t="s">
        <v>793</v>
      </c>
      <c r="H8650" t="s">
        <v>11411</v>
      </c>
      <c r="I8650">
        <v>4</v>
      </c>
      <c r="J8650">
        <v>4</v>
      </c>
      <c r="K8650">
        <v>0</v>
      </c>
      <c r="L8650">
        <v>0</v>
      </c>
      <c r="M8650">
        <v>0</v>
      </c>
      <c r="N8650">
        <v>0</v>
      </c>
      <c r="O8650">
        <v>0</v>
      </c>
    </row>
    <row r="8651" spans="1:15" x14ac:dyDescent="0.25">
      <c r="A8651" t="s">
        <v>1195</v>
      </c>
      <c r="B8651" t="s">
        <v>2924</v>
      </c>
      <c r="C8651" t="s">
        <v>927</v>
      </c>
      <c r="D8651" t="s">
        <v>3052</v>
      </c>
      <c r="E8651" t="s">
        <v>3053</v>
      </c>
      <c r="F8651" t="s">
        <v>794</v>
      </c>
      <c r="G8651" t="s">
        <v>795</v>
      </c>
      <c r="H8651" t="s">
        <v>8835</v>
      </c>
      <c r="I8651">
        <v>173</v>
      </c>
      <c r="J8651">
        <v>139</v>
      </c>
      <c r="K8651">
        <v>0</v>
      </c>
      <c r="L8651">
        <v>0</v>
      </c>
      <c r="M8651">
        <v>0</v>
      </c>
      <c r="N8651">
        <v>0</v>
      </c>
      <c r="O8651">
        <v>34</v>
      </c>
    </row>
    <row r="8652" spans="1:15" x14ac:dyDescent="0.25">
      <c r="A8652" t="s">
        <v>1199</v>
      </c>
      <c r="B8652" t="s">
        <v>3038</v>
      </c>
      <c r="C8652" t="s">
        <v>923</v>
      </c>
      <c r="D8652" t="s">
        <v>3063</v>
      </c>
      <c r="E8652" t="s">
        <v>3053</v>
      </c>
      <c r="F8652" t="s">
        <v>794</v>
      </c>
      <c r="G8652" t="s">
        <v>795</v>
      </c>
      <c r="H8652" t="s">
        <v>8836</v>
      </c>
      <c r="I8652">
        <v>26</v>
      </c>
      <c r="J8652">
        <v>26</v>
      </c>
      <c r="K8652">
        <v>0</v>
      </c>
      <c r="L8652">
        <v>0</v>
      </c>
      <c r="M8652">
        <v>0</v>
      </c>
      <c r="N8652">
        <v>0</v>
      </c>
      <c r="O8652">
        <v>0</v>
      </c>
    </row>
    <row r="8653" spans="1:15" x14ac:dyDescent="0.25">
      <c r="A8653" t="s">
        <v>1087</v>
      </c>
      <c r="B8653" t="s">
        <v>2979</v>
      </c>
      <c r="C8653" t="s">
        <v>923</v>
      </c>
      <c r="D8653" t="s">
        <v>3063</v>
      </c>
      <c r="E8653" t="s">
        <v>3053</v>
      </c>
      <c r="F8653" t="s">
        <v>794</v>
      </c>
      <c r="G8653" t="s">
        <v>795</v>
      </c>
      <c r="H8653" t="s">
        <v>8837</v>
      </c>
      <c r="I8653">
        <v>128</v>
      </c>
      <c r="J8653">
        <v>108</v>
      </c>
      <c r="K8653">
        <v>0</v>
      </c>
      <c r="L8653">
        <v>20</v>
      </c>
      <c r="M8653">
        <v>0</v>
      </c>
      <c r="N8653">
        <v>28</v>
      </c>
      <c r="O8653">
        <v>0</v>
      </c>
    </row>
    <row r="8654" spans="1:15" x14ac:dyDescent="0.25">
      <c r="A8654" t="s">
        <v>1210</v>
      </c>
      <c r="B8654" t="s">
        <v>2403</v>
      </c>
      <c r="C8654" t="s">
        <v>923</v>
      </c>
      <c r="D8654" t="s">
        <v>3063</v>
      </c>
      <c r="E8654" t="s">
        <v>3053</v>
      </c>
      <c r="F8654" t="s">
        <v>794</v>
      </c>
      <c r="G8654" t="s">
        <v>795</v>
      </c>
      <c r="H8654" t="s">
        <v>8838</v>
      </c>
      <c r="I8654">
        <v>21</v>
      </c>
      <c r="J8654">
        <v>21</v>
      </c>
      <c r="K8654">
        <v>0</v>
      </c>
      <c r="L8654">
        <v>0</v>
      </c>
      <c r="M8654">
        <v>0</v>
      </c>
      <c r="N8654">
        <v>0</v>
      </c>
      <c r="O8654">
        <v>0</v>
      </c>
    </row>
    <row r="8655" spans="1:15" x14ac:dyDescent="0.25">
      <c r="A8655" t="s">
        <v>933</v>
      </c>
      <c r="B8655" t="s">
        <v>2106</v>
      </c>
      <c r="C8655" t="s">
        <v>927</v>
      </c>
      <c r="D8655" t="s">
        <v>3052</v>
      </c>
      <c r="E8655" t="s">
        <v>3053</v>
      </c>
      <c r="F8655" t="s">
        <v>794</v>
      </c>
      <c r="G8655" t="s">
        <v>795</v>
      </c>
      <c r="H8655" t="s">
        <v>8839</v>
      </c>
      <c r="I8655">
        <v>4303</v>
      </c>
      <c r="J8655">
        <v>3957</v>
      </c>
      <c r="K8655">
        <v>16</v>
      </c>
      <c r="L8655">
        <v>47</v>
      </c>
      <c r="M8655">
        <v>87</v>
      </c>
      <c r="N8655">
        <v>23</v>
      </c>
      <c r="O8655">
        <v>196</v>
      </c>
    </row>
    <row r="8656" spans="1:15" x14ac:dyDescent="0.25">
      <c r="A8656" t="s">
        <v>1105</v>
      </c>
      <c r="B8656" t="s">
        <v>2918</v>
      </c>
      <c r="C8656" t="s">
        <v>923</v>
      </c>
      <c r="D8656" t="s">
        <v>3063</v>
      </c>
      <c r="E8656" t="s">
        <v>3053</v>
      </c>
      <c r="F8656" t="s">
        <v>794</v>
      </c>
      <c r="G8656" t="s">
        <v>795</v>
      </c>
      <c r="H8656" t="s">
        <v>8840</v>
      </c>
      <c r="I8656">
        <v>19</v>
      </c>
      <c r="J8656">
        <v>19</v>
      </c>
      <c r="K8656">
        <v>0</v>
      </c>
      <c r="L8656">
        <v>0</v>
      </c>
      <c r="M8656">
        <v>0</v>
      </c>
      <c r="N8656">
        <v>2</v>
      </c>
      <c r="O8656">
        <v>0</v>
      </c>
    </row>
    <row r="8657" spans="1:15" x14ac:dyDescent="0.25">
      <c r="A8657" t="s">
        <v>1227</v>
      </c>
      <c r="B8657" t="s">
        <v>2023</v>
      </c>
      <c r="C8657" t="s">
        <v>923</v>
      </c>
      <c r="D8657" t="s">
        <v>3063</v>
      </c>
      <c r="E8657" t="s">
        <v>3053</v>
      </c>
      <c r="F8657" t="s">
        <v>794</v>
      </c>
      <c r="G8657" t="s">
        <v>795</v>
      </c>
      <c r="H8657" t="s">
        <v>15354</v>
      </c>
      <c r="I8657">
        <v>1</v>
      </c>
      <c r="J8657">
        <v>1</v>
      </c>
      <c r="K8657">
        <v>0</v>
      </c>
      <c r="L8657">
        <v>0</v>
      </c>
      <c r="M8657">
        <v>0</v>
      </c>
      <c r="N8657">
        <v>0</v>
      </c>
      <c r="O8657">
        <v>0</v>
      </c>
    </row>
    <row r="8658" spans="1:15" x14ac:dyDescent="0.25">
      <c r="A8658" t="s">
        <v>1235</v>
      </c>
      <c r="B8658" t="s">
        <v>2868</v>
      </c>
      <c r="C8658" t="s">
        <v>927</v>
      </c>
      <c r="D8658" t="s">
        <v>3052</v>
      </c>
      <c r="E8658" t="s">
        <v>3053</v>
      </c>
      <c r="F8658" t="s">
        <v>794</v>
      </c>
      <c r="G8658" t="s">
        <v>795</v>
      </c>
      <c r="H8658" t="s">
        <v>8841</v>
      </c>
      <c r="I8658">
        <v>2370</v>
      </c>
      <c r="J8658">
        <v>2325</v>
      </c>
      <c r="K8658">
        <v>0</v>
      </c>
      <c r="L8658">
        <v>0</v>
      </c>
      <c r="M8658">
        <v>0</v>
      </c>
      <c r="N8658">
        <v>111</v>
      </c>
      <c r="O8658">
        <v>45</v>
      </c>
    </row>
    <row r="8659" spans="1:15" x14ac:dyDescent="0.25">
      <c r="A8659" t="s">
        <v>1115</v>
      </c>
      <c r="B8659" t="s">
        <v>2677</v>
      </c>
      <c r="C8659" t="s">
        <v>927</v>
      </c>
      <c r="D8659" t="s">
        <v>3052</v>
      </c>
      <c r="E8659" t="s">
        <v>3053</v>
      </c>
      <c r="F8659" t="s">
        <v>794</v>
      </c>
      <c r="G8659" t="s">
        <v>795</v>
      </c>
      <c r="H8659" t="s">
        <v>8842</v>
      </c>
      <c r="I8659">
        <v>2647</v>
      </c>
      <c r="J8659">
        <v>1812</v>
      </c>
      <c r="K8659">
        <v>22</v>
      </c>
      <c r="L8659">
        <v>87</v>
      </c>
      <c r="M8659">
        <v>447</v>
      </c>
      <c r="N8659">
        <v>0</v>
      </c>
      <c r="O8659">
        <v>279</v>
      </c>
    </row>
    <row r="8660" spans="1:15" x14ac:dyDescent="0.25">
      <c r="A8660" t="s">
        <v>1247</v>
      </c>
      <c r="B8660" t="s">
        <v>10634</v>
      </c>
      <c r="C8660" t="s">
        <v>923</v>
      </c>
      <c r="D8660" t="s">
        <v>3063</v>
      </c>
      <c r="E8660" t="s">
        <v>3053</v>
      </c>
      <c r="F8660" t="s">
        <v>794</v>
      </c>
      <c r="G8660" t="s">
        <v>795</v>
      </c>
      <c r="H8660" t="s">
        <v>8843</v>
      </c>
      <c r="I8660">
        <v>11</v>
      </c>
      <c r="J8660">
        <v>11</v>
      </c>
      <c r="K8660">
        <v>0</v>
      </c>
      <c r="L8660">
        <v>0</v>
      </c>
      <c r="M8660">
        <v>0</v>
      </c>
      <c r="N8660">
        <v>0</v>
      </c>
      <c r="O8660">
        <v>0</v>
      </c>
    </row>
    <row r="8661" spans="1:15" x14ac:dyDescent="0.25">
      <c r="A8661" t="s">
        <v>1251</v>
      </c>
      <c r="B8661" t="s">
        <v>2390</v>
      </c>
      <c r="C8661" t="s">
        <v>923</v>
      </c>
      <c r="D8661" t="s">
        <v>3063</v>
      </c>
      <c r="E8661" t="s">
        <v>3053</v>
      </c>
      <c r="F8661" t="s">
        <v>794</v>
      </c>
      <c r="G8661" t="s">
        <v>795</v>
      </c>
      <c r="H8661" t="s">
        <v>8844</v>
      </c>
      <c r="I8661">
        <v>79</v>
      </c>
      <c r="J8661">
        <v>79</v>
      </c>
      <c r="K8661">
        <v>0</v>
      </c>
      <c r="L8661">
        <v>0</v>
      </c>
      <c r="M8661">
        <v>0</v>
      </c>
      <c r="N8661">
        <v>0</v>
      </c>
      <c r="O8661">
        <v>0</v>
      </c>
    </row>
    <row r="8662" spans="1:15" x14ac:dyDescent="0.25">
      <c r="A8662" t="s">
        <v>1008</v>
      </c>
      <c r="B8662" t="s">
        <v>2928</v>
      </c>
      <c r="C8662" t="s">
        <v>927</v>
      </c>
      <c r="D8662" t="s">
        <v>3052</v>
      </c>
      <c r="E8662" t="s">
        <v>3053</v>
      </c>
      <c r="F8662" t="s">
        <v>794</v>
      </c>
      <c r="G8662" t="s">
        <v>795</v>
      </c>
      <c r="H8662" t="s">
        <v>8845</v>
      </c>
      <c r="I8662">
        <v>4</v>
      </c>
      <c r="J8662">
        <v>4</v>
      </c>
      <c r="K8662">
        <v>0</v>
      </c>
      <c r="L8662">
        <v>0</v>
      </c>
      <c r="M8662">
        <v>0</v>
      </c>
      <c r="N8662">
        <v>0</v>
      </c>
      <c r="O8662">
        <v>0</v>
      </c>
    </row>
    <row r="8663" spans="1:15" x14ac:dyDescent="0.25">
      <c r="A8663" t="s">
        <v>937</v>
      </c>
      <c r="B8663" t="s">
        <v>1962</v>
      </c>
      <c r="C8663" t="s">
        <v>927</v>
      </c>
      <c r="D8663" t="s">
        <v>3052</v>
      </c>
      <c r="E8663" t="s">
        <v>3053</v>
      </c>
      <c r="F8663" t="s">
        <v>794</v>
      </c>
      <c r="G8663" t="s">
        <v>795</v>
      </c>
      <c r="H8663" t="s">
        <v>11412</v>
      </c>
      <c r="I8663">
        <v>1</v>
      </c>
      <c r="J8663">
        <v>0</v>
      </c>
      <c r="K8663">
        <v>0</v>
      </c>
      <c r="L8663">
        <v>0</v>
      </c>
      <c r="M8663">
        <v>0</v>
      </c>
      <c r="N8663">
        <v>0</v>
      </c>
      <c r="O8663">
        <v>1</v>
      </c>
    </row>
    <row r="8664" spans="1:15" x14ac:dyDescent="0.25">
      <c r="A8664" t="s">
        <v>938</v>
      </c>
      <c r="B8664" t="s">
        <v>2791</v>
      </c>
      <c r="C8664" t="s">
        <v>927</v>
      </c>
      <c r="D8664" t="s">
        <v>3052</v>
      </c>
      <c r="E8664" t="s">
        <v>3053</v>
      </c>
      <c r="F8664" t="s">
        <v>794</v>
      </c>
      <c r="G8664" t="s">
        <v>795</v>
      </c>
      <c r="H8664" t="s">
        <v>8846</v>
      </c>
      <c r="I8664">
        <v>84</v>
      </c>
      <c r="J8664">
        <v>53</v>
      </c>
      <c r="K8664">
        <v>0</v>
      </c>
      <c r="L8664">
        <v>0</v>
      </c>
      <c r="M8664">
        <v>0</v>
      </c>
      <c r="N8664">
        <v>0</v>
      </c>
      <c r="O8664">
        <v>31</v>
      </c>
    </row>
    <row r="8665" spans="1:15" x14ac:dyDescent="0.25">
      <c r="A8665" t="s">
        <v>940</v>
      </c>
      <c r="B8665" t="s">
        <v>2647</v>
      </c>
      <c r="C8665" t="s">
        <v>927</v>
      </c>
      <c r="D8665" t="s">
        <v>3052</v>
      </c>
      <c r="E8665" t="s">
        <v>3053</v>
      </c>
      <c r="F8665" t="s">
        <v>794</v>
      </c>
      <c r="G8665" t="s">
        <v>795</v>
      </c>
      <c r="H8665" t="s">
        <v>15355</v>
      </c>
      <c r="I8665">
        <v>120</v>
      </c>
      <c r="J8665">
        <v>0</v>
      </c>
      <c r="K8665">
        <v>0</v>
      </c>
      <c r="L8665">
        <v>0</v>
      </c>
      <c r="M8665">
        <v>120</v>
      </c>
      <c r="N8665">
        <v>0</v>
      </c>
      <c r="O8665">
        <v>0</v>
      </c>
    </row>
    <row r="8666" spans="1:15" x14ac:dyDescent="0.25">
      <c r="A8666" t="s">
        <v>1278</v>
      </c>
      <c r="B8666" t="s">
        <v>2674</v>
      </c>
      <c r="C8666" t="s">
        <v>927</v>
      </c>
      <c r="D8666" t="s">
        <v>3052</v>
      </c>
      <c r="E8666" t="s">
        <v>3053</v>
      </c>
      <c r="F8666" t="s">
        <v>794</v>
      </c>
      <c r="G8666" t="s">
        <v>795</v>
      </c>
      <c r="H8666" t="s">
        <v>8847</v>
      </c>
      <c r="I8666">
        <v>23</v>
      </c>
      <c r="J8666">
        <v>22</v>
      </c>
      <c r="K8666">
        <v>0</v>
      </c>
      <c r="L8666">
        <v>0</v>
      </c>
      <c r="M8666">
        <v>0</v>
      </c>
      <c r="N8666">
        <v>0</v>
      </c>
      <c r="O8666">
        <v>1</v>
      </c>
    </row>
    <row r="8667" spans="1:15" x14ac:dyDescent="0.25">
      <c r="A8667" t="s">
        <v>1282</v>
      </c>
      <c r="B8667" t="s">
        <v>2028</v>
      </c>
      <c r="C8667" t="s">
        <v>923</v>
      </c>
      <c r="D8667" t="s">
        <v>3063</v>
      </c>
      <c r="E8667" t="s">
        <v>3053</v>
      </c>
      <c r="F8667" t="s">
        <v>794</v>
      </c>
      <c r="G8667" t="s">
        <v>795</v>
      </c>
      <c r="H8667" t="s">
        <v>8848</v>
      </c>
      <c r="I8667">
        <v>7</v>
      </c>
      <c r="J8667">
        <v>7</v>
      </c>
      <c r="K8667">
        <v>0</v>
      </c>
      <c r="L8667">
        <v>0</v>
      </c>
      <c r="M8667">
        <v>0</v>
      </c>
      <c r="N8667">
        <v>0</v>
      </c>
      <c r="O8667">
        <v>0</v>
      </c>
    </row>
    <row r="8668" spans="1:15" x14ac:dyDescent="0.25">
      <c r="A8668" t="s">
        <v>1126</v>
      </c>
      <c r="B8668" t="s">
        <v>2130</v>
      </c>
      <c r="C8668" t="s">
        <v>927</v>
      </c>
      <c r="D8668" t="s">
        <v>3052</v>
      </c>
      <c r="E8668" t="s">
        <v>3053</v>
      </c>
      <c r="F8668" t="s">
        <v>794</v>
      </c>
      <c r="G8668" t="s">
        <v>795</v>
      </c>
      <c r="H8668" t="s">
        <v>11413</v>
      </c>
      <c r="I8668">
        <v>74</v>
      </c>
      <c r="J8668">
        <v>0</v>
      </c>
      <c r="K8668">
        <v>0</v>
      </c>
      <c r="L8668">
        <v>0</v>
      </c>
      <c r="M8668">
        <v>0</v>
      </c>
      <c r="N8668">
        <v>0</v>
      </c>
      <c r="O8668">
        <v>74</v>
      </c>
    </row>
    <row r="8669" spans="1:15" x14ac:dyDescent="0.25">
      <c r="A8669" t="s">
        <v>1127</v>
      </c>
      <c r="B8669" t="s">
        <v>3034</v>
      </c>
      <c r="C8669" t="s">
        <v>927</v>
      </c>
      <c r="D8669" t="s">
        <v>3052</v>
      </c>
      <c r="E8669" t="s">
        <v>3053</v>
      </c>
      <c r="F8669" t="s">
        <v>794</v>
      </c>
      <c r="G8669" t="s">
        <v>795</v>
      </c>
      <c r="H8669" t="s">
        <v>8849</v>
      </c>
      <c r="I8669">
        <v>129</v>
      </c>
      <c r="J8669">
        <v>129</v>
      </c>
      <c r="K8669">
        <v>0</v>
      </c>
      <c r="L8669">
        <v>0</v>
      </c>
      <c r="M8669">
        <v>0</v>
      </c>
      <c r="N8669">
        <v>0</v>
      </c>
      <c r="O8669">
        <v>0</v>
      </c>
    </row>
    <row r="8670" spans="1:15" x14ac:dyDescent="0.25">
      <c r="A8670" t="s">
        <v>1025</v>
      </c>
      <c r="B8670" t="s">
        <v>2893</v>
      </c>
      <c r="C8670" t="s">
        <v>927</v>
      </c>
      <c r="D8670" t="s">
        <v>3052</v>
      </c>
      <c r="E8670" t="s">
        <v>3053</v>
      </c>
      <c r="F8670" t="s">
        <v>794</v>
      </c>
      <c r="G8670" t="s">
        <v>795</v>
      </c>
      <c r="H8670" t="s">
        <v>8850</v>
      </c>
      <c r="I8670">
        <v>2484</v>
      </c>
      <c r="J8670">
        <v>1831</v>
      </c>
      <c r="K8670">
        <v>0</v>
      </c>
      <c r="L8670">
        <v>11</v>
      </c>
      <c r="M8670">
        <v>45</v>
      </c>
      <c r="N8670">
        <v>10</v>
      </c>
      <c r="O8670">
        <v>597</v>
      </c>
    </row>
    <row r="8671" spans="1:15" x14ac:dyDescent="0.25">
      <c r="A8671" t="s">
        <v>1293</v>
      </c>
      <c r="B8671" t="s">
        <v>2910</v>
      </c>
      <c r="C8671" t="s">
        <v>927</v>
      </c>
      <c r="D8671" t="s">
        <v>3052</v>
      </c>
      <c r="E8671" t="s">
        <v>3053</v>
      </c>
      <c r="F8671" t="s">
        <v>794</v>
      </c>
      <c r="G8671" t="s">
        <v>795</v>
      </c>
      <c r="H8671" t="s">
        <v>8851</v>
      </c>
      <c r="I8671">
        <v>355</v>
      </c>
      <c r="J8671">
        <v>0</v>
      </c>
      <c r="K8671">
        <v>0</v>
      </c>
      <c r="L8671">
        <v>355</v>
      </c>
      <c r="M8671">
        <v>0</v>
      </c>
      <c r="N8671">
        <v>10</v>
      </c>
      <c r="O8671">
        <v>0</v>
      </c>
    </row>
    <row r="8672" spans="1:15" x14ac:dyDescent="0.25">
      <c r="A8672" t="s">
        <v>10681</v>
      </c>
      <c r="B8672" t="s">
        <v>10680</v>
      </c>
      <c r="C8672" t="s">
        <v>927</v>
      </c>
      <c r="D8672" t="s">
        <v>3052</v>
      </c>
      <c r="E8672" t="s">
        <v>3053</v>
      </c>
      <c r="F8672" t="s">
        <v>794</v>
      </c>
      <c r="G8672" t="s">
        <v>795</v>
      </c>
      <c r="H8672" t="s">
        <v>15356</v>
      </c>
      <c r="I8672">
        <v>2</v>
      </c>
      <c r="J8672">
        <v>0</v>
      </c>
      <c r="K8672">
        <v>0</v>
      </c>
      <c r="L8672">
        <v>0</v>
      </c>
      <c r="M8672">
        <v>0</v>
      </c>
      <c r="N8672">
        <v>0</v>
      </c>
      <c r="O8672">
        <v>2</v>
      </c>
    </row>
    <row r="8673" spans="1:15" x14ac:dyDescent="0.25">
      <c r="A8673" t="s">
        <v>943</v>
      </c>
      <c r="B8673" t="s">
        <v>2694</v>
      </c>
      <c r="C8673" t="s">
        <v>927</v>
      </c>
      <c r="D8673" t="s">
        <v>3052</v>
      </c>
      <c r="E8673" t="s">
        <v>3053</v>
      </c>
      <c r="F8673" t="s">
        <v>794</v>
      </c>
      <c r="G8673" t="s">
        <v>795</v>
      </c>
      <c r="H8673" t="s">
        <v>8852</v>
      </c>
      <c r="I8673">
        <v>436</v>
      </c>
      <c r="J8673">
        <v>354</v>
      </c>
      <c r="K8673">
        <v>0</v>
      </c>
      <c r="L8673">
        <v>0</v>
      </c>
      <c r="M8673">
        <v>0</v>
      </c>
      <c r="N8673">
        <v>0</v>
      </c>
      <c r="O8673">
        <v>82</v>
      </c>
    </row>
    <row r="8674" spans="1:15" x14ac:dyDescent="0.25">
      <c r="A8674" t="s">
        <v>1131</v>
      </c>
      <c r="B8674" t="s">
        <v>2637</v>
      </c>
      <c r="C8674" t="s">
        <v>927</v>
      </c>
      <c r="D8674" t="s">
        <v>3052</v>
      </c>
      <c r="E8674" t="s">
        <v>3053</v>
      </c>
      <c r="F8674" t="s">
        <v>794</v>
      </c>
      <c r="G8674" t="s">
        <v>795</v>
      </c>
      <c r="H8674" t="s">
        <v>8853</v>
      </c>
      <c r="I8674">
        <v>1032</v>
      </c>
      <c r="J8674">
        <v>825</v>
      </c>
      <c r="K8674">
        <v>0</v>
      </c>
      <c r="L8674">
        <v>47</v>
      </c>
      <c r="M8674">
        <v>0</v>
      </c>
      <c r="N8674">
        <v>0</v>
      </c>
      <c r="O8674">
        <v>160</v>
      </c>
    </row>
    <row r="8675" spans="1:15" x14ac:dyDescent="0.25">
      <c r="A8675" t="s">
        <v>1307</v>
      </c>
      <c r="B8675" t="s">
        <v>2982</v>
      </c>
      <c r="C8675" t="s">
        <v>927</v>
      </c>
      <c r="D8675" t="s">
        <v>3052</v>
      </c>
      <c r="E8675" t="s">
        <v>3053</v>
      </c>
      <c r="F8675" t="s">
        <v>794</v>
      </c>
      <c r="G8675" t="s">
        <v>795</v>
      </c>
      <c r="H8675" t="s">
        <v>8854</v>
      </c>
      <c r="I8675">
        <v>127</v>
      </c>
      <c r="J8675">
        <v>106</v>
      </c>
      <c r="K8675">
        <v>0</v>
      </c>
      <c r="L8675">
        <v>0</v>
      </c>
      <c r="M8675">
        <v>0</v>
      </c>
      <c r="N8675">
        <v>0</v>
      </c>
      <c r="O8675">
        <v>21</v>
      </c>
    </row>
    <row r="8676" spans="1:15" x14ac:dyDescent="0.25">
      <c r="A8676" t="s">
        <v>1134</v>
      </c>
      <c r="B8676" t="s">
        <v>2118</v>
      </c>
      <c r="C8676" t="s">
        <v>927</v>
      </c>
      <c r="D8676" t="s">
        <v>3052</v>
      </c>
      <c r="E8676" t="s">
        <v>3053</v>
      </c>
      <c r="F8676" t="s">
        <v>794</v>
      </c>
      <c r="G8676" t="s">
        <v>795</v>
      </c>
      <c r="H8676" t="s">
        <v>8855</v>
      </c>
      <c r="I8676">
        <v>2286</v>
      </c>
      <c r="J8676">
        <v>1838</v>
      </c>
      <c r="K8676">
        <v>0</v>
      </c>
      <c r="L8676">
        <v>36</v>
      </c>
      <c r="M8676">
        <v>36</v>
      </c>
      <c r="N8676">
        <v>2</v>
      </c>
      <c r="O8676">
        <v>376</v>
      </c>
    </row>
    <row r="8677" spans="1:15" x14ac:dyDescent="0.25">
      <c r="A8677" t="s">
        <v>949</v>
      </c>
      <c r="B8677" t="s">
        <v>3035</v>
      </c>
      <c r="C8677" t="s">
        <v>927</v>
      </c>
      <c r="D8677" t="s">
        <v>3052</v>
      </c>
      <c r="E8677" t="s">
        <v>3053</v>
      </c>
      <c r="F8677" t="s">
        <v>794</v>
      </c>
      <c r="G8677" t="s">
        <v>795</v>
      </c>
      <c r="H8677" t="s">
        <v>8856</v>
      </c>
      <c r="I8677">
        <v>137</v>
      </c>
      <c r="J8677">
        <v>0</v>
      </c>
      <c r="K8677">
        <v>0</v>
      </c>
      <c r="L8677">
        <v>0</v>
      </c>
      <c r="M8677">
        <v>0</v>
      </c>
      <c r="N8677">
        <v>0</v>
      </c>
      <c r="O8677">
        <v>137</v>
      </c>
    </row>
    <row r="8678" spans="1:15" x14ac:dyDescent="0.25">
      <c r="A8678" t="s">
        <v>1135</v>
      </c>
      <c r="B8678" t="s">
        <v>1996</v>
      </c>
      <c r="C8678" t="s">
        <v>923</v>
      </c>
      <c r="D8678" t="s">
        <v>3063</v>
      </c>
      <c r="E8678" t="s">
        <v>3053</v>
      </c>
      <c r="F8678" t="s">
        <v>794</v>
      </c>
      <c r="G8678" t="s">
        <v>795</v>
      </c>
      <c r="H8678" t="s">
        <v>10224</v>
      </c>
      <c r="I8678">
        <v>3</v>
      </c>
      <c r="J8678">
        <v>3</v>
      </c>
      <c r="K8678">
        <v>0</v>
      </c>
      <c r="L8678">
        <v>0</v>
      </c>
      <c r="M8678">
        <v>0</v>
      </c>
      <c r="N8678">
        <v>0</v>
      </c>
      <c r="O8678">
        <v>0</v>
      </c>
    </row>
    <row r="8679" spans="1:15" x14ac:dyDescent="0.25">
      <c r="A8679" t="s">
        <v>1041</v>
      </c>
      <c r="B8679" t="s">
        <v>2826</v>
      </c>
      <c r="C8679" t="s">
        <v>927</v>
      </c>
      <c r="D8679" t="s">
        <v>3052</v>
      </c>
      <c r="E8679" t="s">
        <v>3053</v>
      </c>
      <c r="F8679" t="s">
        <v>794</v>
      </c>
      <c r="G8679" t="s">
        <v>795</v>
      </c>
      <c r="H8679" t="s">
        <v>8857</v>
      </c>
      <c r="I8679">
        <v>36</v>
      </c>
      <c r="J8679">
        <v>0</v>
      </c>
      <c r="K8679">
        <v>0</v>
      </c>
      <c r="L8679">
        <v>0</v>
      </c>
      <c r="M8679">
        <v>0</v>
      </c>
      <c r="N8679">
        <v>0</v>
      </c>
      <c r="O8679">
        <v>36</v>
      </c>
    </row>
    <row r="8680" spans="1:15" x14ac:dyDescent="0.25">
      <c r="A8680" t="s">
        <v>1140</v>
      </c>
      <c r="B8680" t="s">
        <v>2697</v>
      </c>
      <c r="C8680" t="s">
        <v>927</v>
      </c>
      <c r="D8680" t="s">
        <v>3052</v>
      </c>
      <c r="E8680" t="s">
        <v>3053</v>
      </c>
      <c r="F8680" t="s">
        <v>794</v>
      </c>
      <c r="G8680" t="s">
        <v>795</v>
      </c>
      <c r="H8680" t="s">
        <v>8858</v>
      </c>
      <c r="I8680">
        <v>8</v>
      </c>
      <c r="J8680">
        <v>0</v>
      </c>
      <c r="K8680">
        <v>0</v>
      </c>
      <c r="L8680">
        <v>0</v>
      </c>
      <c r="M8680">
        <v>0</v>
      </c>
      <c r="N8680">
        <v>0</v>
      </c>
      <c r="O8680">
        <v>8</v>
      </c>
    </row>
    <row r="8681" spans="1:15" x14ac:dyDescent="0.25">
      <c r="A8681" t="s">
        <v>1043</v>
      </c>
      <c r="B8681" t="s">
        <v>2090</v>
      </c>
      <c r="C8681" t="s">
        <v>927</v>
      </c>
      <c r="D8681" t="s">
        <v>3052</v>
      </c>
      <c r="E8681" t="s">
        <v>3053</v>
      </c>
      <c r="F8681" t="s">
        <v>794</v>
      </c>
      <c r="G8681" t="s">
        <v>795</v>
      </c>
      <c r="H8681" t="s">
        <v>8859</v>
      </c>
      <c r="I8681">
        <v>43</v>
      </c>
      <c r="J8681">
        <v>24</v>
      </c>
      <c r="K8681">
        <v>0</v>
      </c>
      <c r="L8681">
        <v>0</v>
      </c>
      <c r="M8681">
        <v>11</v>
      </c>
      <c r="N8681">
        <v>0</v>
      </c>
      <c r="O8681">
        <v>8</v>
      </c>
    </row>
    <row r="8682" spans="1:15" x14ac:dyDescent="0.25">
      <c r="A8682" t="s">
        <v>1146</v>
      </c>
      <c r="B8682" t="s">
        <v>2117</v>
      </c>
      <c r="C8682" t="s">
        <v>927</v>
      </c>
      <c r="D8682" t="s">
        <v>3052</v>
      </c>
      <c r="E8682" t="s">
        <v>3053</v>
      </c>
      <c r="F8682" t="s">
        <v>794</v>
      </c>
      <c r="G8682" t="s">
        <v>795</v>
      </c>
      <c r="H8682" t="s">
        <v>8860</v>
      </c>
      <c r="I8682">
        <v>2737</v>
      </c>
      <c r="J8682">
        <v>2161</v>
      </c>
      <c r="K8682">
        <v>0</v>
      </c>
      <c r="L8682">
        <v>111</v>
      </c>
      <c r="M8682">
        <v>16</v>
      </c>
      <c r="N8682">
        <v>3</v>
      </c>
      <c r="O8682">
        <v>449</v>
      </c>
    </row>
    <row r="8683" spans="1:15" x14ac:dyDescent="0.25">
      <c r="A8683" t="s">
        <v>1322</v>
      </c>
      <c r="B8683" t="s">
        <v>2466</v>
      </c>
      <c r="C8683" t="s">
        <v>923</v>
      </c>
      <c r="D8683" t="s">
        <v>3063</v>
      </c>
      <c r="E8683" t="s">
        <v>3053</v>
      </c>
      <c r="F8683" t="s">
        <v>794</v>
      </c>
      <c r="G8683" t="s">
        <v>795</v>
      </c>
      <c r="H8683" t="s">
        <v>12433</v>
      </c>
      <c r="I8683">
        <v>6</v>
      </c>
      <c r="J8683">
        <v>0</v>
      </c>
      <c r="K8683">
        <v>6</v>
      </c>
      <c r="L8683">
        <v>0</v>
      </c>
      <c r="M8683">
        <v>0</v>
      </c>
      <c r="N8683">
        <v>0</v>
      </c>
      <c r="O8683">
        <v>0</v>
      </c>
    </row>
    <row r="8684" spans="1:15" x14ac:dyDescent="0.25">
      <c r="A8684" t="s">
        <v>951</v>
      </c>
      <c r="B8684" t="s">
        <v>2680</v>
      </c>
      <c r="C8684" t="s">
        <v>927</v>
      </c>
      <c r="D8684" t="s">
        <v>3052</v>
      </c>
      <c r="E8684" t="s">
        <v>3053</v>
      </c>
      <c r="F8684" t="s">
        <v>794</v>
      </c>
      <c r="G8684" t="s">
        <v>795</v>
      </c>
      <c r="H8684" t="s">
        <v>8861</v>
      </c>
      <c r="I8684">
        <v>110</v>
      </c>
      <c r="J8684">
        <v>92</v>
      </c>
      <c r="K8684">
        <v>0</v>
      </c>
      <c r="L8684">
        <v>0</v>
      </c>
      <c r="M8684">
        <v>0</v>
      </c>
      <c r="N8684">
        <v>0</v>
      </c>
      <c r="O8684">
        <v>18</v>
      </c>
    </row>
    <row r="8685" spans="1:15" x14ac:dyDescent="0.25">
      <c r="A8685" t="s">
        <v>1325</v>
      </c>
      <c r="B8685" t="s">
        <v>2832</v>
      </c>
      <c r="C8685" t="s">
        <v>927</v>
      </c>
      <c r="D8685" t="s">
        <v>3052</v>
      </c>
      <c r="E8685" t="s">
        <v>3053</v>
      </c>
      <c r="F8685" t="s">
        <v>794</v>
      </c>
      <c r="G8685" t="s">
        <v>795</v>
      </c>
      <c r="H8685" t="s">
        <v>8862</v>
      </c>
      <c r="I8685">
        <v>5430</v>
      </c>
      <c r="J8685">
        <v>5170</v>
      </c>
      <c r="K8685">
        <v>0</v>
      </c>
      <c r="L8685">
        <v>0</v>
      </c>
      <c r="M8685">
        <v>0</v>
      </c>
      <c r="N8685">
        <v>0</v>
      </c>
      <c r="O8685">
        <v>260</v>
      </c>
    </row>
    <row r="8686" spans="1:15" x14ac:dyDescent="0.25">
      <c r="A8686" t="s">
        <v>1327</v>
      </c>
      <c r="B8686" t="s">
        <v>2686</v>
      </c>
      <c r="C8686" t="s">
        <v>923</v>
      </c>
      <c r="D8686" t="s">
        <v>3063</v>
      </c>
      <c r="E8686" t="s">
        <v>3053</v>
      </c>
      <c r="F8686" t="s">
        <v>794</v>
      </c>
      <c r="G8686" t="s">
        <v>795</v>
      </c>
      <c r="H8686" t="s">
        <v>8863</v>
      </c>
      <c r="I8686">
        <v>422</v>
      </c>
      <c r="J8686">
        <v>88</v>
      </c>
      <c r="K8686">
        <v>0</v>
      </c>
      <c r="L8686">
        <v>301</v>
      </c>
      <c r="M8686">
        <v>33</v>
      </c>
      <c r="N8686">
        <v>0</v>
      </c>
      <c r="O8686">
        <v>0</v>
      </c>
    </row>
    <row r="8687" spans="1:15" x14ac:dyDescent="0.25">
      <c r="A8687" t="s">
        <v>1056</v>
      </c>
      <c r="B8687" t="s">
        <v>2966</v>
      </c>
      <c r="C8687" t="s">
        <v>927</v>
      </c>
      <c r="D8687" t="s">
        <v>3052</v>
      </c>
      <c r="E8687" t="s">
        <v>3053</v>
      </c>
      <c r="F8687" t="s">
        <v>794</v>
      </c>
      <c r="G8687" t="s">
        <v>795</v>
      </c>
      <c r="H8687" t="s">
        <v>8864</v>
      </c>
      <c r="I8687">
        <v>231</v>
      </c>
      <c r="J8687">
        <v>0</v>
      </c>
      <c r="K8687">
        <v>0</v>
      </c>
      <c r="L8687">
        <v>231</v>
      </c>
      <c r="M8687">
        <v>0</v>
      </c>
      <c r="N8687">
        <v>43</v>
      </c>
      <c r="O8687">
        <v>0</v>
      </c>
    </row>
    <row r="8688" spans="1:15" x14ac:dyDescent="0.25">
      <c r="A8688" t="s">
        <v>955</v>
      </c>
      <c r="B8688" t="s">
        <v>2660</v>
      </c>
      <c r="C8688" t="s">
        <v>927</v>
      </c>
      <c r="D8688" t="s">
        <v>3052</v>
      </c>
      <c r="E8688" t="s">
        <v>3053</v>
      </c>
      <c r="F8688" t="s">
        <v>794</v>
      </c>
      <c r="G8688" t="s">
        <v>795</v>
      </c>
      <c r="H8688" t="s">
        <v>8865</v>
      </c>
      <c r="I8688">
        <v>115</v>
      </c>
      <c r="J8688">
        <v>22</v>
      </c>
      <c r="K8688">
        <v>0</v>
      </c>
      <c r="L8688">
        <v>5</v>
      </c>
      <c r="M8688">
        <v>73</v>
      </c>
      <c r="N8688">
        <v>0</v>
      </c>
      <c r="O8688">
        <v>15</v>
      </c>
    </row>
    <row r="8689" spans="1:15" x14ac:dyDescent="0.25">
      <c r="A8689" t="s">
        <v>10724</v>
      </c>
      <c r="B8689" t="s">
        <v>10723</v>
      </c>
      <c r="C8689" t="s">
        <v>923</v>
      </c>
      <c r="D8689" t="s">
        <v>3063</v>
      </c>
      <c r="E8689" t="s">
        <v>3053</v>
      </c>
      <c r="F8689" t="s">
        <v>794</v>
      </c>
      <c r="G8689" t="s">
        <v>795</v>
      </c>
      <c r="H8689" t="s">
        <v>11414</v>
      </c>
      <c r="I8689">
        <v>12</v>
      </c>
      <c r="J8689">
        <v>12</v>
      </c>
      <c r="K8689">
        <v>0</v>
      </c>
      <c r="L8689">
        <v>0</v>
      </c>
      <c r="M8689">
        <v>0</v>
      </c>
      <c r="N8689">
        <v>0</v>
      </c>
      <c r="O8689">
        <v>0</v>
      </c>
    </row>
    <row r="8690" spans="1:15" x14ac:dyDescent="0.25">
      <c r="A8690" t="s">
        <v>1341</v>
      </c>
      <c r="B8690" t="s">
        <v>2954</v>
      </c>
      <c r="C8690" t="s">
        <v>923</v>
      </c>
      <c r="D8690" t="s">
        <v>3063</v>
      </c>
      <c r="E8690" t="s">
        <v>3053</v>
      </c>
      <c r="F8690" t="s">
        <v>794</v>
      </c>
      <c r="G8690" t="s">
        <v>795</v>
      </c>
      <c r="H8690" t="s">
        <v>8866</v>
      </c>
      <c r="I8690">
        <v>20</v>
      </c>
      <c r="J8690">
        <v>20</v>
      </c>
      <c r="K8690">
        <v>0</v>
      </c>
      <c r="L8690">
        <v>0</v>
      </c>
      <c r="M8690">
        <v>0</v>
      </c>
      <c r="N8690">
        <v>0</v>
      </c>
      <c r="O8690">
        <v>0</v>
      </c>
    </row>
    <row r="8691" spans="1:15" x14ac:dyDescent="0.25">
      <c r="A8691" t="s">
        <v>11663</v>
      </c>
      <c r="B8691" t="s">
        <v>11768</v>
      </c>
      <c r="C8691" t="s">
        <v>927</v>
      </c>
      <c r="D8691" t="s">
        <v>3052</v>
      </c>
      <c r="E8691" t="s">
        <v>3053</v>
      </c>
      <c r="F8691" t="s">
        <v>794</v>
      </c>
      <c r="G8691" t="s">
        <v>795</v>
      </c>
      <c r="H8691" t="s">
        <v>12434</v>
      </c>
      <c r="I8691">
        <v>1692</v>
      </c>
      <c r="J8691">
        <v>1366</v>
      </c>
      <c r="K8691">
        <v>0</v>
      </c>
      <c r="L8691">
        <v>0</v>
      </c>
      <c r="M8691">
        <v>122</v>
      </c>
      <c r="N8691">
        <v>6</v>
      </c>
      <c r="O8691">
        <v>204</v>
      </c>
    </row>
    <row r="8692" spans="1:15" x14ac:dyDescent="0.25">
      <c r="A8692" t="s">
        <v>14380</v>
      </c>
      <c r="B8692" t="s">
        <v>2074</v>
      </c>
      <c r="C8692" t="s">
        <v>927</v>
      </c>
      <c r="D8692" t="s">
        <v>3052</v>
      </c>
      <c r="E8692" t="s">
        <v>3053</v>
      </c>
      <c r="F8692" t="s">
        <v>794</v>
      </c>
      <c r="G8692" t="s">
        <v>795</v>
      </c>
      <c r="H8692" t="s">
        <v>15357</v>
      </c>
      <c r="I8692">
        <v>308</v>
      </c>
      <c r="J8692">
        <v>264</v>
      </c>
      <c r="K8692">
        <v>9</v>
      </c>
      <c r="L8692">
        <v>0</v>
      </c>
      <c r="M8692">
        <v>0</v>
      </c>
      <c r="N8692">
        <v>1</v>
      </c>
      <c r="O8692">
        <v>35</v>
      </c>
    </row>
    <row r="8693" spans="1:15" x14ac:dyDescent="0.25">
      <c r="A8693" t="s">
        <v>1343</v>
      </c>
      <c r="B8693" t="s">
        <v>2410</v>
      </c>
      <c r="C8693" t="s">
        <v>923</v>
      </c>
      <c r="D8693" t="s">
        <v>3063</v>
      </c>
      <c r="E8693" t="s">
        <v>3053</v>
      </c>
      <c r="F8693" t="s">
        <v>794</v>
      </c>
      <c r="G8693" t="s">
        <v>795</v>
      </c>
      <c r="H8693" t="s">
        <v>8867</v>
      </c>
      <c r="I8693">
        <v>678</v>
      </c>
      <c r="J8693">
        <v>678</v>
      </c>
      <c r="K8693">
        <v>0</v>
      </c>
      <c r="L8693">
        <v>0</v>
      </c>
      <c r="M8693">
        <v>0</v>
      </c>
      <c r="N8693">
        <v>0</v>
      </c>
      <c r="O8693">
        <v>0</v>
      </c>
    </row>
    <row r="8694" spans="1:15" x14ac:dyDescent="0.25">
      <c r="A8694" t="s">
        <v>1159</v>
      </c>
      <c r="B8694" t="s">
        <v>2829</v>
      </c>
      <c r="C8694" t="s">
        <v>927</v>
      </c>
      <c r="D8694" t="s">
        <v>3052</v>
      </c>
      <c r="E8694" t="s">
        <v>3053</v>
      </c>
      <c r="F8694" t="s">
        <v>794</v>
      </c>
      <c r="G8694" t="s">
        <v>795</v>
      </c>
      <c r="H8694" t="s">
        <v>8868</v>
      </c>
      <c r="I8694">
        <v>1808</v>
      </c>
      <c r="J8694">
        <v>1688</v>
      </c>
      <c r="K8694">
        <v>0</v>
      </c>
      <c r="L8694">
        <v>0</v>
      </c>
      <c r="M8694">
        <v>0</v>
      </c>
      <c r="N8694">
        <v>7</v>
      </c>
      <c r="O8694">
        <v>120</v>
      </c>
    </row>
    <row r="8695" spans="1:15" x14ac:dyDescent="0.25">
      <c r="A8695" t="s">
        <v>1352</v>
      </c>
      <c r="B8695" t="s">
        <v>2085</v>
      </c>
      <c r="C8695" t="s">
        <v>923</v>
      </c>
      <c r="D8695" t="s">
        <v>3063</v>
      </c>
      <c r="E8695" t="s">
        <v>3053</v>
      </c>
      <c r="F8695" t="s">
        <v>794</v>
      </c>
      <c r="G8695" t="s">
        <v>795</v>
      </c>
      <c r="H8695" t="s">
        <v>11415</v>
      </c>
      <c r="I8695">
        <v>4</v>
      </c>
      <c r="J8695">
        <v>4</v>
      </c>
      <c r="K8695">
        <v>0</v>
      </c>
      <c r="L8695">
        <v>0</v>
      </c>
      <c r="M8695">
        <v>0</v>
      </c>
      <c r="N8695">
        <v>0</v>
      </c>
      <c r="O8695">
        <v>0</v>
      </c>
    </row>
    <row r="8696" spans="1:15" x14ac:dyDescent="0.25">
      <c r="A8696" t="s">
        <v>1069</v>
      </c>
      <c r="B8696" t="s">
        <v>2001</v>
      </c>
      <c r="C8696" t="s">
        <v>927</v>
      </c>
      <c r="D8696" t="s">
        <v>3052</v>
      </c>
      <c r="E8696" t="s">
        <v>3053</v>
      </c>
      <c r="F8696" t="s">
        <v>794</v>
      </c>
      <c r="G8696" t="s">
        <v>795</v>
      </c>
      <c r="H8696" t="s">
        <v>8869</v>
      </c>
      <c r="I8696">
        <v>460</v>
      </c>
      <c r="J8696">
        <v>203</v>
      </c>
      <c r="K8696">
        <v>0</v>
      </c>
      <c r="L8696">
        <v>1</v>
      </c>
      <c r="M8696">
        <v>0</v>
      </c>
      <c r="N8696">
        <v>0</v>
      </c>
      <c r="O8696">
        <v>256</v>
      </c>
    </row>
    <row r="8697" spans="1:15" x14ac:dyDescent="0.25">
      <c r="A8697" t="s">
        <v>1174</v>
      </c>
      <c r="B8697" t="s">
        <v>2663</v>
      </c>
      <c r="C8697" t="s">
        <v>927</v>
      </c>
      <c r="D8697" t="s">
        <v>3052</v>
      </c>
      <c r="E8697" t="s">
        <v>3053</v>
      </c>
      <c r="F8697" t="s">
        <v>794</v>
      </c>
      <c r="G8697" t="s">
        <v>795</v>
      </c>
      <c r="H8697" t="s">
        <v>8870</v>
      </c>
      <c r="I8697">
        <v>167</v>
      </c>
      <c r="J8697">
        <v>147</v>
      </c>
      <c r="K8697">
        <v>0</v>
      </c>
      <c r="L8697">
        <v>0</v>
      </c>
      <c r="M8697">
        <v>20</v>
      </c>
      <c r="N8697">
        <v>31</v>
      </c>
      <c r="O8697">
        <v>0</v>
      </c>
    </row>
    <row r="8698" spans="1:15" x14ac:dyDescent="0.25">
      <c r="A8698" t="s">
        <v>10764</v>
      </c>
      <c r="B8698" t="s">
        <v>10763</v>
      </c>
      <c r="C8698" t="s">
        <v>923</v>
      </c>
      <c r="D8698" t="s">
        <v>3063</v>
      </c>
      <c r="E8698" t="s">
        <v>3053</v>
      </c>
      <c r="F8698" t="s">
        <v>794</v>
      </c>
      <c r="G8698" t="s">
        <v>795</v>
      </c>
      <c r="H8698" t="s">
        <v>11416</v>
      </c>
      <c r="I8698">
        <v>25</v>
      </c>
      <c r="J8698">
        <v>25</v>
      </c>
      <c r="K8698">
        <v>0</v>
      </c>
      <c r="L8698">
        <v>0</v>
      </c>
      <c r="M8698">
        <v>0</v>
      </c>
      <c r="N8698">
        <v>0</v>
      </c>
      <c r="O8698">
        <v>0</v>
      </c>
    </row>
    <row r="8699" spans="1:15" x14ac:dyDescent="0.25">
      <c r="A8699" t="s">
        <v>1072</v>
      </c>
      <c r="B8699" t="s">
        <v>2907</v>
      </c>
      <c r="C8699" t="s">
        <v>927</v>
      </c>
      <c r="D8699" t="s">
        <v>3052</v>
      </c>
      <c r="E8699" t="s">
        <v>3053</v>
      </c>
      <c r="F8699" t="s">
        <v>794</v>
      </c>
      <c r="G8699" t="s">
        <v>795</v>
      </c>
      <c r="H8699" t="s">
        <v>15358</v>
      </c>
      <c r="I8699">
        <v>3482</v>
      </c>
      <c r="J8699">
        <v>2946</v>
      </c>
      <c r="K8699">
        <v>0</v>
      </c>
      <c r="L8699">
        <v>34</v>
      </c>
      <c r="M8699">
        <v>31</v>
      </c>
      <c r="N8699">
        <v>0</v>
      </c>
      <c r="O8699">
        <v>471</v>
      </c>
    </row>
    <row r="8700" spans="1:15" x14ac:dyDescent="0.25">
      <c r="A8700" t="s">
        <v>1372</v>
      </c>
      <c r="B8700" t="s">
        <v>2847</v>
      </c>
      <c r="C8700" t="s">
        <v>927</v>
      </c>
      <c r="D8700" t="s">
        <v>3052</v>
      </c>
      <c r="E8700" t="s">
        <v>3053</v>
      </c>
      <c r="F8700" t="s">
        <v>794</v>
      </c>
      <c r="G8700" t="s">
        <v>795</v>
      </c>
      <c r="H8700" t="s">
        <v>8871</v>
      </c>
      <c r="I8700">
        <v>2053</v>
      </c>
      <c r="J8700">
        <v>1999</v>
      </c>
      <c r="K8700">
        <v>0</v>
      </c>
      <c r="L8700">
        <v>0</v>
      </c>
      <c r="M8700">
        <v>0</v>
      </c>
      <c r="N8700">
        <v>179</v>
      </c>
      <c r="O8700">
        <v>54</v>
      </c>
    </row>
    <row r="8701" spans="1:15" x14ac:dyDescent="0.25">
      <c r="A8701" t="s">
        <v>1376</v>
      </c>
      <c r="B8701" t="s">
        <v>2931</v>
      </c>
      <c r="C8701" t="s">
        <v>923</v>
      </c>
      <c r="D8701" t="s">
        <v>3063</v>
      </c>
      <c r="E8701" t="s">
        <v>3053</v>
      </c>
      <c r="F8701" t="s">
        <v>794</v>
      </c>
      <c r="G8701" t="s">
        <v>795</v>
      </c>
      <c r="H8701" t="s">
        <v>8872</v>
      </c>
      <c r="I8701">
        <v>66</v>
      </c>
      <c r="J8701">
        <v>0</v>
      </c>
      <c r="K8701">
        <v>66</v>
      </c>
      <c r="L8701">
        <v>0</v>
      </c>
      <c r="M8701">
        <v>0</v>
      </c>
      <c r="N8701">
        <v>0</v>
      </c>
      <c r="O8701">
        <v>0</v>
      </c>
    </row>
    <row r="8702" spans="1:15" x14ac:dyDescent="0.25">
      <c r="A8702" t="s">
        <v>9814</v>
      </c>
      <c r="B8702" t="s">
        <v>9885</v>
      </c>
      <c r="C8702" t="s">
        <v>923</v>
      </c>
      <c r="D8702" t="s">
        <v>3063</v>
      </c>
      <c r="E8702" t="s">
        <v>3053</v>
      </c>
      <c r="F8702" t="s">
        <v>794</v>
      </c>
      <c r="G8702" t="s">
        <v>795</v>
      </c>
      <c r="H8702" t="s">
        <v>10513</v>
      </c>
      <c r="I8702">
        <v>66</v>
      </c>
      <c r="J8702">
        <v>66</v>
      </c>
      <c r="K8702">
        <v>0</v>
      </c>
      <c r="L8702">
        <v>0</v>
      </c>
      <c r="M8702">
        <v>0</v>
      </c>
      <c r="N8702">
        <v>0</v>
      </c>
      <c r="O8702">
        <v>0</v>
      </c>
    </row>
    <row r="8703" spans="1:15" x14ac:dyDescent="0.25">
      <c r="A8703" t="s">
        <v>1016</v>
      </c>
      <c r="B8703" t="s">
        <v>2725</v>
      </c>
      <c r="C8703" t="s">
        <v>927</v>
      </c>
      <c r="D8703" t="s">
        <v>3052</v>
      </c>
      <c r="E8703" t="s">
        <v>3053</v>
      </c>
      <c r="F8703" t="s">
        <v>796</v>
      </c>
      <c r="G8703" t="s">
        <v>797</v>
      </c>
      <c r="H8703" t="s">
        <v>8881</v>
      </c>
      <c r="I8703">
        <v>55</v>
      </c>
      <c r="J8703">
        <v>0</v>
      </c>
      <c r="K8703">
        <v>0</v>
      </c>
      <c r="L8703">
        <v>0</v>
      </c>
      <c r="M8703">
        <v>55</v>
      </c>
      <c r="N8703">
        <v>0</v>
      </c>
      <c r="O8703">
        <v>0</v>
      </c>
    </row>
    <row r="8704" spans="1:15" x14ac:dyDescent="0.25">
      <c r="A8704" t="s">
        <v>929</v>
      </c>
      <c r="B8704" t="s">
        <v>2999</v>
      </c>
      <c r="C8704" t="s">
        <v>927</v>
      </c>
      <c r="D8704" t="s">
        <v>3052</v>
      </c>
      <c r="E8704" t="s">
        <v>3053</v>
      </c>
      <c r="F8704" t="s">
        <v>796</v>
      </c>
      <c r="G8704" t="s">
        <v>797</v>
      </c>
      <c r="H8704" t="s">
        <v>8873</v>
      </c>
      <c r="I8704">
        <v>256</v>
      </c>
      <c r="J8704">
        <v>0</v>
      </c>
      <c r="K8704">
        <v>0</v>
      </c>
      <c r="L8704">
        <v>0</v>
      </c>
      <c r="M8704">
        <v>221</v>
      </c>
      <c r="N8704">
        <v>0</v>
      </c>
      <c r="O8704">
        <v>35</v>
      </c>
    </row>
    <row r="8705" spans="1:15" x14ac:dyDescent="0.25">
      <c r="A8705" t="s">
        <v>1454</v>
      </c>
      <c r="B8705" t="s">
        <v>2805</v>
      </c>
      <c r="C8705" t="s">
        <v>927</v>
      </c>
      <c r="D8705" t="s">
        <v>3052</v>
      </c>
      <c r="E8705" t="s">
        <v>3053</v>
      </c>
      <c r="F8705" t="s">
        <v>796</v>
      </c>
      <c r="G8705" t="s">
        <v>797</v>
      </c>
      <c r="H8705" t="s">
        <v>8874</v>
      </c>
      <c r="I8705">
        <v>71</v>
      </c>
      <c r="J8705">
        <v>67</v>
      </c>
      <c r="K8705">
        <v>0</v>
      </c>
      <c r="L8705">
        <v>0</v>
      </c>
      <c r="M8705">
        <v>0</v>
      </c>
      <c r="N8705">
        <v>0</v>
      </c>
      <c r="O8705">
        <v>4</v>
      </c>
    </row>
    <row r="8706" spans="1:15" x14ac:dyDescent="0.25">
      <c r="A8706" t="s">
        <v>9784</v>
      </c>
      <c r="B8706" t="s">
        <v>1994</v>
      </c>
      <c r="C8706" t="s">
        <v>927</v>
      </c>
      <c r="D8706" t="s">
        <v>3052</v>
      </c>
      <c r="E8706" t="s">
        <v>3053</v>
      </c>
      <c r="F8706" t="s">
        <v>796</v>
      </c>
      <c r="G8706" t="s">
        <v>797</v>
      </c>
      <c r="H8706" t="s">
        <v>9994</v>
      </c>
      <c r="I8706">
        <v>4</v>
      </c>
      <c r="J8706">
        <v>0</v>
      </c>
      <c r="K8706">
        <v>0</v>
      </c>
      <c r="L8706">
        <v>4</v>
      </c>
      <c r="M8706">
        <v>0</v>
      </c>
      <c r="N8706">
        <v>0</v>
      </c>
      <c r="O8706">
        <v>0</v>
      </c>
    </row>
    <row r="8707" spans="1:15" x14ac:dyDescent="0.25">
      <c r="A8707" t="s">
        <v>1461</v>
      </c>
      <c r="B8707" t="s">
        <v>1927</v>
      </c>
      <c r="C8707" t="s">
        <v>927</v>
      </c>
      <c r="D8707" t="s">
        <v>3052</v>
      </c>
      <c r="E8707" t="s">
        <v>3053</v>
      </c>
      <c r="F8707" t="s">
        <v>796</v>
      </c>
      <c r="G8707" t="s">
        <v>797</v>
      </c>
      <c r="H8707" t="s">
        <v>15359</v>
      </c>
      <c r="I8707">
        <v>55</v>
      </c>
      <c r="J8707">
        <v>46</v>
      </c>
      <c r="K8707">
        <v>0</v>
      </c>
      <c r="L8707">
        <v>0</v>
      </c>
      <c r="M8707">
        <v>0</v>
      </c>
      <c r="N8707">
        <v>0</v>
      </c>
      <c r="O8707">
        <v>9</v>
      </c>
    </row>
    <row r="8708" spans="1:15" x14ac:dyDescent="0.25">
      <c r="A8708" t="s">
        <v>991</v>
      </c>
      <c r="B8708" t="s">
        <v>1976</v>
      </c>
      <c r="C8708" t="s">
        <v>923</v>
      </c>
      <c r="D8708" t="s">
        <v>3063</v>
      </c>
      <c r="E8708" t="s">
        <v>3053</v>
      </c>
      <c r="F8708" t="s">
        <v>796</v>
      </c>
      <c r="G8708" t="s">
        <v>797</v>
      </c>
      <c r="H8708" t="s">
        <v>8875</v>
      </c>
      <c r="I8708">
        <v>43</v>
      </c>
      <c r="J8708">
        <v>0</v>
      </c>
      <c r="K8708">
        <v>0</v>
      </c>
      <c r="L8708">
        <v>43</v>
      </c>
      <c r="M8708">
        <v>0</v>
      </c>
      <c r="N8708">
        <v>0</v>
      </c>
      <c r="O8708">
        <v>0</v>
      </c>
    </row>
    <row r="8709" spans="1:15" x14ac:dyDescent="0.25">
      <c r="A8709" t="s">
        <v>11660</v>
      </c>
      <c r="B8709" t="s">
        <v>2041</v>
      </c>
      <c r="C8709" t="s">
        <v>923</v>
      </c>
      <c r="D8709" t="s">
        <v>3063</v>
      </c>
      <c r="E8709" t="s">
        <v>3053</v>
      </c>
      <c r="F8709" t="s">
        <v>796</v>
      </c>
      <c r="G8709" t="s">
        <v>797</v>
      </c>
      <c r="H8709" t="s">
        <v>12435</v>
      </c>
      <c r="I8709">
        <v>2</v>
      </c>
      <c r="J8709">
        <v>0</v>
      </c>
      <c r="K8709">
        <v>0</v>
      </c>
      <c r="L8709">
        <v>2</v>
      </c>
      <c r="M8709">
        <v>0</v>
      </c>
      <c r="N8709">
        <v>0</v>
      </c>
      <c r="O8709">
        <v>0</v>
      </c>
    </row>
    <row r="8710" spans="1:15" x14ac:dyDescent="0.25">
      <c r="A8710" t="s">
        <v>1484</v>
      </c>
      <c r="B8710" t="s">
        <v>2897</v>
      </c>
      <c r="C8710" t="s">
        <v>927</v>
      </c>
      <c r="D8710" t="s">
        <v>3052</v>
      </c>
      <c r="E8710" t="s">
        <v>3053</v>
      </c>
      <c r="F8710" t="s">
        <v>796</v>
      </c>
      <c r="G8710" t="s">
        <v>797</v>
      </c>
      <c r="H8710" t="s">
        <v>10066</v>
      </c>
      <c r="I8710">
        <v>5</v>
      </c>
      <c r="J8710">
        <v>2</v>
      </c>
      <c r="K8710">
        <v>0</v>
      </c>
      <c r="L8710">
        <v>0</v>
      </c>
      <c r="M8710">
        <v>0</v>
      </c>
      <c r="N8710">
        <v>0</v>
      </c>
      <c r="O8710">
        <v>3</v>
      </c>
    </row>
    <row r="8711" spans="1:15" x14ac:dyDescent="0.25">
      <c r="A8711" t="s">
        <v>1485</v>
      </c>
      <c r="B8711" t="s">
        <v>2836</v>
      </c>
      <c r="C8711" t="s">
        <v>927</v>
      </c>
      <c r="D8711" t="s">
        <v>3052</v>
      </c>
      <c r="E8711" t="s">
        <v>3053</v>
      </c>
      <c r="F8711" t="s">
        <v>796</v>
      </c>
      <c r="G8711" t="s">
        <v>797</v>
      </c>
      <c r="H8711" t="s">
        <v>8876</v>
      </c>
      <c r="I8711">
        <v>1</v>
      </c>
      <c r="J8711">
        <v>0</v>
      </c>
      <c r="K8711">
        <v>0</v>
      </c>
      <c r="L8711">
        <v>0</v>
      </c>
      <c r="M8711">
        <v>0</v>
      </c>
      <c r="N8711">
        <v>0</v>
      </c>
      <c r="O8711">
        <v>1</v>
      </c>
    </row>
    <row r="8712" spans="1:15" x14ac:dyDescent="0.25">
      <c r="A8712" t="s">
        <v>10638</v>
      </c>
      <c r="B8712" t="s">
        <v>2057</v>
      </c>
      <c r="C8712" t="s">
        <v>927</v>
      </c>
      <c r="D8712" t="s">
        <v>3052</v>
      </c>
      <c r="E8712" t="s">
        <v>3053</v>
      </c>
      <c r="F8712" t="s">
        <v>796</v>
      </c>
      <c r="G8712" t="s">
        <v>797</v>
      </c>
      <c r="H8712" t="s">
        <v>11417</v>
      </c>
      <c r="I8712">
        <v>9</v>
      </c>
      <c r="J8712">
        <v>0</v>
      </c>
      <c r="K8712">
        <v>0</v>
      </c>
      <c r="L8712">
        <v>9</v>
      </c>
      <c r="M8712">
        <v>0</v>
      </c>
      <c r="N8712">
        <v>0</v>
      </c>
      <c r="O8712">
        <v>0</v>
      </c>
    </row>
    <row r="8713" spans="1:15" x14ac:dyDescent="0.25">
      <c r="A8713" t="s">
        <v>1006</v>
      </c>
      <c r="B8713" t="s">
        <v>2724</v>
      </c>
      <c r="C8713" t="s">
        <v>927</v>
      </c>
      <c r="D8713" t="s">
        <v>3052</v>
      </c>
      <c r="E8713" t="s">
        <v>3053</v>
      </c>
      <c r="F8713" t="s">
        <v>796</v>
      </c>
      <c r="G8713" t="s">
        <v>797</v>
      </c>
      <c r="H8713" t="s">
        <v>8877</v>
      </c>
      <c r="I8713">
        <v>708</v>
      </c>
      <c r="J8713">
        <v>469</v>
      </c>
      <c r="K8713">
        <v>0</v>
      </c>
      <c r="L8713">
        <v>67</v>
      </c>
      <c r="M8713">
        <v>24</v>
      </c>
      <c r="N8713">
        <v>2</v>
      </c>
      <c r="O8713">
        <v>148</v>
      </c>
    </row>
    <row r="8714" spans="1:15" x14ac:dyDescent="0.25">
      <c r="A8714" t="s">
        <v>937</v>
      </c>
      <c r="B8714" t="s">
        <v>1962</v>
      </c>
      <c r="C8714" t="s">
        <v>927</v>
      </c>
      <c r="D8714" t="s">
        <v>3052</v>
      </c>
      <c r="E8714" t="s">
        <v>3053</v>
      </c>
      <c r="F8714" t="s">
        <v>796</v>
      </c>
      <c r="G8714" t="s">
        <v>797</v>
      </c>
      <c r="H8714" t="s">
        <v>12436</v>
      </c>
      <c r="I8714">
        <v>10</v>
      </c>
      <c r="J8714">
        <v>0</v>
      </c>
      <c r="K8714">
        <v>0</v>
      </c>
      <c r="L8714">
        <v>0</v>
      </c>
      <c r="M8714">
        <v>0</v>
      </c>
      <c r="N8714">
        <v>0</v>
      </c>
      <c r="O8714">
        <v>10</v>
      </c>
    </row>
    <row r="8715" spans="1:15" x14ac:dyDescent="0.25">
      <c r="A8715" t="s">
        <v>1011</v>
      </c>
      <c r="B8715" t="s">
        <v>2020</v>
      </c>
      <c r="C8715" t="s">
        <v>927</v>
      </c>
      <c r="D8715" t="s">
        <v>3052</v>
      </c>
      <c r="E8715" t="s">
        <v>3053</v>
      </c>
      <c r="F8715" t="s">
        <v>796</v>
      </c>
      <c r="G8715" t="s">
        <v>797</v>
      </c>
      <c r="H8715" t="s">
        <v>10115</v>
      </c>
      <c r="I8715">
        <v>8</v>
      </c>
      <c r="J8715">
        <v>0</v>
      </c>
      <c r="K8715">
        <v>0</v>
      </c>
      <c r="L8715">
        <v>8</v>
      </c>
      <c r="M8715">
        <v>0</v>
      </c>
      <c r="N8715">
        <v>0</v>
      </c>
      <c r="O8715">
        <v>0</v>
      </c>
    </row>
    <row r="8716" spans="1:15" x14ac:dyDescent="0.25">
      <c r="A8716" t="s">
        <v>940</v>
      </c>
      <c r="B8716" t="s">
        <v>2647</v>
      </c>
      <c r="C8716" t="s">
        <v>927</v>
      </c>
      <c r="D8716" t="s">
        <v>3052</v>
      </c>
      <c r="E8716" t="s">
        <v>3053</v>
      </c>
      <c r="F8716" t="s">
        <v>796</v>
      </c>
      <c r="G8716" t="s">
        <v>797</v>
      </c>
      <c r="H8716" t="s">
        <v>8878</v>
      </c>
      <c r="I8716">
        <v>69</v>
      </c>
      <c r="J8716">
        <v>0</v>
      </c>
      <c r="K8716">
        <v>0</v>
      </c>
      <c r="L8716">
        <v>0</v>
      </c>
      <c r="M8716">
        <v>69</v>
      </c>
      <c r="N8716">
        <v>0</v>
      </c>
      <c r="O8716">
        <v>0</v>
      </c>
    </row>
    <row r="8717" spans="1:15" x14ac:dyDescent="0.25">
      <c r="A8717" t="s">
        <v>1013</v>
      </c>
      <c r="B8717" t="s">
        <v>1959</v>
      </c>
      <c r="C8717" t="s">
        <v>927</v>
      </c>
      <c r="D8717" t="s">
        <v>3052</v>
      </c>
      <c r="E8717" t="s">
        <v>3053</v>
      </c>
      <c r="F8717" t="s">
        <v>796</v>
      </c>
      <c r="G8717" t="s">
        <v>797</v>
      </c>
      <c r="H8717" t="s">
        <v>8879</v>
      </c>
      <c r="I8717">
        <v>42</v>
      </c>
      <c r="J8717">
        <v>0</v>
      </c>
      <c r="K8717">
        <v>0</v>
      </c>
      <c r="L8717">
        <v>42</v>
      </c>
      <c r="M8717">
        <v>0</v>
      </c>
      <c r="N8717">
        <v>0</v>
      </c>
      <c r="O8717">
        <v>0</v>
      </c>
    </row>
    <row r="8718" spans="1:15" x14ac:dyDescent="0.25">
      <c r="A8718" t="s">
        <v>1495</v>
      </c>
      <c r="B8718" t="s">
        <v>2648</v>
      </c>
      <c r="C8718" t="s">
        <v>927</v>
      </c>
      <c r="D8718" t="s">
        <v>3052</v>
      </c>
      <c r="E8718" t="s">
        <v>3053</v>
      </c>
      <c r="F8718" t="s">
        <v>796</v>
      </c>
      <c r="G8718" t="s">
        <v>797</v>
      </c>
      <c r="H8718" t="s">
        <v>8880</v>
      </c>
      <c r="I8718">
        <v>2110</v>
      </c>
      <c r="J8718">
        <v>1921</v>
      </c>
      <c r="K8718">
        <v>0</v>
      </c>
      <c r="L8718">
        <v>41</v>
      </c>
      <c r="M8718">
        <v>107</v>
      </c>
      <c r="N8718">
        <v>10</v>
      </c>
      <c r="O8718">
        <v>41</v>
      </c>
    </row>
    <row r="8719" spans="1:15" x14ac:dyDescent="0.25">
      <c r="A8719" t="s">
        <v>9819</v>
      </c>
      <c r="B8719" t="s">
        <v>2916</v>
      </c>
      <c r="C8719" t="s">
        <v>927</v>
      </c>
      <c r="D8719" t="s">
        <v>3052</v>
      </c>
      <c r="E8719" t="s">
        <v>3053</v>
      </c>
      <c r="F8719" t="s">
        <v>796</v>
      </c>
      <c r="G8719" t="s">
        <v>797</v>
      </c>
      <c r="H8719" t="s">
        <v>10149</v>
      </c>
      <c r="I8719">
        <v>793</v>
      </c>
      <c r="J8719">
        <v>540</v>
      </c>
      <c r="K8719">
        <v>0</v>
      </c>
      <c r="L8719">
        <v>71</v>
      </c>
      <c r="M8719">
        <v>98</v>
      </c>
      <c r="N8719">
        <v>0</v>
      </c>
      <c r="O8719">
        <v>84</v>
      </c>
    </row>
    <row r="8720" spans="1:15" x14ac:dyDescent="0.25">
      <c r="A8720" t="s">
        <v>1020</v>
      </c>
      <c r="B8720" t="s">
        <v>2104</v>
      </c>
      <c r="C8720" t="s">
        <v>923</v>
      </c>
      <c r="D8720" t="s">
        <v>3063</v>
      </c>
      <c r="E8720" t="s">
        <v>3053</v>
      </c>
      <c r="F8720" t="s">
        <v>796</v>
      </c>
      <c r="G8720" t="s">
        <v>797</v>
      </c>
      <c r="H8720" t="s">
        <v>8882</v>
      </c>
      <c r="I8720">
        <v>3</v>
      </c>
      <c r="J8720">
        <v>0</v>
      </c>
      <c r="K8720">
        <v>0</v>
      </c>
      <c r="L8720">
        <v>3</v>
      </c>
      <c r="M8720">
        <v>0</v>
      </c>
      <c r="N8720">
        <v>1</v>
      </c>
      <c r="O8720">
        <v>0</v>
      </c>
    </row>
    <row r="8721" spans="1:15" x14ac:dyDescent="0.25">
      <c r="A8721" t="s">
        <v>1025</v>
      </c>
      <c r="B8721" t="s">
        <v>2893</v>
      </c>
      <c r="C8721" t="s">
        <v>927</v>
      </c>
      <c r="D8721" t="s">
        <v>3052</v>
      </c>
      <c r="E8721" t="s">
        <v>3053</v>
      </c>
      <c r="F8721" t="s">
        <v>796</v>
      </c>
      <c r="G8721" t="s">
        <v>797</v>
      </c>
      <c r="H8721" t="s">
        <v>12437</v>
      </c>
      <c r="I8721">
        <v>9019</v>
      </c>
      <c r="J8721">
        <v>6095</v>
      </c>
      <c r="K8721">
        <v>0</v>
      </c>
      <c r="L8721">
        <v>19</v>
      </c>
      <c r="M8721">
        <v>2660</v>
      </c>
      <c r="N8721">
        <v>112</v>
      </c>
      <c r="O8721">
        <v>245</v>
      </c>
    </row>
    <row r="8722" spans="1:15" x14ac:dyDescent="0.25">
      <c r="A8722" t="s">
        <v>1516</v>
      </c>
      <c r="B8722" t="s">
        <v>2098</v>
      </c>
      <c r="C8722" t="s">
        <v>927</v>
      </c>
      <c r="D8722" t="s">
        <v>3052</v>
      </c>
      <c r="E8722" t="s">
        <v>3053</v>
      </c>
      <c r="F8722" t="s">
        <v>796</v>
      </c>
      <c r="G8722" t="s">
        <v>797</v>
      </c>
      <c r="H8722" t="s">
        <v>8883</v>
      </c>
      <c r="I8722">
        <v>268</v>
      </c>
      <c r="J8722">
        <v>234</v>
      </c>
      <c r="K8722">
        <v>0</v>
      </c>
      <c r="L8722">
        <v>7</v>
      </c>
      <c r="M8722">
        <v>0</v>
      </c>
      <c r="N8722">
        <v>0</v>
      </c>
      <c r="O8722">
        <v>27</v>
      </c>
    </row>
    <row r="8723" spans="1:15" x14ac:dyDescent="0.25">
      <c r="A8723" t="s">
        <v>1302</v>
      </c>
      <c r="B8723" t="s">
        <v>1961</v>
      </c>
      <c r="C8723" t="s">
        <v>923</v>
      </c>
      <c r="D8723" t="s">
        <v>3063</v>
      </c>
      <c r="E8723" t="s">
        <v>3053</v>
      </c>
      <c r="F8723" t="s">
        <v>796</v>
      </c>
      <c r="G8723" t="s">
        <v>797</v>
      </c>
      <c r="H8723" t="s">
        <v>8884</v>
      </c>
      <c r="I8723">
        <v>2</v>
      </c>
      <c r="J8723">
        <v>0</v>
      </c>
      <c r="K8723">
        <v>0</v>
      </c>
      <c r="L8723">
        <v>2</v>
      </c>
      <c r="M8723">
        <v>0</v>
      </c>
      <c r="N8723">
        <v>0</v>
      </c>
      <c r="O8723">
        <v>0</v>
      </c>
    </row>
    <row r="8724" spans="1:15" x14ac:dyDescent="0.25">
      <c r="A8724" t="s">
        <v>1519</v>
      </c>
      <c r="B8724" t="s">
        <v>2060</v>
      </c>
      <c r="C8724" t="s">
        <v>927</v>
      </c>
      <c r="D8724" t="s">
        <v>3052</v>
      </c>
      <c r="E8724" t="s">
        <v>3053</v>
      </c>
      <c r="F8724" t="s">
        <v>796</v>
      </c>
      <c r="G8724" t="s">
        <v>797</v>
      </c>
      <c r="H8724" t="s">
        <v>15360</v>
      </c>
      <c r="I8724">
        <v>1</v>
      </c>
      <c r="J8724">
        <v>0</v>
      </c>
      <c r="K8724">
        <v>1</v>
      </c>
      <c r="L8724">
        <v>0</v>
      </c>
      <c r="M8724">
        <v>0</v>
      </c>
      <c r="N8724">
        <v>0</v>
      </c>
      <c r="O8724">
        <v>0</v>
      </c>
    </row>
    <row r="8725" spans="1:15" x14ac:dyDescent="0.25">
      <c r="A8725" t="s">
        <v>1521</v>
      </c>
      <c r="B8725" t="s">
        <v>2920</v>
      </c>
      <c r="C8725" t="s">
        <v>927</v>
      </c>
      <c r="D8725" t="s">
        <v>3052</v>
      </c>
      <c r="E8725" t="s">
        <v>3053</v>
      </c>
      <c r="F8725" t="s">
        <v>796</v>
      </c>
      <c r="G8725" t="s">
        <v>797</v>
      </c>
      <c r="H8725" t="s">
        <v>11418</v>
      </c>
      <c r="I8725">
        <v>407</v>
      </c>
      <c r="J8725">
        <v>344</v>
      </c>
      <c r="K8725">
        <v>0</v>
      </c>
      <c r="L8725">
        <v>31</v>
      </c>
      <c r="M8725">
        <v>24</v>
      </c>
      <c r="N8725">
        <v>1</v>
      </c>
      <c r="O8725">
        <v>8</v>
      </c>
    </row>
    <row r="8726" spans="1:15" x14ac:dyDescent="0.25">
      <c r="A8726" t="s">
        <v>1046</v>
      </c>
      <c r="B8726" t="s">
        <v>2027</v>
      </c>
      <c r="C8726" t="s">
        <v>923</v>
      </c>
      <c r="D8726" t="s">
        <v>3063</v>
      </c>
      <c r="E8726" t="s">
        <v>3053</v>
      </c>
      <c r="F8726" t="s">
        <v>796</v>
      </c>
      <c r="G8726" t="s">
        <v>797</v>
      </c>
      <c r="H8726" t="s">
        <v>8885</v>
      </c>
      <c r="I8726">
        <v>8</v>
      </c>
      <c r="J8726">
        <v>0</v>
      </c>
      <c r="K8726">
        <v>0</v>
      </c>
      <c r="L8726">
        <v>8</v>
      </c>
      <c r="M8726">
        <v>0</v>
      </c>
      <c r="N8726">
        <v>0</v>
      </c>
      <c r="O8726">
        <v>0</v>
      </c>
    </row>
    <row r="8727" spans="1:15" x14ac:dyDescent="0.25">
      <c r="A8727" t="s">
        <v>951</v>
      </c>
      <c r="B8727" t="s">
        <v>2680</v>
      </c>
      <c r="C8727" t="s">
        <v>927</v>
      </c>
      <c r="D8727" t="s">
        <v>3052</v>
      </c>
      <c r="E8727" t="s">
        <v>3053</v>
      </c>
      <c r="F8727" t="s">
        <v>796</v>
      </c>
      <c r="G8727" t="s">
        <v>797</v>
      </c>
      <c r="H8727" t="s">
        <v>8886</v>
      </c>
      <c r="I8727">
        <v>11</v>
      </c>
      <c r="J8727">
        <v>11</v>
      </c>
      <c r="K8727">
        <v>0</v>
      </c>
      <c r="L8727">
        <v>0</v>
      </c>
      <c r="M8727">
        <v>0</v>
      </c>
      <c r="N8727">
        <v>0</v>
      </c>
      <c r="O8727">
        <v>0</v>
      </c>
    </row>
    <row r="8728" spans="1:15" x14ac:dyDescent="0.25">
      <c r="A8728" t="s">
        <v>1051</v>
      </c>
      <c r="B8728" t="s">
        <v>2995</v>
      </c>
      <c r="C8728" t="s">
        <v>927</v>
      </c>
      <c r="D8728" t="s">
        <v>3052</v>
      </c>
      <c r="E8728" t="s">
        <v>3053</v>
      </c>
      <c r="F8728" t="s">
        <v>796</v>
      </c>
      <c r="G8728" t="s">
        <v>797</v>
      </c>
      <c r="H8728" t="s">
        <v>8887</v>
      </c>
      <c r="I8728">
        <v>29</v>
      </c>
      <c r="J8728">
        <v>0</v>
      </c>
      <c r="K8728">
        <v>0</v>
      </c>
      <c r="L8728">
        <v>29</v>
      </c>
      <c r="M8728">
        <v>0</v>
      </c>
      <c r="N8728">
        <v>0</v>
      </c>
      <c r="O8728">
        <v>0</v>
      </c>
    </row>
    <row r="8729" spans="1:15" x14ac:dyDescent="0.25">
      <c r="A8729" t="s">
        <v>1529</v>
      </c>
      <c r="B8729" t="s">
        <v>1954</v>
      </c>
      <c r="C8729" t="s">
        <v>927</v>
      </c>
      <c r="D8729" t="s">
        <v>3052</v>
      </c>
      <c r="E8729" t="s">
        <v>3053</v>
      </c>
      <c r="F8729" t="s">
        <v>796</v>
      </c>
      <c r="G8729" t="s">
        <v>797</v>
      </c>
      <c r="H8729" t="s">
        <v>8888</v>
      </c>
      <c r="I8729">
        <v>78</v>
      </c>
      <c r="J8729">
        <v>78</v>
      </c>
      <c r="K8729">
        <v>0</v>
      </c>
      <c r="L8729">
        <v>0</v>
      </c>
      <c r="M8729">
        <v>0</v>
      </c>
      <c r="N8729">
        <v>0</v>
      </c>
      <c r="O8729">
        <v>0</v>
      </c>
    </row>
    <row r="8730" spans="1:15" x14ac:dyDescent="0.25">
      <c r="A8730" t="s">
        <v>11720</v>
      </c>
      <c r="B8730" t="s">
        <v>10718</v>
      </c>
      <c r="C8730" t="s">
        <v>927</v>
      </c>
      <c r="D8730" t="s">
        <v>3052</v>
      </c>
      <c r="E8730" t="s">
        <v>3053</v>
      </c>
      <c r="F8730" t="s">
        <v>796</v>
      </c>
      <c r="G8730" t="s">
        <v>797</v>
      </c>
      <c r="H8730" t="s">
        <v>15361</v>
      </c>
      <c r="I8730">
        <v>2</v>
      </c>
      <c r="J8730">
        <v>0</v>
      </c>
      <c r="K8730">
        <v>0</v>
      </c>
      <c r="L8730">
        <v>0</v>
      </c>
      <c r="M8730">
        <v>0</v>
      </c>
      <c r="N8730">
        <v>0</v>
      </c>
      <c r="O8730">
        <v>2</v>
      </c>
    </row>
    <row r="8731" spans="1:15" x14ac:dyDescent="0.25">
      <c r="A8731" t="s">
        <v>1532</v>
      </c>
      <c r="B8731" t="s">
        <v>1936</v>
      </c>
      <c r="C8731" t="s">
        <v>927</v>
      </c>
      <c r="D8731" t="s">
        <v>3052</v>
      </c>
      <c r="E8731" t="s">
        <v>3053</v>
      </c>
      <c r="F8731" t="s">
        <v>796</v>
      </c>
      <c r="G8731" t="s">
        <v>797</v>
      </c>
      <c r="H8731" t="s">
        <v>15362</v>
      </c>
      <c r="I8731">
        <v>24</v>
      </c>
      <c r="J8731">
        <v>24</v>
      </c>
      <c r="K8731">
        <v>0</v>
      </c>
      <c r="L8731">
        <v>0</v>
      </c>
      <c r="M8731">
        <v>0</v>
      </c>
      <c r="N8731">
        <v>0</v>
      </c>
      <c r="O8731">
        <v>0</v>
      </c>
    </row>
    <row r="8732" spans="1:15" x14ac:dyDescent="0.25">
      <c r="A8732" t="s">
        <v>1056</v>
      </c>
      <c r="B8732" t="s">
        <v>2966</v>
      </c>
      <c r="C8732" t="s">
        <v>927</v>
      </c>
      <c r="D8732" t="s">
        <v>3052</v>
      </c>
      <c r="E8732" t="s">
        <v>3053</v>
      </c>
      <c r="F8732" t="s">
        <v>796</v>
      </c>
      <c r="G8732" t="s">
        <v>797</v>
      </c>
      <c r="H8732" t="s">
        <v>8889</v>
      </c>
      <c r="I8732">
        <v>24</v>
      </c>
      <c r="J8732">
        <v>0</v>
      </c>
      <c r="K8732">
        <v>0</v>
      </c>
      <c r="L8732">
        <v>0</v>
      </c>
      <c r="M8732">
        <v>24</v>
      </c>
      <c r="N8732">
        <v>0</v>
      </c>
      <c r="O8732">
        <v>0</v>
      </c>
    </row>
    <row r="8733" spans="1:15" x14ac:dyDescent="0.25">
      <c r="A8733" t="s">
        <v>11698</v>
      </c>
      <c r="B8733" t="s">
        <v>11765</v>
      </c>
      <c r="C8733" t="s">
        <v>923</v>
      </c>
      <c r="D8733" t="s">
        <v>3063</v>
      </c>
      <c r="E8733" t="s">
        <v>3053</v>
      </c>
      <c r="F8733" t="s">
        <v>796</v>
      </c>
      <c r="G8733" t="s">
        <v>797</v>
      </c>
      <c r="H8733" t="s">
        <v>12438</v>
      </c>
      <c r="I8733">
        <v>3</v>
      </c>
      <c r="J8733">
        <v>0</v>
      </c>
      <c r="K8733">
        <v>0</v>
      </c>
      <c r="L8733">
        <v>3</v>
      </c>
      <c r="M8733">
        <v>0</v>
      </c>
      <c r="N8733">
        <v>0</v>
      </c>
      <c r="O8733">
        <v>0</v>
      </c>
    </row>
    <row r="8734" spans="1:15" x14ac:dyDescent="0.25">
      <c r="A8734" t="s">
        <v>1541</v>
      </c>
      <c r="B8734" t="s">
        <v>2890</v>
      </c>
      <c r="C8734" t="s">
        <v>927</v>
      </c>
      <c r="D8734" t="s">
        <v>3052</v>
      </c>
      <c r="E8734" t="s">
        <v>3053</v>
      </c>
      <c r="F8734" t="s">
        <v>796</v>
      </c>
      <c r="G8734" t="s">
        <v>797</v>
      </c>
      <c r="H8734" t="s">
        <v>12439</v>
      </c>
      <c r="I8734">
        <v>62</v>
      </c>
      <c r="J8734">
        <v>0</v>
      </c>
      <c r="K8734">
        <v>0</v>
      </c>
      <c r="L8734">
        <v>0</v>
      </c>
      <c r="M8734">
        <v>0</v>
      </c>
      <c r="N8734">
        <v>0</v>
      </c>
      <c r="O8734">
        <v>62</v>
      </c>
    </row>
    <row r="8735" spans="1:15" x14ac:dyDescent="0.25">
      <c r="A8735" t="s">
        <v>1069</v>
      </c>
      <c r="B8735" t="s">
        <v>2001</v>
      </c>
      <c r="C8735" t="s">
        <v>927</v>
      </c>
      <c r="D8735" t="s">
        <v>3052</v>
      </c>
      <c r="E8735" t="s">
        <v>3053</v>
      </c>
      <c r="F8735" t="s">
        <v>796</v>
      </c>
      <c r="G8735" t="s">
        <v>797</v>
      </c>
      <c r="H8735" t="s">
        <v>8890</v>
      </c>
      <c r="I8735">
        <v>313</v>
      </c>
      <c r="J8735">
        <v>257</v>
      </c>
      <c r="K8735">
        <v>0</v>
      </c>
      <c r="L8735">
        <v>0</v>
      </c>
      <c r="M8735">
        <v>28</v>
      </c>
      <c r="N8735">
        <v>0</v>
      </c>
      <c r="O8735">
        <v>28</v>
      </c>
    </row>
    <row r="8736" spans="1:15" x14ac:dyDescent="0.25">
      <c r="A8736" t="s">
        <v>1072</v>
      </c>
      <c r="B8736" t="s">
        <v>2907</v>
      </c>
      <c r="C8736" t="s">
        <v>927</v>
      </c>
      <c r="D8736" t="s">
        <v>3052</v>
      </c>
      <c r="E8736" t="s">
        <v>3053</v>
      </c>
      <c r="F8736" t="s">
        <v>796</v>
      </c>
      <c r="G8736" t="s">
        <v>797</v>
      </c>
      <c r="H8736" t="s">
        <v>8891</v>
      </c>
      <c r="I8736">
        <v>66</v>
      </c>
      <c r="J8736">
        <v>66</v>
      </c>
      <c r="K8736">
        <v>0</v>
      </c>
      <c r="L8736">
        <v>0</v>
      </c>
      <c r="M8736">
        <v>0</v>
      </c>
      <c r="N8736">
        <v>0</v>
      </c>
      <c r="O8736">
        <v>0</v>
      </c>
    </row>
    <row r="8737" spans="1:15" x14ac:dyDescent="0.25">
      <c r="A8737" t="s">
        <v>11699</v>
      </c>
      <c r="B8737" t="s">
        <v>2840</v>
      </c>
      <c r="C8737" t="s">
        <v>927</v>
      </c>
      <c r="D8737" t="s">
        <v>3052</v>
      </c>
      <c r="E8737" t="s">
        <v>3053</v>
      </c>
      <c r="F8737" t="s">
        <v>796</v>
      </c>
      <c r="G8737" t="s">
        <v>797</v>
      </c>
      <c r="H8737" t="s">
        <v>12440</v>
      </c>
      <c r="I8737">
        <v>39</v>
      </c>
      <c r="J8737">
        <v>39</v>
      </c>
      <c r="K8737">
        <v>0</v>
      </c>
      <c r="L8737">
        <v>0</v>
      </c>
      <c r="M8737">
        <v>0</v>
      </c>
      <c r="N8737">
        <v>0</v>
      </c>
      <c r="O8737">
        <v>0</v>
      </c>
    </row>
    <row r="8738" spans="1:15" x14ac:dyDescent="0.25">
      <c r="A8738" t="s">
        <v>1083</v>
      </c>
      <c r="B8738" t="s">
        <v>2757</v>
      </c>
      <c r="C8738" t="s">
        <v>927</v>
      </c>
      <c r="D8738" t="s">
        <v>3052</v>
      </c>
      <c r="E8738" t="s">
        <v>3053</v>
      </c>
      <c r="F8738" t="s">
        <v>796</v>
      </c>
      <c r="G8738" t="s">
        <v>797</v>
      </c>
      <c r="H8738" t="s">
        <v>8892</v>
      </c>
      <c r="I8738">
        <v>1880</v>
      </c>
      <c r="J8738">
        <v>1711</v>
      </c>
      <c r="K8738">
        <v>0</v>
      </c>
      <c r="L8738">
        <v>0</v>
      </c>
      <c r="M8738">
        <v>59</v>
      </c>
      <c r="N8738">
        <v>2</v>
      </c>
      <c r="O8738">
        <v>110</v>
      </c>
    </row>
    <row r="8739" spans="1:15" x14ac:dyDescent="0.25">
      <c r="A8739" t="s">
        <v>1195</v>
      </c>
      <c r="B8739" t="s">
        <v>2924</v>
      </c>
      <c r="C8739" t="s">
        <v>927</v>
      </c>
      <c r="D8739" t="s">
        <v>3052</v>
      </c>
      <c r="E8739" t="s">
        <v>3053</v>
      </c>
      <c r="F8739" t="s">
        <v>798</v>
      </c>
      <c r="G8739" t="s">
        <v>799</v>
      </c>
      <c r="H8739" t="s">
        <v>8893</v>
      </c>
      <c r="I8739">
        <v>11</v>
      </c>
      <c r="J8739">
        <v>0</v>
      </c>
      <c r="K8739">
        <v>0</v>
      </c>
      <c r="L8739">
        <v>11</v>
      </c>
      <c r="M8739">
        <v>0</v>
      </c>
      <c r="N8739">
        <v>0</v>
      </c>
      <c r="O8739">
        <v>0</v>
      </c>
    </row>
    <row r="8740" spans="1:15" x14ac:dyDescent="0.25">
      <c r="A8740" t="s">
        <v>1565</v>
      </c>
      <c r="B8740" t="s">
        <v>2543</v>
      </c>
      <c r="C8740" t="s">
        <v>923</v>
      </c>
      <c r="D8740" t="s">
        <v>3063</v>
      </c>
      <c r="E8740" t="s">
        <v>3053</v>
      </c>
      <c r="F8740" t="s">
        <v>798</v>
      </c>
      <c r="G8740" t="s">
        <v>799</v>
      </c>
      <c r="H8740" t="s">
        <v>8894</v>
      </c>
      <c r="I8740">
        <v>14</v>
      </c>
      <c r="J8740">
        <v>0</v>
      </c>
      <c r="K8740">
        <v>0</v>
      </c>
      <c r="L8740">
        <v>14</v>
      </c>
      <c r="M8740">
        <v>0</v>
      </c>
      <c r="N8740">
        <v>0</v>
      </c>
      <c r="O8740">
        <v>0</v>
      </c>
    </row>
    <row r="8741" spans="1:15" x14ac:dyDescent="0.25">
      <c r="A8741" t="s">
        <v>926</v>
      </c>
      <c r="B8741" t="s">
        <v>2923</v>
      </c>
      <c r="C8741" t="s">
        <v>927</v>
      </c>
      <c r="D8741" t="s">
        <v>3052</v>
      </c>
      <c r="E8741" t="s">
        <v>3053</v>
      </c>
      <c r="F8741" t="s">
        <v>798</v>
      </c>
      <c r="G8741" t="s">
        <v>799</v>
      </c>
      <c r="H8741" t="s">
        <v>8895</v>
      </c>
      <c r="I8741">
        <v>1</v>
      </c>
      <c r="J8741">
        <v>0</v>
      </c>
      <c r="K8741">
        <v>0</v>
      </c>
      <c r="L8741">
        <v>0</v>
      </c>
      <c r="M8741">
        <v>0</v>
      </c>
      <c r="N8741">
        <v>0</v>
      </c>
      <c r="O8741">
        <v>1</v>
      </c>
    </row>
    <row r="8742" spans="1:15" x14ac:dyDescent="0.25">
      <c r="A8742" t="s">
        <v>929</v>
      </c>
      <c r="B8742" t="s">
        <v>2999</v>
      </c>
      <c r="C8742" t="s">
        <v>927</v>
      </c>
      <c r="D8742" t="s">
        <v>3052</v>
      </c>
      <c r="E8742" t="s">
        <v>3053</v>
      </c>
      <c r="F8742" t="s">
        <v>798</v>
      </c>
      <c r="G8742" t="s">
        <v>799</v>
      </c>
      <c r="H8742" t="s">
        <v>8896</v>
      </c>
      <c r="I8742">
        <v>24</v>
      </c>
      <c r="J8742">
        <v>0</v>
      </c>
      <c r="K8742">
        <v>0</v>
      </c>
      <c r="L8742">
        <v>0</v>
      </c>
      <c r="M8742">
        <v>24</v>
      </c>
      <c r="N8742">
        <v>0</v>
      </c>
      <c r="O8742">
        <v>0</v>
      </c>
    </row>
    <row r="8743" spans="1:15" x14ac:dyDescent="0.25">
      <c r="A8743" t="s">
        <v>1578</v>
      </c>
      <c r="B8743" t="s">
        <v>2282</v>
      </c>
      <c r="C8743" t="s">
        <v>923</v>
      </c>
      <c r="D8743" t="s">
        <v>3063</v>
      </c>
      <c r="E8743" t="s">
        <v>3053</v>
      </c>
      <c r="F8743" t="s">
        <v>798</v>
      </c>
      <c r="G8743" t="s">
        <v>799</v>
      </c>
      <c r="H8743" t="s">
        <v>8897</v>
      </c>
      <c r="I8743">
        <v>9</v>
      </c>
      <c r="J8743">
        <v>9</v>
      </c>
      <c r="K8743">
        <v>0</v>
      </c>
      <c r="L8743">
        <v>0</v>
      </c>
      <c r="M8743">
        <v>0</v>
      </c>
      <c r="N8743">
        <v>0</v>
      </c>
      <c r="O8743">
        <v>0</v>
      </c>
    </row>
    <row r="8744" spans="1:15" x14ac:dyDescent="0.25">
      <c r="A8744" t="s">
        <v>933</v>
      </c>
      <c r="B8744" t="s">
        <v>2106</v>
      </c>
      <c r="C8744" t="s">
        <v>927</v>
      </c>
      <c r="D8744" t="s">
        <v>3052</v>
      </c>
      <c r="E8744" t="s">
        <v>3053</v>
      </c>
      <c r="F8744" t="s">
        <v>798</v>
      </c>
      <c r="G8744" t="s">
        <v>799</v>
      </c>
      <c r="H8744" t="s">
        <v>8898</v>
      </c>
      <c r="I8744">
        <v>76</v>
      </c>
      <c r="J8744">
        <v>51</v>
      </c>
      <c r="K8744">
        <v>0</v>
      </c>
      <c r="L8744">
        <v>0</v>
      </c>
      <c r="M8744">
        <v>25</v>
      </c>
      <c r="N8744">
        <v>1</v>
      </c>
      <c r="O8744">
        <v>0</v>
      </c>
    </row>
    <row r="8745" spans="1:15" x14ac:dyDescent="0.25">
      <c r="A8745" t="s">
        <v>1105</v>
      </c>
      <c r="B8745" t="s">
        <v>2918</v>
      </c>
      <c r="C8745" t="s">
        <v>923</v>
      </c>
      <c r="D8745" t="s">
        <v>3063</v>
      </c>
      <c r="E8745" t="s">
        <v>3053</v>
      </c>
      <c r="F8745" t="s">
        <v>798</v>
      </c>
      <c r="G8745" t="s">
        <v>799</v>
      </c>
      <c r="H8745" t="s">
        <v>8899</v>
      </c>
      <c r="I8745">
        <v>16</v>
      </c>
      <c r="J8745">
        <v>16</v>
      </c>
      <c r="K8745">
        <v>0</v>
      </c>
      <c r="L8745">
        <v>0</v>
      </c>
      <c r="M8745">
        <v>0</v>
      </c>
      <c r="N8745">
        <v>0</v>
      </c>
      <c r="O8745">
        <v>0</v>
      </c>
    </row>
    <row r="8746" spans="1:15" x14ac:dyDescent="0.25">
      <c r="A8746" t="s">
        <v>1598</v>
      </c>
      <c r="B8746" t="s">
        <v>2341</v>
      </c>
      <c r="C8746" t="s">
        <v>923</v>
      </c>
      <c r="D8746" t="s">
        <v>3063</v>
      </c>
      <c r="E8746" t="s">
        <v>3053</v>
      </c>
      <c r="F8746" t="s">
        <v>798</v>
      </c>
      <c r="G8746" t="s">
        <v>799</v>
      </c>
      <c r="H8746" t="s">
        <v>8900</v>
      </c>
      <c r="I8746">
        <v>14</v>
      </c>
      <c r="J8746">
        <v>0</v>
      </c>
      <c r="K8746">
        <v>0</v>
      </c>
      <c r="L8746">
        <v>0</v>
      </c>
      <c r="M8746">
        <v>14</v>
      </c>
      <c r="N8746">
        <v>0</v>
      </c>
      <c r="O8746">
        <v>0</v>
      </c>
    </row>
    <row r="8747" spans="1:15" x14ac:dyDescent="0.25">
      <c r="A8747" t="s">
        <v>998</v>
      </c>
      <c r="B8747" t="s">
        <v>2820</v>
      </c>
      <c r="C8747" t="s">
        <v>927</v>
      </c>
      <c r="D8747" t="s">
        <v>3052</v>
      </c>
      <c r="E8747" t="s">
        <v>3053</v>
      </c>
      <c r="F8747" t="s">
        <v>798</v>
      </c>
      <c r="G8747" t="s">
        <v>799</v>
      </c>
      <c r="H8747" t="s">
        <v>8901</v>
      </c>
      <c r="I8747">
        <v>29</v>
      </c>
      <c r="J8747">
        <v>20</v>
      </c>
      <c r="K8747">
        <v>0</v>
      </c>
      <c r="L8747">
        <v>0</v>
      </c>
      <c r="M8747">
        <v>0</v>
      </c>
      <c r="N8747">
        <v>0</v>
      </c>
      <c r="O8747">
        <v>9</v>
      </c>
    </row>
    <row r="8748" spans="1:15" x14ac:dyDescent="0.25">
      <c r="A8748" t="s">
        <v>10638</v>
      </c>
      <c r="B8748" t="s">
        <v>2057</v>
      </c>
      <c r="C8748" t="s">
        <v>927</v>
      </c>
      <c r="D8748" t="s">
        <v>3052</v>
      </c>
      <c r="E8748" t="s">
        <v>3053</v>
      </c>
      <c r="F8748" t="s">
        <v>798</v>
      </c>
      <c r="G8748" t="s">
        <v>799</v>
      </c>
      <c r="H8748" t="s">
        <v>11419</v>
      </c>
      <c r="I8748">
        <v>7</v>
      </c>
      <c r="J8748">
        <v>0</v>
      </c>
      <c r="K8748">
        <v>0</v>
      </c>
      <c r="L8748">
        <v>7</v>
      </c>
      <c r="M8748">
        <v>0</v>
      </c>
      <c r="N8748">
        <v>0</v>
      </c>
      <c r="O8748">
        <v>0</v>
      </c>
    </row>
    <row r="8749" spans="1:15" x14ac:dyDescent="0.25">
      <c r="A8749" t="s">
        <v>1249</v>
      </c>
      <c r="B8749" t="s">
        <v>3029</v>
      </c>
      <c r="C8749" t="s">
        <v>927</v>
      </c>
      <c r="D8749" t="s">
        <v>3052</v>
      </c>
      <c r="E8749" t="s">
        <v>3053</v>
      </c>
      <c r="F8749" t="s">
        <v>798</v>
      </c>
      <c r="G8749" t="s">
        <v>799</v>
      </c>
      <c r="H8749" t="s">
        <v>8902</v>
      </c>
      <c r="I8749">
        <v>74</v>
      </c>
      <c r="J8749">
        <v>31</v>
      </c>
      <c r="K8749">
        <v>0</v>
      </c>
      <c r="L8749">
        <v>0</v>
      </c>
      <c r="M8749">
        <v>0</v>
      </c>
      <c r="N8749">
        <v>0</v>
      </c>
      <c r="O8749">
        <v>43</v>
      </c>
    </row>
    <row r="8750" spans="1:15" x14ac:dyDescent="0.25">
      <c r="A8750" t="s">
        <v>1008</v>
      </c>
      <c r="B8750" t="s">
        <v>2928</v>
      </c>
      <c r="C8750" t="s">
        <v>927</v>
      </c>
      <c r="D8750" t="s">
        <v>3052</v>
      </c>
      <c r="E8750" t="s">
        <v>3053</v>
      </c>
      <c r="F8750" t="s">
        <v>798</v>
      </c>
      <c r="G8750" t="s">
        <v>799</v>
      </c>
      <c r="H8750" t="s">
        <v>8903</v>
      </c>
      <c r="I8750">
        <v>38</v>
      </c>
      <c r="J8750">
        <v>29</v>
      </c>
      <c r="K8750">
        <v>0</v>
      </c>
      <c r="L8750">
        <v>8</v>
      </c>
      <c r="M8750">
        <v>1</v>
      </c>
      <c r="N8750">
        <v>1</v>
      </c>
      <c r="O8750">
        <v>0</v>
      </c>
    </row>
    <row r="8751" spans="1:15" x14ac:dyDescent="0.25">
      <c r="A8751" t="s">
        <v>1010</v>
      </c>
      <c r="B8751" t="s">
        <v>2639</v>
      </c>
      <c r="C8751" t="s">
        <v>927</v>
      </c>
      <c r="D8751" t="s">
        <v>3052</v>
      </c>
      <c r="E8751" t="s">
        <v>3053</v>
      </c>
      <c r="F8751" t="s">
        <v>798</v>
      </c>
      <c r="G8751" t="s">
        <v>799</v>
      </c>
      <c r="H8751" t="s">
        <v>8904</v>
      </c>
      <c r="I8751">
        <v>48</v>
      </c>
      <c r="J8751">
        <v>46</v>
      </c>
      <c r="K8751">
        <v>0</v>
      </c>
      <c r="L8751">
        <v>0</v>
      </c>
      <c r="M8751">
        <v>0</v>
      </c>
      <c r="N8751">
        <v>0</v>
      </c>
      <c r="O8751">
        <v>2</v>
      </c>
    </row>
    <row r="8752" spans="1:15" x14ac:dyDescent="0.25">
      <c r="A8752" t="s">
        <v>1614</v>
      </c>
      <c r="B8752" t="s">
        <v>2707</v>
      </c>
      <c r="C8752" t="s">
        <v>923</v>
      </c>
      <c r="D8752" t="s">
        <v>3063</v>
      </c>
      <c r="E8752" t="s">
        <v>3053</v>
      </c>
      <c r="F8752" t="s">
        <v>798</v>
      </c>
      <c r="G8752" t="s">
        <v>799</v>
      </c>
      <c r="H8752" t="s">
        <v>8905</v>
      </c>
      <c r="I8752">
        <v>100</v>
      </c>
      <c r="J8752">
        <v>100</v>
      </c>
      <c r="K8752">
        <v>0</v>
      </c>
      <c r="L8752">
        <v>0</v>
      </c>
      <c r="M8752">
        <v>0</v>
      </c>
      <c r="N8752">
        <v>0</v>
      </c>
      <c r="O8752">
        <v>0</v>
      </c>
    </row>
    <row r="8753" spans="1:15" x14ac:dyDescent="0.25">
      <c r="A8753" t="s">
        <v>937</v>
      </c>
      <c r="B8753" t="s">
        <v>1962</v>
      </c>
      <c r="C8753" t="s">
        <v>927</v>
      </c>
      <c r="D8753" t="s">
        <v>3052</v>
      </c>
      <c r="E8753" t="s">
        <v>3053</v>
      </c>
      <c r="F8753" t="s">
        <v>798</v>
      </c>
      <c r="G8753" t="s">
        <v>799</v>
      </c>
      <c r="H8753" t="s">
        <v>10104</v>
      </c>
      <c r="I8753">
        <v>22</v>
      </c>
      <c r="J8753">
        <v>0</v>
      </c>
      <c r="K8753">
        <v>0</v>
      </c>
      <c r="L8753">
        <v>0</v>
      </c>
      <c r="M8753">
        <v>0</v>
      </c>
      <c r="N8753">
        <v>0</v>
      </c>
      <c r="O8753">
        <v>22</v>
      </c>
    </row>
    <row r="8754" spans="1:15" x14ac:dyDescent="0.25">
      <c r="A8754" t="s">
        <v>938</v>
      </c>
      <c r="B8754" t="s">
        <v>2791</v>
      </c>
      <c r="C8754" t="s">
        <v>927</v>
      </c>
      <c r="D8754" t="s">
        <v>3052</v>
      </c>
      <c r="E8754" t="s">
        <v>3053</v>
      </c>
      <c r="F8754" t="s">
        <v>798</v>
      </c>
      <c r="G8754" t="s">
        <v>799</v>
      </c>
      <c r="H8754" t="s">
        <v>8906</v>
      </c>
      <c r="I8754">
        <v>153</v>
      </c>
      <c r="J8754">
        <v>153</v>
      </c>
      <c r="K8754">
        <v>0</v>
      </c>
      <c r="L8754">
        <v>0</v>
      </c>
      <c r="M8754">
        <v>0</v>
      </c>
      <c r="N8754">
        <v>1</v>
      </c>
      <c r="O8754">
        <v>0</v>
      </c>
    </row>
    <row r="8755" spans="1:15" x14ac:dyDescent="0.25">
      <c r="A8755" t="s">
        <v>1012</v>
      </c>
      <c r="B8755" t="s">
        <v>2911</v>
      </c>
      <c r="C8755" t="s">
        <v>927</v>
      </c>
      <c r="D8755" t="s">
        <v>3052</v>
      </c>
      <c r="E8755" t="s">
        <v>3053</v>
      </c>
      <c r="F8755" t="s">
        <v>798</v>
      </c>
      <c r="G8755" t="s">
        <v>799</v>
      </c>
      <c r="H8755" t="s">
        <v>8907</v>
      </c>
      <c r="I8755">
        <v>142</v>
      </c>
      <c r="J8755">
        <v>120</v>
      </c>
      <c r="K8755">
        <v>0</v>
      </c>
      <c r="L8755">
        <v>0</v>
      </c>
      <c r="M8755">
        <v>14</v>
      </c>
      <c r="N8755">
        <v>0</v>
      </c>
      <c r="O8755">
        <v>8</v>
      </c>
    </row>
    <row r="8756" spans="1:15" x14ac:dyDescent="0.25">
      <c r="A8756" t="s">
        <v>945</v>
      </c>
      <c r="B8756" t="s">
        <v>2668</v>
      </c>
      <c r="C8756" t="s">
        <v>927</v>
      </c>
      <c r="D8756" t="s">
        <v>3052</v>
      </c>
      <c r="E8756" t="s">
        <v>3053</v>
      </c>
      <c r="F8756" t="s">
        <v>798</v>
      </c>
      <c r="G8756" t="s">
        <v>799</v>
      </c>
      <c r="H8756" t="s">
        <v>8908</v>
      </c>
      <c r="I8756">
        <v>605</v>
      </c>
      <c r="J8756">
        <v>296</v>
      </c>
      <c r="K8756">
        <v>0</v>
      </c>
      <c r="L8756">
        <v>47</v>
      </c>
      <c r="M8756">
        <v>29</v>
      </c>
      <c r="N8756">
        <v>0</v>
      </c>
      <c r="O8756">
        <v>233</v>
      </c>
    </row>
    <row r="8757" spans="1:15" x14ac:dyDescent="0.25">
      <c r="A8757" t="s">
        <v>1135</v>
      </c>
      <c r="B8757" t="s">
        <v>1996</v>
      </c>
      <c r="C8757" t="s">
        <v>923</v>
      </c>
      <c r="D8757" t="s">
        <v>3063</v>
      </c>
      <c r="E8757" t="s">
        <v>3053</v>
      </c>
      <c r="F8757" t="s">
        <v>798</v>
      </c>
      <c r="G8757" t="s">
        <v>799</v>
      </c>
      <c r="H8757" t="s">
        <v>10225</v>
      </c>
      <c r="I8757">
        <v>2</v>
      </c>
      <c r="J8757">
        <v>2</v>
      </c>
      <c r="K8757">
        <v>0</v>
      </c>
      <c r="L8757">
        <v>0</v>
      </c>
      <c r="M8757">
        <v>0</v>
      </c>
      <c r="N8757">
        <v>0</v>
      </c>
      <c r="O8757">
        <v>0</v>
      </c>
    </row>
    <row r="8758" spans="1:15" x14ac:dyDescent="0.25">
      <c r="A8758" t="s">
        <v>1041</v>
      </c>
      <c r="B8758" t="s">
        <v>2826</v>
      </c>
      <c r="C8758" t="s">
        <v>927</v>
      </c>
      <c r="D8758" t="s">
        <v>3052</v>
      </c>
      <c r="E8758" t="s">
        <v>3053</v>
      </c>
      <c r="F8758" t="s">
        <v>798</v>
      </c>
      <c r="G8758" t="s">
        <v>799</v>
      </c>
      <c r="H8758" t="s">
        <v>8909</v>
      </c>
      <c r="I8758">
        <v>8</v>
      </c>
      <c r="J8758">
        <v>0</v>
      </c>
      <c r="K8758">
        <v>0</v>
      </c>
      <c r="L8758">
        <v>0</v>
      </c>
      <c r="M8758">
        <v>0</v>
      </c>
      <c r="N8758">
        <v>0</v>
      </c>
      <c r="O8758">
        <v>8</v>
      </c>
    </row>
    <row r="8759" spans="1:15" x14ac:dyDescent="0.25">
      <c r="A8759" t="s">
        <v>9787</v>
      </c>
      <c r="B8759" t="s">
        <v>2822</v>
      </c>
      <c r="C8759" t="s">
        <v>927</v>
      </c>
      <c r="D8759" t="s">
        <v>3052</v>
      </c>
      <c r="E8759" t="s">
        <v>3053</v>
      </c>
      <c r="F8759" t="s">
        <v>798</v>
      </c>
      <c r="G8759" t="s">
        <v>799</v>
      </c>
      <c r="H8759" t="s">
        <v>10287</v>
      </c>
      <c r="I8759">
        <v>206</v>
      </c>
      <c r="J8759">
        <v>206</v>
      </c>
      <c r="K8759">
        <v>0</v>
      </c>
      <c r="L8759">
        <v>0</v>
      </c>
      <c r="M8759">
        <v>0</v>
      </c>
      <c r="N8759">
        <v>2</v>
      </c>
      <c r="O8759">
        <v>0</v>
      </c>
    </row>
    <row r="8760" spans="1:15" x14ac:dyDescent="0.25">
      <c r="A8760" t="s">
        <v>1044</v>
      </c>
      <c r="B8760" t="s">
        <v>2000</v>
      </c>
      <c r="C8760" t="s">
        <v>923</v>
      </c>
      <c r="D8760" t="s">
        <v>3063</v>
      </c>
      <c r="E8760" t="s">
        <v>3053</v>
      </c>
      <c r="F8760" t="s">
        <v>798</v>
      </c>
      <c r="G8760" t="s">
        <v>799</v>
      </c>
      <c r="H8760" t="s">
        <v>8910</v>
      </c>
      <c r="I8760">
        <v>22</v>
      </c>
      <c r="J8760">
        <v>0</v>
      </c>
      <c r="K8760">
        <v>0</v>
      </c>
      <c r="L8760">
        <v>22</v>
      </c>
      <c r="M8760">
        <v>0</v>
      </c>
      <c r="N8760">
        <v>0</v>
      </c>
      <c r="O8760">
        <v>0</v>
      </c>
    </row>
    <row r="8761" spans="1:15" x14ac:dyDescent="0.25">
      <c r="A8761" t="s">
        <v>1144</v>
      </c>
      <c r="B8761" t="s">
        <v>2124</v>
      </c>
      <c r="C8761" t="s">
        <v>923</v>
      </c>
      <c r="D8761" t="s">
        <v>3063</v>
      </c>
      <c r="E8761" t="s">
        <v>3053</v>
      </c>
      <c r="F8761" t="s">
        <v>798</v>
      </c>
      <c r="G8761" t="s">
        <v>799</v>
      </c>
      <c r="H8761" t="s">
        <v>12441</v>
      </c>
      <c r="I8761">
        <v>4</v>
      </c>
      <c r="J8761">
        <v>4</v>
      </c>
      <c r="K8761">
        <v>0</v>
      </c>
      <c r="L8761">
        <v>0</v>
      </c>
      <c r="M8761">
        <v>0</v>
      </c>
      <c r="N8761">
        <v>0</v>
      </c>
      <c r="O8761">
        <v>0</v>
      </c>
    </row>
    <row r="8762" spans="1:15" x14ac:dyDescent="0.25">
      <c r="A8762" t="s">
        <v>1330</v>
      </c>
      <c r="B8762" t="s">
        <v>2776</v>
      </c>
      <c r="C8762" t="s">
        <v>923</v>
      </c>
      <c r="D8762" t="s">
        <v>3063</v>
      </c>
      <c r="E8762" t="s">
        <v>3053</v>
      </c>
      <c r="F8762" t="s">
        <v>798</v>
      </c>
      <c r="G8762" t="s">
        <v>799</v>
      </c>
      <c r="H8762" t="s">
        <v>8911</v>
      </c>
      <c r="I8762">
        <v>14</v>
      </c>
      <c r="J8762">
        <v>14</v>
      </c>
      <c r="K8762">
        <v>0</v>
      </c>
      <c r="L8762">
        <v>0</v>
      </c>
      <c r="M8762">
        <v>0</v>
      </c>
      <c r="N8762">
        <v>0</v>
      </c>
      <c r="O8762">
        <v>0</v>
      </c>
    </row>
    <row r="8763" spans="1:15" x14ac:dyDescent="0.25">
      <c r="A8763" t="s">
        <v>1331</v>
      </c>
      <c r="B8763" t="s">
        <v>2856</v>
      </c>
      <c r="C8763" t="s">
        <v>927</v>
      </c>
      <c r="D8763" t="s">
        <v>3052</v>
      </c>
      <c r="E8763" t="s">
        <v>3053</v>
      </c>
      <c r="F8763" t="s">
        <v>798</v>
      </c>
      <c r="G8763" t="s">
        <v>799</v>
      </c>
      <c r="H8763" t="s">
        <v>15363</v>
      </c>
      <c r="I8763">
        <v>12</v>
      </c>
      <c r="J8763">
        <v>0</v>
      </c>
      <c r="K8763">
        <v>0</v>
      </c>
      <c r="L8763">
        <v>0</v>
      </c>
      <c r="M8763">
        <v>0</v>
      </c>
      <c r="N8763">
        <v>0</v>
      </c>
      <c r="O8763">
        <v>12</v>
      </c>
    </row>
    <row r="8764" spans="1:15" x14ac:dyDescent="0.25">
      <c r="A8764" t="s">
        <v>11720</v>
      </c>
      <c r="B8764" t="s">
        <v>10718</v>
      </c>
      <c r="C8764" t="s">
        <v>927</v>
      </c>
      <c r="D8764" t="s">
        <v>3052</v>
      </c>
      <c r="E8764" t="s">
        <v>3053</v>
      </c>
      <c r="F8764" t="s">
        <v>798</v>
      </c>
      <c r="G8764" t="s">
        <v>799</v>
      </c>
      <c r="H8764" t="s">
        <v>15364</v>
      </c>
      <c r="I8764">
        <v>41</v>
      </c>
      <c r="J8764">
        <v>22</v>
      </c>
      <c r="K8764">
        <v>0</v>
      </c>
      <c r="L8764">
        <v>0</v>
      </c>
      <c r="M8764">
        <v>0</v>
      </c>
      <c r="N8764">
        <v>0</v>
      </c>
      <c r="O8764">
        <v>19</v>
      </c>
    </row>
    <row r="8765" spans="1:15" x14ac:dyDescent="0.25">
      <c r="A8765" t="s">
        <v>9788</v>
      </c>
      <c r="B8765" t="s">
        <v>9871</v>
      </c>
      <c r="C8765" t="s">
        <v>927</v>
      </c>
      <c r="D8765" t="s">
        <v>3052</v>
      </c>
      <c r="E8765" t="s">
        <v>3053</v>
      </c>
      <c r="F8765" t="s">
        <v>798</v>
      </c>
      <c r="G8765" t="s">
        <v>799</v>
      </c>
      <c r="H8765" t="s">
        <v>10385</v>
      </c>
      <c r="I8765">
        <v>73</v>
      </c>
      <c r="J8765">
        <v>73</v>
      </c>
      <c r="K8765">
        <v>0</v>
      </c>
      <c r="L8765">
        <v>0</v>
      </c>
      <c r="M8765">
        <v>0</v>
      </c>
      <c r="N8765">
        <v>0</v>
      </c>
      <c r="O8765">
        <v>0</v>
      </c>
    </row>
    <row r="8766" spans="1:15" x14ac:dyDescent="0.25">
      <c r="A8766" t="s">
        <v>1056</v>
      </c>
      <c r="B8766" t="s">
        <v>2966</v>
      </c>
      <c r="C8766" t="s">
        <v>927</v>
      </c>
      <c r="D8766" t="s">
        <v>3052</v>
      </c>
      <c r="E8766" t="s">
        <v>3053</v>
      </c>
      <c r="F8766" t="s">
        <v>798</v>
      </c>
      <c r="G8766" t="s">
        <v>799</v>
      </c>
      <c r="H8766" t="s">
        <v>8912</v>
      </c>
      <c r="I8766">
        <v>53</v>
      </c>
      <c r="J8766">
        <v>0</v>
      </c>
      <c r="K8766">
        <v>0</v>
      </c>
      <c r="L8766">
        <v>17</v>
      </c>
      <c r="M8766">
        <v>36</v>
      </c>
      <c r="N8766">
        <v>0</v>
      </c>
      <c r="O8766">
        <v>0</v>
      </c>
    </row>
    <row r="8767" spans="1:15" x14ac:dyDescent="0.25">
      <c r="A8767" t="s">
        <v>955</v>
      </c>
      <c r="B8767" t="s">
        <v>2660</v>
      </c>
      <c r="C8767" t="s">
        <v>927</v>
      </c>
      <c r="D8767" t="s">
        <v>3052</v>
      </c>
      <c r="E8767" t="s">
        <v>3053</v>
      </c>
      <c r="F8767" t="s">
        <v>798</v>
      </c>
      <c r="G8767" t="s">
        <v>799</v>
      </c>
      <c r="H8767" t="s">
        <v>8913</v>
      </c>
      <c r="I8767">
        <v>44</v>
      </c>
      <c r="J8767">
        <v>1</v>
      </c>
      <c r="K8767">
        <v>0</v>
      </c>
      <c r="L8767">
        <v>0</v>
      </c>
      <c r="M8767">
        <v>0</v>
      </c>
      <c r="N8767">
        <v>0</v>
      </c>
      <c r="O8767">
        <v>43</v>
      </c>
    </row>
    <row r="8768" spans="1:15" x14ac:dyDescent="0.25">
      <c r="A8768" t="s">
        <v>1656</v>
      </c>
      <c r="B8768" t="s">
        <v>2696</v>
      </c>
      <c r="C8768" t="s">
        <v>923</v>
      </c>
      <c r="D8768" t="s">
        <v>3063</v>
      </c>
      <c r="E8768" t="s">
        <v>3053</v>
      </c>
      <c r="F8768" t="s">
        <v>798</v>
      </c>
      <c r="G8768" t="s">
        <v>799</v>
      </c>
      <c r="H8768" t="s">
        <v>8914</v>
      </c>
      <c r="I8768">
        <v>93</v>
      </c>
      <c r="J8768">
        <v>0</v>
      </c>
      <c r="K8768">
        <v>0</v>
      </c>
      <c r="L8768">
        <v>0</v>
      </c>
      <c r="M8768">
        <v>93</v>
      </c>
      <c r="N8768">
        <v>0</v>
      </c>
      <c r="O8768">
        <v>0</v>
      </c>
    </row>
    <row r="8769" spans="1:15" x14ac:dyDescent="0.25">
      <c r="A8769" t="s">
        <v>14374</v>
      </c>
      <c r="B8769" t="s">
        <v>1943</v>
      </c>
      <c r="C8769" t="s">
        <v>927</v>
      </c>
      <c r="D8769" t="s">
        <v>3052</v>
      </c>
      <c r="E8769" t="s">
        <v>3053</v>
      </c>
      <c r="F8769" t="s">
        <v>798</v>
      </c>
      <c r="G8769" t="s">
        <v>799</v>
      </c>
      <c r="H8769" t="s">
        <v>15365</v>
      </c>
      <c r="I8769">
        <v>57</v>
      </c>
      <c r="J8769">
        <v>0</v>
      </c>
      <c r="K8769">
        <v>0</v>
      </c>
      <c r="L8769">
        <v>0</v>
      </c>
      <c r="M8769">
        <v>0</v>
      </c>
      <c r="N8769">
        <v>0</v>
      </c>
      <c r="O8769">
        <v>57</v>
      </c>
    </row>
    <row r="8770" spans="1:15" x14ac:dyDescent="0.25">
      <c r="A8770" t="s">
        <v>1680</v>
      </c>
      <c r="B8770" t="s">
        <v>2342</v>
      </c>
      <c r="C8770" t="s">
        <v>923</v>
      </c>
      <c r="D8770" t="s">
        <v>3063</v>
      </c>
      <c r="E8770" t="s">
        <v>3053</v>
      </c>
      <c r="F8770" t="s">
        <v>798</v>
      </c>
      <c r="G8770" t="s">
        <v>799</v>
      </c>
      <c r="H8770" t="s">
        <v>8915</v>
      </c>
      <c r="I8770">
        <v>16</v>
      </c>
      <c r="J8770">
        <v>16</v>
      </c>
      <c r="K8770">
        <v>0</v>
      </c>
      <c r="L8770">
        <v>0</v>
      </c>
      <c r="M8770">
        <v>0</v>
      </c>
      <c r="N8770">
        <v>0</v>
      </c>
      <c r="O8770">
        <v>0</v>
      </c>
    </row>
    <row r="8771" spans="1:15" x14ac:dyDescent="0.25">
      <c r="A8771" t="s">
        <v>1072</v>
      </c>
      <c r="B8771" t="s">
        <v>2907</v>
      </c>
      <c r="C8771" t="s">
        <v>927</v>
      </c>
      <c r="D8771" t="s">
        <v>3052</v>
      </c>
      <c r="E8771" t="s">
        <v>3053</v>
      </c>
      <c r="F8771" t="s">
        <v>798</v>
      </c>
      <c r="G8771" t="s">
        <v>799</v>
      </c>
      <c r="H8771" t="s">
        <v>8916</v>
      </c>
      <c r="I8771">
        <v>102</v>
      </c>
      <c r="J8771">
        <v>98</v>
      </c>
      <c r="K8771">
        <v>0</v>
      </c>
      <c r="L8771">
        <v>0</v>
      </c>
      <c r="M8771">
        <v>0</v>
      </c>
      <c r="N8771">
        <v>0</v>
      </c>
      <c r="O8771">
        <v>4</v>
      </c>
    </row>
    <row r="8772" spans="1:15" x14ac:dyDescent="0.25">
      <c r="A8772" t="s">
        <v>1684</v>
      </c>
      <c r="B8772" t="s">
        <v>2845</v>
      </c>
      <c r="C8772" t="s">
        <v>927</v>
      </c>
      <c r="D8772" t="s">
        <v>3052</v>
      </c>
      <c r="E8772" t="s">
        <v>3053</v>
      </c>
      <c r="F8772" t="s">
        <v>798</v>
      </c>
      <c r="G8772" t="s">
        <v>799</v>
      </c>
      <c r="H8772" t="s">
        <v>8917</v>
      </c>
      <c r="I8772">
        <v>5911</v>
      </c>
      <c r="J8772">
        <v>5200</v>
      </c>
      <c r="K8772">
        <v>0</v>
      </c>
      <c r="L8772">
        <v>18</v>
      </c>
      <c r="M8772">
        <v>486</v>
      </c>
      <c r="N8772">
        <v>5</v>
      </c>
      <c r="O8772">
        <v>207</v>
      </c>
    </row>
    <row r="8773" spans="1:15" x14ac:dyDescent="0.25">
      <c r="A8773" t="s">
        <v>1691</v>
      </c>
      <c r="B8773" t="s">
        <v>2980</v>
      </c>
      <c r="C8773" t="s">
        <v>927</v>
      </c>
      <c r="D8773" t="s">
        <v>3052</v>
      </c>
      <c r="E8773" t="s">
        <v>3053</v>
      </c>
      <c r="F8773" t="s">
        <v>798</v>
      </c>
      <c r="G8773" t="s">
        <v>799</v>
      </c>
      <c r="H8773" t="s">
        <v>8918</v>
      </c>
      <c r="I8773">
        <v>127</v>
      </c>
      <c r="J8773">
        <v>37</v>
      </c>
      <c r="K8773">
        <v>0</v>
      </c>
      <c r="L8773">
        <v>0</v>
      </c>
      <c r="M8773">
        <v>75</v>
      </c>
      <c r="N8773">
        <v>0</v>
      </c>
      <c r="O8773">
        <v>15</v>
      </c>
    </row>
    <row r="8774" spans="1:15" x14ac:dyDescent="0.25">
      <c r="A8774" t="s">
        <v>1080</v>
      </c>
      <c r="B8774" t="s">
        <v>2030</v>
      </c>
      <c r="C8774" t="s">
        <v>923</v>
      </c>
      <c r="D8774" t="s">
        <v>3063</v>
      </c>
      <c r="E8774" t="s">
        <v>3053</v>
      </c>
      <c r="F8774" t="s">
        <v>798</v>
      </c>
      <c r="G8774" t="s">
        <v>799</v>
      </c>
      <c r="H8774" t="s">
        <v>12442</v>
      </c>
      <c r="I8774">
        <v>12</v>
      </c>
      <c r="J8774">
        <v>0</v>
      </c>
      <c r="K8774">
        <v>0</v>
      </c>
      <c r="L8774">
        <v>12</v>
      </c>
      <c r="M8774">
        <v>0</v>
      </c>
      <c r="N8774">
        <v>0</v>
      </c>
      <c r="O8774">
        <v>0</v>
      </c>
    </row>
    <row r="8775" spans="1:15" x14ac:dyDescent="0.25">
      <c r="A8775" t="s">
        <v>1399</v>
      </c>
      <c r="B8775" t="s">
        <v>2903</v>
      </c>
      <c r="C8775" t="s">
        <v>923</v>
      </c>
      <c r="D8775" t="s">
        <v>3063</v>
      </c>
      <c r="E8775" t="s">
        <v>3053</v>
      </c>
      <c r="F8775" t="s">
        <v>798</v>
      </c>
      <c r="G8775" t="s">
        <v>799</v>
      </c>
      <c r="H8775" t="s">
        <v>12443</v>
      </c>
      <c r="I8775">
        <v>58</v>
      </c>
      <c r="J8775">
        <v>0</v>
      </c>
      <c r="K8775">
        <v>9</v>
      </c>
      <c r="L8775">
        <v>49</v>
      </c>
      <c r="M8775">
        <v>0</v>
      </c>
      <c r="N8775">
        <v>0</v>
      </c>
      <c r="O8775">
        <v>0</v>
      </c>
    </row>
    <row r="8776" spans="1:15" x14ac:dyDescent="0.25">
      <c r="A8776" t="s">
        <v>971</v>
      </c>
      <c r="B8776" t="s">
        <v>2956</v>
      </c>
      <c r="C8776" t="s">
        <v>927</v>
      </c>
      <c r="D8776" t="s">
        <v>3052</v>
      </c>
      <c r="E8776" t="s">
        <v>3053</v>
      </c>
      <c r="F8776" t="s">
        <v>800</v>
      </c>
      <c r="G8776" t="s">
        <v>801</v>
      </c>
      <c r="H8776" t="s">
        <v>15366</v>
      </c>
      <c r="I8776">
        <v>5</v>
      </c>
      <c r="J8776">
        <v>0</v>
      </c>
      <c r="K8776">
        <v>0</v>
      </c>
      <c r="L8776">
        <v>0</v>
      </c>
      <c r="M8776">
        <v>0</v>
      </c>
      <c r="N8776">
        <v>0</v>
      </c>
      <c r="O8776">
        <v>5</v>
      </c>
    </row>
    <row r="8777" spans="1:15" x14ac:dyDescent="0.25">
      <c r="A8777" t="s">
        <v>929</v>
      </c>
      <c r="B8777" t="s">
        <v>2999</v>
      </c>
      <c r="C8777" t="s">
        <v>927</v>
      </c>
      <c r="D8777" t="s">
        <v>3052</v>
      </c>
      <c r="E8777" t="s">
        <v>3053</v>
      </c>
      <c r="F8777" t="s">
        <v>800</v>
      </c>
      <c r="G8777" t="s">
        <v>801</v>
      </c>
      <c r="H8777" t="s">
        <v>8919</v>
      </c>
      <c r="I8777">
        <v>71</v>
      </c>
      <c r="J8777">
        <v>0</v>
      </c>
      <c r="K8777">
        <v>0</v>
      </c>
      <c r="L8777">
        <v>0</v>
      </c>
      <c r="M8777">
        <v>71</v>
      </c>
      <c r="N8777">
        <v>0</v>
      </c>
      <c r="O8777">
        <v>0</v>
      </c>
    </row>
    <row r="8778" spans="1:15" x14ac:dyDescent="0.25">
      <c r="A8778" t="s">
        <v>1090</v>
      </c>
      <c r="B8778" t="s">
        <v>2875</v>
      </c>
      <c r="C8778" t="s">
        <v>927</v>
      </c>
      <c r="D8778" t="s">
        <v>3052</v>
      </c>
      <c r="E8778" t="s">
        <v>3053</v>
      </c>
      <c r="F8778" t="s">
        <v>800</v>
      </c>
      <c r="G8778" t="s">
        <v>801</v>
      </c>
      <c r="H8778" t="s">
        <v>8920</v>
      </c>
      <c r="I8778">
        <v>59</v>
      </c>
      <c r="J8778">
        <v>37</v>
      </c>
      <c r="K8778">
        <v>0</v>
      </c>
      <c r="L8778">
        <v>0</v>
      </c>
      <c r="M8778">
        <v>0</v>
      </c>
      <c r="N8778">
        <v>0</v>
      </c>
      <c r="O8778">
        <v>22</v>
      </c>
    </row>
    <row r="8779" spans="1:15" x14ac:dyDescent="0.25">
      <c r="A8779" t="s">
        <v>1100</v>
      </c>
      <c r="B8779" t="s">
        <v>2855</v>
      </c>
      <c r="C8779" t="s">
        <v>927</v>
      </c>
      <c r="D8779" t="s">
        <v>3052</v>
      </c>
      <c r="E8779" t="s">
        <v>3053</v>
      </c>
      <c r="F8779" t="s">
        <v>800</v>
      </c>
      <c r="G8779" t="s">
        <v>801</v>
      </c>
      <c r="H8779" t="s">
        <v>8921</v>
      </c>
      <c r="I8779">
        <v>400</v>
      </c>
      <c r="J8779">
        <v>315</v>
      </c>
      <c r="K8779">
        <v>0</v>
      </c>
      <c r="L8779">
        <v>0</v>
      </c>
      <c r="M8779">
        <v>0</v>
      </c>
      <c r="N8779">
        <v>0</v>
      </c>
      <c r="O8779">
        <v>85</v>
      </c>
    </row>
    <row r="8780" spans="1:15" x14ac:dyDescent="0.25">
      <c r="A8780" t="s">
        <v>933</v>
      </c>
      <c r="B8780" t="s">
        <v>2106</v>
      </c>
      <c r="C8780" t="s">
        <v>927</v>
      </c>
      <c r="D8780" t="s">
        <v>3052</v>
      </c>
      <c r="E8780" t="s">
        <v>3053</v>
      </c>
      <c r="F8780" t="s">
        <v>800</v>
      </c>
      <c r="G8780" t="s">
        <v>801</v>
      </c>
      <c r="H8780" t="s">
        <v>8922</v>
      </c>
      <c r="I8780">
        <v>213</v>
      </c>
      <c r="J8780">
        <v>164</v>
      </c>
      <c r="K8780">
        <v>0</v>
      </c>
      <c r="L8780">
        <v>0</v>
      </c>
      <c r="M8780">
        <v>0</v>
      </c>
      <c r="N8780">
        <v>0</v>
      </c>
      <c r="O8780">
        <v>49</v>
      </c>
    </row>
    <row r="8781" spans="1:15" x14ac:dyDescent="0.25">
      <c r="A8781" t="s">
        <v>996</v>
      </c>
      <c r="B8781" t="s">
        <v>1952</v>
      </c>
      <c r="C8781" t="s">
        <v>923</v>
      </c>
      <c r="D8781" t="s">
        <v>3063</v>
      </c>
      <c r="E8781" t="s">
        <v>3053</v>
      </c>
      <c r="F8781" t="s">
        <v>800</v>
      </c>
      <c r="G8781" t="s">
        <v>801</v>
      </c>
      <c r="H8781" t="s">
        <v>8923</v>
      </c>
      <c r="I8781">
        <v>1</v>
      </c>
      <c r="J8781">
        <v>0</v>
      </c>
      <c r="K8781">
        <v>0</v>
      </c>
      <c r="L8781">
        <v>1</v>
      </c>
      <c r="M8781">
        <v>0</v>
      </c>
      <c r="N8781">
        <v>0</v>
      </c>
      <c r="O8781">
        <v>0</v>
      </c>
    </row>
    <row r="8782" spans="1:15" x14ac:dyDescent="0.25">
      <c r="A8782" t="s">
        <v>1110</v>
      </c>
      <c r="B8782" t="s">
        <v>2888</v>
      </c>
      <c r="C8782" t="s">
        <v>927</v>
      </c>
      <c r="D8782" t="s">
        <v>3052</v>
      </c>
      <c r="E8782" t="s">
        <v>3053</v>
      </c>
      <c r="F8782" t="s">
        <v>800</v>
      </c>
      <c r="G8782" t="s">
        <v>801</v>
      </c>
      <c r="H8782" t="s">
        <v>8924</v>
      </c>
      <c r="I8782">
        <v>359</v>
      </c>
      <c r="J8782">
        <v>250</v>
      </c>
      <c r="K8782">
        <v>0</v>
      </c>
      <c r="L8782">
        <v>0</v>
      </c>
      <c r="M8782">
        <v>0</v>
      </c>
      <c r="N8782">
        <v>0</v>
      </c>
      <c r="O8782">
        <v>109</v>
      </c>
    </row>
    <row r="8783" spans="1:15" x14ac:dyDescent="0.25">
      <c r="A8783" t="s">
        <v>998</v>
      </c>
      <c r="B8783" t="s">
        <v>2820</v>
      </c>
      <c r="C8783" t="s">
        <v>927</v>
      </c>
      <c r="D8783" t="s">
        <v>3052</v>
      </c>
      <c r="E8783" t="s">
        <v>3053</v>
      </c>
      <c r="F8783" t="s">
        <v>800</v>
      </c>
      <c r="G8783" t="s">
        <v>801</v>
      </c>
      <c r="H8783" t="s">
        <v>8925</v>
      </c>
      <c r="I8783">
        <v>92</v>
      </c>
      <c r="J8783">
        <v>56</v>
      </c>
      <c r="K8783">
        <v>0</v>
      </c>
      <c r="L8783">
        <v>0</v>
      </c>
      <c r="M8783">
        <v>0</v>
      </c>
      <c r="N8783">
        <v>0</v>
      </c>
      <c r="O8783">
        <v>36</v>
      </c>
    </row>
    <row r="8784" spans="1:15" x14ac:dyDescent="0.25">
      <c r="A8784" t="s">
        <v>1111</v>
      </c>
      <c r="B8784" t="s">
        <v>2795</v>
      </c>
      <c r="C8784" t="s">
        <v>927</v>
      </c>
      <c r="D8784" t="s">
        <v>3052</v>
      </c>
      <c r="E8784" t="s">
        <v>3053</v>
      </c>
      <c r="F8784" t="s">
        <v>800</v>
      </c>
      <c r="G8784" t="s">
        <v>801</v>
      </c>
      <c r="H8784" t="s">
        <v>8926</v>
      </c>
      <c r="I8784">
        <v>207</v>
      </c>
      <c r="J8784">
        <v>158</v>
      </c>
      <c r="K8784">
        <v>0</v>
      </c>
      <c r="L8784">
        <v>6</v>
      </c>
      <c r="M8784">
        <v>0</v>
      </c>
      <c r="N8784">
        <v>0</v>
      </c>
      <c r="O8784">
        <v>43</v>
      </c>
    </row>
    <row r="8785" spans="1:15" x14ac:dyDescent="0.25">
      <c r="A8785" t="s">
        <v>1113</v>
      </c>
      <c r="B8785" t="s">
        <v>1953</v>
      </c>
      <c r="C8785" t="s">
        <v>927</v>
      </c>
      <c r="D8785" t="s">
        <v>3052</v>
      </c>
      <c r="E8785" t="s">
        <v>3053</v>
      </c>
      <c r="F8785" t="s">
        <v>800</v>
      </c>
      <c r="G8785" t="s">
        <v>801</v>
      </c>
      <c r="H8785" t="s">
        <v>12444</v>
      </c>
      <c r="I8785">
        <v>18</v>
      </c>
      <c r="J8785">
        <v>12</v>
      </c>
      <c r="K8785">
        <v>0</v>
      </c>
      <c r="L8785">
        <v>0</v>
      </c>
      <c r="M8785">
        <v>0</v>
      </c>
      <c r="N8785">
        <v>0</v>
      </c>
      <c r="O8785">
        <v>6</v>
      </c>
    </row>
    <row r="8786" spans="1:15" x14ac:dyDescent="0.25">
      <c r="A8786" t="s">
        <v>10638</v>
      </c>
      <c r="B8786" t="s">
        <v>2057</v>
      </c>
      <c r="C8786" t="s">
        <v>927</v>
      </c>
      <c r="D8786" t="s">
        <v>3052</v>
      </c>
      <c r="E8786" t="s">
        <v>3053</v>
      </c>
      <c r="F8786" t="s">
        <v>800</v>
      </c>
      <c r="G8786" t="s">
        <v>801</v>
      </c>
      <c r="H8786" t="s">
        <v>11420</v>
      </c>
      <c r="I8786">
        <v>3</v>
      </c>
      <c r="J8786">
        <v>0</v>
      </c>
      <c r="K8786">
        <v>0</v>
      </c>
      <c r="L8786">
        <v>3</v>
      </c>
      <c r="M8786">
        <v>0</v>
      </c>
      <c r="N8786">
        <v>0</v>
      </c>
      <c r="O8786">
        <v>0</v>
      </c>
    </row>
    <row r="8787" spans="1:15" x14ac:dyDescent="0.25">
      <c r="A8787" t="s">
        <v>1008</v>
      </c>
      <c r="B8787" t="s">
        <v>2928</v>
      </c>
      <c r="C8787" t="s">
        <v>927</v>
      </c>
      <c r="D8787" t="s">
        <v>3052</v>
      </c>
      <c r="E8787" t="s">
        <v>3053</v>
      </c>
      <c r="F8787" t="s">
        <v>800</v>
      </c>
      <c r="G8787" t="s">
        <v>801</v>
      </c>
      <c r="H8787" t="s">
        <v>8927</v>
      </c>
      <c r="I8787">
        <v>2</v>
      </c>
      <c r="J8787">
        <v>0</v>
      </c>
      <c r="K8787">
        <v>0</v>
      </c>
      <c r="L8787">
        <v>2</v>
      </c>
      <c r="M8787">
        <v>0</v>
      </c>
      <c r="N8787">
        <v>0</v>
      </c>
      <c r="O8787">
        <v>0</v>
      </c>
    </row>
    <row r="8788" spans="1:15" x14ac:dyDescent="0.25">
      <c r="A8788" t="s">
        <v>1009</v>
      </c>
      <c r="B8788" t="s">
        <v>1958</v>
      </c>
      <c r="C8788" t="s">
        <v>923</v>
      </c>
      <c r="D8788" t="s">
        <v>3063</v>
      </c>
      <c r="E8788" t="s">
        <v>3053</v>
      </c>
      <c r="F8788" t="s">
        <v>800</v>
      </c>
      <c r="G8788" t="s">
        <v>801</v>
      </c>
      <c r="H8788" t="s">
        <v>12445</v>
      </c>
      <c r="I8788">
        <v>3</v>
      </c>
      <c r="J8788">
        <v>0</v>
      </c>
      <c r="K8788">
        <v>0</v>
      </c>
      <c r="L8788">
        <v>3</v>
      </c>
      <c r="M8788">
        <v>0</v>
      </c>
      <c r="N8788">
        <v>0</v>
      </c>
      <c r="O8788">
        <v>0</v>
      </c>
    </row>
    <row r="8789" spans="1:15" x14ac:dyDescent="0.25">
      <c r="A8789" t="s">
        <v>1010</v>
      </c>
      <c r="B8789" t="s">
        <v>2639</v>
      </c>
      <c r="C8789" t="s">
        <v>927</v>
      </c>
      <c r="D8789" t="s">
        <v>3052</v>
      </c>
      <c r="E8789" t="s">
        <v>3053</v>
      </c>
      <c r="F8789" t="s">
        <v>800</v>
      </c>
      <c r="G8789" t="s">
        <v>801</v>
      </c>
      <c r="H8789" t="s">
        <v>8928</v>
      </c>
      <c r="I8789">
        <v>415</v>
      </c>
      <c r="J8789">
        <v>332</v>
      </c>
      <c r="K8789">
        <v>0</v>
      </c>
      <c r="L8789">
        <v>0</v>
      </c>
      <c r="M8789">
        <v>0</v>
      </c>
      <c r="N8789">
        <v>0</v>
      </c>
      <c r="O8789">
        <v>83</v>
      </c>
    </row>
    <row r="8790" spans="1:15" x14ac:dyDescent="0.25">
      <c r="A8790" t="s">
        <v>938</v>
      </c>
      <c r="B8790" t="s">
        <v>2791</v>
      </c>
      <c r="C8790" t="s">
        <v>927</v>
      </c>
      <c r="D8790" t="s">
        <v>3052</v>
      </c>
      <c r="E8790" t="s">
        <v>3053</v>
      </c>
      <c r="F8790" t="s">
        <v>800</v>
      </c>
      <c r="G8790" t="s">
        <v>801</v>
      </c>
      <c r="H8790" t="s">
        <v>8929</v>
      </c>
      <c r="I8790">
        <v>154</v>
      </c>
      <c r="J8790">
        <v>105</v>
      </c>
      <c r="K8790">
        <v>0</v>
      </c>
      <c r="L8790">
        <v>0</v>
      </c>
      <c r="M8790">
        <v>0</v>
      </c>
      <c r="N8790">
        <v>0</v>
      </c>
      <c r="O8790">
        <v>49</v>
      </c>
    </row>
    <row r="8791" spans="1:15" x14ac:dyDescent="0.25">
      <c r="A8791" t="s">
        <v>940</v>
      </c>
      <c r="B8791" t="s">
        <v>2647</v>
      </c>
      <c r="C8791" t="s">
        <v>927</v>
      </c>
      <c r="D8791" t="s">
        <v>3052</v>
      </c>
      <c r="E8791" t="s">
        <v>3053</v>
      </c>
      <c r="F8791" t="s">
        <v>800</v>
      </c>
      <c r="G8791" t="s">
        <v>801</v>
      </c>
      <c r="H8791" t="s">
        <v>8930</v>
      </c>
      <c r="I8791">
        <v>36</v>
      </c>
      <c r="J8791">
        <v>0</v>
      </c>
      <c r="K8791">
        <v>0</v>
      </c>
      <c r="L8791">
        <v>0</v>
      </c>
      <c r="M8791">
        <v>36</v>
      </c>
      <c r="N8791">
        <v>0</v>
      </c>
      <c r="O8791">
        <v>0</v>
      </c>
    </row>
    <row r="8792" spans="1:15" x14ac:dyDescent="0.25">
      <c r="A8792" t="s">
        <v>1123</v>
      </c>
      <c r="B8792" t="s">
        <v>2691</v>
      </c>
      <c r="C8792" t="s">
        <v>927</v>
      </c>
      <c r="D8792" t="s">
        <v>3052</v>
      </c>
      <c r="E8792" t="s">
        <v>3053</v>
      </c>
      <c r="F8792" t="s">
        <v>800</v>
      </c>
      <c r="G8792" t="s">
        <v>801</v>
      </c>
      <c r="H8792" t="s">
        <v>8931</v>
      </c>
      <c r="I8792">
        <v>10</v>
      </c>
      <c r="J8792">
        <v>10</v>
      </c>
      <c r="K8792">
        <v>0</v>
      </c>
      <c r="L8792">
        <v>0</v>
      </c>
      <c r="M8792">
        <v>0</v>
      </c>
      <c r="N8792">
        <v>0</v>
      </c>
      <c r="O8792">
        <v>0</v>
      </c>
    </row>
    <row r="8793" spans="1:15" x14ac:dyDescent="0.25">
      <c r="A8793" t="s">
        <v>1013</v>
      </c>
      <c r="B8793" t="s">
        <v>1959</v>
      </c>
      <c r="C8793" t="s">
        <v>927</v>
      </c>
      <c r="D8793" t="s">
        <v>3052</v>
      </c>
      <c r="E8793" t="s">
        <v>3053</v>
      </c>
      <c r="F8793" t="s">
        <v>800</v>
      </c>
      <c r="G8793" t="s">
        <v>801</v>
      </c>
      <c r="H8793" t="s">
        <v>11421</v>
      </c>
      <c r="I8793">
        <v>8</v>
      </c>
      <c r="J8793">
        <v>0</v>
      </c>
      <c r="K8793">
        <v>0</v>
      </c>
      <c r="L8793">
        <v>8</v>
      </c>
      <c r="M8793">
        <v>0</v>
      </c>
      <c r="N8793">
        <v>0</v>
      </c>
      <c r="O8793">
        <v>0</v>
      </c>
    </row>
    <row r="8794" spans="1:15" x14ac:dyDescent="0.25">
      <c r="A8794" t="s">
        <v>1126</v>
      </c>
      <c r="B8794" t="s">
        <v>2130</v>
      </c>
      <c r="C8794" t="s">
        <v>927</v>
      </c>
      <c r="D8794" t="s">
        <v>3052</v>
      </c>
      <c r="E8794" t="s">
        <v>3053</v>
      </c>
      <c r="F8794" t="s">
        <v>800</v>
      </c>
      <c r="G8794" t="s">
        <v>801</v>
      </c>
      <c r="H8794" t="s">
        <v>11422</v>
      </c>
      <c r="I8794">
        <v>12</v>
      </c>
      <c r="J8794">
        <v>0</v>
      </c>
      <c r="K8794">
        <v>0</v>
      </c>
      <c r="L8794">
        <v>0</v>
      </c>
      <c r="M8794">
        <v>0</v>
      </c>
      <c r="N8794">
        <v>0</v>
      </c>
      <c r="O8794">
        <v>12</v>
      </c>
    </row>
    <row r="8795" spans="1:15" x14ac:dyDescent="0.25">
      <c r="A8795" t="s">
        <v>1025</v>
      </c>
      <c r="B8795" t="s">
        <v>2893</v>
      </c>
      <c r="C8795" t="s">
        <v>927</v>
      </c>
      <c r="D8795" t="s">
        <v>3052</v>
      </c>
      <c r="E8795" t="s">
        <v>3053</v>
      </c>
      <c r="F8795" t="s">
        <v>800</v>
      </c>
      <c r="G8795" t="s">
        <v>801</v>
      </c>
      <c r="H8795" t="s">
        <v>8932</v>
      </c>
      <c r="I8795">
        <v>89</v>
      </c>
      <c r="J8795">
        <v>7</v>
      </c>
      <c r="K8795">
        <v>0</v>
      </c>
      <c r="L8795">
        <v>6</v>
      </c>
      <c r="M8795">
        <v>73</v>
      </c>
      <c r="N8795">
        <v>0</v>
      </c>
      <c r="O8795">
        <v>3</v>
      </c>
    </row>
    <row r="8796" spans="1:15" x14ac:dyDescent="0.25">
      <c r="A8796" t="s">
        <v>10681</v>
      </c>
      <c r="B8796" t="s">
        <v>10680</v>
      </c>
      <c r="C8796" t="s">
        <v>927</v>
      </c>
      <c r="D8796" t="s">
        <v>3052</v>
      </c>
      <c r="E8796" t="s">
        <v>3053</v>
      </c>
      <c r="F8796" t="s">
        <v>800</v>
      </c>
      <c r="G8796" t="s">
        <v>801</v>
      </c>
      <c r="H8796" t="s">
        <v>15367</v>
      </c>
      <c r="I8796">
        <v>27</v>
      </c>
      <c r="J8796">
        <v>0</v>
      </c>
      <c r="K8796">
        <v>0</v>
      </c>
      <c r="L8796">
        <v>0</v>
      </c>
      <c r="M8796">
        <v>0</v>
      </c>
      <c r="N8796">
        <v>0</v>
      </c>
      <c r="O8796">
        <v>27</v>
      </c>
    </row>
    <row r="8797" spans="1:15" x14ac:dyDescent="0.25">
      <c r="A8797" t="s">
        <v>943</v>
      </c>
      <c r="B8797" t="s">
        <v>2694</v>
      </c>
      <c r="C8797" t="s">
        <v>927</v>
      </c>
      <c r="D8797" t="s">
        <v>3052</v>
      </c>
      <c r="E8797" t="s">
        <v>3053</v>
      </c>
      <c r="F8797" t="s">
        <v>800</v>
      </c>
      <c r="G8797" t="s">
        <v>801</v>
      </c>
      <c r="H8797" t="s">
        <v>8933</v>
      </c>
      <c r="I8797">
        <v>66</v>
      </c>
      <c r="J8797">
        <v>54</v>
      </c>
      <c r="K8797">
        <v>0</v>
      </c>
      <c r="L8797">
        <v>10</v>
      </c>
      <c r="M8797">
        <v>0</v>
      </c>
      <c r="N8797">
        <v>0</v>
      </c>
      <c r="O8797">
        <v>2</v>
      </c>
    </row>
    <row r="8798" spans="1:15" x14ac:dyDescent="0.25">
      <c r="A8798" t="s">
        <v>945</v>
      </c>
      <c r="B8798" t="s">
        <v>2668</v>
      </c>
      <c r="C8798" t="s">
        <v>927</v>
      </c>
      <c r="D8798" t="s">
        <v>3052</v>
      </c>
      <c r="E8798" t="s">
        <v>3053</v>
      </c>
      <c r="F8798" t="s">
        <v>800</v>
      </c>
      <c r="G8798" t="s">
        <v>801</v>
      </c>
      <c r="H8798" t="s">
        <v>8934</v>
      </c>
      <c r="I8798">
        <v>230</v>
      </c>
      <c r="J8798">
        <v>176</v>
      </c>
      <c r="K8798">
        <v>0</v>
      </c>
      <c r="L8798">
        <v>0</v>
      </c>
      <c r="M8798">
        <v>0</v>
      </c>
      <c r="N8798">
        <v>0</v>
      </c>
      <c r="O8798">
        <v>54</v>
      </c>
    </row>
    <row r="8799" spans="1:15" x14ac:dyDescent="0.25">
      <c r="A8799" t="s">
        <v>1041</v>
      </c>
      <c r="B8799" t="s">
        <v>2826</v>
      </c>
      <c r="C8799" t="s">
        <v>927</v>
      </c>
      <c r="D8799" t="s">
        <v>3052</v>
      </c>
      <c r="E8799" t="s">
        <v>3053</v>
      </c>
      <c r="F8799" t="s">
        <v>800</v>
      </c>
      <c r="G8799" t="s">
        <v>801</v>
      </c>
      <c r="H8799" t="s">
        <v>11423</v>
      </c>
      <c r="I8799">
        <v>18</v>
      </c>
      <c r="J8799">
        <v>0</v>
      </c>
      <c r="K8799">
        <v>0</v>
      </c>
      <c r="L8799">
        <v>0</v>
      </c>
      <c r="M8799">
        <v>0</v>
      </c>
      <c r="N8799">
        <v>0</v>
      </c>
      <c r="O8799">
        <v>18</v>
      </c>
    </row>
    <row r="8800" spans="1:15" x14ac:dyDescent="0.25">
      <c r="A8800" t="s">
        <v>1146</v>
      </c>
      <c r="B8800" t="s">
        <v>2117</v>
      </c>
      <c r="C8800" t="s">
        <v>927</v>
      </c>
      <c r="D8800" t="s">
        <v>3052</v>
      </c>
      <c r="E8800" t="s">
        <v>3053</v>
      </c>
      <c r="F8800" t="s">
        <v>800</v>
      </c>
      <c r="G8800" t="s">
        <v>801</v>
      </c>
      <c r="H8800" t="s">
        <v>11424</v>
      </c>
      <c r="I8800">
        <v>23</v>
      </c>
      <c r="J8800">
        <v>0</v>
      </c>
      <c r="K8800">
        <v>0</v>
      </c>
      <c r="L8800">
        <v>23</v>
      </c>
      <c r="M8800">
        <v>0</v>
      </c>
      <c r="N8800">
        <v>0</v>
      </c>
      <c r="O8800">
        <v>0</v>
      </c>
    </row>
    <row r="8801" spans="1:15" x14ac:dyDescent="0.25">
      <c r="A8801" t="s">
        <v>951</v>
      </c>
      <c r="B8801" t="s">
        <v>2680</v>
      </c>
      <c r="C8801" t="s">
        <v>927</v>
      </c>
      <c r="D8801" t="s">
        <v>3052</v>
      </c>
      <c r="E8801" t="s">
        <v>3053</v>
      </c>
      <c r="F8801" t="s">
        <v>800</v>
      </c>
      <c r="G8801" t="s">
        <v>801</v>
      </c>
      <c r="H8801" t="s">
        <v>8935</v>
      </c>
      <c r="I8801">
        <v>16</v>
      </c>
      <c r="J8801">
        <v>16</v>
      </c>
      <c r="K8801">
        <v>0</v>
      </c>
      <c r="L8801">
        <v>0</v>
      </c>
      <c r="M8801">
        <v>0</v>
      </c>
      <c r="N8801">
        <v>0</v>
      </c>
      <c r="O8801">
        <v>0</v>
      </c>
    </row>
    <row r="8802" spans="1:15" x14ac:dyDescent="0.25">
      <c r="A8802" t="s">
        <v>953</v>
      </c>
      <c r="B8802" t="s">
        <v>2014</v>
      </c>
      <c r="C8802" t="s">
        <v>927</v>
      </c>
      <c r="D8802" t="s">
        <v>3052</v>
      </c>
      <c r="E8802" t="s">
        <v>3053</v>
      </c>
      <c r="F8802" t="s">
        <v>800</v>
      </c>
      <c r="G8802" t="s">
        <v>801</v>
      </c>
      <c r="H8802" t="s">
        <v>8936</v>
      </c>
      <c r="I8802">
        <v>9</v>
      </c>
      <c r="J8802">
        <v>0</v>
      </c>
      <c r="K8802">
        <v>0</v>
      </c>
      <c r="L8802">
        <v>9</v>
      </c>
      <c r="M8802">
        <v>0</v>
      </c>
      <c r="N8802">
        <v>0</v>
      </c>
      <c r="O8802">
        <v>0</v>
      </c>
    </row>
    <row r="8803" spans="1:15" x14ac:dyDescent="0.25">
      <c r="A8803" t="s">
        <v>11720</v>
      </c>
      <c r="B8803" t="s">
        <v>10718</v>
      </c>
      <c r="C8803" t="s">
        <v>927</v>
      </c>
      <c r="D8803" t="s">
        <v>3052</v>
      </c>
      <c r="E8803" t="s">
        <v>3053</v>
      </c>
      <c r="F8803" t="s">
        <v>800</v>
      </c>
      <c r="G8803" t="s">
        <v>801</v>
      </c>
      <c r="H8803" t="s">
        <v>15368</v>
      </c>
      <c r="I8803">
        <v>136</v>
      </c>
      <c r="J8803">
        <v>84</v>
      </c>
      <c r="K8803">
        <v>0</v>
      </c>
      <c r="L8803">
        <v>0</v>
      </c>
      <c r="M8803">
        <v>0</v>
      </c>
      <c r="N8803">
        <v>0</v>
      </c>
      <c r="O8803">
        <v>52</v>
      </c>
    </row>
    <row r="8804" spans="1:15" x14ac:dyDescent="0.25">
      <c r="A8804" t="s">
        <v>9788</v>
      </c>
      <c r="B8804" t="s">
        <v>9871</v>
      </c>
      <c r="C8804" t="s">
        <v>927</v>
      </c>
      <c r="D8804" t="s">
        <v>3052</v>
      </c>
      <c r="E8804" t="s">
        <v>3053</v>
      </c>
      <c r="F8804" t="s">
        <v>800</v>
      </c>
      <c r="G8804" t="s">
        <v>801</v>
      </c>
      <c r="H8804" t="s">
        <v>10386</v>
      </c>
      <c r="I8804">
        <v>59</v>
      </c>
      <c r="J8804">
        <v>59</v>
      </c>
      <c r="K8804">
        <v>0</v>
      </c>
      <c r="L8804">
        <v>0</v>
      </c>
      <c r="M8804">
        <v>0</v>
      </c>
      <c r="N8804">
        <v>0</v>
      </c>
      <c r="O8804">
        <v>0</v>
      </c>
    </row>
    <row r="8805" spans="1:15" x14ac:dyDescent="0.25">
      <c r="A8805" t="s">
        <v>1057</v>
      </c>
      <c r="B8805" t="s">
        <v>1972</v>
      </c>
      <c r="C8805" t="s">
        <v>927</v>
      </c>
      <c r="D8805" t="s">
        <v>3052</v>
      </c>
      <c r="E8805" t="s">
        <v>3053</v>
      </c>
      <c r="F8805" t="s">
        <v>800</v>
      </c>
      <c r="G8805" t="s">
        <v>801</v>
      </c>
      <c r="H8805" t="s">
        <v>8937</v>
      </c>
      <c r="I8805">
        <v>222</v>
      </c>
      <c r="J8805">
        <v>173</v>
      </c>
      <c r="K8805">
        <v>0</v>
      </c>
      <c r="L8805">
        <v>18</v>
      </c>
      <c r="M8805">
        <v>31</v>
      </c>
      <c r="N8805">
        <v>0</v>
      </c>
      <c r="O8805">
        <v>0</v>
      </c>
    </row>
    <row r="8806" spans="1:15" x14ac:dyDescent="0.25">
      <c r="A8806" t="s">
        <v>14374</v>
      </c>
      <c r="B8806" t="s">
        <v>1943</v>
      </c>
      <c r="C8806" t="s">
        <v>927</v>
      </c>
      <c r="D8806" t="s">
        <v>3052</v>
      </c>
      <c r="E8806" t="s">
        <v>3053</v>
      </c>
      <c r="F8806" t="s">
        <v>800</v>
      </c>
      <c r="G8806" t="s">
        <v>801</v>
      </c>
      <c r="H8806" t="s">
        <v>15369</v>
      </c>
      <c r="I8806">
        <v>19</v>
      </c>
      <c r="J8806">
        <v>0</v>
      </c>
      <c r="K8806">
        <v>0</v>
      </c>
      <c r="L8806">
        <v>0</v>
      </c>
      <c r="M8806">
        <v>0</v>
      </c>
      <c r="N8806">
        <v>0</v>
      </c>
      <c r="O8806">
        <v>19</v>
      </c>
    </row>
    <row r="8807" spans="1:15" x14ac:dyDescent="0.25">
      <c r="A8807" t="s">
        <v>1159</v>
      </c>
      <c r="B8807" t="s">
        <v>2829</v>
      </c>
      <c r="C8807" t="s">
        <v>927</v>
      </c>
      <c r="D8807" t="s">
        <v>3052</v>
      </c>
      <c r="E8807" t="s">
        <v>3053</v>
      </c>
      <c r="F8807" t="s">
        <v>800</v>
      </c>
      <c r="G8807" t="s">
        <v>801</v>
      </c>
      <c r="H8807" t="s">
        <v>8938</v>
      </c>
      <c r="I8807">
        <v>123</v>
      </c>
      <c r="J8807">
        <v>74</v>
      </c>
      <c r="K8807">
        <v>0</v>
      </c>
      <c r="L8807">
        <v>0</v>
      </c>
      <c r="M8807">
        <v>49</v>
      </c>
      <c r="N8807">
        <v>5</v>
      </c>
      <c r="O8807">
        <v>0</v>
      </c>
    </row>
    <row r="8808" spans="1:15" x14ac:dyDescent="0.25">
      <c r="A8808" t="s">
        <v>1168</v>
      </c>
      <c r="B8808" t="s">
        <v>2712</v>
      </c>
      <c r="C8808" t="s">
        <v>927</v>
      </c>
      <c r="D8808" t="s">
        <v>3052</v>
      </c>
      <c r="E8808" t="s">
        <v>3053</v>
      </c>
      <c r="F8808" t="s">
        <v>800</v>
      </c>
      <c r="G8808" t="s">
        <v>801</v>
      </c>
      <c r="H8808" t="s">
        <v>8939</v>
      </c>
      <c r="I8808">
        <v>38</v>
      </c>
      <c r="J8808">
        <v>32</v>
      </c>
      <c r="K8808">
        <v>0</v>
      </c>
      <c r="L8808">
        <v>0</v>
      </c>
      <c r="M8808">
        <v>0</v>
      </c>
      <c r="N8808">
        <v>0</v>
      </c>
      <c r="O8808">
        <v>6</v>
      </c>
    </row>
    <row r="8809" spans="1:15" x14ac:dyDescent="0.25">
      <c r="A8809" t="s">
        <v>1195</v>
      </c>
      <c r="B8809" t="s">
        <v>2924</v>
      </c>
      <c r="C8809" t="s">
        <v>927</v>
      </c>
      <c r="D8809" t="s">
        <v>3052</v>
      </c>
      <c r="E8809" t="s">
        <v>3053</v>
      </c>
      <c r="F8809" t="s">
        <v>802</v>
      </c>
      <c r="G8809" t="s">
        <v>803</v>
      </c>
      <c r="H8809" t="s">
        <v>8940</v>
      </c>
      <c r="I8809">
        <v>20</v>
      </c>
      <c r="J8809">
        <v>19</v>
      </c>
      <c r="K8809">
        <v>0</v>
      </c>
      <c r="L8809">
        <v>0</v>
      </c>
      <c r="M8809">
        <v>0</v>
      </c>
      <c r="N8809">
        <v>0</v>
      </c>
      <c r="O8809">
        <v>1</v>
      </c>
    </row>
    <row r="8810" spans="1:15" x14ac:dyDescent="0.25">
      <c r="A8810" t="s">
        <v>926</v>
      </c>
      <c r="B8810" t="s">
        <v>2923</v>
      </c>
      <c r="C8810" t="s">
        <v>927</v>
      </c>
      <c r="D8810" t="s">
        <v>3052</v>
      </c>
      <c r="E8810" t="s">
        <v>3053</v>
      </c>
      <c r="F8810" t="s">
        <v>802</v>
      </c>
      <c r="G8810" t="s">
        <v>803</v>
      </c>
      <c r="H8810" t="s">
        <v>8941</v>
      </c>
      <c r="I8810">
        <v>38</v>
      </c>
      <c r="J8810">
        <v>0</v>
      </c>
      <c r="K8810">
        <v>0</v>
      </c>
      <c r="L8810">
        <v>31</v>
      </c>
      <c r="M8810">
        <v>0</v>
      </c>
      <c r="N8810">
        <v>0</v>
      </c>
      <c r="O8810">
        <v>7</v>
      </c>
    </row>
    <row r="8811" spans="1:15" x14ac:dyDescent="0.25">
      <c r="A8811" t="s">
        <v>929</v>
      </c>
      <c r="B8811" t="s">
        <v>2999</v>
      </c>
      <c r="C8811" t="s">
        <v>927</v>
      </c>
      <c r="D8811" t="s">
        <v>3052</v>
      </c>
      <c r="E8811" t="s">
        <v>3053</v>
      </c>
      <c r="F8811" t="s">
        <v>802</v>
      </c>
      <c r="G8811" t="s">
        <v>803</v>
      </c>
      <c r="H8811" t="s">
        <v>8942</v>
      </c>
      <c r="I8811">
        <v>130</v>
      </c>
      <c r="J8811">
        <v>0</v>
      </c>
      <c r="K8811">
        <v>0</v>
      </c>
      <c r="L8811">
        <v>0</v>
      </c>
      <c r="M8811">
        <v>130</v>
      </c>
      <c r="N8811">
        <v>0</v>
      </c>
      <c r="O8811">
        <v>0</v>
      </c>
    </row>
    <row r="8812" spans="1:15" x14ac:dyDescent="0.25">
      <c r="A8812" t="s">
        <v>931</v>
      </c>
      <c r="B8812" t="s">
        <v>1978</v>
      </c>
      <c r="C8812" t="s">
        <v>927</v>
      </c>
      <c r="D8812" t="s">
        <v>3052</v>
      </c>
      <c r="E8812" t="s">
        <v>3053</v>
      </c>
      <c r="F8812" t="s">
        <v>802</v>
      </c>
      <c r="G8812" t="s">
        <v>803</v>
      </c>
      <c r="H8812" t="s">
        <v>8943</v>
      </c>
      <c r="I8812">
        <v>282</v>
      </c>
      <c r="J8812">
        <v>164</v>
      </c>
      <c r="K8812">
        <v>0</v>
      </c>
      <c r="L8812">
        <v>0</v>
      </c>
      <c r="M8812">
        <v>0</v>
      </c>
      <c r="N8812">
        <v>0</v>
      </c>
      <c r="O8812">
        <v>118</v>
      </c>
    </row>
    <row r="8813" spans="1:15" x14ac:dyDescent="0.25">
      <c r="A8813" t="s">
        <v>9790</v>
      </c>
      <c r="B8813" t="s">
        <v>1977</v>
      </c>
      <c r="C8813" t="s">
        <v>923</v>
      </c>
      <c r="D8813" t="s">
        <v>3063</v>
      </c>
      <c r="E8813" t="s">
        <v>3053</v>
      </c>
      <c r="F8813" t="s">
        <v>802</v>
      </c>
      <c r="G8813" t="s">
        <v>803</v>
      </c>
      <c r="H8813" t="s">
        <v>12446</v>
      </c>
      <c r="I8813">
        <v>4</v>
      </c>
      <c r="J8813">
        <v>0</v>
      </c>
      <c r="K8813">
        <v>0</v>
      </c>
      <c r="L8813">
        <v>4</v>
      </c>
      <c r="M8813">
        <v>0</v>
      </c>
      <c r="N8813">
        <v>0</v>
      </c>
      <c r="O8813">
        <v>0</v>
      </c>
    </row>
    <row r="8814" spans="1:15" x14ac:dyDescent="0.25">
      <c r="A8814" t="s">
        <v>989</v>
      </c>
      <c r="B8814" t="s">
        <v>2016</v>
      </c>
      <c r="C8814" t="s">
        <v>923</v>
      </c>
      <c r="D8814" t="s">
        <v>3063</v>
      </c>
      <c r="E8814" t="s">
        <v>3053</v>
      </c>
      <c r="F8814" t="s">
        <v>802</v>
      </c>
      <c r="G8814" t="s">
        <v>803</v>
      </c>
      <c r="H8814" t="s">
        <v>8945</v>
      </c>
      <c r="I8814">
        <v>29</v>
      </c>
      <c r="J8814">
        <v>0</v>
      </c>
      <c r="K8814">
        <v>0</v>
      </c>
      <c r="L8814">
        <v>29</v>
      </c>
      <c r="M8814">
        <v>0</v>
      </c>
      <c r="N8814">
        <v>0</v>
      </c>
      <c r="O8814">
        <v>0</v>
      </c>
    </row>
    <row r="8815" spans="1:15" x14ac:dyDescent="0.25">
      <c r="A8815" t="s">
        <v>1587</v>
      </c>
      <c r="B8815" t="s">
        <v>2214</v>
      </c>
      <c r="C8815" t="s">
        <v>923</v>
      </c>
      <c r="D8815" t="s">
        <v>3063</v>
      </c>
      <c r="E8815" t="s">
        <v>3053</v>
      </c>
      <c r="F8815" t="s">
        <v>802</v>
      </c>
      <c r="G8815" t="s">
        <v>803</v>
      </c>
      <c r="H8815" t="s">
        <v>8946</v>
      </c>
      <c r="I8815">
        <v>3</v>
      </c>
      <c r="J8815">
        <v>3</v>
      </c>
      <c r="K8815">
        <v>0</v>
      </c>
      <c r="L8815">
        <v>0</v>
      </c>
      <c r="M8815">
        <v>0</v>
      </c>
      <c r="N8815">
        <v>0</v>
      </c>
      <c r="O8815">
        <v>0</v>
      </c>
    </row>
    <row r="8816" spans="1:15" x14ac:dyDescent="0.25">
      <c r="A8816" t="s">
        <v>933</v>
      </c>
      <c r="B8816" t="s">
        <v>2106</v>
      </c>
      <c r="C8816" t="s">
        <v>927</v>
      </c>
      <c r="D8816" t="s">
        <v>3052</v>
      </c>
      <c r="E8816" t="s">
        <v>3053</v>
      </c>
      <c r="F8816" t="s">
        <v>802</v>
      </c>
      <c r="G8816" t="s">
        <v>803</v>
      </c>
      <c r="H8816" t="s">
        <v>8947</v>
      </c>
      <c r="I8816">
        <v>308</v>
      </c>
      <c r="J8816">
        <v>243</v>
      </c>
      <c r="K8816">
        <v>0</v>
      </c>
      <c r="L8816">
        <v>0</v>
      </c>
      <c r="M8816">
        <v>0</v>
      </c>
      <c r="N8816">
        <v>0</v>
      </c>
      <c r="O8816">
        <v>65</v>
      </c>
    </row>
    <row r="8817" spans="1:15" x14ac:dyDescent="0.25">
      <c r="A8817" t="s">
        <v>996</v>
      </c>
      <c r="B8817" t="s">
        <v>1952</v>
      </c>
      <c r="C8817" t="s">
        <v>923</v>
      </c>
      <c r="D8817" t="s">
        <v>3063</v>
      </c>
      <c r="E8817" t="s">
        <v>3053</v>
      </c>
      <c r="F8817" t="s">
        <v>802</v>
      </c>
      <c r="G8817" t="s">
        <v>803</v>
      </c>
      <c r="H8817" t="s">
        <v>8948</v>
      </c>
      <c r="I8817">
        <v>17</v>
      </c>
      <c r="J8817">
        <v>0</v>
      </c>
      <c r="K8817">
        <v>0</v>
      </c>
      <c r="L8817">
        <v>17</v>
      </c>
      <c r="M8817">
        <v>0</v>
      </c>
      <c r="N8817">
        <v>0</v>
      </c>
      <c r="O8817">
        <v>0</v>
      </c>
    </row>
    <row r="8818" spans="1:15" x14ac:dyDescent="0.25">
      <c r="A8818" t="s">
        <v>1597</v>
      </c>
      <c r="B8818" t="s">
        <v>2231</v>
      </c>
      <c r="C8818" t="s">
        <v>923</v>
      </c>
      <c r="D8818" t="s">
        <v>3063</v>
      </c>
      <c r="E8818" t="s">
        <v>3053</v>
      </c>
      <c r="F8818" t="s">
        <v>802</v>
      </c>
      <c r="G8818" t="s">
        <v>803</v>
      </c>
      <c r="H8818" t="s">
        <v>10055</v>
      </c>
      <c r="I8818">
        <v>6</v>
      </c>
      <c r="J8818">
        <v>6</v>
      </c>
      <c r="K8818">
        <v>0</v>
      </c>
      <c r="L8818">
        <v>0</v>
      </c>
      <c r="M8818">
        <v>0</v>
      </c>
      <c r="N8818">
        <v>0</v>
      </c>
      <c r="O8818">
        <v>0</v>
      </c>
    </row>
    <row r="8819" spans="1:15" x14ac:dyDescent="0.25">
      <c r="A8819" t="s">
        <v>935</v>
      </c>
      <c r="B8819" t="s">
        <v>1960</v>
      </c>
      <c r="C8819" t="s">
        <v>923</v>
      </c>
      <c r="D8819" t="s">
        <v>3063</v>
      </c>
      <c r="E8819" t="s">
        <v>3053</v>
      </c>
      <c r="F8819" t="s">
        <v>802</v>
      </c>
      <c r="G8819" t="s">
        <v>803</v>
      </c>
      <c r="H8819" t="s">
        <v>8949</v>
      </c>
      <c r="I8819">
        <v>7</v>
      </c>
      <c r="J8819">
        <v>0</v>
      </c>
      <c r="K8819">
        <v>0</v>
      </c>
      <c r="L8819">
        <v>7</v>
      </c>
      <c r="M8819">
        <v>0</v>
      </c>
      <c r="N8819">
        <v>0</v>
      </c>
      <c r="O8819">
        <v>0</v>
      </c>
    </row>
    <row r="8820" spans="1:15" x14ac:dyDescent="0.25">
      <c r="A8820" t="s">
        <v>1005</v>
      </c>
      <c r="B8820" t="s">
        <v>2128</v>
      </c>
      <c r="C8820" t="s">
        <v>927</v>
      </c>
      <c r="D8820" t="s">
        <v>3052</v>
      </c>
      <c r="E8820" t="s">
        <v>3053</v>
      </c>
      <c r="F8820" t="s">
        <v>802</v>
      </c>
      <c r="G8820" t="s">
        <v>803</v>
      </c>
      <c r="H8820" t="s">
        <v>8950</v>
      </c>
      <c r="I8820">
        <v>4</v>
      </c>
      <c r="J8820">
        <v>0</v>
      </c>
      <c r="K8820">
        <v>0</v>
      </c>
      <c r="L8820">
        <v>4</v>
      </c>
      <c r="M8820">
        <v>0</v>
      </c>
      <c r="N8820">
        <v>0</v>
      </c>
      <c r="O8820">
        <v>0</v>
      </c>
    </row>
    <row r="8821" spans="1:15" x14ac:dyDescent="0.25">
      <c r="A8821" t="s">
        <v>10643</v>
      </c>
      <c r="B8821" t="s">
        <v>2987</v>
      </c>
      <c r="C8821" t="s">
        <v>927</v>
      </c>
      <c r="D8821" t="s">
        <v>3052</v>
      </c>
      <c r="E8821" t="s">
        <v>3053</v>
      </c>
      <c r="F8821" t="s">
        <v>802</v>
      </c>
      <c r="G8821" t="s">
        <v>803</v>
      </c>
      <c r="H8821" t="s">
        <v>11425</v>
      </c>
      <c r="I8821">
        <v>575</v>
      </c>
      <c r="J8821">
        <v>482</v>
      </c>
      <c r="K8821">
        <v>0</v>
      </c>
      <c r="L8821">
        <v>13</v>
      </c>
      <c r="M8821">
        <v>0</v>
      </c>
      <c r="N8821">
        <v>1</v>
      </c>
      <c r="O8821">
        <v>80</v>
      </c>
    </row>
    <row r="8822" spans="1:15" x14ac:dyDescent="0.25">
      <c r="A8822" t="s">
        <v>937</v>
      </c>
      <c r="B8822" t="s">
        <v>1962</v>
      </c>
      <c r="C8822" t="s">
        <v>927</v>
      </c>
      <c r="D8822" t="s">
        <v>3052</v>
      </c>
      <c r="E8822" t="s">
        <v>3053</v>
      </c>
      <c r="F8822" t="s">
        <v>802</v>
      </c>
      <c r="G8822" t="s">
        <v>803</v>
      </c>
      <c r="H8822" t="s">
        <v>8951</v>
      </c>
      <c r="I8822">
        <v>65</v>
      </c>
      <c r="J8822">
        <v>0</v>
      </c>
      <c r="K8822">
        <v>0</v>
      </c>
      <c r="L8822">
        <v>0</v>
      </c>
      <c r="M8822">
        <v>0</v>
      </c>
      <c r="N8822">
        <v>0</v>
      </c>
      <c r="O8822">
        <v>65</v>
      </c>
    </row>
    <row r="8823" spans="1:15" x14ac:dyDescent="0.25">
      <c r="A8823" t="s">
        <v>1011</v>
      </c>
      <c r="B8823" t="s">
        <v>2020</v>
      </c>
      <c r="C8823" t="s">
        <v>927</v>
      </c>
      <c r="D8823" t="s">
        <v>3052</v>
      </c>
      <c r="E8823" t="s">
        <v>3053</v>
      </c>
      <c r="F8823" t="s">
        <v>802</v>
      </c>
      <c r="G8823" t="s">
        <v>803</v>
      </c>
      <c r="H8823" t="s">
        <v>10116</v>
      </c>
      <c r="I8823">
        <v>5</v>
      </c>
      <c r="J8823">
        <v>0</v>
      </c>
      <c r="K8823">
        <v>0</v>
      </c>
      <c r="L8823">
        <v>5</v>
      </c>
      <c r="M8823">
        <v>0</v>
      </c>
      <c r="N8823">
        <v>0</v>
      </c>
      <c r="O8823">
        <v>0</v>
      </c>
    </row>
    <row r="8824" spans="1:15" x14ac:dyDescent="0.25">
      <c r="A8824" t="s">
        <v>938</v>
      </c>
      <c r="B8824" t="s">
        <v>2791</v>
      </c>
      <c r="C8824" t="s">
        <v>927</v>
      </c>
      <c r="D8824" t="s">
        <v>3052</v>
      </c>
      <c r="E8824" t="s">
        <v>3053</v>
      </c>
      <c r="F8824" t="s">
        <v>802</v>
      </c>
      <c r="G8824" t="s">
        <v>803</v>
      </c>
      <c r="H8824" t="s">
        <v>8952</v>
      </c>
      <c r="I8824">
        <v>19</v>
      </c>
      <c r="J8824">
        <v>19</v>
      </c>
      <c r="K8824">
        <v>0</v>
      </c>
      <c r="L8824">
        <v>0</v>
      </c>
      <c r="M8824">
        <v>0</v>
      </c>
      <c r="N8824">
        <v>0</v>
      </c>
      <c r="O8824">
        <v>0</v>
      </c>
    </row>
    <row r="8825" spans="1:15" x14ac:dyDescent="0.25">
      <c r="A8825" t="s">
        <v>10667</v>
      </c>
      <c r="B8825" t="s">
        <v>10666</v>
      </c>
      <c r="C8825" t="s">
        <v>927</v>
      </c>
      <c r="D8825" t="s">
        <v>3052</v>
      </c>
      <c r="E8825" t="s">
        <v>3053</v>
      </c>
      <c r="F8825" t="s">
        <v>802</v>
      </c>
      <c r="G8825" t="s">
        <v>803</v>
      </c>
      <c r="H8825" t="s">
        <v>11426</v>
      </c>
      <c r="I8825">
        <v>105</v>
      </c>
      <c r="J8825">
        <v>105</v>
      </c>
      <c r="K8825">
        <v>0</v>
      </c>
      <c r="L8825">
        <v>0</v>
      </c>
      <c r="M8825">
        <v>0</v>
      </c>
      <c r="N8825">
        <v>0</v>
      </c>
      <c r="O8825">
        <v>0</v>
      </c>
    </row>
    <row r="8826" spans="1:15" x14ac:dyDescent="0.25">
      <c r="A8826" t="s">
        <v>1126</v>
      </c>
      <c r="B8826" t="s">
        <v>2130</v>
      </c>
      <c r="C8826" t="s">
        <v>927</v>
      </c>
      <c r="D8826" t="s">
        <v>3052</v>
      </c>
      <c r="E8826" t="s">
        <v>3053</v>
      </c>
      <c r="F8826" t="s">
        <v>802</v>
      </c>
      <c r="G8826" t="s">
        <v>803</v>
      </c>
      <c r="H8826" t="s">
        <v>10170</v>
      </c>
      <c r="I8826">
        <v>54</v>
      </c>
      <c r="J8826">
        <v>21</v>
      </c>
      <c r="K8826">
        <v>0</v>
      </c>
      <c r="L8826">
        <v>0</v>
      </c>
      <c r="M8826">
        <v>0</v>
      </c>
      <c r="N8826">
        <v>0</v>
      </c>
      <c r="O8826">
        <v>33</v>
      </c>
    </row>
    <row r="8827" spans="1:15" x14ac:dyDescent="0.25">
      <c r="A8827" t="s">
        <v>1025</v>
      </c>
      <c r="B8827" t="s">
        <v>2893</v>
      </c>
      <c r="C8827" t="s">
        <v>927</v>
      </c>
      <c r="D8827" t="s">
        <v>3052</v>
      </c>
      <c r="E8827" t="s">
        <v>3053</v>
      </c>
      <c r="F8827" t="s">
        <v>802</v>
      </c>
      <c r="G8827" t="s">
        <v>803</v>
      </c>
      <c r="H8827" t="s">
        <v>8953</v>
      </c>
      <c r="I8827">
        <v>11</v>
      </c>
      <c r="J8827">
        <v>0</v>
      </c>
      <c r="K8827">
        <v>0</v>
      </c>
      <c r="L8827">
        <v>0</v>
      </c>
      <c r="M8827">
        <v>0</v>
      </c>
      <c r="N8827">
        <v>0</v>
      </c>
      <c r="O8827">
        <v>11</v>
      </c>
    </row>
    <row r="8828" spans="1:15" x14ac:dyDescent="0.25">
      <c r="A8828" t="s">
        <v>943</v>
      </c>
      <c r="B8828" t="s">
        <v>2694</v>
      </c>
      <c r="C8828" t="s">
        <v>927</v>
      </c>
      <c r="D8828" t="s">
        <v>3052</v>
      </c>
      <c r="E8828" t="s">
        <v>3053</v>
      </c>
      <c r="F8828" t="s">
        <v>802</v>
      </c>
      <c r="G8828" t="s">
        <v>803</v>
      </c>
      <c r="H8828" t="s">
        <v>8954</v>
      </c>
      <c r="I8828">
        <v>20</v>
      </c>
      <c r="J8828">
        <v>20</v>
      </c>
      <c r="K8828">
        <v>0</v>
      </c>
      <c r="L8828">
        <v>0</v>
      </c>
      <c r="M8828">
        <v>0</v>
      </c>
      <c r="N8828">
        <v>0</v>
      </c>
      <c r="O8828">
        <v>0</v>
      </c>
    </row>
    <row r="8829" spans="1:15" x14ac:dyDescent="0.25">
      <c r="A8829" t="s">
        <v>945</v>
      </c>
      <c r="B8829" t="s">
        <v>2668</v>
      </c>
      <c r="C8829" t="s">
        <v>927</v>
      </c>
      <c r="D8829" t="s">
        <v>3052</v>
      </c>
      <c r="E8829" t="s">
        <v>3053</v>
      </c>
      <c r="F8829" t="s">
        <v>802</v>
      </c>
      <c r="G8829" t="s">
        <v>803</v>
      </c>
      <c r="H8829" t="s">
        <v>8955</v>
      </c>
      <c r="I8829">
        <v>1</v>
      </c>
      <c r="J8829">
        <v>0</v>
      </c>
      <c r="K8829">
        <v>0</v>
      </c>
      <c r="L8829">
        <v>0</v>
      </c>
      <c r="M8829">
        <v>0</v>
      </c>
      <c r="N8829">
        <v>0</v>
      </c>
      <c r="O8829">
        <v>1</v>
      </c>
    </row>
    <row r="8830" spans="1:15" x14ac:dyDescent="0.25">
      <c r="A8830" t="s">
        <v>10694</v>
      </c>
      <c r="B8830" t="s">
        <v>10693</v>
      </c>
      <c r="C8830" t="s">
        <v>923</v>
      </c>
      <c r="D8830" t="s">
        <v>3063</v>
      </c>
      <c r="E8830" t="s">
        <v>3053</v>
      </c>
      <c r="F8830" t="s">
        <v>802</v>
      </c>
      <c r="G8830" t="s">
        <v>803</v>
      </c>
      <c r="H8830" t="s">
        <v>15370</v>
      </c>
      <c r="I8830">
        <v>8</v>
      </c>
      <c r="J8830">
        <v>8</v>
      </c>
      <c r="K8830">
        <v>0</v>
      </c>
      <c r="L8830">
        <v>0</v>
      </c>
      <c r="M8830">
        <v>0</v>
      </c>
      <c r="N8830">
        <v>0</v>
      </c>
      <c r="O8830">
        <v>0</v>
      </c>
    </row>
    <row r="8831" spans="1:15" x14ac:dyDescent="0.25">
      <c r="A8831" t="s">
        <v>1146</v>
      </c>
      <c r="B8831" t="s">
        <v>2117</v>
      </c>
      <c r="C8831" t="s">
        <v>927</v>
      </c>
      <c r="D8831" t="s">
        <v>3052</v>
      </c>
      <c r="E8831" t="s">
        <v>3053</v>
      </c>
      <c r="F8831" t="s">
        <v>802</v>
      </c>
      <c r="G8831" t="s">
        <v>803</v>
      </c>
      <c r="H8831" t="s">
        <v>15371</v>
      </c>
      <c r="I8831">
        <v>170</v>
      </c>
      <c r="J8831">
        <v>122</v>
      </c>
      <c r="K8831">
        <v>0</v>
      </c>
      <c r="L8831">
        <v>0</v>
      </c>
      <c r="M8831">
        <v>0</v>
      </c>
      <c r="N8831">
        <v>0</v>
      </c>
      <c r="O8831">
        <v>48</v>
      </c>
    </row>
    <row r="8832" spans="1:15" x14ac:dyDescent="0.25">
      <c r="A8832" t="s">
        <v>1049</v>
      </c>
      <c r="B8832" t="s">
        <v>2138</v>
      </c>
      <c r="C8832" t="s">
        <v>927</v>
      </c>
      <c r="D8832" t="s">
        <v>3052</v>
      </c>
      <c r="E8832" t="s">
        <v>3053</v>
      </c>
      <c r="F8832" t="s">
        <v>802</v>
      </c>
      <c r="G8832" t="s">
        <v>803</v>
      </c>
      <c r="H8832" t="s">
        <v>10314</v>
      </c>
      <c r="I8832">
        <v>7</v>
      </c>
      <c r="J8832">
        <v>7</v>
      </c>
      <c r="K8832">
        <v>0</v>
      </c>
      <c r="L8832">
        <v>0</v>
      </c>
      <c r="M8832">
        <v>0</v>
      </c>
      <c r="N8832">
        <v>0</v>
      </c>
      <c r="O8832">
        <v>0</v>
      </c>
    </row>
    <row r="8833" spans="1:15" x14ac:dyDescent="0.25">
      <c r="A8833" t="s">
        <v>11720</v>
      </c>
      <c r="B8833" t="s">
        <v>10718</v>
      </c>
      <c r="C8833" t="s">
        <v>927</v>
      </c>
      <c r="D8833" t="s">
        <v>3052</v>
      </c>
      <c r="E8833" t="s">
        <v>3053</v>
      </c>
      <c r="F8833" t="s">
        <v>802</v>
      </c>
      <c r="G8833" t="s">
        <v>803</v>
      </c>
      <c r="H8833" t="s">
        <v>15372</v>
      </c>
      <c r="I8833">
        <v>11</v>
      </c>
      <c r="J8833">
        <v>0</v>
      </c>
      <c r="K8833">
        <v>0</v>
      </c>
      <c r="L8833">
        <v>0</v>
      </c>
      <c r="M8833">
        <v>0</v>
      </c>
      <c r="N8833">
        <v>0</v>
      </c>
      <c r="O8833">
        <v>11</v>
      </c>
    </row>
    <row r="8834" spans="1:15" x14ac:dyDescent="0.25">
      <c r="A8834" t="s">
        <v>955</v>
      </c>
      <c r="B8834" t="s">
        <v>2660</v>
      </c>
      <c r="C8834" t="s">
        <v>927</v>
      </c>
      <c r="D8834" t="s">
        <v>3052</v>
      </c>
      <c r="E8834" t="s">
        <v>3053</v>
      </c>
      <c r="F8834" t="s">
        <v>802</v>
      </c>
      <c r="G8834" t="s">
        <v>803</v>
      </c>
      <c r="H8834" t="s">
        <v>8956</v>
      </c>
      <c r="I8834">
        <v>17</v>
      </c>
      <c r="J8834">
        <v>15</v>
      </c>
      <c r="K8834">
        <v>0</v>
      </c>
      <c r="L8834">
        <v>0</v>
      </c>
      <c r="M8834">
        <v>0</v>
      </c>
      <c r="N8834">
        <v>0</v>
      </c>
      <c r="O8834">
        <v>2</v>
      </c>
    </row>
    <row r="8835" spans="1:15" x14ac:dyDescent="0.25">
      <c r="A8835" t="s">
        <v>1658</v>
      </c>
      <c r="B8835" t="s">
        <v>2892</v>
      </c>
      <c r="C8835" t="s">
        <v>927</v>
      </c>
      <c r="D8835" t="s">
        <v>3052</v>
      </c>
      <c r="E8835" t="s">
        <v>3053</v>
      </c>
      <c r="F8835" t="s">
        <v>802</v>
      </c>
      <c r="G8835" t="s">
        <v>803</v>
      </c>
      <c r="H8835" t="s">
        <v>8957</v>
      </c>
      <c r="I8835">
        <v>250</v>
      </c>
      <c r="J8835">
        <v>190</v>
      </c>
      <c r="K8835">
        <v>0</v>
      </c>
      <c r="L8835">
        <v>0</v>
      </c>
      <c r="M8835">
        <v>0</v>
      </c>
      <c r="N8835">
        <v>0</v>
      </c>
      <c r="O8835">
        <v>60</v>
      </c>
    </row>
    <row r="8836" spans="1:15" x14ac:dyDescent="0.25">
      <c r="A8836" t="s">
        <v>1660</v>
      </c>
      <c r="B8836" t="s">
        <v>2827</v>
      </c>
      <c r="C8836" t="s">
        <v>927</v>
      </c>
      <c r="D8836" t="s">
        <v>3052</v>
      </c>
      <c r="E8836" t="s">
        <v>3053</v>
      </c>
      <c r="F8836" t="s">
        <v>802</v>
      </c>
      <c r="G8836" t="s">
        <v>803</v>
      </c>
      <c r="H8836" t="s">
        <v>8958</v>
      </c>
      <c r="I8836">
        <v>977</v>
      </c>
      <c r="J8836">
        <v>729</v>
      </c>
      <c r="K8836">
        <v>0</v>
      </c>
      <c r="L8836">
        <v>27</v>
      </c>
      <c r="M8836">
        <v>0</v>
      </c>
      <c r="N8836">
        <v>0</v>
      </c>
      <c r="O8836">
        <v>221</v>
      </c>
    </row>
    <row r="8837" spans="1:15" x14ac:dyDescent="0.25">
      <c r="A8837" t="s">
        <v>960</v>
      </c>
      <c r="B8837" t="s">
        <v>2080</v>
      </c>
      <c r="C8837" t="s">
        <v>927</v>
      </c>
      <c r="D8837" t="s">
        <v>3052</v>
      </c>
      <c r="E8837" t="s">
        <v>3053</v>
      </c>
      <c r="F8837" t="s">
        <v>802</v>
      </c>
      <c r="G8837" t="s">
        <v>803</v>
      </c>
      <c r="H8837" t="s">
        <v>8959</v>
      </c>
      <c r="I8837">
        <v>6480</v>
      </c>
      <c r="J8837">
        <v>5824</v>
      </c>
      <c r="K8837">
        <v>0</v>
      </c>
      <c r="L8837">
        <v>77</v>
      </c>
      <c r="M8837">
        <v>240</v>
      </c>
      <c r="N8837">
        <v>32</v>
      </c>
      <c r="O8837">
        <v>339</v>
      </c>
    </row>
    <row r="8838" spans="1:15" x14ac:dyDescent="0.25">
      <c r="A8838" t="s">
        <v>962</v>
      </c>
      <c r="B8838" t="s">
        <v>2752</v>
      </c>
      <c r="C8838" t="s">
        <v>927</v>
      </c>
      <c r="D8838" t="s">
        <v>3052</v>
      </c>
      <c r="E8838" t="s">
        <v>3053</v>
      </c>
      <c r="F8838" t="s">
        <v>802</v>
      </c>
      <c r="G8838" t="s">
        <v>803</v>
      </c>
      <c r="H8838" t="s">
        <v>8960</v>
      </c>
      <c r="I8838">
        <v>393</v>
      </c>
      <c r="J8838">
        <v>246</v>
      </c>
      <c r="K8838">
        <v>0</v>
      </c>
      <c r="L8838">
        <v>19</v>
      </c>
      <c r="M8838">
        <v>0</v>
      </c>
      <c r="N8838">
        <v>0</v>
      </c>
      <c r="O8838">
        <v>128</v>
      </c>
    </row>
    <row r="8839" spans="1:15" x14ac:dyDescent="0.25">
      <c r="A8839" t="s">
        <v>964</v>
      </c>
      <c r="B8839" t="s">
        <v>1969</v>
      </c>
      <c r="C8839" t="s">
        <v>927</v>
      </c>
      <c r="D8839" t="s">
        <v>3052</v>
      </c>
      <c r="E8839" t="s">
        <v>3053</v>
      </c>
      <c r="F8839" t="s">
        <v>802</v>
      </c>
      <c r="G8839" t="s">
        <v>803</v>
      </c>
      <c r="H8839" t="s">
        <v>8961</v>
      </c>
      <c r="I8839">
        <v>22</v>
      </c>
      <c r="J8839">
        <v>12</v>
      </c>
      <c r="K8839">
        <v>0</v>
      </c>
      <c r="L8839">
        <v>0</v>
      </c>
      <c r="M8839">
        <v>0</v>
      </c>
      <c r="N8839">
        <v>0</v>
      </c>
      <c r="O8839">
        <v>10</v>
      </c>
    </row>
    <row r="8840" spans="1:15" x14ac:dyDescent="0.25">
      <c r="A8840" t="s">
        <v>1069</v>
      </c>
      <c r="B8840" t="s">
        <v>2001</v>
      </c>
      <c r="C8840" t="s">
        <v>927</v>
      </c>
      <c r="D8840" t="s">
        <v>3052</v>
      </c>
      <c r="E8840" t="s">
        <v>3053</v>
      </c>
      <c r="F8840" t="s">
        <v>802</v>
      </c>
      <c r="G8840" t="s">
        <v>803</v>
      </c>
      <c r="H8840" t="s">
        <v>8962</v>
      </c>
      <c r="I8840">
        <v>12</v>
      </c>
      <c r="J8840">
        <v>9</v>
      </c>
      <c r="K8840">
        <v>0</v>
      </c>
      <c r="L8840">
        <v>0</v>
      </c>
      <c r="M8840">
        <v>0</v>
      </c>
      <c r="N8840">
        <v>0</v>
      </c>
      <c r="O8840">
        <v>3</v>
      </c>
    </row>
    <row r="8841" spans="1:15" x14ac:dyDescent="0.25">
      <c r="A8841" t="s">
        <v>981</v>
      </c>
      <c r="B8841" t="s">
        <v>2985</v>
      </c>
      <c r="C8841" t="s">
        <v>927</v>
      </c>
      <c r="D8841" t="s">
        <v>3052</v>
      </c>
      <c r="E8841" t="s">
        <v>3053</v>
      </c>
      <c r="F8841" t="s">
        <v>802</v>
      </c>
      <c r="G8841" t="s">
        <v>803</v>
      </c>
      <c r="H8841" t="s">
        <v>8944</v>
      </c>
      <c r="I8841">
        <v>79</v>
      </c>
      <c r="J8841">
        <v>34</v>
      </c>
      <c r="K8841">
        <v>0</v>
      </c>
      <c r="L8841">
        <v>0</v>
      </c>
      <c r="M8841">
        <v>36</v>
      </c>
      <c r="N8841">
        <v>0</v>
      </c>
      <c r="O8841">
        <v>9</v>
      </c>
    </row>
    <row r="8842" spans="1:15" x14ac:dyDescent="0.25">
      <c r="A8842" t="s">
        <v>11723</v>
      </c>
      <c r="B8842" t="s">
        <v>2719</v>
      </c>
      <c r="C8842" t="s">
        <v>927</v>
      </c>
      <c r="D8842" t="s">
        <v>3052</v>
      </c>
      <c r="E8842" t="s">
        <v>3053</v>
      </c>
      <c r="F8842" t="s">
        <v>804</v>
      </c>
      <c r="G8842" t="s">
        <v>805</v>
      </c>
      <c r="H8842" t="s">
        <v>12447</v>
      </c>
      <c r="I8842">
        <v>2</v>
      </c>
      <c r="J8842">
        <v>2</v>
      </c>
      <c r="K8842">
        <v>0</v>
      </c>
      <c r="L8842">
        <v>0</v>
      </c>
      <c r="M8842">
        <v>0</v>
      </c>
      <c r="N8842">
        <v>0</v>
      </c>
      <c r="O8842">
        <v>0</v>
      </c>
    </row>
    <row r="8843" spans="1:15" x14ac:dyDescent="0.25">
      <c r="A8843" t="s">
        <v>971</v>
      </c>
      <c r="B8843" t="s">
        <v>2956</v>
      </c>
      <c r="C8843" t="s">
        <v>927</v>
      </c>
      <c r="D8843" t="s">
        <v>3052</v>
      </c>
      <c r="E8843" t="s">
        <v>3053</v>
      </c>
      <c r="F8843" t="s">
        <v>804</v>
      </c>
      <c r="G8843" t="s">
        <v>805</v>
      </c>
      <c r="H8843" t="s">
        <v>8963</v>
      </c>
      <c r="I8843">
        <v>306</v>
      </c>
      <c r="J8843">
        <v>212</v>
      </c>
      <c r="K8843">
        <v>0</v>
      </c>
      <c r="L8843">
        <v>0</v>
      </c>
      <c r="M8843">
        <v>67</v>
      </c>
      <c r="N8843">
        <v>0</v>
      </c>
      <c r="O8843">
        <v>27</v>
      </c>
    </row>
    <row r="8844" spans="1:15" x14ac:dyDescent="0.25">
      <c r="A8844" t="s">
        <v>929</v>
      </c>
      <c r="B8844" t="s">
        <v>2999</v>
      </c>
      <c r="C8844" t="s">
        <v>927</v>
      </c>
      <c r="D8844" t="s">
        <v>3052</v>
      </c>
      <c r="E8844" t="s">
        <v>3053</v>
      </c>
      <c r="F8844" t="s">
        <v>804</v>
      </c>
      <c r="G8844" t="s">
        <v>805</v>
      </c>
      <c r="H8844" t="s">
        <v>8964</v>
      </c>
      <c r="I8844">
        <v>127</v>
      </c>
      <c r="J8844">
        <v>0</v>
      </c>
      <c r="K8844">
        <v>0</v>
      </c>
      <c r="L8844">
        <v>0</v>
      </c>
      <c r="M8844">
        <v>124</v>
      </c>
      <c r="N8844">
        <v>0</v>
      </c>
      <c r="O8844">
        <v>3</v>
      </c>
    </row>
    <row r="8845" spans="1:15" x14ac:dyDescent="0.25">
      <c r="A8845" t="s">
        <v>978</v>
      </c>
      <c r="B8845" t="s">
        <v>1999</v>
      </c>
      <c r="C8845" t="s">
        <v>923</v>
      </c>
      <c r="D8845" t="s">
        <v>3063</v>
      </c>
      <c r="E8845" t="s">
        <v>3053</v>
      </c>
      <c r="F8845" t="s">
        <v>804</v>
      </c>
      <c r="G8845" t="s">
        <v>805</v>
      </c>
      <c r="H8845" t="s">
        <v>8965</v>
      </c>
      <c r="I8845">
        <v>1</v>
      </c>
      <c r="J8845">
        <v>1</v>
      </c>
      <c r="K8845">
        <v>0</v>
      </c>
      <c r="L8845">
        <v>0</v>
      </c>
      <c r="M8845">
        <v>0</v>
      </c>
      <c r="N8845">
        <v>0</v>
      </c>
      <c r="O8845">
        <v>0</v>
      </c>
    </row>
    <row r="8846" spans="1:15" x14ac:dyDescent="0.25">
      <c r="A8846" t="s">
        <v>9790</v>
      </c>
      <c r="B8846" t="s">
        <v>1977</v>
      </c>
      <c r="C8846" t="s">
        <v>923</v>
      </c>
      <c r="D8846" t="s">
        <v>3063</v>
      </c>
      <c r="E8846" t="s">
        <v>3053</v>
      </c>
      <c r="F8846" t="s">
        <v>804</v>
      </c>
      <c r="G8846" t="s">
        <v>805</v>
      </c>
      <c r="H8846" t="s">
        <v>12448</v>
      </c>
      <c r="I8846">
        <v>3</v>
      </c>
      <c r="J8846">
        <v>0</v>
      </c>
      <c r="K8846">
        <v>0</v>
      </c>
      <c r="L8846">
        <v>3</v>
      </c>
      <c r="M8846">
        <v>0</v>
      </c>
      <c r="N8846">
        <v>0</v>
      </c>
      <c r="O8846">
        <v>0</v>
      </c>
    </row>
    <row r="8847" spans="1:15" x14ac:dyDescent="0.25">
      <c r="A8847" t="s">
        <v>9784</v>
      </c>
      <c r="B8847" t="s">
        <v>1994</v>
      </c>
      <c r="C8847" t="s">
        <v>927</v>
      </c>
      <c r="D8847" t="s">
        <v>3052</v>
      </c>
      <c r="E8847" t="s">
        <v>3053</v>
      </c>
      <c r="F8847" t="s">
        <v>804</v>
      </c>
      <c r="G8847" t="s">
        <v>805</v>
      </c>
      <c r="H8847" t="s">
        <v>9995</v>
      </c>
      <c r="I8847">
        <v>6</v>
      </c>
      <c r="J8847">
        <v>0</v>
      </c>
      <c r="K8847">
        <v>0</v>
      </c>
      <c r="L8847">
        <v>6</v>
      </c>
      <c r="M8847">
        <v>0</v>
      </c>
      <c r="N8847">
        <v>0</v>
      </c>
      <c r="O8847">
        <v>0</v>
      </c>
    </row>
    <row r="8848" spans="1:15" x14ac:dyDescent="0.25">
      <c r="A8848" t="s">
        <v>1874</v>
      </c>
      <c r="B8848" t="s">
        <v>2006</v>
      </c>
      <c r="C8848" t="s">
        <v>923</v>
      </c>
      <c r="D8848" t="s">
        <v>3063</v>
      </c>
      <c r="E8848" t="s">
        <v>3053</v>
      </c>
      <c r="F8848" t="s">
        <v>804</v>
      </c>
      <c r="G8848" t="s">
        <v>805</v>
      </c>
      <c r="H8848" t="s">
        <v>8966</v>
      </c>
      <c r="I8848">
        <v>11</v>
      </c>
      <c r="J8848">
        <v>10</v>
      </c>
      <c r="K8848">
        <v>0</v>
      </c>
      <c r="L8848">
        <v>1</v>
      </c>
      <c r="M8848">
        <v>0</v>
      </c>
      <c r="N8848">
        <v>0</v>
      </c>
      <c r="O8848">
        <v>0</v>
      </c>
    </row>
    <row r="8849" spans="1:15" x14ac:dyDescent="0.25">
      <c r="A8849" t="s">
        <v>1879</v>
      </c>
      <c r="B8849" t="s">
        <v>2783</v>
      </c>
      <c r="C8849" t="s">
        <v>927</v>
      </c>
      <c r="D8849" t="s">
        <v>3052</v>
      </c>
      <c r="E8849" t="s">
        <v>3053</v>
      </c>
      <c r="F8849" t="s">
        <v>804</v>
      </c>
      <c r="G8849" t="s">
        <v>805</v>
      </c>
      <c r="H8849" t="s">
        <v>8967</v>
      </c>
      <c r="I8849">
        <v>73</v>
      </c>
      <c r="J8849">
        <v>32</v>
      </c>
      <c r="K8849">
        <v>0</v>
      </c>
      <c r="L8849">
        <v>0</v>
      </c>
      <c r="M8849">
        <v>8</v>
      </c>
      <c r="N8849">
        <v>0</v>
      </c>
      <c r="O8849">
        <v>33</v>
      </c>
    </row>
    <row r="8850" spans="1:15" x14ac:dyDescent="0.25">
      <c r="A8850" t="s">
        <v>1882</v>
      </c>
      <c r="B8850" t="s">
        <v>2315</v>
      </c>
      <c r="C8850" t="s">
        <v>923</v>
      </c>
      <c r="D8850" t="s">
        <v>3063</v>
      </c>
      <c r="E8850" t="s">
        <v>3053</v>
      </c>
      <c r="F8850" t="s">
        <v>804</v>
      </c>
      <c r="G8850" t="s">
        <v>805</v>
      </c>
      <c r="H8850" t="s">
        <v>8968</v>
      </c>
      <c r="I8850">
        <v>4</v>
      </c>
      <c r="J8850">
        <v>0</v>
      </c>
      <c r="K8850">
        <v>0</v>
      </c>
      <c r="L8850">
        <v>0</v>
      </c>
      <c r="M8850">
        <v>4</v>
      </c>
      <c r="N8850">
        <v>0</v>
      </c>
      <c r="O8850">
        <v>0</v>
      </c>
    </row>
    <row r="8851" spans="1:15" x14ac:dyDescent="0.25">
      <c r="A8851" t="s">
        <v>11660</v>
      </c>
      <c r="B8851" t="s">
        <v>2041</v>
      </c>
      <c r="C8851" t="s">
        <v>923</v>
      </c>
      <c r="D8851" t="s">
        <v>3063</v>
      </c>
      <c r="E8851" t="s">
        <v>3053</v>
      </c>
      <c r="F8851" t="s">
        <v>804</v>
      </c>
      <c r="G8851" t="s">
        <v>805</v>
      </c>
      <c r="H8851" t="s">
        <v>12449</v>
      </c>
      <c r="I8851">
        <v>16</v>
      </c>
      <c r="J8851">
        <v>0</v>
      </c>
      <c r="K8851">
        <v>0</v>
      </c>
      <c r="L8851">
        <v>16</v>
      </c>
      <c r="M8851">
        <v>0</v>
      </c>
      <c r="N8851">
        <v>0</v>
      </c>
      <c r="O8851">
        <v>0</v>
      </c>
    </row>
    <row r="8852" spans="1:15" x14ac:dyDescent="0.25">
      <c r="A8852" t="s">
        <v>10638</v>
      </c>
      <c r="B8852" t="s">
        <v>2057</v>
      </c>
      <c r="C8852" t="s">
        <v>927</v>
      </c>
      <c r="D8852" t="s">
        <v>3052</v>
      </c>
      <c r="E8852" t="s">
        <v>3053</v>
      </c>
      <c r="F8852" t="s">
        <v>804</v>
      </c>
      <c r="G8852" t="s">
        <v>805</v>
      </c>
      <c r="H8852" t="s">
        <v>11427</v>
      </c>
      <c r="I8852">
        <v>29</v>
      </c>
      <c r="J8852">
        <v>0</v>
      </c>
      <c r="K8852">
        <v>0</v>
      </c>
      <c r="L8852">
        <v>29</v>
      </c>
      <c r="M8852">
        <v>0</v>
      </c>
      <c r="N8852">
        <v>0</v>
      </c>
      <c r="O8852">
        <v>0</v>
      </c>
    </row>
    <row r="8853" spans="1:15" x14ac:dyDescent="0.25">
      <c r="A8853" t="s">
        <v>1006</v>
      </c>
      <c r="B8853" t="s">
        <v>2724</v>
      </c>
      <c r="C8853" t="s">
        <v>927</v>
      </c>
      <c r="D8853" t="s">
        <v>3052</v>
      </c>
      <c r="E8853" t="s">
        <v>3053</v>
      </c>
      <c r="F8853" t="s">
        <v>804</v>
      </c>
      <c r="G8853" t="s">
        <v>805</v>
      </c>
      <c r="H8853" t="s">
        <v>10084</v>
      </c>
      <c r="I8853">
        <v>1</v>
      </c>
      <c r="J8853">
        <v>0</v>
      </c>
      <c r="K8853">
        <v>0</v>
      </c>
      <c r="L8853">
        <v>0</v>
      </c>
      <c r="M8853">
        <v>0</v>
      </c>
      <c r="N8853">
        <v>0</v>
      </c>
      <c r="O8853">
        <v>1</v>
      </c>
    </row>
    <row r="8854" spans="1:15" x14ac:dyDescent="0.25">
      <c r="A8854" t="s">
        <v>1008</v>
      </c>
      <c r="B8854" t="s">
        <v>2928</v>
      </c>
      <c r="C8854" t="s">
        <v>927</v>
      </c>
      <c r="D8854" t="s">
        <v>3052</v>
      </c>
      <c r="E8854" t="s">
        <v>3053</v>
      </c>
      <c r="F8854" t="s">
        <v>804</v>
      </c>
      <c r="G8854" t="s">
        <v>805</v>
      </c>
      <c r="H8854" t="s">
        <v>8969</v>
      </c>
      <c r="I8854">
        <v>65</v>
      </c>
      <c r="J8854">
        <v>64</v>
      </c>
      <c r="K8854">
        <v>0</v>
      </c>
      <c r="L8854">
        <v>1</v>
      </c>
      <c r="M8854">
        <v>0</v>
      </c>
      <c r="N8854">
        <v>2</v>
      </c>
      <c r="O8854">
        <v>0</v>
      </c>
    </row>
    <row r="8855" spans="1:15" x14ac:dyDescent="0.25">
      <c r="A8855" t="s">
        <v>937</v>
      </c>
      <c r="B8855" t="s">
        <v>1962</v>
      </c>
      <c r="C8855" t="s">
        <v>927</v>
      </c>
      <c r="D8855" t="s">
        <v>3052</v>
      </c>
      <c r="E8855" t="s">
        <v>3053</v>
      </c>
      <c r="F8855" t="s">
        <v>804</v>
      </c>
      <c r="G8855" t="s">
        <v>805</v>
      </c>
      <c r="H8855" t="s">
        <v>8970</v>
      </c>
      <c r="I8855">
        <v>141</v>
      </c>
      <c r="J8855">
        <v>0</v>
      </c>
      <c r="K8855">
        <v>0</v>
      </c>
      <c r="L8855">
        <v>0</v>
      </c>
      <c r="M8855">
        <v>0</v>
      </c>
      <c r="N8855">
        <v>0</v>
      </c>
      <c r="O8855">
        <v>141</v>
      </c>
    </row>
    <row r="8856" spans="1:15" x14ac:dyDescent="0.25">
      <c r="A8856" t="s">
        <v>1891</v>
      </c>
      <c r="B8856" t="s">
        <v>2034</v>
      </c>
      <c r="C8856" t="s">
        <v>923</v>
      </c>
      <c r="D8856" t="s">
        <v>3063</v>
      </c>
      <c r="E8856" t="s">
        <v>3053</v>
      </c>
      <c r="F8856" t="s">
        <v>804</v>
      </c>
      <c r="G8856" t="s">
        <v>805</v>
      </c>
      <c r="H8856" t="s">
        <v>8971</v>
      </c>
      <c r="I8856">
        <v>67</v>
      </c>
      <c r="J8856">
        <v>16</v>
      </c>
      <c r="K8856">
        <v>0</v>
      </c>
      <c r="L8856">
        <v>51</v>
      </c>
      <c r="M8856">
        <v>0</v>
      </c>
      <c r="N8856">
        <v>0</v>
      </c>
      <c r="O8856">
        <v>0</v>
      </c>
    </row>
    <row r="8857" spans="1:15" x14ac:dyDescent="0.25">
      <c r="A8857" t="s">
        <v>938</v>
      </c>
      <c r="B8857" t="s">
        <v>2791</v>
      </c>
      <c r="C8857" t="s">
        <v>927</v>
      </c>
      <c r="D8857" t="s">
        <v>3052</v>
      </c>
      <c r="E8857" t="s">
        <v>3053</v>
      </c>
      <c r="F8857" t="s">
        <v>804</v>
      </c>
      <c r="G8857" t="s">
        <v>805</v>
      </c>
      <c r="H8857" t="s">
        <v>8972</v>
      </c>
      <c r="I8857">
        <v>2</v>
      </c>
      <c r="J8857">
        <v>0</v>
      </c>
      <c r="K8857">
        <v>0</v>
      </c>
      <c r="L8857">
        <v>0</v>
      </c>
      <c r="M8857">
        <v>0</v>
      </c>
      <c r="N8857">
        <v>0</v>
      </c>
      <c r="O8857">
        <v>2</v>
      </c>
    </row>
    <row r="8858" spans="1:15" x14ac:dyDescent="0.25">
      <c r="A8858" t="s">
        <v>940</v>
      </c>
      <c r="B8858" t="s">
        <v>2647</v>
      </c>
      <c r="C8858" t="s">
        <v>927</v>
      </c>
      <c r="D8858" t="s">
        <v>3052</v>
      </c>
      <c r="E8858" t="s">
        <v>3053</v>
      </c>
      <c r="F8858" t="s">
        <v>804</v>
      </c>
      <c r="G8858" t="s">
        <v>805</v>
      </c>
      <c r="H8858" t="s">
        <v>8973</v>
      </c>
      <c r="I8858">
        <v>25</v>
      </c>
      <c r="J8858">
        <v>0</v>
      </c>
      <c r="K8858">
        <v>0</v>
      </c>
      <c r="L8858">
        <v>0</v>
      </c>
      <c r="M8858">
        <v>25</v>
      </c>
      <c r="N8858">
        <v>0</v>
      </c>
      <c r="O8858">
        <v>0</v>
      </c>
    </row>
    <row r="8859" spans="1:15" x14ac:dyDescent="0.25">
      <c r="A8859" t="s">
        <v>1423</v>
      </c>
      <c r="B8859" t="s">
        <v>2071</v>
      </c>
      <c r="C8859" t="s">
        <v>923</v>
      </c>
      <c r="D8859" t="s">
        <v>3063</v>
      </c>
      <c r="E8859" t="s">
        <v>3053</v>
      </c>
      <c r="F8859" t="s">
        <v>804</v>
      </c>
      <c r="G8859" t="s">
        <v>805</v>
      </c>
      <c r="H8859" t="s">
        <v>8974</v>
      </c>
      <c r="I8859">
        <v>4</v>
      </c>
      <c r="J8859">
        <v>0</v>
      </c>
      <c r="K8859">
        <v>0</v>
      </c>
      <c r="L8859">
        <v>4</v>
      </c>
      <c r="M8859">
        <v>0</v>
      </c>
      <c r="N8859">
        <v>0</v>
      </c>
      <c r="O8859">
        <v>0</v>
      </c>
    </row>
    <row r="8860" spans="1:15" x14ac:dyDescent="0.25">
      <c r="A8860" t="s">
        <v>1013</v>
      </c>
      <c r="B8860" t="s">
        <v>1959</v>
      </c>
      <c r="C8860" t="s">
        <v>927</v>
      </c>
      <c r="D8860" t="s">
        <v>3052</v>
      </c>
      <c r="E8860" t="s">
        <v>3053</v>
      </c>
      <c r="F8860" t="s">
        <v>804</v>
      </c>
      <c r="G8860" t="s">
        <v>805</v>
      </c>
      <c r="H8860" t="s">
        <v>8975</v>
      </c>
      <c r="I8860">
        <v>15</v>
      </c>
      <c r="J8860">
        <v>0</v>
      </c>
      <c r="K8860">
        <v>0</v>
      </c>
      <c r="L8860">
        <v>15</v>
      </c>
      <c r="M8860">
        <v>0</v>
      </c>
      <c r="N8860">
        <v>0</v>
      </c>
      <c r="O8860">
        <v>0</v>
      </c>
    </row>
    <row r="8861" spans="1:15" x14ac:dyDescent="0.25">
      <c r="A8861" t="s">
        <v>1897</v>
      </c>
      <c r="B8861" t="s">
        <v>2883</v>
      </c>
      <c r="C8861" t="s">
        <v>927</v>
      </c>
      <c r="D8861" t="s">
        <v>3052</v>
      </c>
      <c r="E8861" t="s">
        <v>3053</v>
      </c>
      <c r="F8861" t="s">
        <v>804</v>
      </c>
      <c r="G8861" t="s">
        <v>805</v>
      </c>
      <c r="H8861" t="s">
        <v>11428</v>
      </c>
      <c r="I8861">
        <v>65</v>
      </c>
      <c r="J8861">
        <v>62</v>
      </c>
      <c r="K8861">
        <v>0</v>
      </c>
      <c r="L8861">
        <v>0</v>
      </c>
      <c r="M8861">
        <v>0</v>
      </c>
      <c r="N8861">
        <v>0</v>
      </c>
      <c r="O8861">
        <v>3</v>
      </c>
    </row>
    <row r="8862" spans="1:15" x14ac:dyDescent="0.25">
      <c r="A8862" t="s">
        <v>1427</v>
      </c>
      <c r="B8862" t="s">
        <v>2087</v>
      </c>
      <c r="C8862" t="s">
        <v>927</v>
      </c>
      <c r="D8862" t="s">
        <v>3052</v>
      </c>
      <c r="E8862" t="s">
        <v>3053</v>
      </c>
      <c r="F8862" t="s">
        <v>804</v>
      </c>
      <c r="G8862" t="s">
        <v>805</v>
      </c>
      <c r="H8862" t="s">
        <v>8976</v>
      </c>
      <c r="I8862">
        <v>76</v>
      </c>
      <c r="J8862">
        <v>45</v>
      </c>
      <c r="K8862">
        <v>0</v>
      </c>
      <c r="L8862">
        <v>0</v>
      </c>
      <c r="M8862">
        <v>0</v>
      </c>
      <c r="N8862">
        <v>0</v>
      </c>
      <c r="O8862">
        <v>31</v>
      </c>
    </row>
    <row r="8863" spans="1:15" x14ac:dyDescent="0.25">
      <c r="A8863" t="s">
        <v>1018</v>
      </c>
      <c r="B8863" t="s">
        <v>1980</v>
      </c>
      <c r="C8863" t="s">
        <v>923</v>
      </c>
      <c r="D8863" t="s">
        <v>3063</v>
      </c>
      <c r="E8863" t="s">
        <v>3053</v>
      </c>
      <c r="F8863" t="s">
        <v>804</v>
      </c>
      <c r="G8863" t="s">
        <v>805</v>
      </c>
      <c r="H8863" t="s">
        <v>8977</v>
      </c>
      <c r="I8863">
        <v>26</v>
      </c>
      <c r="J8863">
        <v>0</v>
      </c>
      <c r="K8863">
        <v>0</v>
      </c>
      <c r="L8863">
        <v>26</v>
      </c>
      <c r="M8863">
        <v>0</v>
      </c>
      <c r="N8863">
        <v>0</v>
      </c>
      <c r="O8863">
        <v>0</v>
      </c>
    </row>
    <row r="8864" spans="1:15" x14ac:dyDescent="0.25">
      <c r="A8864" t="s">
        <v>1019</v>
      </c>
      <c r="B8864" t="s">
        <v>2944</v>
      </c>
      <c r="C8864" t="s">
        <v>927</v>
      </c>
      <c r="D8864" t="s">
        <v>3052</v>
      </c>
      <c r="E8864" t="s">
        <v>3053</v>
      </c>
      <c r="F8864" t="s">
        <v>804</v>
      </c>
      <c r="G8864" t="s">
        <v>805</v>
      </c>
      <c r="H8864" t="s">
        <v>8978</v>
      </c>
      <c r="I8864">
        <v>232</v>
      </c>
      <c r="J8864">
        <v>150</v>
      </c>
      <c r="K8864">
        <v>0</v>
      </c>
      <c r="L8864">
        <v>4</v>
      </c>
      <c r="M8864">
        <v>0</v>
      </c>
      <c r="N8864">
        <v>0</v>
      </c>
      <c r="O8864">
        <v>78</v>
      </c>
    </row>
    <row r="8865" spans="1:15" x14ac:dyDescent="0.25">
      <c r="A8865" t="s">
        <v>10681</v>
      </c>
      <c r="B8865" t="s">
        <v>10680</v>
      </c>
      <c r="C8865" t="s">
        <v>927</v>
      </c>
      <c r="D8865" t="s">
        <v>3052</v>
      </c>
      <c r="E8865" t="s">
        <v>3053</v>
      </c>
      <c r="F8865" t="s">
        <v>804</v>
      </c>
      <c r="G8865" t="s">
        <v>805</v>
      </c>
      <c r="H8865" t="s">
        <v>15373</v>
      </c>
      <c r="I8865">
        <v>6</v>
      </c>
      <c r="J8865">
        <v>0</v>
      </c>
      <c r="K8865">
        <v>0</v>
      </c>
      <c r="L8865">
        <v>0</v>
      </c>
      <c r="M8865">
        <v>0</v>
      </c>
      <c r="N8865">
        <v>0</v>
      </c>
      <c r="O8865">
        <v>6</v>
      </c>
    </row>
    <row r="8866" spans="1:15" x14ac:dyDescent="0.25">
      <c r="A8866" t="s">
        <v>951</v>
      </c>
      <c r="B8866" t="s">
        <v>2680</v>
      </c>
      <c r="C8866" t="s">
        <v>927</v>
      </c>
      <c r="D8866" t="s">
        <v>3052</v>
      </c>
      <c r="E8866" t="s">
        <v>3053</v>
      </c>
      <c r="F8866" t="s">
        <v>804</v>
      </c>
      <c r="G8866" t="s">
        <v>805</v>
      </c>
      <c r="H8866" t="s">
        <v>8979</v>
      </c>
      <c r="I8866">
        <v>269</v>
      </c>
      <c r="J8866">
        <v>236</v>
      </c>
      <c r="K8866">
        <v>0</v>
      </c>
      <c r="L8866">
        <v>0</v>
      </c>
      <c r="M8866">
        <v>0</v>
      </c>
      <c r="N8866">
        <v>0</v>
      </c>
      <c r="O8866">
        <v>33</v>
      </c>
    </row>
    <row r="8867" spans="1:15" x14ac:dyDescent="0.25">
      <c r="A8867" t="s">
        <v>1050</v>
      </c>
      <c r="B8867" t="s">
        <v>2018</v>
      </c>
      <c r="C8867" t="s">
        <v>923</v>
      </c>
      <c r="D8867" t="s">
        <v>3063</v>
      </c>
      <c r="E8867" t="s">
        <v>3053</v>
      </c>
      <c r="F8867" t="s">
        <v>804</v>
      </c>
      <c r="G8867" t="s">
        <v>805</v>
      </c>
      <c r="H8867" t="s">
        <v>8980</v>
      </c>
      <c r="I8867">
        <v>8</v>
      </c>
      <c r="J8867">
        <v>8</v>
      </c>
      <c r="K8867">
        <v>0</v>
      </c>
      <c r="L8867">
        <v>0</v>
      </c>
      <c r="M8867">
        <v>0</v>
      </c>
      <c r="N8867">
        <v>0</v>
      </c>
      <c r="O8867">
        <v>0</v>
      </c>
    </row>
    <row r="8868" spans="1:15" x14ac:dyDescent="0.25">
      <c r="A8868" t="s">
        <v>11720</v>
      </c>
      <c r="B8868" t="s">
        <v>10718</v>
      </c>
      <c r="C8868" t="s">
        <v>927</v>
      </c>
      <c r="D8868" t="s">
        <v>3052</v>
      </c>
      <c r="E8868" t="s">
        <v>3053</v>
      </c>
      <c r="F8868" t="s">
        <v>804</v>
      </c>
      <c r="G8868" t="s">
        <v>805</v>
      </c>
      <c r="H8868" t="s">
        <v>15374</v>
      </c>
      <c r="I8868">
        <v>9</v>
      </c>
      <c r="J8868">
        <v>0</v>
      </c>
      <c r="K8868">
        <v>0</v>
      </c>
      <c r="L8868">
        <v>0</v>
      </c>
      <c r="M8868">
        <v>0</v>
      </c>
      <c r="N8868">
        <v>0</v>
      </c>
      <c r="O8868">
        <v>9</v>
      </c>
    </row>
    <row r="8869" spans="1:15" x14ac:dyDescent="0.25">
      <c r="A8869" t="s">
        <v>9788</v>
      </c>
      <c r="B8869" t="s">
        <v>9871</v>
      </c>
      <c r="C8869" t="s">
        <v>927</v>
      </c>
      <c r="D8869" t="s">
        <v>3052</v>
      </c>
      <c r="E8869" t="s">
        <v>3053</v>
      </c>
      <c r="F8869" t="s">
        <v>804</v>
      </c>
      <c r="G8869" t="s">
        <v>805</v>
      </c>
      <c r="H8869" t="s">
        <v>10387</v>
      </c>
      <c r="I8869">
        <v>34</v>
      </c>
      <c r="J8869">
        <v>34</v>
      </c>
      <c r="K8869">
        <v>0</v>
      </c>
      <c r="L8869">
        <v>0</v>
      </c>
      <c r="M8869">
        <v>0</v>
      </c>
      <c r="N8869">
        <v>0</v>
      </c>
      <c r="O8869">
        <v>0</v>
      </c>
    </row>
    <row r="8870" spans="1:15" x14ac:dyDescent="0.25">
      <c r="A8870" t="s">
        <v>1060</v>
      </c>
      <c r="B8870" t="s">
        <v>2651</v>
      </c>
      <c r="C8870" t="s">
        <v>927</v>
      </c>
      <c r="D8870" t="s">
        <v>3052</v>
      </c>
      <c r="E8870" t="s">
        <v>3053</v>
      </c>
      <c r="F8870" t="s">
        <v>804</v>
      </c>
      <c r="G8870" t="s">
        <v>805</v>
      </c>
      <c r="H8870" t="s">
        <v>8981</v>
      </c>
      <c r="I8870">
        <v>130</v>
      </c>
      <c r="J8870">
        <v>36</v>
      </c>
      <c r="K8870">
        <v>0</v>
      </c>
      <c r="L8870">
        <v>0</v>
      </c>
      <c r="M8870">
        <v>69</v>
      </c>
      <c r="N8870">
        <v>0</v>
      </c>
      <c r="O8870">
        <v>25</v>
      </c>
    </row>
    <row r="8871" spans="1:15" x14ac:dyDescent="0.25">
      <c r="A8871" t="s">
        <v>14374</v>
      </c>
      <c r="B8871" t="s">
        <v>1943</v>
      </c>
      <c r="C8871" t="s">
        <v>927</v>
      </c>
      <c r="D8871" t="s">
        <v>3052</v>
      </c>
      <c r="E8871" t="s">
        <v>3053</v>
      </c>
      <c r="F8871" t="s">
        <v>804</v>
      </c>
      <c r="G8871" t="s">
        <v>805</v>
      </c>
      <c r="H8871" t="s">
        <v>15375</v>
      </c>
      <c r="I8871">
        <v>26</v>
      </c>
      <c r="J8871">
        <v>0</v>
      </c>
      <c r="K8871">
        <v>0</v>
      </c>
      <c r="L8871">
        <v>0</v>
      </c>
      <c r="M8871">
        <v>0</v>
      </c>
      <c r="N8871">
        <v>0</v>
      </c>
      <c r="O8871">
        <v>26</v>
      </c>
    </row>
    <row r="8872" spans="1:15" x14ac:dyDescent="0.25">
      <c r="A8872" t="s">
        <v>962</v>
      </c>
      <c r="B8872" t="s">
        <v>2752</v>
      </c>
      <c r="C8872" t="s">
        <v>927</v>
      </c>
      <c r="D8872" t="s">
        <v>3052</v>
      </c>
      <c r="E8872" t="s">
        <v>3053</v>
      </c>
      <c r="F8872" t="s">
        <v>804</v>
      </c>
      <c r="G8872" t="s">
        <v>805</v>
      </c>
      <c r="H8872" t="s">
        <v>8982</v>
      </c>
      <c r="I8872">
        <v>177</v>
      </c>
      <c r="J8872">
        <v>126</v>
      </c>
      <c r="K8872">
        <v>0</v>
      </c>
      <c r="L8872">
        <v>1</v>
      </c>
      <c r="M8872">
        <v>0</v>
      </c>
      <c r="N8872">
        <v>0</v>
      </c>
      <c r="O8872">
        <v>50</v>
      </c>
    </row>
    <row r="8873" spans="1:15" x14ac:dyDescent="0.25">
      <c r="A8873" t="s">
        <v>14406</v>
      </c>
      <c r="B8873" t="s">
        <v>15376</v>
      </c>
      <c r="C8873" t="s">
        <v>923</v>
      </c>
      <c r="D8873" t="s">
        <v>3063</v>
      </c>
      <c r="E8873" t="s">
        <v>3053</v>
      </c>
      <c r="F8873" t="s">
        <v>804</v>
      </c>
      <c r="G8873" t="s">
        <v>805</v>
      </c>
      <c r="H8873" t="s">
        <v>15377</v>
      </c>
      <c r="I8873">
        <v>4</v>
      </c>
      <c r="J8873">
        <v>0</v>
      </c>
      <c r="K8873">
        <v>0</v>
      </c>
      <c r="L8873">
        <v>0</v>
      </c>
      <c r="M8873">
        <v>4</v>
      </c>
      <c r="N8873">
        <v>0</v>
      </c>
      <c r="O8873">
        <v>0</v>
      </c>
    </row>
    <row r="8874" spans="1:15" x14ac:dyDescent="0.25">
      <c r="A8874" t="s">
        <v>1069</v>
      </c>
      <c r="B8874" t="s">
        <v>2001</v>
      </c>
      <c r="C8874" t="s">
        <v>927</v>
      </c>
      <c r="D8874" t="s">
        <v>3052</v>
      </c>
      <c r="E8874" t="s">
        <v>3053</v>
      </c>
      <c r="F8874" t="s">
        <v>804</v>
      </c>
      <c r="G8874" t="s">
        <v>805</v>
      </c>
      <c r="H8874" t="s">
        <v>8983</v>
      </c>
      <c r="I8874">
        <v>504</v>
      </c>
      <c r="J8874">
        <v>210</v>
      </c>
      <c r="K8874">
        <v>0</v>
      </c>
      <c r="L8874">
        <v>0</v>
      </c>
      <c r="M8874">
        <v>221</v>
      </c>
      <c r="N8874">
        <v>1</v>
      </c>
      <c r="O8874">
        <v>73</v>
      </c>
    </row>
    <row r="8875" spans="1:15" x14ac:dyDescent="0.25">
      <c r="A8875" t="s">
        <v>1072</v>
      </c>
      <c r="B8875" t="s">
        <v>2907</v>
      </c>
      <c r="C8875" t="s">
        <v>927</v>
      </c>
      <c r="D8875" t="s">
        <v>3052</v>
      </c>
      <c r="E8875" t="s">
        <v>3053</v>
      </c>
      <c r="F8875" t="s">
        <v>804</v>
      </c>
      <c r="G8875" t="s">
        <v>805</v>
      </c>
      <c r="H8875" t="s">
        <v>8984</v>
      </c>
      <c r="I8875">
        <v>236</v>
      </c>
      <c r="J8875">
        <v>146</v>
      </c>
      <c r="K8875">
        <v>0</v>
      </c>
      <c r="L8875">
        <v>82</v>
      </c>
      <c r="M8875">
        <v>0</v>
      </c>
      <c r="N8875">
        <v>0</v>
      </c>
      <c r="O8875">
        <v>8</v>
      </c>
    </row>
    <row r="8876" spans="1:15" x14ac:dyDescent="0.25">
      <c r="A8876" t="s">
        <v>1075</v>
      </c>
      <c r="B8876" t="s">
        <v>2830</v>
      </c>
      <c r="C8876" t="s">
        <v>927</v>
      </c>
      <c r="D8876" t="s">
        <v>3052</v>
      </c>
      <c r="E8876" t="s">
        <v>3053</v>
      </c>
      <c r="F8876" t="s">
        <v>804</v>
      </c>
      <c r="G8876" t="s">
        <v>805</v>
      </c>
      <c r="H8876" t="s">
        <v>8985</v>
      </c>
      <c r="I8876">
        <v>1377</v>
      </c>
      <c r="J8876">
        <v>1097</v>
      </c>
      <c r="K8876">
        <v>0</v>
      </c>
      <c r="L8876">
        <v>83</v>
      </c>
      <c r="M8876">
        <v>67</v>
      </c>
      <c r="N8876">
        <v>0</v>
      </c>
      <c r="O8876">
        <v>130</v>
      </c>
    </row>
    <row r="8877" spans="1:15" x14ac:dyDescent="0.25">
      <c r="A8877" t="s">
        <v>1920</v>
      </c>
      <c r="B8877" t="s">
        <v>2871</v>
      </c>
      <c r="C8877" t="s">
        <v>927</v>
      </c>
      <c r="D8877" t="s">
        <v>3052</v>
      </c>
      <c r="E8877" t="s">
        <v>3053</v>
      </c>
      <c r="F8877" t="s">
        <v>804</v>
      </c>
      <c r="G8877" t="s">
        <v>805</v>
      </c>
      <c r="H8877" t="s">
        <v>8986</v>
      </c>
      <c r="I8877">
        <v>30844</v>
      </c>
      <c r="J8877">
        <v>28737</v>
      </c>
      <c r="K8877">
        <v>0</v>
      </c>
      <c r="L8877">
        <v>1513</v>
      </c>
      <c r="M8877">
        <v>0</v>
      </c>
      <c r="N8877">
        <v>11</v>
      </c>
      <c r="O8877">
        <v>594</v>
      </c>
    </row>
    <row r="8878" spans="1:15" x14ac:dyDescent="0.25">
      <c r="A8878" t="s">
        <v>1921</v>
      </c>
      <c r="B8878" t="s">
        <v>2261</v>
      </c>
      <c r="C8878" t="s">
        <v>923</v>
      </c>
      <c r="D8878" t="s">
        <v>3063</v>
      </c>
      <c r="E8878" t="s">
        <v>3053</v>
      </c>
      <c r="F8878" t="s">
        <v>804</v>
      </c>
      <c r="G8878" t="s">
        <v>805</v>
      </c>
      <c r="H8878" t="s">
        <v>8987</v>
      </c>
      <c r="I8878">
        <v>31</v>
      </c>
      <c r="J8878">
        <v>0</v>
      </c>
      <c r="K8878">
        <v>0</v>
      </c>
      <c r="L8878">
        <v>0</v>
      </c>
      <c r="M8878">
        <v>31</v>
      </c>
      <c r="N8878">
        <v>0</v>
      </c>
      <c r="O8878">
        <v>0</v>
      </c>
    </row>
    <row r="8879" spans="1:15" x14ac:dyDescent="0.25">
      <c r="A8879" t="s">
        <v>1080</v>
      </c>
      <c r="B8879" t="s">
        <v>2030</v>
      </c>
      <c r="C8879" t="s">
        <v>923</v>
      </c>
      <c r="D8879" t="s">
        <v>3063</v>
      </c>
      <c r="E8879" t="s">
        <v>3053</v>
      </c>
      <c r="F8879" t="s">
        <v>804</v>
      </c>
      <c r="G8879" t="s">
        <v>805</v>
      </c>
      <c r="H8879" t="s">
        <v>15378</v>
      </c>
      <c r="I8879">
        <v>2</v>
      </c>
      <c r="J8879">
        <v>0</v>
      </c>
      <c r="K8879">
        <v>0</v>
      </c>
      <c r="L8879">
        <v>2</v>
      </c>
      <c r="M8879">
        <v>0</v>
      </c>
      <c r="N8879">
        <v>0</v>
      </c>
      <c r="O8879">
        <v>0</v>
      </c>
    </row>
    <row r="8880" spans="1:15" x14ac:dyDescent="0.25">
      <c r="A8880" t="s">
        <v>1563</v>
      </c>
      <c r="B8880" t="s">
        <v>2895</v>
      </c>
      <c r="C8880" t="s">
        <v>927</v>
      </c>
      <c r="D8880" t="s">
        <v>3052</v>
      </c>
      <c r="E8880" t="s">
        <v>3053</v>
      </c>
      <c r="F8880" t="s">
        <v>804</v>
      </c>
      <c r="G8880" t="s">
        <v>805</v>
      </c>
      <c r="H8880" t="s">
        <v>8988</v>
      </c>
      <c r="I8880">
        <v>1639</v>
      </c>
      <c r="J8880">
        <v>1376</v>
      </c>
      <c r="K8880">
        <v>0</v>
      </c>
      <c r="L8880">
        <v>67</v>
      </c>
      <c r="M8880">
        <v>44</v>
      </c>
      <c r="N8880">
        <v>0</v>
      </c>
      <c r="O8880">
        <v>152</v>
      </c>
    </row>
    <row r="8881" spans="1:15" x14ac:dyDescent="0.25">
      <c r="A8881" t="s">
        <v>1083</v>
      </c>
      <c r="B8881" t="s">
        <v>2757</v>
      </c>
      <c r="C8881" t="s">
        <v>927</v>
      </c>
      <c r="D8881" t="s">
        <v>3052</v>
      </c>
      <c r="E8881" t="s">
        <v>3053</v>
      </c>
      <c r="F8881" t="s">
        <v>804</v>
      </c>
      <c r="G8881" t="s">
        <v>805</v>
      </c>
      <c r="H8881" t="s">
        <v>8989</v>
      </c>
      <c r="I8881">
        <v>3</v>
      </c>
      <c r="J8881">
        <v>0</v>
      </c>
      <c r="K8881">
        <v>0</v>
      </c>
      <c r="L8881">
        <v>0</v>
      </c>
      <c r="M8881">
        <v>0</v>
      </c>
      <c r="N8881">
        <v>0</v>
      </c>
      <c r="O8881">
        <v>3</v>
      </c>
    </row>
    <row r="8882" spans="1:15" x14ac:dyDescent="0.25">
      <c r="A8882" t="s">
        <v>929</v>
      </c>
      <c r="B8882" t="s">
        <v>2999</v>
      </c>
      <c r="C8882" t="s">
        <v>927</v>
      </c>
      <c r="D8882" t="s">
        <v>3052</v>
      </c>
      <c r="E8882" t="s">
        <v>3053</v>
      </c>
      <c r="F8882" t="s">
        <v>806</v>
      </c>
      <c r="G8882" t="s">
        <v>807</v>
      </c>
      <c r="H8882" t="s">
        <v>8990</v>
      </c>
      <c r="I8882">
        <v>36</v>
      </c>
      <c r="J8882">
        <v>0</v>
      </c>
      <c r="K8882">
        <v>0</v>
      </c>
      <c r="L8882">
        <v>0</v>
      </c>
      <c r="M8882">
        <v>36</v>
      </c>
      <c r="N8882">
        <v>0</v>
      </c>
      <c r="O8882">
        <v>0</v>
      </c>
    </row>
    <row r="8883" spans="1:15" x14ac:dyDescent="0.25">
      <c r="A8883" t="s">
        <v>9790</v>
      </c>
      <c r="B8883" t="s">
        <v>1977</v>
      </c>
      <c r="C8883" t="s">
        <v>923</v>
      </c>
      <c r="D8883" t="s">
        <v>3063</v>
      </c>
      <c r="E8883" t="s">
        <v>3053</v>
      </c>
      <c r="F8883" t="s">
        <v>806</v>
      </c>
      <c r="G8883" t="s">
        <v>807</v>
      </c>
      <c r="H8883" t="s">
        <v>12450</v>
      </c>
      <c r="I8883">
        <v>6</v>
      </c>
      <c r="J8883">
        <v>0</v>
      </c>
      <c r="K8883">
        <v>0</v>
      </c>
      <c r="L8883">
        <v>6</v>
      </c>
      <c r="M8883">
        <v>0</v>
      </c>
      <c r="N8883">
        <v>0</v>
      </c>
      <c r="O8883">
        <v>0</v>
      </c>
    </row>
    <row r="8884" spans="1:15" x14ac:dyDescent="0.25">
      <c r="A8884" t="s">
        <v>1802</v>
      </c>
      <c r="B8884" t="s">
        <v>2754</v>
      </c>
      <c r="C8884" t="s">
        <v>927</v>
      </c>
      <c r="D8884" t="s">
        <v>3052</v>
      </c>
      <c r="E8884" t="s">
        <v>3053</v>
      </c>
      <c r="F8884" t="s">
        <v>806</v>
      </c>
      <c r="G8884" t="s">
        <v>807</v>
      </c>
      <c r="H8884" t="s">
        <v>8991</v>
      </c>
      <c r="I8884">
        <v>80</v>
      </c>
      <c r="J8884">
        <v>69</v>
      </c>
      <c r="K8884">
        <v>0</v>
      </c>
      <c r="L8884">
        <v>5</v>
      </c>
      <c r="M8884">
        <v>0</v>
      </c>
      <c r="N8884">
        <v>0</v>
      </c>
      <c r="O8884">
        <v>6</v>
      </c>
    </row>
    <row r="8885" spans="1:15" x14ac:dyDescent="0.25">
      <c r="A8885" t="s">
        <v>983</v>
      </c>
      <c r="B8885" t="s">
        <v>2069</v>
      </c>
      <c r="C8885" t="s">
        <v>927</v>
      </c>
      <c r="D8885" t="s">
        <v>3052</v>
      </c>
      <c r="E8885" t="s">
        <v>3053</v>
      </c>
      <c r="F8885" t="s">
        <v>806</v>
      </c>
      <c r="G8885" t="s">
        <v>807</v>
      </c>
      <c r="H8885" t="s">
        <v>8992</v>
      </c>
      <c r="I8885">
        <v>816</v>
      </c>
      <c r="J8885">
        <v>786</v>
      </c>
      <c r="K8885">
        <v>0</v>
      </c>
      <c r="L8885">
        <v>7</v>
      </c>
      <c r="M8885">
        <v>0</v>
      </c>
      <c r="N8885">
        <v>0</v>
      </c>
      <c r="O8885">
        <v>23</v>
      </c>
    </row>
    <row r="8886" spans="1:15" x14ac:dyDescent="0.25">
      <c r="A8886" t="s">
        <v>1811</v>
      </c>
      <c r="B8886" t="s">
        <v>2352</v>
      </c>
      <c r="C8886" t="s">
        <v>923</v>
      </c>
      <c r="D8886" t="s">
        <v>3063</v>
      </c>
      <c r="E8886" t="s">
        <v>3053</v>
      </c>
      <c r="F8886" t="s">
        <v>806</v>
      </c>
      <c r="G8886" t="s">
        <v>807</v>
      </c>
      <c r="H8886" t="s">
        <v>8993</v>
      </c>
      <c r="I8886">
        <v>6</v>
      </c>
      <c r="J8886">
        <v>6</v>
      </c>
      <c r="K8886">
        <v>0</v>
      </c>
      <c r="L8886">
        <v>0</v>
      </c>
      <c r="M8886">
        <v>0</v>
      </c>
      <c r="N8886">
        <v>0</v>
      </c>
      <c r="O8886">
        <v>0</v>
      </c>
    </row>
    <row r="8887" spans="1:15" x14ac:dyDescent="0.25">
      <c r="A8887" t="s">
        <v>1715</v>
      </c>
      <c r="B8887" t="s">
        <v>2136</v>
      </c>
      <c r="C8887" t="s">
        <v>927</v>
      </c>
      <c r="D8887" t="s">
        <v>3052</v>
      </c>
      <c r="E8887" t="s">
        <v>3053</v>
      </c>
      <c r="F8887" t="s">
        <v>806</v>
      </c>
      <c r="G8887" t="s">
        <v>807</v>
      </c>
      <c r="H8887" t="s">
        <v>8994</v>
      </c>
      <c r="I8887">
        <v>22</v>
      </c>
      <c r="J8887">
        <v>22</v>
      </c>
      <c r="K8887">
        <v>0</v>
      </c>
      <c r="L8887">
        <v>0</v>
      </c>
      <c r="M8887">
        <v>0</v>
      </c>
      <c r="N8887">
        <v>0</v>
      </c>
      <c r="O8887">
        <v>0</v>
      </c>
    </row>
    <row r="8888" spans="1:15" x14ac:dyDescent="0.25">
      <c r="A8888" t="s">
        <v>933</v>
      </c>
      <c r="B8888" t="s">
        <v>2106</v>
      </c>
      <c r="C8888" t="s">
        <v>927</v>
      </c>
      <c r="D8888" t="s">
        <v>3052</v>
      </c>
      <c r="E8888" t="s">
        <v>3053</v>
      </c>
      <c r="F8888" t="s">
        <v>806</v>
      </c>
      <c r="G8888" t="s">
        <v>807</v>
      </c>
      <c r="H8888" t="s">
        <v>8995</v>
      </c>
      <c r="I8888">
        <v>408</v>
      </c>
      <c r="J8888">
        <v>309</v>
      </c>
      <c r="K8888">
        <v>0</v>
      </c>
      <c r="L8888">
        <v>0</v>
      </c>
      <c r="M8888">
        <v>48</v>
      </c>
      <c r="N8888">
        <v>3</v>
      </c>
      <c r="O8888">
        <v>51</v>
      </c>
    </row>
    <row r="8889" spans="1:15" x14ac:dyDescent="0.25">
      <c r="A8889" t="s">
        <v>10638</v>
      </c>
      <c r="B8889" t="s">
        <v>2057</v>
      </c>
      <c r="C8889" t="s">
        <v>927</v>
      </c>
      <c r="D8889" t="s">
        <v>3052</v>
      </c>
      <c r="E8889" t="s">
        <v>3053</v>
      </c>
      <c r="F8889" t="s">
        <v>806</v>
      </c>
      <c r="G8889" t="s">
        <v>807</v>
      </c>
      <c r="H8889" t="s">
        <v>11429</v>
      </c>
      <c r="I8889">
        <v>6</v>
      </c>
      <c r="J8889">
        <v>0</v>
      </c>
      <c r="K8889">
        <v>0</v>
      </c>
      <c r="L8889">
        <v>6</v>
      </c>
      <c r="M8889">
        <v>0</v>
      </c>
      <c r="N8889">
        <v>0</v>
      </c>
      <c r="O8889">
        <v>0</v>
      </c>
    </row>
    <row r="8890" spans="1:15" x14ac:dyDescent="0.25">
      <c r="A8890" t="s">
        <v>10643</v>
      </c>
      <c r="B8890" t="s">
        <v>2987</v>
      </c>
      <c r="C8890" t="s">
        <v>927</v>
      </c>
      <c r="D8890" t="s">
        <v>3052</v>
      </c>
      <c r="E8890" t="s">
        <v>3053</v>
      </c>
      <c r="F8890" t="s">
        <v>806</v>
      </c>
      <c r="G8890" t="s">
        <v>807</v>
      </c>
      <c r="H8890" t="s">
        <v>11430</v>
      </c>
      <c r="I8890">
        <v>4399</v>
      </c>
      <c r="J8890">
        <v>3666</v>
      </c>
      <c r="K8890">
        <v>7</v>
      </c>
      <c r="L8890">
        <v>60</v>
      </c>
      <c r="M8890">
        <v>419</v>
      </c>
      <c r="N8890">
        <v>145</v>
      </c>
      <c r="O8890">
        <v>247</v>
      </c>
    </row>
    <row r="8891" spans="1:15" x14ac:dyDescent="0.25">
      <c r="A8891" t="s">
        <v>1009</v>
      </c>
      <c r="B8891" t="s">
        <v>1958</v>
      </c>
      <c r="C8891" t="s">
        <v>923</v>
      </c>
      <c r="D8891" t="s">
        <v>3063</v>
      </c>
      <c r="E8891" t="s">
        <v>3053</v>
      </c>
      <c r="F8891" t="s">
        <v>806</v>
      </c>
      <c r="G8891" t="s">
        <v>807</v>
      </c>
      <c r="H8891" t="s">
        <v>8996</v>
      </c>
      <c r="I8891">
        <v>3</v>
      </c>
      <c r="J8891">
        <v>0</v>
      </c>
      <c r="K8891">
        <v>0</v>
      </c>
      <c r="L8891">
        <v>3</v>
      </c>
      <c r="M8891">
        <v>0</v>
      </c>
      <c r="N8891">
        <v>0</v>
      </c>
      <c r="O8891">
        <v>0</v>
      </c>
    </row>
    <row r="8892" spans="1:15" x14ac:dyDescent="0.25">
      <c r="A8892" t="s">
        <v>1820</v>
      </c>
      <c r="B8892" t="s">
        <v>2161</v>
      </c>
      <c r="C8892" t="s">
        <v>923</v>
      </c>
      <c r="D8892" t="s">
        <v>3063</v>
      </c>
      <c r="E8892" t="s">
        <v>3053</v>
      </c>
      <c r="F8892" t="s">
        <v>806</v>
      </c>
      <c r="G8892" t="s">
        <v>807</v>
      </c>
      <c r="H8892" t="s">
        <v>8997</v>
      </c>
      <c r="I8892">
        <v>13</v>
      </c>
      <c r="J8892">
        <v>13</v>
      </c>
      <c r="K8892">
        <v>0</v>
      </c>
      <c r="L8892">
        <v>0</v>
      </c>
      <c r="M8892">
        <v>0</v>
      </c>
      <c r="N8892">
        <v>0</v>
      </c>
      <c r="O8892">
        <v>0</v>
      </c>
    </row>
    <row r="8893" spans="1:15" x14ac:dyDescent="0.25">
      <c r="A8893" t="s">
        <v>10652</v>
      </c>
      <c r="B8893" t="s">
        <v>3002</v>
      </c>
      <c r="C8893" t="s">
        <v>927</v>
      </c>
      <c r="D8893" t="s">
        <v>3052</v>
      </c>
      <c r="E8893" t="s">
        <v>3053</v>
      </c>
      <c r="F8893" t="s">
        <v>806</v>
      </c>
      <c r="G8893" t="s">
        <v>807</v>
      </c>
      <c r="H8893" t="s">
        <v>11431</v>
      </c>
      <c r="I8893">
        <v>6</v>
      </c>
      <c r="J8893">
        <v>6</v>
      </c>
      <c r="K8893">
        <v>0</v>
      </c>
      <c r="L8893">
        <v>0</v>
      </c>
      <c r="M8893">
        <v>0</v>
      </c>
      <c r="N8893">
        <v>0</v>
      </c>
      <c r="O8893">
        <v>0</v>
      </c>
    </row>
    <row r="8894" spans="1:15" x14ac:dyDescent="0.25">
      <c r="A8894" t="s">
        <v>940</v>
      </c>
      <c r="B8894" t="s">
        <v>2647</v>
      </c>
      <c r="C8894" t="s">
        <v>927</v>
      </c>
      <c r="D8894" t="s">
        <v>3052</v>
      </c>
      <c r="E8894" t="s">
        <v>3053</v>
      </c>
      <c r="F8894" t="s">
        <v>806</v>
      </c>
      <c r="G8894" t="s">
        <v>807</v>
      </c>
      <c r="H8894" t="s">
        <v>8998</v>
      </c>
      <c r="I8894">
        <v>285</v>
      </c>
      <c r="J8894">
        <v>0</v>
      </c>
      <c r="K8894">
        <v>0</v>
      </c>
      <c r="L8894">
        <v>5</v>
      </c>
      <c r="M8894">
        <v>210</v>
      </c>
      <c r="N8894">
        <v>0</v>
      </c>
      <c r="O8894">
        <v>70</v>
      </c>
    </row>
    <row r="8895" spans="1:15" x14ac:dyDescent="0.25">
      <c r="A8895" t="s">
        <v>1013</v>
      </c>
      <c r="B8895" t="s">
        <v>1959</v>
      </c>
      <c r="C8895" t="s">
        <v>927</v>
      </c>
      <c r="D8895" t="s">
        <v>3052</v>
      </c>
      <c r="E8895" t="s">
        <v>3053</v>
      </c>
      <c r="F8895" t="s">
        <v>806</v>
      </c>
      <c r="G8895" t="s">
        <v>807</v>
      </c>
      <c r="H8895" t="s">
        <v>8999</v>
      </c>
      <c r="I8895">
        <v>22</v>
      </c>
      <c r="J8895">
        <v>0</v>
      </c>
      <c r="K8895">
        <v>0</v>
      </c>
      <c r="L8895">
        <v>22</v>
      </c>
      <c r="M8895">
        <v>0</v>
      </c>
      <c r="N8895">
        <v>0</v>
      </c>
      <c r="O8895">
        <v>0</v>
      </c>
    </row>
    <row r="8896" spans="1:15" x14ac:dyDescent="0.25">
      <c r="A8896" t="s">
        <v>1026</v>
      </c>
      <c r="B8896" t="s">
        <v>2848</v>
      </c>
      <c r="C8896" t="s">
        <v>927</v>
      </c>
      <c r="D8896" t="s">
        <v>3052</v>
      </c>
      <c r="E8896" t="s">
        <v>3053</v>
      </c>
      <c r="F8896" t="s">
        <v>806</v>
      </c>
      <c r="G8896" t="s">
        <v>807</v>
      </c>
      <c r="H8896" t="s">
        <v>9000</v>
      </c>
      <c r="I8896">
        <v>1217</v>
      </c>
      <c r="J8896">
        <v>1217</v>
      </c>
      <c r="K8896">
        <v>0</v>
      </c>
      <c r="L8896">
        <v>0</v>
      </c>
      <c r="M8896">
        <v>0</v>
      </c>
      <c r="N8896">
        <v>1</v>
      </c>
      <c r="O8896">
        <v>0</v>
      </c>
    </row>
    <row r="8897" spans="1:15" x14ac:dyDescent="0.25">
      <c r="A8897" t="s">
        <v>1828</v>
      </c>
      <c r="B8897" t="s">
        <v>2304</v>
      </c>
      <c r="C8897" t="s">
        <v>923</v>
      </c>
      <c r="D8897" t="s">
        <v>3063</v>
      </c>
      <c r="E8897" t="s">
        <v>3053</v>
      </c>
      <c r="F8897" t="s">
        <v>806</v>
      </c>
      <c r="G8897" t="s">
        <v>807</v>
      </c>
      <c r="H8897" t="s">
        <v>9001</v>
      </c>
      <c r="I8897">
        <v>2</v>
      </c>
      <c r="J8897">
        <v>2</v>
      </c>
      <c r="K8897">
        <v>0</v>
      </c>
      <c r="L8897">
        <v>0</v>
      </c>
      <c r="M8897">
        <v>0</v>
      </c>
      <c r="N8897">
        <v>0</v>
      </c>
      <c r="O8897">
        <v>0</v>
      </c>
    </row>
    <row r="8898" spans="1:15" x14ac:dyDescent="0.25">
      <c r="A8898" t="s">
        <v>1030</v>
      </c>
      <c r="B8898" t="s">
        <v>2880</v>
      </c>
      <c r="C8898" t="s">
        <v>927</v>
      </c>
      <c r="D8898" t="s">
        <v>3052</v>
      </c>
      <c r="E8898" t="s">
        <v>3053</v>
      </c>
      <c r="F8898" t="s">
        <v>806</v>
      </c>
      <c r="G8898" t="s">
        <v>807</v>
      </c>
      <c r="H8898" t="s">
        <v>9002</v>
      </c>
      <c r="I8898">
        <v>245</v>
      </c>
      <c r="J8898">
        <v>181</v>
      </c>
      <c r="K8898">
        <v>0</v>
      </c>
      <c r="L8898">
        <v>0</v>
      </c>
      <c r="M8898">
        <v>45</v>
      </c>
      <c r="N8898">
        <v>0</v>
      </c>
      <c r="O8898">
        <v>19</v>
      </c>
    </row>
    <row r="8899" spans="1:15" x14ac:dyDescent="0.25">
      <c r="A8899" t="s">
        <v>1829</v>
      </c>
      <c r="B8899" t="s">
        <v>2811</v>
      </c>
      <c r="C8899" t="s">
        <v>927</v>
      </c>
      <c r="D8899" t="s">
        <v>3052</v>
      </c>
      <c r="E8899" t="s">
        <v>3053</v>
      </c>
      <c r="F8899" t="s">
        <v>806</v>
      </c>
      <c r="G8899" t="s">
        <v>807</v>
      </c>
      <c r="H8899" t="s">
        <v>9003</v>
      </c>
      <c r="I8899">
        <v>34</v>
      </c>
      <c r="J8899">
        <v>0</v>
      </c>
      <c r="K8899">
        <v>0</v>
      </c>
      <c r="L8899">
        <v>0</v>
      </c>
      <c r="M8899">
        <v>34</v>
      </c>
      <c r="N8899">
        <v>0</v>
      </c>
      <c r="O8899">
        <v>0</v>
      </c>
    </row>
    <row r="8900" spans="1:15" x14ac:dyDescent="0.25">
      <c r="A8900" t="s">
        <v>1302</v>
      </c>
      <c r="B8900" t="s">
        <v>1961</v>
      </c>
      <c r="C8900" t="s">
        <v>923</v>
      </c>
      <c r="D8900" t="s">
        <v>3063</v>
      </c>
      <c r="E8900" t="s">
        <v>3053</v>
      </c>
      <c r="F8900" t="s">
        <v>806</v>
      </c>
      <c r="G8900" t="s">
        <v>807</v>
      </c>
      <c r="H8900" t="s">
        <v>9004</v>
      </c>
      <c r="I8900">
        <v>13</v>
      </c>
      <c r="J8900">
        <v>0</v>
      </c>
      <c r="K8900">
        <v>0</v>
      </c>
      <c r="L8900">
        <v>13</v>
      </c>
      <c r="M8900">
        <v>0</v>
      </c>
      <c r="N8900">
        <v>0</v>
      </c>
      <c r="O8900">
        <v>0</v>
      </c>
    </row>
    <row r="8901" spans="1:15" x14ac:dyDescent="0.25">
      <c r="A8901" t="s">
        <v>1831</v>
      </c>
      <c r="B8901" t="s">
        <v>2471</v>
      </c>
      <c r="C8901" t="s">
        <v>923</v>
      </c>
      <c r="D8901" t="s">
        <v>3063</v>
      </c>
      <c r="E8901" t="s">
        <v>3053</v>
      </c>
      <c r="F8901" t="s">
        <v>806</v>
      </c>
      <c r="G8901" t="s">
        <v>807</v>
      </c>
      <c r="H8901" t="s">
        <v>9005</v>
      </c>
      <c r="I8901">
        <v>24</v>
      </c>
      <c r="J8901">
        <v>24</v>
      </c>
      <c r="K8901">
        <v>0</v>
      </c>
      <c r="L8901">
        <v>0</v>
      </c>
      <c r="M8901">
        <v>0</v>
      </c>
      <c r="N8901">
        <v>0</v>
      </c>
      <c r="O8901">
        <v>0</v>
      </c>
    </row>
    <row r="8902" spans="1:15" x14ac:dyDescent="0.25">
      <c r="A8902" t="s">
        <v>1049</v>
      </c>
      <c r="B8902" t="s">
        <v>2138</v>
      </c>
      <c r="C8902" t="s">
        <v>927</v>
      </c>
      <c r="D8902" t="s">
        <v>3052</v>
      </c>
      <c r="E8902" t="s">
        <v>3053</v>
      </c>
      <c r="F8902" t="s">
        <v>806</v>
      </c>
      <c r="G8902" t="s">
        <v>807</v>
      </c>
      <c r="H8902" t="s">
        <v>9006</v>
      </c>
      <c r="I8902">
        <v>49</v>
      </c>
      <c r="J8902">
        <v>30</v>
      </c>
      <c r="K8902">
        <v>0</v>
      </c>
      <c r="L8902">
        <v>0</v>
      </c>
      <c r="M8902">
        <v>0</v>
      </c>
      <c r="N8902">
        <v>0</v>
      </c>
      <c r="O8902">
        <v>19</v>
      </c>
    </row>
    <row r="8903" spans="1:15" x14ac:dyDescent="0.25">
      <c r="A8903" t="s">
        <v>1057</v>
      </c>
      <c r="B8903" t="s">
        <v>1972</v>
      </c>
      <c r="C8903" t="s">
        <v>927</v>
      </c>
      <c r="D8903" t="s">
        <v>3052</v>
      </c>
      <c r="E8903" t="s">
        <v>3053</v>
      </c>
      <c r="F8903" t="s">
        <v>806</v>
      </c>
      <c r="G8903" t="s">
        <v>807</v>
      </c>
      <c r="H8903" t="s">
        <v>9007</v>
      </c>
      <c r="I8903">
        <v>87</v>
      </c>
      <c r="J8903">
        <v>87</v>
      </c>
      <c r="K8903">
        <v>0</v>
      </c>
      <c r="L8903">
        <v>0</v>
      </c>
      <c r="M8903">
        <v>0</v>
      </c>
      <c r="N8903">
        <v>0</v>
      </c>
      <c r="O8903">
        <v>0</v>
      </c>
    </row>
    <row r="8904" spans="1:15" x14ac:dyDescent="0.25">
      <c r="A8904" t="s">
        <v>955</v>
      </c>
      <c r="B8904" t="s">
        <v>2660</v>
      </c>
      <c r="C8904" t="s">
        <v>927</v>
      </c>
      <c r="D8904" t="s">
        <v>3052</v>
      </c>
      <c r="E8904" t="s">
        <v>3053</v>
      </c>
      <c r="F8904" t="s">
        <v>806</v>
      </c>
      <c r="G8904" t="s">
        <v>807</v>
      </c>
      <c r="H8904" t="s">
        <v>9008</v>
      </c>
      <c r="I8904">
        <v>49</v>
      </c>
      <c r="J8904">
        <v>49</v>
      </c>
      <c r="K8904">
        <v>0</v>
      </c>
      <c r="L8904">
        <v>0</v>
      </c>
      <c r="M8904">
        <v>0</v>
      </c>
      <c r="N8904">
        <v>6</v>
      </c>
      <c r="O8904">
        <v>0</v>
      </c>
    </row>
    <row r="8905" spans="1:15" x14ac:dyDescent="0.25">
      <c r="A8905" t="s">
        <v>11663</v>
      </c>
      <c r="B8905" t="s">
        <v>11768</v>
      </c>
      <c r="C8905" t="s">
        <v>927</v>
      </c>
      <c r="D8905" t="s">
        <v>3052</v>
      </c>
      <c r="E8905" t="s">
        <v>3053</v>
      </c>
      <c r="F8905" t="s">
        <v>806</v>
      </c>
      <c r="G8905" t="s">
        <v>807</v>
      </c>
      <c r="H8905" t="s">
        <v>12451</v>
      </c>
      <c r="I8905">
        <v>11</v>
      </c>
      <c r="J8905">
        <v>6</v>
      </c>
      <c r="K8905">
        <v>0</v>
      </c>
      <c r="L8905">
        <v>0</v>
      </c>
      <c r="M8905">
        <v>0</v>
      </c>
      <c r="N8905">
        <v>0</v>
      </c>
      <c r="O8905">
        <v>5</v>
      </c>
    </row>
    <row r="8906" spans="1:15" x14ac:dyDescent="0.25">
      <c r="A8906" t="s">
        <v>962</v>
      </c>
      <c r="B8906" t="s">
        <v>2752</v>
      </c>
      <c r="C8906" t="s">
        <v>927</v>
      </c>
      <c r="D8906" t="s">
        <v>3052</v>
      </c>
      <c r="E8906" t="s">
        <v>3053</v>
      </c>
      <c r="F8906" t="s">
        <v>806</v>
      </c>
      <c r="G8906" t="s">
        <v>807</v>
      </c>
      <c r="H8906" t="s">
        <v>10457</v>
      </c>
      <c r="I8906">
        <v>28</v>
      </c>
      <c r="J8906">
        <v>27</v>
      </c>
      <c r="K8906">
        <v>0</v>
      </c>
      <c r="L8906">
        <v>0</v>
      </c>
      <c r="M8906">
        <v>0</v>
      </c>
      <c r="N8906">
        <v>0</v>
      </c>
      <c r="O8906">
        <v>1</v>
      </c>
    </row>
    <row r="8907" spans="1:15" x14ac:dyDescent="0.25">
      <c r="A8907" t="s">
        <v>10758</v>
      </c>
      <c r="B8907" t="s">
        <v>2335</v>
      </c>
      <c r="C8907" t="s">
        <v>923</v>
      </c>
      <c r="D8907" t="s">
        <v>3063</v>
      </c>
      <c r="E8907" t="s">
        <v>3053</v>
      </c>
      <c r="F8907" t="s">
        <v>806</v>
      </c>
      <c r="G8907" t="s">
        <v>807</v>
      </c>
      <c r="H8907" t="s">
        <v>11432</v>
      </c>
      <c r="I8907">
        <v>12</v>
      </c>
      <c r="J8907">
        <v>12</v>
      </c>
      <c r="K8907">
        <v>0</v>
      </c>
      <c r="L8907">
        <v>0</v>
      </c>
      <c r="M8907">
        <v>0</v>
      </c>
      <c r="N8907">
        <v>0</v>
      </c>
      <c r="O8907">
        <v>0</v>
      </c>
    </row>
    <row r="8908" spans="1:15" x14ac:dyDescent="0.25">
      <c r="A8908" t="s">
        <v>1077</v>
      </c>
      <c r="B8908" t="s">
        <v>2711</v>
      </c>
      <c r="C8908" t="s">
        <v>927</v>
      </c>
      <c r="D8908" t="s">
        <v>3052</v>
      </c>
      <c r="E8908" t="s">
        <v>3053</v>
      </c>
      <c r="F8908" t="s">
        <v>806</v>
      </c>
      <c r="G8908" t="s">
        <v>807</v>
      </c>
      <c r="H8908" t="s">
        <v>11433</v>
      </c>
      <c r="I8908">
        <v>1</v>
      </c>
      <c r="J8908">
        <v>1</v>
      </c>
      <c r="K8908">
        <v>0</v>
      </c>
      <c r="L8908">
        <v>0</v>
      </c>
      <c r="M8908">
        <v>0</v>
      </c>
      <c r="N8908">
        <v>0</v>
      </c>
      <c r="O8908">
        <v>0</v>
      </c>
    </row>
    <row r="8909" spans="1:15" x14ac:dyDescent="0.25">
      <c r="A8909" t="s">
        <v>1078</v>
      </c>
      <c r="B8909" t="s">
        <v>1950</v>
      </c>
      <c r="C8909" t="s">
        <v>923</v>
      </c>
      <c r="D8909" t="s">
        <v>3063</v>
      </c>
      <c r="E8909" t="s">
        <v>3053</v>
      </c>
      <c r="F8909" t="s">
        <v>806</v>
      </c>
      <c r="G8909" t="s">
        <v>807</v>
      </c>
      <c r="H8909" t="s">
        <v>9009</v>
      </c>
      <c r="I8909">
        <v>18</v>
      </c>
      <c r="J8909">
        <v>0</v>
      </c>
      <c r="K8909">
        <v>0</v>
      </c>
      <c r="L8909">
        <v>18</v>
      </c>
      <c r="M8909">
        <v>0</v>
      </c>
      <c r="N8909">
        <v>0</v>
      </c>
      <c r="O8909">
        <v>0</v>
      </c>
    </row>
    <row r="8910" spans="1:15" x14ac:dyDescent="0.25">
      <c r="A8910" t="s">
        <v>1865</v>
      </c>
      <c r="B8910" t="s">
        <v>2866</v>
      </c>
      <c r="C8910" t="s">
        <v>927</v>
      </c>
      <c r="D8910" t="s">
        <v>3052</v>
      </c>
      <c r="E8910" t="s">
        <v>3053</v>
      </c>
      <c r="F8910" t="s">
        <v>806</v>
      </c>
      <c r="G8910" t="s">
        <v>807</v>
      </c>
      <c r="H8910" t="s">
        <v>9010</v>
      </c>
      <c r="I8910">
        <v>19206</v>
      </c>
      <c r="J8910">
        <v>18746</v>
      </c>
      <c r="K8910">
        <v>0</v>
      </c>
      <c r="L8910">
        <v>345</v>
      </c>
      <c r="M8910">
        <v>0</v>
      </c>
      <c r="N8910">
        <v>3</v>
      </c>
      <c r="O8910">
        <v>115</v>
      </c>
    </row>
    <row r="8911" spans="1:15" x14ac:dyDescent="0.25">
      <c r="A8911" t="s">
        <v>11684</v>
      </c>
      <c r="B8911" t="s">
        <v>2864</v>
      </c>
      <c r="C8911" t="s">
        <v>927</v>
      </c>
      <c r="D8911" t="s">
        <v>3052</v>
      </c>
      <c r="E8911" t="s">
        <v>3053</v>
      </c>
      <c r="F8911" t="s">
        <v>806</v>
      </c>
      <c r="G8911" t="s">
        <v>807</v>
      </c>
      <c r="H8911" t="s">
        <v>12452</v>
      </c>
      <c r="I8911">
        <v>1692</v>
      </c>
      <c r="J8911">
        <v>1692</v>
      </c>
      <c r="K8911">
        <v>0</v>
      </c>
      <c r="L8911">
        <v>0</v>
      </c>
      <c r="M8911">
        <v>0</v>
      </c>
      <c r="N8911">
        <v>0</v>
      </c>
      <c r="O8911">
        <v>0</v>
      </c>
    </row>
    <row r="8912" spans="1:15" x14ac:dyDescent="0.25">
      <c r="A8912" t="s">
        <v>14377</v>
      </c>
      <c r="B8912" t="s">
        <v>14444</v>
      </c>
      <c r="C8912" t="s">
        <v>923</v>
      </c>
      <c r="D8912" t="s">
        <v>3063</v>
      </c>
      <c r="E8912" t="s">
        <v>3053</v>
      </c>
      <c r="F8912" t="s">
        <v>806</v>
      </c>
      <c r="G8912" t="s">
        <v>807</v>
      </c>
      <c r="H8912" t="s">
        <v>15379</v>
      </c>
      <c r="I8912">
        <v>13</v>
      </c>
      <c r="J8912">
        <v>0</v>
      </c>
      <c r="K8912">
        <v>0</v>
      </c>
      <c r="L8912">
        <v>13</v>
      </c>
      <c r="M8912">
        <v>0</v>
      </c>
      <c r="N8912">
        <v>0</v>
      </c>
      <c r="O8912">
        <v>0</v>
      </c>
    </row>
    <row r="8913" spans="1:15" x14ac:dyDescent="0.25">
      <c r="A8913" t="s">
        <v>1871</v>
      </c>
      <c r="B8913" t="s">
        <v>2905</v>
      </c>
      <c r="C8913" t="s">
        <v>923</v>
      </c>
      <c r="D8913" t="s">
        <v>3063</v>
      </c>
      <c r="E8913" t="s">
        <v>3053</v>
      </c>
      <c r="F8913" t="s">
        <v>806</v>
      </c>
      <c r="G8913" t="s">
        <v>807</v>
      </c>
      <c r="H8913" t="s">
        <v>9011</v>
      </c>
      <c r="I8913">
        <v>21</v>
      </c>
      <c r="J8913">
        <v>0</v>
      </c>
      <c r="K8913">
        <v>0</v>
      </c>
      <c r="L8913">
        <v>21</v>
      </c>
      <c r="M8913">
        <v>0</v>
      </c>
      <c r="N8913">
        <v>0</v>
      </c>
      <c r="O8913">
        <v>0</v>
      </c>
    </row>
    <row r="8914" spans="1:15" x14ac:dyDescent="0.25">
      <c r="A8914" t="s">
        <v>1195</v>
      </c>
      <c r="B8914" t="s">
        <v>2924</v>
      </c>
      <c r="C8914" t="s">
        <v>927</v>
      </c>
      <c r="D8914" t="s">
        <v>3052</v>
      </c>
      <c r="E8914" t="s">
        <v>3053</v>
      </c>
      <c r="F8914" t="s">
        <v>808</v>
      </c>
      <c r="G8914" t="s">
        <v>809</v>
      </c>
      <c r="H8914" t="s">
        <v>9012</v>
      </c>
      <c r="I8914">
        <v>35</v>
      </c>
      <c r="J8914">
        <v>28</v>
      </c>
      <c r="K8914">
        <v>0</v>
      </c>
      <c r="L8914">
        <v>0</v>
      </c>
      <c r="M8914">
        <v>0</v>
      </c>
      <c r="N8914">
        <v>0</v>
      </c>
      <c r="O8914">
        <v>7</v>
      </c>
    </row>
    <row r="8915" spans="1:15" x14ac:dyDescent="0.25">
      <c r="A8915" t="s">
        <v>929</v>
      </c>
      <c r="B8915" t="s">
        <v>2999</v>
      </c>
      <c r="C8915" t="s">
        <v>927</v>
      </c>
      <c r="D8915" t="s">
        <v>3052</v>
      </c>
      <c r="E8915" t="s">
        <v>3053</v>
      </c>
      <c r="F8915" t="s">
        <v>808</v>
      </c>
      <c r="G8915" t="s">
        <v>809</v>
      </c>
      <c r="H8915" t="s">
        <v>9013</v>
      </c>
      <c r="I8915">
        <v>79</v>
      </c>
      <c r="J8915">
        <v>0</v>
      </c>
      <c r="K8915">
        <v>0</v>
      </c>
      <c r="L8915">
        <v>0</v>
      </c>
      <c r="M8915">
        <v>79</v>
      </c>
      <c r="N8915">
        <v>0</v>
      </c>
      <c r="O8915">
        <v>0</v>
      </c>
    </row>
    <row r="8916" spans="1:15" x14ac:dyDescent="0.25">
      <c r="A8916" t="s">
        <v>9802</v>
      </c>
      <c r="B8916" t="s">
        <v>2899</v>
      </c>
      <c r="C8916" t="s">
        <v>923</v>
      </c>
      <c r="D8916" t="s">
        <v>3063</v>
      </c>
      <c r="E8916" t="s">
        <v>3053</v>
      </c>
      <c r="F8916" t="s">
        <v>808</v>
      </c>
      <c r="G8916" t="s">
        <v>809</v>
      </c>
      <c r="H8916" t="s">
        <v>11434</v>
      </c>
      <c r="I8916">
        <v>5</v>
      </c>
      <c r="J8916">
        <v>5</v>
      </c>
      <c r="K8916">
        <v>0</v>
      </c>
      <c r="L8916">
        <v>0</v>
      </c>
      <c r="M8916">
        <v>0</v>
      </c>
      <c r="N8916">
        <v>0</v>
      </c>
      <c r="O8916">
        <v>0</v>
      </c>
    </row>
    <row r="8917" spans="1:15" x14ac:dyDescent="0.25">
      <c r="A8917" t="s">
        <v>1219</v>
      </c>
      <c r="B8917" t="s">
        <v>2569</v>
      </c>
      <c r="C8917" t="s">
        <v>923</v>
      </c>
      <c r="D8917" t="s">
        <v>3063</v>
      </c>
      <c r="E8917" t="s">
        <v>3053</v>
      </c>
      <c r="F8917" t="s">
        <v>808</v>
      </c>
      <c r="G8917" t="s">
        <v>809</v>
      </c>
      <c r="H8917" t="s">
        <v>9014</v>
      </c>
      <c r="I8917">
        <v>22</v>
      </c>
      <c r="J8917">
        <v>6</v>
      </c>
      <c r="K8917">
        <v>0</v>
      </c>
      <c r="L8917">
        <v>16</v>
      </c>
      <c r="M8917">
        <v>0</v>
      </c>
      <c r="N8917">
        <v>0</v>
      </c>
      <c r="O8917">
        <v>0</v>
      </c>
    </row>
    <row r="8918" spans="1:15" x14ac:dyDescent="0.25">
      <c r="A8918" t="s">
        <v>1224</v>
      </c>
      <c r="B8918" t="s">
        <v>2932</v>
      </c>
      <c r="C8918" t="s">
        <v>927</v>
      </c>
      <c r="D8918" t="s">
        <v>3052</v>
      </c>
      <c r="E8918" t="s">
        <v>3053</v>
      </c>
      <c r="F8918" t="s">
        <v>808</v>
      </c>
      <c r="G8918" t="s">
        <v>809</v>
      </c>
      <c r="H8918" t="s">
        <v>9015</v>
      </c>
      <c r="I8918">
        <v>343</v>
      </c>
      <c r="J8918">
        <v>293</v>
      </c>
      <c r="K8918">
        <v>0</v>
      </c>
      <c r="L8918">
        <v>27</v>
      </c>
      <c r="M8918">
        <v>23</v>
      </c>
      <c r="N8918">
        <v>24</v>
      </c>
      <c r="O8918">
        <v>0</v>
      </c>
    </row>
    <row r="8919" spans="1:15" x14ac:dyDescent="0.25">
      <c r="A8919" t="s">
        <v>933</v>
      </c>
      <c r="B8919" t="s">
        <v>2106</v>
      </c>
      <c r="C8919" t="s">
        <v>927</v>
      </c>
      <c r="D8919" t="s">
        <v>3052</v>
      </c>
      <c r="E8919" t="s">
        <v>3053</v>
      </c>
      <c r="F8919" t="s">
        <v>808</v>
      </c>
      <c r="G8919" t="s">
        <v>809</v>
      </c>
      <c r="H8919" t="s">
        <v>9016</v>
      </c>
      <c r="I8919">
        <v>1934</v>
      </c>
      <c r="J8919">
        <v>1588</v>
      </c>
      <c r="K8919">
        <v>7</v>
      </c>
      <c r="L8919">
        <v>55</v>
      </c>
      <c r="M8919">
        <v>123</v>
      </c>
      <c r="N8919">
        <v>12</v>
      </c>
      <c r="O8919">
        <v>161</v>
      </c>
    </row>
    <row r="8920" spans="1:15" x14ac:dyDescent="0.25">
      <c r="A8920" t="s">
        <v>1227</v>
      </c>
      <c r="B8920" t="s">
        <v>2023</v>
      </c>
      <c r="C8920" t="s">
        <v>923</v>
      </c>
      <c r="D8920" t="s">
        <v>3063</v>
      </c>
      <c r="E8920" t="s">
        <v>3053</v>
      </c>
      <c r="F8920" t="s">
        <v>808</v>
      </c>
      <c r="G8920" t="s">
        <v>809</v>
      </c>
      <c r="H8920" t="s">
        <v>15380</v>
      </c>
      <c r="I8920">
        <v>1</v>
      </c>
      <c r="J8920">
        <v>1</v>
      </c>
      <c r="K8920">
        <v>0</v>
      </c>
      <c r="L8920">
        <v>0</v>
      </c>
      <c r="M8920">
        <v>0</v>
      </c>
      <c r="N8920">
        <v>0</v>
      </c>
      <c r="O8920">
        <v>0</v>
      </c>
    </row>
    <row r="8921" spans="1:15" x14ac:dyDescent="0.25">
      <c r="A8921" t="s">
        <v>1008</v>
      </c>
      <c r="B8921" t="s">
        <v>2928</v>
      </c>
      <c r="C8921" t="s">
        <v>927</v>
      </c>
      <c r="D8921" t="s">
        <v>3052</v>
      </c>
      <c r="E8921" t="s">
        <v>3053</v>
      </c>
      <c r="F8921" t="s">
        <v>808</v>
      </c>
      <c r="G8921" t="s">
        <v>809</v>
      </c>
      <c r="H8921" t="s">
        <v>9017</v>
      </c>
      <c r="I8921">
        <v>42</v>
      </c>
      <c r="J8921">
        <v>31</v>
      </c>
      <c r="K8921">
        <v>0</v>
      </c>
      <c r="L8921">
        <v>9</v>
      </c>
      <c r="M8921">
        <v>2</v>
      </c>
      <c r="N8921">
        <v>0</v>
      </c>
      <c r="O8921">
        <v>0</v>
      </c>
    </row>
    <row r="8922" spans="1:15" x14ac:dyDescent="0.25">
      <c r="A8922" t="s">
        <v>938</v>
      </c>
      <c r="B8922" t="s">
        <v>2791</v>
      </c>
      <c r="C8922" t="s">
        <v>927</v>
      </c>
      <c r="D8922" t="s">
        <v>3052</v>
      </c>
      <c r="E8922" t="s">
        <v>3053</v>
      </c>
      <c r="F8922" t="s">
        <v>808</v>
      </c>
      <c r="G8922" t="s">
        <v>809</v>
      </c>
      <c r="H8922" t="s">
        <v>9019</v>
      </c>
      <c r="I8922">
        <v>1</v>
      </c>
      <c r="J8922">
        <v>1</v>
      </c>
      <c r="K8922">
        <v>0</v>
      </c>
      <c r="L8922">
        <v>0</v>
      </c>
      <c r="M8922">
        <v>0</v>
      </c>
      <c r="N8922">
        <v>0</v>
      </c>
      <c r="O8922">
        <v>0</v>
      </c>
    </row>
    <row r="8923" spans="1:15" x14ac:dyDescent="0.25">
      <c r="A8923" t="s">
        <v>1269</v>
      </c>
      <c r="B8923" t="s">
        <v>2499</v>
      </c>
      <c r="C8923" t="s">
        <v>923</v>
      </c>
      <c r="D8923" t="s">
        <v>3063</v>
      </c>
      <c r="E8923" t="s">
        <v>3053</v>
      </c>
      <c r="F8923" t="s">
        <v>808</v>
      </c>
      <c r="G8923" t="s">
        <v>809</v>
      </c>
      <c r="H8923" t="s">
        <v>9018</v>
      </c>
      <c r="I8923">
        <v>1</v>
      </c>
      <c r="J8923">
        <v>1</v>
      </c>
      <c r="K8923">
        <v>0</v>
      </c>
      <c r="L8923">
        <v>0</v>
      </c>
      <c r="M8923">
        <v>0</v>
      </c>
      <c r="N8923">
        <v>0</v>
      </c>
      <c r="O8923">
        <v>0</v>
      </c>
    </row>
    <row r="8924" spans="1:15" x14ac:dyDescent="0.25">
      <c r="A8924" t="s">
        <v>940</v>
      </c>
      <c r="B8924" t="s">
        <v>2647</v>
      </c>
      <c r="C8924" t="s">
        <v>927</v>
      </c>
      <c r="D8924" t="s">
        <v>3052</v>
      </c>
      <c r="E8924" t="s">
        <v>3053</v>
      </c>
      <c r="F8924" t="s">
        <v>808</v>
      </c>
      <c r="G8924" t="s">
        <v>809</v>
      </c>
      <c r="H8924" t="s">
        <v>15381</v>
      </c>
      <c r="I8924">
        <v>44</v>
      </c>
      <c r="J8924">
        <v>0</v>
      </c>
      <c r="K8924">
        <v>0</v>
      </c>
      <c r="L8924">
        <v>0</v>
      </c>
      <c r="M8924">
        <v>44</v>
      </c>
      <c r="N8924">
        <v>0</v>
      </c>
      <c r="O8924">
        <v>0</v>
      </c>
    </row>
    <row r="8925" spans="1:15" x14ac:dyDescent="0.25">
      <c r="A8925" t="s">
        <v>1274</v>
      </c>
      <c r="B8925" t="s">
        <v>2159</v>
      </c>
      <c r="C8925" t="s">
        <v>923</v>
      </c>
      <c r="D8925" t="s">
        <v>3063</v>
      </c>
      <c r="E8925" t="s">
        <v>3053</v>
      </c>
      <c r="F8925" t="s">
        <v>808</v>
      </c>
      <c r="G8925" t="s">
        <v>809</v>
      </c>
      <c r="H8925" t="s">
        <v>12453</v>
      </c>
      <c r="I8925">
        <v>6</v>
      </c>
      <c r="J8925">
        <v>0</v>
      </c>
      <c r="K8925">
        <v>0</v>
      </c>
      <c r="L8925">
        <v>0</v>
      </c>
      <c r="M8925">
        <v>6</v>
      </c>
      <c r="N8925">
        <v>0</v>
      </c>
      <c r="O8925">
        <v>0</v>
      </c>
    </row>
    <row r="8926" spans="1:15" x14ac:dyDescent="0.25">
      <c r="A8926" t="s">
        <v>1278</v>
      </c>
      <c r="B8926" t="s">
        <v>2674</v>
      </c>
      <c r="C8926" t="s">
        <v>927</v>
      </c>
      <c r="D8926" t="s">
        <v>3052</v>
      </c>
      <c r="E8926" t="s">
        <v>3053</v>
      </c>
      <c r="F8926" t="s">
        <v>808</v>
      </c>
      <c r="G8926" t="s">
        <v>809</v>
      </c>
      <c r="H8926" t="s">
        <v>9020</v>
      </c>
      <c r="I8926">
        <v>611</v>
      </c>
      <c r="J8926">
        <v>441</v>
      </c>
      <c r="K8926">
        <v>0</v>
      </c>
      <c r="L8926">
        <v>7</v>
      </c>
      <c r="M8926">
        <v>0</v>
      </c>
      <c r="N8926">
        <v>0</v>
      </c>
      <c r="O8926">
        <v>163</v>
      </c>
    </row>
    <row r="8927" spans="1:15" x14ac:dyDescent="0.25">
      <c r="A8927" t="s">
        <v>1282</v>
      </c>
      <c r="B8927" t="s">
        <v>2028</v>
      </c>
      <c r="C8927" t="s">
        <v>923</v>
      </c>
      <c r="D8927" t="s">
        <v>3063</v>
      </c>
      <c r="E8927" t="s">
        <v>3053</v>
      </c>
      <c r="F8927" t="s">
        <v>808</v>
      </c>
      <c r="G8927" t="s">
        <v>809</v>
      </c>
      <c r="H8927" t="s">
        <v>9021</v>
      </c>
      <c r="I8927">
        <v>1</v>
      </c>
      <c r="J8927">
        <v>1</v>
      </c>
      <c r="K8927">
        <v>0</v>
      </c>
      <c r="L8927">
        <v>0</v>
      </c>
      <c r="M8927">
        <v>0</v>
      </c>
      <c r="N8927">
        <v>0</v>
      </c>
      <c r="O8927">
        <v>0</v>
      </c>
    </row>
    <row r="8928" spans="1:15" x14ac:dyDescent="0.25">
      <c r="A8928" t="s">
        <v>1291</v>
      </c>
      <c r="B8928" t="s">
        <v>2482</v>
      </c>
      <c r="C8928" t="s">
        <v>923</v>
      </c>
      <c r="D8928" t="s">
        <v>3063</v>
      </c>
      <c r="E8928" t="s">
        <v>3053</v>
      </c>
      <c r="F8928" t="s">
        <v>808</v>
      </c>
      <c r="G8928" t="s">
        <v>809</v>
      </c>
      <c r="H8928" t="s">
        <v>9022</v>
      </c>
      <c r="I8928">
        <v>12</v>
      </c>
      <c r="J8928">
        <v>12</v>
      </c>
      <c r="K8928">
        <v>0</v>
      </c>
      <c r="L8928">
        <v>0</v>
      </c>
      <c r="M8928">
        <v>0</v>
      </c>
      <c r="N8928">
        <v>0</v>
      </c>
      <c r="O8928">
        <v>0</v>
      </c>
    </row>
    <row r="8929" spans="1:15" x14ac:dyDescent="0.25">
      <c r="A8929" t="s">
        <v>1127</v>
      </c>
      <c r="B8929" t="s">
        <v>3034</v>
      </c>
      <c r="C8929" t="s">
        <v>927</v>
      </c>
      <c r="D8929" t="s">
        <v>3052</v>
      </c>
      <c r="E8929" t="s">
        <v>3053</v>
      </c>
      <c r="F8929" t="s">
        <v>808</v>
      </c>
      <c r="G8929" t="s">
        <v>809</v>
      </c>
      <c r="H8929" t="s">
        <v>9023</v>
      </c>
      <c r="I8929">
        <v>195</v>
      </c>
      <c r="J8929">
        <v>195</v>
      </c>
      <c r="K8929">
        <v>0</v>
      </c>
      <c r="L8929">
        <v>0</v>
      </c>
      <c r="M8929">
        <v>0</v>
      </c>
      <c r="N8929">
        <v>0</v>
      </c>
      <c r="O8929">
        <v>0</v>
      </c>
    </row>
    <row r="8930" spans="1:15" x14ac:dyDescent="0.25">
      <c r="A8930" t="s">
        <v>1025</v>
      </c>
      <c r="B8930" t="s">
        <v>2893</v>
      </c>
      <c r="C8930" t="s">
        <v>927</v>
      </c>
      <c r="D8930" t="s">
        <v>3052</v>
      </c>
      <c r="E8930" t="s">
        <v>3053</v>
      </c>
      <c r="F8930" t="s">
        <v>808</v>
      </c>
      <c r="G8930" t="s">
        <v>809</v>
      </c>
      <c r="H8930" t="s">
        <v>9024</v>
      </c>
      <c r="I8930">
        <v>6023</v>
      </c>
      <c r="J8930">
        <v>4538</v>
      </c>
      <c r="K8930">
        <v>0</v>
      </c>
      <c r="L8930">
        <v>221</v>
      </c>
      <c r="M8930">
        <v>337</v>
      </c>
      <c r="N8930">
        <v>19</v>
      </c>
      <c r="O8930">
        <v>927</v>
      </c>
    </row>
    <row r="8931" spans="1:15" x14ac:dyDescent="0.25">
      <c r="A8931" t="s">
        <v>1293</v>
      </c>
      <c r="B8931" t="s">
        <v>2910</v>
      </c>
      <c r="C8931" t="s">
        <v>927</v>
      </c>
      <c r="D8931" t="s">
        <v>3052</v>
      </c>
      <c r="E8931" t="s">
        <v>3053</v>
      </c>
      <c r="F8931" t="s">
        <v>808</v>
      </c>
      <c r="G8931" t="s">
        <v>809</v>
      </c>
      <c r="H8931" t="s">
        <v>9025</v>
      </c>
      <c r="I8931">
        <v>5</v>
      </c>
      <c r="J8931">
        <v>0</v>
      </c>
      <c r="K8931">
        <v>0</v>
      </c>
      <c r="L8931">
        <v>5</v>
      </c>
      <c r="M8931">
        <v>0</v>
      </c>
      <c r="N8931">
        <v>0</v>
      </c>
      <c r="O8931">
        <v>0</v>
      </c>
    </row>
    <row r="8932" spans="1:15" x14ac:dyDescent="0.25">
      <c r="A8932" t="s">
        <v>943</v>
      </c>
      <c r="B8932" t="s">
        <v>2694</v>
      </c>
      <c r="C8932" t="s">
        <v>927</v>
      </c>
      <c r="D8932" t="s">
        <v>3052</v>
      </c>
      <c r="E8932" t="s">
        <v>3053</v>
      </c>
      <c r="F8932" t="s">
        <v>808</v>
      </c>
      <c r="G8932" t="s">
        <v>809</v>
      </c>
      <c r="H8932" t="s">
        <v>9026</v>
      </c>
      <c r="I8932">
        <v>350</v>
      </c>
      <c r="J8932">
        <v>254</v>
      </c>
      <c r="K8932">
        <v>0</v>
      </c>
      <c r="L8932">
        <v>4</v>
      </c>
      <c r="M8932">
        <v>0</v>
      </c>
      <c r="N8932">
        <v>14</v>
      </c>
      <c r="O8932">
        <v>92</v>
      </c>
    </row>
    <row r="8933" spans="1:15" x14ac:dyDescent="0.25">
      <c r="A8933" t="s">
        <v>1131</v>
      </c>
      <c r="B8933" t="s">
        <v>2637</v>
      </c>
      <c r="C8933" t="s">
        <v>927</v>
      </c>
      <c r="D8933" t="s">
        <v>3052</v>
      </c>
      <c r="E8933" t="s">
        <v>3053</v>
      </c>
      <c r="F8933" t="s">
        <v>808</v>
      </c>
      <c r="G8933" t="s">
        <v>809</v>
      </c>
      <c r="H8933" t="s">
        <v>9027</v>
      </c>
      <c r="I8933">
        <v>304</v>
      </c>
      <c r="J8933">
        <v>112</v>
      </c>
      <c r="K8933">
        <v>0</v>
      </c>
      <c r="L8933">
        <v>59</v>
      </c>
      <c r="M8933">
        <v>0</v>
      </c>
      <c r="N8933">
        <v>0</v>
      </c>
      <c r="O8933">
        <v>133</v>
      </c>
    </row>
    <row r="8934" spans="1:15" x14ac:dyDescent="0.25">
      <c r="A8934" t="s">
        <v>1307</v>
      </c>
      <c r="B8934" t="s">
        <v>2982</v>
      </c>
      <c r="C8934" t="s">
        <v>927</v>
      </c>
      <c r="D8934" t="s">
        <v>3052</v>
      </c>
      <c r="E8934" t="s">
        <v>3053</v>
      </c>
      <c r="F8934" t="s">
        <v>808</v>
      </c>
      <c r="G8934" t="s">
        <v>809</v>
      </c>
      <c r="H8934" t="s">
        <v>9028</v>
      </c>
      <c r="I8934">
        <v>266</v>
      </c>
      <c r="J8934">
        <v>255</v>
      </c>
      <c r="K8934">
        <v>0</v>
      </c>
      <c r="L8934">
        <v>0</v>
      </c>
      <c r="M8934">
        <v>0</v>
      </c>
      <c r="N8934">
        <v>0</v>
      </c>
      <c r="O8934">
        <v>11</v>
      </c>
    </row>
    <row r="8935" spans="1:15" x14ac:dyDescent="0.25">
      <c r="A8935" t="s">
        <v>1134</v>
      </c>
      <c r="B8935" t="s">
        <v>2118</v>
      </c>
      <c r="C8935" t="s">
        <v>927</v>
      </c>
      <c r="D8935" t="s">
        <v>3052</v>
      </c>
      <c r="E8935" t="s">
        <v>3053</v>
      </c>
      <c r="F8935" t="s">
        <v>808</v>
      </c>
      <c r="G8935" t="s">
        <v>809</v>
      </c>
      <c r="H8935" t="s">
        <v>9029</v>
      </c>
      <c r="I8935">
        <v>251</v>
      </c>
      <c r="J8935">
        <v>190</v>
      </c>
      <c r="K8935">
        <v>0</v>
      </c>
      <c r="L8935">
        <v>37</v>
      </c>
      <c r="M8935">
        <v>23</v>
      </c>
      <c r="N8935">
        <v>7</v>
      </c>
      <c r="O8935">
        <v>1</v>
      </c>
    </row>
    <row r="8936" spans="1:15" x14ac:dyDescent="0.25">
      <c r="A8936" t="s">
        <v>949</v>
      </c>
      <c r="B8936" t="s">
        <v>3035</v>
      </c>
      <c r="C8936" t="s">
        <v>927</v>
      </c>
      <c r="D8936" t="s">
        <v>3052</v>
      </c>
      <c r="E8936" t="s">
        <v>3053</v>
      </c>
      <c r="F8936" t="s">
        <v>808</v>
      </c>
      <c r="G8936" t="s">
        <v>809</v>
      </c>
      <c r="H8936" t="s">
        <v>9030</v>
      </c>
      <c r="I8936">
        <v>47</v>
      </c>
      <c r="J8936">
        <v>0</v>
      </c>
      <c r="K8936">
        <v>0</v>
      </c>
      <c r="L8936">
        <v>0</v>
      </c>
      <c r="M8936">
        <v>0</v>
      </c>
      <c r="N8936">
        <v>0</v>
      </c>
      <c r="O8936">
        <v>47</v>
      </c>
    </row>
    <row r="8937" spans="1:15" x14ac:dyDescent="0.25">
      <c r="A8937" t="s">
        <v>1041</v>
      </c>
      <c r="B8937" t="s">
        <v>2826</v>
      </c>
      <c r="C8937" t="s">
        <v>927</v>
      </c>
      <c r="D8937" t="s">
        <v>3052</v>
      </c>
      <c r="E8937" t="s">
        <v>3053</v>
      </c>
      <c r="F8937" t="s">
        <v>808</v>
      </c>
      <c r="G8937" t="s">
        <v>809</v>
      </c>
      <c r="H8937" t="s">
        <v>9031</v>
      </c>
      <c r="I8937">
        <v>17</v>
      </c>
      <c r="J8937">
        <v>0</v>
      </c>
      <c r="K8937">
        <v>0</v>
      </c>
      <c r="L8937">
        <v>0</v>
      </c>
      <c r="M8937">
        <v>0</v>
      </c>
      <c r="N8937">
        <v>0</v>
      </c>
      <c r="O8937">
        <v>17</v>
      </c>
    </row>
    <row r="8938" spans="1:15" x14ac:dyDescent="0.25">
      <c r="A8938" t="s">
        <v>1043</v>
      </c>
      <c r="B8938" t="s">
        <v>2090</v>
      </c>
      <c r="C8938" t="s">
        <v>927</v>
      </c>
      <c r="D8938" t="s">
        <v>3052</v>
      </c>
      <c r="E8938" t="s">
        <v>3053</v>
      </c>
      <c r="F8938" t="s">
        <v>808</v>
      </c>
      <c r="G8938" t="s">
        <v>809</v>
      </c>
      <c r="H8938" t="s">
        <v>9032</v>
      </c>
      <c r="I8938">
        <v>176</v>
      </c>
      <c r="J8938">
        <v>152</v>
      </c>
      <c r="K8938">
        <v>0</v>
      </c>
      <c r="L8938">
        <v>0</v>
      </c>
      <c r="M8938">
        <v>0</v>
      </c>
      <c r="N8938">
        <v>0</v>
      </c>
      <c r="O8938">
        <v>24</v>
      </c>
    </row>
    <row r="8939" spans="1:15" x14ac:dyDescent="0.25">
      <c r="A8939" t="s">
        <v>1146</v>
      </c>
      <c r="B8939" t="s">
        <v>2117</v>
      </c>
      <c r="C8939" t="s">
        <v>927</v>
      </c>
      <c r="D8939" t="s">
        <v>3052</v>
      </c>
      <c r="E8939" t="s">
        <v>3053</v>
      </c>
      <c r="F8939" t="s">
        <v>808</v>
      </c>
      <c r="G8939" t="s">
        <v>809</v>
      </c>
      <c r="H8939" t="s">
        <v>9033</v>
      </c>
      <c r="I8939">
        <v>2568</v>
      </c>
      <c r="J8939">
        <v>2251</v>
      </c>
      <c r="K8939">
        <v>0</v>
      </c>
      <c r="L8939">
        <v>82</v>
      </c>
      <c r="M8939">
        <v>55</v>
      </c>
      <c r="N8939">
        <v>7</v>
      </c>
      <c r="O8939">
        <v>180</v>
      </c>
    </row>
    <row r="8940" spans="1:15" x14ac:dyDescent="0.25">
      <c r="A8940" t="s">
        <v>1322</v>
      </c>
      <c r="B8940" t="s">
        <v>2466</v>
      </c>
      <c r="C8940" t="s">
        <v>923</v>
      </c>
      <c r="D8940" t="s">
        <v>3063</v>
      </c>
      <c r="E8940" t="s">
        <v>3053</v>
      </c>
      <c r="F8940" t="s">
        <v>808</v>
      </c>
      <c r="G8940" t="s">
        <v>809</v>
      </c>
      <c r="H8940" t="s">
        <v>9034</v>
      </c>
      <c r="I8940">
        <v>6</v>
      </c>
      <c r="J8940">
        <v>0</v>
      </c>
      <c r="K8940">
        <v>6</v>
      </c>
      <c r="L8940">
        <v>0</v>
      </c>
      <c r="M8940">
        <v>0</v>
      </c>
      <c r="N8940">
        <v>0</v>
      </c>
      <c r="O8940">
        <v>0</v>
      </c>
    </row>
    <row r="8941" spans="1:15" x14ac:dyDescent="0.25">
      <c r="A8941" t="s">
        <v>951</v>
      </c>
      <c r="B8941" t="s">
        <v>2680</v>
      </c>
      <c r="C8941" t="s">
        <v>927</v>
      </c>
      <c r="D8941" t="s">
        <v>3052</v>
      </c>
      <c r="E8941" t="s">
        <v>3053</v>
      </c>
      <c r="F8941" t="s">
        <v>808</v>
      </c>
      <c r="G8941" t="s">
        <v>809</v>
      </c>
      <c r="H8941" t="s">
        <v>9035</v>
      </c>
      <c r="I8941">
        <v>1</v>
      </c>
      <c r="J8941">
        <v>1</v>
      </c>
      <c r="K8941">
        <v>0</v>
      </c>
      <c r="L8941">
        <v>0</v>
      </c>
      <c r="M8941">
        <v>0</v>
      </c>
      <c r="N8941">
        <v>0</v>
      </c>
      <c r="O8941">
        <v>0</v>
      </c>
    </row>
    <row r="8942" spans="1:15" x14ac:dyDescent="0.25">
      <c r="A8942" t="s">
        <v>1048</v>
      </c>
      <c r="B8942" t="s">
        <v>2989</v>
      </c>
      <c r="C8942" t="s">
        <v>927</v>
      </c>
      <c r="D8942" t="s">
        <v>3052</v>
      </c>
      <c r="E8942" t="s">
        <v>3053</v>
      </c>
      <c r="F8942" t="s">
        <v>808</v>
      </c>
      <c r="G8942" t="s">
        <v>809</v>
      </c>
      <c r="H8942" t="s">
        <v>9036</v>
      </c>
      <c r="I8942">
        <v>105</v>
      </c>
      <c r="J8942">
        <v>100</v>
      </c>
      <c r="K8942">
        <v>0</v>
      </c>
      <c r="L8942">
        <v>3</v>
      </c>
      <c r="M8942">
        <v>0</v>
      </c>
      <c r="N8942">
        <v>0</v>
      </c>
      <c r="O8942">
        <v>2</v>
      </c>
    </row>
    <row r="8943" spans="1:15" x14ac:dyDescent="0.25">
      <c r="A8943" t="s">
        <v>953</v>
      </c>
      <c r="B8943" t="s">
        <v>2014</v>
      </c>
      <c r="C8943" t="s">
        <v>927</v>
      </c>
      <c r="D8943" t="s">
        <v>3052</v>
      </c>
      <c r="E8943" t="s">
        <v>3053</v>
      </c>
      <c r="F8943" t="s">
        <v>808</v>
      </c>
      <c r="G8943" t="s">
        <v>809</v>
      </c>
      <c r="H8943" t="s">
        <v>9037</v>
      </c>
      <c r="I8943">
        <v>17</v>
      </c>
      <c r="J8943">
        <v>0</v>
      </c>
      <c r="K8943">
        <v>0</v>
      </c>
      <c r="L8943">
        <v>17</v>
      </c>
      <c r="M8943">
        <v>0</v>
      </c>
      <c r="N8943">
        <v>0</v>
      </c>
      <c r="O8943">
        <v>0</v>
      </c>
    </row>
    <row r="8944" spans="1:15" x14ac:dyDescent="0.25">
      <c r="A8944" t="s">
        <v>10809</v>
      </c>
      <c r="B8944" t="s">
        <v>10808</v>
      </c>
      <c r="C8944" t="s">
        <v>923</v>
      </c>
      <c r="D8944" t="s">
        <v>3063</v>
      </c>
      <c r="E8944" t="s">
        <v>3053</v>
      </c>
      <c r="F8944" t="s">
        <v>808</v>
      </c>
      <c r="G8944" t="s">
        <v>809</v>
      </c>
      <c r="H8944" t="s">
        <v>15382</v>
      </c>
      <c r="I8944">
        <v>4</v>
      </c>
      <c r="J8944">
        <v>0</v>
      </c>
      <c r="K8944">
        <v>0</v>
      </c>
      <c r="L8944">
        <v>0</v>
      </c>
      <c r="M8944">
        <v>4</v>
      </c>
      <c r="N8944">
        <v>0</v>
      </c>
      <c r="O8944">
        <v>0</v>
      </c>
    </row>
    <row r="8945" spans="1:15" x14ac:dyDescent="0.25">
      <c r="A8945" t="s">
        <v>11720</v>
      </c>
      <c r="B8945" t="s">
        <v>10718</v>
      </c>
      <c r="C8945" t="s">
        <v>927</v>
      </c>
      <c r="D8945" t="s">
        <v>3052</v>
      </c>
      <c r="E8945" t="s">
        <v>3053</v>
      </c>
      <c r="F8945" t="s">
        <v>808</v>
      </c>
      <c r="G8945" t="s">
        <v>809</v>
      </c>
      <c r="H8945" t="s">
        <v>15383</v>
      </c>
      <c r="I8945">
        <v>65</v>
      </c>
      <c r="J8945">
        <v>0</v>
      </c>
      <c r="K8945">
        <v>0</v>
      </c>
      <c r="L8945">
        <v>0</v>
      </c>
      <c r="M8945">
        <v>0</v>
      </c>
      <c r="N8945">
        <v>0</v>
      </c>
      <c r="O8945">
        <v>65</v>
      </c>
    </row>
    <row r="8946" spans="1:15" x14ac:dyDescent="0.25">
      <c r="A8946" t="s">
        <v>1056</v>
      </c>
      <c r="B8946" t="s">
        <v>2966</v>
      </c>
      <c r="C8946" t="s">
        <v>927</v>
      </c>
      <c r="D8946" t="s">
        <v>3052</v>
      </c>
      <c r="E8946" t="s">
        <v>3053</v>
      </c>
      <c r="F8946" t="s">
        <v>808</v>
      </c>
      <c r="G8946" t="s">
        <v>809</v>
      </c>
      <c r="H8946" t="s">
        <v>9038</v>
      </c>
      <c r="I8946">
        <v>17</v>
      </c>
      <c r="J8946">
        <v>0</v>
      </c>
      <c r="K8946">
        <v>0</v>
      </c>
      <c r="L8946">
        <v>17</v>
      </c>
      <c r="M8946">
        <v>0</v>
      </c>
      <c r="N8946">
        <v>0</v>
      </c>
      <c r="O8946">
        <v>0</v>
      </c>
    </row>
    <row r="8947" spans="1:15" x14ac:dyDescent="0.25">
      <c r="A8947" t="s">
        <v>1057</v>
      </c>
      <c r="B8947" t="s">
        <v>1972</v>
      </c>
      <c r="C8947" t="s">
        <v>927</v>
      </c>
      <c r="D8947" t="s">
        <v>3052</v>
      </c>
      <c r="E8947" t="s">
        <v>3053</v>
      </c>
      <c r="F8947" t="s">
        <v>808</v>
      </c>
      <c r="G8947" t="s">
        <v>809</v>
      </c>
      <c r="H8947" t="s">
        <v>9039</v>
      </c>
      <c r="I8947">
        <v>100</v>
      </c>
      <c r="J8947">
        <v>68</v>
      </c>
      <c r="K8947">
        <v>0</v>
      </c>
      <c r="L8947">
        <v>0</v>
      </c>
      <c r="M8947">
        <v>0</v>
      </c>
      <c r="N8947">
        <v>0</v>
      </c>
      <c r="O8947">
        <v>32</v>
      </c>
    </row>
    <row r="8948" spans="1:15" x14ac:dyDescent="0.25">
      <c r="A8948" t="s">
        <v>955</v>
      </c>
      <c r="B8948" t="s">
        <v>2660</v>
      </c>
      <c r="C8948" t="s">
        <v>927</v>
      </c>
      <c r="D8948" t="s">
        <v>3052</v>
      </c>
      <c r="E8948" t="s">
        <v>3053</v>
      </c>
      <c r="F8948" t="s">
        <v>808</v>
      </c>
      <c r="G8948" t="s">
        <v>809</v>
      </c>
      <c r="H8948" t="s">
        <v>9040</v>
      </c>
      <c r="I8948">
        <v>117</v>
      </c>
      <c r="J8948">
        <v>117</v>
      </c>
      <c r="K8948">
        <v>0</v>
      </c>
      <c r="L8948">
        <v>0</v>
      </c>
      <c r="M8948">
        <v>0</v>
      </c>
      <c r="N8948">
        <v>0</v>
      </c>
      <c r="O8948">
        <v>0</v>
      </c>
    </row>
    <row r="8949" spans="1:15" x14ac:dyDescent="0.25">
      <c r="A8949" t="s">
        <v>1155</v>
      </c>
      <c r="B8949" t="s">
        <v>2912</v>
      </c>
      <c r="C8949" t="s">
        <v>927</v>
      </c>
      <c r="D8949" t="s">
        <v>3052</v>
      </c>
      <c r="E8949" t="s">
        <v>3053</v>
      </c>
      <c r="F8949" t="s">
        <v>808</v>
      </c>
      <c r="G8949" t="s">
        <v>809</v>
      </c>
      <c r="H8949" t="s">
        <v>9041</v>
      </c>
      <c r="I8949">
        <v>3</v>
      </c>
      <c r="J8949">
        <v>0</v>
      </c>
      <c r="K8949">
        <v>0</v>
      </c>
      <c r="L8949">
        <v>0</v>
      </c>
      <c r="M8949">
        <v>0</v>
      </c>
      <c r="N8949">
        <v>0</v>
      </c>
      <c r="O8949">
        <v>3</v>
      </c>
    </row>
    <row r="8950" spans="1:15" x14ac:dyDescent="0.25">
      <c r="A8950" t="s">
        <v>11663</v>
      </c>
      <c r="B8950" t="s">
        <v>11768</v>
      </c>
      <c r="C8950" t="s">
        <v>927</v>
      </c>
      <c r="D8950" t="s">
        <v>3052</v>
      </c>
      <c r="E8950" t="s">
        <v>3053</v>
      </c>
      <c r="F8950" t="s">
        <v>808</v>
      </c>
      <c r="G8950" t="s">
        <v>809</v>
      </c>
      <c r="H8950" t="s">
        <v>12454</v>
      </c>
      <c r="I8950">
        <v>153</v>
      </c>
      <c r="J8950">
        <v>70</v>
      </c>
      <c r="K8950">
        <v>0</v>
      </c>
      <c r="L8950">
        <v>0</v>
      </c>
      <c r="M8950">
        <v>53</v>
      </c>
      <c r="N8950">
        <v>1</v>
      </c>
      <c r="O8950">
        <v>30</v>
      </c>
    </row>
    <row r="8951" spans="1:15" x14ac:dyDescent="0.25">
      <c r="A8951" t="s">
        <v>14380</v>
      </c>
      <c r="B8951" t="s">
        <v>2074</v>
      </c>
      <c r="C8951" t="s">
        <v>927</v>
      </c>
      <c r="D8951" t="s">
        <v>3052</v>
      </c>
      <c r="E8951" t="s">
        <v>3053</v>
      </c>
      <c r="F8951" t="s">
        <v>808</v>
      </c>
      <c r="G8951" t="s">
        <v>809</v>
      </c>
      <c r="H8951" t="s">
        <v>15384</v>
      </c>
      <c r="I8951">
        <v>74</v>
      </c>
      <c r="J8951">
        <v>62</v>
      </c>
      <c r="K8951">
        <v>0</v>
      </c>
      <c r="L8951">
        <v>0</v>
      </c>
      <c r="M8951">
        <v>0</v>
      </c>
      <c r="N8951">
        <v>2</v>
      </c>
      <c r="O8951">
        <v>12</v>
      </c>
    </row>
    <row r="8952" spans="1:15" x14ac:dyDescent="0.25">
      <c r="A8952" t="s">
        <v>1159</v>
      </c>
      <c r="B8952" t="s">
        <v>2829</v>
      </c>
      <c r="C8952" t="s">
        <v>927</v>
      </c>
      <c r="D8952" t="s">
        <v>3052</v>
      </c>
      <c r="E8952" t="s">
        <v>3053</v>
      </c>
      <c r="F8952" t="s">
        <v>808</v>
      </c>
      <c r="G8952" t="s">
        <v>809</v>
      </c>
      <c r="H8952" t="s">
        <v>12455</v>
      </c>
      <c r="I8952">
        <v>28</v>
      </c>
      <c r="J8952">
        <v>0</v>
      </c>
      <c r="K8952">
        <v>0</v>
      </c>
      <c r="L8952">
        <v>0</v>
      </c>
      <c r="M8952">
        <v>0</v>
      </c>
      <c r="N8952">
        <v>0</v>
      </c>
      <c r="O8952">
        <v>28</v>
      </c>
    </row>
    <row r="8953" spans="1:15" x14ac:dyDescent="0.25">
      <c r="A8953" t="s">
        <v>1160</v>
      </c>
      <c r="B8953" t="s">
        <v>2863</v>
      </c>
      <c r="C8953" t="s">
        <v>923</v>
      </c>
      <c r="D8953" t="s">
        <v>3063</v>
      </c>
      <c r="E8953" t="s">
        <v>3053</v>
      </c>
      <c r="F8953" t="s">
        <v>808</v>
      </c>
      <c r="G8953" t="s">
        <v>809</v>
      </c>
      <c r="H8953" t="s">
        <v>9042</v>
      </c>
      <c r="I8953">
        <v>1</v>
      </c>
      <c r="J8953">
        <v>1</v>
      </c>
      <c r="K8953">
        <v>0</v>
      </c>
      <c r="L8953">
        <v>0</v>
      </c>
      <c r="M8953">
        <v>0</v>
      </c>
      <c r="N8953">
        <v>0</v>
      </c>
      <c r="O8953">
        <v>0</v>
      </c>
    </row>
    <row r="8954" spans="1:15" x14ac:dyDescent="0.25">
      <c r="A8954" t="s">
        <v>1353</v>
      </c>
      <c r="B8954" t="s">
        <v>2927</v>
      </c>
      <c r="C8954" t="s">
        <v>923</v>
      </c>
      <c r="D8954" t="s">
        <v>3063</v>
      </c>
      <c r="E8954" t="s">
        <v>3053</v>
      </c>
      <c r="F8954" t="s">
        <v>808</v>
      </c>
      <c r="G8954" t="s">
        <v>809</v>
      </c>
      <c r="H8954" t="s">
        <v>9043</v>
      </c>
      <c r="I8954">
        <v>14</v>
      </c>
      <c r="J8954">
        <v>14</v>
      </c>
      <c r="K8954">
        <v>0</v>
      </c>
      <c r="L8954">
        <v>0</v>
      </c>
      <c r="M8954">
        <v>0</v>
      </c>
      <c r="N8954">
        <v>0</v>
      </c>
      <c r="O8954">
        <v>0</v>
      </c>
    </row>
    <row r="8955" spans="1:15" x14ac:dyDescent="0.25">
      <c r="A8955" t="s">
        <v>1071</v>
      </c>
      <c r="B8955" t="s">
        <v>2571</v>
      </c>
      <c r="C8955" t="s">
        <v>923</v>
      </c>
      <c r="D8955" t="s">
        <v>3063</v>
      </c>
      <c r="E8955" t="s">
        <v>3053</v>
      </c>
      <c r="F8955" t="s">
        <v>808</v>
      </c>
      <c r="G8955" t="s">
        <v>809</v>
      </c>
      <c r="H8955" t="s">
        <v>9044</v>
      </c>
      <c r="I8955">
        <v>8</v>
      </c>
      <c r="J8955">
        <v>0</v>
      </c>
      <c r="K8955">
        <v>0</v>
      </c>
      <c r="L8955">
        <v>8</v>
      </c>
      <c r="M8955">
        <v>0</v>
      </c>
      <c r="N8955">
        <v>0</v>
      </c>
      <c r="O8955">
        <v>0</v>
      </c>
    </row>
    <row r="8956" spans="1:15" x14ac:dyDescent="0.25">
      <c r="A8956" t="s">
        <v>1072</v>
      </c>
      <c r="B8956" t="s">
        <v>2907</v>
      </c>
      <c r="C8956" t="s">
        <v>927</v>
      </c>
      <c r="D8956" t="s">
        <v>3052</v>
      </c>
      <c r="E8956" t="s">
        <v>3053</v>
      </c>
      <c r="F8956" t="s">
        <v>808</v>
      </c>
      <c r="G8956" t="s">
        <v>809</v>
      </c>
      <c r="H8956" t="s">
        <v>9045</v>
      </c>
      <c r="I8956">
        <v>198</v>
      </c>
      <c r="J8956">
        <v>64</v>
      </c>
      <c r="K8956">
        <v>0</v>
      </c>
      <c r="L8956">
        <v>41</v>
      </c>
      <c r="M8956">
        <v>26</v>
      </c>
      <c r="N8956">
        <v>2</v>
      </c>
      <c r="O8956">
        <v>67</v>
      </c>
    </row>
    <row r="8957" spans="1:15" x14ac:dyDescent="0.25">
      <c r="A8957" t="s">
        <v>1379</v>
      </c>
      <c r="B8957" t="s">
        <v>2675</v>
      </c>
      <c r="C8957" t="s">
        <v>923</v>
      </c>
      <c r="D8957" t="s">
        <v>3063</v>
      </c>
      <c r="E8957" t="s">
        <v>3053</v>
      </c>
      <c r="F8957" t="s">
        <v>808</v>
      </c>
      <c r="G8957" t="s">
        <v>809</v>
      </c>
      <c r="H8957" t="s">
        <v>9046</v>
      </c>
      <c r="I8957">
        <v>329</v>
      </c>
      <c r="J8957">
        <v>156</v>
      </c>
      <c r="K8957">
        <v>0</v>
      </c>
      <c r="L8957">
        <v>21</v>
      </c>
      <c r="M8957">
        <v>152</v>
      </c>
      <c r="N8957">
        <v>0</v>
      </c>
      <c r="O8957">
        <v>0</v>
      </c>
    </row>
    <row r="8958" spans="1:15" x14ac:dyDescent="0.25">
      <c r="A8958" t="s">
        <v>1080</v>
      </c>
      <c r="B8958" t="s">
        <v>2030</v>
      </c>
      <c r="C8958" t="s">
        <v>923</v>
      </c>
      <c r="D8958" t="s">
        <v>3063</v>
      </c>
      <c r="E8958" t="s">
        <v>3053</v>
      </c>
      <c r="F8958" t="s">
        <v>808</v>
      </c>
      <c r="G8958" t="s">
        <v>809</v>
      </c>
      <c r="H8958" t="s">
        <v>9047</v>
      </c>
      <c r="I8958">
        <v>5</v>
      </c>
      <c r="J8958">
        <v>0</v>
      </c>
      <c r="K8958">
        <v>0</v>
      </c>
      <c r="L8958">
        <v>5</v>
      </c>
      <c r="M8958">
        <v>0</v>
      </c>
      <c r="N8958">
        <v>0</v>
      </c>
      <c r="O8958">
        <v>0</v>
      </c>
    </row>
    <row r="8959" spans="1:15" x14ac:dyDescent="0.25">
      <c r="A8959" t="s">
        <v>1398</v>
      </c>
      <c r="B8959" t="s">
        <v>2998</v>
      </c>
      <c r="C8959" t="s">
        <v>927</v>
      </c>
      <c r="D8959" t="s">
        <v>3052</v>
      </c>
      <c r="E8959" t="s">
        <v>3053</v>
      </c>
      <c r="F8959" t="s">
        <v>808</v>
      </c>
      <c r="G8959" t="s">
        <v>809</v>
      </c>
      <c r="H8959" t="s">
        <v>9048</v>
      </c>
      <c r="I8959">
        <v>346</v>
      </c>
      <c r="J8959">
        <v>20</v>
      </c>
      <c r="K8959">
        <v>0</v>
      </c>
      <c r="L8959">
        <v>326</v>
      </c>
      <c r="M8959">
        <v>0</v>
      </c>
      <c r="N8959">
        <v>0</v>
      </c>
      <c r="O8959">
        <v>0</v>
      </c>
    </row>
    <row r="8960" spans="1:15" x14ac:dyDescent="0.25">
      <c r="A8960" t="s">
        <v>1195</v>
      </c>
      <c r="B8960" t="s">
        <v>2924</v>
      </c>
      <c r="C8960" t="s">
        <v>927</v>
      </c>
      <c r="D8960" t="s">
        <v>3052</v>
      </c>
      <c r="E8960" t="s">
        <v>3053</v>
      </c>
      <c r="F8960" t="s">
        <v>810</v>
      </c>
      <c r="G8960" t="s">
        <v>811</v>
      </c>
      <c r="H8960" t="s">
        <v>9049</v>
      </c>
      <c r="I8960">
        <v>227</v>
      </c>
      <c r="J8960">
        <v>164</v>
      </c>
      <c r="K8960">
        <v>0</v>
      </c>
      <c r="L8960">
        <v>10</v>
      </c>
      <c r="M8960">
        <v>0</v>
      </c>
      <c r="N8960">
        <v>0</v>
      </c>
      <c r="O8960">
        <v>53</v>
      </c>
    </row>
    <row r="8961" spans="1:15" x14ac:dyDescent="0.25">
      <c r="A8961" t="s">
        <v>1564</v>
      </c>
      <c r="B8961" t="s">
        <v>3039</v>
      </c>
      <c r="C8961" t="s">
        <v>927</v>
      </c>
      <c r="D8961" t="s">
        <v>3052</v>
      </c>
      <c r="E8961" t="s">
        <v>3053</v>
      </c>
      <c r="F8961" t="s">
        <v>810</v>
      </c>
      <c r="G8961" t="s">
        <v>811</v>
      </c>
      <c r="H8961" t="s">
        <v>12456</v>
      </c>
      <c r="I8961">
        <v>44</v>
      </c>
      <c r="J8961">
        <v>0</v>
      </c>
      <c r="K8961">
        <v>0</v>
      </c>
      <c r="L8961">
        <v>0</v>
      </c>
      <c r="M8961">
        <v>0</v>
      </c>
      <c r="N8961">
        <v>0</v>
      </c>
      <c r="O8961">
        <v>44</v>
      </c>
    </row>
    <row r="8962" spans="1:15" x14ac:dyDescent="0.25">
      <c r="A8962" t="s">
        <v>1196</v>
      </c>
      <c r="B8962" t="s">
        <v>3004</v>
      </c>
      <c r="C8962" t="s">
        <v>927</v>
      </c>
      <c r="D8962" t="s">
        <v>3052</v>
      </c>
      <c r="E8962" t="s">
        <v>3053</v>
      </c>
      <c r="F8962" t="s">
        <v>810</v>
      </c>
      <c r="G8962" t="s">
        <v>811</v>
      </c>
      <c r="H8962" t="s">
        <v>9050</v>
      </c>
      <c r="I8962">
        <v>4</v>
      </c>
      <c r="J8962">
        <v>0</v>
      </c>
      <c r="K8962">
        <v>0</v>
      </c>
      <c r="L8962">
        <v>0</v>
      </c>
      <c r="M8962">
        <v>0</v>
      </c>
      <c r="N8962">
        <v>0</v>
      </c>
      <c r="O8962">
        <v>4</v>
      </c>
    </row>
    <row r="8963" spans="1:15" x14ac:dyDescent="0.25">
      <c r="A8963" t="s">
        <v>929</v>
      </c>
      <c r="B8963" t="s">
        <v>2999</v>
      </c>
      <c r="C8963" t="s">
        <v>927</v>
      </c>
      <c r="D8963" t="s">
        <v>3052</v>
      </c>
      <c r="E8963" t="s">
        <v>3053</v>
      </c>
      <c r="F8963" t="s">
        <v>810</v>
      </c>
      <c r="G8963" t="s">
        <v>811</v>
      </c>
      <c r="H8963" t="s">
        <v>9051</v>
      </c>
      <c r="I8963">
        <v>135</v>
      </c>
      <c r="J8963">
        <v>0</v>
      </c>
      <c r="K8963">
        <v>0</v>
      </c>
      <c r="L8963">
        <v>0</v>
      </c>
      <c r="M8963">
        <v>135</v>
      </c>
      <c r="N8963">
        <v>0</v>
      </c>
      <c r="O8963">
        <v>0</v>
      </c>
    </row>
    <row r="8964" spans="1:15" x14ac:dyDescent="0.25">
      <c r="A8964" t="s">
        <v>9790</v>
      </c>
      <c r="B8964" t="s">
        <v>1977</v>
      </c>
      <c r="C8964" t="s">
        <v>923</v>
      </c>
      <c r="D8964" t="s">
        <v>3063</v>
      </c>
      <c r="E8964" t="s">
        <v>3053</v>
      </c>
      <c r="F8964" t="s">
        <v>810</v>
      </c>
      <c r="G8964" t="s">
        <v>811</v>
      </c>
      <c r="H8964" t="s">
        <v>12457</v>
      </c>
      <c r="I8964">
        <v>10</v>
      </c>
      <c r="J8964">
        <v>0</v>
      </c>
      <c r="K8964">
        <v>0</v>
      </c>
      <c r="L8964">
        <v>10</v>
      </c>
      <c r="M8964">
        <v>0</v>
      </c>
      <c r="N8964">
        <v>0</v>
      </c>
      <c r="O8964">
        <v>0</v>
      </c>
    </row>
    <row r="8965" spans="1:15" x14ac:dyDescent="0.25">
      <c r="A8965" t="s">
        <v>1208</v>
      </c>
      <c r="B8965" t="s">
        <v>2361</v>
      </c>
      <c r="C8965" t="s">
        <v>923</v>
      </c>
      <c r="D8965" t="s">
        <v>3063</v>
      </c>
      <c r="E8965" t="s">
        <v>3053</v>
      </c>
      <c r="F8965" t="s">
        <v>810</v>
      </c>
      <c r="G8965" t="s">
        <v>811</v>
      </c>
      <c r="H8965" t="s">
        <v>9052</v>
      </c>
      <c r="I8965">
        <v>66</v>
      </c>
      <c r="J8965">
        <v>66</v>
      </c>
      <c r="K8965">
        <v>0</v>
      </c>
      <c r="L8965">
        <v>0</v>
      </c>
      <c r="M8965">
        <v>0</v>
      </c>
      <c r="N8965">
        <v>0</v>
      </c>
      <c r="O8965">
        <v>0</v>
      </c>
    </row>
    <row r="8966" spans="1:15" x14ac:dyDescent="0.25">
      <c r="A8966" t="s">
        <v>1213</v>
      </c>
      <c r="B8966" t="s">
        <v>2666</v>
      </c>
      <c r="C8966" t="s">
        <v>923</v>
      </c>
      <c r="D8966" t="s">
        <v>3063</v>
      </c>
      <c r="E8966" t="s">
        <v>3053</v>
      </c>
      <c r="F8966" t="s">
        <v>810</v>
      </c>
      <c r="G8966" t="s">
        <v>811</v>
      </c>
      <c r="H8966" t="s">
        <v>9053</v>
      </c>
      <c r="I8966">
        <v>18</v>
      </c>
      <c r="J8966">
        <v>18</v>
      </c>
      <c r="K8966">
        <v>0</v>
      </c>
      <c r="L8966">
        <v>0</v>
      </c>
      <c r="M8966">
        <v>0</v>
      </c>
      <c r="N8966">
        <v>0</v>
      </c>
      <c r="O8966">
        <v>0</v>
      </c>
    </row>
    <row r="8967" spans="1:15" x14ac:dyDescent="0.25">
      <c r="A8967" t="s">
        <v>1218</v>
      </c>
      <c r="B8967" t="s">
        <v>2565</v>
      </c>
      <c r="C8967" t="s">
        <v>927</v>
      </c>
      <c r="D8967" t="s">
        <v>3052</v>
      </c>
      <c r="E8967" t="s">
        <v>3053</v>
      </c>
      <c r="F8967" t="s">
        <v>810</v>
      </c>
      <c r="G8967" t="s">
        <v>811</v>
      </c>
      <c r="H8967" t="s">
        <v>12458</v>
      </c>
      <c r="I8967">
        <v>80</v>
      </c>
      <c r="J8967">
        <v>23</v>
      </c>
      <c r="K8967">
        <v>0</v>
      </c>
      <c r="L8967">
        <v>5</v>
      </c>
      <c r="M8967">
        <v>48</v>
      </c>
      <c r="N8967">
        <v>0</v>
      </c>
      <c r="O8967">
        <v>4</v>
      </c>
    </row>
    <row r="8968" spans="1:15" x14ac:dyDescent="0.25">
      <c r="A8968" t="s">
        <v>933</v>
      </c>
      <c r="B8968" t="s">
        <v>2106</v>
      </c>
      <c r="C8968" t="s">
        <v>927</v>
      </c>
      <c r="D8968" t="s">
        <v>3052</v>
      </c>
      <c r="E8968" t="s">
        <v>3053</v>
      </c>
      <c r="F8968" t="s">
        <v>810</v>
      </c>
      <c r="G8968" t="s">
        <v>811</v>
      </c>
      <c r="H8968" t="s">
        <v>9054</v>
      </c>
      <c r="I8968">
        <v>226</v>
      </c>
      <c r="J8968">
        <v>68</v>
      </c>
      <c r="K8968">
        <v>0</v>
      </c>
      <c r="L8968">
        <v>0</v>
      </c>
      <c r="M8968">
        <v>0</v>
      </c>
      <c r="N8968">
        <v>0</v>
      </c>
      <c r="O8968">
        <v>158</v>
      </c>
    </row>
    <row r="8969" spans="1:15" x14ac:dyDescent="0.25">
      <c r="A8969" t="s">
        <v>1227</v>
      </c>
      <c r="B8969" t="s">
        <v>2023</v>
      </c>
      <c r="C8969" t="s">
        <v>923</v>
      </c>
      <c r="D8969" t="s">
        <v>3063</v>
      </c>
      <c r="E8969" t="s">
        <v>3053</v>
      </c>
      <c r="F8969" t="s">
        <v>810</v>
      </c>
      <c r="G8969" t="s">
        <v>811</v>
      </c>
      <c r="H8969" t="s">
        <v>10043</v>
      </c>
      <c r="I8969">
        <v>2</v>
      </c>
      <c r="J8969">
        <v>2</v>
      </c>
      <c r="K8969">
        <v>0</v>
      </c>
      <c r="L8969">
        <v>0</v>
      </c>
      <c r="M8969">
        <v>0</v>
      </c>
      <c r="N8969">
        <v>0</v>
      </c>
      <c r="O8969">
        <v>0</v>
      </c>
    </row>
    <row r="8970" spans="1:15" x14ac:dyDescent="0.25">
      <c r="A8970" t="s">
        <v>1239</v>
      </c>
      <c r="B8970" t="s">
        <v>2990</v>
      </c>
      <c r="C8970" t="s">
        <v>923</v>
      </c>
      <c r="D8970" t="s">
        <v>3063</v>
      </c>
      <c r="E8970" t="s">
        <v>3053</v>
      </c>
      <c r="F8970" t="s">
        <v>810</v>
      </c>
      <c r="G8970" t="s">
        <v>811</v>
      </c>
      <c r="H8970" t="s">
        <v>9055</v>
      </c>
      <c r="I8970">
        <v>39</v>
      </c>
      <c r="J8970">
        <v>33</v>
      </c>
      <c r="K8970">
        <v>0</v>
      </c>
      <c r="L8970">
        <v>6</v>
      </c>
      <c r="M8970">
        <v>0</v>
      </c>
      <c r="N8970">
        <v>5</v>
      </c>
      <c r="O8970">
        <v>0</v>
      </c>
    </row>
    <row r="8971" spans="1:15" x14ac:dyDescent="0.25">
      <c r="A8971" t="s">
        <v>10638</v>
      </c>
      <c r="B8971" t="s">
        <v>2057</v>
      </c>
      <c r="C8971" t="s">
        <v>927</v>
      </c>
      <c r="D8971" t="s">
        <v>3052</v>
      </c>
      <c r="E8971" t="s">
        <v>3053</v>
      </c>
      <c r="F8971" t="s">
        <v>810</v>
      </c>
      <c r="G8971" t="s">
        <v>811</v>
      </c>
      <c r="H8971" t="s">
        <v>11435</v>
      </c>
      <c r="I8971">
        <v>12</v>
      </c>
      <c r="J8971">
        <v>0</v>
      </c>
      <c r="K8971">
        <v>0</v>
      </c>
      <c r="L8971">
        <v>12</v>
      </c>
      <c r="M8971">
        <v>0</v>
      </c>
      <c r="N8971">
        <v>0</v>
      </c>
      <c r="O8971">
        <v>0</v>
      </c>
    </row>
    <row r="8972" spans="1:15" x14ac:dyDescent="0.25">
      <c r="A8972" t="s">
        <v>1008</v>
      </c>
      <c r="B8972" t="s">
        <v>2928</v>
      </c>
      <c r="C8972" t="s">
        <v>927</v>
      </c>
      <c r="D8972" t="s">
        <v>3052</v>
      </c>
      <c r="E8972" t="s">
        <v>3053</v>
      </c>
      <c r="F8972" t="s">
        <v>810</v>
      </c>
      <c r="G8972" t="s">
        <v>811</v>
      </c>
      <c r="H8972" t="s">
        <v>9056</v>
      </c>
      <c r="I8972">
        <v>38</v>
      </c>
      <c r="J8972">
        <v>31</v>
      </c>
      <c r="K8972">
        <v>0</v>
      </c>
      <c r="L8972">
        <v>5</v>
      </c>
      <c r="M8972">
        <v>2</v>
      </c>
      <c r="N8972">
        <v>0</v>
      </c>
      <c r="O8972">
        <v>0</v>
      </c>
    </row>
    <row r="8973" spans="1:15" x14ac:dyDescent="0.25">
      <c r="A8973" t="s">
        <v>1274</v>
      </c>
      <c r="B8973" t="s">
        <v>2159</v>
      </c>
      <c r="C8973" t="s">
        <v>923</v>
      </c>
      <c r="D8973" t="s">
        <v>3063</v>
      </c>
      <c r="E8973" t="s">
        <v>3053</v>
      </c>
      <c r="F8973" t="s">
        <v>810</v>
      </c>
      <c r="G8973" t="s">
        <v>811</v>
      </c>
      <c r="H8973" t="s">
        <v>12459</v>
      </c>
      <c r="I8973">
        <v>33</v>
      </c>
      <c r="J8973">
        <v>0</v>
      </c>
      <c r="K8973">
        <v>0</v>
      </c>
      <c r="L8973">
        <v>0</v>
      </c>
      <c r="M8973">
        <v>33</v>
      </c>
      <c r="N8973">
        <v>0</v>
      </c>
      <c r="O8973">
        <v>0</v>
      </c>
    </row>
    <row r="8974" spans="1:15" x14ac:dyDescent="0.25">
      <c r="A8974" t="s">
        <v>1012</v>
      </c>
      <c r="B8974" t="s">
        <v>2911</v>
      </c>
      <c r="C8974" t="s">
        <v>927</v>
      </c>
      <c r="D8974" t="s">
        <v>3052</v>
      </c>
      <c r="E8974" t="s">
        <v>3053</v>
      </c>
      <c r="F8974" t="s">
        <v>810</v>
      </c>
      <c r="G8974" t="s">
        <v>811</v>
      </c>
      <c r="H8974" t="s">
        <v>9057</v>
      </c>
      <c r="I8974">
        <v>1</v>
      </c>
      <c r="J8974">
        <v>1</v>
      </c>
      <c r="K8974">
        <v>0</v>
      </c>
      <c r="L8974">
        <v>0</v>
      </c>
      <c r="M8974">
        <v>0</v>
      </c>
      <c r="N8974">
        <v>0</v>
      </c>
      <c r="O8974">
        <v>0</v>
      </c>
    </row>
    <row r="8975" spans="1:15" x14ac:dyDescent="0.25">
      <c r="A8975" t="s">
        <v>1277</v>
      </c>
      <c r="B8975" t="s">
        <v>2497</v>
      </c>
      <c r="C8975" t="s">
        <v>923</v>
      </c>
      <c r="D8975" t="s">
        <v>3063</v>
      </c>
      <c r="E8975" t="s">
        <v>3053</v>
      </c>
      <c r="F8975" t="s">
        <v>810</v>
      </c>
      <c r="G8975" t="s">
        <v>811</v>
      </c>
      <c r="H8975" t="s">
        <v>9058</v>
      </c>
      <c r="I8975">
        <v>54</v>
      </c>
      <c r="J8975">
        <v>54</v>
      </c>
      <c r="K8975">
        <v>0</v>
      </c>
      <c r="L8975">
        <v>0</v>
      </c>
      <c r="M8975">
        <v>0</v>
      </c>
      <c r="N8975">
        <v>0</v>
      </c>
      <c r="O8975">
        <v>0</v>
      </c>
    </row>
    <row r="8976" spans="1:15" x14ac:dyDescent="0.25">
      <c r="A8976" t="s">
        <v>1025</v>
      </c>
      <c r="B8976" t="s">
        <v>2893</v>
      </c>
      <c r="C8976" t="s">
        <v>927</v>
      </c>
      <c r="D8976" t="s">
        <v>3052</v>
      </c>
      <c r="E8976" t="s">
        <v>3053</v>
      </c>
      <c r="F8976" t="s">
        <v>810</v>
      </c>
      <c r="G8976" t="s">
        <v>811</v>
      </c>
      <c r="H8976" t="s">
        <v>9059</v>
      </c>
      <c r="I8976">
        <v>2026</v>
      </c>
      <c r="J8976">
        <v>1535</v>
      </c>
      <c r="K8976">
        <v>0</v>
      </c>
      <c r="L8976">
        <v>80</v>
      </c>
      <c r="M8976">
        <v>0</v>
      </c>
      <c r="N8976">
        <v>79</v>
      </c>
      <c r="O8976">
        <v>411</v>
      </c>
    </row>
    <row r="8977" spans="1:15" x14ac:dyDescent="0.25">
      <c r="A8977" t="s">
        <v>1296</v>
      </c>
      <c r="B8977" t="s">
        <v>2965</v>
      </c>
      <c r="C8977" t="s">
        <v>923</v>
      </c>
      <c r="D8977" t="s">
        <v>3063</v>
      </c>
      <c r="E8977" t="s">
        <v>3053</v>
      </c>
      <c r="F8977" t="s">
        <v>810</v>
      </c>
      <c r="G8977" t="s">
        <v>811</v>
      </c>
      <c r="H8977" t="s">
        <v>9060</v>
      </c>
      <c r="I8977">
        <v>12</v>
      </c>
      <c r="J8977">
        <v>0</v>
      </c>
      <c r="K8977">
        <v>0</v>
      </c>
      <c r="L8977">
        <v>0</v>
      </c>
      <c r="M8977">
        <v>12</v>
      </c>
      <c r="N8977">
        <v>0</v>
      </c>
      <c r="O8977">
        <v>0</v>
      </c>
    </row>
    <row r="8978" spans="1:15" x14ac:dyDescent="0.25">
      <c r="A8978" t="s">
        <v>943</v>
      </c>
      <c r="B8978" t="s">
        <v>2694</v>
      </c>
      <c r="C8978" t="s">
        <v>927</v>
      </c>
      <c r="D8978" t="s">
        <v>3052</v>
      </c>
      <c r="E8978" t="s">
        <v>3053</v>
      </c>
      <c r="F8978" t="s">
        <v>810</v>
      </c>
      <c r="G8978" t="s">
        <v>811</v>
      </c>
      <c r="H8978" t="s">
        <v>9061</v>
      </c>
      <c r="I8978">
        <v>513</v>
      </c>
      <c r="J8978">
        <v>90</v>
      </c>
      <c r="K8978">
        <v>0</v>
      </c>
      <c r="L8978">
        <v>271</v>
      </c>
      <c r="M8978">
        <v>0</v>
      </c>
      <c r="N8978">
        <v>0</v>
      </c>
      <c r="O8978">
        <v>152</v>
      </c>
    </row>
    <row r="8979" spans="1:15" x14ac:dyDescent="0.25">
      <c r="A8979" t="s">
        <v>1033</v>
      </c>
      <c r="B8979" t="s">
        <v>2039</v>
      </c>
      <c r="C8979" t="s">
        <v>923</v>
      </c>
      <c r="D8979" t="s">
        <v>3063</v>
      </c>
      <c r="E8979" t="s">
        <v>3053</v>
      </c>
      <c r="F8979" t="s">
        <v>810</v>
      </c>
      <c r="G8979" t="s">
        <v>811</v>
      </c>
      <c r="H8979" t="s">
        <v>9062</v>
      </c>
      <c r="I8979">
        <v>16</v>
      </c>
      <c r="J8979">
        <v>0</v>
      </c>
      <c r="K8979">
        <v>0</v>
      </c>
      <c r="L8979">
        <v>16</v>
      </c>
      <c r="M8979">
        <v>0</v>
      </c>
      <c r="N8979">
        <v>0</v>
      </c>
      <c r="O8979">
        <v>0</v>
      </c>
    </row>
    <row r="8980" spans="1:15" x14ac:dyDescent="0.25">
      <c r="A8980" t="s">
        <v>1305</v>
      </c>
      <c r="B8980" t="s">
        <v>2992</v>
      </c>
      <c r="C8980" t="s">
        <v>923</v>
      </c>
      <c r="D8980" t="s">
        <v>3063</v>
      </c>
      <c r="E8980" t="s">
        <v>3053</v>
      </c>
      <c r="F8980" t="s">
        <v>810</v>
      </c>
      <c r="G8980" t="s">
        <v>811</v>
      </c>
      <c r="H8980" t="s">
        <v>9063</v>
      </c>
      <c r="I8980">
        <v>91</v>
      </c>
      <c r="J8980">
        <v>71</v>
      </c>
      <c r="K8980">
        <v>0</v>
      </c>
      <c r="L8980">
        <v>0</v>
      </c>
      <c r="M8980">
        <v>20</v>
      </c>
      <c r="N8980">
        <v>2</v>
      </c>
      <c r="O8980">
        <v>0</v>
      </c>
    </row>
    <row r="8981" spans="1:15" x14ac:dyDescent="0.25">
      <c r="A8981" t="s">
        <v>1134</v>
      </c>
      <c r="B8981" t="s">
        <v>2118</v>
      </c>
      <c r="C8981" t="s">
        <v>927</v>
      </c>
      <c r="D8981" t="s">
        <v>3052</v>
      </c>
      <c r="E8981" t="s">
        <v>3053</v>
      </c>
      <c r="F8981" t="s">
        <v>810</v>
      </c>
      <c r="G8981" t="s">
        <v>811</v>
      </c>
      <c r="H8981" t="s">
        <v>9064</v>
      </c>
      <c r="I8981">
        <v>523</v>
      </c>
      <c r="J8981">
        <v>250</v>
      </c>
      <c r="K8981">
        <v>0</v>
      </c>
      <c r="L8981">
        <v>77</v>
      </c>
      <c r="M8981">
        <v>0</v>
      </c>
      <c r="N8981">
        <v>0</v>
      </c>
      <c r="O8981">
        <v>196</v>
      </c>
    </row>
    <row r="8982" spans="1:15" x14ac:dyDescent="0.25">
      <c r="A8982" t="s">
        <v>949</v>
      </c>
      <c r="B8982" t="s">
        <v>3035</v>
      </c>
      <c r="C8982" t="s">
        <v>927</v>
      </c>
      <c r="D8982" t="s">
        <v>3052</v>
      </c>
      <c r="E8982" t="s">
        <v>3053</v>
      </c>
      <c r="F8982" t="s">
        <v>810</v>
      </c>
      <c r="G8982" t="s">
        <v>811</v>
      </c>
      <c r="H8982" t="s">
        <v>9065</v>
      </c>
      <c r="I8982">
        <v>318</v>
      </c>
      <c r="J8982">
        <v>0</v>
      </c>
      <c r="K8982">
        <v>0</v>
      </c>
      <c r="L8982">
        <v>0</v>
      </c>
      <c r="M8982">
        <v>0</v>
      </c>
      <c r="N8982">
        <v>0</v>
      </c>
      <c r="O8982">
        <v>318</v>
      </c>
    </row>
    <row r="8983" spans="1:15" x14ac:dyDescent="0.25">
      <c r="A8983" t="s">
        <v>1135</v>
      </c>
      <c r="B8983" t="s">
        <v>1996</v>
      </c>
      <c r="C8983" t="s">
        <v>923</v>
      </c>
      <c r="D8983" t="s">
        <v>3063</v>
      </c>
      <c r="E8983" t="s">
        <v>3053</v>
      </c>
      <c r="F8983" t="s">
        <v>810</v>
      </c>
      <c r="G8983" t="s">
        <v>811</v>
      </c>
      <c r="H8983" t="s">
        <v>9066</v>
      </c>
      <c r="I8983">
        <v>21</v>
      </c>
      <c r="J8983">
        <v>0</v>
      </c>
      <c r="K8983">
        <v>0</v>
      </c>
      <c r="L8983">
        <v>0</v>
      </c>
      <c r="M8983">
        <v>21</v>
      </c>
      <c r="N8983">
        <v>0</v>
      </c>
      <c r="O8983">
        <v>0</v>
      </c>
    </row>
    <row r="8984" spans="1:15" x14ac:dyDescent="0.25">
      <c r="A8984" t="s">
        <v>1309</v>
      </c>
      <c r="B8984" t="s">
        <v>2690</v>
      </c>
      <c r="C8984" t="s">
        <v>927</v>
      </c>
      <c r="D8984" t="s">
        <v>3052</v>
      </c>
      <c r="E8984" t="s">
        <v>3053</v>
      </c>
      <c r="F8984" t="s">
        <v>810</v>
      </c>
      <c r="G8984" t="s">
        <v>811</v>
      </c>
      <c r="H8984" t="s">
        <v>9067</v>
      </c>
      <c r="I8984">
        <v>122</v>
      </c>
      <c r="J8984">
        <v>72</v>
      </c>
      <c r="K8984">
        <v>0</v>
      </c>
      <c r="L8984">
        <v>0</v>
      </c>
      <c r="M8984">
        <v>0</v>
      </c>
      <c r="N8984">
        <v>0</v>
      </c>
      <c r="O8984">
        <v>50</v>
      </c>
    </row>
    <row r="8985" spans="1:15" x14ac:dyDescent="0.25">
      <c r="A8985" t="s">
        <v>1140</v>
      </c>
      <c r="B8985" t="s">
        <v>2697</v>
      </c>
      <c r="C8985" t="s">
        <v>927</v>
      </c>
      <c r="D8985" t="s">
        <v>3052</v>
      </c>
      <c r="E8985" t="s">
        <v>3053</v>
      </c>
      <c r="F8985" t="s">
        <v>810</v>
      </c>
      <c r="G8985" t="s">
        <v>811</v>
      </c>
      <c r="H8985" t="s">
        <v>9068</v>
      </c>
      <c r="I8985">
        <v>1</v>
      </c>
      <c r="J8985">
        <v>0</v>
      </c>
      <c r="K8985">
        <v>0</v>
      </c>
      <c r="L8985">
        <v>0</v>
      </c>
      <c r="M8985">
        <v>0</v>
      </c>
      <c r="N8985">
        <v>0</v>
      </c>
      <c r="O8985">
        <v>1</v>
      </c>
    </row>
    <row r="8986" spans="1:15" x14ac:dyDescent="0.25">
      <c r="A8986" t="s">
        <v>1043</v>
      </c>
      <c r="B8986" t="s">
        <v>2090</v>
      </c>
      <c r="C8986" t="s">
        <v>927</v>
      </c>
      <c r="D8986" t="s">
        <v>3052</v>
      </c>
      <c r="E8986" t="s">
        <v>3053</v>
      </c>
      <c r="F8986" t="s">
        <v>810</v>
      </c>
      <c r="G8986" t="s">
        <v>811</v>
      </c>
      <c r="H8986" t="s">
        <v>9069</v>
      </c>
      <c r="I8986">
        <v>674</v>
      </c>
      <c r="J8986">
        <v>225</v>
      </c>
      <c r="K8986">
        <v>0</v>
      </c>
      <c r="L8986">
        <v>14</v>
      </c>
      <c r="M8986">
        <v>152</v>
      </c>
      <c r="N8986">
        <v>0</v>
      </c>
      <c r="O8986">
        <v>283</v>
      </c>
    </row>
    <row r="8987" spans="1:15" x14ac:dyDescent="0.25">
      <c r="A8987" t="s">
        <v>1145</v>
      </c>
      <c r="B8987" t="s">
        <v>2814</v>
      </c>
      <c r="C8987" t="s">
        <v>923</v>
      </c>
      <c r="D8987" t="s">
        <v>3063</v>
      </c>
      <c r="E8987" t="s">
        <v>3053</v>
      </c>
      <c r="F8987" t="s">
        <v>810</v>
      </c>
      <c r="G8987" t="s">
        <v>811</v>
      </c>
      <c r="H8987" t="s">
        <v>12460</v>
      </c>
      <c r="I8987">
        <v>84</v>
      </c>
      <c r="J8987">
        <v>84</v>
      </c>
      <c r="K8987">
        <v>0</v>
      </c>
      <c r="L8987">
        <v>0</v>
      </c>
      <c r="M8987">
        <v>0</v>
      </c>
      <c r="N8987">
        <v>0</v>
      </c>
      <c r="O8987">
        <v>0</v>
      </c>
    </row>
    <row r="8988" spans="1:15" x14ac:dyDescent="0.25">
      <c r="A8988" t="s">
        <v>1146</v>
      </c>
      <c r="B8988" t="s">
        <v>2117</v>
      </c>
      <c r="C8988" t="s">
        <v>927</v>
      </c>
      <c r="D8988" t="s">
        <v>3052</v>
      </c>
      <c r="E8988" t="s">
        <v>3053</v>
      </c>
      <c r="F8988" t="s">
        <v>810</v>
      </c>
      <c r="G8988" t="s">
        <v>811</v>
      </c>
      <c r="H8988" t="s">
        <v>9070</v>
      </c>
      <c r="I8988">
        <v>2376</v>
      </c>
      <c r="J8988">
        <v>1938</v>
      </c>
      <c r="K8988">
        <v>0</v>
      </c>
      <c r="L8988">
        <v>39</v>
      </c>
      <c r="M8988">
        <v>97</v>
      </c>
      <c r="N8988">
        <v>5</v>
      </c>
      <c r="O8988">
        <v>302</v>
      </c>
    </row>
    <row r="8989" spans="1:15" x14ac:dyDescent="0.25">
      <c r="A8989" t="s">
        <v>1056</v>
      </c>
      <c r="B8989" t="s">
        <v>2966</v>
      </c>
      <c r="C8989" t="s">
        <v>927</v>
      </c>
      <c r="D8989" t="s">
        <v>3052</v>
      </c>
      <c r="E8989" t="s">
        <v>3053</v>
      </c>
      <c r="F8989" t="s">
        <v>810</v>
      </c>
      <c r="G8989" t="s">
        <v>811</v>
      </c>
      <c r="H8989" t="s">
        <v>9071</v>
      </c>
      <c r="I8989">
        <v>24</v>
      </c>
      <c r="J8989">
        <v>0</v>
      </c>
      <c r="K8989">
        <v>0</v>
      </c>
      <c r="L8989">
        <v>0</v>
      </c>
      <c r="M8989">
        <v>24</v>
      </c>
      <c r="N8989">
        <v>0</v>
      </c>
      <c r="O8989">
        <v>0</v>
      </c>
    </row>
    <row r="8990" spans="1:15" x14ac:dyDescent="0.25">
      <c r="A8990" t="s">
        <v>955</v>
      </c>
      <c r="B8990" t="s">
        <v>2660</v>
      </c>
      <c r="C8990" t="s">
        <v>927</v>
      </c>
      <c r="D8990" t="s">
        <v>3052</v>
      </c>
      <c r="E8990" t="s">
        <v>3053</v>
      </c>
      <c r="F8990" t="s">
        <v>810</v>
      </c>
      <c r="G8990" t="s">
        <v>811</v>
      </c>
      <c r="H8990" t="s">
        <v>9072</v>
      </c>
      <c r="I8990">
        <v>231</v>
      </c>
      <c r="J8990">
        <v>4</v>
      </c>
      <c r="K8990">
        <v>0</v>
      </c>
      <c r="L8990">
        <v>35</v>
      </c>
      <c r="M8990">
        <v>192</v>
      </c>
      <c r="N8990">
        <v>1</v>
      </c>
      <c r="O8990">
        <v>0</v>
      </c>
    </row>
    <row r="8991" spans="1:15" x14ac:dyDescent="0.25">
      <c r="A8991" t="s">
        <v>1155</v>
      </c>
      <c r="B8991" t="s">
        <v>2912</v>
      </c>
      <c r="C8991" t="s">
        <v>927</v>
      </c>
      <c r="D8991" t="s">
        <v>3052</v>
      </c>
      <c r="E8991" t="s">
        <v>3053</v>
      </c>
      <c r="F8991" t="s">
        <v>810</v>
      </c>
      <c r="G8991" t="s">
        <v>811</v>
      </c>
      <c r="H8991" t="s">
        <v>9073</v>
      </c>
      <c r="I8991">
        <v>9</v>
      </c>
      <c r="J8991">
        <v>0</v>
      </c>
      <c r="K8991">
        <v>0</v>
      </c>
      <c r="L8991">
        <v>0</v>
      </c>
      <c r="M8991">
        <v>0</v>
      </c>
      <c r="N8991">
        <v>0</v>
      </c>
      <c r="O8991">
        <v>9</v>
      </c>
    </row>
    <row r="8992" spans="1:15" x14ac:dyDescent="0.25">
      <c r="A8992" t="s">
        <v>11663</v>
      </c>
      <c r="B8992" t="s">
        <v>11768</v>
      </c>
      <c r="C8992" t="s">
        <v>927</v>
      </c>
      <c r="D8992" t="s">
        <v>3052</v>
      </c>
      <c r="E8992" t="s">
        <v>3053</v>
      </c>
      <c r="F8992" t="s">
        <v>810</v>
      </c>
      <c r="G8992" t="s">
        <v>811</v>
      </c>
      <c r="H8992" t="s">
        <v>12461</v>
      </c>
      <c r="I8992">
        <v>3738</v>
      </c>
      <c r="J8992">
        <v>2697</v>
      </c>
      <c r="K8992">
        <v>6</v>
      </c>
      <c r="L8992">
        <v>355</v>
      </c>
      <c r="M8992">
        <v>229</v>
      </c>
      <c r="N8992">
        <v>12</v>
      </c>
      <c r="O8992">
        <v>451</v>
      </c>
    </row>
    <row r="8993" spans="1:15" x14ac:dyDescent="0.25">
      <c r="A8993" t="s">
        <v>1342</v>
      </c>
      <c r="B8993" t="s">
        <v>2385</v>
      </c>
      <c r="C8993" t="s">
        <v>923</v>
      </c>
      <c r="D8993" t="s">
        <v>3063</v>
      </c>
      <c r="E8993" t="s">
        <v>3053</v>
      </c>
      <c r="F8993" t="s">
        <v>810</v>
      </c>
      <c r="G8993" t="s">
        <v>811</v>
      </c>
      <c r="H8993" t="s">
        <v>9074</v>
      </c>
      <c r="I8993">
        <v>36</v>
      </c>
      <c r="J8993">
        <v>36</v>
      </c>
      <c r="K8993">
        <v>0</v>
      </c>
      <c r="L8993">
        <v>0</v>
      </c>
      <c r="M8993">
        <v>0</v>
      </c>
      <c r="N8993">
        <v>0</v>
      </c>
      <c r="O8993">
        <v>0</v>
      </c>
    </row>
    <row r="8994" spans="1:15" x14ac:dyDescent="0.25">
      <c r="A8994" t="s">
        <v>14380</v>
      </c>
      <c r="B8994" t="s">
        <v>2074</v>
      </c>
      <c r="C8994" t="s">
        <v>927</v>
      </c>
      <c r="D8994" t="s">
        <v>3052</v>
      </c>
      <c r="E8994" t="s">
        <v>3053</v>
      </c>
      <c r="F8994" t="s">
        <v>810</v>
      </c>
      <c r="G8994" t="s">
        <v>811</v>
      </c>
      <c r="H8994" t="s">
        <v>15385</v>
      </c>
      <c r="I8994">
        <v>4</v>
      </c>
      <c r="J8994">
        <v>0</v>
      </c>
      <c r="K8994">
        <v>0</v>
      </c>
      <c r="L8994">
        <v>0</v>
      </c>
      <c r="M8994">
        <v>0</v>
      </c>
      <c r="N8994">
        <v>0</v>
      </c>
      <c r="O8994">
        <v>4</v>
      </c>
    </row>
    <row r="8995" spans="1:15" x14ac:dyDescent="0.25">
      <c r="A8995" t="s">
        <v>1354</v>
      </c>
      <c r="B8995" t="s">
        <v>2676</v>
      </c>
      <c r="C8995" t="s">
        <v>927</v>
      </c>
      <c r="D8995" t="s">
        <v>3052</v>
      </c>
      <c r="E8995" t="s">
        <v>3053</v>
      </c>
      <c r="F8995" t="s">
        <v>810</v>
      </c>
      <c r="G8995" t="s">
        <v>811</v>
      </c>
      <c r="H8995" t="s">
        <v>9075</v>
      </c>
      <c r="I8995">
        <v>649</v>
      </c>
      <c r="J8995">
        <v>569</v>
      </c>
      <c r="K8995">
        <v>0</v>
      </c>
      <c r="L8995">
        <v>0</v>
      </c>
      <c r="M8995">
        <v>0</v>
      </c>
      <c r="N8995">
        <v>0</v>
      </c>
      <c r="O8995">
        <v>80</v>
      </c>
    </row>
    <row r="8996" spans="1:15" x14ac:dyDescent="0.25">
      <c r="A8996" t="s">
        <v>1357</v>
      </c>
      <c r="B8996" t="s">
        <v>2606</v>
      </c>
      <c r="C8996" t="s">
        <v>923</v>
      </c>
      <c r="D8996" t="s">
        <v>3063</v>
      </c>
      <c r="E8996" t="s">
        <v>3053</v>
      </c>
      <c r="F8996" t="s">
        <v>810</v>
      </c>
      <c r="G8996" t="s">
        <v>811</v>
      </c>
      <c r="H8996" t="s">
        <v>9076</v>
      </c>
      <c r="I8996">
        <v>7</v>
      </c>
      <c r="J8996">
        <v>0</v>
      </c>
      <c r="K8996">
        <v>0</v>
      </c>
      <c r="L8996">
        <v>7</v>
      </c>
      <c r="M8996">
        <v>0</v>
      </c>
      <c r="N8996">
        <v>0</v>
      </c>
      <c r="O8996">
        <v>0</v>
      </c>
    </row>
    <row r="8997" spans="1:15" x14ac:dyDescent="0.25">
      <c r="A8997" t="s">
        <v>1072</v>
      </c>
      <c r="B8997" t="s">
        <v>2907</v>
      </c>
      <c r="C8997" t="s">
        <v>927</v>
      </c>
      <c r="D8997" t="s">
        <v>3052</v>
      </c>
      <c r="E8997" t="s">
        <v>3053</v>
      </c>
      <c r="F8997" t="s">
        <v>810</v>
      </c>
      <c r="G8997" t="s">
        <v>811</v>
      </c>
      <c r="H8997" t="s">
        <v>15386</v>
      </c>
      <c r="I8997">
        <v>52</v>
      </c>
      <c r="J8997">
        <v>0</v>
      </c>
      <c r="K8997">
        <v>0</v>
      </c>
      <c r="L8997">
        <v>21</v>
      </c>
      <c r="M8997">
        <v>0</v>
      </c>
      <c r="N8997">
        <v>0</v>
      </c>
      <c r="O8997">
        <v>31</v>
      </c>
    </row>
    <row r="8998" spans="1:15" x14ac:dyDescent="0.25">
      <c r="A8998" t="s">
        <v>1371</v>
      </c>
      <c r="B8998" t="s">
        <v>2388</v>
      </c>
      <c r="C8998" t="s">
        <v>923</v>
      </c>
      <c r="D8998" t="s">
        <v>3063</v>
      </c>
      <c r="E8998" t="s">
        <v>3053</v>
      </c>
      <c r="F8998" t="s">
        <v>810</v>
      </c>
      <c r="G8998" t="s">
        <v>811</v>
      </c>
      <c r="H8998" t="s">
        <v>9077</v>
      </c>
      <c r="I8998">
        <v>70</v>
      </c>
      <c r="J8998">
        <v>70</v>
      </c>
      <c r="K8998">
        <v>0</v>
      </c>
      <c r="L8998">
        <v>0</v>
      </c>
      <c r="M8998">
        <v>0</v>
      </c>
      <c r="N8998">
        <v>0</v>
      </c>
      <c r="O8998">
        <v>0</v>
      </c>
    </row>
    <row r="8999" spans="1:15" x14ac:dyDescent="0.25">
      <c r="A8999" t="s">
        <v>1380</v>
      </c>
      <c r="B8999" t="s">
        <v>2664</v>
      </c>
      <c r="C8999" t="s">
        <v>927</v>
      </c>
      <c r="D8999" t="s">
        <v>3052</v>
      </c>
      <c r="E8999" t="s">
        <v>3053</v>
      </c>
      <c r="F8999" t="s">
        <v>810</v>
      </c>
      <c r="G8999" t="s">
        <v>811</v>
      </c>
      <c r="H8999" t="s">
        <v>9078</v>
      </c>
      <c r="I8999">
        <v>1589</v>
      </c>
      <c r="J8999">
        <v>1372</v>
      </c>
      <c r="K8999">
        <v>0</v>
      </c>
      <c r="L8999">
        <v>60</v>
      </c>
      <c r="M8999">
        <v>45</v>
      </c>
      <c r="N8999">
        <v>90</v>
      </c>
      <c r="O8999">
        <v>112</v>
      </c>
    </row>
    <row r="9000" spans="1:15" x14ac:dyDescent="0.25">
      <c r="A9000" t="s">
        <v>1080</v>
      </c>
      <c r="B9000" t="s">
        <v>2030</v>
      </c>
      <c r="C9000" t="s">
        <v>923</v>
      </c>
      <c r="D9000" t="s">
        <v>3063</v>
      </c>
      <c r="E9000" t="s">
        <v>3053</v>
      </c>
      <c r="F9000" t="s">
        <v>810</v>
      </c>
      <c r="G9000" t="s">
        <v>811</v>
      </c>
      <c r="H9000" t="s">
        <v>9079</v>
      </c>
      <c r="I9000">
        <v>6</v>
      </c>
      <c r="J9000">
        <v>0</v>
      </c>
      <c r="K9000">
        <v>0</v>
      </c>
      <c r="L9000">
        <v>6</v>
      </c>
      <c r="M9000">
        <v>0</v>
      </c>
      <c r="N9000">
        <v>0</v>
      </c>
      <c r="O9000">
        <v>0</v>
      </c>
    </row>
    <row r="9001" spans="1:15" x14ac:dyDescent="0.25">
      <c r="A9001" t="s">
        <v>1396</v>
      </c>
      <c r="B9001" t="s">
        <v>2750</v>
      </c>
      <c r="C9001" t="s">
        <v>923</v>
      </c>
      <c r="D9001" t="s">
        <v>3063</v>
      </c>
      <c r="E9001" t="s">
        <v>3053</v>
      </c>
      <c r="F9001" t="s">
        <v>810</v>
      </c>
      <c r="G9001" t="s">
        <v>811</v>
      </c>
      <c r="H9001" t="s">
        <v>9080</v>
      </c>
      <c r="I9001">
        <v>36</v>
      </c>
      <c r="J9001">
        <v>36</v>
      </c>
      <c r="K9001">
        <v>0</v>
      </c>
      <c r="L9001">
        <v>0</v>
      </c>
      <c r="M9001">
        <v>0</v>
      </c>
      <c r="N9001">
        <v>0</v>
      </c>
      <c r="O9001">
        <v>0</v>
      </c>
    </row>
    <row r="9002" spans="1:15" x14ac:dyDescent="0.25">
      <c r="A9002" t="s">
        <v>971</v>
      </c>
      <c r="B9002" t="s">
        <v>2956</v>
      </c>
      <c r="C9002" t="s">
        <v>927</v>
      </c>
      <c r="D9002" t="s">
        <v>3052</v>
      </c>
      <c r="E9002" t="s">
        <v>3053</v>
      </c>
      <c r="F9002" t="s">
        <v>812</v>
      </c>
      <c r="G9002" t="s">
        <v>813</v>
      </c>
      <c r="H9002" t="s">
        <v>9081</v>
      </c>
      <c r="I9002">
        <v>1</v>
      </c>
      <c r="J9002">
        <v>0</v>
      </c>
      <c r="K9002">
        <v>0</v>
      </c>
      <c r="L9002">
        <v>0</v>
      </c>
      <c r="M9002">
        <v>0</v>
      </c>
      <c r="N9002">
        <v>0</v>
      </c>
      <c r="O9002">
        <v>1</v>
      </c>
    </row>
    <row r="9003" spans="1:15" x14ac:dyDescent="0.25">
      <c r="A9003" t="s">
        <v>929</v>
      </c>
      <c r="B9003" t="s">
        <v>2999</v>
      </c>
      <c r="C9003" t="s">
        <v>927</v>
      </c>
      <c r="D9003" t="s">
        <v>3052</v>
      </c>
      <c r="E9003" t="s">
        <v>3053</v>
      </c>
      <c r="F9003" t="s">
        <v>812</v>
      </c>
      <c r="G9003" t="s">
        <v>813</v>
      </c>
      <c r="H9003" t="s">
        <v>9082</v>
      </c>
      <c r="I9003">
        <v>122</v>
      </c>
      <c r="J9003">
        <v>0</v>
      </c>
      <c r="K9003">
        <v>0</v>
      </c>
      <c r="L9003">
        <v>0</v>
      </c>
      <c r="M9003">
        <v>122</v>
      </c>
      <c r="N9003">
        <v>0</v>
      </c>
      <c r="O9003">
        <v>0</v>
      </c>
    </row>
    <row r="9004" spans="1:15" x14ac:dyDescent="0.25">
      <c r="A9004" t="s">
        <v>1459</v>
      </c>
      <c r="B9004" t="s">
        <v>2732</v>
      </c>
      <c r="C9004" t="s">
        <v>923</v>
      </c>
      <c r="D9004" t="s">
        <v>3063</v>
      </c>
      <c r="E9004" t="s">
        <v>3053</v>
      </c>
      <c r="F9004" t="s">
        <v>812</v>
      </c>
      <c r="G9004" t="s">
        <v>813</v>
      </c>
      <c r="H9004" t="s">
        <v>11436</v>
      </c>
      <c r="I9004">
        <v>24</v>
      </c>
      <c r="J9004">
        <v>0</v>
      </c>
      <c r="K9004">
        <v>0</v>
      </c>
      <c r="L9004">
        <v>24</v>
      </c>
      <c r="M9004">
        <v>0</v>
      </c>
      <c r="N9004">
        <v>0</v>
      </c>
      <c r="O9004">
        <v>0</v>
      </c>
    </row>
    <row r="9005" spans="1:15" x14ac:dyDescent="0.25">
      <c r="A9005" t="s">
        <v>985</v>
      </c>
      <c r="B9005" t="s">
        <v>1964</v>
      </c>
      <c r="C9005" t="s">
        <v>923</v>
      </c>
      <c r="D9005" t="s">
        <v>3063</v>
      </c>
      <c r="E9005" t="s">
        <v>3053</v>
      </c>
      <c r="F9005" t="s">
        <v>812</v>
      </c>
      <c r="G9005" t="s">
        <v>813</v>
      </c>
      <c r="H9005" t="s">
        <v>9083</v>
      </c>
      <c r="I9005">
        <v>17</v>
      </c>
      <c r="J9005">
        <v>0</v>
      </c>
      <c r="K9005">
        <v>0</v>
      </c>
      <c r="L9005">
        <v>17</v>
      </c>
      <c r="M9005">
        <v>0</v>
      </c>
      <c r="N9005">
        <v>0</v>
      </c>
      <c r="O9005">
        <v>0</v>
      </c>
    </row>
    <row r="9006" spans="1:15" x14ac:dyDescent="0.25">
      <c r="A9006" t="s">
        <v>933</v>
      </c>
      <c r="B9006" t="s">
        <v>2106</v>
      </c>
      <c r="C9006" t="s">
        <v>927</v>
      </c>
      <c r="D9006" t="s">
        <v>3052</v>
      </c>
      <c r="E9006" t="s">
        <v>3053</v>
      </c>
      <c r="F9006" t="s">
        <v>812</v>
      </c>
      <c r="G9006" t="s">
        <v>813</v>
      </c>
      <c r="H9006" t="s">
        <v>9084</v>
      </c>
      <c r="I9006">
        <v>526</v>
      </c>
      <c r="J9006">
        <v>500</v>
      </c>
      <c r="K9006">
        <v>0</v>
      </c>
      <c r="L9006">
        <v>0</v>
      </c>
      <c r="M9006">
        <v>0</v>
      </c>
      <c r="N9006">
        <v>0</v>
      </c>
      <c r="O9006">
        <v>26</v>
      </c>
    </row>
    <row r="9007" spans="1:15" x14ac:dyDescent="0.25">
      <c r="A9007" t="s">
        <v>991</v>
      </c>
      <c r="B9007" t="s">
        <v>1976</v>
      </c>
      <c r="C9007" t="s">
        <v>923</v>
      </c>
      <c r="D9007" t="s">
        <v>3063</v>
      </c>
      <c r="E9007" t="s">
        <v>3053</v>
      </c>
      <c r="F9007" t="s">
        <v>812</v>
      </c>
      <c r="G9007" t="s">
        <v>813</v>
      </c>
      <c r="H9007" t="s">
        <v>9085</v>
      </c>
      <c r="I9007">
        <v>34</v>
      </c>
      <c r="J9007">
        <v>0</v>
      </c>
      <c r="K9007">
        <v>0</v>
      </c>
      <c r="L9007">
        <v>34</v>
      </c>
      <c r="M9007">
        <v>0</v>
      </c>
      <c r="N9007">
        <v>0</v>
      </c>
      <c r="O9007">
        <v>0</v>
      </c>
    </row>
    <row r="9008" spans="1:15" x14ac:dyDescent="0.25">
      <c r="A9008" t="s">
        <v>11660</v>
      </c>
      <c r="B9008" t="s">
        <v>2041</v>
      </c>
      <c r="C9008" t="s">
        <v>923</v>
      </c>
      <c r="D9008" t="s">
        <v>3063</v>
      </c>
      <c r="E9008" t="s">
        <v>3053</v>
      </c>
      <c r="F9008" t="s">
        <v>812</v>
      </c>
      <c r="G9008" t="s">
        <v>813</v>
      </c>
      <c r="H9008" t="s">
        <v>12462</v>
      </c>
      <c r="I9008">
        <v>22</v>
      </c>
      <c r="J9008">
        <v>0</v>
      </c>
      <c r="K9008">
        <v>0</v>
      </c>
      <c r="L9008">
        <v>22</v>
      </c>
      <c r="M9008">
        <v>0</v>
      </c>
      <c r="N9008">
        <v>0</v>
      </c>
      <c r="O9008">
        <v>0</v>
      </c>
    </row>
    <row r="9009" spans="1:15" x14ac:dyDescent="0.25">
      <c r="A9009" t="s">
        <v>1000</v>
      </c>
      <c r="B9009" t="s">
        <v>1984</v>
      </c>
      <c r="C9009" t="s">
        <v>923</v>
      </c>
      <c r="D9009" t="s">
        <v>3063</v>
      </c>
      <c r="E9009" t="s">
        <v>3053</v>
      </c>
      <c r="F9009" t="s">
        <v>812</v>
      </c>
      <c r="G9009" t="s">
        <v>813</v>
      </c>
      <c r="H9009" t="s">
        <v>9086</v>
      </c>
      <c r="I9009">
        <v>18</v>
      </c>
      <c r="J9009">
        <v>0</v>
      </c>
      <c r="K9009">
        <v>0</v>
      </c>
      <c r="L9009">
        <v>18</v>
      </c>
      <c r="M9009">
        <v>0</v>
      </c>
      <c r="N9009">
        <v>0</v>
      </c>
      <c r="O9009">
        <v>0</v>
      </c>
    </row>
    <row r="9010" spans="1:15" x14ac:dyDescent="0.25">
      <c r="A9010" t="s">
        <v>1485</v>
      </c>
      <c r="B9010" t="s">
        <v>2836</v>
      </c>
      <c r="C9010" t="s">
        <v>927</v>
      </c>
      <c r="D9010" t="s">
        <v>3052</v>
      </c>
      <c r="E9010" t="s">
        <v>3053</v>
      </c>
      <c r="F9010" t="s">
        <v>812</v>
      </c>
      <c r="G9010" t="s">
        <v>813</v>
      </c>
      <c r="H9010" t="s">
        <v>9087</v>
      </c>
      <c r="I9010">
        <v>1235</v>
      </c>
      <c r="J9010">
        <v>1130</v>
      </c>
      <c r="K9010">
        <v>0</v>
      </c>
      <c r="L9010">
        <v>23</v>
      </c>
      <c r="M9010">
        <v>49</v>
      </c>
      <c r="N9010">
        <v>2</v>
      </c>
      <c r="O9010">
        <v>33</v>
      </c>
    </row>
    <row r="9011" spans="1:15" x14ac:dyDescent="0.25">
      <c r="A9011" t="s">
        <v>10638</v>
      </c>
      <c r="B9011" t="s">
        <v>2057</v>
      </c>
      <c r="C9011" t="s">
        <v>927</v>
      </c>
      <c r="D9011" t="s">
        <v>3052</v>
      </c>
      <c r="E9011" t="s">
        <v>3053</v>
      </c>
      <c r="F9011" t="s">
        <v>812</v>
      </c>
      <c r="G9011" t="s">
        <v>813</v>
      </c>
      <c r="H9011" t="s">
        <v>11437</v>
      </c>
      <c r="I9011">
        <v>20</v>
      </c>
      <c r="J9011">
        <v>0</v>
      </c>
      <c r="K9011">
        <v>0</v>
      </c>
      <c r="L9011">
        <v>20</v>
      </c>
      <c r="M9011">
        <v>0</v>
      </c>
      <c r="N9011">
        <v>0</v>
      </c>
      <c r="O9011">
        <v>0</v>
      </c>
    </row>
    <row r="9012" spans="1:15" x14ac:dyDescent="0.25">
      <c r="A9012" t="s">
        <v>1006</v>
      </c>
      <c r="B9012" t="s">
        <v>2724</v>
      </c>
      <c r="C9012" t="s">
        <v>927</v>
      </c>
      <c r="D9012" t="s">
        <v>3052</v>
      </c>
      <c r="E9012" t="s">
        <v>3053</v>
      </c>
      <c r="F9012" t="s">
        <v>812</v>
      </c>
      <c r="G9012" t="s">
        <v>813</v>
      </c>
      <c r="H9012" t="s">
        <v>9088</v>
      </c>
      <c r="I9012">
        <v>10</v>
      </c>
      <c r="J9012">
        <v>0</v>
      </c>
      <c r="K9012">
        <v>0</v>
      </c>
      <c r="L9012">
        <v>0</v>
      </c>
      <c r="M9012">
        <v>0</v>
      </c>
      <c r="N9012">
        <v>0</v>
      </c>
      <c r="O9012">
        <v>10</v>
      </c>
    </row>
    <row r="9013" spans="1:15" x14ac:dyDescent="0.25">
      <c r="A9013" t="s">
        <v>1009</v>
      </c>
      <c r="B9013" t="s">
        <v>1958</v>
      </c>
      <c r="C9013" t="s">
        <v>923</v>
      </c>
      <c r="D9013" t="s">
        <v>3063</v>
      </c>
      <c r="E9013" t="s">
        <v>3053</v>
      </c>
      <c r="F9013" t="s">
        <v>812</v>
      </c>
      <c r="G9013" t="s">
        <v>813</v>
      </c>
      <c r="H9013" t="s">
        <v>11438</v>
      </c>
      <c r="I9013">
        <v>9</v>
      </c>
      <c r="J9013">
        <v>0</v>
      </c>
      <c r="K9013">
        <v>0</v>
      </c>
      <c r="L9013">
        <v>9</v>
      </c>
      <c r="M9013">
        <v>0</v>
      </c>
      <c r="N9013">
        <v>0</v>
      </c>
      <c r="O9013">
        <v>0</v>
      </c>
    </row>
    <row r="9014" spans="1:15" x14ac:dyDescent="0.25">
      <c r="A9014" t="s">
        <v>1487</v>
      </c>
      <c r="B9014" t="s">
        <v>2876</v>
      </c>
      <c r="C9014" t="s">
        <v>927</v>
      </c>
      <c r="D9014" t="s">
        <v>3052</v>
      </c>
      <c r="E9014" t="s">
        <v>3053</v>
      </c>
      <c r="F9014" t="s">
        <v>812</v>
      </c>
      <c r="G9014" t="s">
        <v>813</v>
      </c>
      <c r="H9014" t="s">
        <v>11439</v>
      </c>
      <c r="I9014">
        <v>111</v>
      </c>
      <c r="J9014">
        <v>55</v>
      </c>
      <c r="K9014">
        <v>0</v>
      </c>
      <c r="L9014">
        <v>0</v>
      </c>
      <c r="M9014">
        <v>0</v>
      </c>
      <c r="N9014">
        <v>0</v>
      </c>
      <c r="O9014">
        <v>56</v>
      </c>
    </row>
    <row r="9015" spans="1:15" x14ac:dyDescent="0.25">
      <c r="A9015" t="s">
        <v>937</v>
      </c>
      <c r="B9015" t="s">
        <v>1962</v>
      </c>
      <c r="C9015" t="s">
        <v>927</v>
      </c>
      <c r="D9015" t="s">
        <v>3052</v>
      </c>
      <c r="E9015" t="s">
        <v>3053</v>
      </c>
      <c r="F9015" t="s">
        <v>812</v>
      </c>
      <c r="G9015" t="s">
        <v>813</v>
      </c>
      <c r="H9015" t="s">
        <v>11440</v>
      </c>
      <c r="I9015">
        <v>2</v>
      </c>
      <c r="J9015">
        <v>0</v>
      </c>
      <c r="K9015">
        <v>0</v>
      </c>
      <c r="L9015">
        <v>0</v>
      </c>
      <c r="M9015">
        <v>0</v>
      </c>
      <c r="N9015">
        <v>0</v>
      </c>
      <c r="O9015">
        <v>2</v>
      </c>
    </row>
    <row r="9016" spans="1:15" x14ac:dyDescent="0.25">
      <c r="A9016" t="s">
        <v>940</v>
      </c>
      <c r="B9016" t="s">
        <v>2647</v>
      </c>
      <c r="C9016" t="s">
        <v>927</v>
      </c>
      <c r="D9016" t="s">
        <v>3052</v>
      </c>
      <c r="E9016" t="s">
        <v>3053</v>
      </c>
      <c r="F9016" t="s">
        <v>812</v>
      </c>
      <c r="G9016" t="s">
        <v>813</v>
      </c>
      <c r="H9016" t="s">
        <v>9089</v>
      </c>
      <c r="I9016">
        <v>31</v>
      </c>
      <c r="J9016">
        <v>0</v>
      </c>
      <c r="K9016">
        <v>0</v>
      </c>
      <c r="L9016">
        <v>0</v>
      </c>
      <c r="M9016">
        <v>31</v>
      </c>
      <c r="N9016">
        <v>0</v>
      </c>
      <c r="O9016">
        <v>0</v>
      </c>
    </row>
    <row r="9017" spans="1:15" x14ac:dyDescent="0.25">
      <c r="A9017" t="s">
        <v>1013</v>
      </c>
      <c r="B9017" t="s">
        <v>1959</v>
      </c>
      <c r="C9017" t="s">
        <v>927</v>
      </c>
      <c r="D9017" t="s">
        <v>3052</v>
      </c>
      <c r="E9017" t="s">
        <v>3053</v>
      </c>
      <c r="F9017" t="s">
        <v>812</v>
      </c>
      <c r="G9017" t="s">
        <v>813</v>
      </c>
      <c r="H9017" t="s">
        <v>9090</v>
      </c>
      <c r="I9017">
        <v>74</v>
      </c>
      <c r="J9017">
        <v>0</v>
      </c>
      <c r="K9017">
        <v>0</v>
      </c>
      <c r="L9017">
        <v>74</v>
      </c>
      <c r="M9017">
        <v>0</v>
      </c>
      <c r="N9017">
        <v>0</v>
      </c>
      <c r="O9017">
        <v>0</v>
      </c>
    </row>
    <row r="9018" spans="1:15" x14ac:dyDescent="0.25">
      <c r="A9018" t="s">
        <v>9819</v>
      </c>
      <c r="B9018" t="s">
        <v>2916</v>
      </c>
      <c r="C9018" t="s">
        <v>927</v>
      </c>
      <c r="D9018" t="s">
        <v>3052</v>
      </c>
      <c r="E9018" t="s">
        <v>3053</v>
      </c>
      <c r="F9018" t="s">
        <v>812</v>
      </c>
      <c r="G9018" t="s">
        <v>813</v>
      </c>
      <c r="H9018" t="s">
        <v>10150</v>
      </c>
      <c r="I9018">
        <v>32</v>
      </c>
      <c r="J9018">
        <v>32</v>
      </c>
      <c r="K9018">
        <v>0</v>
      </c>
      <c r="L9018">
        <v>0</v>
      </c>
      <c r="M9018">
        <v>0</v>
      </c>
      <c r="N9018">
        <v>0</v>
      </c>
      <c r="O9018">
        <v>0</v>
      </c>
    </row>
    <row r="9019" spans="1:15" x14ac:dyDescent="0.25">
      <c r="A9019" t="s">
        <v>1516</v>
      </c>
      <c r="B9019" t="s">
        <v>2098</v>
      </c>
      <c r="C9019" t="s">
        <v>927</v>
      </c>
      <c r="D9019" t="s">
        <v>3052</v>
      </c>
      <c r="E9019" t="s">
        <v>3053</v>
      </c>
      <c r="F9019" t="s">
        <v>812</v>
      </c>
      <c r="G9019" t="s">
        <v>813</v>
      </c>
      <c r="H9019" t="s">
        <v>9091</v>
      </c>
      <c r="I9019">
        <v>59</v>
      </c>
      <c r="J9019">
        <v>28</v>
      </c>
      <c r="K9019">
        <v>0</v>
      </c>
      <c r="L9019">
        <v>0</v>
      </c>
      <c r="M9019">
        <v>31</v>
      </c>
      <c r="N9019">
        <v>0</v>
      </c>
      <c r="O9019">
        <v>0</v>
      </c>
    </row>
    <row r="9020" spans="1:15" x14ac:dyDescent="0.25">
      <c r="A9020" t="s">
        <v>1031</v>
      </c>
      <c r="B9020" t="s">
        <v>2779</v>
      </c>
      <c r="C9020" t="s">
        <v>927</v>
      </c>
      <c r="D9020" t="s">
        <v>3052</v>
      </c>
      <c r="E9020" t="s">
        <v>3053</v>
      </c>
      <c r="F9020" t="s">
        <v>812</v>
      </c>
      <c r="G9020" t="s">
        <v>813</v>
      </c>
      <c r="H9020" t="s">
        <v>9092</v>
      </c>
      <c r="I9020">
        <v>486</v>
      </c>
      <c r="J9020">
        <v>461</v>
      </c>
      <c r="K9020">
        <v>0</v>
      </c>
      <c r="L9020">
        <v>1</v>
      </c>
      <c r="M9020">
        <v>0</v>
      </c>
      <c r="N9020">
        <v>9</v>
      </c>
      <c r="O9020">
        <v>24</v>
      </c>
    </row>
    <row r="9021" spans="1:15" x14ac:dyDescent="0.25">
      <c r="A9021" t="s">
        <v>1032</v>
      </c>
      <c r="B9021" t="s">
        <v>2037</v>
      </c>
      <c r="C9021" t="s">
        <v>923</v>
      </c>
      <c r="D9021" t="s">
        <v>3063</v>
      </c>
      <c r="E9021" t="s">
        <v>3053</v>
      </c>
      <c r="F9021" t="s">
        <v>812</v>
      </c>
      <c r="G9021" t="s">
        <v>813</v>
      </c>
      <c r="H9021" t="s">
        <v>9093</v>
      </c>
      <c r="I9021">
        <v>12</v>
      </c>
      <c r="J9021">
        <v>0</v>
      </c>
      <c r="K9021">
        <v>0</v>
      </c>
      <c r="L9021">
        <v>12</v>
      </c>
      <c r="M9021">
        <v>0</v>
      </c>
      <c r="N9021">
        <v>10</v>
      </c>
      <c r="O9021">
        <v>0</v>
      </c>
    </row>
    <row r="9022" spans="1:15" x14ac:dyDescent="0.25">
      <c r="A9022" t="s">
        <v>949</v>
      </c>
      <c r="B9022" t="s">
        <v>3035</v>
      </c>
      <c r="C9022" t="s">
        <v>927</v>
      </c>
      <c r="D9022" t="s">
        <v>3052</v>
      </c>
      <c r="E9022" t="s">
        <v>3053</v>
      </c>
      <c r="F9022" t="s">
        <v>812</v>
      </c>
      <c r="G9022" t="s">
        <v>813</v>
      </c>
      <c r="H9022" t="s">
        <v>9094</v>
      </c>
      <c r="I9022">
        <v>1</v>
      </c>
      <c r="J9022">
        <v>0</v>
      </c>
      <c r="K9022">
        <v>0</v>
      </c>
      <c r="L9022">
        <v>0</v>
      </c>
      <c r="M9022">
        <v>0</v>
      </c>
      <c r="N9022">
        <v>0</v>
      </c>
      <c r="O9022">
        <v>1</v>
      </c>
    </row>
    <row r="9023" spans="1:15" x14ac:dyDescent="0.25">
      <c r="A9023" t="s">
        <v>1520</v>
      </c>
      <c r="B9023" t="s">
        <v>2058</v>
      </c>
      <c r="C9023" t="s">
        <v>927</v>
      </c>
      <c r="D9023" t="s">
        <v>3052</v>
      </c>
      <c r="E9023" t="s">
        <v>3053</v>
      </c>
      <c r="F9023" t="s">
        <v>812</v>
      </c>
      <c r="G9023" t="s">
        <v>813</v>
      </c>
      <c r="H9023" t="s">
        <v>9095</v>
      </c>
      <c r="I9023">
        <v>29</v>
      </c>
      <c r="J9023">
        <v>17</v>
      </c>
      <c r="K9023">
        <v>0</v>
      </c>
      <c r="L9023">
        <v>0</v>
      </c>
      <c r="M9023">
        <v>0</v>
      </c>
      <c r="N9023">
        <v>0</v>
      </c>
      <c r="O9023">
        <v>12</v>
      </c>
    </row>
    <row r="9024" spans="1:15" x14ac:dyDescent="0.25">
      <c r="A9024" t="s">
        <v>1521</v>
      </c>
      <c r="B9024" t="s">
        <v>2920</v>
      </c>
      <c r="C9024" t="s">
        <v>927</v>
      </c>
      <c r="D9024" t="s">
        <v>3052</v>
      </c>
      <c r="E9024" t="s">
        <v>3053</v>
      </c>
      <c r="F9024" t="s">
        <v>812</v>
      </c>
      <c r="G9024" t="s">
        <v>813</v>
      </c>
      <c r="H9024" t="s">
        <v>9096</v>
      </c>
      <c r="I9024">
        <v>60</v>
      </c>
      <c r="J9024">
        <v>29</v>
      </c>
      <c r="K9024">
        <v>0</v>
      </c>
      <c r="L9024">
        <v>0</v>
      </c>
      <c r="M9024">
        <v>0</v>
      </c>
      <c r="N9024">
        <v>0</v>
      </c>
      <c r="O9024">
        <v>31</v>
      </c>
    </row>
    <row r="9025" spans="1:15" x14ac:dyDescent="0.25">
      <c r="A9025" t="s">
        <v>951</v>
      </c>
      <c r="B9025" t="s">
        <v>2680</v>
      </c>
      <c r="C9025" t="s">
        <v>927</v>
      </c>
      <c r="D9025" t="s">
        <v>3052</v>
      </c>
      <c r="E9025" t="s">
        <v>3053</v>
      </c>
      <c r="F9025" t="s">
        <v>812</v>
      </c>
      <c r="G9025" t="s">
        <v>813</v>
      </c>
      <c r="H9025" t="s">
        <v>9097</v>
      </c>
      <c r="I9025">
        <v>3</v>
      </c>
      <c r="J9025">
        <v>1</v>
      </c>
      <c r="K9025">
        <v>0</v>
      </c>
      <c r="L9025">
        <v>0</v>
      </c>
      <c r="M9025">
        <v>0</v>
      </c>
      <c r="N9025">
        <v>0</v>
      </c>
      <c r="O9025">
        <v>2</v>
      </c>
    </row>
    <row r="9026" spans="1:15" x14ac:dyDescent="0.25">
      <c r="A9026" t="s">
        <v>1048</v>
      </c>
      <c r="B9026" t="s">
        <v>2989</v>
      </c>
      <c r="C9026" t="s">
        <v>927</v>
      </c>
      <c r="D9026" t="s">
        <v>3052</v>
      </c>
      <c r="E9026" t="s">
        <v>3053</v>
      </c>
      <c r="F9026" t="s">
        <v>812</v>
      </c>
      <c r="G9026" t="s">
        <v>813</v>
      </c>
      <c r="H9026" t="s">
        <v>10313</v>
      </c>
      <c r="I9026">
        <v>10</v>
      </c>
      <c r="J9026">
        <v>0</v>
      </c>
      <c r="K9026">
        <v>0</v>
      </c>
      <c r="L9026">
        <v>10</v>
      </c>
      <c r="M9026">
        <v>0</v>
      </c>
      <c r="N9026">
        <v>0</v>
      </c>
      <c r="O9026">
        <v>0</v>
      </c>
    </row>
    <row r="9027" spans="1:15" x14ac:dyDescent="0.25">
      <c r="A9027" t="s">
        <v>1525</v>
      </c>
      <c r="B9027" t="s">
        <v>2908</v>
      </c>
      <c r="C9027" t="s">
        <v>927</v>
      </c>
      <c r="D9027" t="s">
        <v>3052</v>
      </c>
      <c r="E9027" t="s">
        <v>3053</v>
      </c>
      <c r="F9027" t="s">
        <v>812</v>
      </c>
      <c r="G9027" t="s">
        <v>813</v>
      </c>
      <c r="H9027" t="s">
        <v>9098</v>
      </c>
      <c r="I9027">
        <v>385</v>
      </c>
      <c r="J9027">
        <v>352</v>
      </c>
      <c r="K9027">
        <v>0</v>
      </c>
      <c r="L9027">
        <v>0</v>
      </c>
      <c r="M9027">
        <v>0</v>
      </c>
      <c r="N9027">
        <v>0</v>
      </c>
      <c r="O9027">
        <v>33</v>
      </c>
    </row>
    <row r="9028" spans="1:15" x14ac:dyDescent="0.25">
      <c r="A9028" t="s">
        <v>9788</v>
      </c>
      <c r="B9028" t="s">
        <v>9871</v>
      </c>
      <c r="C9028" t="s">
        <v>927</v>
      </c>
      <c r="D9028" t="s">
        <v>3052</v>
      </c>
      <c r="E9028" t="s">
        <v>3053</v>
      </c>
      <c r="F9028" t="s">
        <v>812</v>
      </c>
      <c r="G9028" t="s">
        <v>813</v>
      </c>
      <c r="H9028" t="s">
        <v>11441</v>
      </c>
      <c r="I9028">
        <v>12</v>
      </c>
      <c r="J9028">
        <v>12</v>
      </c>
      <c r="K9028">
        <v>0</v>
      </c>
      <c r="L9028">
        <v>0</v>
      </c>
      <c r="M9028">
        <v>0</v>
      </c>
      <c r="N9028">
        <v>0</v>
      </c>
      <c r="O9028">
        <v>0</v>
      </c>
    </row>
    <row r="9029" spans="1:15" x14ac:dyDescent="0.25">
      <c r="A9029" t="s">
        <v>955</v>
      </c>
      <c r="B9029" t="s">
        <v>2660</v>
      </c>
      <c r="C9029" t="s">
        <v>927</v>
      </c>
      <c r="D9029" t="s">
        <v>3052</v>
      </c>
      <c r="E9029" t="s">
        <v>3053</v>
      </c>
      <c r="F9029" t="s">
        <v>812</v>
      </c>
      <c r="G9029" t="s">
        <v>813</v>
      </c>
      <c r="H9029" t="s">
        <v>9099</v>
      </c>
      <c r="I9029">
        <v>108</v>
      </c>
      <c r="J9029">
        <v>98</v>
      </c>
      <c r="K9029">
        <v>0</v>
      </c>
      <c r="L9029">
        <v>10</v>
      </c>
      <c r="M9029">
        <v>0</v>
      </c>
      <c r="N9029">
        <v>0</v>
      </c>
      <c r="O9029">
        <v>0</v>
      </c>
    </row>
    <row r="9030" spans="1:15" x14ac:dyDescent="0.25">
      <c r="A9030" t="s">
        <v>14374</v>
      </c>
      <c r="B9030" t="s">
        <v>1943</v>
      </c>
      <c r="C9030" t="s">
        <v>927</v>
      </c>
      <c r="D9030" t="s">
        <v>3052</v>
      </c>
      <c r="E9030" t="s">
        <v>3053</v>
      </c>
      <c r="F9030" t="s">
        <v>812</v>
      </c>
      <c r="G9030" t="s">
        <v>813</v>
      </c>
      <c r="H9030" t="s">
        <v>15387</v>
      </c>
      <c r="I9030">
        <v>11</v>
      </c>
      <c r="J9030">
        <v>0</v>
      </c>
      <c r="K9030">
        <v>0</v>
      </c>
      <c r="L9030">
        <v>0</v>
      </c>
      <c r="M9030">
        <v>0</v>
      </c>
      <c r="N9030">
        <v>0</v>
      </c>
      <c r="O9030">
        <v>11</v>
      </c>
    </row>
    <row r="9031" spans="1:15" x14ac:dyDescent="0.25">
      <c r="A9031" t="s">
        <v>1553</v>
      </c>
      <c r="B9031" t="s">
        <v>2132</v>
      </c>
      <c r="C9031" t="s">
        <v>927</v>
      </c>
      <c r="D9031" t="s">
        <v>3052</v>
      </c>
      <c r="E9031" t="s">
        <v>3053</v>
      </c>
      <c r="F9031" t="s">
        <v>812</v>
      </c>
      <c r="G9031" t="s">
        <v>813</v>
      </c>
      <c r="H9031" t="s">
        <v>9100</v>
      </c>
      <c r="I9031">
        <v>8783</v>
      </c>
      <c r="J9031">
        <v>7024</v>
      </c>
      <c r="K9031">
        <v>0</v>
      </c>
      <c r="L9031">
        <v>5</v>
      </c>
      <c r="M9031">
        <v>1495</v>
      </c>
      <c r="N9031">
        <v>47</v>
      </c>
      <c r="O9031">
        <v>259</v>
      </c>
    </row>
    <row r="9032" spans="1:15" x14ac:dyDescent="0.25">
      <c r="A9032" t="s">
        <v>1556</v>
      </c>
      <c r="B9032" t="s">
        <v>2678</v>
      </c>
      <c r="C9032" t="s">
        <v>927</v>
      </c>
      <c r="D9032" t="s">
        <v>3052</v>
      </c>
      <c r="E9032" t="s">
        <v>3053</v>
      </c>
      <c r="F9032" t="s">
        <v>812</v>
      </c>
      <c r="G9032" t="s">
        <v>813</v>
      </c>
      <c r="H9032" t="s">
        <v>9101</v>
      </c>
      <c r="I9032">
        <v>1299</v>
      </c>
      <c r="J9032">
        <v>1037</v>
      </c>
      <c r="K9032">
        <v>0</v>
      </c>
      <c r="L9032">
        <v>71</v>
      </c>
      <c r="M9032">
        <v>157</v>
      </c>
      <c r="N9032">
        <v>0</v>
      </c>
      <c r="O9032">
        <v>34</v>
      </c>
    </row>
    <row r="9033" spans="1:15" x14ac:dyDescent="0.25">
      <c r="A9033" t="s">
        <v>1557</v>
      </c>
      <c r="B9033" t="s">
        <v>2857</v>
      </c>
      <c r="C9033" t="s">
        <v>927</v>
      </c>
      <c r="D9033" t="s">
        <v>3052</v>
      </c>
      <c r="E9033" t="s">
        <v>3053</v>
      </c>
      <c r="F9033" t="s">
        <v>812</v>
      </c>
      <c r="G9033" t="s">
        <v>813</v>
      </c>
      <c r="H9033" t="s">
        <v>11442</v>
      </c>
      <c r="I9033">
        <v>74</v>
      </c>
      <c r="J9033">
        <v>74</v>
      </c>
      <c r="K9033">
        <v>0</v>
      </c>
      <c r="L9033">
        <v>0</v>
      </c>
      <c r="M9033">
        <v>0</v>
      </c>
      <c r="N9033">
        <v>0</v>
      </c>
      <c r="O9033">
        <v>0</v>
      </c>
    </row>
    <row r="9034" spans="1:15" x14ac:dyDescent="0.25">
      <c r="A9034" t="s">
        <v>1083</v>
      </c>
      <c r="B9034" t="s">
        <v>2757</v>
      </c>
      <c r="C9034" t="s">
        <v>927</v>
      </c>
      <c r="D9034" t="s">
        <v>3052</v>
      </c>
      <c r="E9034" t="s">
        <v>3053</v>
      </c>
      <c r="F9034" t="s">
        <v>812</v>
      </c>
      <c r="G9034" t="s">
        <v>813</v>
      </c>
      <c r="H9034" t="s">
        <v>9102</v>
      </c>
      <c r="I9034">
        <v>2082</v>
      </c>
      <c r="J9034">
        <v>1339</v>
      </c>
      <c r="K9034">
        <v>0</v>
      </c>
      <c r="L9034">
        <v>174</v>
      </c>
      <c r="M9034">
        <v>326</v>
      </c>
      <c r="N9034">
        <v>0</v>
      </c>
      <c r="O9034">
        <v>243</v>
      </c>
    </row>
    <row r="9035" spans="1:15" x14ac:dyDescent="0.25">
      <c r="A9035" t="s">
        <v>926</v>
      </c>
      <c r="B9035" t="s">
        <v>2923</v>
      </c>
      <c r="C9035" t="s">
        <v>927</v>
      </c>
      <c r="D9035" t="s">
        <v>3052</v>
      </c>
      <c r="E9035" t="s">
        <v>3053</v>
      </c>
      <c r="F9035" t="s">
        <v>814</v>
      </c>
      <c r="G9035" t="s">
        <v>815</v>
      </c>
      <c r="H9035" t="s">
        <v>9103</v>
      </c>
      <c r="I9035">
        <v>3</v>
      </c>
      <c r="J9035">
        <v>0</v>
      </c>
      <c r="K9035">
        <v>0</v>
      </c>
      <c r="L9035">
        <v>0</v>
      </c>
      <c r="M9035">
        <v>0</v>
      </c>
      <c r="N9035">
        <v>0</v>
      </c>
      <c r="O9035">
        <v>3</v>
      </c>
    </row>
    <row r="9036" spans="1:15" x14ac:dyDescent="0.25">
      <c r="A9036" t="s">
        <v>983</v>
      </c>
      <c r="B9036" t="s">
        <v>2069</v>
      </c>
      <c r="C9036" t="s">
        <v>927</v>
      </c>
      <c r="D9036" t="s">
        <v>3052</v>
      </c>
      <c r="E9036" t="s">
        <v>3053</v>
      </c>
      <c r="F9036" t="s">
        <v>814</v>
      </c>
      <c r="G9036" t="s">
        <v>815</v>
      </c>
      <c r="H9036" t="s">
        <v>9104</v>
      </c>
      <c r="I9036">
        <v>337</v>
      </c>
      <c r="J9036">
        <v>264</v>
      </c>
      <c r="K9036">
        <v>0</v>
      </c>
      <c r="L9036">
        <v>14</v>
      </c>
      <c r="M9036">
        <v>0</v>
      </c>
      <c r="N9036">
        <v>0</v>
      </c>
      <c r="O9036">
        <v>59</v>
      </c>
    </row>
    <row r="9037" spans="1:15" x14ac:dyDescent="0.25">
      <c r="A9037" t="s">
        <v>1715</v>
      </c>
      <c r="B9037" t="s">
        <v>2136</v>
      </c>
      <c r="C9037" t="s">
        <v>927</v>
      </c>
      <c r="D9037" t="s">
        <v>3052</v>
      </c>
      <c r="E9037" t="s">
        <v>3053</v>
      </c>
      <c r="F9037" t="s">
        <v>814</v>
      </c>
      <c r="G9037" t="s">
        <v>815</v>
      </c>
      <c r="H9037" t="s">
        <v>9105</v>
      </c>
      <c r="I9037">
        <v>281</v>
      </c>
      <c r="J9037">
        <v>229</v>
      </c>
      <c r="K9037">
        <v>0</v>
      </c>
      <c r="L9037">
        <v>0</v>
      </c>
      <c r="M9037">
        <v>0</v>
      </c>
      <c r="N9037">
        <v>0</v>
      </c>
      <c r="O9037">
        <v>52</v>
      </c>
    </row>
    <row r="9038" spans="1:15" x14ac:dyDescent="0.25">
      <c r="A9038" t="s">
        <v>933</v>
      </c>
      <c r="B9038" t="s">
        <v>2106</v>
      </c>
      <c r="C9038" t="s">
        <v>927</v>
      </c>
      <c r="D9038" t="s">
        <v>3052</v>
      </c>
      <c r="E9038" t="s">
        <v>3053</v>
      </c>
      <c r="F9038" t="s">
        <v>814</v>
      </c>
      <c r="G9038" t="s">
        <v>815</v>
      </c>
      <c r="H9038" t="s">
        <v>9106</v>
      </c>
      <c r="I9038">
        <v>36</v>
      </c>
      <c r="J9038">
        <v>0</v>
      </c>
      <c r="K9038">
        <v>0</v>
      </c>
      <c r="L9038">
        <v>0</v>
      </c>
      <c r="M9038">
        <v>0</v>
      </c>
      <c r="N9038">
        <v>0</v>
      </c>
      <c r="O9038">
        <v>36</v>
      </c>
    </row>
    <row r="9039" spans="1:15" x14ac:dyDescent="0.25">
      <c r="A9039" t="s">
        <v>991</v>
      </c>
      <c r="B9039" t="s">
        <v>1976</v>
      </c>
      <c r="C9039" t="s">
        <v>923</v>
      </c>
      <c r="D9039" t="s">
        <v>3063</v>
      </c>
      <c r="E9039" t="s">
        <v>3053</v>
      </c>
      <c r="F9039" t="s">
        <v>814</v>
      </c>
      <c r="G9039" t="s">
        <v>815</v>
      </c>
      <c r="H9039" t="s">
        <v>10033</v>
      </c>
      <c r="I9039">
        <v>15</v>
      </c>
      <c r="J9039">
        <v>0</v>
      </c>
      <c r="K9039">
        <v>0</v>
      </c>
      <c r="L9039">
        <v>15</v>
      </c>
      <c r="M9039">
        <v>0</v>
      </c>
      <c r="N9039">
        <v>0</v>
      </c>
      <c r="O9039">
        <v>0</v>
      </c>
    </row>
    <row r="9040" spans="1:15" x14ac:dyDescent="0.25">
      <c r="A9040" t="s">
        <v>996</v>
      </c>
      <c r="B9040" t="s">
        <v>1952</v>
      </c>
      <c r="C9040" t="s">
        <v>923</v>
      </c>
      <c r="D9040" t="s">
        <v>3063</v>
      </c>
      <c r="E9040" t="s">
        <v>3053</v>
      </c>
      <c r="F9040" t="s">
        <v>814</v>
      </c>
      <c r="G9040" t="s">
        <v>815</v>
      </c>
      <c r="H9040" t="s">
        <v>9107</v>
      </c>
      <c r="I9040">
        <v>5</v>
      </c>
      <c r="J9040">
        <v>0</v>
      </c>
      <c r="K9040">
        <v>0</v>
      </c>
      <c r="L9040">
        <v>5</v>
      </c>
      <c r="M9040">
        <v>0</v>
      </c>
      <c r="N9040">
        <v>0</v>
      </c>
      <c r="O9040">
        <v>0</v>
      </c>
    </row>
    <row r="9041" spans="1:15" x14ac:dyDescent="0.25">
      <c r="A9041" t="s">
        <v>11660</v>
      </c>
      <c r="B9041" t="s">
        <v>2041</v>
      </c>
      <c r="C9041" t="s">
        <v>923</v>
      </c>
      <c r="D9041" t="s">
        <v>3063</v>
      </c>
      <c r="E9041" t="s">
        <v>3053</v>
      </c>
      <c r="F9041" t="s">
        <v>814</v>
      </c>
      <c r="G9041" t="s">
        <v>815</v>
      </c>
      <c r="H9041" t="s">
        <v>15388</v>
      </c>
      <c r="I9041">
        <v>1</v>
      </c>
      <c r="J9041">
        <v>0</v>
      </c>
      <c r="K9041">
        <v>0</v>
      </c>
      <c r="L9041">
        <v>1</v>
      </c>
      <c r="M9041">
        <v>0</v>
      </c>
      <c r="N9041">
        <v>0</v>
      </c>
      <c r="O9041">
        <v>0</v>
      </c>
    </row>
    <row r="9042" spans="1:15" x14ac:dyDescent="0.25">
      <c r="A9042" t="s">
        <v>1603</v>
      </c>
      <c r="B9042" t="s">
        <v>2053</v>
      </c>
      <c r="C9042" t="s">
        <v>923</v>
      </c>
      <c r="D9042" t="s">
        <v>3063</v>
      </c>
      <c r="E9042" t="s">
        <v>3053</v>
      </c>
      <c r="F9042" t="s">
        <v>814</v>
      </c>
      <c r="G9042" t="s">
        <v>815</v>
      </c>
      <c r="H9042" t="s">
        <v>9108</v>
      </c>
      <c r="I9042">
        <v>4</v>
      </c>
      <c r="J9042">
        <v>0</v>
      </c>
      <c r="K9042">
        <v>0</v>
      </c>
      <c r="L9042">
        <v>4</v>
      </c>
      <c r="M9042">
        <v>0</v>
      </c>
      <c r="N9042">
        <v>0</v>
      </c>
      <c r="O9042">
        <v>0</v>
      </c>
    </row>
    <row r="9043" spans="1:15" x14ac:dyDescent="0.25">
      <c r="A9043" t="s">
        <v>10638</v>
      </c>
      <c r="B9043" t="s">
        <v>2057</v>
      </c>
      <c r="C9043" t="s">
        <v>927</v>
      </c>
      <c r="D9043" t="s">
        <v>3052</v>
      </c>
      <c r="E9043" t="s">
        <v>3053</v>
      </c>
      <c r="F9043" t="s">
        <v>814</v>
      </c>
      <c r="G9043" t="s">
        <v>815</v>
      </c>
      <c r="H9043" t="s">
        <v>11443</v>
      </c>
      <c r="I9043">
        <v>5</v>
      </c>
      <c r="J9043">
        <v>0</v>
      </c>
      <c r="K9043">
        <v>0</v>
      </c>
      <c r="L9043">
        <v>5</v>
      </c>
      <c r="M9043">
        <v>0</v>
      </c>
      <c r="N9043">
        <v>0</v>
      </c>
      <c r="O9043">
        <v>0</v>
      </c>
    </row>
    <row r="9044" spans="1:15" x14ac:dyDescent="0.25">
      <c r="A9044" t="s">
        <v>10643</v>
      </c>
      <c r="B9044" t="s">
        <v>2987</v>
      </c>
      <c r="C9044" t="s">
        <v>927</v>
      </c>
      <c r="D9044" t="s">
        <v>3052</v>
      </c>
      <c r="E9044" t="s">
        <v>3053</v>
      </c>
      <c r="F9044" t="s">
        <v>814</v>
      </c>
      <c r="G9044" t="s">
        <v>815</v>
      </c>
      <c r="H9044" t="s">
        <v>11444</v>
      </c>
      <c r="I9044">
        <v>27</v>
      </c>
      <c r="J9044">
        <v>14</v>
      </c>
      <c r="K9044">
        <v>0</v>
      </c>
      <c r="L9044">
        <v>13</v>
      </c>
      <c r="M9044">
        <v>0</v>
      </c>
      <c r="N9044">
        <v>0</v>
      </c>
      <c r="O9044">
        <v>0</v>
      </c>
    </row>
    <row r="9045" spans="1:15" x14ac:dyDescent="0.25">
      <c r="A9045" t="s">
        <v>937</v>
      </c>
      <c r="B9045" t="s">
        <v>1962</v>
      </c>
      <c r="C9045" t="s">
        <v>927</v>
      </c>
      <c r="D9045" t="s">
        <v>3052</v>
      </c>
      <c r="E9045" t="s">
        <v>3053</v>
      </c>
      <c r="F9045" t="s">
        <v>814</v>
      </c>
      <c r="G9045" t="s">
        <v>815</v>
      </c>
      <c r="H9045" t="s">
        <v>9109</v>
      </c>
      <c r="I9045">
        <v>75</v>
      </c>
      <c r="J9045">
        <v>0</v>
      </c>
      <c r="K9045">
        <v>0</v>
      </c>
      <c r="L9045">
        <v>0</v>
      </c>
      <c r="M9045">
        <v>0</v>
      </c>
      <c r="N9045">
        <v>0</v>
      </c>
      <c r="O9045">
        <v>75</v>
      </c>
    </row>
    <row r="9046" spans="1:15" x14ac:dyDescent="0.25">
      <c r="A9046" t="s">
        <v>940</v>
      </c>
      <c r="B9046" t="s">
        <v>2647</v>
      </c>
      <c r="C9046" t="s">
        <v>927</v>
      </c>
      <c r="D9046" t="s">
        <v>3052</v>
      </c>
      <c r="E9046" t="s">
        <v>3053</v>
      </c>
      <c r="F9046" t="s">
        <v>814</v>
      </c>
      <c r="G9046" t="s">
        <v>815</v>
      </c>
      <c r="H9046" t="s">
        <v>9110</v>
      </c>
      <c r="I9046">
        <v>160</v>
      </c>
      <c r="J9046">
        <v>0</v>
      </c>
      <c r="K9046">
        <v>0</v>
      </c>
      <c r="L9046">
        <v>1</v>
      </c>
      <c r="M9046">
        <v>140</v>
      </c>
      <c r="N9046">
        <v>0</v>
      </c>
      <c r="O9046">
        <v>19</v>
      </c>
    </row>
    <row r="9047" spans="1:15" x14ac:dyDescent="0.25">
      <c r="A9047" t="s">
        <v>1423</v>
      </c>
      <c r="B9047" t="s">
        <v>2071</v>
      </c>
      <c r="C9047" t="s">
        <v>923</v>
      </c>
      <c r="D9047" t="s">
        <v>3063</v>
      </c>
      <c r="E9047" t="s">
        <v>3053</v>
      </c>
      <c r="F9047" t="s">
        <v>814</v>
      </c>
      <c r="G9047" t="s">
        <v>815</v>
      </c>
      <c r="H9047" t="s">
        <v>9111</v>
      </c>
      <c r="I9047">
        <v>4</v>
      </c>
      <c r="J9047">
        <v>0</v>
      </c>
      <c r="K9047">
        <v>0</v>
      </c>
      <c r="L9047">
        <v>4</v>
      </c>
      <c r="M9047">
        <v>0</v>
      </c>
      <c r="N9047">
        <v>0</v>
      </c>
      <c r="O9047">
        <v>0</v>
      </c>
    </row>
    <row r="9048" spans="1:15" x14ac:dyDescent="0.25">
      <c r="A9048" t="s">
        <v>1013</v>
      </c>
      <c r="B9048" t="s">
        <v>1959</v>
      </c>
      <c r="C9048" t="s">
        <v>927</v>
      </c>
      <c r="D9048" t="s">
        <v>3052</v>
      </c>
      <c r="E9048" t="s">
        <v>3053</v>
      </c>
      <c r="F9048" t="s">
        <v>814</v>
      </c>
      <c r="G9048" t="s">
        <v>815</v>
      </c>
      <c r="H9048" t="s">
        <v>9112</v>
      </c>
      <c r="I9048">
        <v>21</v>
      </c>
      <c r="J9048">
        <v>0</v>
      </c>
      <c r="K9048">
        <v>0</v>
      </c>
      <c r="L9048">
        <v>21</v>
      </c>
      <c r="M9048">
        <v>0</v>
      </c>
      <c r="N9048">
        <v>0</v>
      </c>
      <c r="O9048">
        <v>0</v>
      </c>
    </row>
    <row r="9049" spans="1:15" x14ac:dyDescent="0.25">
      <c r="A9049" t="s">
        <v>1126</v>
      </c>
      <c r="B9049" t="s">
        <v>2130</v>
      </c>
      <c r="C9049" t="s">
        <v>927</v>
      </c>
      <c r="D9049" t="s">
        <v>3052</v>
      </c>
      <c r="E9049" t="s">
        <v>3053</v>
      </c>
      <c r="F9049" t="s">
        <v>814</v>
      </c>
      <c r="G9049" t="s">
        <v>815</v>
      </c>
      <c r="H9049" t="s">
        <v>15389</v>
      </c>
      <c r="I9049">
        <v>88</v>
      </c>
      <c r="J9049">
        <v>0</v>
      </c>
      <c r="K9049">
        <v>0</v>
      </c>
      <c r="L9049">
        <v>0</v>
      </c>
      <c r="M9049">
        <v>0</v>
      </c>
      <c r="N9049">
        <v>0</v>
      </c>
      <c r="O9049">
        <v>88</v>
      </c>
    </row>
    <row r="9050" spans="1:15" x14ac:dyDescent="0.25">
      <c r="A9050" t="s">
        <v>1025</v>
      </c>
      <c r="B9050" t="s">
        <v>2893</v>
      </c>
      <c r="C9050" t="s">
        <v>927</v>
      </c>
      <c r="D9050" t="s">
        <v>3052</v>
      </c>
      <c r="E9050" t="s">
        <v>3053</v>
      </c>
      <c r="F9050" t="s">
        <v>814</v>
      </c>
      <c r="G9050" t="s">
        <v>815</v>
      </c>
      <c r="H9050" t="s">
        <v>11445</v>
      </c>
      <c r="I9050">
        <v>102</v>
      </c>
      <c r="J9050">
        <v>31</v>
      </c>
      <c r="K9050">
        <v>0</v>
      </c>
      <c r="L9050">
        <v>0</v>
      </c>
      <c r="M9050">
        <v>0</v>
      </c>
      <c r="N9050">
        <v>0</v>
      </c>
      <c r="O9050">
        <v>71</v>
      </c>
    </row>
    <row r="9051" spans="1:15" x14ac:dyDescent="0.25">
      <c r="A9051" t="s">
        <v>1026</v>
      </c>
      <c r="B9051" t="s">
        <v>2848</v>
      </c>
      <c r="C9051" t="s">
        <v>927</v>
      </c>
      <c r="D9051" t="s">
        <v>3052</v>
      </c>
      <c r="E9051" t="s">
        <v>3053</v>
      </c>
      <c r="F9051" t="s">
        <v>814</v>
      </c>
      <c r="G9051" t="s">
        <v>815</v>
      </c>
      <c r="H9051" t="s">
        <v>9113</v>
      </c>
      <c r="I9051">
        <v>2</v>
      </c>
      <c r="J9051">
        <v>1</v>
      </c>
      <c r="K9051">
        <v>0</v>
      </c>
      <c r="L9051">
        <v>1</v>
      </c>
      <c r="M9051">
        <v>0</v>
      </c>
      <c r="N9051">
        <v>0</v>
      </c>
      <c r="O9051">
        <v>0</v>
      </c>
    </row>
    <row r="9052" spans="1:15" x14ac:dyDescent="0.25">
      <c r="A9052" t="s">
        <v>1028</v>
      </c>
      <c r="B9052" t="s">
        <v>2682</v>
      </c>
      <c r="C9052" t="s">
        <v>923</v>
      </c>
      <c r="D9052" t="s">
        <v>3063</v>
      </c>
      <c r="E9052" t="s">
        <v>3053</v>
      </c>
      <c r="F9052" t="s">
        <v>814</v>
      </c>
      <c r="G9052" t="s">
        <v>815</v>
      </c>
      <c r="H9052" t="s">
        <v>9114</v>
      </c>
      <c r="I9052">
        <v>45</v>
      </c>
      <c r="J9052">
        <v>0</v>
      </c>
      <c r="K9052">
        <v>0</v>
      </c>
      <c r="L9052">
        <v>0</v>
      </c>
      <c r="M9052">
        <v>45</v>
      </c>
      <c r="N9052">
        <v>0</v>
      </c>
      <c r="O9052">
        <v>0</v>
      </c>
    </row>
    <row r="9053" spans="1:15" x14ac:dyDescent="0.25">
      <c r="A9053" t="s">
        <v>1030</v>
      </c>
      <c r="B9053" t="s">
        <v>2880</v>
      </c>
      <c r="C9053" t="s">
        <v>927</v>
      </c>
      <c r="D9053" t="s">
        <v>3052</v>
      </c>
      <c r="E9053" t="s">
        <v>3053</v>
      </c>
      <c r="F9053" t="s">
        <v>814</v>
      </c>
      <c r="G9053" t="s">
        <v>815</v>
      </c>
      <c r="H9053" t="s">
        <v>9115</v>
      </c>
      <c r="I9053">
        <v>10</v>
      </c>
      <c r="J9053">
        <v>1</v>
      </c>
      <c r="K9053">
        <v>0</v>
      </c>
      <c r="L9053">
        <v>0</v>
      </c>
      <c r="M9053">
        <v>0</v>
      </c>
      <c r="N9053">
        <v>0</v>
      </c>
      <c r="O9053">
        <v>9</v>
      </c>
    </row>
    <row r="9054" spans="1:15" x14ac:dyDescent="0.25">
      <c r="A9054" t="s">
        <v>1041</v>
      </c>
      <c r="B9054" t="s">
        <v>2826</v>
      </c>
      <c r="C9054" t="s">
        <v>927</v>
      </c>
      <c r="D9054" t="s">
        <v>3052</v>
      </c>
      <c r="E9054" t="s">
        <v>3053</v>
      </c>
      <c r="F9054" t="s">
        <v>814</v>
      </c>
      <c r="G9054" t="s">
        <v>815</v>
      </c>
      <c r="H9054" t="s">
        <v>9116</v>
      </c>
      <c r="I9054">
        <v>251</v>
      </c>
      <c r="J9054">
        <v>5</v>
      </c>
      <c r="K9054">
        <v>0</v>
      </c>
      <c r="L9054">
        <v>0</v>
      </c>
      <c r="M9054">
        <v>0</v>
      </c>
      <c r="N9054">
        <v>0</v>
      </c>
      <c r="O9054">
        <v>246</v>
      </c>
    </row>
    <row r="9055" spans="1:15" x14ac:dyDescent="0.25">
      <c r="A9055" t="s">
        <v>9787</v>
      </c>
      <c r="B9055" t="s">
        <v>2822</v>
      </c>
      <c r="C9055" t="s">
        <v>927</v>
      </c>
      <c r="D9055" t="s">
        <v>3052</v>
      </c>
      <c r="E9055" t="s">
        <v>3053</v>
      </c>
      <c r="F9055" t="s">
        <v>814</v>
      </c>
      <c r="G9055" t="s">
        <v>815</v>
      </c>
      <c r="H9055" t="s">
        <v>10288</v>
      </c>
      <c r="I9055">
        <v>1711</v>
      </c>
      <c r="J9055">
        <v>1415</v>
      </c>
      <c r="K9055">
        <v>0</v>
      </c>
      <c r="L9055">
        <v>33</v>
      </c>
      <c r="M9055">
        <v>263</v>
      </c>
      <c r="N9055">
        <v>8</v>
      </c>
      <c r="O9055">
        <v>0</v>
      </c>
    </row>
    <row r="9056" spans="1:15" x14ac:dyDescent="0.25">
      <c r="A9056" t="s">
        <v>1049</v>
      </c>
      <c r="B9056" t="s">
        <v>2138</v>
      </c>
      <c r="C9056" t="s">
        <v>927</v>
      </c>
      <c r="D9056" t="s">
        <v>3052</v>
      </c>
      <c r="E9056" t="s">
        <v>3053</v>
      </c>
      <c r="F9056" t="s">
        <v>814</v>
      </c>
      <c r="G9056" t="s">
        <v>815</v>
      </c>
      <c r="H9056" t="s">
        <v>9117</v>
      </c>
      <c r="I9056">
        <v>989</v>
      </c>
      <c r="J9056">
        <v>695</v>
      </c>
      <c r="K9056">
        <v>0</v>
      </c>
      <c r="L9056">
        <v>0</v>
      </c>
      <c r="M9056">
        <v>0</v>
      </c>
      <c r="N9056">
        <v>0</v>
      </c>
      <c r="O9056">
        <v>294</v>
      </c>
    </row>
    <row r="9057" spans="1:15" x14ac:dyDescent="0.25">
      <c r="A9057" t="s">
        <v>11720</v>
      </c>
      <c r="B9057" t="s">
        <v>10718</v>
      </c>
      <c r="C9057" t="s">
        <v>927</v>
      </c>
      <c r="D9057" t="s">
        <v>3052</v>
      </c>
      <c r="E9057" t="s">
        <v>3053</v>
      </c>
      <c r="F9057" t="s">
        <v>814</v>
      </c>
      <c r="G9057" t="s">
        <v>815</v>
      </c>
      <c r="H9057" t="s">
        <v>15390</v>
      </c>
      <c r="I9057">
        <v>29</v>
      </c>
      <c r="J9057">
        <v>12</v>
      </c>
      <c r="K9057">
        <v>0</v>
      </c>
      <c r="L9057">
        <v>0</v>
      </c>
      <c r="M9057">
        <v>0</v>
      </c>
      <c r="N9057">
        <v>0</v>
      </c>
      <c r="O9057">
        <v>17</v>
      </c>
    </row>
    <row r="9058" spans="1:15" x14ac:dyDescent="0.25">
      <c r="A9058" t="s">
        <v>9788</v>
      </c>
      <c r="B9058" t="s">
        <v>9871</v>
      </c>
      <c r="C9058" t="s">
        <v>927</v>
      </c>
      <c r="D9058" t="s">
        <v>3052</v>
      </c>
      <c r="E9058" t="s">
        <v>3053</v>
      </c>
      <c r="F9058" t="s">
        <v>814</v>
      </c>
      <c r="G9058" t="s">
        <v>815</v>
      </c>
      <c r="H9058" t="s">
        <v>15391</v>
      </c>
      <c r="I9058">
        <v>94</v>
      </c>
      <c r="J9058">
        <v>94</v>
      </c>
      <c r="K9058">
        <v>0</v>
      </c>
      <c r="L9058">
        <v>0</v>
      </c>
      <c r="M9058">
        <v>0</v>
      </c>
      <c r="N9058">
        <v>0</v>
      </c>
      <c r="O9058">
        <v>0</v>
      </c>
    </row>
    <row r="9059" spans="1:15" x14ac:dyDescent="0.25">
      <c r="A9059" t="s">
        <v>1056</v>
      </c>
      <c r="B9059" t="s">
        <v>2966</v>
      </c>
      <c r="C9059" t="s">
        <v>927</v>
      </c>
      <c r="D9059" t="s">
        <v>3052</v>
      </c>
      <c r="E9059" t="s">
        <v>3053</v>
      </c>
      <c r="F9059" t="s">
        <v>814</v>
      </c>
      <c r="G9059" t="s">
        <v>815</v>
      </c>
      <c r="H9059" t="s">
        <v>9118</v>
      </c>
      <c r="I9059">
        <v>34</v>
      </c>
      <c r="J9059">
        <v>0</v>
      </c>
      <c r="K9059">
        <v>0</v>
      </c>
      <c r="L9059">
        <v>34</v>
      </c>
      <c r="M9059">
        <v>0</v>
      </c>
      <c r="N9059">
        <v>0</v>
      </c>
      <c r="O9059">
        <v>0</v>
      </c>
    </row>
    <row r="9060" spans="1:15" x14ac:dyDescent="0.25">
      <c r="A9060" t="s">
        <v>1057</v>
      </c>
      <c r="B9060" t="s">
        <v>1972</v>
      </c>
      <c r="C9060" t="s">
        <v>927</v>
      </c>
      <c r="D9060" t="s">
        <v>3052</v>
      </c>
      <c r="E9060" t="s">
        <v>3053</v>
      </c>
      <c r="F9060" t="s">
        <v>814</v>
      </c>
      <c r="G9060" t="s">
        <v>815</v>
      </c>
      <c r="H9060" t="s">
        <v>9119</v>
      </c>
      <c r="I9060">
        <v>9</v>
      </c>
      <c r="J9060">
        <v>0</v>
      </c>
      <c r="K9060">
        <v>0</v>
      </c>
      <c r="L9060">
        <v>0</v>
      </c>
      <c r="M9060">
        <v>0</v>
      </c>
      <c r="N9060">
        <v>0</v>
      </c>
      <c r="O9060">
        <v>9</v>
      </c>
    </row>
    <row r="9061" spans="1:15" x14ac:dyDescent="0.25">
      <c r="A9061" t="s">
        <v>11663</v>
      </c>
      <c r="B9061" t="s">
        <v>11768</v>
      </c>
      <c r="C9061" t="s">
        <v>927</v>
      </c>
      <c r="D9061" t="s">
        <v>3052</v>
      </c>
      <c r="E9061" t="s">
        <v>3053</v>
      </c>
      <c r="F9061" t="s">
        <v>814</v>
      </c>
      <c r="G9061" t="s">
        <v>815</v>
      </c>
      <c r="H9061" t="s">
        <v>12463</v>
      </c>
      <c r="I9061">
        <v>151</v>
      </c>
      <c r="J9061">
        <v>81</v>
      </c>
      <c r="K9061">
        <v>0</v>
      </c>
      <c r="L9061">
        <v>0</v>
      </c>
      <c r="M9061">
        <v>40</v>
      </c>
      <c r="N9061">
        <v>0</v>
      </c>
      <c r="O9061">
        <v>30</v>
      </c>
    </row>
    <row r="9062" spans="1:15" x14ac:dyDescent="0.25">
      <c r="A9062" t="s">
        <v>14374</v>
      </c>
      <c r="B9062" t="s">
        <v>1943</v>
      </c>
      <c r="C9062" t="s">
        <v>927</v>
      </c>
      <c r="D9062" t="s">
        <v>3052</v>
      </c>
      <c r="E9062" t="s">
        <v>3053</v>
      </c>
      <c r="F9062" t="s">
        <v>814</v>
      </c>
      <c r="G9062" t="s">
        <v>815</v>
      </c>
      <c r="H9062" t="s">
        <v>15392</v>
      </c>
      <c r="I9062">
        <v>10</v>
      </c>
      <c r="J9062">
        <v>0</v>
      </c>
      <c r="K9062">
        <v>0</v>
      </c>
      <c r="L9062">
        <v>0</v>
      </c>
      <c r="M9062">
        <v>0</v>
      </c>
      <c r="N9062">
        <v>0</v>
      </c>
      <c r="O9062">
        <v>10</v>
      </c>
    </row>
    <row r="9063" spans="1:15" x14ac:dyDescent="0.25">
      <c r="A9063" t="s">
        <v>1848</v>
      </c>
      <c r="B9063" t="s">
        <v>2620</v>
      </c>
      <c r="C9063" t="s">
        <v>923</v>
      </c>
      <c r="D9063" t="s">
        <v>3063</v>
      </c>
      <c r="E9063" t="s">
        <v>3053</v>
      </c>
      <c r="F9063" t="s">
        <v>814</v>
      </c>
      <c r="G9063" t="s">
        <v>815</v>
      </c>
      <c r="H9063" t="s">
        <v>10426</v>
      </c>
      <c r="I9063">
        <v>14</v>
      </c>
      <c r="J9063">
        <v>0</v>
      </c>
      <c r="K9063">
        <v>0</v>
      </c>
      <c r="L9063">
        <v>14</v>
      </c>
      <c r="M9063">
        <v>0</v>
      </c>
      <c r="N9063">
        <v>0</v>
      </c>
      <c r="O9063">
        <v>0</v>
      </c>
    </row>
    <row r="9064" spans="1:15" x14ac:dyDescent="0.25">
      <c r="A9064" t="s">
        <v>1062</v>
      </c>
      <c r="B9064" t="s">
        <v>1993</v>
      </c>
      <c r="C9064" t="s">
        <v>927</v>
      </c>
      <c r="D9064" t="s">
        <v>3052</v>
      </c>
      <c r="E9064" t="s">
        <v>3053</v>
      </c>
      <c r="F9064" t="s">
        <v>814</v>
      </c>
      <c r="G9064" t="s">
        <v>815</v>
      </c>
      <c r="H9064" t="s">
        <v>9120</v>
      </c>
      <c r="I9064">
        <v>21</v>
      </c>
      <c r="J9064">
        <v>21</v>
      </c>
      <c r="K9064">
        <v>0</v>
      </c>
      <c r="L9064">
        <v>0</v>
      </c>
      <c r="M9064">
        <v>0</v>
      </c>
      <c r="N9064">
        <v>0</v>
      </c>
      <c r="O9064">
        <v>0</v>
      </c>
    </row>
    <row r="9065" spans="1:15" x14ac:dyDescent="0.25">
      <c r="A9065" t="s">
        <v>962</v>
      </c>
      <c r="B9065" t="s">
        <v>2752</v>
      </c>
      <c r="C9065" t="s">
        <v>927</v>
      </c>
      <c r="D9065" t="s">
        <v>3052</v>
      </c>
      <c r="E9065" t="s">
        <v>3053</v>
      </c>
      <c r="F9065" t="s">
        <v>814</v>
      </c>
      <c r="G9065" t="s">
        <v>815</v>
      </c>
      <c r="H9065" t="s">
        <v>9121</v>
      </c>
      <c r="I9065">
        <v>824</v>
      </c>
      <c r="J9065">
        <v>622</v>
      </c>
      <c r="K9065">
        <v>0</v>
      </c>
      <c r="L9065">
        <v>0</v>
      </c>
      <c r="M9065">
        <v>58</v>
      </c>
      <c r="N9065">
        <v>0</v>
      </c>
      <c r="O9065">
        <v>144</v>
      </c>
    </row>
    <row r="9066" spans="1:15" x14ac:dyDescent="0.25">
      <c r="A9066" t="s">
        <v>1865</v>
      </c>
      <c r="B9066" t="s">
        <v>2866</v>
      </c>
      <c r="C9066" t="s">
        <v>927</v>
      </c>
      <c r="D9066" t="s">
        <v>3052</v>
      </c>
      <c r="E9066" t="s">
        <v>3053</v>
      </c>
      <c r="F9066" t="s">
        <v>814</v>
      </c>
      <c r="G9066" t="s">
        <v>815</v>
      </c>
      <c r="H9066" t="s">
        <v>9122</v>
      </c>
      <c r="I9066">
        <v>126</v>
      </c>
      <c r="J9066">
        <v>102</v>
      </c>
      <c r="K9066">
        <v>0</v>
      </c>
      <c r="L9066">
        <v>0</v>
      </c>
      <c r="M9066">
        <v>0</v>
      </c>
      <c r="N9066">
        <v>0</v>
      </c>
      <c r="O9066">
        <v>24</v>
      </c>
    </row>
    <row r="9067" spans="1:15" x14ac:dyDescent="0.25">
      <c r="A9067" t="s">
        <v>1866</v>
      </c>
      <c r="B9067" t="s">
        <v>2813</v>
      </c>
      <c r="C9067" t="s">
        <v>923</v>
      </c>
      <c r="D9067" t="s">
        <v>3063</v>
      </c>
      <c r="E9067" t="s">
        <v>3053</v>
      </c>
      <c r="F9067" t="s">
        <v>814</v>
      </c>
      <c r="G9067" t="s">
        <v>815</v>
      </c>
      <c r="H9067" t="s">
        <v>9123</v>
      </c>
      <c r="I9067">
        <v>64</v>
      </c>
      <c r="J9067">
        <v>64</v>
      </c>
      <c r="K9067">
        <v>0</v>
      </c>
      <c r="L9067">
        <v>0</v>
      </c>
      <c r="M9067">
        <v>0</v>
      </c>
      <c r="N9067">
        <v>0</v>
      </c>
      <c r="O9067">
        <v>0</v>
      </c>
    </row>
    <row r="9068" spans="1:15" x14ac:dyDescent="0.25">
      <c r="A9068" t="s">
        <v>1564</v>
      </c>
      <c r="B9068" t="s">
        <v>3039</v>
      </c>
      <c r="C9068" t="s">
        <v>927</v>
      </c>
      <c r="D9068" t="s">
        <v>3052</v>
      </c>
      <c r="E9068" t="s">
        <v>3053</v>
      </c>
      <c r="F9068" t="s">
        <v>816</v>
      </c>
      <c r="G9068" t="s">
        <v>817</v>
      </c>
      <c r="H9068" t="s">
        <v>12464</v>
      </c>
      <c r="I9068">
        <v>1</v>
      </c>
      <c r="J9068">
        <v>0</v>
      </c>
      <c r="K9068">
        <v>0</v>
      </c>
      <c r="L9068">
        <v>0</v>
      </c>
      <c r="M9068">
        <v>0</v>
      </c>
      <c r="N9068">
        <v>0</v>
      </c>
      <c r="O9068">
        <v>1</v>
      </c>
    </row>
    <row r="9069" spans="1:15" x14ac:dyDescent="0.25">
      <c r="A9069" t="s">
        <v>929</v>
      </c>
      <c r="B9069" t="s">
        <v>2999</v>
      </c>
      <c r="C9069" t="s">
        <v>927</v>
      </c>
      <c r="D9069" t="s">
        <v>3052</v>
      </c>
      <c r="E9069" t="s">
        <v>3053</v>
      </c>
      <c r="F9069" t="s">
        <v>816</v>
      </c>
      <c r="G9069" t="s">
        <v>817</v>
      </c>
      <c r="H9069" t="s">
        <v>9124</v>
      </c>
      <c r="I9069">
        <v>77</v>
      </c>
      <c r="J9069">
        <v>56</v>
      </c>
      <c r="K9069">
        <v>0</v>
      </c>
      <c r="L9069">
        <v>0</v>
      </c>
      <c r="M9069">
        <v>21</v>
      </c>
      <c r="N9069">
        <v>0</v>
      </c>
      <c r="O9069">
        <v>0</v>
      </c>
    </row>
    <row r="9070" spans="1:15" x14ac:dyDescent="0.25">
      <c r="A9070" t="s">
        <v>978</v>
      </c>
      <c r="B9070" t="s">
        <v>1999</v>
      </c>
      <c r="C9070" t="s">
        <v>923</v>
      </c>
      <c r="D9070" t="s">
        <v>3063</v>
      </c>
      <c r="E9070" t="s">
        <v>3053</v>
      </c>
      <c r="F9070" t="s">
        <v>816</v>
      </c>
      <c r="G9070" t="s">
        <v>817</v>
      </c>
      <c r="H9070" t="s">
        <v>11446</v>
      </c>
      <c r="I9070">
        <v>5</v>
      </c>
      <c r="J9070">
        <v>0</v>
      </c>
      <c r="K9070">
        <v>0</v>
      </c>
      <c r="L9070">
        <v>5</v>
      </c>
      <c r="M9070">
        <v>0</v>
      </c>
      <c r="N9070">
        <v>0</v>
      </c>
      <c r="O9070">
        <v>0</v>
      </c>
    </row>
    <row r="9071" spans="1:15" x14ac:dyDescent="0.25">
      <c r="A9071" t="s">
        <v>989</v>
      </c>
      <c r="B9071" t="s">
        <v>2016</v>
      </c>
      <c r="C9071" t="s">
        <v>923</v>
      </c>
      <c r="D9071" t="s">
        <v>3063</v>
      </c>
      <c r="E9071" t="s">
        <v>3053</v>
      </c>
      <c r="F9071" t="s">
        <v>816</v>
      </c>
      <c r="G9071" t="s">
        <v>817</v>
      </c>
      <c r="H9071" t="s">
        <v>9125</v>
      </c>
      <c r="I9071">
        <v>15</v>
      </c>
      <c r="J9071">
        <v>0</v>
      </c>
      <c r="K9071">
        <v>0</v>
      </c>
      <c r="L9071">
        <v>15</v>
      </c>
      <c r="M9071">
        <v>0</v>
      </c>
      <c r="N9071">
        <v>0</v>
      </c>
      <c r="O9071">
        <v>0</v>
      </c>
    </row>
    <row r="9072" spans="1:15" x14ac:dyDescent="0.25">
      <c r="A9072" t="s">
        <v>933</v>
      </c>
      <c r="B9072" t="s">
        <v>2106</v>
      </c>
      <c r="C9072" t="s">
        <v>927</v>
      </c>
      <c r="D9072" t="s">
        <v>3052</v>
      </c>
      <c r="E9072" t="s">
        <v>3053</v>
      </c>
      <c r="F9072" t="s">
        <v>816</v>
      </c>
      <c r="G9072" t="s">
        <v>817</v>
      </c>
      <c r="H9072" t="s">
        <v>9126</v>
      </c>
      <c r="I9072">
        <v>99</v>
      </c>
      <c r="J9072">
        <v>80</v>
      </c>
      <c r="K9072">
        <v>0</v>
      </c>
      <c r="L9072">
        <v>0</v>
      </c>
      <c r="M9072">
        <v>0</v>
      </c>
      <c r="N9072">
        <v>0</v>
      </c>
      <c r="O9072">
        <v>19</v>
      </c>
    </row>
    <row r="9073" spans="1:15" x14ac:dyDescent="0.25">
      <c r="A9073" t="s">
        <v>1416</v>
      </c>
      <c r="B9073" t="s">
        <v>2029</v>
      </c>
      <c r="C9073" t="s">
        <v>923</v>
      </c>
      <c r="D9073" t="s">
        <v>3063</v>
      </c>
      <c r="E9073" t="s">
        <v>3053</v>
      </c>
      <c r="F9073" t="s">
        <v>816</v>
      </c>
      <c r="G9073" t="s">
        <v>817</v>
      </c>
      <c r="H9073" t="s">
        <v>12465</v>
      </c>
      <c r="I9073">
        <v>12</v>
      </c>
      <c r="J9073">
        <v>0</v>
      </c>
      <c r="K9073">
        <v>0</v>
      </c>
      <c r="L9073">
        <v>12</v>
      </c>
      <c r="M9073">
        <v>0</v>
      </c>
      <c r="N9073">
        <v>0</v>
      </c>
      <c r="O9073">
        <v>0</v>
      </c>
    </row>
    <row r="9074" spans="1:15" x14ac:dyDescent="0.25">
      <c r="A9074" t="s">
        <v>1000</v>
      </c>
      <c r="B9074" t="s">
        <v>1984</v>
      </c>
      <c r="C9074" t="s">
        <v>923</v>
      </c>
      <c r="D9074" t="s">
        <v>3063</v>
      </c>
      <c r="E9074" t="s">
        <v>3053</v>
      </c>
      <c r="F9074" t="s">
        <v>816</v>
      </c>
      <c r="G9074" t="s">
        <v>817</v>
      </c>
      <c r="H9074" t="s">
        <v>9127</v>
      </c>
      <c r="I9074">
        <v>1</v>
      </c>
      <c r="J9074">
        <v>0</v>
      </c>
      <c r="K9074">
        <v>0</v>
      </c>
      <c r="L9074">
        <v>1</v>
      </c>
      <c r="M9074">
        <v>0</v>
      </c>
      <c r="N9074">
        <v>0</v>
      </c>
      <c r="O9074">
        <v>0</v>
      </c>
    </row>
    <row r="9075" spans="1:15" x14ac:dyDescent="0.25">
      <c r="A9075" t="s">
        <v>1119</v>
      </c>
      <c r="B9075" t="s">
        <v>2777</v>
      </c>
      <c r="C9075" t="s">
        <v>927</v>
      </c>
      <c r="D9075" t="s">
        <v>3052</v>
      </c>
      <c r="E9075" t="s">
        <v>3053</v>
      </c>
      <c r="F9075" t="s">
        <v>816</v>
      </c>
      <c r="G9075" t="s">
        <v>817</v>
      </c>
      <c r="H9075" t="s">
        <v>9128</v>
      </c>
      <c r="I9075">
        <v>403</v>
      </c>
      <c r="J9075">
        <v>335</v>
      </c>
      <c r="K9075">
        <v>0</v>
      </c>
      <c r="L9075">
        <v>8</v>
      </c>
      <c r="M9075">
        <v>0</v>
      </c>
      <c r="N9075">
        <v>0</v>
      </c>
      <c r="O9075">
        <v>60</v>
      </c>
    </row>
    <row r="9076" spans="1:15" x14ac:dyDescent="0.25">
      <c r="A9076" t="s">
        <v>938</v>
      </c>
      <c r="B9076" t="s">
        <v>2791</v>
      </c>
      <c r="C9076" t="s">
        <v>927</v>
      </c>
      <c r="D9076" t="s">
        <v>3052</v>
      </c>
      <c r="E9076" t="s">
        <v>3053</v>
      </c>
      <c r="F9076" t="s">
        <v>816</v>
      </c>
      <c r="G9076" t="s">
        <v>817</v>
      </c>
      <c r="H9076" t="s">
        <v>9129</v>
      </c>
      <c r="I9076">
        <v>199</v>
      </c>
      <c r="J9076">
        <v>131</v>
      </c>
      <c r="K9076">
        <v>0</v>
      </c>
      <c r="L9076">
        <v>0</v>
      </c>
      <c r="M9076">
        <v>33</v>
      </c>
      <c r="N9076">
        <v>1</v>
      </c>
      <c r="O9076">
        <v>35</v>
      </c>
    </row>
    <row r="9077" spans="1:15" x14ac:dyDescent="0.25">
      <c r="A9077" t="s">
        <v>10667</v>
      </c>
      <c r="B9077" t="s">
        <v>10666</v>
      </c>
      <c r="C9077" t="s">
        <v>927</v>
      </c>
      <c r="D9077" t="s">
        <v>3052</v>
      </c>
      <c r="E9077" t="s">
        <v>3053</v>
      </c>
      <c r="F9077" t="s">
        <v>816</v>
      </c>
      <c r="G9077" t="s">
        <v>817</v>
      </c>
      <c r="H9077" t="s">
        <v>12466</v>
      </c>
      <c r="I9077">
        <v>28</v>
      </c>
      <c r="J9077">
        <v>28</v>
      </c>
      <c r="K9077">
        <v>0</v>
      </c>
      <c r="L9077">
        <v>0</v>
      </c>
      <c r="M9077">
        <v>0</v>
      </c>
      <c r="N9077">
        <v>0</v>
      </c>
      <c r="O9077">
        <v>0</v>
      </c>
    </row>
    <row r="9078" spans="1:15" x14ac:dyDescent="0.25">
      <c r="A9078" t="s">
        <v>1126</v>
      </c>
      <c r="B9078" t="s">
        <v>2130</v>
      </c>
      <c r="C9078" t="s">
        <v>927</v>
      </c>
      <c r="D9078" t="s">
        <v>3052</v>
      </c>
      <c r="E9078" t="s">
        <v>3053</v>
      </c>
      <c r="F9078" t="s">
        <v>816</v>
      </c>
      <c r="G9078" t="s">
        <v>817</v>
      </c>
      <c r="H9078" t="s">
        <v>11447</v>
      </c>
      <c r="I9078">
        <v>4</v>
      </c>
      <c r="J9078">
        <v>0</v>
      </c>
      <c r="K9078">
        <v>0</v>
      </c>
      <c r="L9078">
        <v>0</v>
      </c>
      <c r="M9078">
        <v>0</v>
      </c>
      <c r="N9078">
        <v>0</v>
      </c>
      <c r="O9078">
        <v>4</v>
      </c>
    </row>
    <row r="9079" spans="1:15" x14ac:dyDescent="0.25">
      <c r="A9079" t="s">
        <v>1025</v>
      </c>
      <c r="B9079" t="s">
        <v>2893</v>
      </c>
      <c r="C9079" t="s">
        <v>927</v>
      </c>
      <c r="D9079" t="s">
        <v>3052</v>
      </c>
      <c r="E9079" t="s">
        <v>3053</v>
      </c>
      <c r="F9079" t="s">
        <v>816</v>
      </c>
      <c r="G9079" t="s">
        <v>817</v>
      </c>
      <c r="H9079" t="s">
        <v>9130</v>
      </c>
      <c r="I9079">
        <v>3</v>
      </c>
      <c r="J9079">
        <v>0</v>
      </c>
      <c r="K9079">
        <v>0</v>
      </c>
      <c r="L9079">
        <v>0</v>
      </c>
      <c r="M9079">
        <v>0</v>
      </c>
      <c r="N9079">
        <v>0</v>
      </c>
      <c r="O9079">
        <v>3</v>
      </c>
    </row>
    <row r="9080" spans="1:15" x14ac:dyDescent="0.25">
      <c r="A9080" t="s">
        <v>943</v>
      </c>
      <c r="B9080" t="s">
        <v>2694</v>
      </c>
      <c r="C9080" t="s">
        <v>927</v>
      </c>
      <c r="D9080" t="s">
        <v>3052</v>
      </c>
      <c r="E9080" t="s">
        <v>3053</v>
      </c>
      <c r="F9080" t="s">
        <v>816</v>
      </c>
      <c r="G9080" t="s">
        <v>817</v>
      </c>
      <c r="H9080" t="s">
        <v>9131</v>
      </c>
      <c r="I9080">
        <v>1</v>
      </c>
      <c r="J9080">
        <v>0</v>
      </c>
      <c r="K9080">
        <v>0</v>
      </c>
      <c r="L9080">
        <v>0</v>
      </c>
      <c r="M9080">
        <v>0</v>
      </c>
      <c r="N9080">
        <v>0</v>
      </c>
      <c r="O9080">
        <v>1</v>
      </c>
    </row>
    <row r="9081" spans="1:15" x14ac:dyDescent="0.25">
      <c r="A9081" t="s">
        <v>949</v>
      </c>
      <c r="B9081" t="s">
        <v>3035</v>
      </c>
      <c r="C9081" t="s">
        <v>927</v>
      </c>
      <c r="D9081" t="s">
        <v>3052</v>
      </c>
      <c r="E9081" t="s">
        <v>3053</v>
      </c>
      <c r="F9081" t="s">
        <v>816</v>
      </c>
      <c r="G9081" t="s">
        <v>817</v>
      </c>
      <c r="H9081" t="s">
        <v>9132</v>
      </c>
      <c r="I9081">
        <v>24</v>
      </c>
      <c r="J9081">
        <v>0</v>
      </c>
      <c r="K9081">
        <v>0</v>
      </c>
      <c r="L9081">
        <v>0</v>
      </c>
      <c r="M9081">
        <v>0</v>
      </c>
      <c r="N9081">
        <v>0</v>
      </c>
      <c r="O9081">
        <v>24</v>
      </c>
    </row>
    <row r="9082" spans="1:15" x14ac:dyDescent="0.25">
      <c r="A9082" t="s">
        <v>1138</v>
      </c>
      <c r="B9082" t="s">
        <v>2635</v>
      </c>
      <c r="C9082" t="s">
        <v>923</v>
      </c>
      <c r="D9082" t="s">
        <v>3063</v>
      </c>
      <c r="E9082" t="s">
        <v>3053</v>
      </c>
      <c r="F9082" t="s">
        <v>816</v>
      </c>
      <c r="G9082" t="s">
        <v>817</v>
      </c>
      <c r="H9082" t="s">
        <v>9133</v>
      </c>
      <c r="I9082">
        <v>218</v>
      </c>
      <c r="J9082">
        <v>0</v>
      </c>
      <c r="K9082">
        <v>0</v>
      </c>
      <c r="L9082">
        <v>218</v>
      </c>
      <c r="M9082">
        <v>0</v>
      </c>
      <c r="N9082">
        <v>0</v>
      </c>
      <c r="O9082">
        <v>0</v>
      </c>
    </row>
    <row r="9083" spans="1:15" x14ac:dyDescent="0.25">
      <c r="A9083" t="s">
        <v>1139</v>
      </c>
      <c r="B9083" t="s">
        <v>2025</v>
      </c>
      <c r="C9083" t="s">
        <v>923</v>
      </c>
      <c r="D9083" t="s">
        <v>3063</v>
      </c>
      <c r="E9083" t="s">
        <v>3053</v>
      </c>
      <c r="F9083" t="s">
        <v>816</v>
      </c>
      <c r="G9083" t="s">
        <v>817</v>
      </c>
      <c r="H9083" t="s">
        <v>9134</v>
      </c>
      <c r="I9083">
        <v>13</v>
      </c>
      <c r="J9083">
        <v>13</v>
      </c>
      <c r="K9083">
        <v>0</v>
      </c>
      <c r="L9083">
        <v>0</v>
      </c>
      <c r="M9083">
        <v>0</v>
      </c>
      <c r="N9083">
        <v>0</v>
      </c>
      <c r="O9083">
        <v>0</v>
      </c>
    </row>
    <row r="9084" spans="1:15" x14ac:dyDescent="0.25">
      <c r="A9084" t="s">
        <v>1140</v>
      </c>
      <c r="B9084" t="s">
        <v>2697</v>
      </c>
      <c r="C9084" t="s">
        <v>927</v>
      </c>
      <c r="D9084" t="s">
        <v>3052</v>
      </c>
      <c r="E9084" t="s">
        <v>3053</v>
      </c>
      <c r="F9084" t="s">
        <v>816</v>
      </c>
      <c r="G9084" t="s">
        <v>817</v>
      </c>
      <c r="H9084" t="s">
        <v>9135</v>
      </c>
      <c r="I9084">
        <v>467</v>
      </c>
      <c r="J9084">
        <v>346</v>
      </c>
      <c r="K9084">
        <v>92</v>
      </c>
      <c r="L9084">
        <v>19</v>
      </c>
      <c r="M9084">
        <v>0</v>
      </c>
      <c r="N9084">
        <v>14</v>
      </c>
      <c r="O9084">
        <v>10</v>
      </c>
    </row>
    <row r="9085" spans="1:15" x14ac:dyDescent="0.25">
      <c r="A9085" t="s">
        <v>1142</v>
      </c>
      <c r="B9085" t="s">
        <v>3003</v>
      </c>
      <c r="C9085" t="s">
        <v>927</v>
      </c>
      <c r="D9085" t="s">
        <v>3052</v>
      </c>
      <c r="E9085" t="s">
        <v>3053</v>
      </c>
      <c r="F9085" t="s">
        <v>816</v>
      </c>
      <c r="G9085" t="s">
        <v>817</v>
      </c>
      <c r="H9085" t="s">
        <v>9136</v>
      </c>
      <c r="I9085">
        <v>313</v>
      </c>
      <c r="J9085">
        <v>278</v>
      </c>
      <c r="K9085">
        <v>0</v>
      </c>
      <c r="L9085">
        <v>1</v>
      </c>
      <c r="M9085">
        <v>0</v>
      </c>
      <c r="N9085">
        <v>1</v>
      </c>
      <c r="O9085">
        <v>34</v>
      </c>
    </row>
    <row r="9086" spans="1:15" x14ac:dyDescent="0.25">
      <c r="A9086" t="s">
        <v>1043</v>
      </c>
      <c r="B9086" t="s">
        <v>2090</v>
      </c>
      <c r="C9086" t="s">
        <v>927</v>
      </c>
      <c r="D9086" t="s">
        <v>3052</v>
      </c>
      <c r="E9086" t="s">
        <v>3053</v>
      </c>
      <c r="F9086" t="s">
        <v>816</v>
      </c>
      <c r="G9086" t="s">
        <v>817</v>
      </c>
      <c r="H9086" t="s">
        <v>9137</v>
      </c>
      <c r="I9086">
        <v>25</v>
      </c>
      <c r="J9086">
        <v>0</v>
      </c>
      <c r="K9086">
        <v>0</v>
      </c>
      <c r="L9086">
        <v>0</v>
      </c>
      <c r="M9086">
        <v>25</v>
      </c>
      <c r="N9086">
        <v>0</v>
      </c>
      <c r="O9086">
        <v>0</v>
      </c>
    </row>
    <row r="9087" spans="1:15" x14ac:dyDescent="0.25">
      <c r="A9087" t="s">
        <v>1044</v>
      </c>
      <c r="B9087" t="s">
        <v>2000</v>
      </c>
      <c r="C9087" t="s">
        <v>923</v>
      </c>
      <c r="D9087" t="s">
        <v>3063</v>
      </c>
      <c r="E9087" t="s">
        <v>3053</v>
      </c>
      <c r="F9087" t="s">
        <v>816</v>
      </c>
      <c r="G9087" t="s">
        <v>817</v>
      </c>
      <c r="H9087" t="s">
        <v>9138</v>
      </c>
      <c r="I9087">
        <v>38</v>
      </c>
      <c r="J9087">
        <v>0</v>
      </c>
      <c r="K9087">
        <v>0</v>
      </c>
      <c r="L9087">
        <v>38</v>
      </c>
      <c r="M9087">
        <v>0</v>
      </c>
      <c r="N9087">
        <v>0</v>
      </c>
      <c r="O9087">
        <v>0</v>
      </c>
    </row>
    <row r="9088" spans="1:15" x14ac:dyDescent="0.25">
      <c r="A9088" t="s">
        <v>1146</v>
      </c>
      <c r="B9088" t="s">
        <v>2117</v>
      </c>
      <c r="C9088" t="s">
        <v>927</v>
      </c>
      <c r="D9088" t="s">
        <v>3052</v>
      </c>
      <c r="E9088" t="s">
        <v>3053</v>
      </c>
      <c r="F9088" t="s">
        <v>816</v>
      </c>
      <c r="G9088" t="s">
        <v>817</v>
      </c>
      <c r="H9088" t="s">
        <v>15393</v>
      </c>
      <c r="I9088">
        <v>177</v>
      </c>
      <c r="J9088">
        <v>116</v>
      </c>
      <c r="K9088">
        <v>0</v>
      </c>
      <c r="L9088">
        <v>24</v>
      </c>
      <c r="M9088">
        <v>0</v>
      </c>
      <c r="N9088">
        <v>0</v>
      </c>
      <c r="O9088">
        <v>37</v>
      </c>
    </row>
    <row r="9089" spans="1:15" x14ac:dyDescent="0.25">
      <c r="A9089" t="s">
        <v>951</v>
      </c>
      <c r="B9089" t="s">
        <v>2680</v>
      </c>
      <c r="C9089" t="s">
        <v>927</v>
      </c>
      <c r="D9089" t="s">
        <v>3052</v>
      </c>
      <c r="E9089" t="s">
        <v>3053</v>
      </c>
      <c r="F9089" t="s">
        <v>816</v>
      </c>
      <c r="G9089" t="s">
        <v>817</v>
      </c>
      <c r="H9089" t="s">
        <v>9139</v>
      </c>
      <c r="I9089">
        <v>161</v>
      </c>
      <c r="J9089">
        <v>138</v>
      </c>
      <c r="K9089">
        <v>0</v>
      </c>
      <c r="L9089">
        <v>7</v>
      </c>
      <c r="M9089">
        <v>0</v>
      </c>
      <c r="N9089">
        <v>0</v>
      </c>
      <c r="O9089">
        <v>16</v>
      </c>
    </row>
    <row r="9090" spans="1:15" x14ac:dyDescent="0.25">
      <c r="A9090" t="s">
        <v>1048</v>
      </c>
      <c r="B9090" t="s">
        <v>2989</v>
      </c>
      <c r="C9090" t="s">
        <v>927</v>
      </c>
      <c r="D9090" t="s">
        <v>3052</v>
      </c>
      <c r="E9090" t="s">
        <v>3053</v>
      </c>
      <c r="F9090" t="s">
        <v>816</v>
      </c>
      <c r="G9090" t="s">
        <v>817</v>
      </c>
      <c r="H9090" t="s">
        <v>9140</v>
      </c>
      <c r="I9090">
        <v>25</v>
      </c>
      <c r="J9090">
        <v>0</v>
      </c>
      <c r="K9090">
        <v>0</v>
      </c>
      <c r="L9090">
        <v>25</v>
      </c>
      <c r="M9090">
        <v>0</v>
      </c>
      <c r="N9090">
        <v>0</v>
      </c>
      <c r="O9090">
        <v>0</v>
      </c>
    </row>
    <row r="9091" spans="1:15" x14ac:dyDescent="0.25">
      <c r="A9091" t="s">
        <v>953</v>
      </c>
      <c r="B9091" t="s">
        <v>2014</v>
      </c>
      <c r="C9091" t="s">
        <v>927</v>
      </c>
      <c r="D9091" t="s">
        <v>3052</v>
      </c>
      <c r="E9091" t="s">
        <v>3053</v>
      </c>
      <c r="F9091" t="s">
        <v>816</v>
      </c>
      <c r="G9091" t="s">
        <v>817</v>
      </c>
      <c r="H9091" t="s">
        <v>9141</v>
      </c>
      <c r="I9091">
        <v>10</v>
      </c>
      <c r="J9091">
        <v>0</v>
      </c>
      <c r="K9091">
        <v>0</v>
      </c>
      <c r="L9091">
        <v>10</v>
      </c>
      <c r="M9091">
        <v>0</v>
      </c>
      <c r="N9091">
        <v>0</v>
      </c>
      <c r="O9091">
        <v>0</v>
      </c>
    </row>
    <row r="9092" spans="1:15" x14ac:dyDescent="0.25">
      <c r="A9092" t="s">
        <v>11720</v>
      </c>
      <c r="B9092" t="s">
        <v>10718</v>
      </c>
      <c r="C9092" t="s">
        <v>927</v>
      </c>
      <c r="D9092" t="s">
        <v>3052</v>
      </c>
      <c r="E9092" t="s">
        <v>3053</v>
      </c>
      <c r="F9092" t="s">
        <v>816</v>
      </c>
      <c r="G9092" t="s">
        <v>817</v>
      </c>
      <c r="H9092" t="s">
        <v>15394</v>
      </c>
      <c r="I9092">
        <v>11</v>
      </c>
      <c r="J9092">
        <v>0</v>
      </c>
      <c r="K9092">
        <v>0</v>
      </c>
      <c r="L9092">
        <v>0</v>
      </c>
      <c r="M9092">
        <v>0</v>
      </c>
      <c r="N9092">
        <v>0</v>
      </c>
      <c r="O9092">
        <v>11</v>
      </c>
    </row>
    <row r="9093" spans="1:15" x14ac:dyDescent="0.25">
      <c r="A9093" t="s">
        <v>9788</v>
      </c>
      <c r="B9093" t="s">
        <v>9871</v>
      </c>
      <c r="C9093" t="s">
        <v>927</v>
      </c>
      <c r="D9093" t="s">
        <v>3052</v>
      </c>
      <c r="E9093" t="s">
        <v>3053</v>
      </c>
      <c r="F9093" t="s">
        <v>816</v>
      </c>
      <c r="G9093" t="s">
        <v>817</v>
      </c>
      <c r="H9093" t="s">
        <v>15395</v>
      </c>
      <c r="I9093">
        <v>48</v>
      </c>
      <c r="J9093">
        <v>48</v>
      </c>
      <c r="K9093">
        <v>0</v>
      </c>
      <c r="L9093">
        <v>0</v>
      </c>
      <c r="M9093">
        <v>0</v>
      </c>
      <c r="N9093">
        <v>0</v>
      </c>
      <c r="O9093">
        <v>0</v>
      </c>
    </row>
    <row r="9094" spans="1:15" x14ac:dyDescent="0.25">
      <c r="A9094" t="s">
        <v>1056</v>
      </c>
      <c r="B9094" t="s">
        <v>2966</v>
      </c>
      <c r="C9094" t="s">
        <v>927</v>
      </c>
      <c r="D9094" t="s">
        <v>3052</v>
      </c>
      <c r="E9094" t="s">
        <v>3053</v>
      </c>
      <c r="F9094" t="s">
        <v>816</v>
      </c>
      <c r="G9094" t="s">
        <v>817</v>
      </c>
      <c r="H9094" t="s">
        <v>9142</v>
      </c>
      <c r="I9094">
        <v>24</v>
      </c>
      <c r="J9094">
        <v>4</v>
      </c>
      <c r="K9094">
        <v>0</v>
      </c>
      <c r="L9094">
        <v>20</v>
      </c>
      <c r="M9094">
        <v>0</v>
      </c>
      <c r="N9094">
        <v>0</v>
      </c>
      <c r="O9094">
        <v>0</v>
      </c>
    </row>
    <row r="9095" spans="1:15" x14ac:dyDescent="0.25">
      <c r="A9095" t="s">
        <v>955</v>
      </c>
      <c r="B9095" t="s">
        <v>2660</v>
      </c>
      <c r="C9095" t="s">
        <v>927</v>
      </c>
      <c r="D9095" t="s">
        <v>3052</v>
      </c>
      <c r="E9095" t="s">
        <v>3053</v>
      </c>
      <c r="F9095" t="s">
        <v>816</v>
      </c>
      <c r="G9095" t="s">
        <v>817</v>
      </c>
      <c r="H9095" t="s">
        <v>9143</v>
      </c>
      <c r="I9095">
        <v>139</v>
      </c>
      <c r="J9095">
        <v>139</v>
      </c>
      <c r="K9095">
        <v>0</v>
      </c>
      <c r="L9095">
        <v>0</v>
      </c>
      <c r="M9095">
        <v>0</v>
      </c>
      <c r="N9095">
        <v>0</v>
      </c>
      <c r="O9095">
        <v>0</v>
      </c>
    </row>
    <row r="9096" spans="1:15" x14ac:dyDescent="0.25">
      <c r="A9096" t="s">
        <v>1154</v>
      </c>
      <c r="B9096" t="s">
        <v>2861</v>
      </c>
      <c r="C9096" t="s">
        <v>927</v>
      </c>
      <c r="D9096" t="s">
        <v>3052</v>
      </c>
      <c r="E9096" t="s">
        <v>3053</v>
      </c>
      <c r="F9096" t="s">
        <v>816</v>
      </c>
      <c r="G9096" t="s">
        <v>817</v>
      </c>
      <c r="H9096" t="s">
        <v>11448</v>
      </c>
      <c r="I9096">
        <v>87</v>
      </c>
      <c r="J9096">
        <v>80</v>
      </c>
      <c r="K9096">
        <v>0</v>
      </c>
      <c r="L9096">
        <v>0</v>
      </c>
      <c r="M9096">
        <v>0</v>
      </c>
      <c r="N9096">
        <v>0</v>
      </c>
      <c r="O9096">
        <v>7</v>
      </c>
    </row>
    <row r="9097" spans="1:15" x14ac:dyDescent="0.25">
      <c r="A9097" t="s">
        <v>11663</v>
      </c>
      <c r="B9097" t="s">
        <v>11768</v>
      </c>
      <c r="C9097" t="s">
        <v>927</v>
      </c>
      <c r="D9097" t="s">
        <v>3052</v>
      </c>
      <c r="E9097" t="s">
        <v>3053</v>
      </c>
      <c r="F9097" t="s">
        <v>816</v>
      </c>
      <c r="G9097" t="s">
        <v>817</v>
      </c>
      <c r="H9097" t="s">
        <v>12467</v>
      </c>
      <c r="I9097">
        <v>1</v>
      </c>
      <c r="J9097">
        <v>0</v>
      </c>
      <c r="K9097">
        <v>0</v>
      </c>
      <c r="L9097">
        <v>0</v>
      </c>
      <c r="M9097">
        <v>0</v>
      </c>
      <c r="N9097">
        <v>0</v>
      </c>
      <c r="O9097">
        <v>1</v>
      </c>
    </row>
    <row r="9098" spans="1:15" x14ac:dyDescent="0.25">
      <c r="A9098" t="s">
        <v>14380</v>
      </c>
      <c r="B9098" t="s">
        <v>2074</v>
      </c>
      <c r="C9098" t="s">
        <v>927</v>
      </c>
      <c r="D9098" t="s">
        <v>3052</v>
      </c>
      <c r="E9098" t="s">
        <v>3053</v>
      </c>
      <c r="F9098" t="s">
        <v>816</v>
      </c>
      <c r="G9098" t="s">
        <v>817</v>
      </c>
      <c r="H9098" t="s">
        <v>15396</v>
      </c>
      <c r="I9098">
        <v>84</v>
      </c>
      <c r="J9098">
        <v>68</v>
      </c>
      <c r="K9098">
        <v>0</v>
      </c>
      <c r="L9098">
        <v>0</v>
      </c>
      <c r="M9098">
        <v>0</v>
      </c>
      <c r="N9098">
        <v>0</v>
      </c>
      <c r="O9098">
        <v>16</v>
      </c>
    </row>
    <row r="9099" spans="1:15" x14ac:dyDescent="0.25">
      <c r="A9099" t="s">
        <v>1072</v>
      </c>
      <c r="B9099" t="s">
        <v>2907</v>
      </c>
      <c r="C9099" t="s">
        <v>927</v>
      </c>
      <c r="D9099" t="s">
        <v>3052</v>
      </c>
      <c r="E9099" t="s">
        <v>3053</v>
      </c>
      <c r="F9099" t="s">
        <v>816</v>
      </c>
      <c r="G9099" t="s">
        <v>817</v>
      </c>
      <c r="H9099" t="s">
        <v>9144</v>
      </c>
      <c r="I9099">
        <v>41</v>
      </c>
      <c r="J9099">
        <v>0</v>
      </c>
      <c r="K9099">
        <v>0</v>
      </c>
      <c r="L9099">
        <v>0</v>
      </c>
      <c r="M9099">
        <v>41</v>
      </c>
      <c r="N9099">
        <v>0</v>
      </c>
      <c r="O9099">
        <v>0</v>
      </c>
    </row>
    <row r="9100" spans="1:15" x14ac:dyDescent="0.25">
      <c r="A9100" t="s">
        <v>1181</v>
      </c>
      <c r="B9100" t="s">
        <v>2894</v>
      </c>
      <c r="C9100" t="s">
        <v>927</v>
      </c>
      <c r="D9100" t="s">
        <v>3052</v>
      </c>
      <c r="E9100" t="s">
        <v>3053</v>
      </c>
      <c r="F9100" t="s">
        <v>816</v>
      </c>
      <c r="G9100" t="s">
        <v>817</v>
      </c>
      <c r="H9100" t="s">
        <v>9145</v>
      </c>
      <c r="I9100">
        <v>210</v>
      </c>
      <c r="J9100">
        <v>117</v>
      </c>
      <c r="K9100">
        <v>0</v>
      </c>
      <c r="L9100">
        <v>0</v>
      </c>
      <c r="M9100">
        <v>0</v>
      </c>
      <c r="N9100">
        <v>0</v>
      </c>
      <c r="O9100">
        <v>93</v>
      </c>
    </row>
    <row r="9101" spans="1:15" x14ac:dyDescent="0.25">
      <c r="A9101" t="s">
        <v>1185</v>
      </c>
      <c r="B9101" t="s">
        <v>2886</v>
      </c>
      <c r="C9101" t="s">
        <v>927</v>
      </c>
      <c r="D9101" t="s">
        <v>3052</v>
      </c>
      <c r="E9101" t="s">
        <v>3053</v>
      </c>
      <c r="F9101" t="s">
        <v>816</v>
      </c>
      <c r="G9101" t="s">
        <v>817</v>
      </c>
      <c r="H9101" t="s">
        <v>9146</v>
      </c>
      <c r="I9101">
        <v>4678</v>
      </c>
      <c r="J9101">
        <v>3946</v>
      </c>
      <c r="K9101">
        <v>69</v>
      </c>
      <c r="L9101">
        <v>0</v>
      </c>
      <c r="M9101">
        <v>469</v>
      </c>
      <c r="N9101">
        <v>0</v>
      </c>
      <c r="O9101">
        <v>194</v>
      </c>
    </row>
    <row r="9102" spans="1:15" x14ac:dyDescent="0.25">
      <c r="A9102" t="s">
        <v>1564</v>
      </c>
      <c r="B9102" t="s">
        <v>3039</v>
      </c>
      <c r="C9102" t="s">
        <v>927</v>
      </c>
      <c r="D9102" t="s">
        <v>3052</v>
      </c>
      <c r="E9102" t="s">
        <v>3053</v>
      </c>
      <c r="F9102" t="s">
        <v>818</v>
      </c>
      <c r="G9102" t="s">
        <v>819</v>
      </c>
      <c r="H9102" t="s">
        <v>12468</v>
      </c>
      <c r="I9102">
        <v>27</v>
      </c>
      <c r="J9102">
        <v>0</v>
      </c>
      <c r="K9102">
        <v>0</v>
      </c>
      <c r="L9102">
        <v>0</v>
      </c>
      <c r="M9102">
        <v>0</v>
      </c>
      <c r="N9102">
        <v>0</v>
      </c>
      <c r="O9102">
        <v>27</v>
      </c>
    </row>
    <row r="9103" spans="1:15" x14ac:dyDescent="0.25">
      <c r="A9103" t="s">
        <v>1196</v>
      </c>
      <c r="B9103" t="s">
        <v>3004</v>
      </c>
      <c r="C9103" t="s">
        <v>927</v>
      </c>
      <c r="D9103" t="s">
        <v>3052</v>
      </c>
      <c r="E9103" t="s">
        <v>3053</v>
      </c>
      <c r="F9103" t="s">
        <v>818</v>
      </c>
      <c r="G9103" t="s">
        <v>819</v>
      </c>
      <c r="H9103" t="s">
        <v>9147</v>
      </c>
      <c r="I9103">
        <v>37</v>
      </c>
      <c r="J9103">
        <v>29</v>
      </c>
      <c r="K9103">
        <v>0</v>
      </c>
      <c r="L9103">
        <v>8</v>
      </c>
      <c r="M9103">
        <v>0</v>
      </c>
      <c r="N9103">
        <v>0</v>
      </c>
      <c r="O9103">
        <v>0</v>
      </c>
    </row>
    <row r="9104" spans="1:15" x14ac:dyDescent="0.25">
      <c r="A9104" t="s">
        <v>1566</v>
      </c>
      <c r="B9104" t="s">
        <v>2600</v>
      </c>
      <c r="C9104" t="s">
        <v>923</v>
      </c>
      <c r="D9104" t="s">
        <v>3063</v>
      </c>
      <c r="E9104" t="s">
        <v>3053</v>
      </c>
      <c r="F9104" t="s">
        <v>818</v>
      </c>
      <c r="G9104" t="s">
        <v>819</v>
      </c>
      <c r="H9104" t="s">
        <v>9148</v>
      </c>
      <c r="I9104">
        <v>7</v>
      </c>
      <c r="J9104">
        <v>0</v>
      </c>
      <c r="K9104">
        <v>0</v>
      </c>
      <c r="L9104">
        <v>0</v>
      </c>
      <c r="M9104">
        <v>7</v>
      </c>
      <c r="N9104">
        <v>0</v>
      </c>
      <c r="O9104">
        <v>0</v>
      </c>
    </row>
    <row r="9105" spans="1:15" x14ac:dyDescent="0.25">
      <c r="A9105" t="s">
        <v>924</v>
      </c>
      <c r="B9105" t="s">
        <v>2963</v>
      </c>
      <c r="C9105" t="s">
        <v>923</v>
      </c>
      <c r="D9105" t="s">
        <v>3063</v>
      </c>
      <c r="E9105" t="s">
        <v>3053</v>
      </c>
      <c r="F9105" t="s">
        <v>818</v>
      </c>
      <c r="G9105" t="s">
        <v>819</v>
      </c>
      <c r="H9105" t="s">
        <v>9149</v>
      </c>
      <c r="I9105">
        <v>17</v>
      </c>
      <c r="J9105">
        <v>0</v>
      </c>
      <c r="K9105">
        <v>0</v>
      </c>
      <c r="L9105">
        <v>17</v>
      </c>
      <c r="M9105">
        <v>0</v>
      </c>
      <c r="N9105">
        <v>0</v>
      </c>
      <c r="O9105">
        <v>0</v>
      </c>
    </row>
    <row r="9106" spans="1:15" x14ac:dyDescent="0.25">
      <c r="A9106" t="s">
        <v>971</v>
      </c>
      <c r="B9106" t="s">
        <v>2956</v>
      </c>
      <c r="C9106" t="s">
        <v>927</v>
      </c>
      <c r="D9106" t="s">
        <v>3052</v>
      </c>
      <c r="E9106" t="s">
        <v>3053</v>
      </c>
      <c r="F9106" t="s">
        <v>818</v>
      </c>
      <c r="G9106" t="s">
        <v>819</v>
      </c>
      <c r="H9106" t="s">
        <v>9150</v>
      </c>
      <c r="I9106">
        <v>24</v>
      </c>
      <c r="J9106">
        <v>17</v>
      </c>
      <c r="K9106">
        <v>0</v>
      </c>
      <c r="L9106">
        <v>0</v>
      </c>
      <c r="M9106">
        <v>0</v>
      </c>
      <c r="N9106">
        <v>0</v>
      </c>
      <c r="O9106">
        <v>7</v>
      </c>
    </row>
    <row r="9107" spans="1:15" x14ac:dyDescent="0.25">
      <c r="A9107" t="s">
        <v>926</v>
      </c>
      <c r="B9107" t="s">
        <v>2923</v>
      </c>
      <c r="C9107" t="s">
        <v>927</v>
      </c>
      <c r="D9107" t="s">
        <v>3052</v>
      </c>
      <c r="E9107" t="s">
        <v>3053</v>
      </c>
      <c r="F9107" t="s">
        <v>818</v>
      </c>
      <c r="G9107" t="s">
        <v>819</v>
      </c>
      <c r="H9107" t="s">
        <v>9151</v>
      </c>
      <c r="I9107">
        <v>5</v>
      </c>
      <c r="J9107">
        <v>0</v>
      </c>
      <c r="K9107">
        <v>0</v>
      </c>
      <c r="L9107">
        <v>5</v>
      </c>
      <c r="M9107">
        <v>0</v>
      </c>
      <c r="N9107">
        <v>0</v>
      </c>
      <c r="O9107">
        <v>0</v>
      </c>
    </row>
    <row r="9108" spans="1:15" x14ac:dyDescent="0.25">
      <c r="A9108" t="s">
        <v>1575</v>
      </c>
      <c r="B9108" t="s">
        <v>2112</v>
      </c>
      <c r="C9108" t="s">
        <v>927</v>
      </c>
      <c r="D9108" t="s">
        <v>3052</v>
      </c>
      <c r="E9108" t="s">
        <v>3053</v>
      </c>
      <c r="F9108" t="s">
        <v>818</v>
      </c>
      <c r="G9108" t="s">
        <v>819</v>
      </c>
      <c r="H9108" t="s">
        <v>9152</v>
      </c>
      <c r="I9108">
        <v>76</v>
      </c>
      <c r="J9108">
        <v>54</v>
      </c>
      <c r="K9108">
        <v>0</v>
      </c>
      <c r="L9108">
        <v>0</v>
      </c>
      <c r="M9108">
        <v>0</v>
      </c>
      <c r="N9108">
        <v>0</v>
      </c>
      <c r="O9108">
        <v>22</v>
      </c>
    </row>
    <row r="9109" spans="1:15" x14ac:dyDescent="0.25">
      <c r="A9109" t="s">
        <v>931</v>
      </c>
      <c r="B9109" t="s">
        <v>1978</v>
      </c>
      <c r="C9109" t="s">
        <v>927</v>
      </c>
      <c r="D9109" t="s">
        <v>3052</v>
      </c>
      <c r="E9109" t="s">
        <v>3053</v>
      </c>
      <c r="F9109" t="s">
        <v>818</v>
      </c>
      <c r="G9109" t="s">
        <v>819</v>
      </c>
      <c r="H9109" t="s">
        <v>11449</v>
      </c>
      <c r="I9109">
        <v>75</v>
      </c>
      <c r="J9109">
        <v>37</v>
      </c>
      <c r="K9109">
        <v>0</v>
      </c>
      <c r="L9109">
        <v>0</v>
      </c>
      <c r="M9109">
        <v>0</v>
      </c>
      <c r="N9109">
        <v>0</v>
      </c>
      <c r="O9109">
        <v>38</v>
      </c>
    </row>
    <row r="9110" spans="1:15" x14ac:dyDescent="0.25">
      <c r="A9110" t="s">
        <v>933</v>
      </c>
      <c r="B9110" t="s">
        <v>2106</v>
      </c>
      <c r="C9110" t="s">
        <v>927</v>
      </c>
      <c r="D9110" t="s">
        <v>3052</v>
      </c>
      <c r="E9110" t="s">
        <v>3053</v>
      </c>
      <c r="F9110" t="s">
        <v>818</v>
      </c>
      <c r="G9110" t="s">
        <v>819</v>
      </c>
      <c r="H9110" t="s">
        <v>9153</v>
      </c>
      <c r="I9110">
        <v>414</v>
      </c>
      <c r="J9110">
        <v>234</v>
      </c>
      <c r="K9110">
        <v>0</v>
      </c>
      <c r="L9110">
        <v>0</v>
      </c>
      <c r="M9110">
        <v>47</v>
      </c>
      <c r="N9110">
        <v>0</v>
      </c>
      <c r="O9110">
        <v>133</v>
      </c>
    </row>
    <row r="9111" spans="1:15" x14ac:dyDescent="0.25">
      <c r="A9111" t="s">
        <v>998</v>
      </c>
      <c r="B9111" t="s">
        <v>2820</v>
      </c>
      <c r="C9111" t="s">
        <v>927</v>
      </c>
      <c r="D9111" t="s">
        <v>3052</v>
      </c>
      <c r="E9111" t="s">
        <v>3053</v>
      </c>
      <c r="F9111" t="s">
        <v>818</v>
      </c>
      <c r="G9111" t="s">
        <v>819</v>
      </c>
      <c r="H9111" t="s">
        <v>9154</v>
      </c>
      <c r="I9111">
        <v>101</v>
      </c>
      <c r="J9111">
        <v>55</v>
      </c>
      <c r="K9111">
        <v>0</v>
      </c>
      <c r="L9111">
        <v>0</v>
      </c>
      <c r="M9111">
        <v>0</v>
      </c>
      <c r="N9111">
        <v>0</v>
      </c>
      <c r="O9111">
        <v>46</v>
      </c>
    </row>
    <row r="9112" spans="1:15" x14ac:dyDescent="0.25">
      <c r="A9112" t="s">
        <v>10638</v>
      </c>
      <c r="B9112" t="s">
        <v>2057</v>
      </c>
      <c r="C9112" t="s">
        <v>927</v>
      </c>
      <c r="D9112" t="s">
        <v>3052</v>
      </c>
      <c r="E9112" t="s">
        <v>3053</v>
      </c>
      <c r="F9112" t="s">
        <v>818</v>
      </c>
      <c r="G9112" t="s">
        <v>819</v>
      </c>
      <c r="H9112" t="s">
        <v>11450</v>
      </c>
      <c r="I9112">
        <v>17</v>
      </c>
      <c r="J9112">
        <v>0</v>
      </c>
      <c r="K9112">
        <v>0</v>
      </c>
      <c r="L9112">
        <v>17</v>
      </c>
      <c r="M9112">
        <v>0</v>
      </c>
      <c r="N9112">
        <v>0</v>
      </c>
      <c r="O9112">
        <v>0</v>
      </c>
    </row>
    <row r="9113" spans="1:15" x14ac:dyDescent="0.25">
      <c r="A9113" t="s">
        <v>1618</v>
      </c>
      <c r="B9113" t="s">
        <v>2765</v>
      </c>
      <c r="C9113" t="s">
        <v>923</v>
      </c>
      <c r="D9113" t="s">
        <v>3063</v>
      </c>
      <c r="E9113" t="s">
        <v>3053</v>
      </c>
      <c r="F9113" t="s">
        <v>818</v>
      </c>
      <c r="G9113" t="s">
        <v>819</v>
      </c>
      <c r="H9113" t="s">
        <v>9155</v>
      </c>
      <c r="I9113">
        <v>49</v>
      </c>
      <c r="J9113">
        <v>0</v>
      </c>
      <c r="K9113">
        <v>0</v>
      </c>
      <c r="L9113">
        <v>0</v>
      </c>
      <c r="M9113">
        <v>49</v>
      </c>
      <c r="N9113">
        <v>0</v>
      </c>
      <c r="O9113">
        <v>0</v>
      </c>
    </row>
    <row r="9114" spans="1:15" x14ac:dyDescent="0.25">
      <c r="A9114" t="s">
        <v>937</v>
      </c>
      <c r="B9114" t="s">
        <v>1962</v>
      </c>
      <c r="C9114" t="s">
        <v>927</v>
      </c>
      <c r="D9114" t="s">
        <v>3052</v>
      </c>
      <c r="E9114" t="s">
        <v>3053</v>
      </c>
      <c r="F9114" t="s">
        <v>818</v>
      </c>
      <c r="G9114" t="s">
        <v>819</v>
      </c>
      <c r="H9114" t="s">
        <v>9156</v>
      </c>
      <c r="I9114">
        <v>22</v>
      </c>
      <c r="J9114">
        <v>0</v>
      </c>
      <c r="K9114">
        <v>0</v>
      </c>
      <c r="L9114">
        <v>0</v>
      </c>
      <c r="M9114">
        <v>0</v>
      </c>
      <c r="N9114">
        <v>0</v>
      </c>
      <c r="O9114">
        <v>22</v>
      </c>
    </row>
    <row r="9115" spans="1:15" x14ac:dyDescent="0.25">
      <c r="A9115" t="s">
        <v>1012</v>
      </c>
      <c r="B9115" t="s">
        <v>2911</v>
      </c>
      <c r="C9115" t="s">
        <v>927</v>
      </c>
      <c r="D9115" t="s">
        <v>3052</v>
      </c>
      <c r="E9115" t="s">
        <v>3053</v>
      </c>
      <c r="F9115" t="s">
        <v>818</v>
      </c>
      <c r="G9115" t="s">
        <v>819</v>
      </c>
      <c r="H9115" t="s">
        <v>9157</v>
      </c>
      <c r="I9115">
        <v>49</v>
      </c>
      <c r="J9115">
        <v>25</v>
      </c>
      <c r="K9115">
        <v>0</v>
      </c>
      <c r="L9115">
        <v>0</v>
      </c>
      <c r="M9115">
        <v>0</v>
      </c>
      <c r="N9115">
        <v>0</v>
      </c>
      <c r="O9115">
        <v>24</v>
      </c>
    </row>
    <row r="9116" spans="1:15" x14ac:dyDescent="0.25">
      <c r="A9116" t="s">
        <v>1126</v>
      </c>
      <c r="B9116" t="s">
        <v>2130</v>
      </c>
      <c r="C9116" t="s">
        <v>927</v>
      </c>
      <c r="D9116" t="s">
        <v>3052</v>
      </c>
      <c r="E9116" t="s">
        <v>3053</v>
      </c>
      <c r="F9116" t="s">
        <v>818</v>
      </c>
      <c r="G9116" t="s">
        <v>819</v>
      </c>
      <c r="H9116" t="s">
        <v>15397</v>
      </c>
      <c r="I9116">
        <v>17</v>
      </c>
      <c r="J9116">
        <v>6</v>
      </c>
      <c r="K9116">
        <v>0</v>
      </c>
      <c r="L9116">
        <v>0</v>
      </c>
      <c r="M9116">
        <v>0</v>
      </c>
      <c r="N9116">
        <v>0</v>
      </c>
      <c r="O9116">
        <v>11</v>
      </c>
    </row>
    <row r="9117" spans="1:15" x14ac:dyDescent="0.25">
      <c r="A9117" t="s">
        <v>1025</v>
      </c>
      <c r="B9117" t="s">
        <v>2893</v>
      </c>
      <c r="C9117" t="s">
        <v>927</v>
      </c>
      <c r="D9117" t="s">
        <v>3052</v>
      </c>
      <c r="E9117" t="s">
        <v>3053</v>
      </c>
      <c r="F9117" t="s">
        <v>818</v>
      </c>
      <c r="G9117" t="s">
        <v>819</v>
      </c>
      <c r="H9117" t="s">
        <v>9158</v>
      </c>
      <c r="I9117">
        <v>57</v>
      </c>
      <c r="J9117">
        <v>43</v>
      </c>
      <c r="K9117">
        <v>0</v>
      </c>
      <c r="L9117">
        <v>13</v>
      </c>
      <c r="M9117">
        <v>0</v>
      </c>
      <c r="N9117">
        <v>0</v>
      </c>
      <c r="O9117">
        <v>1</v>
      </c>
    </row>
    <row r="9118" spans="1:15" x14ac:dyDescent="0.25">
      <c r="A9118" t="s">
        <v>943</v>
      </c>
      <c r="B9118" t="s">
        <v>2694</v>
      </c>
      <c r="C9118" t="s">
        <v>927</v>
      </c>
      <c r="D9118" t="s">
        <v>3052</v>
      </c>
      <c r="E9118" t="s">
        <v>3053</v>
      </c>
      <c r="F9118" t="s">
        <v>818</v>
      </c>
      <c r="G9118" t="s">
        <v>819</v>
      </c>
      <c r="H9118" t="s">
        <v>9159</v>
      </c>
      <c r="I9118">
        <v>419</v>
      </c>
      <c r="J9118">
        <v>233</v>
      </c>
      <c r="K9118">
        <v>0</v>
      </c>
      <c r="L9118">
        <v>0</v>
      </c>
      <c r="M9118">
        <v>0</v>
      </c>
      <c r="N9118">
        <v>1</v>
      </c>
      <c r="O9118">
        <v>186</v>
      </c>
    </row>
    <row r="9119" spans="1:15" x14ac:dyDescent="0.25">
      <c r="A9119" t="s">
        <v>1300</v>
      </c>
      <c r="B9119" t="s">
        <v>2644</v>
      </c>
      <c r="C9119" t="s">
        <v>927</v>
      </c>
      <c r="D9119" t="s">
        <v>3052</v>
      </c>
      <c r="E9119" t="s">
        <v>3053</v>
      </c>
      <c r="F9119" t="s">
        <v>818</v>
      </c>
      <c r="G9119" t="s">
        <v>819</v>
      </c>
      <c r="H9119" t="s">
        <v>9160</v>
      </c>
      <c r="I9119">
        <v>120</v>
      </c>
      <c r="J9119">
        <v>67</v>
      </c>
      <c r="K9119">
        <v>0</v>
      </c>
      <c r="L9119">
        <v>0</v>
      </c>
      <c r="M9119">
        <v>37</v>
      </c>
      <c r="N9119">
        <v>17</v>
      </c>
      <c r="O9119">
        <v>16</v>
      </c>
    </row>
    <row r="9120" spans="1:15" x14ac:dyDescent="0.25">
      <c r="A9120" t="s">
        <v>9788</v>
      </c>
      <c r="B9120" t="s">
        <v>9871</v>
      </c>
      <c r="C9120" t="s">
        <v>927</v>
      </c>
      <c r="D9120" t="s">
        <v>3052</v>
      </c>
      <c r="E9120" t="s">
        <v>3053</v>
      </c>
      <c r="F9120" t="s">
        <v>818</v>
      </c>
      <c r="G9120" t="s">
        <v>819</v>
      </c>
      <c r="H9120" t="s">
        <v>10388</v>
      </c>
      <c r="I9120">
        <v>9</v>
      </c>
      <c r="J9120">
        <v>9</v>
      </c>
      <c r="K9120">
        <v>0</v>
      </c>
      <c r="L9120">
        <v>0</v>
      </c>
      <c r="M9120">
        <v>0</v>
      </c>
      <c r="N9120">
        <v>0</v>
      </c>
      <c r="O9120">
        <v>0</v>
      </c>
    </row>
    <row r="9121" spans="1:15" x14ac:dyDescent="0.25">
      <c r="A9121" t="s">
        <v>1341</v>
      </c>
      <c r="B9121" t="s">
        <v>2954</v>
      </c>
      <c r="C9121" t="s">
        <v>923</v>
      </c>
      <c r="D9121" t="s">
        <v>3063</v>
      </c>
      <c r="E9121" t="s">
        <v>3053</v>
      </c>
      <c r="F9121" t="s">
        <v>818</v>
      </c>
      <c r="G9121" t="s">
        <v>819</v>
      </c>
      <c r="H9121" t="s">
        <v>11451</v>
      </c>
      <c r="I9121">
        <v>60</v>
      </c>
      <c r="J9121">
        <v>60</v>
      </c>
      <c r="K9121">
        <v>0</v>
      </c>
      <c r="L9121">
        <v>0</v>
      </c>
      <c r="M9121">
        <v>0</v>
      </c>
      <c r="N9121">
        <v>0</v>
      </c>
      <c r="O9121">
        <v>0</v>
      </c>
    </row>
    <row r="9122" spans="1:15" x14ac:dyDescent="0.25">
      <c r="A9122" t="s">
        <v>11663</v>
      </c>
      <c r="B9122" t="s">
        <v>11768</v>
      </c>
      <c r="C9122" t="s">
        <v>927</v>
      </c>
      <c r="D9122" t="s">
        <v>3052</v>
      </c>
      <c r="E9122" t="s">
        <v>3053</v>
      </c>
      <c r="F9122" t="s">
        <v>818</v>
      </c>
      <c r="G9122" t="s">
        <v>819</v>
      </c>
      <c r="H9122" t="s">
        <v>12469</v>
      </c>
      <c r="I9122">
        <v>195</v>
      </c>
      <c r="J9122">
        <v>163</v>
      </c>
      <c r="K9122">
        <v>0</v>
      </c>
      <c r="L9122">
        <v>0</v>
      </c>
      <c r="M9122">
        <v>0</v>
      </c>
      <c r="N9122">
        <v>0</v>
      </c>
      <c r="O9122">
        <v>32</v>
      </c>
    </row>
    <row r="9123" spans="1:15" x14ac:dyDescent="0.25">
      <c r="A9123" t="s">
        <v>960</v>
      </c>
      <c r="B9123" t="s">
        <v>2080</v>
      </c>
      <c r="C9123" t="s">
        <v>927</v>
      </c>
      <c r="D9123" t="s">
        <v>3052</v>
      </c>
      <c r="E9123" t="s">
        <v>3053</v>
      </c>
      <c r="F9123" t="s">
        <v>818</v>
      </c>
      <c r="G9123" t="s">
        <v>819</v>
      </c>
      <c r="H9123" t="s">
        <v>9161</v>
      </c>
      <c r="I9123">
        <v>2</v>
      </c>
      <c r="J9123">
        <v>0</v>
      </c>
      <c r="K9123">
        <v>0</v>
      </c>
      <c r="L9123">
        <v>0</v>
      </c>
      <c r="M9123">
        <v>0</v>
      </c>
      <c r="N9123">
        <v>0</v>
      </c>
      <c r="O9123">
        <v>2</v>
      </c>
    </row>
    <row r="9124" spans="1:15" x14ac:dyDescent="0.25">
      <c r="A9124" t="s">
        <v>14374</v>
      </c>
      <c r="B9124" t="s">
        <v>1943</v>
      </c>
      <c r="C9124" t="s">
        <v>927</v>
      </c>
      <c r="D9124" t="s">
        <v>3052</v>
      </c>
      <c r="E9124" t="s">
        <v>3053</v>
      </c>
      <c r="F9124" t="s">
        <v>818</v>
      </c>
      <c r="G9124" t="s">
        <v>819</v>
      </c>
      <c r="H9124" t="s">
        <v>15398</v>
      </c>
      <c r="I9124">
        <v>8</v>
      </c>
      <c r="J9124">
        <v>0</v>
      </c>
      <c r="K9124">
        <v>0</v>
      </c>
      <c r="L9124">
        <v>0</v>
      </c>
      <c r="M9124">
        <v>0</v>
      </c>
      <c r="N9124">
        <v>0</v>
      </c>
      <c r="O9124">
        <v>8</v>
      </c>
    </row>
    <row r="9125" spans="1:15" x14ac:dyDescent="0.25">
      <c r="A9125" t="s">
        <v>1062</v>
      </c>
      <c r="B9125" t="s">
        <v>1993</v>
      </c>
      <c r="C9125" t="s">
        <v>927</v>
      </c>
      <c r="D9125" t="s">
        <v>3052</v>
      </c>
      <c r="E9125" t="s">
        <v>3053</v>
      </c>
      <c r="F9125" t="s">
        <v>818</v>
      </c>
      <c r="G9125" t="s">
        <v>819</v>
      </c>
      <c r="H9125" t="s">
        <v>9162</v>
      </c>
      <c r="I9125">
        <v>24</v>
      </c>
      <c r="J9125">
        <v>24</v>
      </c>
      <c r="K9125">
        <v>0</v>
      </c>
      <c r="L9125">
        <v>0</v>
      </c>
      <c r="M9125">
        <v>0</v>
      </c>
      <c r="N9125">
        <v>0</v>
      </c>
      <c r="O9125">
        <v>0</v>
      </c>
    </row>
    <row r="9126" spans="1:15" x14ac:dyDescent="0.25">
      <c r="A9126" t="s">
        <v>962</v>
      </c>
      <c r="B9126" t="s">
        <v>2752</v>
      </c>
      <c r="C9126" t="s">
        <v>927</v>
      </c>
      <c r="D9126" t="s">
        <v>3052</v>
      </c>
      <c r="E9126" t="s">
        <v>3053</v>
      </c>
      <c r="F9126" t="s">
        <v>818</v>
      </c>
      <c r="G9126" t="s">
        <v>819</v>
      </c>
      <c r="H9126" t="s">
        <v>9163</v>
      </c>
      <c r="I9126">
        <v>37</v>
      </c>
      <c r="J9126">
        <v>13</v>
      </c>
      <c r="K9126">
        <v>0</v>
      </c>
      <c r="L9126">
        <v>0</v>
      </c>
      <c r="M9126">
        <v>24</v>
      </c>
      <c r="N9126">
        <v>0</v>
      </c>
      <c r="O9126">
        <v>0</v>
      </c>
    </row>
    <row r="9127" spans="1:15" x14ac:dyDescent="0.25">
      <c r="A9127" t="s">
        <v>964</v>
      </c>
      <c r="B9127" t="s">
        <v>1969</v>
      </c>
      <c r="C9127" t="s">
        <v>927</v>
      </c>
      <c r="D9127" t="s">
        <v>3052</v>
      </c>
      <c r="E9127" t="s">
        <v>3053</v>
      </c>
      <c r="F9127" t="s">
        <v>818</v>
      </c>
      <c r="G9127" t="s">
        <v>819</v>
      </c>
      <c r="H9127" t="s">
        <v>9164</v>
      </c>
      <c r="I9127">
        <v>75</v>
      </c>
      <c r="J9127">
        <v>38</v>
      </c>
      <c r="K9127">
        <v>0</v>
      </c>
      <c r="L9127">
        <v>0</v>
      </c>
      <c r="M9127">
        <v>0</v>
      </c>
      <c r="N9127">
        <v>0</v>
      </c>
      <c r="O9127">
        <v>37</v>
      </c>
    </row>
    <row r="9128" spans="1:15" x14ac:dyDescent="0.25">
      <c r="A9128" t="s">
        <v>1072</v>
      </c>
      <c r="B9128" t="s">
        <v>2907</v>
      </c>
      <c r="C9128" t="s">
        <v>927</v>
      </c>
      <c r="D9128" t="s">
        <v>3052</v>
      </c>
      <c r="E9128" t="s">
        <v>3053</v>
      </c>
      <c r="F9128" t="s">
        <v>818</v>
      </c>
      <c r="G9128" t="s">
        <v>819</v>
      </c>
      <c r="H9128" t="s">
        <v>9165</v>
      </c>
      <c r="I9128">
        <v>3</v>
      </c>
      <c r="J9128">
        <v>0</v>
      </c>
      <c r="K9128">
        <v>0</v>
      </c>
      <c r="L9128">
        <v>3</v>
      </c>
      <c r="M9128">
        <v>0</v>
      </c>
      <c r="N9128">
        <v>0</v>
      </c>
      <c r="O9128">
        <v>0</v>
      </c>
    </row>
    <row r="9129" spans="1:15" x14ac:dyDescent="0.25">
      <c r="A9129" t="s">
        <v>966</v>
      </c>
      <c r="B9129" t="s">
        <v>2684</v>
      </c>
      <c r="C9129" t="s">
        <v>927</v>
      </c>
      <c r="D9129" t="s">
        <v>3052</v>
      </c>
      <c r="E9129" t="s">
        <v>3053</v>
      </c>
      <c r="F9129" t="s">
        <v>818</v>
      </c>
      <c r="G9129" t="s">
        <v>819</v>
      </c>
      <c r="H9129" t="s">
        <v>12470</v>
      </c>
      <c r="I9129">
        <v>45</v>
      </c>
      <c r="J9129">
        <v>45</v>
      </c>
      <c r="K9129">
        <v>0</v>
      </c>
      <c r="L9129">
        <v>0</v>
      </c>
      <c r="M9129">
        <v>0</v>
      </c>
      <c r="N9129">
        <v>0</v>
      </c>
      <c r="O9129">
        <v>0</v>
      </c>
    </row>
    <row r="9130" spans="1:15" x14ac:dyDescent="0.25">
      <c r="A9130" t="s">
        <v>1374</v>
      </c>
      <c r="B9130" t="s">
        <v>2580</v>
      </c>
      <c r="C9130" t="s">
        <v>923</v>
      </c>
      <c r="D9130" t="s">
        <v>3063</v>
      </c>
      <c r="E9130" t="s">
        <v>3053</v>
      </c>
      <c r="F9130" t="s">
        <v>818</v>
      </c>
      <c r="G9130" t="s">
        <v>819</v>
      </c>
      <c r="H9130" t="s">
        <v>9166</v>
      </c>
      <c r="I9130">
        <v>85</v>
      </c>
      <c r="J9130">
        <v>0</v>
      </c>
      <c r="K9130">
        <v>0</v>
      </c>
      <c r="L9130">
        <v>85</v>
      </c>
      <c r="M9130">
        <v>0</v>
      </c>
      <c r="N9130">
        <v>0</v>
      </c>
      <c r="O9130">
        <v>0</v>
      </c>
    </row>
    <row r="9131" spans="1:15" x14ac:dyDescent="0.25">
      <c r="A9131" t="s">
        <v>968</v>
      </c>
      <c r="B9131" t="s">
        <v>2091</v>
      </c>
      <c r="C9131" t="s">
        <v>927</v>
      </c>
      <c r="D9131" t="s">
        <v>3052</v>
      </c>
      <c r="E9131" t="s">
        <v>3053</v>
      </c>
      <c r="F9131" t="s">
        <v>818</v>
      </c>
      <c r="G9131" t="s">
        <v>819</v>
      </c>
      <c r="H9131" t="s">
        <v>9167</v>
      </c>
      <c r="I9131">
        <v>588</v>
      </c>
      <c r="J9131">
        <v>446</v>
      </c>
      <c r="K9131">
        <v>0</v>
      </c>
      <c r="L9131">
        <v>0</v>
      </c>
      <c r="M9131">
        <v>0</v>
      </c>
      <c r="N9131">
        <v>0</v>
      </c>
      <c r="O9131">
        <v>142</v>
      </c>
    </row>
    <row r="9132" spans="1:15" x14ac:dyDescent="0.25">
      <c r="A9132" t="s">
        <v>1080</v>
      </c>
      <c r="B9132" t="s">
        <v>2030</v>
      </c>
      <c r="C9132" t="s">
        <v>923</v>
      </c>
      <c r="D9132" t="s">
        <v>3063</v>
      </c>
      <c r="E9132" t="s">
        <v>3053</v>
      </c>
      <c r="F9132" t="s">
        <v>818</v>
      </c>
      <c r="G9132" t="s">
        <v>819</v>
      </c>
      <c r="H9132" t="s">
        <v>9168</v>
      </c>
      <c r="I9132">
        <v>7</v>
      </c>
      <c r="J9132">
        <v>0</v>
      </c>
      <c r="K9132">
        <v>0</v>
      </c>
      <c r="L9132">
        <v>7</v>
      </c>
      <c r="M9132">
        <v>0</v>
      </c>
      <c r="N9132">
        <v>0</v>
      </c>
      <c r="O9132">
        <v>0</v>
      </c>
    </row>
    <row r="9133" spans="1:15" x14ac:dyDescent="0.25">
      <c r="A9133" t="s">
        <v>1693</v>
      </c>
      <c r="B9133" t="s">
        <v>2443</v>
      </c>
      <c r="C9133" t="s">
        <v>923</v>
      </c>
      <c r="D9133" t="s">
        <v>3063</v>
      </c>
      <c r="E9133" t="s">
        <v>3053</v>
      </c>
      <c r="F9133" t="s">
        <v>818</v>
      </c>
      <c r="G9133" t="s">
        <v>819</v>
      </c>
      <c r="H9133" t="s">
        <v>9169</v>
      </c>
      <c r="I9133">
        <v>48</v>
      </c>
      <c r="J9133">
        <v>48</v>
      </c>
      <c r="K9133">
        <v>0</v>
      </c>
      <c r="L9133">
        <v>0</v>
      </c>
      <c r="M9133">
        <v>0</v>
      </c>
      <c r="N9133">
        <v>0</v>
      </c>
      <c r="O9133">
        <v>0</v>
      </c>
    </row>
    <row r="9134" spans="1:15" x14ac:dyDescent="0.25">
      <c r="A9134" t="s">
        <v>14377</v>
      </c>
      <c r="B9134" t="s">
        <v>14444</v>
      </c>
      <c r="C9134" t="s">
        <v>923</v>
      </c>
      <c r="D9134" t="s">
        <v>3063</v>
      </c>
      <c r="E9134" t="s">
        <v>3053</v>
      </c>
      <c r="F9134" t="s">
        <v>818</v>
      </c>
      <c r="G9134" t="s">
        <v>819</v>
      </c>
      <c r="H9134" t="s">
        <v>15399</v>
      </c>
      <c r="I9134">
        <v>7</v>
      </c>
      <c r="J9134">
        <v>0</v>
      </c>
      <c r="K9134">
        <v>0</v>
      </c>
      <c r="L9134">
        <v>7</v>
      </c>
      <c r="M9134">
        <v>0</v>
      </c>
      <c r="N9134">
        <v>0</v>
      </c>
      <c r="O9134">
        <v>0</v>
      </c>
    </row>
    <row r="9135" spans="1:15" x14ac:dyDescent="0.25">
      <c r="A9135" t="s">
        <v>1196</v>
      </c>
      <c r="B9135" t="s">
        <v>3004</v>
      </c>
      <c r="C9135" t="s">
        <v>927</v>
      </c>
      <c r="D9135" t="s">
        <v>3052</v>
      </c>
      <c r="E9135" t="s">
        <v>3053</v>
      </c>
      <c r="F9135" t="s">
        <v>820</v>
      </c>
      <c r="G9135" t="s">
        <v>821</v>
      </c>
      <c r="H9135" t="s">
        <v>9170</v>
      </c>
      <c r="I9135">
        <v>28</v>
      </c>
      <c r="J9135">
        <v>24</v>
      </c>
      <c r="K9135">
        <v>0</v>
      </c>
      <c r="L9135">
        <v>0</v>
      </c>
      <c r="M9135">
        <v>0</v>
      </c>
      <c r="N9135">
        <v>0</v>
      </c>
      <c r="O9135">
        <v>4</v>
      </c>
    </row>
    <row r="9136" spans="1:15" x14ac:dyDescent="0.25">
      <c r="A9136" t="s">
        <v>1565</v>
      </c>
      <c r="B9136" t="s">
        <v>2543</v>
      </c>
      <c r="C9136" t="s">
        <v>923</v>
      </c>
      <c r="D9136" t="s">
        <v>3063</v>
      </c>
      <c r="E9136" t="s">
        <v>3053</v>
      </c>
      <c r="F9136" t="s">
        <v>820</v>
      </c>
      <c r="G9136" t="s">
        <v>821</v>
      </c>
      <c r="H9136" t="s">
        <v>12471</v>
      </c>
      <c r="I9136">
        <v>57</v>
      </c>
      <c r="J9136">
        <v>0</v>
      </c>
      <c r="K9136">
        <v>0</v>
      </c>
      <c r="L9136">
        <v>57</v>
      </c>
      <c r="M9136">
        <v>0</v>
      </c>
      <c r="N9136">
        <v>0</v>
      </c>
      <c r="O9136">
        <v>0</v>
      </c>
    </row>
    <row r="9137" spans="1:15" x14ac:dyDescent="0.25">
      <c r="A9137" t="s">
        <v>929</v>
      </c>
      <c r="B9137" t="s">
        <v>2999</v>
      </c>
      <c r="C9137" t="s">
        <v>927</v>
      </c>
      <c r="D9137" t="s">
        <v>3052</v>
      </c>
      <c r="E9137" t="s">
        <v>3053</v>
      </c>
      <c r="F9137" t="s">
        <v>820</v>
      </c>
      <c r="G9137" t="s">
        <v>821</v>
      </c>
      <c r="H9137" t="s">
        <v>9171</v>
      </c>
      <c r="I9137">
        <v>93</v>
      </c>
      <c r="J9137">
        <v>0</v>
      </c>
      <c r="K9137">
        <v>0</v>
      </c>
      <c r="L9137">
        <v>0</v>
      </c>
      <c r="M9137">
        <v>77</v>
      </c>
      <c r="N9137">
        <v>0</v>
      </c>
      <c r="O9137">
        <v>16</v>
      </c>
    </row>
    <row r="9138" spans="1:15" x14ac:dyDescent="0.25">
      <c r="A9138" t="s">
        <v>933</v>
      </c>
      <c r="B9138" t="s">
        <v>2106</v>
      </c>
      <c r="C9138" t="s">
        <v>927</v>
      </c>
      <c r="D9138" t="s">
        <v>3052</v>
      </c>
      <c r="E9138" t="s">
        <v>3053</v>
      </c>
      <c r="F9138" t="s">
        <v>820</v>
      </c>
      <c r="G9138" t="s">
        <v>821</v>
      </c>
      <c r="H9138" t="s">
        <v>9172</v>
      </c>
      <c r="I9138">
        <v>822</v>
      </c>
      <c r="J9138">
        <v>650</v>
      </c>
      <c r="K9138">
        <v>0</v>
      </c>
      <c r="L9138">
        <v>7</v>
      </c>
      <c r="M9138">
        <v>0</v>
      </c>
      <c r="N9138">
        <v>17</v>
      </c>
      <c r="O9138">
        <v>165</v>
      </c>
    </row>
    <row r="9139" spans="1:15" x14ac:dyDescent="0.25">
      <c r="A9139" t="s">
        <v>1249</v>
      </c>
      <c r="B9139" t="s">
        <v>3029</v>
      </c>
      <c r="C9139" t="s">
        <v>927</v>
      </c>
      <c r="D9139" t="s">
        <v>3052</v>
      </c>
      <c r="E9139" t="s">
        <v>3053</v>
      </c>
      <c r="F9139" t="s">
        <v>820</v>
      </c>
      <c r="G9139" t="s">
        <v>821</v>
      </c>
      <c r="H9139" t="s">
        <v>9173</v>
      </c>
      <c r="I9139">
        <v>67</v>
      </c>
      <c r="J9139">
        <v>45</v>
      </c>
      <c r="K9139">
        <v>0</v>
      </c>
      <c r="L9139">
        <v>0</v>
      </c>
      <c r="M9139">
        <v>0</v>
      </c>
      <c r="N9139">
        <v>0</v>
      </c>
      <c r="O9139">
        <v>22</v>
      </c>
    </row>
    <row r="9140" spans="1:15" x14ac:dyDescent="0.25">
      <c r="A9140" t="s">
        <v>1008</v>
      </c>
      <c r="B9140" t="s">
        <v>2928</v>
      </c>
      <c r="C9140" t="s">
        <v>927</v>
      </c>
      <c r="D9140" t="s">
        <v>3052</v>
      </c>
      <c r="E9140" t="s">
        <v>3053</v>
      </c>
      <c r="F9140" t="s">
        <v>820</v>
      </c>
      <c r="G9140" t="s">
        <v>821</v>
      </c>
      <c r="H9140" t="s">
        <v>9174</v>
      </c>
      <c r="I9140">
        <v>43</v>
      </c>
      <c r="J9140">
        <v>43</v>
      </c>
      <c r="K9140">
        <v>0</v>
      </c>
      <c r="L9140">
        <v>0</v>
      </c>
      <c r="M9140">
        <v>0</v>
      </c>
      <c r="N9140">
        <v>0</v>
      </c>
      <c r="O9140">
        <v>0</v>
      </c>
    </row>
    <row r="9141" spans="1:15" x14ac:dyDescent="0.25">
      <c r="A9141" t="s">
        <v>1010</v>
      </c>
      <c r="B9141" t="s">
        <v>2639</v>
      </c>
      <c r="C9141" t="s">
        <v>927</v>
      </c>
      <c r="D9141" t="s">
        <v>3052</v>
      </c>
      <c r="E9141" t="s">
        <v>3053</v>
      </c>
      <c r="F9141" t="s">
        <v>820</v>
      </c>
      <c r="G9141" t="s">
        <v>821</v>
      </c>
      <c r="H9141" t="s">
        <v>9175</v>
      </c>
      <c r="I9141">
        <v>90</v>
      </c>
      <c r="J9141">
        <v>77</v>
      </c>
      <c r="K9141">
        <v>0</v>
      </c>
      <c r="L9141">
        <v>0</v>
      </c>
      <c r="M9141">
        <v>0</v>
      </c>
      <c r="N9141">
        <v>0</v>
      </c>
      <c r="O9141">
        <v>13</v>
      </c>
    </row>
    <row r="9142" spans="1:15" x14ac:dyDescent="0.25">
      <c r="A9142" t="s">
        <v>937</v>
      </c>
      <c r="B9142" t="s">
        <v>1962</v>
      </c>
      <c r="C9142" t="s">
        <v>927</v>
      </c>
      <c r="D9142" t="s">
        <v>3052</v>
      </c>
      <c r="E9142" t="s">
        <v>3053</v>
      </c>
      <c r="F9142" t="s">
        <v>820</v>
      </c>
      <c r="G9142" t="s">
        <v>821</v>
      </c>
      <c r="H9142" t="s">
        <v>9176</v>
      </c>
      <c r="I9142">
        <v>29</v>
      </c>
      <c r="J9142">
        <v>0</v>
      </c>
      <c r="K9142">
        <v>0</v>
      </c>
      <c r="L9142">
        <v>0</v>
      </c>
      <c r="M9142">
        <v>0</v>
      </c>
      <c r="N9142">
        <v>0</v>
      </c>
      <c r="O9142">
        <v>29</v>
      </c>
    </row>
    <row r="9143" spans="1:15" x14ac:dyDescent="0.25">
      <c r="A9143" t="s">
        <v>1011</v>
      </c>
      <c r="B9143" t="s">
        <v>2020</v>
      </c>
      <c r="C9143" t="s">
        <v>927</v>
      </c>
      <c r="D9143" t="s">
        <v>3052</v>
      </c>
      <c r="E9143" t="s">
        <v>3053</v>
      </c>
      <c r="F9143" t="s">
        <v>820</v>
      </c>
      <c r="G9143" t="s">
        <v>821</v>
      </c>
      <c r="H9143" t="s">
        <v>9177</v>
      </c>
      <c r="I9143">
        <v>7</v>
      </c>
      <c r="J9143">
        <v>0</v>
      </c>
      <c r="K9143">
        <v>0</v>
      </c>
      <c r="L9143">
        <v>7</v>
      </c>
      <c r="M9143">
        <v>0</v>
      </c>
      <c r="N9143">
        <v>0</v>
      </c>
      <c r="O9143">
        <v>0</v>
      </c>
    </row>
    <row r="9144" spans="1:15" x14ac:dyDescent="0.25">
      <c r="A9144" t="s">
        <v>938</v>
      </c>
      <c r="B9144" t="s">
        <v>2791</v>
      </c>
      <c r="C9144" t="s">
        <v>927</v>
      </c>
      <c r="D9144" t="s">
        <v>3052</v>
      </c>
      <c r="E9144" t="s">
        <v>3053</v>
      </c>
      <c r="F9144" t="s">
        <v>820</v>
      </c>
      <c r="G9144" t="s">
        <v>821</v>
      </c>
      <c r="H9144" t="s">
        <v>9178</v>
      </c>
      <c r="I9144">
        <v>346</v>
      </c>
      <c r="J9144">
        <v>291</v>
      </c>
      <c r="K9144">
        <v>0</v>
      </c>
      <c r="L9144">
        <v>0</v>
      </c>
      <c r="M9144">
        <v>29</v>
      </c>
      <c r="N9144">
        <v>0</v>
      </c>
      <c r="O9144">
        <v>26</v>
      </c>
    </row>
    <row r="9145" spans="1:15" x14ac:dyDescent="0.25">
      <c r="A9145" t="s">
        <v>10667</v>
      </c>
      <c r="B9145" t="s">
        <v>10666</v>
      </c>
      <c r="C9145" t="s">
        <v>927</v>
      </c>
      <c r="D9145" t="s">
        <v>3052</v>
      </c>
      <c r="E9145" t="s">
        <v>3053</v>
      </c>
      <c r="F9145" t="s">
        <v>820</v>
      </c>
      <c r="G9145" t="s">
        <v>821</v>
      </c>
      <c r="H9145" t="s">
        <v>11452</v>
      </c>
      <c r="I9145">
        <v>21</v>
      </c>
      <c r="J9145">
        <v>21</v>
      </c>
      <c r="K9145">
        <v>0</v>
      </c>
      <c r="L9145">
        <v>0</v>
      </c>
      <c r="M9145">
        <v>0</v>
      </c>
      <c r="N9145">
        <v>0</v>
      </c>
      <c r="O9145">
        <v>0</v>
      </c>
    </row>
    <row r="9146" spans="1:15" x14ac:dyDescent="0.25">
      <c r="A9146" t="s">
        <v>1126</v>
      </c>
      <c r="B9146" t="s">
        <v>2130</v>
      </c>
      <c r="C9146" t="s">
        <v>927</v>
      </c>
      <c r="D9146" t="s">
        <v>3052</v>
      </c>
      <c r="E9146" t="s">
        <v>3053</v>
      </c>
      <c r="F9146" t="s">
        <v>820</v>
      </c>
      <c r="G9146" t="s">
        <v>821</v>
      </c>
      <c r="H9146" t="s">
        <v>9179</v>
      </c>
      <c r="I9146">
        <v>18</v>
      </c>
      <c r="J9146">
        <v>0</v>
      </c>
      <c r="K9146">
        <v>0</v>
      </c>
      <c r="L9146">
        <v>0</v>
      </c>
      <c r="M9146">
        <v>0</v>
      </c>
      <c r="N9146">
        <v>0</v>
      </c>
      <c r="O9146">
        <v>18</v>
      </c>
    </row>
    <row r="9147" spans="1:15" x14ac:dyDescent="0.25">
      <c r="A9147" t="s">
        <v>1025</v>
      </c>
      <c r="B9147" t="s">
        <v>2893</v>
      </c>
      <c r="C9147" t="s">
        <v>927</v>
      </c>
      <c r="D9147" t="s">
        <v>3052</v>
      </c>
      <c r="E9147" t="s">
        <v>3053</v>
      </c>
      <c r="F9147" t="s">
        <v>820</v>
      </c>
      <c r="G9147" t="s">
        <v>821</v>
      </c>
      <c r="H9147" t="s">
        <v>9180</v>
      </c>
      <c r="I9147">
        <v>2</v>
      </c>
      <c r="J9147">
        <v>0</v>
      </c>
      <c r="K9147">
        <v>0</v>
      </c>
      <c r="L9147">
        <v>0</v>
      </c>
      <c r="M9147">
        <v>0</v>
      </c>
      <c r="N9147">
        <v>0</v>
      </c>
      <c r="O9147">
        <v>2</v>
      </c>
    </row>
    <row r="9148" spans="1:15" x14ac:dyDescent="0.25">
      <c r="A9148" t="s">
        <v>10681</v>
      </c>
      <c r="B9148" t="s">
        <v>10680</v>
      </c>
      <c r="C9148" t="s">
        <v>927</v>
      </c>
      <c r="D9148" t="s">
        <v>3052</v>
      </c>
      <c r="E9148" t="s">
        <v>3053</v>
      </c>
      <c r="F9148" t="s">
        <v>820</v>
      </c>
      <c r="G9148" t="s">
        <v>821</v>
      </c>
      <c r="H9148" t="s">
        <v>15400</v>
      </c>
      <c r="I9148">
        <v>18</v>
      </c>
      <c r="J9148">
        <v>0</v>
      </c>
      <c r="K9148">
        <v>0</v>
      </c>
      <c r="L9148">
        <v>0</v>
      </c>
      <c r="M9148">
        <v>0</v>
      </c>
      <c r="N9148">
        <v>0</v>
      </c>
      <c r="O9148">
        <v>18</v>
      </c>
    </row>
    <row r="9149" spans="1:15" x14ac:dyDescent="0.25">
      <c r="A9149" t="s">
        <v>945</v>
      </c>
      <c r="B9149" t="s">
        <v>2668</v>
      </c>
      <c r="C9149" t="s">
        <v>927</v>
      </c>
      <c r="D9149" t="s">
        <v>3052</v>
      </c>
      <c r="E9149" t="s">
        <v>3053</v>
      </c>
      <c r="F9149" t="s">
        <v>820</v>
      </c>
      <c r="G9149" t="s">
        <v>821</v>
      </c>
      <c r="H9149" t="s">
        <v>9181</v>
      </c>
      <c r="I9149">
        <v>282</v>
      </c>
      <c r="J9149">
        <v>130</v>
      </c>
      <c r="K9149">
        <v>0</v>
      </c>
      <c r="L9149">
        <v>0</v>
      </c>
      <c r="M9149">
        <v>18</v>
      </c>
      <c r="N9149">
        <v>0</v>
      </c>
      <c r="O9149">
        <v>134</v>
      </c>
    </row>
    <row r="9150" spans="1:15" x14ac:dyDescent="0.25">
      <c r="A9150" t="s">
        <v>1041</v>
      </c>
      <c r="B9150" t="s">
        <v>2826</v>
      </c>
      <c r="C9150" t="s">
        <v>927</v>
      </c>
      <c r="D9150" t="s">
        <v>3052</v>
      </c>
      <c r="E9150" t="s">
        <v>3053</v>
      </c>
      <c r="F9150" t="s">
        <v>820</v>
      </c>
      <c r="G9150" t="s">
        <v>821</v>
      </c>
      <c r="H9150" t="s">
        <v>9182</v>
      </c>
      <c r="I9150">
        <v>150</v>
      </c>
      <c r="J9150">
        <v>0</v>
      </c>
      <c r="K9150">
        <v>0</v>
      </c>
      <c r="L9150">
        <v>0</v>
      </c>
      <c r="M9150">
        <v>0</v>
      </c>
      <c r="N9150">
        <v>0</v>
      </c>
      <c r="O9150">
        <v>150</v>
      </c>
    </row>
    <row r="9151" spans="1:15" x14ac:dyDescent="0.25">
      <c r="A9151" t="s">
        <v>9787</v>
      </c>
      <c r="B9151" t="s">
        <v>2822</v>
      </c>
      <c r="C9151" t="s">
        <v>927</v>
      </c>
      <c r="D9151" t="s">
        <v>3052</v>
      </c>
      <c r="E9151" t="s">
        <v>3053</v>
      </c>
      <c r="F9151" t="s">
        <v>820</v>
      </c>
      <c r="G9151" t="s">
        <v>821</v>
      </c>
      <c r="H9151" t="s">
        <v>10289</v>
      </c>
      <c r="I9151">
        <v>631</v>
      </c>
      <c r="J9151">
        <v>631</v>
      </c>
      <c r="K9151">
        <v>0</v>
      </c>
      <c r="L9151">
        <v>0</v>
      </c>
      <c r="M9151">
        <v>0</v>
      </c>
      <c r="N9151">
        <v>1</v>
      </c>
      <c r="O9151">
        <v>0</v>
      </c>
    </row>
    <row r="9152" spans="1:15" x14ac:dyDescent="0.25">
      <c r="A9152" t="s">
        <v>1144</v>
      </c>
      <c r="B9152" t="s">
        <v>2124</v>
      </c>
      <c r="C9152" t="s">
        <v>923</v>
      </c>
      <c r="D9152" t="s">
        <v>3063</v>
      </c>
      <c r="E9152" t="s">
        <v>3053</v>
      </c>
      <c r="F9152" t="s">
        <v>820</v>
      </c>
      <c r="G9152" t="s">
        <v>821</v>
      </c>
      <c r="H9152" t="s">
        <v>12472</v>
      </c>
      <c r="I9152">
        <v>18</v>
      </c>
      <c r="J9152">
        <v>18</v>
      </c>
      <c r="K9152">
        <v>0</v>
      </c>
      <c r="L9152">
        <v>0</v>
      </c>
      <c r="M9152">
        <v>0</v>
      </c>
      <c r="N9152">
        <v>0</v>
      </c>
      <c r="O9152">
        <v>0</v>
      </c>
    </row>
    <row r="9153" spans="1:15" x14ac:dyDescent="0.25">
      <c r="A9153" t="s">
        <v>951</v>
      </c>
      <c r="B9153" t="s">
        <v>2680</v>
      </c>
      <c r="C9153" t="s">
        <v>927</v>
      </c>
      <c r="D9153" t="s">
        <v>3052</v>
      </c>
      <c r="E9153" t="s">
        <v>3053</v>
      </c>
      <c r="F9153" t="s">
        <v>820</v>
      </c>
      <c r="G9153" t="s">
        <v>821</v>
      </c>
      <c r="H9153" t="s">
        <v>9183</v>
      </c>
      <c r="I9153">
        <v>14</v>
      </c>
      <c r="J9153">
        <v>14</v>
      </c>
      <c r="K9153">
        <v>0</v>
      </c>
      <c r="L9153">
        <v>0</v>
      </c>
      <c r="M9153">
        <v>0</v>
      </c>
      <c r="N9153">
        <v>0</v>
      </c>
      <c r="O9153">
        <v>0</v>
      </c>
    </row>
    <row r="9154" spans="1:15" x14ac:dyDescent="0.25">
      <c r="A9154" t="s">
        <v>11720</v>
      </c>
      <c r="B9154" t="s">
        <v>10718</v>
      </c>
      <c r="C9154" t="s">
        <v>927</v>
      </c>
      <c r="D9154" t="s">
        <v>3052</v>
      </c>
      <c r="E9154" t="s">
        <v>3053</v>
      </c>
      <c r="F9154" t="s">
        <v>820</v>
      </c>
      <c r="G9154" t="s">
        <v>821</v>
      </c>
      <c r="H9154" t="s">
        <v>15401</v>
      </c>
      <c r="I9154">
        <v>131</v>
      </c>
      <c r="J9154">
        <v>80</v>
      </c>
      <c r="K9154">
        <v>0</v>
      </c>
      <c r="L9154">
        <v>0</v>
      </c>
      <c r="M9154">
        <v>0</v>
      </c>
      <c r="N9154">
        <v>0</v>
      </c>
      <c r="O9154">
        <v>51</v>
      </c>
    </row>
    <row r="9155" spans="1:15" x14ac:dyDescent="0.25">
      <c r="A9155" t="s">
        <v>9788</v>
      </c>
      <c r="B9155" t="s">
        <v>9871</v>
      </c>
      <c r="C9155" t="s">
        <v>927</v>
      </c>
      <c r="D9155" t="s">
        <v>3052</v>
      </c>
      <c r="E9155" t="s">
        <v>3053</v>
      </c>
      <c r="F9155" t="s">
        <v>820</v>
      </c>
      <c r="G9155" t="s">
        <v>821</v>
      </c>
      <c r="H9155" t="s">
        <v>11453</v>
      </c>
      <c r="I9155">
        <v>41</v>
      </c>
      <c r="J9155">
        <v>41</v>
      </c>
      <c r="K9155">
        <v>0</v>
      </c>
      <c r="L9155">
        <v>0</v>
      </c>
      <c r="M9155">
        <v>0</v>
      </c>
      <c r="N9155">
        <v>0</v>
      </c>
      <c r="O9155">
        <v>0</v>
      </c>
    </row>
    <row r="9156" spans="1:15" x14ac:dyDescent="0.25">
      <c r="A9156" t="s">
        <v>955</v>
      </c>
      <c r="B9156" t="s">
        <v>2660</v>
      </c>
      <c r="C9156" t="s">
        <v>927</v>
      </c>
      <c r="D9156" t="s">
        <v>3052</v>
      </c>
      <c r="E9156" t="s">
        <v>3053</v>
      </c>
      <c r="F9156" t="s">
        <v>820</v>
      </c>
      <c r="G9156" t="s">
        <v>821</v>
      </c>
      <c r="H9156" t="s">
        <v>9184</v>
      </c>
      <c r="I9156">
        <v>53</v>
      </c>
      <c r="J9156">
        <v>10</v>
      </c>
      <c r="K9156">
        <v>0</v>
      </c>
      <c r="L9156">
        <v>0</v>
      </c>
      <c r="M9156">
        <v>0</v>
      </c>
      <c r="N9156">
        <v>0</v>
      </c>
      <c r="O9156">
        <v>43</v>
      </c>
    </row>
    <row r="9157" spans="1:15" x14ac:dyDescent="0.25">
      <c r="A9157" t="s">
        <v>1654</v>
      </c>
      <c r="B9157" t="s">
        <v>2850</v>
      </c>
      <c r="C9157" t="s">
        <v>927</v>
      </c>
      <c r="D9157" t="s">
        <v>3052</v>
      </c>
      <c r="E9157" t="s">
        <v>3053</v>
      </c>
      <c r="F9157" t="s">
        <v>820</v>
      </c>
      <c r="G9157" t="s">
        <v>821</v>
      </c>
      <c r="H9157" t="s">
        <v>9185</v>
      </c>
      <c r="I9157">
        <v>168</v>
      </c>
      <c r="J9157">
        <v>61</v>
      </c>
      <c r="K9157">
        <v>0</v>
      </c>
      <c r="L9157">
        <v>20</v>
      </c>
      <c r="M9157">
        <v>64</v>
      </c>
      <c r="N9157">
        <v>0</v>
      </c>
      <c r="O9157">
        <v>23</v>
      </c>
    </row>
    <row r="9158" spans="1:15" x14ac:dyDescent="0.25">
      <c r="A9158" t="s">
        <v>1661</v>
      </c>
      <c r="B9158" t="s">
        <v>2764</v>
      </c>
      <c r="C9158" t="s">
        <v>923</v>
      </c>
      <c r="D9158" t="s">
        <v>3063</v>
      </c>
      <c r="E9158" t="s">
        <v>3053</v>
      </c>
      <c r="F9158" t="s">
        <v>820</v>
      </c>
      <c r="G9158" t="s">
        <v>821</v>
      </c>
      <c r="H9158" t="s">
        <v>9186</v>
      </c>
      <c r="I9158">
        <v>29</v>
      </c>
      <c r="J9158">
        <v>0</v>
      </c>
      <c r="K9158">
        <v>0</v>
      </c>
      <c r="L9158">
        <v>29</v>
      </c>
      <c r="M9158">
        <v>0</v>
      </c>
      <c r="N9158">
        <v>0</v>
      </c>
      <c r="O9158">
        <v>0</v>
      </c>
    </row>
    <row r="9159" spans="1:15" x14ac:dyDescent="0.25">
      <c r="A9159" t="s">
        <v>11663</v>
      </c>
      <c r="B9159" t="s">
        <v>11768</v>
      </c>
      <c r="C9159" t="s">
        <v>927</v>
      </c>
      <c r="D9159" t="s">
        <v>3052</v>
      </c>
      <c r="E9159" t="s">
        <v>3053</v>
      </c>
      <c r="F9159" t="s">
        <v>820</v>
      </c>
      <c r="G9159" t="s">
        <v>821</v>
      </c>
      <c r="H9159" t="s">
        <v>12473</v>
      </c>
      <c r="I9159">
        <v>272</v>
      </c>
      <c r="J9159">
        <v>210</v>
      </c>
      <c r="K9159">
        <v>0</v>
      </c>
      <c r="L9159">
        <v>0</v>
      </c>
      <c r="M9159">
        <v>0</v>
      </c>
      <c r="N9159">
        <v>1</v>
      </c>
      <c r="O9159">
        <v>62</v>
      </c>
    </row>
    <row r="9160" spans="1:15" x14ac:dyDescent="0.25">
      <c r="A9160" t="s">
        <v>14374</v>
      </c>
      <c r="B9160" t="s">
        <v>1943</v>
      </c>
      <c r="C9160" t="s">
        <v>927</v>
      </c>
      <c r="D9160" t="s">
        <v>3052</v>
      </c>
      <c r="E9160" t="s">
        <v>3053</v>
      </c>
      <c r="F9160" t="s">
        <v>820</v>
      </c>
      <c r="G9160" t="s">
        <v>821</v>
      </c>
      <c r="H9160" t="s">
        <v>15402</v>
      </c>
      <c r="I9160">
        <v>6</v>
      </c>
      <c r="J9160">
        <v>0</v>
      </c>
      <c r="K9160">
        <v>0</v>
      </c>
      <c r="L9160">
        <v>0</v>
      </c>
      <c r="M9160">
        <v>0</v>
      </c>
      <c r="N9160">
        <v>0</v>
      </c>
      <c r="O9160">
        <v>6</v>
      </c>
    </row>
    <row r="9161" spans="1:15" x14ac:dyDescent="0.25">
      <c r="A9161" t="s">
        <v>962</v>
      </c>
      <c r="B9161" t="s">
        <v>2752</v>
      </c>
      <c r="C9161" t="s">
        <v>927</v>
      </c>
      <c r="D9161" t="s">
        <v>3052</v>
      </c>
      <c r="E9161" t="s">
        <v>3053</v>
      </c>
      <c r="F9161" t="s">
        <v>820</v>
      </c>
      <c r="G9161" t="s">
        <v>821</v>
      </c>
      <c r="H9161" t="s">
        <v>9187</v>
      </c>
      <c r="I9161">
        <v>243</v>
      </c>
      <c r="J9161">
        <v>181</v>
      </c>
      <c r="K9161">
        <v>0</v>
      </c>
      <c r="L9161">
        <v>0</v>
      </c>
      <c r="M9161">
        <v>37</v>
      </c>
      <c r="N9161">
        <v>0</v>
      </c>
      <c r="O9161">
        <v>25</v>
      </c>
    </row>
    <row r="9162" spans="1:15" x14ac:dyDescent="0.25">
      <c r="A9162" t="s">
        <v>11709</v>
      </c>
      <c r="B9162" t="s">
        <v>2913</v>
      </c>
      <c r="C9162" t="s">
        <v>923</v>
      </c>
      <c r="D9162" t="s">
        <v>3063</v>
      </c>
      <c r="E9162" t="s">
        <v>3053</v>
      </c>
      <c r="F9162" t="s">
        <v>820</v>
      </c>
      <c r="G9162" t="s">
        <v>821</v>
      </c>
      <c r="H9162" t="s">
        <v>12474</v>
      </c>
      <c r="I9162">
        <v>84</v>
      </c>
      <c r="J9162">
        <v>0</v>
      </c>
      <c r="K9162">
        <v>0</v>
      </c>
      <c r="L9162">
        <v>0</v>
      </c>
      <c r="M9162">
        <v>84</v>
      </c>
      <c r="N9162">
        <v>0</v>
      </c>
      <c r="O9162">
        <v>0</v>
      </c>
    </row>
    <row r="9163" spans="1:15" x14ac:dyDescent="0.25">
      <c r="A9163" t="s">
        <v>1684</v>
      </c>
      <c r="B9163" t="s">
        <v>2845</v>
      </c>
      <c r="C9163" t="s">
        <v>927</v>
      </c>
      <c r="D9163" t="s">
        <v>3052</v>
      </c>
      <c r="E9163" t="s">
        <v>3053</v>
      </c>
      <c r="F9163" t="s">
        <v>820</v>
      </c>
      <c r="G9163" t="s">
        <v>821</v>
      </c>
      <c r="H9163" t="s">
        <v>9188</v>
      </c>
      <c r="I9163">
        <v>535</v>
      </c>
      <c r="J9163">
        <v>410</v>
      </c>
      <c r="K9163">
        <v>0</v>
      </c>
      <c r="L9163">
        <v>14</v>
      </c>
      <c r="M9163">
        <v>0</v>
      </c>
      <c r="N9163">
        <v>0</v>
      </c>
      <c r="O9163">
        <v>111</v>
      </c>
    </row>
    <row r="9164" spans="1:15" x14ac:dyDescent="0.25">
      <c r="A9164" t="s">
        <v>9833</v>
      </c>
      <c r="B9164" t="s">
        <v>2669</v>
      </c>
      <c r="C9164" t="s">
        <v>923</v>
      </c>
      <c r="D9164" t="s">
        <v>3063</v>
      </c>
      <c r="E9164" t="s">
        <v>3053</v>
      </c>
      <c r="F9164" t="s">
        <v>820</v>
      </c>
      <c r="G9164" t="s">
        <v>821</v>
      </c>
      <c r="H9164" t="s">
        <v>10507</v>
      </c>
      <c r="I9164">
        <v>17</v>
      </c>
      <c r="J9164">
        <v>0</v>
      </c>
      <c r="K9164">
        <v>0</v>
      </c>
      <c r="L9164">
        <v>0</v>
      </c>
      <c r="M9164">
        <v>17</v>
      </c>
      <c r="N9164">
        <v>0</v>
      </c>
      <c r="O9164">
        <v>0</v>
      </c>
    </row>
    <row r="9165" spans="1:15" x14ac:dyDescent="0.25">
      <c r="A9165" t="s">
        <v>1085</v>
      </c>
      <c r="B9165" t="s">
        <v>2162</v>
      </c>
      <c r="C9165" t="s">
        <v>923</v>
      </c>
      <c r="D9165" t="s">
        <v>3063</v>
      </c>
      <c r="E9165" t="s">
        <v>3053</v>
      </c>
      <c r="F9165" t="s">
        <v>822</v>
      </c>
      <c r="G9165" t="s">
        <v>823</v>
      </c>
      <c r="H9165" t="s">
        <v>9189</v>
      </c>
      <c r="I9165">
        <v>14</v>
      </c>
      <c r="J9165">
        <v>14</v>
      </c>
      <c r="K9165">
        <v>0</v>
      </c>
      <c r="L9165">
        <v>0</v>
      </c>
      <c r="M9165">
        <v>0</v>
      </c>
      <c r="N9165">
        <v>0</v>
      </c>
      <c r="O9165">
        <v>0</v>
      </c>
    </row>
    <row r="9166" spans="1:15" x14ac:dyDescent="0.25">
      <c r="A9166" t="s">
        <v>929</v>
      </c>
      <c r="B9166" t="s">
        <v>2999</v>
      </c>
      <c r="C9166" t="s">
        <v>927</v>
      </c>
      <c r="D9166" t="s">
        <v>3052</v>
      </c>
      <c r="E9166" t="s">
        <v>3053</v>
      </c>
      <c r="F9166" t="s">
        <v>822</v>
      </c>
      <c r="G9166" t="s">
        <v>823</v>
      </c>
      <c r="H9166" t="s">
        <v>9190</v>
      </c>
      <c r="I9166">
        <v>35</v>
      </c>
      <c r="J9166">
        <v>0</v>
      </c>
      <c r="K9166">
        <v>0</v>
      </c>
      <c r="L9166">
        <v>0</v>
      </c>
      <c r="M9166">
        <v>35</v>
      </c>
      <c r="N9166">
        <v>0</v>
      </c>
      <c r="O9166">
        <v>0</v>
      </c>
    </row>
    <row r="9167" spans="1:15" x14ac:dyDescent="0.25">
      <c r="A9167" t="s">
        <v>9790</v>
      </c>
      <c r="B9167" t="s">
        <v>1977</v>
      </c>
      <c r="C9167" t="s">
        <v>923</v>
      </c>
      <c r="D9167" t="s">
        <v>3063</v>
      </c>
      <c r="E9167" t="s">
        <v>3053</v>
      </c>
      <c r="F9167" t="s">
        <v>822</v>
      </c>
      <c r="G9167" t="s">
        <v>823</v>
      </c>
      <c r="H9167" t="s">
        <v>12475</v>
      </c>
      <c r="I9167">
        <v>12</v>
      </c>
      <c r="J9167">
        <v>0</v>
      </c>
      <c r="K9167">
        <v>0</v>
      </c>
      <c r="L9167">
        <v>12</v>
      </c>
      <c r="M9167">
        <v>0</v>
      </c>
      <c r="N9167">
        <v>0</v>
      </c>
      <c r="O9167">
        <v>0</v>
      </c>
    </row>
    <row r="9168" spans="1:15" x14ac:dyDescent="0.25">
      <c r="A9168" t="s">
        <v>1090</v>
      </c>
      <c r="B9168" t="s">
        <v>2875</v>
      </c>
      <c r="C9168" t="s">
        <v>927</v>
      </c>
      <c r="D9168" t="s">
        <v>3052</v>
      </c>
      <c r="E9168" t="s">
        <v>3053</v>
      </c>
      <c r="F9168" t="s">
        <v>822</v>
      </c>
      <c r="G9168" t="s">
        <v>823</v>
      </c>
      <c r="H9168" t="s">
        <v>9191</v>
      </c>
      <c r="I9168">
        <v>32</v>
      </c>
      <c r="J9168">
        <v>22</v>
      </c>
      <c r="K9168">
        <v>0</v>
      </c>
      <c r="L9168">
        <v>0</v>
      </c>
      <c r="M9168">
        <v>0</v>
      </c>
      <c r="N9168">
        <v>0</v>
      </c>
      <c r="O9168">
        <v>10</v>
      </c>
    </row>
    <row r="9169" spans="1:15" x14ac:dyDescent="0.25">
      <c r="A9169" t="s">
        <v>933</v>
      </c>
      <c r="B9169" t="s">
        <v>2106</v>
      </c>
      <c r="C9169" t="s">
        <v>927</v>
      </c>
      <c r="D9169" t="s">
        <v>3052</v>
      </c>
      <c r="E9169" t="s">
        <v>3053</v>
      </c>
      <c r="F9169" t="s">
        <v>822</v>
      </c>
      <c r="G9169" t="s">
        <v>823</v>
      </c>
      <c r="H9169" t="s">
        <v>9192</v>
      </c>
      <c r="I9169">
        <v>577</v>
      </c>
      <c r="J9169">
        <v>471</v>
      </c>
      <c r="K9169">
        <v>0</v>
      </c>
      <c r="L9169">
        <v>11</v>
      </c>
      <c r="M9169">
        <v>0</v>
      </c>
      <c r="N9169">
        <v>1</v>
      </c>
      <c r="O9169">
        <v>95</v>
      </c>
    </row>
    <row r="9170" spans="1:15" x14ac:dyDescent="0.25">
      <c r="A9170" t="s">
        <v>1105</v>
      </c>
      <c r="B9170" t="s">
        <v>2918</v>
      </c>
      <c r="C9170" t="s">
        <v>923</v>
      </c>
      <c r="D9170" t="s">
        <v>3063</v>
      </c>
      <c r="E9170" t="s">
        <v>3053</v>
      </c>
      <c r="F9170" t="s">
        <v>822</v>
      </c>
      <c r="G9170" t="s">
        <v>823</v>
      </c>
      <c r="H9170" t="s">
        <v>9193</v>
      </c>
      <c r="I9170">
        <v>29</v>
      </c>
      <c r="J9170">
        <v>29</v>
      </c>
      <c r="K9170">
        <v>0</v>
      </c>
      <c r="L9170">
        <v>0</v>
      </c>
      <c r="M9170">
        <v>0</v>
      </c>
      <c r="N9170">
        <v>0</v>
      </c>
      <c r="O9170">
        <v>0</v>
      </c>
    </row>
    <row r="9171" spans="1:15" x14ac:dyDescent="0.25">
      <c r="A9171" t="s">
        <v>1112</v>
      </c>
      <c r="B9171" t="s">
        <v>2143</v>
      </c>
      <c r="C9171" t="s">
        <v>927</v>
      </c>
      <c r="D9171" t="s">
        <v>3052</v>
      </c>
      <c r="E9171" t="s">
        <v>3053</v>
      </c>
      <c r="F9171" t="s">
        <v>822</v>
      </c>
      <c r="G9171" t="s">
        <v>823</v>
      </c>
      <c r="H9171" t="s">
        <v>9194</v>
      </c>
      <c r="I9171">
        <v>422</v>
      </c>
      <c r="J9171">
        <v>122</v>
      </c>
      <c r="K9171">
        <v>0</v>
      </c>
      <c r="L9171">
        <v>28</v>
      </c>
      <c r="M9171">
        <v>256</v>
      </c>
      <c r="N9171">
        <v>0</v>
      </c>
      <c r="O9171">
        <v>16</v>
      </c>
    </row>
    <row r="9172" spans="1:15" x14ac:dyDescent="0.25">
      <c r="A9172" t="s">
        <v>10638</v>
      </c>
      <c r="B9172" t="s">
        <v>2057</v>
      </c>
      <c r="C9172" t="s">
        <v>927</v>
      </c>
      <c r="D9172" t="s">
        <v>3052</v>
      </c>
      <c r="E9172" t="s">
        <v>3053</v>
      </c>
      <c r="F9172" t="s">
        <v>822</v>
      </c>
      <c r="G9172" t="s">
        <v>823</v>
      </c>
      <c r="H9172" t="s">
        <v>11454</v>
      </c>
      <c r="I9172">
        <v>1</v>
      </c>
      <c r="J9172">
        <v>0</v>
      </c>
      <c r="K9172">
        <v>0</v>
      </c>
      <c r="L9172">
        <v>1</v>
      </c>
      <c r="M9172">
        <v>0</v>
      </c>
      <c r="N9172">
        <v>0</v>
      </c>
      <c r="O9172">
        <v>0</v>
      </c>
    </row>
    <row r="9173" spans="1:15" x14ac:dyDescent="0.25">
      <c r="A9173" t="s">
        <v>1005</v>
      </c>
      <c r="B9173" t="s">
        <v>2128</v>
      </c>
      <c r="C9173" t="s">
        <v>927</v>
      </c>
      <c r="D9173" t="s">
        <v>3052</v>
      </c>
      <c r="E9173" t="s">
        <v>3053</v>
      </c>
      <c r="F9173" t="s">
        <v>822</v>
      </c>
      <c r="G9173" t="s">
        <v>823</v>
      </c>
      <c r="H9173" t="s">
        <v>9195</v>
      </c>
      <c r="I9173">
        <v>2</v>
      </c>
      <c r="J9173">
        <v>0</v>
      </c>
      <c r="K9173">
        <v>0</v>
      </c>
      <c r="L9173">
        <v>2</v>
      </c>
      <c r="M9173">
        <v>0</v>
      </c>
      <c r="N9173">
        <v>0</v>
      </c>
      <c r="O9173">
        <v>0</v>
      </c>
    </row>
    <row r="9174" spans="1:15" x14ac:dyDescent="0.25">
      <c r="A9174" t="s">
        <v>937</v>
      </c>
      <c r="B9174" t="s">
        <v>1962</v>
      </c>
      <c r="C9174" t="s">
        <v>927</v>
      </c>
      <c r="D9174" t="s">
        <v>3052</v>
      </c>
      <c r="E9174" t="s">
        <v>3053</v>
      </c>
      <c r="F9174" t="s">
        <v>822</v>
      </c>
      <c r="G9174" t="s">
        <v>823</v>
      </c>
      <c r="H9174" t="s">
        <v>9196</v>
      </c>
      <c r="I9174">
        <v>5</v>
      </c>
      <c r="J9174">
        <v>0</v>
      </c>
      <c r="K9174">
        <v>0</v>
      </c>
      <c r="L9174">
        <v>0</v>
      </c>
      <c r="M9174">
        <v>0</v>
      </c>
      <c r="N9174">
        <v>0</v>
      </c>
      <c r="O9174">
        <v>5</v>
      </c>
    </row>
    <row r="9175" spans="1:15" x14ac:dyDescent="0.25">
      <c r="A9175" t="s">
        <v>1119</v>
      </c>
      <c r="B9175" t="s">
        <v>2777</v>
      </c>
      <c r="C9175" t="s">
        <v>927</v>
      </c>
      <c r="D9175" t="s">
        <v>3052</v>
      </c>
      <c r="E9175" t="s">
        <v>3053</v>
      </c>
      <c r="F9175" t="s">
        <v>822</v>
      </c>
      <c r="G9175" t="s">
        <v>823</v>
      </c>
      <c r="H9175" t="s">
        <v>9197</v>
      </c>
      <c r="I9175">
        <v>50</v>
      </c>
      <c r="J9175">
        <v>25</v>
      </c>
      <c r="K9175">
        <v>0</v>
      </c>
      <c r="L9175">
        <v>11</v>
      </c>
      <c r="M9175">
        <v>0</v>
      </c>
      <c r="N9175">
        <v>0</v>
      </c>
      <c r="O9175">
        <v>14</v>
      </c>
    </row>
    <row r="9176" spans="1:15" x14ac:dyDescent="0.25">
      <c r="A9176" t="s">
        <v>938</v>
      </c>
      <c r="B9176" t="s">
        <v>2791</v>
      </c>
      <c r="C9176" t="s">
        <v>927</v>
      </c>
      <c r="D9176" t="s">
        <v>3052</v>
      </c>
      <c r="E9176" t="s">
        <v>3053</v>
      </c>
      <c r="F9176" t="s">
        <v>822</v>
      </c>
      <c r="G9176" t="s">
        <v>823</v>
      </c>
      <c r="H9176" t="s">
        <v>9198</v>
      </c>
      <c r="I9176">
        <v>95</v>
      </c>
      <c r="J9176">
        <v>53</v>
      </c>
      <c r="K9176">
        <v>0</v>
      </c>
      <c r="L9176">
        <v>0</v>
      </c>
      <c r="M9176">
        <v>29</v>
      </c>
      <c r="N9176">
        <v>0</v>
      </c>
      <c r="O9176">
        <v>13</v>
      </c>
    </row>
    <row r="9177" spans="1:15" x14ac:dyDescent="0.25">
      <c r="A9177" t="s">
        <v>1013</v>
      </c>
      <c r="B9177" t="s">
        <v>1959</v>
      </c>
      <c r="C9177" t="s">
        <v>927</v>
      </c>
      <c r="D9177" t="s">
        <v>3052</v>
      </c>
      <c r="E9177" t="s">
        <v>3053</v>
      </c>
      <c r="F9177" t="s">
        <v>822</v>
      </c>
      <c r="G9177" t="s">
        <v>823</v>
      </c>
      <c r="H9177" t="s">
        <v>9199</v>
      </c>
      <c r="I9177">
        <v>4</v>
      </c>
      <c r="J9177">
        <v>0</v>
      </c>
      <c r="K9177">
        <v>0</v>
      </c>
      <c r="L9177">
        <v>4</v>
      </c>
      <c r="M9177">
        <v>0</v>
      </c>
      <c r="N9177">
        <v>0</v>
      </c>
      <c r="O9177">
        <v>0</v>
      </c>
    </row>
    <row r="9178" spans="1:15" x14ac:dyDescent="0.25">
      <c r="A9178" t="s">
        <v>1025</v>
      </c>
      <c r="B9178" t="s">
        <v>2893</v>
      </c>
      <c r="C9178" t="s">
        <v>927</v>
      </c>
      <c r="D9178" t="s">
        <v>3052</v>
      </c>
      <c r="E9178" t="s">
        <v>3053</v>
      </c>
      <c r="F9178" t="s">
        <v>822</v>
      </c>
      <c r="G9178" t="s">
        <v>823</v>
      </c>
      <c r="H9178" t="s">
        <v>15403</v>
      </c>
      <c r="I9178">
        <v>1</v>
      </c>
      <c r="J9178">
        <v>0</v>
      </c>
      <c r="K9178">
        <v>0</v>
      </c>
      <c r="L9178">
        <v>0</v>
      </c>
      <c r="M9178">
        <v>0</v>
      </c>
      <c r="N9178">
        <v>0</v>
      </c>
      <c r="O9178">
        <v>1</v>
      </c>
    </row>
    <row r="9179" spans="1:15" x14ac:dyDescent="0.25">
      <c r="A9179" t="s">
        <v>943</v>
      </c>
      <c r="B9179" t="s">
        <v>2694</v>
      </c>
      <c r="C9179" t="s">
        <v>927</v>
      </c>
      <c r="D9179" t="s">
        <v>3052</v>
      </c>
      <c r="E9179" t="s">
        <v>3053</v>
      </c>
      <c r="F9179" t="s">
        <v>822</v>
      </c>
      <c r="G9179" t="s">
        <v>823</v>
      </c>
      <c r="H9179" t="s">
        <v>9200</v>
      </c>
      <c r="I9179">
        <v>775</v>
      </c>
      <c r="J9179">
        <v>287</v>
      </c>
      <c r="K9179">
        <v>0</v>
      </c>
      <c r="L9179">
        <v>0</v>
      </c>
      <c r="M9179">
        <v>50</v>
      </c>
      <c r="N9179">
        <v>0</v>
      </c>
      <c r="O9179">
        <v>438</v>
      </c>
    </row>
    <row r="9180" spans="1:15" x14ac:dyDescent="0.25">
      <c r="A9180" t="s">
        <v>945</v>
      </c>
      <c r="B9180" t="s">
        <v>2668</v>
      </c>
      <c r="C9180" t="s">
        <v>927</v>
      </c>
      <c r="D9180" t="s">
        <v>3052</v>
      </c>
      <c r="E9180" t="s">
        <v>3053</v>
      </c>
      <c r="F9180" t="s">
        <v>822</v>
      </c>
      <c r="G9180" t="s">
        <v>823</v>
      </c>
      <c r="H9180" t="s">
        <v>9201</v>
      </c>
      <c r="I9180">
        <v>25</v>
      </c>
      <c r="J9180">
        <v>0</v>
      </c>
      <c r="K9180">
        <v>0</v>
      </c>
      <c r="L9180">
        <v>0</v>
      </c>
      <c r="M9180">
        <v>0</v>
      </c>
      <c r="N9180">
        <v>0</v>
      </c>
      <c r="O9180">
        <v>25</v>
      </c>
    </row>
    <row r="9181" spans="1:15" x14ac:dyDescent="0.25">
      <c r="A9181" t="s">
        <v>1134</v>
      </c>
      <c r="B9181" t="s">
        <v>2118</v>
      </c>
      <c r="C9181" t="s">
        <v>927</v>
      </c>
      <c r="D9181" t="s">
        <v>3052</v>
      </c>
      <c r="E9181" t="s">
        <v>3053</v>
      </c>
      <c r="F9181" t="s">
        <v>822</v>
      </c>
      <c r="G9181" t="s">
        <v>823</v>
      </c>
      <c r="H9181" t="s">
        <v>9202</v>
      </c>
      <c r="I9181">
        <v>278</v>
      </c>
      <c r="J9181">
        <v>227</v>
      </c>
      <c r="K9181">
        <v>0</v>
      </c>
      <c r="L9181">
        <v>35</v>
      </c>
      <c r="M9181">
        <v>0</v>
      </c>
      <c r="N9181">
        <v>0</v>
      </c>
      <c r="O9181">
        <v>16</v>
      </c>
    </row>
    <row r="9182" spans="1:15" x14ac:dyDescent="0.25">
      <c r="A9182" t="s">
        <v>1138</v>
      </c>
      <c r="B9182" t="s">
        <v>2635</v>
      </c>
      <c r="C9182" t="s">
        <v>923</v>
      </c>
      <c r="D9182" t="s">
        <v>3063</v>
      </c>
      <c r="E9182" t="s">
        <v>3053</v>
      </c>
      <c r="F9182" t="s">
        <v>822</v>
      </c>
      <c r="G9182" t="s">
        <v>823</v>
      </c>
      <c r="H9182" t="s">
        <v>9203</v>
      </c>
      <c r="I9182">
        <v>114</v>
      </c>
      <c r="J9182">
        <v>0</v>
      </c>
      <c r="K9182">
        <v>0</v>
      </c>
      <c r="L9182">
        <v>114</v>
      </c>
      <c r="M9182">
        <v>0</v>
      </c>
      <c r="N9182">
        <v>0</v>
      </c>
      <c r="O9182">
        <v>0</v>
      </c>
    </row>
    <row r="9183" spans="1:15" x14ac:dyDescent="0.25">
      <c r="A9183" t="s">
        <v>1140</v>
      </c>
      <c r="B9183" t="s">
        <v>2697</v>
      </c>
      <c r="C9183" t="s">
        <v>927</v>
      </c>
      <c r="D9183" t="s">
        <v>3052</v>
      </c>
      <c r="E9183" t="s">
        <v>3053</v>
      </c>
      <c r="F9183" t="s">
        <v>822</v>
      </c>
      <c r="G9183" t="s">
        <v>823</v>
      </c>
      <c r="H9183" t="s">
        <v>9204</v>
      </c>
      <c r="I9183">
        <v>69</v>
      </c>
      <c r="J9183">
        <v>43</v>
      </c>
      <c r="K9183">
        <v>0</v>
      </c>
      <c r="L9183">
        <v>0</v>
      </c>
      <c r="M9183">
        <v>0</v>
      </c>
      <c r="N9183">
        <v>0</v>
      </c>
      <c r="O9183">
        <v>26</v>
      </c>
    </row>
    <row r="9184" spans="1:15" x14ac:dyDescent="0.25">
      <c r="A9184" t="s">
        <v>1142</v>
      </c>
      <c r="B9184" t="s">
        <v>3003</v>
      </c>
      <c r="C9184" t="s">
        <v>927</v>
      </c>
      <c r="D9184" t="s">
        <v>3052</v>
      </c>
      <c r="E9184" t="s">
        <v>3053</v>
      </c>
      <c r="F9184" t="s">
        <v>822</v>
      </c>
      <c r="G9184" t="s">
        <v>823</v>
      </c>
      <c r="H9184" t="s">
        <v>9205</v>
      </c>
      <c r="I9184">
        <v>704</v>
      </c>
      <c r="J9184">
        <v>618</v>
      </c>
      <c r="K9184">
        <v>0</v>
      </c>
      <c r="L9184">
        <v>50</v>
      </c>
      <c r="M9184">
        <v>0</v>
      </c>
      <c r="N9184">
        <v>1</v>
      </c>
      <c r="O9184">
        <v>36</v>
      </c>
    </row>
    <row r="9185" spans="1:15" x14ac:dyDescent="0.25">
      <c r="A9185" t="s">
        <v>1146</v>
      </c>
      <c r="B9185" t="s">
        <v>2117</v>
      </c>
      <c r="C9185" t="s">
        <v>927</v>
      </c>
      <c r="D9185" t="s">
        <v>3052</v>
      </c>
      <c r="E9185" t="s">
        <v>3053</v>
      </c>
      <c r="F9185" t="s">
        <v>822</v>
      </c>
      <c r="G9185" t="s">
        <v>823</v>
      </c>
      <c r="H9185" t="s">
        <v>15404</v>
      </c>
      <c r="I9185">
        <v>281</v>
      </c>
      <c r="J9185">
        <v>220</v>
      </c>
      <c r="K9185">
        <v>0</v>
      </c>
      <c r="L9185">
        <v>34</v>
      </c>
      <c r="M9185">
        <v>0</v>
      </c>
      <c r="N9185">
        <v>0</v>
      </c>
      <c r="O9185">
        <v>27</v>
      </c>
    </row>
    <row r="9186" spans="1:15" x14ac:dyDescent="0.25">
      <c r="A9186" t="s">
        <v>951</v>
      </c>
      <c r="B9186" t="s">
        <v>2680</v>
      </c>
      <c r="C9186" t="s">
        <v>927</v>
      </c>
      <c r="D9186" t="s">
        <v>3052</v>
      </c>
      <c r="E9186" t="s">
        <v>3053</v>
      </c>
      <c r="F9186" t="s">
        <v>822</v>
      </c>
      <c r="G9186" t="s">
        <v>823</v>
      </c>
      <c r="H9186" t="s">
        <v>9206</v>
      </c>
      <c r="I9186">
        <v>26</v>
      </c>
      <c r="J9186">
        <v>26</v>
      </c>
      <c r="K9186">
        <v>0</v>
      </c>
      <c r="L9186">
        <v>0</v>
      </c>
      <c r="M9186">
        <v>0</v>
      </c>
      <c r="N9186">
        <v>0</v>
      </c>
      <c r="O9186">
        <v>0</v>
      </c>
    </row>
    <row r="9187" spans="1:15" x14ac:dyDescent="0.25">
      <c r="A9187" t="s">
        <v>1048</v>
      </c>
      <c r="B9187" t="s">
        <v>2989</v>
      </c>
      <c r="C9187" t="s">
        <v>927</v>
      </c>
      <c r="D9187" t="s">
        <v>3052</v>
      </c>
      <c r="E9187" t="s">
        <v>3053</v>
      </c>
      <c r="F9187" t="s">
        <v>822</v>
      </c>
      <c r="G9187" t="s">
        <v>823</v>
      </c>
      <c r="H9187" t="s">
        <v>9207</v>
      </c>
      <c r="I9187">
        <v>7</v>
      </c>
      <c r="J9187">
        <v>0</v>
      </c>
      <c r="K9187">
        <v>0</v>
      </c>
      <c r="L9187">
        <v>7</v>
      </c>
      <c r="M9187">
        <v>0</v>
      </c>
      <c r="N9187">
        <v>0</v>
      </c>
      <c r="O9187">
        <v>0</v>
      </c>
    </row>
    <row r="9188" spans="1:15" x14ac:dyDescent="0.25">
      <c r="A9188" t="s">
        <v>955</v>
      </c>
      <c r="B9188" t="s">
        <v>2660</v>
      </c>
      <c r="C9188" t="s">
        <v>927</v>
      </c>
      <c r="D9188" t="s">
        <v>3052</v>
      </c>
      <c r="E9188" t="s">
        <v>3053</v>
      </c>
      <c r="F9188" t="s">
        <v>822</v>
      </c>
      <c r="G9188" t="s">
        <v>823</v>
      </c>
      <c r="H9188" t="s">
        <v>9208</v>
      </c>
      <c r="I9188">
        <v>314</v>
      </c>
      <c r="J9188">
        <v>294</v>
      </c>
      <c r="K9188">
        <v>0</v>
      </c>
      <c r="L9188">
        <v>0</v>
      </c>
      <c r="M9188">
        <v>0</v>
      </c>
      <c r="N9188">
        <v>2</v>
      </c>
      <c r="O9188">
        <v>20</v>
      </c>
    </row>
    <row r="9189" spans="1:15" x14ac:dyDescent="0.25">
      <c r="A9189" t="s">
        <v>1154</v>
      </c>
      <c r="B9189" t="s">
        <v>2861</v>
      </c>
      <c r="C9189" t="s">
        <v>927</v>
      </c>
      <c r="D9189" t="s">
        <v>3052</v>
      </c>
      <c r="E9189" t="s">
        <v>3053</v>
      </c>
      <c r="F9189" t="s">
        <v>822</v>
      </c>
      <c r="G9189" t="s">
        <v>823</v>
      </c>
      <c r="H9189" t="s">
        <v>9209</v>
      </c>
      <c r="I9189">
        <v>89</v>
      </c>
      <c r="J9189">
        <v>40</v>
      </c>
      <c r="K9189">
        <v>0</v>
      </c>
      <c r="L9189">
        <v>0</v>
      </c>
      <c r="M9189">
        <v>0</v>
      </c>
      <c r="N9189">
        <v>0</v>
      </c>
      <c r="O9189">
        <v>49</v>
      </c>
    </row>
    <row r="9190" spans="1:15" x14ac:dyDescent="0.25">
      <c r="A9190" t="s">
        <v>11663</v>
      </c>
      <c r="B9190" t="s">
        <v>11768</v>
      </c>
      <c r="C9190" t="s">
        <v>927</v>
      </c>
      <c r="D9190" t="s">
        <v>3052</v>
      </c>
      <c r="E9190" t="s">
        <v>3053</v>
      </c>
      <c r="F9190" t="s">
        <v>822</v>
      </c>
      <c r="G9190" t="s">
        <v>823</v>
      </c>
      <c r="H9190" t="s">
        <v>12476</v>
      </c>
      <c r="I9190">
        <v>1</v>
      </c>
      <c r="J9190">
        <v>0</v>
      </c>
      <c r="K9190">
        <v>0</v>
      </c>
      <c r="L9190">
        <v>0</v>
      </c>
      <c r="M9190">
        <v>0</v>
      </c>
      <c r="N9190">
        <v>0</v>
      </c>
      <c r="O9190">
        <v>1</v>
      </c>
    </row>
    <row r="9191" spans="1:15" x14ac:dyDescent="0.25">
      <c r="A9191" t="s">
        <v>14380</v>
      </c>
      <c r="B9191" t="s">
        <v>2074</v>
      </c>
      <c r="C9191" t="s">
        <v>927</v>
      </c>
      <c r="D9191" t="s">
        <v>3052</v>
      </c>
      <c r="E9191" t="s">
        <v>3053</v>
      </c>
      <c r="F9191" t="s">
        <v>822</v>
      </c>
      <c r="G9191" t="s">
        <v>823</v>
      </c>
      <c r="H9191" t="s">
        <v>15405</v>
      </c>
      <c r="I9191">
        <v>93</v>
      </c>
      <c r="J9191">
        <v>74</v>
      </c>
      <c r="K9191">
        <v>0</v>
      </c>
      <c r="L9191">
        <v>0</v>
      </c>
      <c r="M9191">
        <v>19</v>
      </c>
      <c r="N9191">
        <v>0</v>
      </c>
      <c r="O9191">
        <v>0</v>
      </c>
    </row>
    <row r="9192" spans="1:15" x14ac:dyDescent="0.25">
      <c r="A9192" t="s">
        <v>1069</v>
      </c>
      <c r="B9192" t="s">
        <v>2001</v>
      </c>
      <c r="C9192" t="s">
        <v>927</v>
      </c>
      <c r="D9192" t="s">
        <v>3052</v>
      </c>
      <c r="E9192" t="s">
        <v>3053</v>
      </c>
      <c r="F9192" t="s">
        <v>822</v>
      </c>
      <c r="G9192" t="s">
        <v>823</v>
      </c>
      <c r="H9192" t="s">
        <v>9210</v>
      </c>
      <c r="I9192">
        <v>257</v>
      </c>
      <c r="J9192">
        <v>257</v>
      </c>
      <c r="K9192">
        <v>0</v>
      </c>
      <c r="L9192">
        <v>0</v>
      </c>
      <c r="M9192">
        <v>0</v>
      </c>
      <c r="N9192">
        <v>0</v>
      </c>
      <c r="O9192">
        <v>0</v>
      </c>
    </row>
    <row r="9193" spans="1:15" x14ac:dyDescent="0.25">
      <c r="A9193" t="s">
        <v>1181</v>
      </c>
      <c r="B9193" t="s">
        <v>2894</v>
      </c>
      <c r="C9193" t="s">
        <v>927</v>
      </c>
      <c r="D9193" t="s">
        <v>3052</v>
      </c>
      <c r="E9193" t="s">
        <v>3053</v>
      </c>
      <c r="F9193" t="s">
        <v>822</v>
      </c>
      <c r="G9193" t="s">
        <v>823</v>
      </c>
      <c r="H9193" t="s">
        <v>9211</v>
      </c>
      <c r="I9193">
        <v>250</v>
      </c>
      <c r="J9193">
        <v>239</v>
      </c>
      <c r="K9193">
        <v>0</v>
      </c>
      <c r="L9193">
        <v>0</v>
      </c>
      <c r="M9193">
        <v>0</v>
      </c>
      <c r="N9193">
        <v>0</v>
      </c>
      <c r="O9193">
        <v>11</v>
      </c>
    </row>
    <row r="9194" spans="1:15" x14ac:dyDescent="0.25">
      <c r="A9194" t="s">
        <v>1185</v>
      </c>
      <c r="B9194" t="s">
        <v>2886</v>
      </c>
      <c r="C9194" t="s">
        <v>927</v>
      </c>
      <c r="D9194" t="s">
        <v>3052</v>
      </c>
      <c r="E9194" t="s">
        <v>3053</v>
      </c>
      <c r="F9194" t="s">
        <v>822</v>
      </c>
      <c r="G9194" t="s">
        <v>823</v>
      </c>
      <c r="H9194" t="s">
        <v>10510</v>
      </c>
      <c r="I9194">
        <v>12</v>
      </c>
      <c r="J9194">
        <v>6</v>
      </c>
      <c r="K9194">
        <v>0</v>
      </c>
      <c r="L9194">
        <v>0</v>
      </c>
      <c r="M9194">
        <v>0</v>
      </c>
      <c r="N9194">
        <v>0</v>
      </c>
      <c r="O9194">
        <v>6</v>
      </c>
    </row>
    <row r="9195" spans="1:15" x14ac:dyDescent="0.25">
      <c r="A9195" t="s">
        <v>1195</v>
      </c>
      <c r="B9195" t="s">
        <v>2924</v>
      </c>
      <c r="C9195" t="s">
        <v>927</v>
      </c>
      <c r="D9195" t="s">
        <v>3052</v>
      </c>
      <c r="E9195" t="s">
        <v>3053</v>
      </c>
      <c r="F9195" t="s">
        <v>824</v>
      </c>
      <c r="G9195" t="s">
        <v>825</v>
      </c>
      <c r="H9195" t="s">
        <v>9212</v>
      </c>
      <c r="I9195">
        <v>2</v>
      </c>
      <c r="J9195">
        <v>2</v>
      </c>
      <c r="K9195">
        <v>0</v>
      </c>
      <c r="L9195">
        <v>0</v>
      </c>
      <c r="M9195">
        <v>0</v>
      </c>
      <c r="N9195">
        <v>0</v>
      </c>
      <c r="O9195">
        <v>0</v>
      </c>
    </row>
    <row r="9196" spans="1:15" x14ac:dyDescent="0.25">
      <c r="A9196" t="s">
        <v>1564</v>
      </c>
      <c r="B9196" t="s">
        <v>3039</v>
      </c>
      <c r="C9196" t="s">
        <v>927</v>
      </c>
      <c r="D9196" t="s">
        <v>3052</v>
      </c>
      <c r="E9196" t="s">
        <v>3053</v>
      </c>
      <c r="F9196" t="s">
        <v>824</v>
      </c>
      <c r="G9196" t="s">
        <v>825</v>
      </c>
      <c r="H9196" t="s">
        <v>12477</v>
      </c>
      <c r="I9196">
        <v>48</v>
      </c>
      <c r="J9196">
        <v>0</v>
      </c>
      <c r="K9196">
        <v>0</v>
      </c>
      <c r="L9196">
        <v>0</v>
      </c>
      <c r="M9196">
        <v>0</v>
      </c>
      <c r="N9196">
        <v>0</v>
      </c>
      <c r="O9196">
        <v>48</v>
      </c>
    </row>
    <row r="9197" spans="1:15" x14ac:dyDescent="0.25">
      <c r="A9197" t="s">
        <v>1196</v>
      </c>
      <c r="B9197" t="s">
        <v>3004</v>
      </c>
      <c r="C9197" t="s">
        <v>927</v>
      </c>
      <c r="D9197" t="s">
        <v>3052</v>
      </c>
      <c r="E9197" t="s">
        <v>3053</v>
      </c>
      <c r="F9197" t="s">
        <v>824</v>
      </c>
      <c r="G9197" t="s">
        <v>825</v>
      </c>
      <c r="H9197" t="s">
        <v>9213</v>
      </c>
      <c r="I9197">
        <v>451</v>
      </c>
      <c r="J9197">
        <v>272</v>
      </c>
      <c r="K9197">
        <v>0</v>
      </c>
      <c r="L9197">
        <v>55</v>
      </c>
      <c r="M9197">
        <v>91</v>
      </c>
      <c r="N9197">
        <v>0</v>
      </c>
      <c r="O9197">
        <v>33</v>
      </c>
    </row>
    <row r="9198" spans="1:15" x14ac:dyDescent="0.25">
      <c r="A9198" t="s">
        <v>924</v>
      </c>
      <c r="B9198" t="s">
        <v>2963</v>
      </c>
      <c r="C9198" t="s">
        <v>923</v>
      </c>
      <c r="D9198" t="s">
        <v>3063</v>
      </c>
      <c r="E9198" t="s">
        <v>3053</v>
      </c>
      <c r="F9198" t="s">
        <v>824</v>
      </c>
      <c r="G9198" t="s">
        <v>825</v>
      </c>
      <c r="H9198" t="s">
        <v>9214</v>
      </c>
      <c r="I9198">
        <v>5</v>
      </c>
      <c r="J9198">
        <v>0</v>
      </c>
      <c r="K9198">
        <v>0</v>
      </c>
      <c r="L9198">
        <v>5</v>
      </c>
      <c r="M9198">
        <v>0</v>
      </c>
      <c r="N9198">
        <v>0</v>
      </c>
      <c r="O9198">
        <v>0</v>
      </c>
    </row>
    <row r="9199" spans="1:15" x14ac:dyDescent="0.25">
      <c r="A9199" t="s">
        <v>10568</v>
      </c>
      <c r="B9199" t="s">
        <v>10567</v>
      </c>
      <c r="C9199" t="s">
        <v>927</v>
      </c>
      <c r="D9199" t="s">
        <v>3052</v>
      </c>
      <c r="E9199" t="s">
        <v>3053</v>
      </c>
      <c r="F9199" t="s">
        <v>824</v>
      </c>
      <c r="G9199" t="s">
        <v>825</v>
      </c>
      <c r="H9199" t="s">
        <v>11455</v>
      </c>
      <c r="I9199">
        <v>13</v>
      </c>
      <c r="J9199">
        <v>10</v>
      </c>
      <c r="K9199">
        <v>0</v>
      </c>
      <c r="L9199">
        <v>0</v>
      </c>
      <c r="M9199">
        <v>0</v>
      </c>
      <c r="N9199">
        <v>0</v>
      </c>
      <c r="O9199">
        <v>3</v>
      </c>
    </row>
    <row r="9200" spans="1:15" x14ac:dyDescent="0.25">
      <c r="A9200" t="s">
        <v>926</v>
      </c>
      <c r="B9200" t="s">
        <v>2923</v>
      </c>
      <c r="C9200" t="s">
        <v>927</v>
      </c>
      <c r="D9200" t="s">
        <v>3052</v>
      </c>
      <c r="E9200" t="s">
        <v>3053</v>
      </c>
      <c r="F9200" t="s">
        <v>824</v>
      </c>
      <c r="G9200" t="s">
        <v>825</v>
      </c>
      <c r="H9200" t="s">
        <v>9215</v>
      </c>
      <c r="I9200">
        <v>18</v>
      </c>
      <c r="J9200">
        <v>0</v>
      </c>
      <c r="K9200">
        <v>0</v>
      </c>
      <c r="L9200">
        <v>11</v>
      </c>
      <c r="M9200">
        <v>0</v>
      </c>
      <c r="N9200">
        <v>0</v>
      </c>
      <c r="O9200">
        <v>7</v>
      </c>
    </row>
    <row r="9201" spans="1:15" x14ac:dyDescent="0.25">
      <c r="A9201" t="s">
        <v>929</v>
      </c>
      <c r="B9201" t="s">
        <v>2999</v>
      </c>
      <c r="C9201" t="s">
        <v>927</v>
      </c>
      <c r="D9201" t="s">
        <v>3052</v>
      </c>
      <c r="E9201" t="s">
        <v>3053</v>
      </c>
      <c r="F9201" t="s">
        <v>824</v>
      </c>
      <c r="G9201" t="s">
        <v>825</v>
      </c>
      <c r="H9201" t="s">
        <v>9216</v>
      </c>
      <c r="I9201">
        <v>104</v>
      </c>
      <c r="J9201">
        <v>0</v>
      </c>
      <c r="K9201">
        <v>0</v>
      </c>
      <c r="L9201">
        <v>0</v>
      </c>
      <c r="M9201">
        <v>104</v>
      </c>
      <c r="N9201">
        <v>0</v>
      </c>
      <c r="O9201">
        <v>0</v>
      </c>
    </row>
    <row r="9202" spans="1:15" x14ac:dyDescent="0.25">
      <c r="A9202" t="s">
        <v>1575</v>
      </c>
      <c r="B9202" t="s">
        <v>2112</v>
      </c>
      <c r="C9202" t="s">
        <v>927</v>
      </c>
      <c r="D9202" t="s">
        <v>3052</v>
      </c>
      <c r="E9202" t="s">
        <v>3053</v>
      </c>
      <c r="F9202" t="s">
        <v>824</v>
      </c>
      <c r="G9202" t="s">
        <v>825</v>
      </c>
      <c r="H9202" t="s">
        <v>9217</v>
      </c>
      <c r="I9202">
        <v>40</v>
      </c>
      <c r="J9202">
        <v>40</v>
      </c>
      <c r="K9202">
        <v>0</v>
      </c>
      <c r="L9202">
        <v>0</v>
      </c>
      <c r="M9202">
        <v>0</v>
      </c>
      <c r="N9202">
        <v>0</v>
      </c>
      <c r="O9202">
        <v>0</v>
      </c>
    </row>
    <row r="9203" spans="1:15" x14ac:dyDescent="0.25">
      <c r="A9203" t="s">
        <v>931</v>
      </c>
      <c r="B9203" t="s">
        <v>1978</v>
      </c>
      <c r="C9203" t="s">
        <v>927</v>
      </c>
      <c r="D9203" t="s">
        <v>3052</v>
      </c>
      <c r="E9203" t="s">
        <v>3053</v>
      </c>
      <c r="F9203" t="s">
        <v>824</v>
      </c>
      <c r="G9203" t="s">
        <v>825</v>
      </c>
      <c r="H9203" t="s">
        <v>9218</v>
      </c>
      <c r="I9203">
        <v>8</v>
      </c>
      <c r="J9203">
        <v>8</v>
      </c>
      <c r="K9203">
        <v>0</v>
      </c>
      <c r="L9203">
        <v>0</v>
      </c>
      <c r="M9203">
        <v>0</v>
      </c>
      <c r="N9203">
        <v>0</v>
      </c>
      <c r="O9203">
        <v>0</v>
      </c>
    </row>
    <row r="9204" spans="1:15" x14ac:dyDescent="0.25">
      <c r="A9204" t="s">
        <v>933</v>
      </c>
      <c r="B9204" t="s">
        <v>2106</v>
      </c>
      <c r="C9204" t="s">
        <v>927</v>
      </c>
      <c r="D9204" t="s">
        <v>3052</v>
      </c>
      <c r="E9204" t="s">
        <v>3053</v>
      </c>
      <c r="F9204" t="s">
        <v>824</v>
      </c>
      <c r="G9204" t="s">
        <v>825</v>
      </c>
      <c r="H9204" t="s">
        <v>9219</v>
      </c>
      <c r="I9204">
        <v>36</v>
      </c>
      <c r="J9204">
        <v>25</v>
      </c>
      <c r="K9204">
        <v>0</v>
      </c>
      <c r="L9204">
        <v>0</v>
      </c>
      <c r="M9204">
        <v>0</v>
      </c>
      <c r="N9204">
        <v>0</v>
      </c>
      <c r="O9204">
        <v>11</v>
      </c>
    </row>
    <row r="9205" spans="1:15" x14ac:dyDescent="0.25">
      <c r="A9205" t="s">
        <v>998</v>
      </c>
      <c r="B9205" t="s">
        <v>2820</v>
      </c>
      <c r="C9205" t="s">
        <v>927</v>
      </c>
      <c r="D9205" t="s">
        <v>3052</v>
      </c>
      <c r="E9205" t="s">
        <v>3053</v>
      </c>
      <c r="F9205" t="s">
        <v>824</v>
      </c>
      <c r="G9205" t="s">
        <v>825</v>
      </c>
      <c r="H9205" t="s">
        <v>9220</v>
      </c>
      <c r="I9205">
        <v>26</v>
      </c>
      <c r="J9205">
        <v>10</v>
      </c>
      <c r="K9205">
        <v>0</v>
      </c>
      <c r="L9205">
        <v>0</v>
      </c>
      <c r="M9205">
        <v>0</v>
      </c>
      <c r="N9205">
        <v>0</v>
      </c>
      <c r="O9205">
        <v>16</v>
      </c>
    </row>
    <row r="9206" spans="1:15" x14ac:dyDescent="0.25">
      <c r="A9206" t="s">
        <v>1002</v>
      </c>
      <c r="B9206" t="s">
        <v>2078</v>
      </c>
      <c r="C9206" t="s">
        <v>923</v>
      </c>
      <c r="D9206" t="s">
        <v>3063</v>
      </c>
      <c r="E9206" t="s">
        <v>3053</v>
      </c>
      <c r="F9206" t="s">
        <v>824</v>
      </c>
      <c r="G9206" t="s">
        <v>825</v>
      </c>
      <c r="H9206" t="s">
        <v>15406</v>
      </c>
      <c r="I9206">
        <v>89</v>
      </c>
      <c r="J9206">
        <v>89</v>
      </c>
      <c r="K9206">
        <v>0</v>
      </c>
      <c r="L9206">
        <v>0</v>
      </c>
      <c r="M9206">
        <v>0</v>
      </c>
      <c r="N9206">
        <v>0</v>
      </c>
      <c r="O9206">
        <v>0</v>
      </c>
    </row>
    <row r="9207" spans="1:15" x14ac:dyDescent="0.25">
      <c r="A9207" t="s">
        <v>10638</v>
      </c>
      <c r="B9207" t="s">
        <v>2057</v>
      </c>
      <c r="C9207" t="s">
        <v>927</v>
      </c>
      <c r="D9207" t="s">
        <v>3052</v>
      </c>
      <c r="E9207" t="s">
        <v>3053</v>
      </c>
      <c r="F9207" t="s">
        <v>824</v>
      </c>
      <c r="G9207" t="s">
        <v>825</v>
      </c>
      <c r="H9207" t="s">
        <v>11456</v>
      </c>
      <c r="I9207">
        <v>7</v>
      </c>
      <c r="J9207">
        <v>0</v>
      </c>
      <c r="K9207">
        <v>0</v>
      </c>
      <c r="L9207">
        <v>7</v>
      </c>
      <c r="M9207">
        <v>0</v>
      </c>
      <c r="N9207">
        <v>0</v>
      </c>
      <c r="O9207">
        <v>0</v>
      </c>
    </row>
    <row r="9208" spans="1:15" x14ac:dyDescent="0.25">
      <c r="A9208" t="s">
        <v>1008</v>
      </c>
      <c r="B9208" t="s">
        <v>2928</v>
      </c>
      <c r="C9208" t="s">
        <v>927</v>
      </c>
      <c r="D9208" t="s">
        <v>3052</v>
      </c>
      <c r="E9208" t="s">
        <v>3053</v>
      </c>
      <c r="F9208" t="s">
        <v>824</v>
      </c>
      <c r="G9208" t="s">
        <v>825</v>
      </c>
      <c r="H9208" t="s">
        <v>9221</v>
      </c>
      <c r="I9208">
        <v>21</v>
      </c>
      <c r="J9208">
        <v>16</v>
      </c>
      <c r="K9208">
        <v>0</v>
      </c>
      <c r="L9208">
        <v>5</v>
      </c>
      <c r="M9208">
        <v>0</v>
      </c>
      <c r="N9208">
        <v>1</v>
      </c>
      <c r="O9208">
        <v>0</v>
      </c>
    </row>
    <row r="9209" spans="1:15" x14ac:dyDescent="0.25">
      <c r="A9209" t="s">
        <v>937</v>
      </c>
      <c r="B9209" t="s">
        <v>1962</v>
      </c>
      <c r="C9209" t="s">
        <v>927</v>
      </c>
      <c r="D9209" t="s">
        <v>3052</v>
      </c>
      <c r="E9209" t="s">
        <v>3053</v>
      </c>
      <c r="F9209" t="s">
        <v>824</v>
      </c>
      <c r="G9209" t="s">
        <v>825</v>
      </c>
      <c r="H9209" t="s">
        <v>12478</v>
      </c>
      <c r="I9209">
        <v>8</v>
      </c>
      <c r="J9209">
        <v>0</v>
      </c>
      <c r="K9209">
        <v>0</v>
      </c>
      <c r="L9209">
        <v>0</v>
      </c>
      <c r="M9209">
        <v>0</v>
      </c>
      <c r="N9209">
        <v>0</v>
      </c>
      <c r="O9209">
        <v>8</v>
      </c>
    </row>
    <row r="9210" spans="1:15" x14ac:dyDescent="0.25">
      <c r="A9210" t="s">
        <v>938</v>
      </c>
      <c r="B9210" t="s">
        <v>2791</v>
      </c>
      <c r="C9210" t="s">
        <v>927</v>
      </c>
      <c r="D9210" t="s">
        <v>3052</v>
      </c>
      <c r="E9210" t="s">
        <v>3053</v>
      </c>
      <c r="F9210" t="s">
        <v>824</v>
      </c>
      <c r="G9210" t="s">
        <v>825</v>
      </c>
      <c r="H9210" t="s">
        <v>9222</v>
      </c>
      <c r="I9210">
        <v>367</v>
      </c>
      <c r="J9210">
        <v>291</v>
      </c>
      <c r="K9210">
        <v>0</v>
      </c>
      <c r="L9210">
        <v>8</v>
      </c>
      <c r="M9210">
        <v>0</v>
      </c>
      <c r="N9210">
        <v>0</v>
      </c>
      <c r="O9210">
        <v>68</v>
      </c>
    </row>
    <row r="9211" spans="1:15" x14ac:dyDescent="0.25">
      <c r="A9211" t="s">
        <v>940</v>
      </c>
      <c r="B9211" t="s">
        <v>2647</v>
      </c>
      <c r="C9211" t="s">
        <v>927</v>
      </c>
      <c r="D9211" t="s">
        <v>3052</v>
      </c>
      <c r="E9211" t="s">
        <v>3053</v>
      </c>
      <c r="F9211" t="s">
        <v>824</v>
      </c>
      <c r="G9211" t="s">
        <v>825</v>
      </c>
      <c r="H9211" t="s">
        <v>9223</v>
      </c>
      <c r="I9211">
        <v>51</v>
      </c>
      <c r="J9211">
        <v>0</v>
      </c>
      <c r="K9211">
        <v>0</v>
      </c>
      <c r="L9211">
        <v>0</v>
      </c>
      <c r="M9211">
        <v>39</v>
      </c>
      <c r="N9211">
        <v>0</v>
      </c>
      <c r="O9211">
        <v>12</v>
      </c>
    </row>
    <row r="9212" spans="1:15" x14ac:dyDescent="0.25">
      <c r="A9212" t="s">
        <v>1122</v>
      </c>
      <c r="B9212" t="s">
        <v>2823</v>
      </c>
      <c r="C9212" t="s">
        <v>927</v>
      </c>
      <c r="D9212" t="s">
        <v>3052</v>
      </c>
      <c r="E9212" t="s">
        <v>3053</v>
      </c>
      <c r="F9212" t="s">
        <v>824</v>
      </c>
      <c r="G9212" t="s">
        <v>825</v>
      </c>
      <c r="H9212" t="s">
        <v>15407</v>
      </c>
      <c r="I9212">
        <v>27</v>
      </c>
      <c r="J9212">
        <v>0</v>
      </c>
      <c r="K9212">
        <v>0</v>
      </c>
      <c r="L9212">
        <v>0</v>
      </c>
      <c r="M9212">
        <v>0</v>
      </c>
      <c r="N9212">
        <v>0</v>
      </c>
      <c r="O9212">
        <v>27</v>
      </c>
    </row>
    <row r="9213" spans="1:15" x14ac:dyDescent="0.25">
      <c r="A9213" t="s">
        <v>1025</v>
      </c>
      <c r="B9213" t="s">
        <v>2893</v>
      </c>
      <c r="C9213" t="s">
        <v>927</v>
      </c>
      <c r="D9213" t="s">
        <v>3052</v>
      </c>
      <c r="E9213" t="s">
        <v>3053</v>
      </c>
      <c r="F9213" t="s">
        <v>824</v>
      </c>
      <c r="G9213" t="s">
        <v>825</v>
      </c>
      <c r="H9213" t="s">
        <v>9224</v>
      </c>
      <c r="I9213">
        <v>40</v>
      </c>
      <c r="J9213">
        <v>32</v>
      </c>
      <c r="K9213">
        <v>0</v>
      </c>
      <c r="L9213">
        <v>7</v>
      </c>
      <c r="M9213">
        <v>0</v>
      </c>
      <c r="N9213">
        <v>0</v>
      </c>
      <c r="O9213">
        <v>1</v>
      </c>
    </row>
    <row r="9214" spans="1:15" x14ac:dyDescent="0.25">
      <c r="A9214" t="s">
        <v>943</v>
      </c>
      <c r="B9214" t="s">
        <v>2694</v>
      </c>
      <c r="C9214" t="s">
        <v>927</v>
      </c>
      <c r="D9214" t="s">
        <v>3052</v>
      </c>
      <c r="E9214" t="s">
        <v>3053</v>
      </c>
      <c r="F9214" t="s">
        <v>824</v>
      </c>
      <c r="G9214" t="s">
        <v>825</v>
      </c>
      <c r="H9214" t="s">
        <v>9225</v>
      </c>
      <c r="I9214">
        <v>2</v>
      </c>
      <c r="J9214">
        <v>0</v>
      </c>
      <c r="K9214">
        <v>0</v>
      </c>
      <c r="L9214">
        <v>0</v>
      </c>
      <c r="M9214">
        <v>0</v>
      </c>
      <c r="N9214">
        <v>0</v>
      </c>
      <c r="O9214">
        <v>2</v>
      </c>
    </row>
    <row r="9215" spans="1:15" x14ac:dyDescent="0.25">
      <c r="A9215" t="s">
        <v>949</v>
      </c>
      <c r="B9215" t="s">
        <v>3035</v>
      </c>
      <c r="C9215" t="s">
        <v>927</v>
      </c>
      <c r="D9215" t="s">
        <v>3052</v>
      </c>
      <c r="E9215" t="s">
        <v>3053</v>
      </c>
      <c r="F9215" t="s">
        <v>824</v>
      </c>
      <c r="G9215" t="s">
        <v>825</v>
      </c>
      <c r="H9215" t="s">
        <v>9226</v>
      </c>
      <c r="I9215">
        <v>1</v>
      </c>
      <c r="J9215">
        <v>0</v>
      </c>
      <c r="K9215">
        <v>0</v>
      </c>
      <c r="L9215">
        <v>0</v>
      </c>
      <c r="M9215">
        <v>0</v>
      </c>
      <c r="N9215">
        <v>0</v>
      </c>
      <c r="O9215">
        <v>1</v>
      </c>
    </row>
    <row r="9216" spans="1:15" x14ac:dyDescent="0.25">
      <c r="A9216" t="s">
        <v>1140</v>
      </c>
      <c r="B9216" t="s">
        <v>2697</v>
      </c>
      <c r="C9216" t="s">
        <v>927</v>
      </c>
      <c r="D9216" t="s">
        <v>3052</v>
      </c>
      <c r="E9216" t="s">
        <v>3053</v>
      </c>
      <c r="F9216" t="s">
        <v>824</v>
      </c>
      <c r="G9216" t="s">
        <v>825</v>
      </c>
      <c r="H9216" t="s">
        <v>9227</v>
      </c>
      <c r="I9216">
        <v>1</v>
      </c>
      <c r="J9216">
        <v>0</v>
      </c>
      <c r="K9216">
        <v>0</v>
      </c>
      <c r="L9216">
        <v>0</v>
      </c>
      <c r="M9216">
        <v>0</v>
      </c>
      <c r="N9216">
        <v>0</v>
      </c>
      <c r="O9216">
        <v>1</v>
      </c>
    </row>
    <row r="9217" spans="1:15" x14ac:dyDescent="0.25">
      <c r="A9217" t="s">
        <v>1146</v>
      </c>
      <c r="B9217" t="s">
        <v>2117</v>
      </c>
      <c r="C9217" t="s">
        <v>927</v>
      </c>
      <c r="D9217" t="s">
        <v>3052</v>
      </c>
      <c r="E9217" t="s">
        <v>3053</v>
      </c>
      <c r="F9217" t="s">
        <v>824</v>
      </c>
      <c r="G9217" t="s">
        <v>825</v>
      </c>
      <c r="H9217" t="s">
        <v>15408</v>
      </c>
      <c r="I9217">
        <v>4</v>
      </c>
      <c r="J9217">
        <v>1</v>
      </c>
      <c r="K9217">
        <v>0</v>
      </c>
      <c r="L9217">
        <v>0</v>
      </c>
      <c r="M9217">
        <v>0</v>
      </c>
      <c r="N9217">
        <v>0</v>
      </c>
      <c r="O9217">
        <v>3</v>
      </c>
    </row>
    <row r="9218" spans="1:15" x14ac:dyDescent="0.25">
      <c r="A9218" t="s">
        <v>951</v>
      </c>
      <c r="B9218" t="s">
        <v>2680</v>
      </c>
      <c r="C9218" t="s">
        <v>927</v>
      </c>
      <c r="D9218" t="s">
        <v>3052</v>
      </c>
      <c r="E9218" t="s">
        <v>3053</v>
      </c>
      <c r="F9218" t="s">
        <v>824</v>
      </c>
      <c r="G9218" t="s">
        <v>825</v>
      </c>
      <c r="H9218" t="s">
        <v>9228</v>
      </c>
      <c r="I9218">
        <v>51</v>
      </c>
      <c r="J9218">
        <v>49</v>
      </c>
      <c r="K9218">
        <v>0</v>
      </c>
      <c r="L9218">
        <v>0</v>
      </c>
      <c r="M9218">
        <v>0</v>
      </c>
      <c r="N9218">
        <v>0</v>
      </c>
      <c r="O9218">
        <v>2</v>
      </c>
    </row>
    <row r="9219" spans="1:15" x14ac:dyDescent="0.25">
      <c r="A9219" t="s">
        <v>9788</v>
      </c>
      <c r="B9219" t="s">
        <v>9871</v>
      </c>
      <c r="C9219" t="s">
        <v>927</v>
      </c>
      <c r="D9219" t="s">
        <v>3052</v>
      </c>
      <c r="E9219" t="s">
        <v>3053</v>
      </c>
      <c r="F9219" t="s">
        <v>824</v>
      </c>
      <c r="G9219" t="s">
        <v>825</v>
      </c>
      <c r="H9219" t="s">
        <v>11457</v>
      </c>
      <c r="I9219">
        <v>8</v>
      </c>
      <c r="J9219">
        <v>8</v>
      </c>
      <c r="K9219">
        <v>0</v>
      </c>
      <c r="L9219">
        <v>0</v>
      </c>
      <c r="M9219">
        <v>0</v>
      </c>
      <c r="N9219">
        <v>0</v>
      </c>
      <c r="O9219">
        <v>0</v>
      </c>
    </row>
    <row r="9220" spans="1:15" x14ac:dyDescent="0.25">
      <c r="A9220" t="s">
        <v>955</v>
      </c>
      <c r="B9220" t="s">
        <v>2660</v>
      </c>
      <c r="C9220" t="s">
        <v>927</v>
      </c>
      <c r="D9220" t="s">
        <v>3052</v>
      </c>
      <c r="E9220" t="s">
        <v>3053</v>
      </c>
      <c r="F9220" t="s">
        <v>824</v>
      </c>
      <c r="G9220" t="s">
        <v>825</v>
      </c>
      <c r="H9220" t="s">
        <v>9229</v>
      </c>
      <c r="I9220">
        <v>299</v>
      </c>
      <c r="J9220">
        <v>273</v>
      </c>
      <c r="K9220">
        <v>0</v>
      </c>
      <c r="L9220">
        <v>0</v>
      </c>
      <c r="M9220">
        <v>0</v>
      </c>
      <c r="N9220">
        <v>1</v>
      </c>
      <c r="O9220">
        <v>26</v>
      </c>
    </row>
    <row r="9221" spans="1:15" x14ac:dyDescent="0.25">
      <c r="A9221" t="s">
        <v>1658</v>
      </c>
      <c r="B9221" t="s">
        <v>2892</v>
      </c>
      <c r="C9221" t="s">
        <v>927</v>
      </c>
      <c r="D9221" t="s">
        <v>3052</v>
      </c>
      <c r="E9221" t="s">
        <v>3053</v>
      </c>
      <c r="F9221" t="s">
        <v>824</v>
      </c>
      <c r="G9221" t="s">
        <v>825</v>
      </c>
      <c r="H9221" t="s">
        <v>9230</v>
      </c>
      <c r="I9221">
        <v>38</v>
      </c>
      <c r="J9221">
        <v>22</v>
      </c>
      <c r="K9221">
        <v>0</v>
      </c>
      <c r="L9221">
        <v>0</v>
      </c>
      <c r="M9221">
        <v>0</v>
      </c>
      <c r="N9221">
        <v>0</v>
      </c>
      <c r="O9221">
        <v>16</v>
      </c>
    </row>
    <row r="9222" spans="1:15" x14ac:dyDescent="0.25">
      <c r="A9222" t="s">
        <v>11663</v>
      </c>
      <c r="B9222" t="s">
        <v>11768</v>
      </c>
      <c r="C9222" t="s">
        <v>927</v>
      </c>
      <c r="D9222" t="s">
        <v>3052</v>
      </c>
      <c r="E9222" t="s">
        <v>3053</v>
      </c>
      <c r="F9222" t="s">
        <v>824</v>
      </c>
      <c r="G9222" t="s">
        <v>825</v>
      </c>
      <c r="H9222" t="s">
        <v>12479</v>
      </c>
      <c r="I9222">
        <v>316</v>
      </c>
      <c r="J9222">
        <v>224</v>
      </c>
      <c r="K9222">
        <v>0</v>
      </c>
      <c r="L9222">
        <v>0</v>
      </c>
      <c r="M9222">
        <v>92</v>
      </c>
      <c r="N9222">
        <v>1</v>
      </c>
      <c r="O9222">
        <v>0</v>
      </c>
    </row>
    <row r="9223" spans="1:15" x14ac:dyDescent="0.25">
      <c r="A9223" t="s">
        <v>960</v>
      </c>
      <c r="B9223" t="s">
        <v>2080</v>
      </c>
      <c r="C9223" t="s">
        <v>927</v>
      </c>
      <c r="D9223" t="s">
        <v>3052</v>
      </c>
      <c r="E9223" t="s">
        <v>3053</v>
      </c>
      <c r="F9223" t="s">
        <v>824</v>
      </c>
      <c r="G9223" t="s">
        <v>825</v>
      </c>
      <c r="H9223" t="s">
        <v>9231</v>
      </c>
      <c r="I9223">
        <v>7842</v>
      </c>
      <c r="J9223">
        <v>6637</v>
      </c>
      <c r="K9223">
        <v>0</v>
      </c>
      <c r="L9223">
        <v>136</v>
      </c>
      <c r="M9223">
        <v>513</v>
      </c>
      <c r="N9223">
        <v>37</v>
      </c>
      <c r="O9223">
        <v>556</v>
      </c>
    </row>
    <row r="9224" spans="1:15" x14ac:dyDescent="0.25">
      <c r="A9224" t="s">
        <v>14374</v>
      </c>
      <c r="B9224" t="s">
        <v>1943</v>
      </c>
      <c r="C9224" t="s">
        <v>927</v>
      </c>
      <c r="D9224" t="s">
        <v>3052</v>
      </c>
      <c r="E9224" t="s">
        <v>3053</v>
      </c>
      <c r="F9224" t="s">
        <v>824</v>
      </c>
      <c r="G9224" t="s">
        <v>825</v>
      </c>
      <c r="H9224" t="s">
        <v>15409</v>
      </c>
      <c r="I9224">
        <v>11</v>
      </c>
      <c r="J9224">
        <v>0</v>
      </c>
      <c r="K9224">
        <v>0</v>
      </c>
      <c r="L9224">
        <v>0</v>
      </c>
      <c r="M9224">
        <v>0</v>
      </c>
      <c r="N9224">
        <v>0</v>
      </c>
      <c r="O9224">
        <v>11</v>
      </c>
    </row>
    <row r="9225" spans="1:15" x14ac:dyDescent="0.25">
      <c r="A9225" t="s">
        <v>962</v>
      </c>
      <c r="B9225" t="s">
        <v>2752</v>
      </c>
      <c r="C9225" t="s">
        <v>927</v>
      </c>
      <c r="D9225" t="s">
        <v>3052</v>
      </c>
      <c r="E9225" t="s">
        <v>3053</v>
      </c>
      <c r="F9225" t="s">
        <v>824</v>
      </c>
      <c r="G9225" t="s">
        <v>825</v>
      </c>
      <c r="H9225" t="s">
        <v>10458</v>
      </c>
      <c r="I9225">
        <v>197</v>
      </c>
      <c r="J9225">
        <v>140</v>
      </c>
      <c r="K9225">
        <v>0</v>
      </c>
      <c r="L9225">
        <v>7</v>
      </c>
      <c r="M9225">
        <v>23</v>
      </c>
      <c r="N9225">
        <v>0</v>
      </c>
      <c r="O9225">
        <v>27</v>
      </c>
    </row>
    <row r="9226" spans="1:15" x14ac:dyDescent="0.25">
      <c r="A9226" t="s">
        <v>964</v>
      </c>
      <c r="B9226" t="s">
        <v>1969</v>
      </c>
      <c r="C9226" t="s">
        <v>927</v>
      </c>
      <c r="D9226" t="s">
        <v>3052</v>
      </c>
      <c r="E9226" t="s">
        <v>3053</v>
      </c>
      <c r="F9226" t="s">
        <v>824</v>
      </c>
      <c r="G9226" t="s">
        <v>825</v>
      </c>
      <c r="H9226" t="s">
        <v>9232</v>
      </c>
      <c r="I9226">
        <v>52</v>
      </c>
      <c r="J9226">
        <v>28</v>
      </c>
      <c r="K9226">
        <v>0</v>
      </c>
      <c r="L9226">
        <v>0</v>
      </c>
      <c r="M9226">
        <v>0</v>
      </c>
      <c r="N9226">
        <v>0</v>
      </c>
      <c r="O9226">
        <v>24</v>
      </c>
    </row>
    <row r="9227" spans="1:15" x14ac:dyDescent="0.25">
      <c r="A9227" t="s">
        <v>1675</v>
      </c>
      <c r="B9227" t="s">
        <v>2083</v>
      </c>
      <c r="C9227" t="s">
        <v>923</v>
      </c>
      <c r="D9227" t="s">
        <v>3063</v>
      </c>
      <c r="E9227" t="s">
        <v>3053</v>
      </c>
      <c r="F9227" t="s">
        <v>824</v>
      </c>
      <c r="G9227" t="s">
        <v>825</v>
      </c>
      <c r="H9227" t="s">
        <v>9233</v>
      </c>
      <c r="I9227">
        <v>16</v>
      </c>
      <c r="J9227">
        <v>16</v>
      </c>
      <c r="K9227">
        <v>0</v>
      </c>
      <c r="L9227">
        <v>0</v>
      </c>
      <c r="M9227">
        <v>0</v>
      </c>
      <c r="N9227">
        <v>0</v>
      </c>
      <c r="O9227">
        <v>0</v>
      </c>
    </row>
    <row r="9228" spans="1:15" x14ac:dyDescent="0.25">
      <c r="A9228" t="s">
        <v>1072</v>
      </c>
      <c r="B9228" t="s">
        <v>2907</v>
      </c>
      <c r="C9228" t="s">
        <v>927</v>
      </c>
      <c r="D9228" t="s">
        <v>3052</v>
      </c>
      <c r="E9228" t="s">
        <v>3053</v>
      </c>
      <c r="F9228" t="s">
        <v>824</v>
      </c>
      <c r="G9228" t="s">
        <v>825</v>
      </c>
      <c r="H9228" t="s">
        <v>9234</v>
      </c>
      <c r="I9228">
        <v>56</v>
      </c>
      <c r="J9228">
        <v>19</v>
      </c>
      <c r="K9228">
        <v>0</v>
      </c>
      <c r="L9228">
        <v>0</v>
      </c>
      <c r="M9228">
        <v>21</v>
      </c>
      <c r="N9228">
        <v>0</v>
      </c>
      <c r="O9228">
        <v>16</v>
      </c>
    </row>
    <row r="9229" spans="1:15" x14ac:dyDescent="0.25">
      <c r="A9229" t="s">
        <v>966</v>
      </c>
      <c r="B9229" t="s">
        <v>2684</v>
      </c>
      <c r="C9229" t="s">
        <v>927</v>
      </c>
      <c r="D9229" t="s">
        <v>3052</v>
      </c>
      <c r="E9229" t="s">
        <v>3053</v>
      </c>
      <c r="F9229" t="s">
        <v>824</v>
      </c>
      <c r="G9229" t="s">
        <v>825</v>
      </c>
      <c r="H9229" t="s">
        <v>9235</v>
      </c>
      <c r="I9229">
        <v>2</v>
      </c>
      <c r="J9229">
        <v>2</v>
      </c>
      <c r="K9229">
        <v>0</v>
      </c>
      <c r="L9229">
        <v>0</v>
      </c>
      <c r="M9229">
        <v>0</v>
      </c>
      <c r="N9229">
        <v>0</v>
      </c>
      <c r="O9229">
        <v>0</v>
      </c>
    </row>
    <row r="9230" spans="1:15" x14ac:dyDescent="0.25">
      <c r="A9230" t="s">
        <v>1686</v>
      </c>
      <c r="B9230" t="s">
        <v>2988</v>
      </c>
      <c r="C9230" t="s">
        <v>923</v>
      </c>
      <c r="D9230" t="s">
        <v>3063</v>
      </c>
      <c r="E9230" t="s">
        <v>3053</v>
      </c>
      <c r="F9230" t="s">
        <v>824</v>
      </c>
      <c r="G9230" t="s">
        <v>825</v>
      </c>
      <c r="H9230" t="s">
        <v>9236</v>
      </c>
      <c r="I9230">
        <v>86</v>
      </c>
      <c r="J9230">
        <v>0</v>
      </c>
      <c r="K9230">
        <v>0</v>
      </c>
      <c r="L9230">
        <v>86</v>
      </c>
      <c r="M9230">
        <v>0</v>
      </c>
      <c r="N9230">
        <v>0</v>
      </c>
      <c r="O9230">
        <v>0</v>
      </c>
    </row>
    <row r="9231" spans="1:15" x14ac:dyDescent="0.25">
      <c r="A9231" t="s">
        <v>968</v>
      </c>
      <c r="B9231" t="s">
        <v>2091</v>
      </c>
      <c r="C9231" t="s">
        <v>927</v>
      </c>
      <c r="D9231" t="s">
        <v>3052</v>
      </c>
      <c r="E9231" t="s">
        <v>3053</v>
      </c>
      <c r="F9231" t="s">
        <v>824</v>
      </c>
      <c r="G9231" t="s">
        <v>825</v>
      </c>
      <c r="H9231" t="s">
        <v>9237</v>
      </c>
      <c r="I9231">
        <v>17</v>
      </c>
      <c r="J9231">
        <v>8</v>
      </c>
      <c r="K9231">
        <v>0</v>
      </c>
      <c r="L9231">
        <v>0</v>
      </c>
      <c r="M9231">
        <v>0</v>
      </c>
      <c r="N9231">
        <v>0</v>
      </c>
      <c r="O9231">
        <v>9</v>
      </c>
    </row>
    <row r="9232" spans="1:15" x14ac:dyDescent="0.25">
      <c r="A9232" t="s">
        <v>1080</v>
      </c>
      <c r="B9232" t="s">
        <v>2030</v>
      </c>
      <c r="C9232" t="s">
        <v>923</v>
      </c>
      <c r="D9232" t="s">
        <v>3063</v>
      </c>
      <c r="E9232" t="s">
        <v>3053</v>
      </c>
      <c r="F9232" t="s">
        <v>824</v>
      </c>
      <c r="G9232" t="s">
        <v>825</v>
      </c>
      <c r="H9232" t="s">
        <v>9238</v>
      </c>
      <c r="I9232">
        <v>22</v>
      </c>
      <c r="J9232">
        <v>0</v>
      </c>
      <c r="K9232">
        <v>0</v>
      </c>
      <c r="L9232">
        <v>22</v>
      </c>
      <c r="M9232">
        <v>0</v>
      </c>
      <c r="N9232">
        <v>0</v>
      </c>
      <c r="O9232">
        <v>0</v>
      </c>
    </row>
    <row r="9233" spans="1:15" x14ac:dyDescent="0.25">
      <c r="A9233" t="s">
        <v>14399</v>
      </c>
      <c r="B9233" t="s">
        <v>2586</v>
      </c>
      <c r="C9233" t="s">
        <v>923</v>
      </c>
      <c r="D9233" t="s">
        <v>3063</v>
      </c>
      <c r="E9233" t="s">
        <v>3053</v>
      </c>
      <c r="F9233" t="s">
        <v>826</v>
      </c>
      <c r="G9233" t="s">
        <v>827</v>
      </c>
      <c r="H9233" t="s">
        <v>15410</v>
      </c>
      <c r="I9233">
        <v>18</v>
      </c>
      <c r="J9233">
        <v>0</v>
      </c>
      <c r="K9233">
        <v>0</v>
      </c>
      <c r="L9233">
        <v>0</v>
      </c>
      <c r="M9233">
        <v>18</v>
      </c>
      <c r="N9233">
        <v>0</v>
      </c>
      <c r="O9233">
        <v>0</v>
      </c>
    </row>
    <row r="9234" spans="1:15" x14ac:dyDescent="0.25">
      <c r="A9234" t="s">
        <v>926</v>
      </c>
      <c r="B9234" t="s">
        <v>2923</v>
      </c>
      <c r="C9234" t="s">
        <v>927</v>
      </c>
      <c r="D9234" t="s">
        <v>3052</v>
      </c>
      <c r="E9234" t="s">
        <v>3053</v>
      </c>
      <c r="F9234" t="s">
        <v>826</v>
      </c>
      <c r="G9234" t="s">
        <v>827</v>
      </c>
      <c r="H9234" t="s">
        <v>9239</v>
      </c>
      <c r="I9234">
        <v>3</v>
      </c>
      <c r="J9234">
        <v>0</v>
      </c>
      <c r="K9234">
        <v>0</v>
      </c>
      <c r="L9234">
        <v>0</v>
      </c>
      <c r="M9234">
        <v>0</v>
      </c>
      <c r="N9234">
        <v>0</v>
      </c>
      <c r="O9234">
        <v>3</v>
      </c>
    </row>
    <row r="9235" spans="1:15" x14ac:dyDescent="0.25">
      <c r="A9235" t="s">
        <v>929</v>
      </c>
      <c r="B9235" t="s">
        <v>2999</v>
      </c>
      <c r="C9235" t="s">
        <v>927</v>
      </c>
      <c r="D9235" t="s">
        <v>3052</v>
      </c>
      <c r="E9235" t="s">
        <v>3053</v>
      </c>
      <c r="F9235" t="s">
        <v>826</v>
      </c>
      <c r="G9235" t="s">
        <v>827</v>
      </c>
      <c r="H9235" t="s">
        <v>9240</v>
      </c>
      <c r="I9235">
        <v>8</v>
      </c>
      <c r="J9235">
        <v>0</v>
      </c>
      <c r="K9235">
        <v>0</v>
      </c>
      <c r="L9235">
        <v>0</v>
      </c>
      <c r="M9235">
        <v>8</v>
      </c>
      <c r="N9235">
        <v>0</v>
      </c>
      <c r="O9235">
        <v>0</v>
      </c>
    </row>
    <row r="9236" spans="1:15" x14ac:dyDescent="0.25">
      <c r="A9236" t="s">
        <v>931</v>
      </c>
      <c r="B9236" t="s">
        <v>1978</v>
      </c>
      <c r="C9236" t="s">
        <v>927</v>
      </c>
      <c r="D9236" t="s">
        <v>3052</v>
      </c>
      <c r="E9236" t="s">
        <v>3053</v>
      </c>
      <c r="F9236" t="s">
        <v>826</v>
      </c>
      <c r="G9236" t="s">
        <v>827</v>
      </c>
      <c r="H9236" t="s">
        <v>9241</v>
      </c>
      <c r="I9236">
        <v>168</v>
      </c>
      <c r="J9236">
        <v>125</v>
      </c>
      <c r="K9236">
        <v>0</v>
      </c>
      <c r="L9236">
        <v>0</v>
      </c>
      <c r="M9236">
        <v>0</v>
      </c>
      <c r="N9236">
        <v>0</v>
      </c>
      <c r="O9236">
        <v>43</v>
      </c>
    </row>
    <row r="9237" spans="1:15" x14ac:dyDescent="0.25">
      <c r="A9237" t="s">
        <v>9790</v>
      </c>
      <c r="B9237" t="s">
        <v>1977</v>
      </c>
      <c r="C9237" t="s">
        <v>923</v>
      </c>
      <c r="D9237" t="s">
        <v>3063</v>
      </c>
      <c r="E9237" t="s">
        <v>3053</v>
      </c>
      <c r="F9237" t="s">
        <v>826</v>
      </c>
      <c r="G9237" t="s">
        <v>827</v>
      </c>
      <c r="H9237" t="s">
        <v>12480</v>
      </c>
      <c r="I9237">
        <v>8</v>
      </c>
      <c r="J9237">
        <v>0</v>
      </c>
      <c r="K9237">
        <v>0</v>
      </c>
      <c r="L9237">
        <v>8</v>
      </c>
      <c r="M9237">
        <v>0</v>
      </c>
      <c r="N9237">
        <v>0</v>
      </c>
      <c r="O9237">
        <v>0</v>
      </c>
    </row>
    <row r="9238" spans="1:15" x14ac:dyDescent="0.25">
      <c r="A9238" t="s">
        <v>1416</v>
      </c>
      <c r="B9238" t="s">
        <v>2029</v>
      </c>
      <c r="C9238" t="s">
        <v>923</v>
      </c>
      <c r="D9238" t="s">
        <v>3063</v>
      </c>
      <c r="E9238" t="s">
        <v>3053</v>
      </c>
      <c r="F9238" t="s">
        <v>826</v>
      </c>
      <c r="G9238" t="s">
        <v>827</v>
      </c>
      <c r="H9238" t="s">
        <v>12481</v>
      </c>
      <c r="I9238">
        <v>11</v>
      </c>
      <c r="J9238">
        <v>0</v>
      </c>
      <c r="K9238">
        <v>0</v>
      </c>
      <c r="L9238">
        <v>11</v>
      </c>
      <c r="M9238">
        <v>0</v>
      </c>
      <c r="N9238">
        <v>0</v>
      </c>
      <c r="O9238">
        <v>0</v>
      </c>
    </row>
    <row r="9239" spans="1:15" x14ac:dyDescent="0.25">
      <c r="A9239" t="s">
        <v>1733</v>
      </c>
      <c r="B9239" t="s">
        <v>2289</v>
      </c>
      <c r="C9239" t="s">
        <v>923</v>
      </c>
      <c r="D9239" t="s">
        <v>3063</v>
      </c>
      <c r="E9239" t="s">
        <v>3053</v>
      </c>
      <c r="F9239" t="s">
        <v>826</v>
      </c>
      <c r="G9239" t="s">
        <v>827</v>
      </c>
      <c r="H9239" t="s">
        <v>9242</v>
      </c>
      <c r="I9239">
        <v>12</v>
      </c>
      <c r="J9239">
        <v>0</v>
      </c>
      <c r="K9239">
        <v>0</v>
      </c>
      <c r="L9239">
        <v>0</v>
      </c>
      <c r="M9239">
        <v>12</v>
      </c>
      <c r="N9239">
        <v>0</v>
      </c>
      <c r="O9239">
        <v>0</v>
      </c>
    </row>
    <row r="9240" spans="1:15" x14ac:dyDescent="0.25">
      <c r="A9240" t="s">
        <v>10638</v>
      </c>
      <c r="B9240" t="s">
        <v>2057</v>
      </c>
      <c r="C9240" t="s">
        <v>927</v>
      </c>
      <c r="D9240" t="s">
        <v>3052</v>
      </c>
      <c r="E9240" t="s">
        <v>3053</v>
      </c>
      <c r="F9240" t="s">
        <v>826</v>
      </c>
      <c r="G9240" t="s">
        <v>827</v>
      </c>
      <c r="H9240" t="s">
        <v>11458</v>
      </c>
      <c r="I9240">
        <v>2</v>
      </c>
      <c r="J9240">
        <v>0</v>
      </c>
      <c r="K9240">
        <v>0</v>
      </c>
      <c r="L9240">
        <v>2</v>
      </c>
      <c r="M9240">
        <v>0</v>
      </c>
      <c r="N9240">
        <v>0</v>
      </c>
      <c r="O9240">
        <v>0</v>
      </c>
    </row>
    <row r="9241" spans="1:15" x14ac:dyDescent="0.25">
      <c r="A9241" t="s">
        <v>1010</v>
      </c>
      <c r="B9241" t="s">
        <v>2639</v>
      </c>
      <c r="C9241" t="s">
        <v>927</v>
      </c>
      <c r="D9241" t="s">
        <v>3052</v>
      </c>
      <c r="E9241" t="s">
        <v>3053</v>
      </c>
      <c r="F9241" t="s">
        <v>826</v>
      </c>
      <c r="G9241" t="s">
        <v>827</v>
      </c>
      <c r="H9241" t="s">
        <v>9243</v>
      </c>
      <c r="I9241">
        <v>51</v>
      </c>
      <c r="J9241">
        <v>49</v>
      </c>
      <c r="K9241">
        <v>0</v>
      </c>
      <c r="L9241">
        <v>0</v>
      </c>
      <c r="M9241">
        <v>0</v>
      </c>
      <c r="N9241">
        <v>0</v>
      </c>
      <c r="O9241">
        <v>2</v>
      </c>
    </row>
    <row r="9242" spans="1:15" x14ac:dyDescent="0.25">
      <c r="A9242" t="s">
        <v>937</v>
      </c>
      <c r="B9242" t="s">
        <v>1962</v>
      </c>
      <c r="C9242" t="s">
        <v>927</v>
      </c>
      <c r="D9242" t="s">
        <v>3052</v>
      </c>
      <c r="E9242" t="s">
        <v>3053</v>
      </c>
      <c r="F9242" t="s">
        <v>826</v>
      </c>
      <c r="G9242" t="s">
        <v>827</v>
      </c>
      <c r="H9242" t="s">
        <v>9244</v>
      </c>
      <c r="I9242">
        <v>2</v>
      </c>
      <c r="J9242">
        <v>0</v>
      </c>
      <c r="K9242">
        <v>0</v>
      </c>
      <c r="L9242">
        <v>0</v>
      </c>
      <c r="M9242">
        <v>0</v>
      </c>
      <c r="N9242">
        <v>0</v>
      </c>
      <c r="O9242">
        <v>2</v>
      </c>
    </row>
    <row r="9243" spans="1:15" x14ac:dyDescent="0.25">
      <c r="A9243" t="s">
        <v>10667</v>
      </c>
      <c r="B9243" t="s">
        <v>10666</v>
      </c>
      <c r="C9243" t="s">
        <v>927</v>
      </c>
      <c r="D9243" t="s">
        <v>3052</v>
      </c>
      <c r="E9243" t="s">
        <v>3053</v>
      </c>
      <c r="F9243" t="s">
        <v>826</v>
      </c>
      <c r="G9243" t="s">
        <v>827</v>
      </c>
      <c r="H9243" t="s">
        <v>15411</v>
      </c>
      <c r="I9243">
        <v>9</v>
      </c>
      <c r="J9243">
        <v>9</v>
      </c>
      <c r="K9243">
        <v>0</v>
      </c>
      <c r="L9243">
        <v>0</v>
      </c>
      <c r="M9243">
        <v>0</v>
      </c>
      <c r="N9243">
        <v>0</v>
      </c>
      <c r="O9243">
        <v>0</v>
      </c>
    </row>
    <row r="9244" spans="1:15" x14ac:dyDescent="0.25">
      <c r="A9244" t="s">
        <v>1126</v>
      </c>
      <c r="B9244" t="s">
        <v>2130</v>
      </c>
      <c r="C9244" t="s">
        <v>927</v>
      </c>
      <c r="D9244" t="s">
        <v>3052</v>
      </c>
      <c r="E9244" t="s">
        <v>3053</v>
      </c>
      <c r="F9244" t="s">
        <v>826</v>
      </c>
      <c r="G9244" t="s">
        <v>827</v>
      </c>
      <c r="H9244" t="s">
        <v>12482</v>
      </c>
      <c r="I9244">
        <v>17</v>
      </c>
      <c r="J9244">
        <v>13</v>
      </c>
      <c r="K9244">
        <v>0</v>
      </c>
      <c r="L9244">
        <v>0</v>
      </c>
      <c r="M9244">
        <v>0</v>
      </c>
      <c r="N9244">
        <v>0</v>
      </c>
      <c r="O9244">
        <v>4</v>
      </c>
    </row>
    <row r="9245" spans="1:15" x14ac:dyDescent="0.25">
      <c r="A9245" t="s">
        <v>942</v>
      </c>
      <c r="B9245" t="s">
        <v>2113</v>
      </c>
      <c r="C9245" t="s">
        <v>927</v>
      </c>
      <c r="D9245" t="s">
        <v>3052</v>
      </c>
      <c r="E9245" t="s">
        <v>3053</v>
      </c>
      <c r="F9245" t="s">
        <v>826</v>
      </c>
      <c r="G9245" t="s">
        <v>827</v>
      </c>
      <c r="H9245" t="s">
        <v>9245</v>
      </c>
      <c r="I9245">
        <v>1867</v>
      </c>
      <c r="J9245">
        <v>1619</v>
      </c>
      <c r="K9245">
        <v>2</v>
      </c>
      <c r="L9245">
        <v>0</v>
      </c>
      <c r="M9245">
        <v>175</v>
      </c>
      <c r="N9245">
        <v>0</v>
      </c>
      <c r="O9245">
        <v>71</v>
      </c>
    </row>
    <row r="9246" spans="1:15" x14ac:dyDescent="0.25">
      <c r="A9246" t="s">
        <v>951</v>
      </c>
      <c r="B9246" t="s">
        <v>2680</v>
      </c>
      <c r="C9246" t="s">
        <v>927</v>
      </c>
      <c r="D9246" t="s">
        <v>3052</v>
      </c>
      <c r="E9246" t="s">
        <v>3053</v>
      </c>
      <c r="F9246" t="s">
        <v>826</v>
      </c>
      <c r="G9246" t="s">
        <v>827</v>
      </c>
      <c r="H9246" t="s">
        <v>15412</v>
      </c>
      <c r="I9246">
        <v>9</v>
      </c>
      <c r="J9246">
        <v>9</v>
      </c>
      <c r="K9246">
        <v>0</v>
      </c>
      <c r="L9246">
        <v>0</v>
      </c>
      <c r="M9246">
        <v>0</v>
      </c>
      <c r="N9246">
        <v>0</v>
      </c>
      <c r="O9246">
        <v>0</v>
      </c>
    </row>
    <row r="9247" spans="1:15" x14ac:dyDescent="0.25">
      <c r="A9247" t="s">
        <v>1048</v>
      </c>
      <c r="B9247" t="s">
        <v>2989</v>
      </c>
      <c r="C9247" t="s">
        <v>927</v>
      </c>
      <c r="D9247" t="s">
        <v>3052</v>
      </c>
      <c r="E9247" t="s">
        <v>3053</v>
      </c>
      <c r="F9247" t="s">
        <v>826</v>
      </c>
      <c r="G9247" t="s">
        <v>827</v>
      </c>
      <c r="H9247" t="s">
        <v>15413</v>
      </c>
      <c r="I9247">
        <v>2</v>
      </c>
      <c r="J9247">
        <v>0</v>
      </c>
      <c r="K9247">
        <v>0</v>
      </c>
      <c r="L9247">
        <v>0</v>
      </c>
      <c r="M9247">
        <v>0</v>
      </c>
      <c r="N9247">
        <v>0</v>
      </c>
      <c r="O9247">
        <v>2</v>
      </c>
    </row>
    <row r="9248" spans="1:15" x14ac:dyDescent="0.25">
      <c r="A9248" t="s">
        <v>1754</v>
      </c>
      <c r="B9248" t="s">
        <v>2902</v>
      </c>
      <c r="C9248" t="s">
        <v>927</v>
      </c>
      <c r="D9248" t="s">
        <v>3052</v>
      </c>
      <c r="E9248" t="s">
        <v>3053</v>
      </c>
      <c r="F9248" t="s">
        <v>826</v>
      </c>
      <c r="G9248" t="s">
        <v>827</v>
      </c>
      <c r="H9248" t="s">
        <v>9246</v>
      </c>
      <c r="I9248">
        <v>49</v>
      </c>
      <c r="J9248">
        <v>40</v>
      </c>
      <c r="K9248">
        <v>0</v>
      </c>
      <c r="L9248">
        <v>0</v>
      </c>
      <c r="M9248">
        <v>0</v>
      </c>
      <c r="N9248">
        <v>0</v>
      </c>
      <c r="O9248">
        <v>9</v>
      </c>
    </row>
    <row r="9249" spans="1:15" x14ac:dyDescent="0.25">
      <c r="A9249" t="s">
        <v>955</v>
      </c>
      <c r="B9249" t="s">
        <v>2660</v>
      </c>
      <c r="C9249" t="s">
        <v>927</v>
      </c>
      <c r="D9249" t="s">
        <v>3052</v>
      </c>
      <c r="E9249" t="s">
        <v>3053</v>
      </c>
      <c r="F9249" t="s">
        <v>826</v>
      </c>
      <c r="G9249" t="s">
        <v>827</v>
      </c>
      <c r="H9249" t="s">
        <v>9247</v>
      </c>
      <c r="I9249">
        <v>162</v>
      </c>
      <c r="J9249">
        <v>125</v>
      </c>
      <c r="K9249">
        <v>0</v>
      </c>
      <c r="L9249">
        <v>0</v>
      </c>
      <c r="M9249">
        <v>37</v>
      </c>
      <c r="N9249">
        <v>0</v>
      </c>
      <c r="O9249">
        <v>0</v>
      </c>
    </row>
    <row r="9250" spans="1:15" x14ac:dyDescent="0.25">
      <c r="A9250" t="s">
        <v>1765</v>
      </c>
      <c r="B9250" t="s">
        <v>2940</v>
      </c>
      <c r="C9250" t="s">
        <v>923</v>
      </c>
      <c r="D9250" t="s">
        <v>3063</v>
      </c>
      <c r="E9250" t="s">
        <v>3053</v>
      </c>
      <c r="F9250" t="s">
        <v>826</v>
      </c>
      <c r="G9250" t="s">
        <v>827</v>
      </c>
      <c r="H9250" t="s">
        <v>9248</v>
      </c>
      <c r="I9250">
        <v>12</v>
      </c>
      <c r="J9250">
        <v>12</v>
      </c>
      <c r="K9250">
        <v>0</v>
      </c>
      <c r="L9250">
        <v>0</v>
      </c>
      <c r="M9250">
        <v>0</v>
      </c>
      <c r="N9250">
        <v>0</v>
      </c>
      <c r="O9250">
        <v>0</v>
      </c>
    </row>
    <row r="9251" spans="1:15" x14ac:dyDescent="0.25">
      <c r="A9251" t="s">
        <v>960</v>
      </c>
      <c r="B9251" t="s">
        <v>2080</v>
      </c>
      <c r="C9251" t="s">
        <v>927</v>
      </c>
      <c r="D9251" t="s">
        <v>3052</v>
      </c>
      <c r="E9251" t="s">
        <v>3053</v>
      </c>
      <c r="F9251" t="s">
        <v>826</v>
      </c>
      <c r="G9251" t="s">
        <v>827</v>
      </c>
      <c r="H9251" t="s">
        <v>9249</v>
      </c>
      <c r="I9251">
        <v>48</v>
      </c>
      <c r="J9251">
        <v>44</v>
      </c>
      <c r="K9251">
        <v>0</v>
      </c>
      <c r="L9251">
        <v>0</v>
      </c>
      <c r="M9251">
        <v>0</v>
      </c>
      <c r="N9251">
        <v>0</v>
      </c>
      <c r="O9251">
        <v>4</v>
      </c>
    </row>
    <row r="9252" spans="1:15" x14ac:dyDescent="0.25">
      <c r="A9252" t="s">
        <v>1770</v>
      </c>
      <c r="B9252" t="s">
        <v>3030</v>
      </c>
      <c r="C9252" t="s">
        <v>927</v>
      </c>
      <c r="D9252" t="s">
        <v>3052</v>
      </c>
      <c r="E9252" t="s">
        <v>3053</v>
      </c>
      <c r="F9252" t="s">
        <v>826</v>
      </c>
      <c r="G9252" t="s">
        <v>827</v>
      </c>
      <c r="H9252" t="s">
        <v>15414</v>
      </c>
      <c r="I9252">
        <v>20</v>
      </c>
      <c r="J9252">
        <v>13</v>
      </c>
      <c r="K9252">
        <v>0</v>
      </c>
      <c r="L9252">
        <v>0</v>
      </c>
      <c r="M9252">
        <v>0</v>
      </c>
      <c r="N9252">
        <v>0</v>
      </c>
      <c r="O9252">
        <v>7</v>
      </c>
    </row>
    <row r="9253" spans="1:15" x14ac:dyDescent="0.25">
      <c r="A9253" t="s">
        <v>1774</v>
      </c>
      <c r="B9253" t="s">
        <v>2561</v>
      </c>
      <c r="C9253" t="s">
        <v>923</v>
      </c>
      <c r="D9253" t="s">
        <v>3063</v>
      </c>
      <c r="E9253" t="s">
        <v>3053</v>
      </c>
      <c r="F9253" t="s">
        <v>826</v>
      </c>
      <c r="G9253" t="s">
        <v>827</v>
      </c>
      <c r="H9253" t="s">
        <v>9250</v>
      </c>
      <c r="I9253">
        <v>7</v>
      </c>
      <c r="J9253">
        <v>0</v>
      </c>
      <c r="K9253">
        <v>0</v>
      </c>
      <c r="L9253">
        <v>0</v>
      </c>
      <c r="M9253">
        <v>7</v>
      </c>
      <c r="N9253">
        <v>0</v>
      </c>
      <c r="O9253">
        <v>0</v>
      </c>
    </row>
    <row r="9254" spans="1:15" x14ac:dyDescent="0.25">
      <c r="A9254" t="s">
        <v>1069</v>
      </c>
      <c r="B9254" t="s">
        <v>2001</v>
      </c>
      <c r="C9254" t="s">
        <v>927</v>
      </c>
      <c r="D9254" t="s">
        <v>3052</v>
      </c>
      <c r="E9254" t="s">
        <v>3053</v>
      </c>
      <c r="F9254" t="s">
        <v>826</v>
      </c>
      <c r="G9254" t="s">
        <v>827</v>
      </c>
      <c r="H9254" t="s">
        <v>9251</v>
      </c>
      <c r="I9254">
        <v>69</v>
      </c>
      <c r="J9254">
        <v>0</v>
      </c>
      <c r="K9254">
        <v>0</v>
      </c>
      <c r="L9254">
        <v>19</v>
      </c>
      <c r="M9254">
        <v>50</v>
      </c>
      <c r="N9254">
        <v>0</v>
      </c>
      <c r="O9254">
        <v>0</v>
      </c>
    </row>
    <row r="9255" spans="1:15" x14ac:dyDescent="0.25">
      <c r="A9255" t="s">
        <v>1080</v>
      </c>
      <c r="B9255" t="s">
        <v>2030</v>
      </c>
      <c r="C9255" t="s">
        <v>923</v>
      </c>
      <c r="D9255" t="s">
        <v>3063</v>
      </c>
      <c r="E9255" t="s">
        <v>3053</v>
      </c>
      <c r="F9255" t="s">
        <v>826</v>
      </c>
      <c r="G9255" t="s">
        <v>827</v>
      </c>
      <c r="H9255" t="s">
        <v>12483</v>
      </c>
      <c r="I9255">
        <v>52</v>
      </c>
      <c r="J9255">
        <v>0</v>
      </c>
      <c r="K9255">
        <v>0</v>
      </c>
      <c r="L9255">
        <v>52</v>
      </c>
      <c r="M9255">
        <v>0</v>
      </c>
      <c r="N9255">
        <v>0</v>
      </c>
      <c r="O9255">
        <v>0</v>
      </c>
    </row>
    <row r="9256" spans="1:15" x14ac:dyDescent="0.25">
      <c r="A9256" t="s">
        <v>1793</v>
      </c>
      <c r="B9256" t="s">
        <v>2075</v>
      </c>
      <c r="C9256" t="s">
        <v>927</v>
      </c>
      <c r="D9256" t="s">
        <v>3052</v>
      </c>
      <c r="E9256" t="s">
        <v>3053</v>
      </c>
      <c r="F9256" t="s">
        <v>826</v>
      </c>
      <c r="G9256" t="s">
        <v>827</v>
      </c>
      <c r="H9256" t="s">
        <v>9252</v>
      </c>
      <c r="I9256">
        <v>144</v>
      </c>
      <c r="J9256">
        <v>115</v>
      </c>
      <c r="K9256">
        <v>0</v>
      </c>
      <c r="L9256">
        <v>0</v>
      </c>
      <c r="M9256">
        <v>0</v>
      </c>
      <c r="N9256">
        <v>0</v>
      </c>
      <c r="O9256">
        <v>29</v>
      </c>
    </row>
    <row r="9257" spans="1:15" x14ac:dyDescent="0.25">
      <c r="A9257" t="s">
        <v>11715</v>
      </c>
      <c r="B9257" t="s">
        <v>2784</v>
      </c>
      <c r="C9257" t="s">
        <v>927</v>
      </c>
      <c r="D9257" t="s">
        <v>3052</v>
      </c>
      <c r="E9257" t="s">
        <v>3053</v>
      </c>
      <c r="F9257" t="s">
        <v>826</v>
      </c>
      <c r="G9257" t="s">
        <v>827</v>
      </c>
      <c r="H9257" t="s">
        <v>12484</v>
      </c>
      <c r="I9257">
        <v>104</v>
      </c>
      <c r="J9257">
        <v>99</v>
      </c>
      <c r="K9257">
        <v>0</v>
      </c>
      <c r="L9257">
        <v>0</v>
      </c>
      <c r="M9257">
        <v>0</v>
      </c>
      <c r="N9257">
        <v>0</v>
      </c>
      <c r="O9257">
        <v>5</v>
      </c>
    </row>
    <row r="9258" spans="1:15" x14ac:dyDescent="0.25">
      <c r="A9258" t="s">
        <v>929</v>
      </c>
      <c r="B9258" t="s">
        <v>2999</v>
      </c>
      <c r="C9258" t="s">
        <v>927</v>
      </c>
      <c r="D9258" t="s">
        <v>3052</v>
      </c>
      <c r="E9258" t="s">
        <v>3053</v>
      </c>
      <c r="F9258" t="s">
        <v>828</v>
      </c>
      <c r="G9258" t="s">
        <v>829</v>
      </c>
      <c r="H9258" t="s">
        <v>9253</v>
      </c>
      <c r="I9258">
        <v>80</v>
      </c>
      <c r="J9258">
        <v>0</v>
      </c>
      <c r="K9258">
        <v>0</v>
      </c>
      <c r="L9258">
        <v>0</v>
      </c>
      <c r="M9258">
        <v>70</v>
      </c>
      <c r="N9258">
        <v>0</v>
      </c>
      <c r="O9258">
        <v>10</v>
      </c>
    </row>
    <row r="9259" spans="1:15" x14ac:dyDescent="0.25">
      <c r="A9259" t="s">
        <v>1457</v>
      </c>
      <c r="B9259" t="s">
        <v>2003</v>
      </c>
      <c r="C9259" t="s">
        <v>923</v>
      </c>
      <c r="D9259" t="s">
        <v>3063</v>
      </c>
      <c r="E9259" t="s">
        <v>3053</v>
      </c>
      <c r="F9259" t="s">
        <v>828</v>
      </c>
      <c r="G9259" t="s">
        <v>829</v>
      </c>
      <c r="H9259" t="s">
        <v>9254</v>
      </c>
      <c r="I9259">
        <v>8</v>
      </c>
      <c r="J9259">
        <v>0</v>
      </c>
      <c r="K9259">
        <v>0</v>
      </c>
      <c r="L9259">
        <v>8</v>
      </c>
      <c r="M9259">
        <v>0</v>
      </c>
      <c r="N9259">
        <v>0</v>
      </c>
      <c r="O9259">
        <v>0</v>
      </c>
    </row>
    <row r="9260" spans="1:15" x14ac:dyDescent="0.25">
      <c r="A9260" t="s">
        <v>1458</v>
      </c>
      <c r="B9260" t="s">
        <v>2024</v>
      </c>
      <c r="C9260" t="s">
        <v>923</v>
      </c>
      <c r="D9260" t="s">
        <v>3063</v>
      </c>
      <c r="E9260" t="s">
        <v>3053</v>
      </c>
      <c r="F9260" t="s">
        <v>828</v>
      </c>
      <c r="G9260" t="s">
        <v>829</v>
      </c>
      <c r="H9260" t="s">
        <v>11459</v>
      </c>
      <c r="I9260">
        <v>4</v>
      </c>
      <c r="J9260">
        <v>4</v>
      </c>
      <c r="K9260">
        <v>0</v>
      </c>
      <c r="L9260">
        <v>0</v>
      </c>
      <c r="M9260">
        <v>0</v>
      </c>
      <c r="N9260">
        <v>0</v>
      </c>
      <c r="O9260">
        <v>0</v>
      </c>
    </row>
    <row r="9261" spans="1:15" x14ac:dyDescent="0.25">
      <c r="A9261" t="s">
        <v>1461</v>
      </c>
      <c r="B9261" t="s">
        <v>1927</v>
      </c>
      <c r="C9261" t="s">
        <v>927</v>
      </c>
      <c r="D9261" t="s">
        <v>3052</v>
      </c>
      <c r="E9261" t="s">
        <v>3053</v>
      </c>
      <c r="F9261" t="s">
        <v>828</v>
      </c>
      <c r="G9261" t="s">
        <v>829</v>
      </c>
      <c r="H9261" t="s">
        <v>9255</v>
      </c>
      <c r="I9261">
        <v>44</v>
      </c>
      <c r="J9261">
        <v>31</v>
      </c>
      <c r="K9261">
        <v>0</v>
      </c>
      <c r="L9261">
        <v>0</v>
      </c>
      <c r="M9261">
        <v>0</v>
      </c>
      <c r="N9261">
        <v>0</v>
      </c>
      <c r="O9261">
        <v>13</v>
      </c>
    </row>
    <row r="9262" spans="1:15" x14ac:dyDescent="0.25">
      <c r="A9262" t="s">
        <v>1463</v>
      </c>
      <c r="B9262" t="s">
        <v>2846</v>
      </c>
      <c r="C9262" t="s">
        <v>927</v>
      </c>
      <c r="D9262" t="s">
        <v>3052</v>
      </c>
      <c r="E9262" t="s">
        <v>3053</v>
      </c>
      <c r="F9262" t="s">
        <v>828</v>
      </c>
      <c r="G9262" t="s">
        <v>829</v>
      </c>
      <c r="H9262" t="s">
        <v>12485</v>
      </c>
      <c r="I9262">
        <v>24</v>
      </c>
      <c r="J9262">
        <v>0</v>
      </c>
      <c r="K9262">
        <v>0</v>
      </c>
      <c r="L9262">
        <v>24</v>
      </c>
      <c r="M9262">
        <v>0</v>
      </c>
      <c r="N9262">
        <v>0</v>
      </c>
      <c r="O9262">
        <v>0</v>
      </c>
    </row>
    <row r="9263" spans="1:15" x14ac:dyDescent="0.25">
      <c r="A9263" t="s">
        <v>985</v>
      </c>
      <c r="B9263" t="s">
        <v>1964</v>
      </c>
      <c r="C9263" t="s">
        <v>923</v>
      </c>
      <c r="D9263" t="s">
        <v>3063</v>
      </c>
      <c r="E9263" t="s">
        <v>3053</v>
      </c>
      <c r="F9263" t="s">
        <v>828</v>
      </c>
      <c r="G9263" t="s">
        <v>829</v>
      </c>
      <c r="H9263" t="s">
        <v>9256</v>
      </c>
      <c r="I9263">
        <v>18</v>
      </c>
      <c r="J9263">
        <v>0</v>
      </c>
      <c r="K9263">
        <v>0</v>
      </c>
      <c r="L9263">
        <v>18</v>
      </c>
      <c r="M9263">
        <v>0</v>
      </c>
      <c r="N9263">
        <v>0</v>
      </c>
      <c r="O9263">
        <v>0</v>
      </c>
    </row>
    <row r="9264" spans="1:15" x14ac:dyDescent="0.25">
      <c r="A9264" t="s">
        <v>1473</v>
      </c>
      <c r="B9264" t="s">
        <v>2877</v>
      </c>
      <c r="C9264" t="s">
        <v>927</v>
      </c>
      <c r="D9264" t="s">
        <v>3052</v>
      </c>
      <c r="E9264" t="s">
        <v>3053</v>
      </c>
      <c r="F9264" t="s">
        <v>828</v>
      </c>
      <c r="G9264" t="s">
        <v>829</v>
      </c>
      <c r="H9264" t="s">
        <v>9257</v>
      </c>
      <c r="I9264">
        <v>6</v>
      </c>
      <c r="J9264">
        <v>6</v>
      </c>
      <c r="K9264">
        <v>0</v>
      </c>
      <c r="L9264">
        <v>0</v>
      </c>
      <c r="M9264">
        <v>0</v>
      </c>
      <c r="N9264">
        <v>0</v>
      </c>
      <c r="O9264">
        <v>0</v>
      </c>
    </row>
    <row r="9265" spans="1:15" x14ac:dyDescent="0.25">
      <c r="A9265" t="s">
        <v>935</v>
      </c>
      <c r="B9265" t="s">
        <v>1960</v>
      </c>
      <c r="C9265" t="s">
        <v>923</v>
      </c>
      <c r="D9265" t="s">
        <v>3063</v>
      </c>
      <c r="E9265" t="s">
        <v>3053</v>
      </c>
      <c r="F9265" t="s">
        <v>828</v>
      </c>
      <c r="G9265" t="s">
        <v>829</v>
      </c>
      <c r="H9265" t="s">
        <v>9258</v>
      </c>
      <c r="I9265">
        <v>45</v>
      </c>
      <c r="J9265">
        <v>0</v>
      </c>
      <c r="K9265">
        <v>0</v>
      </c>
      <c r="L9265">
        <v>45</v>
      </c>
      <c r="M9265">
        <v>0</v>
      </c>
      <c r="N9265">
        <v>0</v>
      </c>
      <c r="O9265">
        <v>0</v>
      </c>
    </row>
    <row r="9266" spans="1:15" x14ac:dyDescent="0.25">
      <c r="A9266" t="s">
        <v>1006</v>
      </c>
      <c r="B9266" t="s">
        <v>2724</v>
      </c>
      <c r="C9266" t="s">
        <v>927</v>
      </c>
      <c r="D9266" t="s">
        <v>3052</v>
      </c>
      <c r="E9266" t="s">
        <v>3053</v>
      </c>
      <c r="F9266" t="s">
        <v>828</v>
      </c>
      <c r="G9266" t="s">
        <v>829</v>
      </c>
      <c r="H9266" t="s">
        <v>9259</v>
      </c>
      <c r="I9266">
        <v>2</v>
      </c>
      <c r="J9266">
        <v>2</v>
      </c>
      <c r="K9266">
        <v>0</v>
      </c>
      <c r="L9266">
        <v>0</v>
      </c>
      <c r="M9266">
        <v>0</v>
      </c>
      <c r="N9266">
        <v>0</v>
      </c>
      <c r="O9266">
        <v>0</v>
      </c>
    </row>
    <row r="9267" spans="1:15" x14ac:dyDescent="0.25">
      <c r="A9267" t="s">
        <v>1009</v>
      </c>
      <c r="B9267" t="s">
        <v>1958</v>
      </c>
      <c r="C9267" t="s">
        <v>923</v>
      </c>
      <c r="D9267" t="s">
        <v>3063</v>
      </c>
      <c r="E9267" t="s">
        <v>3053</v>
      </c>
      <c r="F9267" t="s">
        <v>828</v>
      </c>
      <c r="G9267" t="s">
        <v>829</v>
      </c>
      <c r="H9267" t="s">
        <v>9260</v>
      </c>
      <c r="I9267">
        <v>9</v>
      </c>
      <c r="J9267">
        <v>0</v>
      </c>
      <c r="K9267">
        <v>0</v>
      </c>
      <c r="L9267">
        <v>9</v>
      </c>
      <c r="M9267">
        <v>0</v>
      </c>
      <c r="N9267">
        <v>0</v>
      </c>
      <c r="O9267">
        <v>0</v>
      </c>
    </row>
    <row r="9268" spans="1:15" x14ac:dyDescent="0.25">
      <c r="A9268" t="s">
        <v>937</v>
      </c>
      <c r="B9268" t="s">
        <v>1962</v>
      </c>
      <c r="C9268" t="s">
        <v>927</v>
      </c>
      <c r="D9268" t="s">
        <v>3052</v>
      </c>
      <c r="E9268" t="s">
        <v>3053</v>
      </c>
      <c r="F9268" t="s">
        <v>828</v>
      </c>
      <c r="G9268" t="s">
        <v>829</v>
      </c>
      <c r="H9268" t="s">
        <v>9261</v>
      </c>
      <c r="I9268">
        <v>127</v>
      </c>
      <c r="J9268">
        <v>0</v>
      </c>
      <c r="K9268">
        <v>0</v>
      </c>
      <c r="L9268">
        <v>0</v>
      </c>
      <c r="M9268">
        <v>0</v>
      </c>
      <c r="N9268">
        <v>0</v>
      </c>
      <c r="O9268">
        <v>127</v>
      </c>
    </row>
    <row r="9269" spans="1:15" x14ac:dyDescent="0.25">
      <c r="A9269" t="s">
        <v>940</v>
      </c>
      <c r="B9269" t="s">
        <v>2647</v>
      </c>
      <c r="C9269" t="s">
        <v>927</v>
      </c>
      <c r="D9269" t="s">
        <v>3052</v>
      </c>
      <c r="E9269" t="s">
        <v>3053</v>
      </c>
      <c r="F9269" t="s">
        <v>828</v>
      </c>
      <c r="G9269" t="s">
        <v>829</v>
      </c>
      <c r="H9269" t="s">
        <v>9262</v>
      </c>
      <c r="I9269">
        <v>110</v>
      </c>
      <c r="J9269">
        <v>0</v>
      </c>
      <c r="K9269">
        <v>0</v>
      </c>
      <c r="L9269">
        <v>0</v>
      </c>
      <c r="M9269">
        <v>110</v>
      </c>
      <c r="N9269">
        <v>0</v>
      </c>
      <c r="O9269">
        <v>0</v>
      </c>
    </row>
    <row r="9270" spans="1:15" x14ac:dyDescent="0.25">
      <c r="A9270" t="s">
        <v>1495</v>
      </c>
      <c r="B9270" t="s">
        <v>2648</v>
      </c>
      <c r="C9270" t="s">
        <v>927</v>
      </c>
      <c r="D9270" t="s">
        <v>3052</v>
      </c>
      <c r="E9270" t="s">
        <v>3053</v>
      </c>
      <c r="F9270" t="s">
        <v>828</v>
      </c>
      <c r="G9270" t="s">
        <v>829</v>
      </c>
      <c r="H9270" t="s">
        <v>9263</v>
      </c>
      <c r="I9270">
        <v>5</v>
      </c>
      <c r="J9270">
        <v>0</v>
      </c>
      <c r="K9270">
        <v>0</v>
      </c>
      <c r="L9270">
        <v>5</v>
      </c>
      <c r="M9270">
        <v>0</v>
      </c>
      <c r="N9270">
        <v>0</v>
      </c>
      <c r="O9270">
        <v>0</v>
      </c>
    </row>
    <row r="9271" spans="1:15" x14ac:dyDescent="0.25">
      <c r="A9271" t="s">
        <v>9819</v>
      </c>
      <c r="B9271" t="s">
        <v>2916</v>
      </c>
      <c r="C9271" t="s">
        <v>927</v>
      </c>
      <c r="D9271" t="s">
        <v>3052</v>
      </c>
      <c r="E9271" t="s">
        <v>3053</v>
      </c>
      <c r="F9271" t="s">
        <v>828</v>
      </c>
      <c r="G9271" t="s">
        <v>829</v>
      </c>
      <c r="H9271" t="s">
        <v>10151</v>
      </c>
      <c r="I9271">
        <v>166</v>
      </c>
      <c r="J9271">
        <v>159</v>
      </c>
      <c r="K9271">
        <v>0</v>
      </c>
      <c r="L9271">
        <v>7</v>
      </c>
      <c r="M9271">
        <v>0</v>
      </c>
      <c r="N9271">
        <v>0</v>
      </c>
      <c r="O9271">
        <v>0</v>
      </c>
    </row>
    <row r="9272" spans="1:15" x14ac:dyDescent="0.25">
      <c r="A9272" t="s">
        <v>1508</v>
      </c>
      <c r="B9272" t="s">
        <v>3024</v>
      </c>
      <c r="C9272" t="s">
        <v>927</v>
      </c>
      <c r="D9272" t="s">
        <v>3052</v>
      </c>
      <c r="E9272" t="s">
        <v>3053</v>
      </c>
      <c r="F9272" t="s">
        <v>828</v>
      </c>
      <c r="G9272" t="s">
        <v>829</v>
      </c>
      <c r="H9272" t="s">
        <v>15415</v>
      </c>
      <c r="I9272">
        <v>6</v>
      </c>
      <c r="J9272">
        <v>6</v>
      </c>
      <c r="K9272">
        <v>0</v>
      </c>
      <c r="L9272">
        <v>0</v>
      </c>
      <c r="M9272">
        <v>0</v>
      </c>
      <c r="N9272">
        <v>0</v>
      </c>
      <c r="O9272">
        <v>0</v>
      </c>
    </row>
    <row r="9273" spans="1:15" x14ac:dyDescent="0.25">
      <c r="A9273" t="s">
        <v>1025</v>
      </c>
      <c r="B9273" t="s">
        <v>2893</v>
      </c>
      <c r="C9273" t="s">
        <v>927</v>
      </c>
      <c r="D9273" t="s">
        <v>3052</v>
      </c>
      <c r="E9273" t="s">
        <v>3053</v>
      </c>
      <c r="F9273" t="s">
        <v>828</v>
      </c>
      <c r="G9273" t="s">
        <v>829</v>
      </c>
      <c r="H9273" t="s">
        <v>12486</v>
      </c>
      <c r="I9273">
        <v>56</v>
      </c>
      <c r="J9273">
        <v>24</v>
      </c>
      <c r="K9273">
        <v>0</v>
      </c>
      <c r="L9273">
        <v>0</v>
      </c>
      <c r="M9273">
        <v>0</v>
      </c>
      <c r="N9273">
        <v>0</v>
      </c>
      <c r="O9273">
        <v>32</v>
      </c>
    </row>
    <row r="9274" spans="1:15" x14ac:dyDescent="0.25">
      <c r="A9274" t="s">
        <v>1031</v>
      </c>
      <c r="B9274" t="s">
        <v>2779</v>
      </c>
      <c r="C9274" t="s">
        <v>927</v>
      </c>
      <c r="D9274" t="s">
        <v>3052</v>
      </c>
      <c r="E9274" t="s">
        <v>3053</v>
      </c>
      <c r="F9274" t="s">
        <v>828</v>
      </c>
      <c r="G9274" t="s">
        <v>829</v>
      </c>
      <c r="H9274" t="s">
        <v>9264</v>
      </c>
      <c r="I9274">
        <v>94</v>
      </c>
      <c r="J9274">
        <v>85</v>
      </c>
      <c r="K9274">
        <v>0</v>
      </c>
      <c r="L9274">
        <v>9</v>
      </c>
      <c r="M9274">
        <v>0</v>
      </c>
      <c r="N9274">
        <v>0</v>
      </c>
      <c r="O9274">
        <v>0</v>
      </c>
    </row>
    <row r="9275" spans="1:15" x14ac:dyDescent="0.25">
      <c r="A9275" t="s">
        <v>1302</v>
      </c>
      <c r="B9275" t="s">
        <v>1961</v>
      </c>
      <c r="C9275" t="s">
        <v>923</v>
      </c>
      <c r="D9275" t="s">
        <v>3063</v>
      </c>
      <c r="E9275" t="s">
        <v>3053</v>
      </c>
      <c r="F9275" t="s">
        <v>828</v>
      </c>
      <c r="G9275" t="s">
        <v>829</v>
      </c>
      <c r="H9275" t="s">
        <v>11460</v>
      </c>
      <c r="I9275">
        <v>3</v>
      </c>
      <c r="J9275">
        <v>0</v>
      </c>
      <c r="K9275">
        <v>0</v>
      </c>
      <c r="L9275">
        <v>3</v>
      </c>
      <c r="M9275">
        <v>0</v>
      </c>
      <c r="N9275">
        <v>0</v>
      </c>
      <c r="O9275">
        <v>0</v>
      </c>
    </row>
    <row r="9276" spans="1:15" x14ac:dyDescent="0.25">
      <c r="A9276" t="s">
        <v>1520</v>
      </c>
      <c r="B9276" t="s">
        <v>2058</v>
      </c>
      <c r="C9276" t="s">
        <v>927</v>
      </c>
      <c r="D9276" t="s">
        <v>3052</v>
      </c>
      <c r="E9276" t="s">
        <v>3053</v>
      </c>
      <c r="F9276" t="s">
        <v>828</v>
      </c>
      <c r="G9276" t="s">
        <v>829</v>
      </c>
      <c r="H9276" t="s">
        <v>9265</v>
      </c>
      <c r="I9276">
        <v>130</v>
      </c>
      <c r="J9276">
        <v>92</v>
      </c>
      <c r="K9276">
        <v>0</v>
      </c>
      <c r="L9276">
        <v>0</v>
      </c>
      <c r="M9276">
        <v>0</v>
      </c>
      <c r="N9276">
        <v>0</v>
      </c>
      <c r="O9276">
        <v>38</v>
      </c>
    </row>
    <row r="9277" spans="1:15" x14ac:dyDescent="0.25">
      <c r="A9277" t="s">
        <v>1521</v>
      </c>
      <c r="B9277" t="s">
        <v>2920</v>
      </c>
      <c r="C9277" t="s">
        <v>927</v>
      </c>
      <c r="D9277" t="s">
        <v>3052</v>
      </c>
      <c r="E9277" t="s">
        <v>3053</v>
      </c>
      <c r="F9277" t="s">
        <v>828</v>
      </c>
      <c r="G9277" t="s">
        <v>829</v>
      </c>
      <c r="H9277" t="s">
        <v>9266</v>
      </c>
      <c r="I9277">
        <v>116</v>
      </c>
      <c r="J9277">
        <v>31</v>
      </c>
      <c r="K9277">
        <v>0</v>
      </c>
      <c r="L9277">
        <v>28</v>
      </c>
      <c r="M9277">
        <v>0</v>
      </c>
      <c r="N9277">
        <v>0</v>
      </c>
      <c r="O9277">
        <v>57</v>
      </c>
    </row>
    <row r="9278" spans="1:15" x14ac:dyDescent="0.25">
      <c r="A9278" t="s">
        <v>1046</v>
      </c>
      <c r="B9278" t="s">
        <v>2027</v>
      </c>
      <c r="C9278" t="s">
        <v>923</v>
      </c>
      <c r="D9278" t="s">
        <v>3063</v>
      </c>
      <c r="E9278" t="s">
        <v>3053</v>
      </c>
      <c r="F9278" t="s">
        <v>828</v>
      </c>
      <c r="G9278" t="s">
        <v>829</v>
      </c>
      <c r="H9278" t="s">
        <v>9267</v>
      </c>
      <c r="I9278">
        <v>2</v>
      </c>
      <c r="J9278">
        <v>0</v>
      </c>
      <c r="K9278">
        <v>0</v>
      </c>
      <c r="L9278">
        <v>2</v>
      </c>
      <c r="M9278">
        <v>0</v>
      </c>
      <c r="N9278">
        <v>0</v>
      </c>
      <c r="O9278">
        <v>0</v>
      </c>
    </row>
    <row r="9279" spans="1:15" x14ac:dyDescent="0.25">
      <c r="A9279" t="s">
        <v>951</v>
      </c>
      <c r="B9279" t="s">
        <v>2680</v>
      </c>
      <c r="C9279" t="s">
        <v>927</v>
      </c>
      <c r="D9279" t="s">
        <v>3052</v>
      </c>
      <c r="E9279" t="s">
        <v>3053</v>
      </c>
      <c r="F9279" t="s">
        <v>828</v>
      </c>
      <c r="G9279" t="s">
        <v>829</v>
      </c>
      <c r="H9279" t="s">
        <v>9268</v>
      </c>
      <c r="I9279">
        <v>16</v>
      </c>
      <c r="J9279">
        <v>16</v>
      </c>
      <c r="K9279">
        <v>0</v>
      </c>
      <c r="L9279">
        <v>0</v>
      </c>
      <c r="M9279">
        <v>0</v>
      </c>
      <c r="N9279">
        <v>0</v>
      </c>
      <c r="O9279">
        <v>0</v>
      </c>
    </row>
    <row r="9280" spans="1:15" x14ac:dyDescent="0.25">
      <c r="A9280" t="s">
        <v>1525</v>
      </c>
      <c r="B9280" t="s">
        <v>2908</v>
      </c>
      <c r="C9280" t="s">
        <v>927</v>
      </c>
      <c r="D9280" t="s">
        <v>3052</v>
      </c>
      <c r="E9280" t="s">
        <v>3053</v>
      </c>
      <c r="F9280" t="s">
        <v>828</v>
      </c>
      <c r="G9280" t="s">
        <v>829</v>
      </c>
      <c r="H9280" t="s">
        <v>9269</v>
      </c>
      <c r="I9280">
        <v>26</v>
      </c>
      <c r="J9280">
        <v>26</v>
      </c>
      <c r="K9280">
        <v>0</v>
      </c>
      <c r="L9280">
        <v>0</v>
      </c>
      <c r="M9280">
        <v>0</v>
      </c>
      <c r="N9280">
        <v>0</v>
      </c>
      <c r="O9280">
        <v>0</v>
      </c>
    </row>
    <row r="9281" spans="1:15" x14ac:dyDescent="0.25">
      <c r="A9281" t="s">
        <v>1051</v>
      </c>
      <c r="B9281" t="s">
        <v>2995</v>
      </c>
      <c r="C9281" t="s">
        <v>927</v>
      </c>
      <c r="D9281" t="s">
        <v>3052</v>
      </c>
      <c r="E9281" t="s">
        <v>3053</v>
      </c>
      <c r="F9281" t="s">
        <v>828</v>
      </c>
      <c r="G9281" t="s">
        <v>829</v>
      </c>
      <c r="H9281" t="s">
        <v>9270</v>
      </c>
      <c r="I9281">
        <v>122</v>
      </c>
      <c r="J9281">
        <v>68</v>
      </c>
      <c r="K9281">
        <v>0</v>
      </c>
      <c r="L9281">
        <v>40</v>
      </c>
      <c r="M9281">
        <v>0</v>
      </c>
      <c r="N9281">
        <v>2</v>
      </c>
      <c r="O9281">
        <v>14</v>
      </c>
    </row>
    <row r="9282" spans="1:15" x14ac:dyDescent="0.25">
      <c r="A9282" t="s">
        <v>1529</v>
      </c>
      <c r="B9282" t="s">
        <v>1954</v>
      </c>
      <c r="C9282" t="s">
        <v>927</v>
      </c>
      <c r="D9282" t="s">
        <v>3052</v>
      </c>
      <c r="E9282" t="s">
        <v>3053</v>
      </c>
      <c r="F9282" t="s">
        <v>828</v>
      </c>
      <c r="G9282" t="s">
        <v>829</v>
      </c>
      <c r="H9282" t="s">
        <v>9271</v>
      </c>
      <c r="I9282">
        <v>208</v>
      </c>
      <c r="J9282">
        <v>135</v>
      </c>
      <c r="K9282">
        <v>0</v>
      </c>
      <c r="L9282">
        <v>0</v>
      </c>
      <c r="M9282">
        <v>0</v>
      </c>
      <c r="N9282">
        <v>0</v>
      </c>
      <c r="O9282">
        <v>73</v>
      </c>
    </row>
    <row r="9283" spans="1:15" x14ac:dyDescent="0.25">
      <c r="A9283" t="s">
        <v>11720</v>
      </c>
      <c r="B9283" t="s">
        <v>10718</v>
      </c>
      <c r="C9283" t="s">
        <v>927</v>
      </c>
      <c r="D9283" t="s">
        <v>3052</v>
      </c>
      <c r="E9283" t="s">
        <v>3053</v>
      </c>
      <c r="F9283" t="s">
        <v>828</v>
      </c>
      <c r="G9283" t="s">
        <v>829</v>
      </c>
      <c r="H9283" t="s">
        <v>15416</v>
      </c>
      <c r="I9283">
        <v>40</v>
      </c>
      <c r="J9283">
        <v>3</v>
      </c>
      <c r="K9283">
        <v>0</v>
      </c>
      <c r="L9283">
        <v>0</v>
      </c>
      <c r="M9283">
        <v>0</v>
      </c>
      <c r="N9283">
        <v>0</v>
      </c>
      <c r="O9283">
        <v>37</v>
      </c>
    </row>
    <row r="9284" spans="1:15" x14ac:dyDescent="0.25">
      <c r="A9284" t="s">
        <v>9788</v>
      </c>
      <c r="B9284" t="s">
        <v>9871</v>
      </c>
      <c r="C9284" t="s">
        <v>927</v>
      </c>
      <c r="D9284" t="s">
        <v>3052</v>
      </c>
      <c r="E9284" t="s">
        <v>3053</v>
      </c>
      <c r="F9284" t="s">
        <v>828</v>
      </c>
      <c r="G9284" t="s">
        <v>829</v>
      </c>
      <c r="H9284" t="s">
        <v>11461</v>
      </c>
      <c r="I9284">
        <v>32</v>
      </c>
      <c r="J9284">
        <v>32</v>
      </c>
      <c r="K9284">
        <v>0</v>
      </c>
      <c r="L9284">
        <v>0</v>
      </c>
      <c r="M9284">
        <v>0</v>
      </c>
      <c r="N9284">
        <v>0</v>
      </c>
      <c r="O9284">
        <v>0</v>
      </c>
    </row>
    <row r="9285" spans="1:15" x14ac:dyDescent="0.25">
      <c r="A9285" t="s">
        <v>1056</v>
      </c>
      <c r="B9285" t="s">
        <v>2966</v>
      </c>
      <c r="C9285" t="s">
        <v>927</v>
      </c>
      <c r="D9285" t="s">
        <v>3052</v>
      </c>
      <c r="E9285" t="s">
        <v>3053</v>
      </c>
      <c r="F9285" t="s">
        <v>828</v>
      </c>
      <c r="G9285" t="s">
        <v>829</v>
      </c>
      <c r="H9285" t="s">
        <v>9272</v>
      </c>
      <c r="I9285">
        <v>90</v>
      </c>
      <c r="J9285">
        <v>90</v>
      </c>
      <c r="K9285">
        <v>0</v>
      </c>
      <c r="L9285">
        <v>0</v>
      </c>
      <c r="M9285">
        <v>0</v>
      </c>
      <c r="N9285">
        <v>0</v>
      </c>
      <c r="O9285">
        <v>0</v>
      </c>
    </row>
    <row r="9286" spans="1:15" x14ac:dyDescent="0.25">
      <c r="A9286" t="s">
        <v>955</v>
      </c>
      <c r="B9286" t="s">
        <v>2660</v>
      </c>
      <c r="C9286" t="s">
        <v>927</v>
      </c>
      <c r="D9286" t="s">
        <v>3052</v>
      </c>
      <c r="E9286" t="s">
        <v>3053</v>
      </c>
      <c r="F9286" t="s">
        <v>828</v>
      </c>
      <c r="G9286" t="s">
        <v>829</v>
      </c>
      <c r="H9286" t="s">
        <v>9273</v>
      </c>
      <c r="I9286">
        <v>183</v>
      </c>
      <c r="J9286">
        <v>148</v>
      </c>
      <c r="K9286">
        <v>0</v>
      </c>
      <c r="L9286">
        <v>0</v>
      </c>
      <c r="M9286">
        <v>0</v>
      </c>
      <c r="N9286">
        <v>1</v>
      </c>
      <c r="O9286">
        <v>35</v>
      </c>
    </row>
    <row r="9287" spans="1:15" x14ac:dyDescent="0.25">
      <c r="A9287" t="s">
        <v>1072</v>
      </c>
      <c r="B9287" t="s">
        <v>2907</v>
      </c>
      <c r="C9287" t="s">
        <v>927</v>
      </c>
      <c r="D9287" t="s">
        <v>3052</v>
      </c>
      <c r="E9287" t="s">
        <v>3053</v>
      </c>
      <c r="F9287" t="s">
        <v>828</v>
      </c>
      <c r="G9287" t="s">
        <v>829</v>
      </c>
      <c r="H9287" t="s">
        <v>9274</v>
      </c>
      <c r="I9287">
        <v>292</v>
      </c>
      <c r="J9287">
        <v>143</v>
      </c>
      <c r="K9287">
        <v>0</v>
      </c>
      <c r="L9287">
        <v>14</v>
      </c>
      <c r="M9287">
        <v>65</v>
      </c>
      <c r="N9287">
        <v>0</v>
      </c>
      <c r="O9287">
        <v>70</v>
      </c>
    </row>
    <row r="9288" spans="1:15" x14ac:dyDescent="0.25">
      <c r="A9288" t="s">
        <v>1368</v>
      </c>
      <c r="B9288" t="s">
        <v>3022</v>
      </c>
      <c r="C9288" t="s">
        <v>923</v>
      </c>
      <c r="D9288" t="s">
        <v>3063</v>
      </c>
      <c r="E9288" t="s">
        <v>3053</v>
      </c>
      <c r="F9288" t="s">
        <v>828</v>
      </c>
      <c r="G9288" t="s">
        <v>829</v>
      </c>
      <c r="H9288" t="s">
        <v>9275</v>
      </c>
      <c r="I9288">
        <v>11</v>
      </c>
      <c r="J9288">
        <v>11</v>
      </c>
      <c r="K9288">
        <v>0</v>
      </c>
      <c r="L9288">
        <v>0</v>
      </c>
      <c r="M9288">
        <v>0</v>
      </c>
      <c r="N9288">
        <v>0</v>
      </c>
      <c r="O9288">
        <v>0</v>
      </c>
    </row>
    <row r="9289" spans="1:15" x14ac:dyDescent="0.25">
      <c r="A9289" t="s">
        <v>10766</v>
      </c>
      <c r="B9289" t="s">
        <v>2175</v>
      </c>
      <c r="C9289" t="s">
        <v>923</v>
      </c>
      <c r="D9289" t="s">
        <v>3063</v>
      </c>
      <c r="E9289" t="s">
        <v>3053</v>
      </c>
      <c r="F9289" t="s">
        <v>828</v>
      </c>
      <c r="G9289" t="s">
        <v>829</v>
      </c>
      <c r="H9289" t="s">
        <v>11462</v>
      </c>
      <c r="I9289">
        <v>6</v>
      </c>
      <c r="J9289">
        <v>0</v>
      </c>
      <c r="K9289">
        <v>0</v>
      </c>
      <c r="L9289">
        <v>0</v>
      </c>
      <c r="M9289">
        <v>6</v>
      </c>
      <c r="N9289">
        <v>0</v>
      </c>
      <c r="O9289">
        <v>0</v>
      </c>
    </row>
    <row r="9290" spans="1:15" x14ac:dyDescent="0.25">
      <c r="A9290" t="s">
        <v>1553</v>
      </c>
      <c r="B9290" t="s">
        <v>2132</v>
      </c>
      <c r="C9290" t="s">
        <v>927</v>
      </c>
      <c r="D9290" t="s">
        <v>3052</v>
      </c>
      <c r="E9290" t="s">
        <v>3053</v>
      </c>
      <c r="F9290" t="s">
        <v>828</v>
      </c>
      <c r="G9290" t="s">
        <v>829</v>
      </c>
      <c r="H9290" t="s">
        <v>9276</v>
      </c>
      <c r="I9290">
        <v>83</v>
      </c>
      <c r="J9290">
        <v>33</v>
      </c>
      <c r="K9290">
        <v>0</v>
      </c>
      <c r="L9290">
        <v>0</v>
      </c>
      <c r="M9290">
        <v>41</v>
      </c>
      <c r="N9290">
        <v>0</v>
      </c>
      <c r="O9290">
        <v>9</v>
      </c>
    </row>
    <row r="9291" spans="1:15" x14ac:dyDescent="0.25">
      <c r="A9291" t="s">
        <v>1083</v>
      </c>
      <c r="B9291" t="s">
        <v>2757</v>
      </c>
      <c r="C9291" t="s">
        <v>927</v>
      </c>
      <c r="D9291" t="s">
        <v>3052</v>
      </c>
      <c r="E9291" t="s">
        <v>3053</v>
      </c>
      <c r="F9291" t="s">
        <v>828</v>
      </c>
      <c r="G9291" t="s">
        <v>829</v>
      </c>
      <c r="H9291" t="s">
        <v>9277</v>
      </c>
      <c r="I9291">
        <v>156</v>
      </c>
      <c r="J9291">
        <v>18</v>
      </c>
      <c r="K9291">
        <v>0</v>
      </c>
      <c r="L9291">
        <v>6</v>
      </c>
      <c r="M9291">
        <v>79</v>
      </c>
      <c r="N9291">
        <v>0</v>
      </c>
      <c r="O9291">
        <v>53</v>
      </c>
    </row>
    <row r="9292" spans="1:15" x14ac:dyDescent="0.25">
      <c r="A9292" t="s">
        <v>972</v>
      </c>
      <c r="B9292" t="s">
        <v>2842</v>
      </c>
      <c r="C9292" t="s">
        <v>927</v>
      </c>
      <c r="D9292" t="s">
        <v>3052</v>
      </c>
      <c r="E9292" t="s">
        <v>3053</v>
      </c>
      <c r="F9292" t="s">
        <v>830</v>
      </c>
      <c r="G9292" t="s">
        <v>831</v>
      </c>
      <c r="H9292" t="s">
        <v>9278</v>
      </c>
      <c r="I9292">
        <v>3907</v>
      </c>
      <c r="J9292">
        <v>3485</v>
      </c>
      <c r="K9292">
        <v>0</v>
      </c>
      <c r="L9292">
        <v>3</v>
      </c>
      <c r="M9292">
        <v>236</v>
      </c>
      <c r="N9292">
        <v>0</v>
      </c>
      <c r="O9292">
        <v>183</v>
      </c>
    </row>
    <row r="9293" spans="1:15" x14ac:dyDescent="0.25">
      <c r="A9293" t="s">
        <v>926</v>
      </c>
      <c r="B9293" t="s">
        <v>2923</v>
      </c>
      <c r="C9293" t="s">
        <v>927</v>
      </c>
      <c r="D9293" t="s">
        <v>3052</v>
      </c>
      <c r="E9293" t="s">
        <v>3053</v>
      </c>
      <c r="F9293" t="s">
        <v>830</v>
      </c>
      <c r="G9293" t="s">
        <v>831</v>
      </c>
      <c r="H9293" t="s">
        <v>9279</v>
      </c>
      <c r="I9293">
        <v>2</v>
      </c>
      <c r="J9293">
        <v>0</v>
      </c>
      <c r="K9293">
        <v>0</v>
      </c>
      <c r="L9293">
        <v>0</v>
      </c>
      <c r="M9293">
        <v>0</v>
      </c>
      <c r="N9293">
        <v>0</v>
      </c>
      <c r="O9293">
        <v>2</v>
      </c>
    </row>
    <row r="9294" spans="1:15" x14ac:dyDescent="0.25">
      <c r="A9294" t="s">
        <v>929</v>
      </c>
      <c r="B9294" t="s">
        <v>2999</v>
      </c>
      <c r="C9294" t="s">
        <v>927</v>
      </c>
      <c r="D9294" t="s">
        <v>3052</v>
      </c>
      <c r="E9294" t="s">
        <v>3053</v>
      </c>
      <c r="F9294" t="s">
        <v>830</v>
      </c>
      <c r="G9294" t="s">
        <v>831</v>
      </c>
      <c r="H9294" t="s">
        <v>9280</v>
      </c>
      <c r="I9294">
        <v>94</v>
      </c>
      <c r="J9294">
        <v>0</v>
      </c>
      <c r="K9294">
        <v>0</v>
      </c>
      <c r="L9294">
        <v>0</v>
      </c>
      <c r="M9294">
        <v>94</v>
      </c>
      <c r="N9294">
        <v>0</v>
      </c>
      <c r="O9294">
        <v>0</v>
      </c>
    </row>
    <row r="9295" spans="1:15" x14ac:dyDescent="0.25">
      <c r="A9295" t="s">
        <v>1001</v>
      </c>
      <c r="B9295" t="s">
        <v>3007</v>
      </c>
      <c r="C9295" t="s">
        <v>927</v>
      </c>
      <c r="D9295" t="s">
        <v>3052</v>
      </c>
      <c r="E9295" t="s">
        <v>3053</v>
      </c>
      <c r="F9295" t="s">
        <v>830</v>
      </c>
      <c r="G9295" t="s">
        <v>831</v>
      </c>
      <c r="H9295" t="s">
        <v>9281</v>
      </c>
      <c r="I9295">
        <v>5</v>
      </c>
      <c r="J9295">
        <v>0</v>
      </c>
      <c r="K9295">
        <v>0</v>
      </c>
      <c r="L9295">
        <v>5</v>
      </c>
      <c r="M9295">
        <v>0</v>
      </c>
      <c r="N9295">
        <v>0</v>
      </c>
      <c r="O9295">
        <v>0</v>
      </c>
    </row>
    <row r="9296" spans="1:15" x14ac:dyDescent="0.25">
      <c r="A9296" t="s">
        <v>10638</v>
      </c>
      <c r="B9296" t="s">
        <v>2057</v>
      </c>
      <c r="C9296" t="s">
        <v>927</v>
      </c>
      <c r="D9296" t="s">
        <v>3052</v>
      </c>
      <c r="E9296" t="s">
        <v>3053</v>
      </c>
      <c r="F9296" t="s">
        <v>830</v>
      </c>
      <c r="G9296" t="s">
        <v>831</v>
      </c>
      <c r="H9296" t="s">
        <v>11463</v>
      </c>
      <c r="I9296">
        <v>3</v>
      </c>
      <c r="J9296">
        <v>0</v>
      </c>
      <c r="K9296">
        <v>0</v>
      </c>
      <c r="L9296">
        <v>3</v>
      </c>
      <c r="M9296">
        <v>0</v>
      </c>
      <c r="N9296">
        <v>0</v>
      </c>
      <c r="O9296">
        <v>0</v>
      </c>
    </row>
    <row r="9297" spans="1:15" x14ac:dyDescent="0.25">
      <c r="A9297" t="s">
        <v>937</v>
      </c>
      <c r="B9297" t="s">
        <v>1962</v>
      </c>
      <c r="C9297" t="s">
        <v>927</v>
      </c>
      <c r="D9297" t="s">
        <v>3052</v>
      </c>
      <c r="E9297" t="s">
        <v>3053</v>
      </c>
      <c r="F9297" t="s">
        <v>830</v>
      </c>
      <c r="G9297" t="s">
        <v>831</v>
      </c>
      <c r="H9297" t="s">
        <v>9282</v>
      </c>
      <c r="I9297">
        <v>15</v>
      </c>
      <c r="J9297">
        <v>0</v>
      </c>
      <c r="K9297">
        <v>0</v>
      </c>
      <c r="L9297">
        <v>0</v>
      </c>
      <c r="M9297">
        <v>0</v>
      </c>
      <c r="N9297">
        <v>0</v>
      </c>
      <c r="O9297">
        <v>15</v>
      </c>
    </row>
    <row r="9298" spans="1:15" x14ac:dyDescent="0.25">
      <c r="A9298" t="s">
        <v>1017</v>
      </c>
      <c r="B9298" t="s">
        <v>2671</v>
      </c>
      <c r="C9298" t="s">
        <v>923</v>
      </c>
      <c r="D9298" t="s">
        <v>3063</v>
      </c>
      <c r="E9298" t="s">
        <v>3053</v>
      </c>
      <c r="F9298" t="s">
        <v>830</v>
      </c>
      <c r="G9298" t="s">
        <v>831</v>
      </c>
      <c r="H9298" t="s">
        <v>9283</v>
      </c>
      <c r="I9298">
        <v>66</v>
      </c>
      <c r="J9298">
        <v>66</v>
      </c>
      <c r="K9298">
        <v>0</v>
      </c>
      <c r="L9298">
        <v>0</v>
      </c>
      <c r="M9298">
        <v>0</v>
      </c>
      <c r="N9298">
        <v>0</v>
      </c>
      <c r="O9298">
        <v>0</v>
      </c>
    </row>
    <row r="9299" spans="1:15" x14ac:dyDescent="0.25">
      <c r="A9299" t="s">
        <v>1022</v>
      </c>
      <c r="B9299" t="s">
        <v>2116</v>
      </c>
      <c r="C9299" t="s">
        <v>927</v>
      </c>
      <c r="D9299" t="s">
        <v>3052</v>
      </c>
      <c r="E9299" t="s">
        <v>3053</v>
      </c>
      <c r="F9299" t="s">
        <v>830</v>
      </c>
      <c r="G9299" t="s">
        <v>831</v>
      </c>
      <c r="H9299" t="s">
        <v>9284</v>
      </c>
      <c r="I9299">
        <v>4</v>
      </c>
      <c r="J9299">
        <v>3</v>
      </c>
      <c r="K9299">
        <v>0</v>
      </c>
      <c r="L9299">
        <v>0</v>
      </c>
      <c r="M9299">
        <v>0</v>
      </c>
      <c r="N9299">
        <v>0</v>
      </c>
      <c r="O9299">
        <v>1</v>
      </c>
    </row>
    <row r="9300" spans="1:15" x14ac:dyDescent="0.25">
      <c r="A9300" t="s">
        <v>1023</v>
      </c>
      <c r="B9300" t="s">
        <v>2803</v>
      </c>
      <c r="C9300" t="s">
        <v>923</v>
      </c>
      <c r="D9300" t="s">
        <v>3063</v>
      </c>
      <c r="E9300" t="s">
        <v>3053</v>
      </c>
      <c r="F9300" t="s">
        <v>830</v>
      </c>
      <c r="G9300" t="s">
        <v>831</v>
      </c>
      <c r="H9300" t="s">
        <v>9285</v>
      </c>
      <c r="I9300">
        <v>11</v>
      </c>
      <c r="J9300">
        <v>11</v>
      </c>
      <c r="K9300">
        <v>0</v>
      </c>
      <c r="L9300">
        <v>0</v>
      </c>
      <c r="M9300">
        <v>0</v>
      </c>
      <c r="N9300">
        <v>0</v>
      </c>
      <c r="O9300">
        <v>0</v>
      </c>
    </row>
    <row r="9301" spans="1:15" x14ac:dyDescent="0.25">
      <c r="A9301" t="s">
        <v>1026</v>
      </c>
      <c r="B9301" t="s">
        <v>2848</v>
      </c>
      <c r="C9301" t="s">
        <v>927</v>
      </c>
      <c r="D9301" t="s">
        <v>3052</v>
      </c>
      <c r="E9301" t="s">
        <v>3053</v>
      </c>
      <c r="F9301" t="s">
        <v>830</v>
      </c>
      <c r="G9301" t="s">
        <v>831</v>
      </c>
      <c r="H9301" t="s">
        <v>9286</v>
      </c>
      <c r="I9301">
        <v>594</v>
      </c>
      <c r="J9301">
        <v>385</v>
      </c>
      <c r="K9301">
        <v>0</v>
      </c>
      <c r="L9301">
        <v>16</v>
      </c>
      <c r="M9301">
        <v>93</v>
      </c>
      <c r="N9301">
        <v>0</v>
      </c>
      <c r="O9301">
        <v>100</v>
      </c>
    </row>
    <row r="9302" spans="1:15" x14ac:dyDescent="0.25">
      <c r="A9302" t="s">
        <v>10681</v>
      </c>
      <c r="B9302" t="s">
        <v>10680</v>
      </c>
      <c r="C9302" t="s">
        <v>927</v>
      </c>
      <c r="D9302" t="s">
        <v>3052</v>
      </c>
      <c r="E9302" t="s">
        <v>3053</v>
      </c>
      <c r="F9302" t="s">
        <v>830</v>
      </c>
      <c r="G9302" t="s">
        <v>831</v>
      </c>
      <c r="H9302" t="s">
        <v>15417</v>
      </c>
      <c r="I9302">
        <v>2</v>
      </c>
      <c r="J9302">
        <v>0</v>
      </c>
      <c r="K9302">
        <v>0</v>
      </c>
      <c r="L9302">
        <v>0</v>
      </c>
      <c r="M9302">
        <v>0</v>
      </c>
      <c r="N9302">
        <v>0</v>
      </c>
      <c r="O9302">
        <v>2</v>
      </c>
    </row>
    <row r="9303" spans="1:15" x14ac:dyDescent="0.25">
      <c r="A9303" t="s">
        <v>1039</v>
      </c>
      <c r="B9303" t="s">
        <v>2885</v>
      </c>
      <c r="C9303" t="s">
        <v>927</v>
      </c>
      <c r="D9303" t="s">
        <v>3052</v>
      </c>
      <c r="E9303" t="s">
        <v>3053</v>
      </c>
      <c r="F9303" t="s">
        <v>830</v>
      </c>
      <c r="G9303" t="s">
        <v>831</v>
      </c>
      <c r="H9303" t="s">
        <v>9287</v>
      </c>
      <c r="I9303">
        <v>141</v>
      </c>
      <c r="J9303">
        <v>106</v>
      </c>
      <c r="K9303">
        <v>0</v>
      </c>
      <c r="L9303">
        <v>24</v>
      </c>
      <c r="M9303">
        <v>0</v>
      </c>
      <c r="N9303">
        <v>1</v>
      </c>
      <c r="O9303">
        <v>11</v>
      </c>
    </row>
    <row r="9304" spans="1:15" x14ac:dyDescent="0.25">
      <c r="A9304" t="s">
        <v>1042</v>
      </c>
      <c r="B9304" t="s">
        <v>2115</v>
      </c>
      <c r="C9304" t="s">
        <v>923</v>
      </c>
      <c r="D9304" t="s">
        <v>3063</v>
      </c>
      <c r="E9304" t="s">
        <v>3053</v>
      </c>
      <c r="F9304" t="s">
        <v>830</v>
      </c>
      <c r="G9304" t="s">
        <v>831</v>
      </c>
      <c r="H9304" t="s">
        <v>10294</v>
      </c>
      <c r="I9304">
        <v>12</v>
      </c>
      <c r="J9304">
        <v>0</v>
      </c>
      <c r="K9304">
        <v>0</v>
      </c>
      <c r="L9304">
        <v>12</v>
      </c>
      <c r="M9304">
        <v>0</v>
      </c>
      <c r="N9304">
        <v>0</v>
      </c>
      <c r="O9304">
        <v>0</v>
      </c>
    </row>
    <row r="9305" spans="1:15" x14ac:dyDescent="0.25">
      <c r="A9305" t="s">
        <v>1044</v>
      </c>
      <c r="B9305" t="s">
        <v>2000</v>
      </c>
      <c r="C9305" t="s">
        <v>923</v>
      </c>
      <c r="D9305" t="s">
        <v>3063</v>
      </c>
      <c r="E9305" t="s">
        <v>3053</v>
      </c>
      <c r="F9305" t="s">
        <v>830</v>
      </c>
      <c r="G9305" t="s">
        <v>831</v>
      </c>
      <c r="H9305" t="s">
        <v>9288</v>
      </c>
      <c r="I9305">
        <v>22</v>
      </c>
      <c r="J9305">
        <v>0</v>
      </c>
      <c r="K9305">
        <v>0</v>
      </c>
      <c r="L9305">
        <v>22</v>
      </c>
      <c r="M9305">
        <v>0</v>
      </c>
      <c r="N9305">
        <v>0</v>
      </c>
      <c r="O9305">
        <v>0</v>
      </c>
    </row>
    <row r="9306" spans="1:15" x14ac:dyDescent="0.25">
      <c r="A9306" t="s">
        <v>951</v>
      </c>
      <c r="B9306" t="s">
        <v>2680</v>
      </c>
      <c r="C9306" t="s">
        <v>927</v>
      </c>
      <c r="D9306" t="s">
        <v>3052</v>
      </c>
      <c r="E9306" t="s">
        <v>3053</v>
      </c>
      <c r="F9306" t="s">
        <v>830</v>
      </c>
      <c r="G9306" t="s">
        <v>831</v>
      </c>
      <c r="H9306" t="s">
        <v>9289</v>
      </c>
      <c r="I9306">
        <v>51</v>
      </c>
      <c r="J9306">
        <v>47</v>
      </c>
      <c r="K9306">
        <v>0</v>
      </c>
      <c r="L9306">
        <v>0</v>
      </c>
      <c r="M9306">
        <v>0</v>
      </c>
      <c r="N9306">
        <v>0</v>
      </c>
      <c r="O9306">
        <v>4</v>
      </c>
    </row>
    <row r="9307" spans="1:15" x14ac:dyDescent="0.25">
      <c r="A9307" t="s">
        <v>1048</v>
      </c>
      <c r="B9307" t="s">
        <v>2989</v>
      </c>
      <c r="C9307" t="s">
        <v>927</v>
      </c>
      <c r="D9307" t="s">
        <v>3052</v>
      </c>
      <c r="E9307" t="s">
        <v>3053</v>
      </c>
      <c r="F9307" t="s">
        <v>830</v>
      </c>
      <c r="G9307" t="s">
        <v>831</v>
      </c>
      <c r="H9307" t="s">
        <v>15418</v>
      </c>
      <c r="I9307">
        <v>4</v>
      </c>
      <c r="J9307">
        <v>4</v>
      </c>
      <c r="K9307">
        <v>0</v>
      </c>
      <c r="L9307">
        <v>0</v>
      </c>
      <c r="M9307">
        <v>0</v>
      </c>
      <c r="N9307">
        <v>0</v>
      </c>
      <c r="O9307">
        <v>0</v>
      </c>
    </row>
    <row r="9308" spans="1:15" x14ac:dyDescent="0.25">
      <c r="A9308" t="s">
        <v>1049</v>
      </c>
      <c r="B9308" t="s">
        <v>2138</v>
      </c>
      <c r="C9308" t="s">
        <v>927</v>
      </c>
      <c r="D9308" t="s">
        <v>3052</v>
      </c>
      <c r="E9308" t="s">
        <v>3053</v>
      </c>
      <c r="F9308" t="s">
        <v>830</v>
      </c>
      <c r="G9308" t="s">
        <v>831</v>
      </c>
      <c r="H9308" t="s">
        <v>9290</v>
      </c>
      <c r="I9308">
        <v>383</v>
      </c>
      <c r="J9308">
        <v>277</v>
      </c>
      <c r="K9308">
        <v>0</v>
      </c>
      <c r="L9308">
        <v>0</v>
      </c>
      <c r="M9308">
        <v>0</v>
      </c>
      <c r="N9308">
        <v>0</v>
      </c>
      <c r="O9308">
        <v>106</v>
      </c>
    </row>
    <row r="9309" spans="1:15" x14ac:dyDescent="0.25">
      <c r="A9309" t="s">
        <v>1051</v>
      </c>
      <c r="B9309" t="s">
        <v>2995</v>
      </c>
      <c r="C9309" t="s">
        <v>927</v>
      </c>
      <c r="D9309" t="s">
        <v>3052</v>
      </c>
      <c r="E9309" t="s">
        <v>3053</v>
      </c>
      <c r="F9309" t="s">
        <v>830</v>
      </c>
      <c r="G9309" t="s">
        <v>831</v>
      </c>
      <c r="H9309" t="s">
        <v>9291</v>
      </c>
      <c r="I9309">
        <v>4</v>
      </c>
      <c r="J9309">
        <v>0</v>
      </c>
      <c r="K9309">
        <v>0</v>
      </c>
      <c r="L9309">
        <v>4</v>
      </c>
      <c r="M9309">
        <v>0</v>
      </c>
      <c r="N9309">
        <v>0</v>
      </c>
      <c r="O9309">
        <v>0</v>
      </c>
    </row>
    <row r="9310" spans="1:15" x14ac:dyDescent="0.25">
      <c r="A9310" t="s">
        <v>953</v>
      </c>
      <c r="B9310" t="s">
        <v>2014</v>
      </c>
      <c r="C9310" t="s">
        <v>927</v>
      </c>
      <c r="D9310" t="s">
        <v>3052</v>
      </c>
      <c r="E9310" t="s">
        <v>3053</v>
      </c>
      <c r="F9310" t="s">
        <v>830</v>
      </c>
      <c r="G9310" t="s">
        <v>831</v>
      </c>
      <c r="H9310" t="s">
        <v>11464</v>
      </c>
      <c r="I9310">
        <v>6</v>
      </c>
      <c r="J9310">
        <v>0</v>
      </c>
      <c r="K9310">
        <v>0</v>
      </c>
      <c r="L9310">
        <v>6</v>
      </c>
      <c r="M9310">
        <v>0</v>
      </c>
      <c r="N9310">
        <v>0</v>
      </c>
      <c r="O9310">
        <v>0</v>
      </c>
    </row>
    <row r="9311" spans="1:15" x14ac:dyDescent="0.25">
      <c r="A9311" t="s">
        <v>955</v>
      </c>
      <c r="B9311" t="s">
        <v>2660</v>
      </c>
      <c r="C9311" t="s">
        <v>927</v>
      </c>
      <c r="D9311" t="s">
        <v>3052</v>
      </c>
      <c r="E9311" t="s">
        <v>3053</v>
      </c>
      <c r="F9311" t="s">
        <v>830</v>
      </c>
      <c r="G9311" t="s">
        <v>831</v>
      </c>
      <c r="H9311" t="s">
        <v>9292</v>
      </c>
      <c r="I9311">
        <v>94</v>
      </c>
      <c r="J9311">
        <v>89</v>
      </c>
      <c r="K9311">
        <v>0</v>
      </c>
      <c r="L9311">
        <v>0</v>
      </c>
      <c r="M9311">
        <v>0</v>
      </c>
      <c r="N9311">
        <v>1</v>
      </c>
      <c r="O9311">
        <v>5</v>
      </c>
    </row>
    <row r="9312" spans="1:15" x14ac:dyDescent="0.25">
      <c r="A9312" t="s">
        <v>1075</v>
      </c>
      <c r="B9312" t="s">
        <v>2830</v>
      </c>
      <c r="C9312" t="s">
        <v>927</v>
      </c>
      <c r="D9312" t="s">
        <v>3052</v>
      </c>
      <c r="E9312" t="s">
        <v>3053</v>
      </c>
      <c r="F9312" t="s">
        <v>830</v>
      </c>
      <c r="G9312" t="s">
        <v>831</v>
      </c>
      <c r="H9312" t="s">
        <v>12487</v>
      </c>
      <c r="I9312">
        <v>30</v>
      </c>
      <c r="J9312">
        <v>0</v>
      </c>
      <c r="K9312">
        <v>0</v>
      </c>
      <c r="L9312">
        <v>0</v>
      </c>
      <c r="M9312">
        <v>0</v>
      </c>
      <c r="N9312">
        <v>0</v>
      </c>
      <c r="O9312">
        <v>30</v>
      </c>
    </row>
    <row r="9313" spans="1:15" x14ac:dyDescent="0.25">
      <c r="A9313" t="s">
        <v>971</v>
      </c>
      <c r="B9313" t="s">
        <v>2956</v>
      </c>
      <c r="C9313" t="s">
        <v>927</v>
      </c>
      <c r="D9313" t="s">
        <v>3052</v>
      </c>
      <c r="E9313" t="s">
        <v>3053</v>
      </c>
      <c r="F9313" t="s">
        <v>10560</v>
      </c>
      <c r="G9313" t="s">
        <v>10561</v>
      </c>
      <c r="H9313" t="s">
        <v>11465</v>
      </c>
      <c r="I9313">
        <v>76</v>
      </c>
      <c r="J9313">
        <v>76</v>
      </c>
      <c r="K9313">
        <v>0</v>
      </c>
      <c r="L9313">
        <v>0</v>
      </c>
      <c r="M9313">
        <v>0</v>
      </c>
      <c r="N9313">
        <v>0</v>
      </c>
      <c r="O9313">
        <v>0</v>
      </c>
    </row>
    <row r="9314" spans="1:15" x14ac:dyDescent="0.25">
      <c r="A9314" t="s">
        <v>926</v>
      </c>
      <c r="B9314" t="s">
        <v>2923</v>
      </c>
      <c r="C9314" t="s">
        <v>927</v>
      </c>
      <c r="D9314" t="s">
        <v>3052</v>
      </c>
      <c r="E9314" t="s">
        <v>3053</v>
      </c>
      <c r="F9314" t="s">
        <v>10560</v>
      </c>
      <c r="G9314" t="s">
        <v>10561</v>
      </c>
      <c r="H9314" t="s">
        <v>11466</v>
      </c>
      <c r="I9314">
        <v>19</v>
      </c>
      <c r="J9314">
        <v>0</v>
      </c>
      <c r="K9314">
        <v>0</v>
      </c>
      <c r="L9314">
        <v>8</v>
      </c>
      <c r="M9314">
        <v>0</v>
      </c>
      <c r="N9314">
        <v>0</v>
      </c>
      <c r="O9314">
        <v>11</v>
      </c>
    </row>
    <row r="9315" spans="1:15" x14ac:dyDescent="0.25">
      <c r="A9315" t="s">
        <v>929</v>
      </c>
      <c r="B9315" t="s">
        <v>2999</v>
      </c>
      <c r="C9315" t="s">
        <v>927</v>
      </c>
      <c r="D9315" t="s">
        <v>3052</v>
      </c>
      <c r="E9315" t="s">
        <v>3053</v>
      </c>
      <c r="F9315" t="s">
        <v>10560</v>
      </c>
      <c r="G9315" t="s">
        <v>10561</v>
      </c>
      <c r="H9315" t="s">
        <v>11467</v>
      </c>
      <c r="I9315">
        <v>152</v>
      </c>
      <c r="J9315">
        <v>0</v>
      </c>
      <c r="K9315">
        <v>0</v>
      </c>
      <c r="L9315">
        <v>0</v>
      </c>
      <c r="M9315">
        <v>152</v>
      </c>
      <c r="N9315">
        <v>0</v>
      </c>
      <c r="O9315">
        <v>0</v>
      </c>
    </row>
    <row r="9316" spans="1:15" x14ac:dyDescent="0.25">
      <c r="A9316" t="s">
        <v>9790</v>
      </c>
      <c r="B9316" t="s">
        <v>1977</v>
      </c>
      <c r="C9316" t="s">
        <v>923</v>
      </c>
      <c r="D9316" t="s">
        <v>3063</v>
      </c>
      <c r="E9316" t="s">
        <v>3053</v>
      </c>
      <c r="F9316" t="s">
        <v>10560</v>
      </c>
      <c r="G9316" t="s">
        <v>10561</v>
      </c>
      <c r="H9316" t="s">
        <v>12488</v>
      </c>
      <c r="I9316">
        <v>2</v>
      </c>
      <c r="J9316">
        <v>0</v>
      </c>
      <c r="K9316">
        <v>0</v>
      </c>
      <c r="L9316">
        <v>2</v>
      </c>
      <c r="M9316">
        <v>0</v>
      </c>
      <c r="N9316">
        <v>0</v>
      </c>
      <c r="O9316">
        <v>0</v>
      </c>
    </row>
    <row r="9317" spans="1:15" x14ac:dyDescent="0.25">
      <c r="A9317" t="s">
        <v>983</v>
      </c>
      <c r="B9317" t="s">
        <v>2069</v>
      </c>
      <c r="C9317" t="s">
        <v>927</v>
      </c>
      <c r="D9317" t="s">
        <v>3052</v>
      </c>
      <c r="E9317" t="s">
        <v>3053</v>
      </c>
      <c r="F9317" t="s">
        <v>10560</v>
      </c>
      <c r="G9317" t="s">
        <v>10561</v>
      </c>
      <c r="H9317" t="s">
        <v>11468</v>
      </c>
      <c r="I9317">
        <v>726</v>
      </c>
      <c r="J9317">
        <v>513</v>
      </c>
      <c r="K9317">
        <v>0</v>
      </c>
      <c r="L9317">
        <v>6</v>
      </c>
      <c r="M9317">
        <v>0</v>
      </c>
      <c r="N9317">
        <v>0</v>
      </c>
      <c r="O9317">
        <v>207</v>
      </c>
    </row>
    <row r="9318" spans="1:15" x14ac:dyDescent="0.25">
      <c r="A9318" t="s">
        <v>933</v>
      </c>
      <c r="B9318" t="s">
        <v>2106</v>
      </c>
      <c r="C9318" t="s">
        <v>927</v>
      </c>
      <c r="D9318" t="s">
        <v>3052</v>
      </c>
      <c r="E9318" t="s">
        <v>3053</v>
      </c>
      <c r="F9318" t="s">
        <v>10560</v>
      </c>
      <c r="G9318" t="s">
        <v>10561</v>
      </c>
      <c r="H9318" t="s">
        <v>11469</v>
      </c>
      <c r="I9318">
        <v>96</v>
      </c>
      <c r="J9318">
        <v>28</v>
      </c>
      <c r="K9318">
        <v>0</v>
      </c>
      <c r="L9318">
        <v>0</v>
      </c>
      <c r="M9318">
        <v>0</v>
      </c>
      <c r="N9318">
        <v>0</v>
      </c>
      <c r="O9318">
        <v>68</v>
      </c>
    </row>
    <row r="9319" spans="1:15" x14ac:dyDescent="0.25">
      <c r="A9319" t="s">
        <v>997</v>
      </c>
      <c r="B9319" t="s">
        <v>2033</v>
      </c>
      <c r="C9319" t="s">
        <v>927</v>
      </c>
      <c r="D9319" t="s">
        <v>3052</v>
      </c>
      <c r="E9319" t="s">
        <v>3053</v>
      </c>
      <c r="F9319" t="s">
        <v>10560</v>
      </c>
      <c r="G9319" t="s">
        <v>10561</v>
      </c>
      <c r="H9319" t="s">
        <v>11470</v>
      </c>
      <c r="I9319">
        <v>1500</v>
      </c>
      <c r="J9319">
        <v>1007</v>
      </c>
      <c r="K9319">
        <v>0</v>
      </c>
      <c r="L9319">
        <v>31</v>
      </c>
      <c r="M9319">
        <v>166</v>
      </c>
      <c r="N9319">
        <v>7</v>
      </c>
      <c r="O9319">
        <v>296</v>
      </c>
    </row>
    <row r="9320" spans="1:15" x14ac:dyDescent="0.25">
      <c r="A9320" t="s">
        <v>10624</v>
      </c>
      <c r="B9320" t="s">
        <v>2882</v>
      </c>
      <c r="C9320" t="s">
        <v>927</v>
      </c>
      <c r="D9320" t="s">
        <v>3052</v>
      </c>
      <c r="E9320" t="s">
        <v>3053</v>
      </c>
      <c r="F9320" t="s">
        <v>10560</v>
      </c>
      <c r="G9320" t="s">
        <v>10561</v>
      </c>
      <c r="H9320" t="s">
        <v>11471</v>
      </c>
      <c r="I9320">
        <v>54</v>
      </c>
      <c r="J9320">
        <v>54</v>
      </c>
      <c r="K9320">
        <v>0</v>
      </c>
      <c r="L9320">
        <v>0</v>
      </c>
      <c r="M9320">
        <v>0</v>
      </c>
      <c r="N9320">
        <v>0</v>
      </c>
      <c r="O9320">
        <v>0</v>
      </c>
    </row>
    <row r="9321" spans="1:15" x14ac:dyDescent="0.25">
      <c r="A9321" t="s">
        <v>1003</v>
      </c>
      <c r="B9321" t="s">
        <v>2862</v>
      </c>
      <c r="C9321" t="s">
        <v>927</v>
      </c>
      <c r="D9321" t="s">
        <v>3052</v>
      </c>
      <c r="E9321" t="s">
        <v>3053</v>
      </c>
      <c r="F9321" t="s">
        <v>10560</v>
      </c>
      <c r="G9321" t="s">
        <v>10561</v>
      </c>
      <c r="H9321" t="s">
        <v>11472</v>
      </c>
      <c r="I9321">
        <v>249</v>
      </c>
      <c r="J9321">
        <v>158</v>
      </c>
      <c r="K9321">
        <v>9</v>
      </c>
      <c r="L9321">
        <v>0</v>
      </c>
      <c r="M9321">
        <v>0</v>
      </c>
      <c r="N9321">
        <v>0</v>
      </c>
      <c r="O9321">
        <v>82</v>
      </c>
    </row>
    <row r="9322" spans="1:15" x14ac:dyDescent="0.25">
      <c r="A9322" t="s">
        <v>1004</v>
      </c>
      <c r="B9322" t="s">
        <v>2887</v>
      </c>
      <c r="C9322" t="s">
        <v>927</v>
      </c>
      <c r="D9322" t="s">
        <v>3052</v>
      </c>
      <c r="E9322" t="s">
        <v>3053</v>
      </c>
      <c r="F9322" t="s">
        <v>10560</v>
      </c>
      <c r="G9322" t="s">
        <v>10561</v>
      </c>
      <c r="H9322" t="s">
        <v>11473</v>
      </c>
      <c r="I9322">
        <v>3341</v>
      </c>
      <c r="J9322">
        <v>2291</v>
      </c>
      <c r="K9322">
        <v>0</v>
      </c>
      <c r="L9322">
        <v>0</v>
      </c>
      <c r="M9322">
        <v>886</v>
      </c>
      <c r="N9322">
        <v>0</v>
      </c>
      <c r="O9322">
        <v>164</v>
      </c>
    </row>
    <row r="9323" spans="1:15" x14ac:dyDescent="0.25">
      <c r="A9323" t="s">
        <v>1005</v>
      </c>
      <c r="B9323" t="s">
        <v>2128</v>
      </c>
      <c r="C9323" t="s">
        <v>927</v>
      </c>
      <c r="D9323" t="s">
        <v>3052</v>
      </c>
      <c r="E9323" t="s">
        <v>3053</v>
      </c>
      <c r="F9323" t="s">
        <v>10560</v>
      </c>
      <c r="G9323" t="s">
        <v>10561</v>
      </c>
      <c r="H9323" t="s">
        <v>11474</v>
      </c>
      <c r="I9323">
        <v>3805</v>
      </c>
      <c r="J9323">
        <v>2906</v>
      </c>
      <c r="K9323">
        <v>0</v>
      </c>
      <c r="L9323">
        <v>4</v>
      </c>
      <c r="M9323">
        <v>526</v>
      </c>
      <c r="N9323">
        <v>6</v>
      </c>
      <c r="O9323">
        <v>369</v>
      </c>
    </row>
    <row r="9324" spans="1:15" x14ac:dyDescent="0.25">
      <c r="A9324" t="s">
        <v>1007</v>
      </c>
      <c r="B9324" t="s">
        <v>2891</v>
      </c>
      <c r="C9324" t="s">
        <v>927</v>
      </c>
      <c r="D9324" t="s">
        <v>3052</v>
      </c>
      <c r="E9324" t="s">
        <v>3053</v>
      </c>
      <c r="F9324" t="s">
        <v>10560</v>
      </c>
      <c r="G9324" t="s">
        <v>10561</v>
      </c>
      <c r="H9324" t="s">
        <v>11475</v>
      </c>
      <c r="I9324">
        <v>147</v>
      </c>
      <c r="J9324">
        <v>115</v>
      </c>
      <c r="K9324">
        <v>0</v>
      </c>
      <c r="L9324">
        <v>0</v>
      </c>
      <c r="M9324">
        <v>0</v>
      </c>
      <c r="N9324">
        <v>0</v>
      </c>
      <c r="O9324">
        <v>32</v>
      </c>
    </row>
    <row r="9325" spans="1:15" x14ac:dyDescent="0.25">
      <c r="A9325" t="s">
        <v>10643</v>
      </c>
      <c r="B9325" t="s">
        <v>2987</v>
      </c>
      <c r="C9325" t="s">
        <v>927</v>
      </c>
      <c r="D9325" t="s">
        <v>3052</v>
      </c>
      <c r="E9325" t="s">
        <v>3053</v>
      </c>
      <c r="F9325" t="s">
        <v>10560</v>
      </c>
      <c r="G9325" t="s">
        <v>10561</v>
      </c>
      <c r="H9325" t="s">
        <v>11476</v>
      </c>
      <c r="I9325">
        <v>47</v>
      </c>
      <c r="J9325">
        <v>23</v>
      </c>
      <c r="K9325">
        <v>0</v>
      </c>
      <c r="L9325">
        <v>0</v>
      </c>
      <c r="M9325">
        <v>24</v>
      </c>
      <c r="N9325">
        <v>0</v>
      </c>
      <c r="O9325">
        <v>0</v>
      </c>
    </row>
    <row r="9326" spans="1:15" x14ac:dyDescent="0.25">
      <c r="A9326" t="s">
        <v>937</v>
      </c>
      <c r="B9326" t="s">
        <v>1962</v>
      </c>
      <c r="C9326" t="s">
        <v>927</v>
      </c>
      <c r="D9326" t="s">
        <v>3052</v>
      </c>
      <c r="E9326" t="s">
        <v>3053</v>
      </c>
      <c r="F9326" t="s">
        <v>10560</v>
      </c>
      <c r="G9326" t="s">
        <v>10561</v>
      </c>
      <c r="H9326" t="s">
        <v>11477</v>
      </c>
      <c r="I9326">
        <v>99</v>
      </c>
      <c r="J9326">
        <v>0</v>
      </c>
      <c r="K9326">
        <v>0</v>
      </c>
      <c r="L9326">
        <v>0</v>
      </c>
      <c r="M9326">
        <v>0</v>
      </c>
      <c r="N9326">
        <v>0</v>
      </c>
      <c r="O9326">
        <v>99</v>
      </c>
    </row>
    <row r="9327" spans="1:15" x14ac:dyDescent="0.25">
      <c r="A9327" t="s">
        <v>938</v>
      </c>
      <c r="B9327" t="s">
        <v>2791</v>
      </c>
      <c r="C9327" t="s">
        <v>927</v>
      </c>
      <c r="D9327" t="s">
        <v>3052</v>
      </c>
      <c r="E9327" t="s">
        <v>3053</v>
      </c>
      <c r="F9327" t="s">
        <v>10560</v>
      </c>
      <c r="G9327" t="s">
        <v>10561</v>
      </c>
      <c r="H9327" t="s">
        <v>15419</v>
      </c>
      <c r="I9327">
        <v>331</v>
      </c>
      <c r="J9327">
        <v>279</v>
      </c>
      <c r="K9327">
        <v>0</v>
      </c>
      <c r="L9327">
        <v>11</v>
      </c>
      <c r="M9327">
        <v>0</v>
      </c>
      <c r="N9327">
        <v>0</v>
      </c>
      <c r="O9327">
        <v>41</v>
      </c>
    </row>
    <row r="9328" spans="1:15" x14ac:dyDescent="0.25">
      <c r="A9328" t="s">
        <v>940</v>
      </c>
      <c r="B9328" t="s">
        <v>2647</v>
      </c>
      <c r="C9328" t="s">
        <v>927</v>
      </c>
      <c r="D9328" t="s">
        <v>3052</v>
      </c>
      <c r="E9328" t="s">
        <v>3053</v>
      </c>
      <c r="F9328" t="s">
        <v>10560</v>
      </c>
      <c r="G9328" t="s">
        <v>10561</v>
      </c>
      <c r="H9328" t="s">
        <v>11478</v>
      </c>
      <c r="I9328">
        <v>77</v>
      </c>
      <c r="J9328">
        <v>0</v>
      </c>
      <c r="K9328">
        <v>0</v>
      </c>
      <c r="L9328">
        <v>0</v>
      </c>
      <c r="M9328">
        <v>77</v>
      </c>
      <c r="N9328">
        <v>0</v>
      </c>
      <c r="O9328">
        <v>0</v>
      </c>
    </row>
    <row r="9329" spans="1:15" x14ac:dyDescent="0.25">
      <c r="A9329" t="s">
        <v>1012</v>
      </c>
      <c r="B9329" t="s">
        <v>2911</v>
      </c>
      <c r="C9329" t="s">
        <v>927</v>
      </c>
      <c r="D9329" t="s">
        <v>3052</v>
      </c>
      <c r="E9329" t="s">
        <v>3053</v>
      </c>
      <c r="F9329" t="s">
        <v>10560</v>
      </c>
      <c r="G9329" t="s">
        <v>10561</v>
      </c>
      <c r="H9329" t="s">
        <v>11479</v>
      </c>
      <c r="I9329">
        <v>164</v>
      </c>
      <c r="J9329">
        <v>82</v>
      </c>
      <c r="K9329">
        <v>0</v>
      </c>
      <c r="L9329">
        <v>0</v>
      </c>
      <c r="M9329">
        <v>72</v>
      </c>
      <c r="N9329">
        <v>1</v>
      </c>
      <c r="O9329">
        <v>10</v>
      </c>
    </row>
    <row r="9330" spans="1:15" x14ac:dyDescent="0.25">
      <c r="A9330" t="s">
        <v>1013</v>
      </c>
      <c r="B9330" t="s">
        <v>1959</v>
      </c>
      <c r="C9330" t="s">
        <v>927</v>
      </c>
      <c r="D9330" t="s">
        <v>3052</v>
      </c>
      <c r="E9330" t="s">
        <v>3053</v>
      </c>
      <c r="F9330" t="s">
        <v>10560</v>
      </c>
      <c r="G9330" t="s">
        <v>10561</v>
      </c>
      <c r="H9330" t="s">
        <v>11480</v>
      </c>
      <c r="I9330">
        <v>47</v>
      </c>
      <c r="J9330">
        <v>0</v>
      </c>
      <c r="K9330">
        <v>0</v>
      </c>
      <c r="L9330">
        <v>47</v>
      </c>
      <c r="M9330">
        <v>0</v>
      </c>
      <c r="N9330">
        <v>0</v>
      </c>
      <c r="O9330">
        <v>0</v>
      </c>
    </row>
    <row r="9331" spans="1:15" x14ac:dyDescent="0.25">
      <c r="A9331" t="s">
        <v>1018</v>
      </c>
      <c r="B9331" t="s">
        <v>1980</v>
      </c>
      <c r="C9331" t="s">
        <v>923</v>
      </c>
      <c r="D9331" t="s">
        <v>3063</v>
      </c>
      <c r="E9331" t="s">
        <v>3053</v>
      </c>
      <c r="F9331" t="s">
        <v>10560</v>
      </c>
      <c r="G9331" t="s">
        <v>10561</v>
      </c>
      <c r="H9331" t="s">
        <v>11481</v>
      </c>
      <c r="I9331">
        <v>24</v>
      </c>
      <c r="J9331">
        <v>0</v>
      </c>
      <c r="K9331">
        <v>0</v>
      </c>
      <c r="L9331">
        <v>24</v>
      </c>
      <c r="M9331">
        <v>0</v>
      </c>
      <c r="N9331">
        <v>0</v>
      </c>
      <c r="O9331">
        <v>0</v>
      </c>
    </row>
    <row r="9332" spans="1:15" x14ac:dyDescent="0.25">
      <c r="A9332" t="s">
        <v>10667</v>
      </c>
      <c r="B9332" t="s">
        <v>10666</v>
      </c>
      <c r="C9332" t="s">
        <v>927</v>
      </c>
      <c r="D9332" t="s">
        <v>3052</v>
      </c>
      <c r="E9332" t="s">
        <v>3053</v>
      </c>
      <c r="F9332" t="s">
        <v>10560</v>
      </c>
      <c r="G9332" t="s">
        <v>10561</v>
      </c>
      <c r="H9332" t="s">
        <v>12489</v>
      </c>
      <c r="I9332">
        <v>11</v>
      </c>
      <c r="J9332">
        <v>11</v>
      </c>
      <c r="K9332">
        <v>0</v>
      </c>
      <c r="L9332">
        <v>0</v>
      </c>
      <c r="M9332">
        <v>0</v>
      </c>
      <c r="N9332">
        <v>0</v>
      </c>
      <c r="O9332">
        <v>0</v>
      </c>
    </row>
    <row r="9333" spans="1:15" x14ac:dyDescent="0.25">
      <c r="A9333" t="s">
        <v>1126</v>
      </c>
      <c r="B9333" t="s">
        <v>2130</v>
      </c>
      <c r="C9333" t="s">
        <v>927</v>
      </c>
      <c r="D9333" t="s">
        <v>3052</v>
      </c>
      <c r="E9333" t="s">
        <v>3053</v>
      </c>
      <c r="F9333" t="s">
        <v>10560</v>
      </c>
      <c r="G9333" t="s">
        <v>10561</v>
      </c>
      <c r="H9333" t="s">
        <v>11482</v>
      </c>
      <c r="I9333">
        <v>71</v>
      </c>
      <c r="J9333">
        <v>0</v>
      </c>
      <c r="K9333">
        <v>0</v>
      </c>
      <c r="L9333">
        <v>0</v>
      </c>
      <c r="M9333">
        <v>0</v>
      </c>
      <c r="N9333">
        <v>0</v>
      </c>
      <c r="O9333">
        <v>71</v>
      </c>
    </row>
    <row r="9334" spans="1:15" x14ac:dyDescent="0.25">
      <c r="A9334" t="s">
        <v>1026</v>
      </c>
      <c r="B9334" t="s">
        <v>2848</v>
      </c>
      <c r="C9334" t="s">
        <v>927</v>
      </c>
      <c r="D9334" t="s">
        <v>3052</v>
      </c>
      <c r="E9334" t="s">
        <v>3053</v>
      </c>
      <c r="F9334" t="s">
        <v>10560</v>
      </c>
      <c r="G9334" t="s">
        <v>10561</v>
      </c>
      <c r="H9334" t="s">
        <v>11483</v>
      </c>
      <c r="I9334">
        <v>452</v>
      </c>
      <c r="J9334">
        <v>295</v>
      </c>
      <c r="K9334">
        <v>0</v>
      </c>
      <c r="L9334">
        <v>0</v>
      </c>
      <c r="M9334">
        <v>0</v>
      </c>
      <c r="N9334">
        <v>0</v>
      </c>
      <c r="O9334">
        <v>157</v>
      </c>
    </row>
    <row r="9335" spans="1:15" x14ac:dyDescent="0.25">
      <c r="A9335" t="s">
        <v>10681</v>
      </c>
      <c r="B9335" t="s">
        <v>10680</v>
      </c>
      <c r="C9335" t="s">
        <v>927</v>
      </c>
      <c r="D9335" t="s">
        <v>3052</v>
      </c>
      <c r="E9335" t="s">
        <v>3053</v>
      </c>
      <c r="F9335" t="s">
        <v>10560</v>
      </c>
      <c r="G9335" t="s">
        <v>10561</v>
      </c>
      <c r="H9335" t="s">
        <v>15420</v>
      </c>
      <c r="I9335">
        <v>1</v>
      </c>
      <c r="J9335">
        <v>0</v>
      </c>
      <c r="K9335">
        <v>0</v>
      </c>
      <c r="L9335">
        <v>0</v>
      </c>
      <c r="M9335">
        <v>0</v>
      </c>
      <c r="N9335">
        <v>0</v>
      </c>
      <c r="O9335">
        <v>1</v>
      </c>
    </row>
    <row r="9336" spans="1:15" x14ac:dyDescent="0.25">
      <c r="A9336" t="s">
        <v>943</v>
      </c>
      <c r="B9336" t="s">
        <v>2694</v>
      </c>
      <c r="C9336" t="s">
        <v>927</v>
      </c>
      <c r="D9336" t="s">
        <v>3052</v>
      </c>
      <c r="E9336" t="s">
        <v>3053</v>
      </c>
      <c r="F9336" t="s">
        <v>10560</v>
      </c>
      <c r="G9336" t="s">
        <v>10561</v>
      </c>
      <c r="H9336" t="s">
        <v>11484</v>
      </c>
      <c r="I9336">
        <v>249</v>
      </c>
      <c r="J9336">
        <v>118</v>
      </c>
      <c r="K9336">
        <v>0</v>
      </c>
      <c r="L9336">
        <v>0</v>
      </c>
      <c r="M9336">
        <v>0</v>
      </c>
      <c r="N9336">
        <v>0</v>
      </c>
      <c r="O9336">
        <v>131</v>
      </c>
    </row>
    <row r="9337" spans="1:15" x14ac:dyDescent="0.25">
      <c r="A9337" t="s">
        <v>1030</v>
      </c>
      <c r="B9337" t="s">
        <v>2880</v>
      </c>
      <c r="C9337" t="s">
        <v>927</v>
      </c>
      <c r="D9337" t="s">
        <v>3052</v>
      </c>
      <c r="E9337" t="s">
        <v>3053</v>
      </c>
      <c r="F9337" t="s">
        <v>10560</v>
      </c>
      <c r="G9337" t="s">
        <v>10561</v>
      </c>
      <c r="H9337" t="s">
        <v>11485</v>
      </c>
      <c r="I9337">
        <v>462</v>
      </c>
      <c r="J9337">
        <v>107</v>
      </c>
      <c r="K9337">
        <v>0</v>
      </c>
      <c r="L9337">
        <v>95</v>
      </c>
      <c r="M9337">
        <v>125</v>
      </c>
      <c r="N9337">
        <v>0</v>
      </c>
      <c r="O9337">
        <v>135</v>
      </c>
    </row>
    <row r="9338" spans="1:15" x14ac:dyDescent="0.25">
      <c r="A9338" t="s">
        <v>1031</v>
      </c>
      <c r="B9338" t="s">
        <v>2779</v>
      </c>
      <c r="C9338" t="s">
        <v>927</v>
      </c>
      <c r="D9338" t="s">
        <v>3052</v>
      </c>
      <c r="E9338" t="s">
        <v>3053</v>
      </c>
      <c r="F9338" t="s">
        <v>10560</v>
      </c>
      <c r="G9338" t="s">
        <v>10561</v>
      </c>
      <c r="H9338" t="s">
        <v>11486</v>
      </c>
      <c r="I9338">
        <v>52</v>
      </c>
      <c r="J9338">
        <v>23</v>
      </c>
      <c r="K9338">
        <v>0</v>
      </c>
      <c r="L9338">
        <v>29</v>
      </c>
      <c r="M9338">
        <v>0</v>
      </c>
      <c r="N9338">
        <v>0</v>
      </c>
      <c r="O9338">
        <v>0</v>
      </c>
    </row>
    <row r="9339" spans="1:15" x14ac:dyDescent="0.25">
      <c r="A9339" t="s">
        <v>1035</v>
      </c>
      <c r="B9339" t="s">
        <v>2819</v>
      </c>
      <c r="C9339" t="s">
        <v>923</v>
      </c>
      <c r="D9339" t="s">
        <v>3063</v>
      </c>
      <c r="E9339" t="s">
        <v>3053</v>
      </c>
      <c r="F9339" t="s">
        <v>10560</v>
      </c>
      <c r="G9339" t="s">
        <v>10561</v>
      </c>
      <c r="H9339" t="s">
        <v>11487</v>
      </c>
      <c r="I9339">
        <v>277</v>
      </c>
      <c r="J9339">
        <v>277</v>
      </c>
      <c r="K9339">
        <v>0</v>
      </c>
      <c r="L9339">
        <v>0</v>
      </c>
      <c r="M9339">
        <v>0</v>
      </c>
      <c r="N9339">
        <v>0</v>
      </c>
      <c r="O9339">
        <v>0</v>
      </c>
    </row>
    <row r="9340" spans="1:15" x14ac:dyDescent="0.25">
      <c r="A9340" t="s">
        <v>1038</v>
      </c>
      <c r="B9340" t="s">
        <v>2068</v>
      </c>
      <c r="C9340" t="s">
        <v>927</v>
      </c>
      <c r="D9340" t="s">
        <v>3052</v>
      </c>
      <c r="E9340" t="s">
        <v>3053</v>
      </c>
      <c r="F9340" t="s">
        <v>10560</v>
      </c>
      <c r="G9340" t="s">
        <v>10561</v>
      </c>
      <c r="H9340" t="s">
        <v>11488</v>
      </c>
      <c r="I9340">
        <v>636</v>
      </c>
      <c r="J9340">
        <v>512</v>
      </c>
      <c r="K9340">
        <v>0</v>
      </c>
      <c r="L9340">
        <v>10</v>
      </c>
      <c r="M9340">
        <v>0</v>
      </c>
      <c r="N9340">
        <v>0</v>
      </c>
      <c r="O9340">
        <v>114</v>
      </c>
    </row>
    <row r="9341" spans="1:15" x14ac:dyDescent="0.25">
      <c r="A9341" t="s">
        <v>1041</v>
      </c>
      <c r="B9341" t="s">
        <v>2826</v>
      </c>
      <c r="C9341" t="s">
        <v>927</v>
      </c>
      <c r="D9341" t="s">
        <v>3052</v>
      </c>
      <c r="E9341" t="s">
        <v>3053</v>
      </c>
      <c r="F9341" t="s">
        <v>10560</v>
      </c>
      <c r="G9341" t="s">
        <v>10561</v>
      </c>
      <c r="H9341" t="s">
        <v>11489</v>
      </c>
      <c r="I9341">
        <v>238</v>
      </c>
      <c r="J9341">
        <v>1</v>
      </c>
      <c r="K9341">
        <v>0</v>
      </c>
      <c r="L9341">
        <v>0</v>
      </c>
      <c r="M9341">
        <v>0</v>
      </c>
      <c r="N9341">
        <v>0</v>
      </c>
      <c r="O9341">
        <v>237</v>
      </c>
    </row>
    <row r="9342" spans="1:15" x14ac:dyDescent="0.25">
      <c r="A9342" t="s">
        <v>9787</v>
      </c>
      <c r="B9342" t="s">
        <v>2822</v>
      </c>
      <c r="C9342" t="s">
        <v>927</v>
      </c>
      <c r="D9342" t="s">
        <v>3052</v>
      </c>
      <c r="E9342" t="s">
        <v>3053</v>
      </c>
      <c r="F9342" t="s">
        <v>10560</v>
      </c>
      <c r="G9342" t="s">
        <v>10561</v>
      </c>
      <c r="H9342" t="s">
        <v>11490</v>
      </c>
      <c r="I9342">
        <v>1080</v>
      </c>
      <c r="J9342">
        <v>965</v>
      </c>
      <c r="K9342">
        <v>0</v>
      </c>
      <c r="L9342">
        <v>43</v>
      </c>
      <c r="M9342">
        <v>68</v>
      </c>
      <c r="N9342">
        <v>4</v>
      </c>
      <c r="O9342">
        <v>4</v>
      </c>
    </row>
    <row r="9343" spans="1:15" x14ac:dyDescent="0.25">
      <c r="A9343" t="s">
        <v>1043</v>
      </c>
      <c r="B9343" t="s">
        <v>2090</v>
      </c>
      <c r="C9343" t="s">
        <v>927</v>
      </c>
      <c r="D9343" t="s">
        <v>3052</v>
      </c>
      <c r="E9343" t="s">
        <v>3053</v>
      </c>
      <c r="F9343" t="s">
        <v>10560</v>
      </c>
      <c r="G9343" t="s">
        <v>10561</v>
      </c>
      <c r="H9343" t="s">
        <v>11491</v>
      </c>
      <c r="I9343">
        <v>544</v>
      </c>
      <c r="J9343">
        <v>434</v>
      </c>
      <c r="K9343">
        <v>0</v>
      </c>
      <c r="L9343">
        <v>72</v>
      </c>
      <c r="M9343">
        <v>9</v>
      </c>
      <c r="N9343">
        <v>0</v>
      </c>
      <c r="O9343">
        <v>29</v>
      </c>
    </row>
    <row r="9344" spans="1:15" x14ac:dyDescent="0.25">
      <c r="A9344" t="s">
        <v>1146</v>
      </c>
      <c r="B9344" t="s">
        <v>2117</v>
      </c>
      <c r="C9344" t="s">
        <v>927</v>
      </c>
      <c r="D9344" t="s">
        <v>3052</v>
      </c>
      <c r="E9344" t="s">
        <v>3053</v>
      </c>
      <c r="F9344" t="s">
        <v>10560</v>
      </c>
      <c r="G9344" t="s">
        <v>10561</v>
      </c>
      <c r="H9344" t="s">
        <v>15421</v>
      </c>
      <c r="I9344">
        <v>73</v>
      </c>
      <c r="J9344">
        <v>28</v>
      </c>
      <c r="K9344">
        <v>0</v>
      </c>
      <c r="L9344">
        <v>0</v>
      </c>
      <c r="M9344">
        <v>0</v>
      </c>
      <c r="N9344">
        <v>0</v>
      </c>
      <c r="O9344">
        <v>45</v>
      </c>
    </row>
    <row r="9345" spans="1:15" x14ac:dyDescent="0.25">
      <c r="A9345" t="s">
        <v>951</v>
      </c>
      <c r="B9345" t="s">
        <v>2680</v>
      </c>
      <c r="C9345" t="s">
        <v>927</v>
      </c>
      <c r="D9345" t="s">
        <v>3052</v>
      </c>
      <c r="E9345" t="s">
        <v>3053</v>
      </c>
      <c r="F9345" t="s">
        <v>10560</v>
      </c>
      <c r="G9345" t="s">
        <v>10561</v>
      </c>
      <c r="H9345" t="s">
        <v>11492</v>
      </c>
      <c r="I9345">
        <v>93</v>
      </c>
      <c r="J9345">
        <v>93</v>
      </c>
      <c r="K9345">
        <v>0</v>
      </c>
      <c r="L9345">
        <v>0</v>
      </c>
      <c r="M9345">
        <v>0</v>
      </c>
      <c r="N9345">
        <v>0</v>
      </c>
      <c r="O9345">
        <v>0</v>
      </c>
    </row>
    <row r="9346" spans="1:15" x14ac:dyDescent="0.25">
      <c r="A9346" t="s">
        <v>1048</v>
      </c>
      <c r="B9346" t="s">
        <v>2989</v>
      </c>
      <c r="C9346" t="s">
        <v>927</v>
      </c>
      <c r="D9346" t="s">
        <v>3052</v>
      </c>
      <c r="E9346" t="s">
        <v>3053</v>
      </c>
      <c r="F9346" t="s">
        <v>10560</v>
      </c>
      <c r="G9346" t="s">
        <v>10561</v>
      </c>
      <c r="H9346" t="s">
        <v>11493</v>
      </c>
      <c r="I9346">
        <v>176</v>
      </c>
      <c r="J9346">
        <v>68</v>
      </c>
      <c r="K9346">
        <v>0</v>
      </c>
      <c r="L9346">
        <v>61</v>
      </c>
      <c r="M9346">
        <v>45</v>
      </c>
      <c r="N9346">
        <v>0</v>
      </c>
      <c r="O9346">
        <v>2</v>
      </c>
    </row>
    <row r="9347" spans="1:15" x14ac:dyDescent="0.25">
      <c r="A9347" t="s">
        <v>1049</v>
      </c>
      <c r="B9347" t="s">
        <v>2138</v>
      </c>
      <c r="C9347" t="s">
        <v>927</v>
      </c>
      <c r="D9347" t="s">
        <v>3052</v>
      </c>
      <c r="E9347" t="s">
        <v>3053</v>
      </c>
      <c r="F9347" t="s">
        <v>10560</v>
      </c>
      <c r="G9347" t="s">
        <v>10561</v>
      </c>
      <c r="H9347" t="s">
        <v>11494</v>
      </c>
      <c r="I9347">
        <v>121</v>
      </c>
      <c r="J9347">
        <v>68</v>
      </c>
      <c r="K9347">
        <v>0</v>
      </c>
      <c r="L9347">
        <v>0</v>
      </c>
      <c r="M9347">
        <v>0</v>
      </c>
      <c r="N9347">
        <v>0</v>
      </c>
      <c r="O9347">
        <v>53</v>
      </c>
    </row>
    <row r="9348" spans="1:15" x14ac:dyDescent="0.25">
      <c r="A9348" t="s">
        <v>953</v>
      </c>
      <c r="B9348" t="s">
        <v>2014</v>
      </c>
      <c r="C9348" t="s">
        <v>927</v>
      </c>
      <c r="D9348" t="s">
        <v>3052</v>
      </c>
      <c r="E9348" t="s">
        <v>3053</v>
      </c>
      <c r="F9348" t="s">
        <v>10560</v>
      </c>
      <c r="G9348" t="s">
        <v>10561</v>
      </c>
      <c r="H9348" t="s">
        <v>11495</v>
      </c>
      <c r="I9348">
        <v>3</v>
      </c>
      <c r="J9348">
        <v>0</v>
      </c>
      <c r="K9348">
        <v>0</v>
      </c>
      <c r="L9348">
        <v>3</v>
      </c>
      <c r="M9348">
        <v>0</v>
      </c>
      <c r="N9348">
        <v>0</v>
      </c>
      <c r="O9348">
        <v>0</v>
      </c>
    </row>
    <row r="9349" spans="1:15" x14ac:dyDescent="0.25">
      <c r="A9349" t="s">
        <v>11720</v>
      </c>
      <c r="B9349" t="s">
        <v>10718</v>
      </c>
      <c r="C9349" t="s">
        <v>927</v>
      </c>
      <c r="D9349" t="s">
        <v>3052</v>
      </c>
      <c r="E9349" t="s">
        <v>3053</v>
      </c>
      <c r="F9349" t="s">
        <v>10560</v>
      </c>
      <c r="G9349" t="s">
        <v>10561</v>
      </c>
      <c r="H9349" t="s">
        <v>15422</v>
      </c>
      <c r="I9349">
        <v>138</v>
      </c>
      <c r="J9349">
        <v>72</v>
      </c>
      <c r="K9349">
        <v>0</v>
      </c>
      <c r="L9349">
        <v>0</v>
      </c>
      <c r="M9349">
        <v>0</v>
      </c>
      <c r="N9349">
        <v>0</v>
      </c>
      <c r="O9349">
        <v>66</v>
      </c>
    </row>
    <row r="9350" spans="1:15" x14ac:dyDescent="0.25">
      <c r="A9350" t="s">
        <v>9788</v>
      </c>
      <c r="B9350" t="s">
        <v>9871</v>
      </c>
      <c r="C9350" t="s">
        <v>927</v>
      </c>
      <c r="D9350" t="s">
        <v>3052</v>
      </c>
      <c r="E9350" t="s">
        <v>3053</v>
      </c>
      <c r="F9350" t="s">
        <v>10560</v>
      </c>
      <c r="G9350" t="s">
        <v>10561</v>
      </c>
      <c r="H9350" t="s">
        <v>11496</v>
      </c>
      <c r="I9350">
        <v>136</v>
      </c>
      <c r="J9350">
        <v>136</v>
      </c>
      <c r="K9350">
        <v>0</v>
      </c>
      <c r="L9350">
        <v>0</v>
      </c>
      <c r="M9350">
        <v>0</v>
      </c>
      <c r="N9350">
        <v>0</v>
      </c>
      <c r="O9350">
        <v>0</v>
      </c>
    </row>
    <row r="9351" spans="1:15" x14ac:dyDescent="0.25">
      <c r="A9351" t="s">
        <v>955</v>
      </c>
      <c r="B9351" t="s">
        <v>2660</v>
      </c>
      <c r="C9351" t="s">
        <v>927</v>
      </c>
      <c r="D9351" t="s">
        <v>3052</v>
      </c>
      <c r="E9351" t="s">
        <v>3053</v>
      </c>
      <c r="F9351" t="s">
        <v>10560</v>
      </c>
      <c r="G9351" t="s">
        <v>10561</v>
      </c>
      <c r="H9351" t="s">
        <v>11497</v>
      </c>
      <c r="I9351">
        <v>304</v>
      </c>
      <c r="J9351">
        <v>304</v>
      </c>
      <c r="K9351">
        <v>0</v>
      </c>
      <c r="L9351">
        <v>0</v>
      </c>
      <c r="M9351">
        <v>0</v>
      </c>
      <c r="N9351">
        <v>1</v>
      </c>
      <c r="O9351">
        <v>0</v>
      </c>
    </row>
    <row r="9352" spans="1:15" x14ac:dyDescent="0.25">
      <c r="A9352" t="s">
        <v>11663</v>
      </c>
      <c r="B9352" t="s">
        <v>11768</v>
      </c>
      <c r="C9352" t="s">
        <v>927</v>
      </c>
      <c r="D9352" t="s">
        <v>3052</v>
      </c>
      <c r="E9352" t="s">
        <v>3053</v>
      </c>
      <c r="F9352" t="s">
        <v>10560</v>
      </c>
      <c r="G9352" t="s">
        <v>10561</v>
      </c>
      <c r="H9352" t="s">
        <v>12490</v>
      </c>
      <c r="I9352">
        <v>424</v>
      </c>
      <c r="J9352">
        <v>341</v>
      </c>
      <c r="K9352">
        <v>0</v>
      </c>
      <c r="L9352">
        <v>0</v>
      </c>
      <c r="M9352">
        <v>0</v>
      </c>
      <c r="N9352">
        <v>0</v>
      </c>
      <c r="O9352">
        <v>83</v>
      </c>
    </row>
    <row r="9353" spans="1:15" x14ac:dyDescent="0.25">
      <c r="A9353" t="s">
        <v>14374</v>
      </c>
      <c r="B9353" t="s">
        <v>1943</v>
      </c>
      <c r="C9353" t="s">
        <v>927</v>
      </c>
      <c r="D9353" t="s">
        <v>3052</v>
      </c>
      <c r="E9353" t="s">
        <v>3053</v>
      </c>
      <c r="F9353" t="s">
        <v>10560</v>
      </c>
      <c r="G9353" t="s">
        <v>10561</v>
      </c>
      <c r="H9353" t="s">
        <v>15423</v>
      </c>
      <c r="I9353">
        <v>58</v>
      </c>
      <c r="J9353">
        <v>0</v>
      </c>
      <c r="K9353">
        <v>0</v>
      </c>
      <c r="L9353">
        <v>0</v>
      </c>
      <c r="M9353">
        <v>0</v>
      </c>
      <c r="N9353">
        <v>0</v>
      </c>
      <c r="O9353">
        <v>58</v>
      </c>
    </row>
    <row r="9354" spans="1:15" x14ac:dyDescent="0.25">
      <c r="A9354" t="s">
        <v>962</v>
      </c>
      <c r="B9354" t="s">
        <v>2752</v>
      </c>
      <c r="C9354" t="s">
        <v>927</v>
      </c>
      <c r="D9354" t="s">
        <v>3052</v>
      </c>
      <c r="E9354" t="s">
        <v>3053</v>
      </c>
      <c r="F9354" t="s">
        <v>10560</v>
      </c>
      <c r="G9354" t="s">
        <v>10561</v>
      </c>
      <c r="H9354" t="s">
        <v>11498</v>
      </c>
      <c r="I9354">
        <v>193</v>
      </c>
      <c r="J9354">
        <v>117</v>
      </c>
      <c r="K9354">
        <v>0</v>
      </c>
      <c r="L9354">
        <v>0</v>
      </c>
      <c r="M9354">
        <v>0</v>
      </c>
      <c r="N9354">
        <v>0</v>
      </c>
      <c r="O9354">
        <v>76</v>
      </c>
    </row>
    <row r="9355" spans="1:15" x14ac:dyDescent="0.25">
      <c r="A9355" t="s">
        <v>1066</v>
      </c>
      <c r="B9355" t="s">
        <v>2557</v>
      </c>
      <c r="C9355" t="s">
        <v>927</v>
      </c>
      <c r="D9355" t="s">
        <v>3052</v>
      </c>
      <c r="E9355" t="s">
        <v>3053</v>
      </c>
      <c r="F9355" t="s">
        <v>10560</v>
      </c>
      <c r="G9355" t="s">
        <v>10561</v>
      </c>
      <c r="H9355" t="s">
        <v>11499</v>
      </c>
      <c r="I9355">
        <v>12</v>
      </c>
      <c r="J9355">
        <v>0</v>
      </c>
      <c r="K9355">
        <v>0</v>
      </c>
      <c r="L9355">
        <v>0</v>
      </c>
      <c r="M9355">
        <v>12</v>
      </c>
      <c r="N9355">
        <v>0</v>
      </c>
      <c r="O9355">
        <v>0</v>
      </c>
    </row>
    <row r="9356" spans="1:15" x14ac:dyDescent="0.25">
      <c r="A9356" t="s">
        <v>1069</v>
      </c>
      <c r="B9356" t="s">
        <v>2001</v>
      </c>
      <c r="C9356" t="s">
        <v>927</v>
      </c>
      <c r="D9356" t="s">
        <v>3052</v>
      </c>
      <c r="E9356" t="s">
        <v>3053</v>
      </c>
      <c r="F9356" t="s">
        <v>10560</v>
      </c>
      <c r="G9356" t="s">
        <v>10561</v>
      </c>
      <c r="H9356" t="s">
        <v>11500</v>
      </c>
      <c r="I9356">
        <v>451</v>
      </c>
      <c r="J9356">
        <v>313</v>
      </c>
      <c r="K9356">
        <v>0</v>
      </c>
      <c r="L9356">
        <v>0</v>
      </c>
      <c r="M9356">
        <v>0</v>
      </c>
      <c r="N9356">
        <v>0</v>
      </c>
      <c r="O9356">
        <v>138</v>
      </c>
    </row>
    <row r="9357" spans="1:15" x14ac:dyDescent="0.25">
      <c r="A9357" t="s">
        <v>1072</v>
      </c>
      <c r="B9357" t="s">
        <v>2907</v>
      </c>
      <c r="C9357" t="s">
        <v>927</v>
      </c>
      <c r="D9357" t="s">
        <v>3052</v>
      </c>
      <c r="E9357" t="s">
        <v>3053</v>
      </c>
      <c r="F9357" t="s">
        <v>10560</v>
      </c>
      <c r="G9357" t="s">
        <v>10561</v>
      </c>
      <c r="H9357" t="s">
        <v>11501</v>
      </c>
      <c r="I9357">
        <v>27</v>
      </c>
      <c r="J9357">
        <v>12</v>
      </c>
      <c r="K9357">
        <v>0</v>
      </c>
      <c r="L9357">
        <v>0</v>
      </c>
      <c r="M9357">
        <v>0</v>
      </c>
      <c r="N9357">
        <v>0</v>
      </c>
      <c r="O9357">
        <v>15</v>
      </c>
    </row>
    <row r="9358" spans="1:15" x14ac:dyDescent="0.25">
      <c r="A9358" t="s">
        <v>1181</v>
      </c>
      <c r="B9358" t="s">
        <v>2894</v>
      </c>
      <c r="C9358" t="s">
        <v>927</v>
      </c>
      <c r="D9358" t="s">
        <v>3052</v>
      </c>
      <c r="E9358" t="s">
        <v>3053</v>
      </c>
      <c r="F9358" t="s">
        <v>10560</v>
      </c>
      <c r="G9358" t="s">
        <v>10561</v>
      </c>
      <c r="H9358" t="s">
        <v>12491</v>
      </c>
      <c r="I9358">
        <v>1</v>
      </c>
      <c r="J9358">
        <v>0</v>
      </c>
      <c r="K9358">
        <v>0</v>
      </c>
      <c r="L9358">
        <v>0</v>
      </c>
      <c r="M9358">
        <v>0</v>
      </c>
      <c r="N9358">
        <v>0</v>
      </c>
      <c r="O9358">
        <v>1</v>
      </c>
    </row>
    <row r="9359" spans="1:15" x14ac:dyDescent="0.25">
      <c r="A9359" t="s">
        <v>1078</v>
      </c>
      <c r="B9359" t="s">
        <v>1950</v>
      </c>
      <c r="C9359" t="s">
        <v>923</v>
      </c>
      <c r="D9359" t="s">
        <v>3063</v>
      </c>
      <c r="E9359" t="s">
        <v>3053</v>
      </c>
      <c r="F9359" t="s">
        <v>10560</v>
      </c>
      <c r="G9359" t="s">
        <v>10561</v>
      </c>
      <c r="H9359" t="s">
        <v>11502</v>
      </c>
      <c r="I9359">
        <v>4</v>
      </c>
      <c r="J9359">
        <v>0</v>
      </c>
      <c r="K9359">
        <v>0</v>
      </c>
      <c r="L9359">
        <v>4</v>
      </c>
      <c r="M9359">
        <v>0</v>
      </c>
      <c r="N9359">
        <v>0</v>
      </c>
      <c r="O9359">
        <v>0</v>
      </c>
    </row>
    <row r="9360" spans="1:15" x14ac:dyDescent="0.25">
      <c r="A9360" t="s">
        <v>1080</v>
      </c>
      <c r="B9360" t="s">
        <v>2030</v>
      </c>
      <c r="C9360" t="s">
        <v>923</v>
      </c>
      <c r="D9360" t="s">
        <v>3063</v>
      </c>
      <c r="E9360" t="s">
        <v>3053</v>
      </c>
      <c r="F9360" t="s">
        <v>10560</v>
      </c>
      <c r="G9360" t="s">
        <v>10561</v>
      </c>
      <c r="H9360" t="s">
        <v>11503</v>
      </c>
      <c r="I9360">
        <v>3</v>
      </c>
      <c r="J9360">
        <v>0</v>
      </c>
      <c r="K9360">
        <v>0</v>
      </c>
      <c r="L9360">
        <v>3</v>
      </c>
      <c r="M9360">
        <v>0</v>
      </c>
      <c r="N9360">
        <v>0</v>
      </c>
      <c r="O9360">
        <v>0</v>
      </c>
    </row>
    <row r="9361" spans="1:15" x14ac:dyDescent="0.25">
      <c r="A9361" t="s">
        <v>14376</v>
      </c>
      <c r="B9361" t="s">
        <v>15424</v>
      </c>
      <c r="C9361" t="s">
        <v>923</v>
      </c>
      <c r="D9361" t="s">
        <v>3063</v>
      </c>
      <c r="E9361" t="s">
        <v>3053</v>
      </c>
      <c r="F9361" t="s">
        <v>10560</v>
      </c>
      <c r="G9361" t="s">
        <v>10561</v>
      </c>
      <c r="H9361" t="s">
        <v>15425</v>
      </c>
      <c r="I9361">
        <v>6</v>
      </c>
      <c r="J9361">
        <v>0</v>
      </c>
      <c r="K9361">
        <v>0</v>
      </c>
      <c r="L9361">
        <v>0</v>
      </c>
      <c r="M9361">
        <v>6</v>
      </c>
      <c r="N9361">
        <v>0</v>
      </c>
      <c r="O9361">
        <v>0</v>
      </c>
    </row>
    <row r="9362" spans="1:15" x14ac:dyDescent="0.25">
      <c r="A9362" t="s">
        <v>981</v>
      </c>
      <c r="B9362" t="s">
        <v>2985</v>
      </c>
      <c r="C9362" t="s">
        <v>927</v>
      </c>
      <c r="D9362" t="s">
        <v>3052</v>
      </c>
      <c r="E9362" t="s">
        <v>3053</v>
      </c>
      <c r="F9362" t="s">
        <v>10560</v>
      </c>
      <c r="G9362" t="s">
        <v>10561</v>
      </c>
      <c r="H9362" t="s">
        <v>11504</v>
      </c>
      <c r="I9362">
        <v>661</v>
      </c>
      <c r="J9362">
        <v>397</v>
      </c>
      <c r="K9362">
        <v>0</v>
      </c>
      <c r="L9362">
        <v>36</v>
      </c>
      <c r="M9362">
        <v>87</v>
      </c>
      <c r="N9362">
        <v>0</v>
      </c>
      <c r="O9362">
        <v>141</v>
      </c>
    </row>
    <row r="9363" spans="1:15" x14ac:dyDescent="0.25">
      <c r="A9363" t="s">
        <v>1195</v>
      </c>
      <c r="B9363" t="s">
        <v>2924</v>
      </c>
      <c r="C9363" t="s">
        <v>927</v>
      </c>
      <c r="D9363" t="s">
        <v>3052</v>
      </c>
      <c r="E9363" t="s">
        <v>3053</v>
      </c>
      <c r="F9363" t="s">
        <v>832</v>
      </c>
      <c r="G9363" t="s">
        <v>833</v>
      </c>
      <c r="H9363" t="s">
        <v>9293</v>
      </c>
      <c r="I9363">
        <v>147</v>
      </c>
      <c r="J9363">
        <v>135</v>
      </c>
      <c r="K9363">
        <v>0</v>
      </c>
      <c r="L9363">
        <v>6</v>
      </c>
      <c r="M9363">
        <v>0</v>
      </c>
      <c r="N9363">
        <v>0</v>
      </c>
      <c r="O9363">
        <v>6</v>
      </c>
    </row>
    <row r="9364" spans="1:15" x14ac:dyDescent="0.25">
      <c r="A9364" t="s">
        <v>926</v>
      </c>
      <c r="B9364" t="s">
        <v>2923</v>
      </c>
      <c r="C9364" t="s">
        <v>927</v>
      </c>
      <c r="D9364" t="s">
        <v>3052</v>
      </c>
      <c r="E9364" t="s">
        <v>3053</v>
      </c>
      <c r="F9364" t="s">
        <v>832</v>
      </c>
      <c r="G9364" t="s">
        <v>833</v>
      </c>
      <c r="H9364" t="s">
        <v>9294</v>
      </c>
      <c r="I9364">
        <v>74</v>
      </c>
      <c r="J9364">
        <v>0</v>
      </c>
      <c r="K9364">
        <v>0</v>
      </c>
      <c r="L9364">
        <v>59</v>
      </c>
      <c r="M9364">
        <v>0</v>
      </c>
      <c r="N9364">
        <v>0</v>
      </c>
      <c r="O9364">
        <v>15</v>
      </c>
    </row>
    <row r="9365" spans="1:15" x14ac:dyDescent="0.25">
      <c r="A9365" t="s">
        <v>929</v>
      </c>
      <c r="B9365" t="s">
        <v>2999</v>
      </c>
      <c r="C9365" t="s">
        <v>927</v>
      </c>
      <c r="D9365" t="s">
        <v>3052</v>
      </c>
      <c r="E9365" t="s">
        <v>3053</v>
      </c>
      <c r="F9365" t="s">
        <v>832</v>
      </c>
      <c r="G9365" t="s">
        <v>833</v>
      </c>
      <c r="H9365" t="s">
        <v>9295</v>
      </c>
      <c r="I9365">
        <v>25</v>
      </c>
      <c r="J9365">
        <v>0</v>
      </c>
      <c r="K9365">
        <v>0</v>
      </c>
      <c r="L9365">
        <v>0</v>
      </c>
      <c r="M9365">
        <v>25</v>
      </c>
      <c r="N9365">
        <v>0</v>
      </c>
      <c r="O9365">
        <v>0</v>
      </c>
    </row>
    <row r="9366" spans="1:15" x14ac:dyDescent="0.25">
      <c r="A9366" t="s">
        <v>931</v>
      </c>
      <c r="B9366" t="s">
        <v>1978</v>
      </c>
      <c r="C9366" t="s">
        <v>927</v>
      </c>
      <c r="D9366" t="s">
        <v>3052</v>
      </c>
      <c r="E9366" t="s">
        <v>3053</v>
      </c>
      <c r="F9366" t="s">
        <v>832</v>
      </c>
      <c r="G9366" t="s">
        <v>833</v>
      </c>
      <c r="H9366" t="s">
        <v>9296</v>
      </c>
      <c r="I9366">
        <v>121</v>
      </c>
      <c r="J9366">
        <v>69</v>
      </c>
      <c r="K9366">
        <v>0</v>
      </c>
      <c r="L9366">
        <v>0</v>
      </c>
      <c r="M9366">
        <v>0</v>
      </c>
      <c r="N9366">
        <v>0</v>
      </c>
      <c r="O9366">
        <v>52</v>
      </c>
    </row>
    <row r="9367" spans="1:15" x14ac:dyDescent="0.25">
      <c r="A9367" t="s">
        <v>9790</v>
      </c>
      <c r="B9367" t="s">
        <v>1977</v>
      </c>
      <c r="C9367" t="s">
        <v>923</v>
      </c>
      <c r="D9367" t="s">
        <v>3063</v>
      </c>
      <c r="E9367" t="s">
        <v>3053</v>
      </c>
      <c r="F9367" t="s">
        <v>832</v>
      </c>
      <c r="G9367" t="s">
        <v>833</v>
      </c>
      <c r="H9367" t="s">
        <v>12492</v>
      </c>
      <c r="I9367">
        <v>4</v>
      </c>
      <c r="J9367">
        <v>0</v>
      </c>
      <c r="K9367">
        <v>0</v>
      </c>
      <c r="L9367">
        <v>4</v>
      </c>
      <c r="M9367">
        <v>0</v>
      </c>
      <c r="N9367">
        <v>0</v>
      </c>
      <c r="O9367">
        <v>0</v>
      </c>
    </row>
    <row r="9368" spans="1:15" x14ac:dyDescent="0.25">
      <c r="A9368" t="s">
        <v>933</v>
      </c>
      <c r="B9368" t="s">
        <v>2106</v>
      </c>
      <c r="C9368" t="s">
        <v>927</v>
      </c>
      <c r="D9368" t="s">
        <v>3052</v>
      </c>
      <c r="E9368" t="s">
        <v>3053</v>
      </c>
      <c r="F9368" t="s">
        <v>832</v>
      </c>
      <c r="G9368" t="s">
        <v>833</v>
      </c>
      <c r="H9368" t="s">
        <v>9297</v>
      </c>
      <c r="I9368">
        <v>210</v>
      </c>
      <c r="J9368">
        <v>139</v>
      </c>
      <c r="K9368">
        <v>0</v>
      </c>
      <c r="L9368">
        <v>0</v>
      </c>
      <c r="M9368">
        <v>0</v>
      </c>
      <c r="N9368">
        <v>0</v>
      </c>
      <c r="O9368">
        <v>71</v>
      </c>
    </row>
    <row r="9369" spans="1:15" x14ac:dyDescent="0.25">
      <c r="A9369" t="s">
        <v>1589</v>
      </c>
      <c r="B9369" t="s">
        <v>2135</v>
      </c>
      <c r="C9369" t="s">
        <v>923</v>
      </c>
      <c r="D9369" t="s">
        <v>3063</v>
      </c>
      <c r="E9369" t="s">
        <v>3053</v>
      </c>
      <c r="F9369" t="s">
        <v>832</v>
      </c>
      <c r="G9369" t="s">
        <v>833</v>
      </c>
      <c r="H9369" t="s">
        <v>9298</v>
      </c>
      <c r="I9369">
        <v>32</v>
      </c>
      <c r="J9369">
        <v>32</v>
      </c>
      <c r="K9369">
        <v>0</v>
      </c>
      <c r="L9369">
        <v>0</v>
      </c>
      <c r="M9369">
        <v>0</v>
      </c>
      <c r="N9369">
        <v>0</v>
      </c>
      <c r="O9369">
        <v>0</v>
      </c>
    </row>
    <row r="9370" spans="1:15" x14ac:dyDescent="0.25">
      <c r="A9370" t="s">
        <v>1590</v>
      </c>
      <c r="B9370" t="s">
        <v>2853</v>
      </c>
      <c r="C9370" t="s">
        <v>927</v>
      </c>
      <c r="D9370" t="s">
        <v>3052</v>
      </c>
      <c r="E9370" t="s">
        <v>3053</v>
      </c>
      <c r="F9370" t="s">
        <v>832</v>
      </c>
      <c r="G9370" t="s">
        <v>833</v>
      </c>
      <c r="H9370" t="s">
        <v>9299</v>
      </c>
      <c r="I9370">
        <v>4356</v>
      </c>
      <c r="J9370">
        <v>4108</v>
      </c>
      <c r="K9370">
        <v>0</v>
      </c>
      <c r="L9370">
        <v>0</v>
      </c>
      <c r="M9370">
        <v>0</v>
      </c>
      <c r="N9370">
        <v>0</v>
      </c>
      <c r="O9370">
        <v>248</v>
      </c>
    </row>
    <row r="9371" spans="1:15" x14ac:dyDescent="0.25">
      <c r="A9371" t="s">
        <v>998</v>
      </c>
      <c r="B9371" t="s">
        <v>2820</v>
      </c>
      <c r="C9371" t="s">
        <v>927</v>
      </c>
      <c r="D9371" t="s">
        <v>3052</v>
      </c>
      <c r="E9371" t="s">
        <v>3053</v>
      </c>
      <c r="F9371" t="s">
        <v>832</v>
      </c>
      <c r="G9371" t="s">
        <v>833</v>
      </c>
      <c r="H9371" t="s">
        <v>9300</v>
      </c>
      <c r="I9371">
        <v>13</v>
      </c>
      <c r="J9371">
        <v>6</v>
      </c>
      <c r="K9371">
        <v>0</v>
      </c>
      <c r="L9371">
        <v>0</v>
      </c>
      <c r="M9371">
        <v>0</v>
      </c>
      <c r="N9371">
        <v>0</v>
      </c>
      <c r="O9371">
        <v>7</v>
      </c>
    </row>
    <row r="9372" spans="1:15" x14ac:dyDescent="0.25">
      <c r="A9372" t="s">
        <v>10638</v>
      </c>
      <c r="B9372" t="s">
        <v>2057</v>
      </c>
      <c r="C9372" t="s">
        <v>927</v>
      </c>
      <c r="D9372" t="s">
        <v>3052</v>
      </c>
      <c r="E9372" t="s">
        <v>3053</v>
      </c>
      <c r="F9372" t="s">
        <v>832</v>
      </c>
      <c r="G9372" t="s">
        <v>833</v>
      </c>
      <c r="H9372" t="s">
        <v>15426</v>
      </c>
      <c r="I9372">
        <v>5</v>
      </c>
      <c r="J9372">
        <v>0</v>
      </c>
      <c r="K9372">
        <v>0</v>
      </c>
      <c r="L9372">
        <v>5</v>
      </c>
      <c r="M9372">
        <v>0</v>
      </c>
      <c r="N9372">
        <v>0</v>
      </c>
      <c r="O9372">
        <v>0</v>
      </c>
    </row>
    <row r="9373" spans="1:15" x14ac:dyDescent="0.25">
      <c r="A9373" t="s">
        <v>1005</v>
      </c>
      <c r="B9373" t="s">
        <v>2128</v>
      </c>
      <c r="C9373" t="s">
        <v>927</v>
      </c>
      <c r="D9373" t="s">
        <v>3052</v>
      </c>
      <c r="E9373" t="s">
        <v>3053</v>
      </c>
      <c r="F9373" t="s">
        <v>832</v>
      </c>
      <c r="G9373" t="s">
        <v>833</v>
      </c>
      <c r="H9373" t="s">
        <v>9301</v>
      </c>
      <c r="I9373">
        <v>4</v>
      </c>
      <c r="J9373">
        <v>0</v>
      </c>
      <c r="K9373">
        <v>0</v>
      </c>
      <c r="L9373">
        <v>4</v>
      </c>
      <c r="M9373">
        <v>0</v>
      </c>
      <c r="N9373">
        <v>0</v>
      </c>
      <c r="O9373">
        <v>0</v>
      </c>
    </row>
    <row r="9374" spans="1:15" x14ac:dyDescent="0.25">
      <c r="A9374" t="s">
        <v>10643</v>
      </c>
      <c r="B9374" t="s">
        <v>2987</v>
      </c>
      <c r="C9374" t="s">
        <v>927</v>
      </c>
      <c r="D9374" t="s">
        <v>3052</v>
      </c>
      <c r="E9374" t="s">
        <v>3053</v>
      </c>
      <c r="F9374" t="s">
        <v>832</v>
      </c>
      <c r="G9374" t="s">
        <v>833</v>
      </c>
      <c r="H9374" t="s">
        <v>11505</v>
      </c>
      <c r="I9374">
        <v>850</v>
      </c>
      <c r="J9374">
        <v>572</v>
      </c>
      <c r="K9374">
        <v>0</v>
      </c>
      <c r="L9374">
        <v>41</v>
      </c>
      <c r="M9374">
        <v>101</v>
      </c>
      <c r="N9374">
        <v>16</v>
      </c>
      <c r="O9374">
        <v>136</v>
      </c>
    </row>
    <row r="9375" spans="1:15" x14ac:dyDescent="0.25">
      <c r="A9375" t="s">
        <v>937</v>
      </c>
      <c r="B9375" t="s">
        <v>1962</v>
      </c>
      <c r="C9375" t="s">
        <v>927</v>
      </c>
      <c r="D9375" t="s">
        <v>3052</v>
      </c>
      <c r="E9375" t="s">
        <v>3053</v>
      </c>
      <c r="F9375" t="s">
        <v>832</v>
      </c>
      <c r="G9375" t="s">
        <v>833</v>
      </c>
      <c r="H9375" t="s">
        <v>9302</v>
      </c>
      <c r="I9375">
        <v>59</v>
      </c>
      <c r="J9375">
        <v>0</v>
      </c>
      <c r="K9375">
        <v>0</v>
      </c>
      <c r="L9375">
        <v>0</v>
      </c>
      <c r="M9375">
        <v>0</v>
      </c>
      <c r="N9375">
        <v>0</v>
      </c>
      <c r="O9375">
        <v>59</v>
      </c>
    </row>
    <row r="9376" spans="1:15" x14ac:dyDescent="0.25">
      <c r="A9376" t="s">
        <v>938</v>
      </c>
      <c r="B9376" t="s">
        <v>2791</v>
      </c>
      <c r="C9376" t="s">
        <v>927</v>
      </c>
      <c r="D9376" t="s">
        <v>3052</v>
      </c>
      <c r="E9376" t="s">
        <v>3053</v>
      </c>
      <c r="F9376" t="s">
        <v>832</v>
      </c>
      <c r="G9376" t="s">
        <v>833</v>
      </c>
      <c r="H9376" t="s">
        <v>9303</v>
      </c>
      <c r="I9376">
        <v>13</v>
      </c>
      <c r="J9376">
        <v>6</v>
      </c>
      <c r="K9376">
        <v>0</v>
      </c>
      <c r="L9376">
        <v>6</v>
      </c>
      <c r="M9376">
        <v>0</v>
      </c>
      <c r="N9376">
        <v>0</v>
      </c>
      <c r="O9376">
        <v>1</v>
      </c>
    </row>
    <row r="9377" spans="1:15" x14ac:dyDescent="0.25">
      <c r="A9377" t="s">
        <v>940</v>
      </c>
      <c r="B9377" t="s">
        <v>2647</v>
      </c>
      <c r="C9377" t="s">
        <v>927</v>
      </c>
      <c r="D9377" t="s">
        <v>3052</v>
      </c>
      <c r="E9377" t="s">
        <v>3053</v>
      </c>
      <c r="F9377" t="s">
        <v>832</v>
      </c>
      <c r="G9377" t="s">
        <v>833</v>
      </c>
      <c r="H9377" t="s">
        <v>11506</v>
      </c>
      <c r="I9377">
        <v>80</v>
      </c>
      <c r="J9377">
        <v>0</v>
      </c>
      <c r="K9377">
        <v>0</v>
      </c>
      <c r="L9377">
        <v>0</v>
      </c>
      <c r="M9377">
        <v>60</v>
      </c>
      <c r="N9377">
        <v>0</v>
      </c>
      <c r="O9377">
        <v>20</v>
      </c>
    </row>
    <row r="9378" spans="1:15" x14ac:dyDescent="0.25">
      <c r="A9378" t="s">
        <v>1025</v>
      </c>
      <c r="B9378" t="s">
        <v>2893</v>
      </c>
      <c r="C9378" t="s">
        <v>927</v>
      </c>
      <c r="D9378" t="s">
        <v>3052</v>
      </c>
      <c r="E9378" t="s">
        <v>3053</v>
      </c>
      <c r="F9378" t="s">
        <v>832</v>
      </c>
      <c r="G9378" t="s">
        <v>833</v>
      </c>
      <c r="H9378" t="s">
        <v>9304</v>
      </c>
      <c r="I9378">
        <v>8</v>
      </c>
      <c r="J9378">
        <v>0</v>
      </c>
      <c r="K9378">
        <v>0</v>
      </c>
      <c r="L9378">
        <v>0</v>
      </c>
      <c r="M9378">
        <v>0</v>
      </c>
      <c r="N9378">
        <v>0</v>
      </c>
      <c r="O9378">
        <v>8</v>
      </c>
    </row>
    <row r="9379" spans="1:15" x14ac:dyDescent="0.25">
      <c r="A9379" t="s">
        <v>10681</v>
      </c>
      <c r="B9379" t="s">
        <v>10680</v>
      </c>
      <c r="C9379" t="s">
        <v>927</v>
      </c>
      <c r="D9379" t="s">
        <v>3052</v>
      </c>
      <c r="E9379" t="s">
        <v>3053</v>
      </c>
      <c r="F9379" t="s">
        <v>832</v>
      </c>
      <c r="G9379" t="s">
        <v>833</v>
      </c>
      <c r="H9379" t="s">
        <v>15427</v>
      </c>
      <c r="I9379">
        <v>5</v>
      </c>
      <c r="J9379">
        <v>0</v>
      </c>
      <c r="K9379">
        <v>0</v>
      </c>
      <c r="L9379">
        <v>0</v>
      </c>
      <c r="M9379">
        <v>0</v>
      </c>
      <c r="N9379">
        <v>0</v>
      </c>
      <c r="O9379">
        <v>5</v>
      </c>
    </row>
    <row r="9380" spans="1:15" x14ac:dyDescent="0.25">
      <c r="A9380" t="s">
        <v>945</v>
      </c>
      <c r="B9380" t="s">
        <v>2668</v>
      </c>
      <c r="C9380" t="s">
        <v>927</v>
      </c>
      <c r="D9380" t="s">
        <v>3052</v>
      </c>
      <c r="E9380" t="s">
        <v>3053</v>
      </c>
      <c r="F9380" t="s">
        <v>832</v>
      </c>
      <c r="G9380" t="s">
        <v>833</v>
      </c>
      <c r="H9380" t="s">
        <v>9305</v>
      </c>
      <c r="I9380">
        <v>2</v>
      </c>
      <c r="J9380">
        <v>0</v>
      </c>
      <c r="K9380">
        <v>0</v>
      </c>
      <c r="L9380">
        <v>0</v>
      </c>
      <c r="M9380">
        <v>0</v>
      </c>
      <c r="N9380">
        <v>0</v>
      </c>
      <c r="O9380">
        <v>2</v>
      </c>
    </row>
    <row r="9381" spans="1:15" x14ac:dyDescent="0.25">
      <c r="A9381" t="s">
        <v>1041</v>
      </c>
      <c r="B9381" t="s">
        <v>2826</v>
      </c>
      <c r="C9381" t="s">
        <v>927</v>
      </c>
      <c r="D9381" t="s">
        <v>3052</v>
      </c>
      <c r="E9381" t="s">
        <v>3053</v>
      </c>
      <c r="F9381" t="s">
        <v>832</v>
      </c>
      <c r="G9381" t="s">
        <v>833</v>
      </c>
      <c r="H9381" t="s">
        <v>15428</v>
      </c>
      <c r="I9381">
        <v>6</v>
      </c>
      <c r="J9381">
        <v>0</v>
      </c>
      <c r="K9381">
        <v>0</v>
      </c>
      <c r="L9381">
        <v>0</v>
      </c>
      <c r="M9381">
        <v>0</v>
      </c>
      <c r="N9381">
        <v>0</v>
      </c>
      <c r="O9381">
        <v>6</v>
      </c>
    </row>
    <row r="9382" spans="1:15" x14ac:dyDescent="0.25">
      <c r="A9382" t="s">
        <v>1146</v>
      </c>
      <c r="B9382" t="s">
        <v>2117</v>
      </c>
      <c r="C9382" t="s">
        <v>927</v>
      </c>
      <c r="D9382" t="s">
        <v>3052</v>
      </c>
      <c r="E9382" t="s">
        <v>3053</v>
      </c>
      <c r="F9382" t="s">
        <v>832</v>
      </c>
      <c r="G9382" t="s">
        <v>833</v>
      </c>
      <c r="H9382" t="s">
        <v>15429</v>
      </c>
      <c r="I9382">
        <v>42</v>
      </c>
      <c r="J9382">
        <v>0</v>
      </c>
      <c r="K9382">
        <v>0</v>
      </c>
      <c r="L9382">
        <v>0</v>
      </c>
      <c r="M9382">
        <v>22</v>
      </c>
      <c r="N9382">
        <v>0</v>
      </c>
      <c r="O9382">
        <v>20</v>
      </c>
    </row>
    <row r="9383" spans="1:15" x14ac:dyDescent="0.25">
      <c r="A9383" t="s">
        <v>1049</v>
      </c>
      <c r="B9383" t="s">
        <v>2138</v>
      </c>
      <c r="C9383" t="s">
        <v>927</v>
      </c>
      <c r="D9383" t="s">
        <v>3052</v>
      </c>
      <c r="E9383" t="s">
        <v>3053</v>
      </c>
      <c r="F9383" t="s">
        <v>832</v>
      </c>
      <c r="G9383" t="s">
        <v>833</v>
      </c>
      <c r="H9383" t="s">
        <v>9306</v>
      </c>
      <c r="I9383">
        <v>82</v>
      </c>
      <c r="J9383">
        <v>30</v>
      </c>
      <c r="K9383">
        <v>0</v>
      </c>
      <c r="L9383">
        <v>0</v>
      </c>
      <c r="M9383">
        <v>0</v>
      </c>
      <c r="N9383">
        <v>0</v>
      </c>
      <c r="O9383">
        <v>52</v>
      </c>
    </row>
    <row r="9384" spans="1:15" x14ac:dyDescent="0.25">
      <c r="A9384" t="s">
        <v>11720</v>
      </c>
      <c r="B9384" t="s">
        <v>10718</v>
      </c>
      <c r="C9384" t="s">
        <v>927</v>
      </c>
      <c r="D9384" t="s">
        <v>3052</v>
      </c>
      <c r="E9384" t="s">
        <v>3053</v>
      </c>
      <c r="F9384" t="s">
        <v>832</v>
      </c>
      <c r="G9384" t="s">
        <v>833</v>
      </c>
      <c r="H9384" t="s">
        <v>15430</v>
      </c>
      <c r="I9384">
        <v>12</v>
      </c>
      <c r="J9384">
        <v>5</v>
      </c>
      <c r="K9384">
        <v>0</v>
      </c>
      <c r="L9384">
        <v>0</v>
      </c>
      <c r="M9384">
        <v>0</v>
      </c>
      <c r="N9384">
        <v>0</v>
      </c>
      <c r="O9384">
        <v>7</v>
      </c>
    </row>
    <row r="9385" spans="1:15" x14ac:dyDescent="0.25">
      <c r="A9385" t="s">
        <v>9788</v>
      </c>
      <c r="B9385" t="s">
        <v>9871</v>
      </c>
      <c r="C9385" t="s">
        <v>927</v>
      </c>
      <c r="D9385" t="s">
        <v>3052</v>
      </c>
      <c r="E9385" t="s">
        <v>3053</v>
      </c>
      <c r="F9385" t="s">
        <v>832</v>
      </c>
      <c r="G9385" t="s">
        <v>833</v>
      </c>
      <c r="H9385" t="s">
        <v>10389</v>
      </c>
      <c r="I9385">
        <v>200</v>
      </c>
      <c r="J9385">
        <v>200</v>
      </c>
      <c r="K9385">
        <v>0</v>
      </c>
      <c r="L9385">
        <v>0</v>
      </c>
      <c r="M9385">
        <v>0</v>
      </c>
      <c r="N9385">
        <v>0</v>
      </c>
      <c r="O9385">
        <v>0</v>
      </c>
    </row>
    <row r="9386" spans="1:15" x14ac:dyDescent="0.25">
      <c r="A9386" t="s">
        <v>955</v>
      </c>
      <c r="B9386" t="s">
        <v>2660</v>
      </c>
      <c r="C9386" t="s">
        <v>927</v>
      </c>
      <c r="D9386" t="s">
        <v>3052</v>
      </c>
      <c r="E9386" t="s">
        <v>3053</v>
      </c>
      <c r="F9386" t="s">
        <v>832</v>
      </c>
      <c r="G9386" t="s">
        <v>833</v>
      </c>
      <c r="H9386" t="s">
        <v>9307</v>
      </c>
      <c r="I9386">
        <v>458</v>
      </c>
      <c r="J9386">
        <v>451</v>
      </c>
      <c r="K9386">
        <v>2</v>
      </c>
      <c r="L9386">
        <v>0</v>
      </c>
      <c r="M9386">
        <v>0</v>
      </c>
      <c r="N9386">
        <v>0</v>
      </c>
      <c r="O9386">
        <v>5</v>
      </c>
    </row>
    <row r="9387" spans="1:15" x14ac:dyDescent="0.25">
      <c r="A9387" t="s">
        <v>1660</v>
      </c>
      <c r="B9387" t="s">
        <v>2827</v>
      </c>
      <c r="C9387" t="s">
        <v>927</v>
      </c>
      <c r="D9387" t="s">
        <v>3052</v>
      </c>
      <c r="E9387" t="s">
        <v>3053</v>
      </c>
      <c r="F9387" t="s">
        <v>832</v>
      </c>
      <c r="G9387" t="s">
        <v>833</v>
      </c>
      <c r="H9387" t="s">
        <v>9308</v>
      </c>
      <c r="I9387">
        <v>165</v>
      </c>
      <c r="J9387">
        <v>111</v>
      </c>
      <c r="K9387">
        <v>0</v>
      </c>
      <c r="L9387">
        <v>0</v>
      </c>
      <c r="M9387">
        <v>0</v>
      </c>
      <c r="N9387">
        <v>0</v>
      </c>
      <c r="O9387">
        <v>54</v>
      </c>
    </row>
    <row r="9388" spans="1:15" x14ac:dyDescent="0.25">
      <c r="A9388" t="s">
        <v>960</v>
      </c>
      <c r="B9388" t="s">
        <v>2080</v>
      </c>
      <c r="C9388" t="s">
        <v>927</v>
      </c>
      <c r="D9388" t="s">
        <v>3052</v>
      </c>
      <c r="E9388" t="s">
        <v>3053</v>
      </c>
      <c r="F9388" t="s">
        <v>832</v>
      </c>
      <c r="G9388" t="s">
        <v>833</v>
      </c>
      <c r="H9388" t="s">
        <v>9309</v>
      </c>
      <c r="I9388">
        <v>953</v>
      </c>
      <c r="J9388">
        <v>659</v>
      </c>
      <c r="K9388">
        <v>0</v>
      </c>
      <c r="L9388">
        <v>10</v>
      </c>
      <c r="M9388">
        <v>0</v>
      </c>
      <c r="N9388">
        <v>0</v>
      </c>
      <c r="O9388">
        <v>284</v>
      </c>
    </row>
    <row r="9389" spans="1:15" x14ac:dyDescent="0.25">
      <c r="A9389" t="s">
        <v>14374</v>
      </c>
      <c r="B9389" t="s">
        <v>1943</v>
      </c>
      <c r="C9389" t="s">
        <v>927</v>
      </c>
      <c r="D9389" t="s">
        <v>3052</v>
      </c>
      <c r="E9389" t="s">
        <v>3053</v>
      </c>
      <c r="F9389" t="s">
        <v>832</v>
      </c>
      <c r="G9389" t="s">
        <v>833</v>
      </c>
      <c r="H9389" t="s">
        <v>15431</v>
      </c>
      <c r="I9389">
        <v>97</v>
      </c>
      <c r="J9389">
        <v>0</v>
      </c>
      <c r="K9389">
        <v>0</v>
      </c>
      <c r="L9389">
        <v>0</v>
      </c>
      <c r="M9389">
        <v>0</v>
      </c>
      <c r="N9389">
        <v>0</v>
      </c>
      <c r="O9389">
        <v>97</v>
      </c>
    </row>
    <row r="9390" spans="1:15" x14ac:dyDescent="0.25">
      <c r="A9390" t="s">
        <v>962</v>
      </c>
      <c r="B9390" t="s">
        <v>2752</v>
      </c>
      <c r="C9390" t="s">
        <v>927</v>
      </c>
      <c r="D9390" t="s">
        <v>3052</v>
      </c>
      <c r="E9390" t="s">
        <v>3053</v>
      </c>
      <c r="F9390" t="s">
        <v>832</v>
      </c>
      <c r="G9390" t="s">
        <v>833</v>
      </c>
      <c r="H9390" t="s">
        <v>10459</v>
      </c>
      <c r="I9390">
        <v>84</v>
      </c>
      <c r="J9390">
        <v>64</v>
      </c>
      <c r="K9390">
        <v>0</v>
      </c>
      <c r="L9390">
        <v>2</v>
      </c>
      <c r="M9390">
        <v>0</v>
      </c>
      <c r="N9390">
        <v>0</v>
      </c>
      <c r="O9390">
        <v>18</v>
      </c>
    </row>
    <row r="9391" spans="1:15" x14ac:dyDescent="0.25">
      <c r="A9391" t="s">
        <v>1066</v>
      </c>
      <c r="B9391" t="s">
        <v>2557</v>
      </c>
      <c r="C9391" t="s">
        <v>927</v>
      </c>
      <c r="D9391" t="s">
        <v>3052</v>
      </c>
      <c r="E9391" t="s">
        <v>3053</v>
      </c>
      <c r="F9391" t="s">
        <v>832</v>
      </c>
      <c r="G9391" t="s">
        <v>833</v>
      </c>
      <c r="H9391" t="s">
        <v>9310</v>
      </c>
      <c r="I9391">
        <v>11</v>
      </c>
      <c r="J9391">
        <v>0</v>
      </c>
      <c r="K9391">
        <v>0</v>
      </c>
      <c r="L9391">
        <v>0</v>
      </c>
      <c r="M9391">
        <v>11</v>
      </c>
      <c r="N9391">
        <v>0</v>
      </c>
      <c r="O9391">
        <v>0</v>
      </c>
    </row>
    <row r="9392" spans="1:15" x14ac:dyDescent="0.25">
      <c r="A9392" t="s">
        <v>929</v>
      </c>
      <c r="B9392" t="s">
        <v>2999</v>
      </c>
      <c r="C9392" t="s">
        <v>927</v>
      </c>
      <c r="D9392" t="s">
        <v>3052</v>
      </c>
      <c r="E9392" t="s">
        <v>3053</v>
      </c>
      <c r="F9392" t="s">
        <v>834</v>
      </c>
      <c r="G9392" t="s">
        <v>835</v>
      </c>
      <c r="H9392" t="s">
        <v>9311</v>
      </c>
      <c r="I9392">
        <v>177</v>
      </c>
      <c r="J9392">
        <v>0</v>
      </c>
      <c r="K9392">
        <v>0</v>
      </c>
      <c r="L9392">
        <v>0</v>
      </c>
      <c r="M9392">
        <v>177</v>
      </c>
      <c r="N9392">
        <v>0</v>
      </c>
      <c r="O9392">
        <v>0</v>
      </c>
    </row>
    <row r="9393" spans="1:15" x14ac:dyDescent="0.25">
      <c r="A9393" t="s">
        <v>10588</v>
      </c>
      <c r="B9393" t="s">
        <v>10587</v>
      </c>
      <c r="C9393" t="s">
        <v>923</v>
      </c>
      <c r="D9393" t="s">
        <v>3063</v>
      </c>
      <c r="E9393" t="s">
        <v>3053</v>
      </c>
      <c r="F9393" t="s">
        <v>834</v>
      </c>
      <c r="G9393" t="s">
        <v>835</v>
      </c>
      <c r="H9393" t="s">
        <v>11507</v>
      </c>
      <c r="I9393">
        <v>7</v>
      </c>
      <c r="J9393">
        <v>0</v>
      </c>
      <c r="K9393">
        <v>0</v>
      </c>
      <c r="L9393">
        <v>0</v>
      </c>
      <c r="M9393">
        <v>7</v>
      </c>
      <c r="N9393">
        <v>0</v>
      </c>
      <c r="O9393">
        <v>0</v>
      </c>
    </row>
    <row r="9394" spans="1:15" x14ac:dyDescent="0.25">
      <c r="A9394" t="s">
        <v>1099</v>
      </c>
      <c r="B9394" t="s">
        <v>2641</v>
      </c>
      <c r="C9394" t="s">
        <v>927</v>
      </c>
      <c r="D9394" t="s">
        <v>3052</v>
      </c>
      <c r="E9394" t="s">
        <v>3053</v>
      </c>
      <c r="F9394" t="s">
        <v>834</v>
      </c>
      <c r="G9394" t="s">
        <v>835</v>
      </c>
      <c r="H9394" t="s">
        <v>9313</v>
      </c>
      <c r="I9394">
        <v>91</v>
      </c>
      <c r="J9394">
        <v>91</v>
      </c>
      <c r="K9394">
        <v>0</v>
      </c>
      <c r="L9394">
        <v>0</v>
      </c>
      <c r="M9394">
        <v>0</v>
      </c>
      <c r="N9394">
        <v>0</v>
      </c>
      <c r="O9394">
        <v>0</v>
      </c>
    </row>
    <row r="9395" spans="1:15" x14ac:dyDescent="0.25">
      <c r="A9395" t="s">
        <v>933</v>
      </c>
      <c r="B9395" t="s">
        <v>2106</v>
      </c>
      <c r="C9395" t="s">
        <v>927</v>
      </c>
      <c r="D9395" t="s">
        <v>3052</v>
      </c>
      <c r="E9395" t="s">
        <v>3053</v>
      </c>
      <c r="F9395" t="s">
        <v>834</v>
      </c>
      <c r="G9395" t="s">
        <v>835</v>
      </c>
      <c r="H9395" t="s">
        <v>9314</v>
      </c>
      <c r="I9395">
        <v>274</v>
      </c>
      <c r="J9395">
        <v>141</v>
      </c>
      <c r="K9395">
        <v>0</v>
      </c>
      <c r="L9395">
        <v>0</v>
      </c>
      <c r="M9395">
        <v>0</v>
      </c>
      <c r="N9395">
        <v>0</v>
      </c>
      <c r="O9395">
        <v>133</v>
      </c>
    </row>
    <row r="9396" spans="1:15" x14ac:dyDescent="0.25">
      <c r="A9396" t="s">
        <v>1104</v>
      </c>
      <c r="B9396" t="s">
        <v>2483</v>
      </c>
      <c r="C9396" t="s">
        <v>923</v>
      </c>
      <c r="D9396" t="s">
        <v>3063</v>
      </c>
      <c r="E9396" t="s">
        <v>3053</v>
      </c>
      <c r="F9396" t="s">
        <v>834</v>
      </c>
      <c r="G9396" t="s">
        <v>835</v>
      </c>
      <c r="H9396" t="s">
        <v>9315</v>
      </c>
      <c r="I9396">
        <v>3</v>
      </c>
      <c r="J9396">
        <v>3</v>
      </c>
      <c r="K9396">
        <v>0</v>
      </c>
      <c r="L9396">
        <v>0</v>
      </c>
      <c r="M9396">
        <v>0</v>
      </c>
      <c r="N9396">
        <v>0</v>
      </c>
      <c r="O9396">
        <v>0</v>
      </c>
    </row>
    <row r="9397" spans="1:15" x14ac:dyDescent="0.25">
      <c r="A9397" t="s">
        <v>1113</v>
      </c>
      <c r="B9397" t="s">
        <v>1953</v>
      </c>
      <c r="C9397" t="s">
        <v>927</v>
      </c>
      <c r="D9397" t="s">
        <v>3052</v>
      </c>
      <c r="E9397" t="s">
        <v>3053</v>
      </c>
      <c r="F9397" t="s">
        <v>834</v>
      </c>
      <c r="G9397" t="s">
        <v>835</v>
      </c>
      <c r="H9397" t="s">
        <v>9316</v>
      </c>
      <c r="I9397">
        <v>4668</v>
      </c>
      <c r="J9397">
        <v>4224</v>
      </c>
      <c r="K9397">
        <v>0</v>
      </c>
      <c r="L9397">
        <v>35</v>
      </c>
      <c r="M9397">
        <v>73</v>
      </c>
      <c r="N9397">
        <v>103</v>
      </c>
      <c r="O9397">
        <v>336</v>
      </c>
    </row>
    <row r="9398" spans="1:15" x14ac:dyDescent="0.25">
      <c r="A9398" t="s">
        <v>10638</v>
      </c>
      <c r="B9398" t="s">
        <v>2057</v>
      </c>
      <c r="C9398" t="s">
        <v>927</v>
      </c>
      <c r="D9398" t="s">
        <v>3052</v>
      </c>
      <c r="E9398" t="s">
        <v>3053</v>
      </c>
      <c r="F9398" t="s">
        <v>834</v>
      </c>
      <c r="G9398" t="s">
        <v>835</v>
      </c>
      <c r="H9398" t="s">
        <v>11508</v>
      </c>
      <c r="I9398">
        <v>6</v>
      </c>
      <c r="J9398">
        <v>0</v>
      </c>
      <c r="K9398">
        <v>0</v>
      </c>
      <c r="L9398">
        <v>6</v>
      </c>
      <c r="M9398">
        <v>0</v>
      </c>
      <c r="N9398">
        <v>0</v>
      </c>
      <c r="O9398">
        <v>0</v>
      </c>
    </row>
    <row r="9399" spans="1:15" x14ac:dyDescent="0.25">
      <c r="A9399" t="s">
        <v>1010</v>
      </c>
      <c r="B9399" t="s">
        <v>2639</v>
      </c>
      <c r="C9399" t="s">
        <v>927</v>
      </c>
      <c r="D9399" t="s">
        <v>3052</v>
      </c>
      <c r="E9399" t="s">
        <v>3053</v>
      </c>
      <c r="F9399" t="s">
        <v>834</v>
      </c>
      <c r="G9399" t="s">
        <v>835</v>
      </c>
      <c r="H9399" t="s">
        <v>9317</v>
      </c>
      <c r="I9399">
        <v>54</v>
      </c>
      <c r="J9399">
        <v>37</v>
      </c>
      <c r="K9399">
        <v>0</v>
      </c>
      <c r="L9399">
        <v>0</v>
      </c>
      <c r="M9399">
        <v>0</v>
      </c>
      <c r="N9399">
        <v>0</v>
      </c>
      <c r="O9399">
        <v>17</v>
      </c>
    </row>
    <row r="9400" spans="1:15" x14ac:dyDescent="0.25">
      <c r="A9400" t="s">
        <v>937</v>
      </c>
      <c r="B9400" t="s">
        <v>1962</v>
      </c>
      <c r="C9400" t="s">
        <v>927</v>
      </c>
      <c r="D9400" t="s">
        <v>3052</v>
      </c>
      <c r="E9400" t="s">
        <v>3053</v>
      </c>
      <c r="F9400" t="s">
        <v>834</v>
      </c>
      <c r="G9400" t="s">
        <v>835</v>
      </c>
      <c r="H9400" t="s">
        <v>10105</v>
      </c>
      <c r="I9400">
        <v>14</v>
      </c>
      <c r="J9400">
        <v>0</v>
      </c>
      <c r="K9400">
        <v>0</v>
      </c>
      <c r="L9400">
        <v>0</v>
      </c>
      <c r="M9400">
        <v>0</v>
      </c>
      <c r="N9400">
        <v>0</v>
      </c>
      <c r="O9400">
        <v>14</v>
      </c>
    </row>
    <row r="9401" spans="1:15" x14ac:dyDescent="0.25">
      <c r="A9401" t="s">
        <v>938</v>
      </c>
      <c r="B9401" t="s">
        <v>2791</v>
      </c>
      <c r="C9401" t="s">
        <v>927</v>
      </c>
      <c r="D9401" t="s">
        <v>3052</v>
      </c>
      <c r="E9401" t="s">
        <v>3053</v>
      </c>
      <c r="F9401" t="s">
        <v>834</v>
      </c>
      <c r="G9401" t="s">
        <v>835</v>
      </c>
      <c r="H9401" t="s">
        <v>15432</v>
      </c>
      <c r="I9401">
        <v>31</v>
      </c>
      <c r="J9401">
        <v>0</v>
      </c>
      <c r="K9401">
        <v>0</v>
      </c>
      <c r="L9401">
        <v>31</v>
      </c>
      <c r="M9401">
        <v>0</v>
      </c>
      <c r="N9401">
        <v>0</v>
      </c>
      <c r="O9401">
        <v>0</v>
      </c>
    </row>
    <row r="9402" spans="1:15" x14ac:dyDescent="0.25">
      <c r="A9402" t="s">
        <v>940</v>
      </c>
      <c r="B9402" t="s">
        <v>2647</v>
      </c>
      <c r="C9402" t="s">
        <v>927</v>
      </c>
      <c r="D9402" t="s">
        <v>3052</v>
      </c>
      <c r="E9402" t="s">
        <v>3053</v>
      </c>
      <c r="F9402" t="s">
        <v>834</v>
      </c>
      <c r="G9402" t="s">
        <v>835</v>
      </c>
      <c r="H9402" t="s">
        <v>9318</v>
      </c>
      <c r="I9402">
        <v>123</v>
      </c>
      <c r="J9402">
        <v>0</v>
      </c>
      <c r="K9402">
        <v>0</v>
      </c>
      <c r="L9402">
        <v>0</v>
      </c>
      <c r="M9402">
        <v>123</v>
      </c>
      <c r="N9402">
        <v>0</v>
      </c>
      <c r="O9402">
        <v>0</v>
      </c>
    </row>
    <row r="9403" spans="1:15" x14ac:dyDescent="0.25">
      <c r="A9403" t="s">
        <v>1013</v>
      </c>
      <c r="B9403" t="s">
        <v>1959</v>
      </c>
      <c r="C9403" t="s">
        <v>927</v>
      </c>
      <c r="D9403" t="s">
        <v>3052</v>
      </c>
      <c r="E9403" t="s">
        <v>3053</v>
      </c>
      <c r="F9403" t="s">
        <v>834</v>
      </c>
      <c r="G9403" t="s">
        <v>835</v>
      </c>
      <c r="H9403" t="s">
        <v>11509</v>
      </c>
      <c r="I9403">
        <v>4</v>
      </c>
      <c r="J9403">
        <v>0</v>
      </c>
      <c r="K9403">
        <v>0</v>
      </c>
      <c r="L9403">
        <v>4</v>
      </c>
      <c r="M9403">
        <v>0</v>
      </c>
      <c r="N9403">
        <v>0</v>
      </c>
      <c r="O9403">
        <v>0</v>
      </c>
    </row>
    <row r="9404" spans="1:15" x14ac:dyDescent="0.25">
      <c r="A9404" t="s">
        <v>10667</v>
      </c>
      <c r="B9404" t="s">
        <v>10666</v>
      </c>
      <c r="C9404" t="s">
        <v>927</v>
      </c>
      <c r="D9404" t="s">
        <v>3052</v>
      </c>
      <c r="E9404" t="s">
        <v>3053</v>
      </c>
      <c r="F9404" t="s">
        <v>834</v>
      </c>
      <c r="G9404" t="s">
        <v>835</v>
      </c>
      <c r="H9404" t="s">
        <v>11510</v>
      </c>
      <c r="I9404">
        <v>27</v>
      </c>
      <c r="J9404">
        <v>27</v>
      </c>
      <c r="K9404">
        <v>0</v>
      </c>
      <c r="L9404">
        <v>0</v>
      </c>
      <c r="M9404">
        <v>0</v>
      </c>
      <c r="N9404">
        <v>0</v>
      </c>
      <c r="O9404">
        <v>0</v>
      </c>
    </row>
    <row r="9405" spans="1:15" x14ac:dyDescent="0.25">
      <c r="A9405" t="s">
        <v>1126</v>
      </c>
      <c r="B9405" t="s">
        <v>2130</v>
      </c>
      <c r="C9405" t="s">
        <v>927</v>
      </c>
      <c r="D9405" t="s">
        <v>3052</v>
      </c>
      <c r="E9405" t="s">
        <v>3053</v>
      </c>
      <c r="F9405" t="s">
        <v>834</v>
      </c>
      <c r="G9405" t="s">
        <v>835</v>
      </c>
      <c r="H9405" t="s">
        <v>10171</v>
      </c>
      <c r="I9405">
        <v>57</v>
      </c>
      <c r="J9405">
        <v>35</v>
      </c>
      <c r="K9405">
        <v>0</v>
      </c>
      <c r="L9405">
        <v>0</v>
      </c>
      <c r="M9405">
        <v>0</v>
      </c>
      <c r="N9405">
        <v>0</v>
      </c>
      <c r="O9405">
        <v>22</v>
      </c>
    </row>
    <row r="9406" spans="1:15" x14ac:dyDescent="0.25">
      <c r="A9406" t="s">
        <v>1025</v>
      </c>
      <c r="B9406" t="s">
        <v>2893</v>
      </c>
      <c r="C9406" t="s">
        <v>927</v>
      </c>
      <c r="D9406" t="s">
        <v>3052</v>
      </c>
      <c r="E9406" t="s">
        <v>3053</v>
      </c>
      <c r="F9406" t="s">
        <v>834</v>
      </c>
      <c r="G9406" t="s">
        <v>835</v>
      </c>
      <c r="H9406" t="s">
        <v>10199</v>
      </c>
      <c r="I9406">
        <v>1</v>
      </c>
      <c r="J9406">
        <v>0</v>
      </c>
      <c r="K9406">
        <v>0</v>
      </c>
      <c r="L9406">
        <v>0</v>
      </c>
      <c r="M9406">
        <v>0</v>
      </c>
      <c r="N9406">
        <v>0</v>
      </c>
      <c r="O9406">
        <v>1</v>
      </c>
    </row>
    <row r="9407" spans="1:15" x14ac:dyDescent="0.25">
      <c r="A9407" t="s">
        <v>10681</v>
      </c>
      <c r="B9407" t="s">
        <v>10680</v>
      </c>
      <c r="C9407" t="s">
        <v>927</v>
      </c>
      <c r="D9407" t="s">
        <v>3052</v>
      </c>
      <c r="E9407" t="s">
        <v>3053</v>
      </c>
      <c r="F9407" t="s">
        <v>834</v>
      </c>
      <c r="G9407" t="s">
        <v>835</v>
      </c>
      <c r="H9407" t="s">
        <v>15433</v>
      </c>
      <c r="I9407">
        <v>5</v>
      </c>
      <c r="J9407">
        <v>0</v>
      </c>
      <c r="K9407">
        <v>0</v>
      </c>
      <c r="L9407">
        <v>0</v>
      </c>
      <c r="M9407">
        <v>0</v>
      </c>
      <c r="N9407">
        <v>0</v>
      </c>
      <c r="O9407">
        <v>5</v>
      </c>
    </row>
    <row r="9408" spans="1:15" x14ac:dyDescent="0.25">
      <c r="A9408" t="s">
        <v>943</v>
      </c>
      <c r="B9408" t="s">
        <v>2694</v>
      </c>
      <c r="C9408" t="s">
        <v>927</v>
      </c>
      <c r="D9408" t="s">
        <v>3052</v>
      </c>
      <c r="E9408" t="s">
        <v>3053</v>
      </c>
      <c r="F9408" t="s">
        <v>834</v>
      </c>
      <c r="G9408" t="s">
        <v>835</v>
      </c>
      <c r="H9408" t="s">
        <v>9319</v>
      </c>
      <c r="I9408">
        <v>191</v>
      </c>
      <c r="J9408">
        <v>150</v>
      </c>
      <c r="K9408">
        <v>0</v>
      </c>
      <c r="L9408">
        <v>17</v>
      </c>
      <c r="M9408">
        <v>0</v>
      </c>
      <c r="N9408">
        <v>0</v>
      </c>
      <c r="O9408">
        <v>24</v>
      </c>
    </row>
    <row r="9409" spans="1:15" x14ac:dyDescent="0.25">
      <c r="A9409" t="s">
        <v>1041</v>
      </c>
      <c r="B9409" t="s">
        <v>2826</v>
      </c>
      <c r="C9409" t="s">
        <v>927</v>
      </c>
      <c r="D9409" t="s">
        <v>3052</v>
      </c>
      <c r="E9409" t="s">
        <v>3053</v>
      </c>
      <c r="F9409" t="s">
        <v>834</v>
      </c>
      <c r="G9409" t="s">
        <v>835</v>
      </c>
      <c r="H9409" t="s">
        <v>9320</v>
      </c>
      <c r="I9409">
        <v>78</v>
      </c>
      <c r="J9409">
        <v>0</v>
      </c>
      <c r="K9409">
        <v>0</v>
      </c>
      <c r="L9409">
        <v>0</v>
      </c>
      <c r="M9409">
        <v>0</v>
      </c>
      <c r="N9409">
        <v>0</v>
      </c>
      <c r="O9409">
        <v>78</v>
      </c>
    </row>
    <row r="9410" spans="1:15" x14ac:dyDescent="0.25">
      <c r="A9410" t="s">
        <v>9787</v>
      </c>
      <c r="B9410" t="s">
        <v>2822</v>
      </c>
      <c r="C9410" t="s">
        <v>927</v>
      </c>
      <c r="D9410" t="s">
        <v>3052</v>
      </c>
      <c r="E9410" t="s">
        <v>3053</v>
      </c>
      <c r="F9410" t="s">
        <v>834</v>
      </c>
      <c r="G9410" t="s">
        <v>835</v>
      </c>
      <c r="H9410" t="s">
        <v>10290</v>
      </c>
      <c r="I9410">
        <v>466</v>
      </c>
      <c r="J9410">
        <v>345</v>
      </c>
      <c r="K9410">
        <v>0</v>
      </c>
      <c r="L9410">
        <v>41</v>
      </c>
      <c r="M9410">
        <v>80</v>
      </c>
      <c r="N9410">
        <v>0</v>
      </c>
      <c r="O9410">
        <v>0</v>
      </c>
    </row>
    <row r="9411" spans="1:15" x14ac:dyDescent="0.25">
      <c r="A9411" t="s">
        <v>1141</v>
      </c>
      <c r="B9411" t="s">
        <v>2642</v>
      </c>
      <c r="C9411" t="s">
        <v>927</v>
      </c>
      <c r="D9411" t="s">
        <v>3052</v>
      </c>
      <c r="E9411" t="s">
        <v>3053</v>
      </c>
      <c r="F9411" t="s">
        <v>834</v>
      </c>
      <c r="G9411" t="s">
        <v>835</v>
      </c>
      <c r="H9411" t="s">
        <v>9321</v>
      </c>
      <c r="I9411">
        <v>153</v>
      </c>
      <c r="J9411">
        <v>136</v>
      </c>
      <c r="K9411">
        <v>0</v>
      </c>
      <c r="L9411">
        <v>13</v>
      </c>
      <c r="M9411">
        <v>0</v>
      </c>
      <c r="N9411">
        <v>0</v>
      </c>
      <c r="O9411">
        <v>4</v>
      </c>
    </row>
    <row r="9412" spans="1:15" x14ac:dyDescent="0.25">
      <c r="A9412" t="s">
        <v>1144</v>
      </c>
      <c r="B9412" t="s">
        <v>2124</v>
      </c>
      <c r="C9412" t="s">
        <v>923</v>
      </c>
      <c r="D9412" t="s">
        <v>3063</v>
      </c>
      <c r="E9412" t="s">
        <v>3053</v>
      </c>
      <c r="F9412" t="s">
        <v>834</v>
      </c>
      <c r="G9412" t="s">
        <v>835</v>
      </c>
      <c r="H9412" t="s">
        <v>15434</v>
      </c>
      <c r="I9412">
        <v>15</v>
      </c>
      <c r="J9412">
        <v>15</v>
      </c>
      <c r="K9412">
        <v>0</v>
      </c>
      <c r="L9412">
        <v>0</v>
      </c>
      <c r="M9412">
        <v>0</v>
      </c>
      <c r="N9412">
        <v>0</v>
      </c>
      <c r="O9412">
        <v>0</v>
      </c>
    </row>
    <row r="9413" spans="1:15" x14ac:dyDescent="0.25">
      <c r="A9413" t="s">
        <v>1146</v>
      </c>
      <c r="B9413" t="s">
        <v>2117</v>
      </c>
      <c r="C9413" t="s">
        <v>927</v>
      </c>
      <c r="D9413" t="s">
        <v>3052</v>
      </c>
      <c r="E9413" t="s">
        <v>3053</v>
      </c>
      <c r="F9413" t="s">
        <v>834</v>
      </c>
      <c r="G9413" t="s">
        <v>835</v>
      </c>
      <c r="H9413" t="s">
        <v>15435</v>
      </c>
      <c r="I9413">
        <v>1</v>
      </c>
      <c r="J9413">
        <v>0</v>
      </c>
      <c r="K9413">
        <v>0</v>
      </c>
      <c r="L9413">
        <v>0</v>
      </c>
      <c r="M9413">
        <v>0</v>
      </c>
      <c r="N9413">
        <v>0</v>
      </c>
      <c r="O9413">
        <v>1</v>
      </c>
    </row>
    <row r="9414" spans="1:15" x14ac:dyDescent="0.25">
      <c r="A9414" t="s">
        <v>1906</v>
      </c>
      <c r="B9414" t="s">
        <v>1983</v>
      </c>
      <c r="C9414" t="s">
        <v>923</v>
      </c>
      <c r="D9414" t="s">
        <v>3063</v>
      </c>
      <c r="E9414" t="s">
        <v>3053</v>
      </c>
      <c r="F9414" t="s">
        <v>834</v>
      </c>
      <c r="G9414" t="s">
        <v>835</v>
      </c>
      <c r="H9414" t="s">
        <v>15436</v>
      </c>
      <c r="I9414">
        <v>30</v>
      </c>
      <c r="J9414">
        <v>30</v>
      </c>
      <c r="K9414">
        <v>0</v>
      </c>
      <c r="L9414">
        <v>0</v>
      </c>
      <c r="M9414">
        <v>0</v>
      </c>
      <c r="N9414">
        <v>0</v>
      </c>
      <c r="O9414">
        <v>0</v>
      </c>
    </row>
    <row r="9415" spans="1:15" x14ac:dyDescent="0.25">
      <c r="A9415" t="s">
        <v>1048</v>
      </c>
      <c r="B9415" t="s">
        <v>2989</v>
      </c>
      <c r="C9415" t="s">
        <v>927</v>
      </c>
      <c r="D9415" t="s">
        <v>3052</v>
      </c>
      <c r="E9415" t="s">
        <v>3053</v>
      </c>
      <c r="F9415" t="s">
        <v>834</v>
      </c>
      <c r="G9415" t="s">
        <v>835</v>
      </c>
      <c r="H9415" t="s">
        <v>12493</v>
      </c>
      <c r="I9415">
        <v>52</v>
      </c>
      <c r="J9415">
        <v>52</v>
      </c>
      <c r="K9415">
        <v>0</v>
      </c>
      <c r="L9415">
        <v>0</v>
      </c>
      <c r="M9415">
        <v>0</v>
      </c>
      <c r="N9415">
        <v>0</v>
      </c>
      <c r="O9415">
        <v>0</v>
      </c>
    </row>
    <row r="9416" spans="1:15" x14ac:dyDescent="0.25">
      <c r="A9416" t="s">
        <v>953</v>
      </c>
      <c r="B9416" t="s">
        <v>2014</v>
      </c>
      <c r="C9416" t="s">
        <v>927</v>
      </c>
      <c r="D9416" t="s">
        <v>3052</v>
      </c>
      <c r="E9416" t="s">
        <v>3053</v>
      </c>
      <c r="F9416" t="s">
        <v>834</v>
      </c>
      <c r="G9416" t="s">
        <v>835</v>
      </c>
      <c r="H9416" t="s">
        <v>9322</v>
      </c>
      <c r="I9416">
        <v>13</v>
      </c>
      <c r="J9416">
        <v>0</v>
      </c>
      <c r="K9416">
        <v>0</v>
      </c>
      <c r="L9416">
        <v>13</v>
      </c>
      <c r="M9416">
        <v>0</v>
      </c>
      <c r="N9416">
        <v>0</v>
      </c>
      <c r="O9416">
        <v>0</v>
      </c>
    </row>
    <row r="9417" spans="1:15" x14ac:dyDescent="0.25">
      <c r="A9417" t="s">
        <v>1152</v>
      </c>
      <c r="B9417" t="s">
        <v>3031</v>
      </c>
      <c r="C9417" t="s">
        <v>927</v>
      </c>
      <c r="D9417" t="s">
        <v>3052</v>
      </c>
      <c r="E9417" t="s">
        <v>3053</v>
      </c>
      <c r="F9417" t="s">
        <v>834</v>
      </c>
      <c r="G9417" t="s">
        <v>835</v>
      </c>
      <c r="H9417" t="s">
        <v>9323</v>
      </c>
      <c r="I9417">
        <v>5</v>
      </c>
      <c r="J9417">
        <v>0</v>
      </c>
      <c r="K9417">
        <v>0</v>
      </c>
      <c r="L9417">
        <v>4</v>
      </c>
      <c r="M9417">
        <v>0</v>
      </c>
      <c r="N9417">
        <v>0</v>
      </c>
      <c r="O9417">
        <v>1</v>
      </c>
    </row>
    <row r="9418" spans="1:15" x14ac:dyDescent="0.25">
      <c r="A9418" t="s">
        <v>11720</v>
      </c>
      <c r="B9418" t="s">
        <v>10718</v>
      </c>
      <c r="C9418" t="s">
        <v>927</v>
      </c>
      <c r="D9418" t="s">
        <v>3052</v>
      </c>
      <c r="E9418" t="s">
        <v>3053</v>
      </c>
      <c r="F9418" t="s">
        <v>834</v>
      </c>
      <c r="G9418" t="s">
        <v>835</v>
      </c>
      <c r="H9418" t="s">
        <v>15437</v>
      </c>
      <c r="I9418">
        <v>51</v>
      </c>
      <c r="J9418">
        <v>27</v>
      </c>
      <c r="K9418">
        <v>0</v>
      </c>
      <c r="L9418">
        <v>0</v>
      </c>
      <c r="M9418">
        <v>0</v>
      </c>
      <c r="N9418">
        <v>0</v>
      </c>
      <c r="O9418">
        <v>24</v>
      </c>
    </row>
    <row r="9419" spans="1:15" x14ac:dyDescent="0.25">
      <c r="A9419" t="s">
        <v>9788</v>
      </c>
      <c r="B9419" t="s">
        <v>9871</v>
      </c>
      <c r="C9419" t="s">
        <v>927</v>
      </c>
      <c r="D9419" t="s">
        <v>3052</v>
      </c>
      <c r="E9419" t="s">
        <v>3053</v>
      </c>
      <c r="F9419" t="s">
        <v>834</v>
      </c>
      <c r="G9419" t="s">
        <v>835</v>
      </c>
      <c r="H9419" t="s">
        <v>10390</v>
      </c>
      <c r="I9419">
        <v>131</v>
      </c>
      <c r="J9419">
        <v>131</v>
      </c>
      <c r="K9419">
        <v>0</v>
      </c>
      <c r="L9419">
        <v>0</v>
      </c>
      <c r="M9419">
        <v>0</v>
      </c>
      <c r="N9419">
        <v>0</v>
      </c>
      <c r="O9419">
        <v>0</v>
      </c>
    </row>
    <row r="9420" spans="1:15" x14ac:dyDescent="0.25">
      <c r="A9420" t="s">
        <v>1057</v>
      </c>
      <c r="B9420" t="s">
        <v>1972</v>
      </c>
      <c r="C9420" t="s">
        <v>927</v>
      </c>
      <c r="D9420" t="s">
        <v>3052</v>
      </c>
      <c r="E9420" t="s">
        <v>3053</v>
      </c>
      <c r="F9420" t="s">
        <v>834</v>
      </c>
      <c r="G9420" t="s">
        <v>835</v>
      </c>
      <c r="H9420" t="s">
        <v>9324</v>
      </c>
      <c r="I9420">
        <v>67</v>
      </c>
      <c r="J9420">
        <v>0</v>
      </c>
      <c r="K9420">
        <v>0</v>
      </c>
      <c r="L9420">
        <v>67</v>
      </c>
      <c r="M9420">
        <v>0</v>
      </c>
      <c r="N9420">
        <v>0</v>
      </c>
      <c r="O9420">
        <v>0</v>
      </c>
    </row>
    <row r="9421" spans="1:15" x14ac:dyDescent="0.25">
      <c r="A9421" t="s">
        <v>955</v>
      </c>
      <c r="B9421" t="s">
        <v>2660</v>
      </c>
      <c r="C9421" t="s">
        <v>927</v>
      </c>
      <c r="D9421" t="s">
        <v>3052</v>
      </c>
      <c r="E9421" t="s">
        <v>3053</v>
      </c>
      <c r="F9421" t="s">
        <v>834</v>
      </c>
      <c r="G9421" t="s">
        <v>835</v>
      </c>
      <c r="H9421" t="s">
        <v>9325</v>
      </c>
      <c r="I9421">
        <v>270</v>
      </c>
      <c r="J9421">
        <v>181</v>
      </c>
      <c r="K9421">
        <v>0</v>
      </c>
      <c r="L9421">
        <v>17</v>
      </c>
      <c r="M9421">
        <v>34</v>
      </c>
      <c r="N9421">
        <v>0</v>
      </c>
      <c r="O9421">
        <v>38</v>
      </c>
    </row>
    <row r="9422" spans="1:15" x14ac:dyDescent="0.25">
      <c r="A9422" t="s">
        <v>11663</v>
      </c>
      <c r="B9422" t="s">
        <v>11768</v>
      </c>
      <c r="C9422" t="s">
        <v>927</v>
      </c>
      <c r="D9422" t="s">
        <v>3052</v>
      </c>
      <c r="E9422" t="s">
        <v>3053</v>
      </c>
      <c r="F9422" t="s">
        <v>834</v>
      </c>
      <c r="G9422" t="s">
        <v>835</v>
      </c>
      <c r="H9422" t="s">
        <v>12494</v>
      </c>
      <c r="I9422">
        <v>1</v>
      </c>
      <c r="J9422">
        <v>0</v>
      </c>
      <c r="K9422">
        <v>0</v>
      </c>
      <c r="L9422">
        <v>0</v>
      </c>
      <c r="M9422">
        <v>0</v>
      </c>
      <c r="N9422">
        <v>0</v>
      </c>
      <c r="O9422">
        <v>1</v>
      </c>
    </row>
    <row r="9423" spans="1:15" x14ac:dyDescent="0.25">
      <c r="A9423" t="s">
        <v>14374</v>
      </c>
      <c r="B9423" t="s">
        <v>1943</v>
      </c>
      <c r="C9423" t="s">
        <v>927</v>
      </c>
      <c r="D9423" t="s">
        <v>3052</v>
      </c>
      <c r="E9423" t="s">
        <v>3053</v>
      </c>
      <c r="F9423" t="s">
        <v>834</v>
      </c>
      <c r="G9423" t="s">
        <v>835</v>
      </c>
      <c r="H9423" t="s">
        <v>15438</v>
      </c>
      <c r="I9423">
        <v>40</v>
      </c>
      <c r="J9423">
        <v>0</v>
      </c>
      <c r="K9423">
        <v>0</v>
      </c>
      <c r="L9423">
        <v>0</v>
      </c>
      <c r="M9423">
        <v>0</v>
      </c>
      <c r="N9423">
        <v>0</v>
      </c>
      <c r="O9423">
        <v>40</v>
      </c>
    </row>
    <row r="9424" spans="1:15" x14ac:dyDescent="0.25">
      <c r="A9424" t="s">
        <v>962</v>
      </c>
      <c r="B9424" t="s">
        <v>2752</v>
      </c>
      <c r="C9424" t="s">
        <v>927</v>
      </c>
      <c r="D9424" t="s">
        <v>3052</v>
      </c>
      <c r="E9424" t="s">
        <v>3053</v>
      </c>
      <c r="F9424" t="s">
        <v>834</v>
      </c>
      <c r="G9424" t="s">
        <v>835</v>
      </c>
      <c r="H9424" t="s">
        <v>10460</v>
      </c>
      <c r="I9424">
        <v>232</v>
      </c>
      <c r="J9424">
        <v>226</v>
      </c>
      <c r="K9424">
        <v>0</v>
      </c>
      <c r="L9424">
        <v>0</v>
      </c>
      <c r="M9424">
        <v>0</v>
      </c>
      <c r="N9424">
        <v>0</v>
      </c>
      <c r="O9424">
        <v>6</v>
      </c>
    </row>
    <row r="9425" spans="1:15" x14ac:dyDescent="0.25">
      <c r="A9425" t="s">
        <v>1168</v>
      </c>
      <c r="B9425" t="s">
        <v>2712</v>
      </c>
      <c r="C9425" t="s">
        <v>927</v>
      </c>
      <c r="D9425" t="s">
        <v>3052</v>
      </c>
      <c r="E9425" t="s">
        <v>3053</v>
      </c>
      <c r="F9425" t="s">
        <v>834</v>
      </c>
      <c r="G9425" t="s">
        <v>835</v>
      </c>
      <c r="H9425" t="s">
        <v>9326</v>
      </c>
      <c r="I9425">
        <v>44</v>
      </c>
      <c r="J9425">
        <v>34</v>
      </c>
      <c r="K9425">
        <v>0</v>
      </c>
      <c r="L9425">
        <v>0</v>
      </c>
      <c r="M9425">
        <v>0</v>
      </c>
      <c r="N9425">
        <v>0</v>
      </c>
      <c r="O9425">
        <v>10</v>
      </c>
    </row>
    <row r="9426" spans="1:15" x14ac:dyDescent="0.25">
      <c r="A9426" t="s">
        <v>1172</v>
      </c>
      <c r="B9426" t="s">
        <v>3023</v>
      </c>
      <c r="C9426" t="s">
        <v>927</v>
      </c>
      <c r="D9426" t="s">
        <v>3052</v>
      </c>
      <c r="E9426" t="s">
        <v>3053</v>
      </c>
      <c r="F9426" t="s">
        <v>834</v>
      </c>
      <c r="G9426" t="s">
        <v>835</v>
      </c>
      <c r="H9426" t="s">
        <v>9327</v>
      </c>
      <c r="I9426">
        <v>6393</v>
      </c>
      <c r="J9426">
        <v>5829</v>
      </c>
      <c r="K9426">
        <v>0</v>
      </c>
      <c r="L9426">
        <v>98</v>
      </c>
      <c r="M9426">
        <v>261</v>
      </c>
      <c r="N9426">
        <v>0</v>
      </c>
      <c r="O9426">
        <v>205</v>
      </c>
    </row>
    <row r="9427" spans="1:15" x14ac:dyDescent="0.25">
      <c r="A9427" t="s">
        <v>1176</v>
      </c>
      <c r="B9427" t="s">
        <v>2952</v>
      </c>
      <c r="C9427" t="s">
        <v>923</v>
      </c>
      <c r="D9427" t="s">
        <v>3063</v>
      </c>
      <c r="E9427" t="s">
        <v>3053</v>
      </c>
      <c r="F9427" t="s">
        <v>834</v>
      </c>
      <c r="G9427" t="s">
        <v>835</v>
      </c>
      <c r="H9427" t="s">
        <v>9328</v>
      </c>
      <c r="I9427">
        <v>7</v>
      </c>
      <c r="J9427">
        <v>1</v>
      </c>
      <c r="K9427">
        <v>0</v>
      </c>
      <c r="L9427">
        <v>6</v>
      </c>
      <c r="M9427">
        <v>0</v>
      </c>
      <c r="N9427">
        <v>0</v>
      </c>
      <c r="O9427">
        <v>0</v>
      </c>
    </row>
    <row r="9428" spans="1:15" x14ac:dyDescent="0.25">
      <c r="A9428" t="s">
        <v>1071</v>
      </c>
      <c r="B9428" t="s">
        <v>2571</v>
      </c>
      <c r="C9428" t="s">
        <v>923</v>
      </c>
      <c r="D9428" t="s">
        <v>3063</v>
      </c>
      <c r="E9428" t="s">
        <v>3053</v>
      </c>
      <c r="F9428" t="s">
        <v>834</v>
      </c>
      <c r="G9428" t="s">
        <v>835</v>
      </c>
      <c r="H9428" t="s">
        <v>12495</v>
      </c>
      <c r="I9428">
        <v>7</v>
      </c>
      <c r="J9428">
        <v>0</v>
      </c>
      <c r="K9428">
        <v>0</v>
      </c>
      <c r="L9428">
        <v>7</v>
      </c>
      <c r="M9428">
        <v>0</v>
      </c>
      <c r="N9428">
        <v>0</v>
      </c>
      <c r="O9428">
        <v>0</v>
      </c>
    </row>
    <row r="9429" spans="1:15" x14ac:dyDescent="0.25">
      <c r="A9429" t="s">
        <v>1072</v>
      </c>
      <c r="B9429" t="s">
        <v>2907</v>
      </c>
      <c r="C9429" t="s">
        <v>927</v>
      </c>
      <c r="D9429" t="s">
        <v>3052</v>
      </c>
      <c r="E9429" t="s">
        <v>3053</v>
      </c>
      <c r="F9429" t="s">
        <v>834</v>
      </c>
      <c r="G9429" t="s">
        <v>835</v>
      </c>
      <c r="H9429" t="s">
        <v>9329</v>
      </c>
      <c r="I9429">
        <v>73</v>
      </c>
      <c r="J9429">
        <v>16</v>
      </c>
      <c r="K9429">
        <v>0</v>
      </c>
      <c r="L9429">
        <v>57</v>
      </c>
      <c r="M9429">
        <v>0</v>
      </c>
      <c r="N9429">
        <v>0</v>
      </c>
      <c r="O9429">
        <v>0</v>
      </c>
    </row>
    <row r="9430" spans="1:15" x14ac:dyDescent="0.25">
      <c r="A9430" t="s">
        <v>981</v>
      </c>
      <c r="B9430" t="s">
        <v>2985</v>
      </c>
      <c r="C9430" t="s">
        <v>927</v>
      </c>
      <c r="D9430" t="s">
        <v>3052</v>
      </c>
      <c r="E9430" t="s">
        <v>3053</v>
      </c>
      <c r="F9430" t="s">
        <v>834</v>
      </c>
      <c r="G9430" t="s">
        <v>835</v>
      </c>
      <c r="H9430" t="s">
        <v>9312</v>
      </c>
      <c r="I9430">
        <v>68</v>
      </c>
      <c r="J9430">
        <v>5</v>
      </c>
      <c r="K9430">
        <v>0</v>
      </c>
      <c r="L9430">
        <v>0</v>
      </c>
      <c r="M9430">
        <v>13</v>
      </c>
      <c r="N9430">
        <v>0</v>
      </c>
      <c r="O9430">
        <v>50</v>
      </c>
    </row>
    <row r="9431" spans="1:15" x14ac:dyDescent="0.25">
      <c r="A9431" t="s">
        <v>1195</v>
      </c>
      <c r="B9431" t="s">
        <v>2924</v>
      </c>
      <c r="C9431" t="s">
        <v>927</v>
      </c>
      <c r="D9431" t="s">
        <v>3052</v>
      </c>
      <c r="E9431" t="s">
        <v>3053</v>
      </c>
      <c r="F9431" t="s">
        <v>836</v>
      </c>
      <c r="G9431" t="s">
        <v>837</v>
      </c>
      <c r="H9431" t="s">
        <v>9330</v>
      </c>
      <c r="I9431">
        <v>801</v>
      </c>
      <c r="J9431">
        <v>659</v>
      </c>
      <c r="K9431">
        <v>0</v>
      </c>
      <c r="L9431">
        <v>49</v>
      </c>
      <c r="M9431">
        <v>0</v>
      </c>
      <c r="N9431">
        <v>0</v>
      </c>
      <c r="O9431">
        <v>93</v>
      </c>
    </row>
    <row r="9432" spans="1:15" x14ac:dyDescent="0.25">
      <c r="A9432" t="s">
        <v>929</v>
      </c>
      <c r="B9432" t="s">
        <v>2999</v>
      </c>
      <c r="C9432" t="s">
        <v>927</v>
      </c>
      <c r="D9432" t="s">
        <v>3052</v>
      </c>
      <c r="E9432" t="s">
        <v>3053</v>
      </c>
      <c r="F9432" t="s">
        <v>836</v>
      </c>
      <c r="G9432" t="s">
        <v>837</v>
      </c>
      <c r="H9432" t="s">
        <v>9331</v>
      </c>
      <c r="I9432">
        <v>50</v>
      </c>
      <c r="J9432">
        <v>0</v>
      </c>
      <c r="K9432">
        <v>0</v>
      </c>
      <c r="L9432">
        <v>0</v>
      </c>
      <c r="M9432">
        <v>50</v>
      </c>
      <c r="N9432">
        <v>0</v>
      </c>
      <c r="O9432">
        <v>0</v>
      </c>
    </row>
    <row r="9433" spans="1:15" x14ac:dyDescent="0.25">
      <c r="A9433" t="s">
        <v>1087</v>
      </c>
      <c r="B9433" t="s">
        <v>2979</v>
      </c>
      <c r="C9433" t="s">
        <v>923</v>
      </c>
      <c r="D9433" t="s">
        <v>3063</v>
      </c>
      <c r="E9433" t="s">
        <v>3053</v>
      </c>
      <c r="F9433" t="s">
        <v>836</v>
      </c>
      <c r="G9433" t="s">
        <v>837</v>
      </c>
      <c r="H9433" t="s">
        <v>9332</v>
      </c>
      <c r="I9433">
        <v>49</v>
      </c>
      <c r="J9433">
        <v>49</v>
      </c>
      <c r="K9433">
        <v>0</v>
      </c>
      <c r="L9433">
        <v>0</v>
      </c>
      <c r="M9433">
        <v>0</v>
      </c>
      <c r="N9433">
        <v>1</v>
      </c>
      <c r="O9433">
        <v>0</v>
      </c>
    </row>
    <row r="9434" spans="1:15" x14ac:dyDescent="0.25">
      <c r="A9434" t="s">
        <v>1218</v>
      </c>
      <c r="B9434" t="s">
        <v>2565</v>
      </c>
      <c r="C9434" t="s">
        <v>927</v>
      </c>
      <c r="D9434" t="s">
        <v>3052</v>
      </c>
      <c r="E9434" t="s">
        <v>3053</v>
      </c>
      <c r="F9434" t="s">
        <v>836</v>
      </c>
      <c r="G9434" t="s">
        <v>837</v>
      </c>
      <c r="H9434" t="s">
        <v>9333</v>
      </c>
      <c r="I9434">
        <v>426</v>
      </c>
      <c r="J9434">
        <v>0</v>
      </c>
      <c r="K9434">
        <v>0</v>
      </c>
      <c r="L9434">
        <v>0</v>
      </c>
      <c r="M9434">
        <v>426</v>
      </c>
      <c r="N9434">
        <v>0</v>
      </c>
      <c r="O9434">
        <v>0</v>
      </c>
    </row>
    <row r="9435" spans="1:15" x14ac:dyDescent="0.25">
      <c r="A9435" t="s">
        <v>1219</v>
      </c>
      <c r="B9435" t="s">
        <v>2569</v>
      </c>
      <c r="C9435" t="s">
        <v>923</v>
      </c>
      <c r="D9435" t="s">
        <v>3063</v>
      </c>
      <c r="E9435" t="s">
        <v>3053</v>
      </c>
      <c r="F9435" t="s">
        <v>836</v>
      </c>
      <c r="G9435" t="s">
        <v>837</v>
      </c>
      <c r="H9435" t="s">
        <v>9334</v>
      </c>
      <c r="I9435">
        <v>26</v>
      </c>
      <c r="J9435">
        <v>0</v>
      </c>
      <c r="K9435">
        <v>0</v>
      </c>
      <c r="L9435">
        <v>26</v>
      </c>
      <c r="M9435">
        <v>0</v>
      </c>
      <c r="N9435">
        <v>0</v>
      </c>
      <c r="O9435">
        <v>0</v>
      </c>
    </row>
    <row r="9436" spans="1:15" x14ac:dyDescent="0.25">
      <c r="A9436" t="s">
        <v>1222</v>
      </c>
      <c r="B9436" t="s">
        <v>2458</v>
      </c>
      <c r="C9436" t="s">
        <v>923</v>
      </c>
      <c r="D9436" t="s">
        <v>3063</v>
      </c>
      <c r="E9436" t="s">
        <v>3053</v>
      </c>
      <c r="F9436" t="s">
        <v>836</v>
      </c>
      <c r="G9436" t="s">
        <v>837</v>
      </c>
      <c r="H9436" t="s">
        <v>9335</v>
      </c>
      <c r="I9436">
        <v>12</v>
      </c>
      <c r="J9436">
        <v>12</v>
      </c>
      <c r="K9436">
        <v>0</v>
      </c>
      <c r="L9436">
        <v>0</v>
      </c>
      <c r="M9436">
        <v>0</v>
      </c>
      <c r="N9436">
        <v>0</v>
      </c>
      <c r="O9436">
        <v>0</v>
      </c>
    </row>
    <row r="9437" spans="1:15" x14ac:dyDescent="0.25">
      <c r="A9437" t="s">
        <v>933</v>
      </c>
      <c r="B9437" t="s">
        <v>2106</v>
      </c>
      <c r="C9437" t="s">
        <v>927</v>
      </c>
      <c r="D9437" t="s">
        <v>3052</v>
      </c>
      <c r="E9437" t="s">
        <v>3053</v>
      </c>
      <c r="F9437" t="s">
        <v>836</v>
      </c>
      <c r="G9437" t="s">
        <v>837</v>
      </c>
      <c r="H9437" t="s">
        <v>9336</v>
      </c>
      <c r="I9437">
        <v>39</v>
      </c>
      <c r="J9437">
        <v>36</v>
      </c>
      <c r="K9437">
        <v>0</v>
      </c>
      <c r="L9437">
        <v>0</v>
      </c>
      <c r="M9437">
        <v>0</v>
      </c>
      <c r="N9437">
        <v>0</v>
      </c>
      <c r="O9437">
        <v>3</v>
      </c>
    </row>
    <row r="9438" spans="1:15" x14ac:dyDescent="0.25">
      <c r="A9438" t="s">
        <v>996</v>
      </c>
      <c r="B9438" t="s">
        <v>1952</v>
      </c>
      <c r="C9438" t="s">
        <v>923</v>
      </c>
      <c r="D9438" t="s">
        <v>3063</v>
      </c>
      <c r="E9438" t="s">
        <v>3053</v>
      </c>
      <c r="F9438" t="s">
        <v>836</v>
      </c>
      <c r="G9438" t="s">
        <v>837</v>
      </c>
      <c r="H9438" t="s">
        <v>9337</v>
      </c>
      <c r="I9438">
        <v>5</v>
      </c>
      <c r="J9438">
        <v>0</v>
      </c>
      <c r="K9438">
        <v>0</v>
      </c>
      <c r="L9438">
        <v>5</v>
      </c>
      <c r="M9438">
        <v>0</v>
      </c>
      <c r="N9438">
        <v>0</v>
      </c>
      <c r="O9438">
        <v>0</v>
      </c>
    </row>
    <row r="9439" spans="1:15" x14ac:dyDescent="0.25">
      <c r="A9439" t="s">
        <v>14383</v>
      </c>
      <c r="B9439" t="s">
        <v>2065</v>
      </c>
      <c r="C9439" t="s">
        <v>923</v>
      </c>
      <c r="D9439" t="s">
        <v>3063</v>
      </c>
      <c r="E9439" t="s">
        <v>3053</v>
      </c>
      <c r="F9439" t="s">
        <v>836</v>
      </c>
      <c r="G9439" t="s">
        <v>837</v>
      </c>
      <c r="H9439" t="s">
        <v>15439</v>
      </c>
      <c r="I9439">
        <v>103</v>
      </c>
      <c r="J9439">
        <v>103</v>
      </c>
      <c r="K9439">
        <v>0</v>
      </c>
      <c r="L9439">
        <v>0</v>
      </c>
      <c r="M9439">
        <v>0</v>
      </c>
      <c r="N9439">
        <v>0</v>
      </c>
      <c r="O9439">
        <v>0</v>
      </c>
    </row>
    <row r="9440" spans="1:15" x14ac:dyDescent="0.25">
      <c r="A9440" t="s">
        <v>1259</v>
      </c>
      <c r="B9440" t="s">
        <v>2350</v>
      </c>
      <c r="C9440" t="s">
        <v>923</v>
      </c>
      <c r="D9440" t="s">
        <v>3063</v>
      </c>
      <c r="E9440" t="s">
        <v>3053</v>
      </c>
      <c r="F9440" t="s">
        <v>836</v>
      </c>
      <c r="G9440" t="s">
        <v>837</v>
      </c>
      <c r="H9440" t="s">
        <v>9338</v>
      </c>
      <c r="I9440">
        <v>12</v>
      </c>
      <c r="J9440">
        <v>12</v>
      </c>
      <c r="K9440">
        <v>0</v>
      </c>
      <c r="L9440">
        <v>0</v>
      </c>
      <c r="M9440">
        <v>0</v>
      </c>
      <c r="N9440">
        <v>0</v>
      </c>
      <c r="O9440">
        <v>0</v>
      </c>
    </row>
    <row r="9441" spans="1:15" x14ac:dyDescent="0.25">
      <c r="A9441" t="s">
        <v>940</v>
      </c>
      <c r="B9441" t="s">
        <v>2647</v>
      </c>
      <c r="C9441" t="s">
        <v>927</v>
      </c>
      <c r="D9441" t="s">
        <v>3052</v>
      </c>
      <c r="E9441" t="s">
        <v>3053</v>
      </c>
      <c r="F9441" t="s">
        <v>836</v>
      </c>
      <c r="G9441" t="s">
        <v>837</v>
      </c>
      <c r="H9441" t="s">
        <v>12496</v>
      </c>
      <c r="I9441">
        <v>51</v>
      </c>
      <c r="J9441">
        <v>0</v>
      </c>
      <c r="K9441">
        <v>0</v>
      </c>
      <c r="L9441">
        <v>0</v>
      </c>
      <c r="M9441">
        <v>51</v>
      </c>
      <c r="N9441">
        <v>0</v>
      </c>
      <c r="O9441">
        <v>0</v>
      </c>
    </row>
    <row r="9442" spans="1:15" x14ac:dyDescent="0.25">
      <c r="A9442" t="s">
        <v>1273</v>
      </c>
      <c r="B9442" t="s">
        <v>2709</v>
      </c>
      <c r="C9442" t="s">
        <v>923</v>
      </c>
      <c r="D9442" t="s">
        <v>3063</v>
      </c>
      <c r="E9442" t="s">
        <v>3053</v>
      </c>
      <c r="F9442" t="s">
        <v>836</v>
      </c>
      <c r="G9442" t="s">
        <v>837</v>
      </c>
      <c r="H9442" t="s">
        <v>9339</v>
      </c>
      <c r="I9442">
        <v>24</v>
      </c>
      <c r="J9442">
        <v>24</v>
      </c>
      <c r="K9442">
        <v>0</v>
      </c>
      <c r="L9442">
        <v>0</v>
      </c>
      <c r="M9442">
        <v>0</v>
      </c>
      <c r="N9442">
        <v>7</v>
      </c>
      <c r="O9442">
        <v>0</v>
      </c>
    </row>
    <row r="9443" spans="1:15" x14ac:dyDescent="0.25">
      <c r="A9443" t="s">
        <v>1125</v>
      </c>
      <c r="B9443" t="s">
        <v>2938</v>
      </c>
      <c r="C9443" t="s">
        <v>923</v>
      </c>
      <c r="D9443" t="s">
        <v>3063</v>
      </c>
      <c r="E9443" t="s">
        <v>3053</v>
      </c>
      <c r="F9443" t="s">
        <v>836</v>
      </c>
      <c r="G9443" t="s">
        <v>837</v>
      </c>
      <c r="H9443" t="s">
        <v>9340</v>
      </c>
      <c r="I9443">
        <v>28</v>
      </c>
      <c r="J9443">
        <v>0</v>
      </c>
      <c r="K9443">
        <v>0</v>
      </c>
      <c r="L9443">
        <v>0</v>
      </c>
      <c r="M9443">
        <v>28</v>
      </c>
      <c r="N9443">
        <v>0</v>
      </c>
      <c r="O9443">
        <v>0</v>
      </c>
    </row>
    <row r="9444" spans="1:15" x14ac:dyDescent="0.25">
      <c r="A9444" t="s">
        <v>1025</v>
      </c>
      <c r="B9444" t="s">
        <v>2893</v>
      </c>
      <c r="C9444" t="s">
        <v>927</v>
      </c>
      <c r="D9444" t="s">
        <v>3052</v>
      </c>
      <c r="E9444" t="s">
        <v>3053</v>
      </c>
      <c r="F9444" t="s">
        <v>836</v>
      </c>
      <c r="G9444" t="s">
        <v>837</v>
      </c>
      <c r="H9444" t="s">
        <v>9341</v>
      </c>
      <c r="I9444">
        <v>734</v>
      </c>
      <c r="J9444">
        <v>718</v>
      </c>
      <c r="K9444">
        <v>0</v>
      </c>
      <c r="L9444">
        <v>0</v>
      </c>
      <c r="M9444">
        <v>0</v>
      </c>
      <c r="N9444">
        <v>54</v>
      </c>
      <c r="O9444">
        <v>16</v>
      </c>
    </row>
    <row r="9445" spans="1:15" x14ac:dyDescent="0.25">
      <c r="A9445" t="s">
        <v>1293</v>
      </c>
      <c r="B9445" t="s">
        <v>2910</v>
      </c>
      <c r="C9445" t="s">
        <v>927</v>
      </c>
      <c r="D9445" t="s">
        <v>3052</v>
      </c>
      <c r="E9445" t="s">
        <v>3053</v>
      </c>
      <c r="F9445" t="s">
        <v>836</v>
      </c>
      <c r="G9445" t="s">
        <v>837</v>
      </c>
      <c r="H9445" t="s">
        <v>9342</v>
      </c>
      <c r="I9445">
        <v>51</v>
      </c>
      <c r="J9445">
        <v>0</v>
      </c>
      <c r="K9445">
        <v>0</v>
      </c>
      <c r="L9445">
        <v>51</v>
      </c>
      <c r="M9445">
        <v>0</v>
      </c>
      <c r="N9445">
        <v>0</v>
      </c>
      <c r="O9445">
        <v>0</v>
      </c>
    </row>
    <row r="9446" spans="1:15" x14ac:dyDescent="0.25">
      <c r="A9446" t="s">
        <v>943</v>
      </c>
      <c r="B9446" t="s">
        <v>2694</v>
      </c>
      <c r="C9446" t="s">
        <v>927</v>
      </c>
      <c r="D9446" t="s">
        <v>3052</v>
      </c>
      <c r="E9446" t="s">
        <v>3053</v>
      </c>
      <c r="F9446" t="s">
        <v>836</v>
      </c>
      <c r="G9446" t="s">
        <v>837</v>
      </c>
      <c r="H9446" t="s">
        <v>9343</v>
      </c>
      <c r="I9446">
        <v>13</v>
      </c>
      <c r="J9446">
        <v>6</v>
      </c>
      <c r="K9446">
        <v>0</v>
      </c>
      <c r="L9446">
        <v>5</v>
      </c>
      <c r="M9446">
        <v>0</v>
      </c>
      <c r="N9446">
        <v>0</v>
      </c>
      <c r="O9446">
        <v>2</v>
      </c>
    </row>
    <row r="9447" spans="1:15" x14ac:dyDescent="0.25">
      <c r="A9447" t="s">
        <v>1299</v>
      </c>
      <c r="B9447" t="s">
        <v>2404</v>
      </c>
      <c r="C9447" t="s">
        <v>923</v>
      </c>
      <c r="D9447" t="s">
        <v>3063</v>
      </c>
      <c r="E9447" t="s">
        <v>3053</v>
      </c>
      <c r="F9447" t="s">
        <v>836</v>
      </c>
      <c r="G9447" t="s">
        <v>837</v>
      </c>
      <c r="H9447" t="s">
        <v>9344</v>
      </c>
      <c r="I9447">
        <v>5</v>
      </c>
      <c r="J9447">
        <v>5</v>
      </c>
      <c r="K9447">
        <v>0</v>
      </c>
      <c r="L9447">
        <v>0</v>
      </c>
      <c r="M9447">
        <v>0</v>
      </c>
      <c r="N9447">
        <v>0</v>
      </c>
      <c r="O9447">
        <v>0</v>
      </c>
    </row>
    <row r="9448" spans="1:15" x14ac:dyDescent="0.25">
      <c r="A9448" t="s">
        <v>1134</v>
      </c>
      <c r="B9448" t="s">
        <v>2118</v>
      </c>
      <c r="C9448" t="s">
        <v>927</v>
      </c>
      <c r="D9448" t="s">
        <v>3052</v>
      </c>
      <c r="E9448" t="s">
        <v>3053</v>
      </c>
      <c r="F9448" t="s">
        <v>836</v>
      </c>
      <c r="G9448" t="s">
        <v>837</v>
      </c>
      <c r="H9448" t="s">
        <v>9345</v>
      </c>
      <c r="I9448">
        <v>2985</v>
      </c>
      <c r="J9448">
        <v>2677</v>
      </c>
      <c r="K9448">
        <v>0</v>
      </c>
      <c r="L9448">
        <v>195</v>
      </c>
      <c r="M9448">
        <v>91</v>
      </c>
      <c r="N9448">
        <v>5</v>
      </c>
      <c r="O9448">
        <v>22</v>
      </c>
    </row>
    <row r="9449" spans="1:15" x14ac:dyDescent="0.25">
      <c r="A9449" t="s">
        <v>949</v>
      </c>
      <c r="B9449" t="s">
        <v>3035</v>
      </c>
      <c r="C9449" t="s">
        <v>927</v>
      </c>
      <c r="D9449" t="s">
        <v>3052</v>
      </c>
      <c r="E9449" t="s">
        <v>3053</v>
      </c>
      <c r="F9449" t="s">
        <v>836</v>
      </c>
      <c r="G9449" t="s">
        <v>837</v>
      </c>
      <c r="H9449" t="s">
        <v>9346</v>
      </c>
      <c r="I9449">
        <v>115</v>
      </c>
      <c r="J9449">
        <v>0</v>
      </c>
      <c r="K9449">
        <v>0</v>
      </c>
      <c r="L9449">
        <v>0</v>
      </c>
      <c r="M9449">
        <v>0</v>
      </c>
      <c r="N9449">
        <v>0</v>
      </c>
      <c r="O9449">
        <v>115</v>
      </c>
    </row>
    <row r="9450" spans="1:15" x14ac:dyDescent="0.25">
      <c r="A9450" t="s">
        <v>1309</v>
      </c>
      <c r="B9450" t="s">
        <v>2690</v>
      </c>
      <c r="C9450" t="s">
        <v>927</v>
      </c>
      <c r="D9450" t="s">
        <v>3052</v>
      </c>
      <c r="E9450" t="s">
        <v>3053</v>
      </c>
      <c r="F9450" t="s">
        <v>836</v>
      </c>
      <c r="G9450" t="s">
        <v>837</v>
      </c>
      <c r="H9450" t="s">
        <v>9347</v>
      </c>
      <c r="I9450">
        <v>1955</v>
      </c>
      <c r="J9450">
        <v>1696</v>
      </c>
      <c r="K9450">
        <v>53</v>
      </c>
      <c r="L9450">
        <v>64</v>
      </c>
      <c r="M9450">
        <v>37</v>
      </c>
      <c r="N9450">
        <v>0</v>
      </c>
      <c r="O9450">
        <v>105</v>
      </c>
    </row>
    <row r="9451" spans="1:15" x14ac:dyDescent="0.25">
      <c r="A9451" t="s">
        <v>1140</v>
      </c>
      <c r="B9451" t="s">
        <v>2697</v>
      </c>
      <c r="C9451" t="s">
        <v>927</v>
      </c>
      <c r="D9451" t="s">
        <v>3052</v>
      </c>
      <c r="E9451" t="s">
        <v>3053</v>
      </c>
      <c r="F9451" t="s">
        <v>836</v>
      </c>
      <c r="G9451" t="s">
        <v>837</v>
      </c>
      <c r="H9451" t="s">
        <v>9348</v>
      </c>
      <c r="I9451">
        <v>2</v>
      </c>
      <c r="J9451">
        <v>0</v>
      </c>
      <c r="K9451">
        <v>0</v>
      </c>
      <c r="L9451">
        <v>0</v>
      </c>
      <c r="M9451">
        <v>0</v>
      </c>
      <c r="N9451">
        <v>0</v>
      </c>
      <c r="O9451">
        <v>2</v>
      </c>
    </row>
    <row r="9452" spans="1:15" x14ac:dyDescent="0.25">
      <c r="A9452" t="s">
        <v>9808</v>
      </c>
      <c r="B9452" t="s">
        <v>9868</v>
      </c>
      <c r="C9452" t="s">
        <v>923</v>
      </c>
      <c r="D9452" t="s">
        <v>3063</v>
      </c>
      <c r="E9452" t="s">
        <v>3053</v>
      </c>
      <c r="F9452" t="s">
        <v>836</v>
      </c>
      <c r="G9452" t="s">
        <v>837</v>
      </c>
      <c r="H9452" t="s">
        <v>10301</v>
      </c>
      <c r="I9452">
        <v>57</v>
      </c>
      <c r="J9452">
        <v>1</v>
      </c>
      <c r="K9452">
        <v>0</v>
      </c>
      <c r="L9452">
        <v>56</v>
      </c>
      <c r="M9452">
        <v>0</v>
      </c>
      <c r="N9452">
        <v>0</v>
      </c>
      <c r="O9452">
        <v>0</v>
      </c>
    </row>
    <row r="9453" spans="1:15" x14ac:dyDescent="0.25">
      <c r="A9453" t="s">
        <v>1146</v>
      </c>
      <c r="B9453" t="s">
        <v>2117</v>
      </c>
      <c r="C9453" t="s">
        <v>927</v>
      </c>
      <c r="D9453" t="s">
        <v>3052</v>
      </c>
      <c r="E9453" t="s">
        <v>3053</v>
      </c>
      <c r="F9453" t="s">
        <v>836</v>
      </c>
      <c r="G9453" t="s">
        <v>837</v>
      </c>
      <c r="H9453" t="s">
        <v>9349</v>
      </c>
      <c r="I9453">
        <v>3979</v>
      </c>
      <c r="J9453">
        <v>3308</v>
      </c>
      <c r="K9453">
        <v>355</v>
      </c>
      <c r="L9453">
        <v>217</v>
      </c>
      <c r="M9453">
        <v>78</v>
      </c>
      <c r="N9453">
        <v>1</v>
      </c>
      <c r="O9453">
        <v>21</v>
      </c>
    </row>
    <row r="9454" spans="1:15" x14ac:dyDescent="0.25">
      <c r="A9454" t="s">
        <v>951</v>
      </c>
      <c r="B9454" t="s">
        <v>2680</v>
      </c>
      <c r="C9454" t="s">
        <v>927</v>
      </c>
      <c r="D9454" t="s">
        <v>3052</v>
      </c>
      <c r="E9454" t="s">
        <v>3053</v>
      </c>
      <c r="F9454" t="s">
        <v>836</v>
      </c>
      <c r="G9454" t="s">
        <v>837</v>
      </c>
      <c r="H9454" t="s">
        <v>9350</v>
      </c>
      <c r="I9454">
        <v>12</v>
      </c>
      <c r="J9454">
        <v>12</v>
      </c>
      <c r="K9454">
        <v>0</v>
      </c>
      <c r="L9454">
        <v>0</v>
      </c>
      <c r="M9454">
        <v>0</v>
      </c>
      <c r="N9454">
        <v>0</v>
      </c>
      <c r="O9454">
        <v>0</v>
      </c>
    </row>
    <row r="9455" spans="1:15" x14ac:dyDescent="0.25">
      <c r="A9455" t="s">
        <v>1326</v>
      </c>
      <c r="B9455" t="s">
        <v>2566</v>
      </c>
      <c r="C9455" t="s">
        <v>923</v>
      </c>
      <c r="D9455" t="s">
        <v>3063</v>
      </c>
      <c r="E9455" t="s">
        <v>3053</v>
      </c>
      <c r="F9455" t="s">
        <v>836</v>
      </c>
      <c r="G9455" t="s">
        <v>837</v>
      </c>
      <c r="H9455" t="s">
        <v>9351</v>
      </c>
      <c r="I9455">
        <v>112</v>
      </c>
      <c r="J9455">
        <v>0</v>
      </c>
      <c r="K9455">
        <v>0</v>
      </c>
      <c r="L9455">
        <v>112</v>
      </c>
      <c r="M9455">
        <v>0</v>
      </c>
      <c r="N9455">
        <v>0</v>
      </c>
      <c r="O9455">
        <v>0</v>
      </c>
    </row>
    <row r="9456" spans="1:15" x14ac:dyDescent="0.25">
      <c r="A9456" t="s">
        <v>1056</v>
      </c>
      <c r="B9456" t="s">
        <v>2966</v>
      </c>
      <c r="C9456" t="s">
        <v>927</v>
      </c>
      <c r="D9456" t="s">
        <v>3052</v>
      </c>
      <c r="E9456" t="s">
        <v>3053</v>
      </c>
      <c r="F9456" t="s">
        <v>836</v>
      </c>
      <c r="G9456" t="s">
        <v>837</v>
      </c>
      <c r="H9456" t="s">
        <v>9352</v>
      </c>
      <c r="I9456">
        <v>128</v>
      </c>
      <c r="J9456">
        <v>15</v>
      </c>
      <c r="K9456">
        <v>0</v>
      </c>
      <c r="L9456">
        <v>113</v>
      </c>
      <c r="M9456">
        <v>0</v>
      </c>
      <c r="N9456">
        <v>0</v>
      </c>
      <c r="O9456">
        <v>0</v>
      </c>
    </row>
    <row r="9457" spans="1:15" x14ac:dyDescent="0.25">
      <c r="A9457" t="s">
        <v>955</v>
      </c>
      <c r="B9457" t="s">
        <v>2660</v>
      </c>
      <c r="C9457" t="s">
        <v>927</v>
      </c>
      <c r="D9457" t="s">
        <v>3052</v>
      </c>
      <c r="E9457" t="s">
        <v>3053</v>
      </c>
      <c r="F9457" t="s">
        <v>836</v>
      </c>
      <c r="G9457" t="s">
        <v>837</v>
      </c>
      <c r="H9457" t="s">
        <v>9353</v>
      </c>
      <c r="I9457">
        <v>639</v>
      </c>
      <c r="J9457">
        <v>572</v>
      </c>
      <c r="K9457">
        <v>0</v>
      </c>
      <c r="L9457">
        <v>18</v>
      </c>
      <c r="M9457">
        <v>43</v>
      </c>
      <c r="N9457">
        <v>12</v>
      </c>
      <c r="O9457">
        <v>6</v>
      </c>
    </row>
    <row r="9458" spans="1:15" x14ac:dyDescent="0.25">
      <c r="A9458" t="s">
        <v>10724</v>
      </c>
      <c r="B9458" t="s">
        <v>10723</v>
      </c>
      <c r="C9458" t="s">
        <v>923</v>
      </c>
      <c r="D9458" t="s">
        <v>3063</v>
      </c>
      <c r="E9458" t="s">
        <v>3053</v>
      </c>
      <c r="F9458" t="s">
        <v>836</v>
      </c>
      <c r="G9458" t="s">
        <v>837</v>
      </c>
      <c r="H9458" t="s">
        <v>11511</v>
      </c>
      <c r="I9458">
        <v>76</v>
      </c>
      <c r="J9458">
        <v>76</v>
      </c>
      <c r="K9458">
        <v>0</v>
      </c>
      <c r="L9458">
        <v>0</v>
      </c>
      <c r="M9458">
        <v>0</v>
      </c>
      <c r="N9458">
        <v>0</v>
      </c>
      <c r="O9458">
        <v>0</v>
      </c>
    </row>
    <row r="9459" spans="1:15" x14ac:dyDescent="0.25">
      <c r="A9459" t="s">
        <v>1337</v>
      </c>
      <c r="B9459" t="s">
        <v>2089</v>
      </c>
      <c r="C9459" t="s">
        <v>923</v>
      </c>
      <c r="D9459" t="s">
        <v>3063</v>
      </c>
      <c r="E9459" t="s">
        <v>3053</v>
      </c>
      <c r="F9459" t="s">
        <v>836</v>
      </c>
      <c r="G9459" t="s">
        <v>837</v>
      </c>
      <c r="H9459" t="s">
        <v>9354</v>
      </c>
      <c r="I9459">
        <v>11</v>
      </c>
      <c r="J9459">
        <v>11</v>
      </c>
      <c r="K9459">
        <v>0</v>
      </c>
      <c r="L9459">
        <v>0</v>
      </c>
      <c r="M9459">
        <v>0</v>
      </c>
      <c r="N9459">
        <v>0</v>
      </c>
      <c r="O9459">
        <v>0</v>
      </c>
    </row>
    <row r="9460" spans="1:15" x14ac:dyDescent="0.25">
      <c r="A9460" t="s">
        <v>1339</v>
      </c>
      <c r="B9460" t="s">
        <v>2948</v>
      </c>
      <c r="C9460" t="s">
        <v>923</v>
      </c>
      <c r="D9460" t="s">
        <v>3063</v>
      </c>
      <c r="E9460" t="s">
        <v>3053</v>
      </c>
      <c r="F9460" t="s">
        <v>836</v>
      </c>
      <c r="G9460" t="s">
        <v>837</v>
      </c>
      <c r="H9460" t="s">
        <v>9355</v>
      </c>
      <c r="I9460">
        <v>525</v>
      </c>
      <c r="J9460">
        <v>506</v>
      </c>
      <c r="K9460">
        <v>0</v>
      </c>
      <c r="L9460">
        <v>0</v>
      </c>
      <c r="M9460">
        <v>19</v>
      </c>
      <c r="N9460">
        <v>0</v>
      </c>
      <c r="O9460">
        <v>0</v>
      </c>
    </row>
    <row r="9461" spans="1:15" x14ac:dyDescent="0.25">
      <c r="A9461" t="s">
        <v>11663</v>
      </c>
      <c r="B9461" t="s">
        <v>11768</v>
      </c>
      <c r="C9461" t="s">
        <v>927</v>
      </c>
      <c r="D9461" t="s">
        <v>3052</v>
      </c>
      <c r="E9461" t="s">
        <v>3053</v>
      </c>
      <c r="F9461" t="s">
        <v>836</v>
      </c>
      <c r="G9461" t="s">
        <v>837</v>
      </c>
      <c r="H9461" t="s">
        <v>12497</v>
      </c>
      <c r="I9461">
        <v>70</v>
      </c>
      <c r="J9461">
        <v>37</v>
      </c>
      <c r="K9461">
        <v>0</v>
      </c>
      <c r="L9461">
        <v>0</v>
      </c>
      <c r="M9461">
        <v>32</v>
      </c>
      <c r="N9461">
        <v>0</v>
      </c>
      <c r="O9461">
        <v>1</v>
      </c>
    </row>
    <row r="9462" spans="1:15" x14ac:dyDescent="0.25">
      <c r="A9462" t="s">
        <v>14380</v>
      </c>
      <c r="B9462" t="s">
        <v>2074</v>
      </c>
      <c r="C9462" t="s">
        <v>927</v>
      </c>
      <c r="D9462" t="s">
        <v>3052</v>
      </c>
      <c r="E9462" t="s">
        <v>3053</v>
      </c>
      <c r="F9462" t="s">
        <v>836</v>
      </c>
      <c r="G9462" t="s">
        <v>837</v>
      </c>
      <c r="H9462" t="s">
        <v>15440</v>
      </c>
      <c r="I9462">
        <v>1338</v>
      </c>
      <c r="J9462">
        <v>1112</v>
      </c>
      <c r="K9462">
        <v>16</v>
      </c>
      <c r="L9462">
        <v>64</v>
      </c>
      <c r="M9462">
        <v>60</v>
      </c>
      <c r="N9462">
        <v>14</v>
      </c>
      <c r="O9462">
        <v>86</v>
      </c>
    </row>
    <row r="9463" spans="1:15" x14ac:dyDescent="0.25">
      <c r="A9463" t="s">
        <v>1158</v>
      </c>
      <c r="B9463" t="s">
        <v>2922</v>
      </c>
      <c r="C9463" t="s">
        <v>927</v>
      </c>
      <c r="D9463" t="s">
        <v>3052</v>
      </c>
      <c r="E9463" t="s">
        <v>3053</v>
      </c>
      <c r="F9463" t="s">
        <v>836</v>
      </c>
      <c r="G9463" t="s">
        <v>837</v>
      </c>
      <c r="H9463" t="s">
        <v>9356</v>
      </c>
      <c r="I9463">
        <v>133</v>
      </c>
      <c r="J9463">
        <v>1</v>
      </c>
      <c r="K9463">
        <v>0</v>
      </c>
      <c r="L9463">
        <v>132</v>
      </c>
      <c r="M9463">
        <v>0</v>
      </c>
      <c r="N9463">
        <v>0</v>
      </c>
      <c r="O9463">
        <v>0</v>
      </c>
    </row>
    <row r="9464" spans="1:15" x14ac:dyDescent="0.25">
      <c r="A9464" t="s">
        <v>1072</v>
      </c>
      <c r="B9464" t="s">
        <v>2907</v>
      </c>
      <c r="C9464" t="s">
        <v>927</v>
      </c>
      <c r="D9464" t="s">
        <v>3052</v>
      </c>
      <c r="E9464" t="s">
        <v>3053</v>
      </c>
      <c r="F9464" t="s">
        <v>836</v>
      </c>
      <c r="G9464" t="s">
        <v>837</v>
      </c>
      <c r="H9464" t="s">
        <v>9357</v>
      </c>
      <c r="I9464">
        <v>673</v>
      </c>
      <c r="J9464">
        <v>395</v>
      </c>
      <c r="K9464">
        <v>0</v>
      </c>
      <c r="L9464">
        <v>257</v>
      </c>
      <c r="M9464">
        <v>0</v>
      </c>
      <c r="N9464">
        <v>1</v>
      </c>
      <c r="O9464">
        <v>21</v>
      </c>
    </row>
    <row r="9465" spans="1:15" x14ac:dyDescent="0.25">
      <c r="A9465" t="s">
        <v>1378</v>
      </c>
      <c r="B9465" t="s">
        <v>2817</v>
      </c>
      <c r="C9465" t="s">
        <v>923</v>
      </c>
      <c r="D9465" t="s">
        <v>3063</v>
      </c>
      <c r="E9465" t="s">
        <v>3053</v>
      </c>
      <c r="F9465" t="s">
        <v>836</v>
      </c>
      <c r="G9465" t="s">
        <v>837</v>
      </c>
      <c r="H9465" t="s">
        <v>9358</v>
      </c>
      <c r="I9465">
        <v>498</v>
      </c>
      <c r="J9465">
        <v>498</v>
      </c>
      <c r="K9465">
        <v>0</v>
      </c>
      <c r="L9465">
        <v>0</v>
      </c>
      <c r="M9465">
        <v>0</v>
      </c>
      <c r="N9465">
        <v>0</v>
      </c>
      <c r="O9465">
        <v>0</v>
      </c>
    </row>
    <row r="9466" spans="1:15" x14ac:dyDescent="0.25">
      <c r="A9466" t="s">
        <v>1386</v>
      </c>
      <c r="B9466" t="s">
        <v>2370</v>
      </c>
      <c r="C9466" t="s">
        <v>923</v>
      </c>
      <c r="D9466" t="s">
        <v>3063</v>
      </c>
      <c r="E9466" t="s">
        <v>3053</v>
      </c>
      <c r="F9466" t="s">
        <v>836</v>
      </c>
      <c r="G9466" t="s">
        <v>837</v>
      </c>
      <c r="H9466" t="s">
        <v>9359</v>
      </c>
      <c r="I9466">
        <v>21</v>
      </c>
      <c r="J9466">
        <v>21</v>
      </c>
      <c r="K9466">
        <v>0</v>
      </c>
      <c r="L9466">
        <v>0</v>
      </c>
      <c r="M9466">
        <v>0</v>
      </c>
      <c r="N9466">
        <v>0</v>
      </c>
      <c r="O9466">
        <v>0</v>
      </c>
    </row>
    <row r="9467" spans="1:15" x14ac:dyDescent="0.25">
      <c r="A9467" t="s">
        <v>1389</v>
      </c>
      <c r="B9467" t="s">
        <v>1945</v>
      </c>
      <c r="C9467" t="s">
        <v>923</v>
      </c>
      <c r="D9467" t="s">
        <v>3063</v>
      </c>
      <c r="E9467" t="s">
        <v>3053</v>
      </c>
      <c r="F9467" t="s">
        <v>836</v>
      </c>
      <c r="G9467" t="s">
        <v>837</v>
      </c>
      <c r="H9467" t="s">
        <v>9360</v>
      </c>
      <c r="I9467">
        <v>438</v>
      </c>
      <c r="J9467">
        <v>438</v>
      </c>
      <c r="K9467">
        <v>0</v>
      </c>
      <c r="L9467">
        <v>0</v>
      </c>
      <c r="M9467">
        <v>0</v>
      </c>
      <c r="N9467">
        <v>0</v>
      </c>
      <c r="O9467">
        <v>0</v>
      </c>
    </row>
    <row r="9468" spans="1:15" x14ac:dyDescent="0.25">
      <c r="A9468" t="s">
        <v>1390</v>
      </c>
      <c r="B9468" t="s">
        <v>2978</v>
      </c>
      <c r="C9468" t="s">
        <v>923</v>
      </c>
      <c r="D9468" t="s">
        <v>3063</v>
      </c>
      <c r="E9468" t="s">
        <v>3053</v>
      </c>
      <c r="F9468" t="s">
        <v>836</v>
      </c>
      <c r="G9468" t="s">
        <v>837</v>
      </c>
      <c r="H9468" t="s">
        <v>9361</v>
      </c>
      <c r="I9468">
        <v>42</v>
      </c>
      <c r="J9468">
        <v>42</v>
      </c>
      <c r="K9468">
        <v>0</v>
      </c>
      <c r="L9468">
        <v>0</v>
      </c>
      <c r="M9468">
        <v>0</v>
      </c>
      <c r="N9468">
        <v>0</v>
      </c>
      <c r="O9468">
        <v>0</v>
      </c>
    </row>
    <row r="9469" spans="1:15" x14ac:dyDescent="0.25">
      <c r="A9469" t="s">
        <v>1396</v>
      </c>
      <c r="B9469" t="s">
        <v>2750</v>
      </c>
      <c r="C9469" t="s">
        <v>923</v>
      </c>
      <c r="D9469" t="s">
        <v>3063</v>
      </c>
      <c r="E9469" t="s">
        <v>3053</v>
      </c>
      <c r="F9469" t="s">
        <v>836</v>
      </c>
      <c r="G9469" t="s">
        <v>837</v>
      </c>
      <c r="H9469" t="s">
        <v>9362</v>
      </c>
      <c r="I9469">
        <v>17</v>
      </c>
      <c r="J9469">
        <v>17</v>
      </c>
      <c r="K9469">
        <v>0</v>
      </c>
      <c r="L9469">
        <v>0</v>
      </c>
      <c r="M9469">
        <v>0</v>
      </c>
      <c r="N9469">
        <v>0</v>
      </c>
      <c r="O9469">
        <v>0</v>
      </c>
    </row>
    <row r="9470" spans="1:15" x14ac:dyDescent="0.25">
      <c r="A9470" t="s">
        <v>1016</v>
      </c>
      <c r="B9470" t="s">
        <v>2725</v>
      </c>
      <c r="C9470" t="s">
        <v>927</v>
      </c>
      <c r="D9470" t="s">
        <v>3052</v>
      </c>
      <c r="E9470" t="s">
        <v>3053</v>
      </c>
      <c r="F9470" t="s">
        <v>14371</v>
      </c>
      <c r="G9470" t="s">
        <v>14372</v>
      </c>
      <c r="H9470" t="s">
        <v>15441</v>
      </c>
      <c r="I9470">
        <v>45</v>
      </c>
      <c r="J9470">
        <v>0</v>
      </c>
      <c r="K9470">
        <v>0</v>
      </c>
      <c r="L9470">
        <v>0</v>
      </c>
      <c r="M9470">
        <v>45</v>
      </c>
      <c r="N9470">
        <v>0</v>
      </c>
      <c r="O9470">
        <v>0</v>
      </c>
    </row>
    <row r="9471" spans="1:15" x14ac:dyDescent="0.25">
      <c r="A9471" t="s">
        <v>971</v>
      </c>
      <c r="B9471" t="s">
        <v>2956</v>
      </c>
      <c r="C9471" t="s">
        <v>927</v>
      </c>
      <c r="D9471" t="s">
        <v>3052</v>
      </c>
      <c r="E9471" t="s">
        <v>3053</v>
      </c>
      <c r="F9471" t="s">
        <v>14371</v>
      </c>
      <c r="G9471" t="s">
        <v>14372</v>
      </c>
      <c r="H9471" t="s">
        <v>15442</v>
      </c>
      <c r="I9471">
        <v>589</v>
      </c>
      <c r="J9471">
        <v>491</v>
      </c>
      <c r="K9471">
        <v>0</v>
      </c>
      <c r="L9471">
        <v>0</v>
      </c>
      <c r="M9471">
        <v>98</v>
      </c>
      <c r="N9471">
        <v>0</v>
      </c>
      <c r="O9471">
        <v>0</v>
      </c>
    </row>
    <row r="9472" spans="1:15" x14ac:dyDescent="0.25">
      <c r="A9472" t="s">
        <v>929</v>
      </c>
      <c r="B9472" t="s">
        <v>2999</v>
      </c>
      <c r="C9472" t="s">
        <v>927</v>
      </c>
      <c r="D9472" t="s">
        <v>3052</v>
      </c>
      <c r="E9472" t="s">
        <v>3053</v>
      </c>
      <c r="F9472" t="s">
        <v>14371</v>
      </c>
      <c r="G9472" t="s">
        <v>14372</v>
      </c>
      <c r="H9472" t="s">
        <v>15443</v>
      </c>
      <c r="I9472">
        <v>216</v>
      </c>
      <c r="J9472">
        <v>0</v>
      </c>
      <c r="K9472">
        <v>0</v>
      </c>
      <c r="L9472">
        <v>0</v>
      </c>
      <c r="M9472">
        <v>216</v>
      </c>
      <c r="N9472">
        <v>0</v>
      </c>
      <c r="O9472">
        <v>0</v>
      </c>
    </row>
    <row r="9473" spans="1:15" x14ac:dyDescent="0.25">
      <c r="A9473" t="s">
        <v>985</v>
      </c>
      <c r="B9473" t="s">
        <v>1964</v>
      </c>
      <c r="C9473" t="s">
        <v>923</v>
      </c>
      <c r="D9473" t="s">
        <v>3063</v>
      </c>
      <c r="E9473" t="s">
        <v>3053</v>
      </c>
      <c r="F9473" t="s">
        <v>14371</v>
      </c>
      <c r="G9473" t="s">
        <v>14372</v>
      </c>
      <c r="H9473" t="s">
        <v>15444</v>
      </c>
      <c r="I9473">
        <v>9</v>
      </c>
      <c r="J9473">
        <v>0</v>
      </c>
      <c r="K9473">
        <v>0</v>
      </c>
      <c r="L9473">
        <v>9</v>
      </c>
      <c r="M9473">
        <v>0</v>
      </c>
      <c r="N9473">
        <v>0</v>
      </c>
      <c r="O9473">
        <v>0</v>
      </c>
    </row>
    <row r="9474" spans="1:15" x14ac:dyDescent="0.25">
      <c r="A9474" t="s">
        <v>1412</v>
      </c>
      <c r="B9474" t="s">
        <v>2099</v>
      </c>
      <c r="C9474" t="s">
        <v>927</v>
      </c>
      <c r="D9474" t="s">
        <v>3052</v>
      </c>
      <c r="E9474" t="s">
        <v>3053</v>
      </c>
      <c r="F9474" t="s">
        <v>14371</v>
      </c>
      <c r="G9474" t="s">
        <v>14372</v>
      </c>
      <c r="H9474" t="s">
        <v>15445</v>
      </c>
      <c r="I9474">
        <v>885</v>
      </c>
      <c r="J9474">
        <v>798</v>
      </c>
      <c r="K9474">
        <v>0</v>
      </c>
      <c r="L9474">
        <v>0</v>
      </c>
      <c r="M9474">
        <v>0</v>
      </c>
      <c r="N9474">
        <v>1</v>
      </c>
      <c r="O9474">
        <v>87</v>
      </c>
    </row>
    <row r="9475" spans="1:15" x14ac:dyDescent="0.25">
      <c r="A9475" t="s">
        <v>991</v>
      </c>
      <c r="B9475" t="s">
        <v>1976</v>
      </c>
      <c r="C9475" t="s">
        <v>923</v>
      </c>
      <c r="D9475" t="s">
        <v>3063</v>
      </c>
      <c r="E9475" t="s">
        <v>3053</v>
      </c>
      <c r="F9475" t="s">
        <v>14371</v>
      </c>
      <c r="G9475" t="s">
        <v>14372</v>
      </c>
      <c r="H9475" t="s">
        <v>15446</v>
      </c>
      <c r="I9475">
        <v>6</v>
      </c>
      <c r="J9475">
        <v>0</v>
      </c>
      <c r="K9475">
        <v>0</v>
      </c>
      <c r="L9475">
        <v>6</v>
      </c>
      <c r="M9475">
        <v>0</v>
      </c>
      <c r="N9475">
        <v>0</v>
      </c>
      <c r="O9475">
        <v>0</v>
      </c>
    </row>
    <row r="9476" spans="1:15" x14ac:dyDescent="0.25">
      <c r="A9476" t="s">
        <v>10614</v>
      </c>
      <c r="B9476" t="s">
        <v>2126</v>
      </c>
      <c r="C9476" t="s">
        <v>923</v>
      </c>
      <c r="D9476" t="s">
        <v>3063</v>
      </c>
      <c r="E9476" t="s">
        <v>3053</v>
      </c>
      <c r="F9476" t="s">
        <v>14371</v>
      </c>
      <c r="G9476" t="s">
        <v>14372</v>
      </c>
      <c r="H9476" t="s">
        <v>15447</v>
      </c>
      <c r="I9476">
        <v>15</v>
      </c>
      <c r="J9476">
        <v>15</v>
      </c>
      <c r="K9476">
        <v>0</v>
      </c>
      <c r="L9476">
        <v>0</v>
      </c>
      <c r="M9476">
        <v>0</v>
      </c>
      <c r="N9476">
        <v>0</v>
      </c>
      <c r="O9476">
        <v>0</v>
      </c>
    </row>
    <row r="9477" spans="1:15" x14ac:dyDescent="0.25">
      <c r="A9477" t="s">
        <v>996</v>
      </c>
      <c r="B9477" t="s">
        <v>1952</v>
      </c>
      <c r="C9477" t="s">
        <v>923</v>
      </c>
      <c r="D9477" t="s">
        <v>3063</v>
      </c>
      <c r="E9477" t="s">
        <v>3053</v>
      </c>
      <c r="F9477" t="s">
        <v>14371</v>
      </c>
      <c r="G9477" t="s">
        <v>14372</v>
      </c>
      <c r="H9477" t="s">
        <v>15448</v>
      </c>
      <c r="I9477">
        <v>13</v>
      </c>
      <c r="J9477">
        <v>0</v>
      </c>
      <c r="K9477">
        <v>0</v>
      </c>
      <c r="L9477">
        <v>13</v>
      </c>
      <c r="M9477">
        <v>0</v>
      </c>
      <c r="N9477">
        <v>0</v>
      </c>
      <c r="O9477">
        <v>0</v>
      </c>
    </row>
    <row r="9478" spans="1:15" x14ac:dyDescent="0.25">
      <c r="A9478" t="s">
        <v>1478</v>
      </c>
      <c r="B9478" t="s">
        <v>2828</v>
      </c>
      <c r="C9478" t="s">
        <v>927</v>
      </c>
      <c r="D9478" t="s">
        <v>3052</v>
      </c>
      <c r="E9478" t="s">
        <v>3053</v>
      </c>
      <c r="F9478" t="s">
        <v>14371</v>
      </c>
      <c r="G9478" t="s">
        <v>14372</v>
      </c>
      <c r="H9478" t="s">
        <v>15449</v>
      </c>
      <c r="I9478">
        <v>1706</v>
      </c>
      <c r="J9478">
        <v>1521</v>
      </c>
      <c r="K9478">
        <v>0</v>
      </c>
      <c r="L9478">
        <v>81</v>
      </c>
      <c r="M9478">
        <v>38</v>
      </c>
      <c r="N9478">
        <v>4</v>
      </c>
      <c r="O9478">
        <v>66</v>
      </c>
    </row>
    <row r="9479" spans="1:15" x14ac:dyDescent="0.25">
      <c r="A9479" t="s">
        <v>935</v>
      </c>
      <c r="B9479" t="s">
        <v>1960</v>
      </c>
      <c r="C9479" t="s">
        <v>923</v>
      </c>
      <c r="D9479" t="s">
        <v>3063</v>
      </c>
      <c r="E9479" t="s">
        <v>3053</v>
      </c>
      <c r="F9479" t="s">
        <v>14371</v>
      </c>
      <c r="G9479" t="s">
        <v>14372</v>
      </c>
      <c r="H9479" t="s">
        <v>15450</v>
      </c>
      <c r="I9479">
        <v>3</v>
      </c>
      <c r="J9479">
        <v>0</v>
      </c>
      <c r="K9479">
        <v>0</v>
      </c>
      <c r="L9479">
        <v>3</v>
      </c>
      <c r="M9479">
        <v>0</v>
      </c>
      <c r="N9479">
        <v>0</v>
      </c>
      <c r="O9479">
        <v>0</v>
      </c>
    </row>
    <row r="9480" spans="1:15" x14ac:dyDescent="0.25">
      <c r="A9480" t="s">
        <v>11660</v>
      </c>
      <c r="B9480" t="s">
        <v>2041</v>
      </c>
      <c r="C9480" t="s">
        <v>923</v>
      </c>
      <c r="D9480" t="s">
        <v>3063</v>
      </c>
      <c r="E9480" t="s">
        <v>3053</v>
      </c>
      <c r="F9480" t="s">
        <v>14371</v>
      </c>
      <c r="G9480" t="s">
        <v>14372</v>
      </c>
      <c r="H9480" t="s">
        <v>15451</v>
      </c>
      <c r="I9480">
        <v>20</v>
      </c>
      <c r="J9480">
        <v>0</v>
      </c>
      <c r="K9480">
        <v>0</v>
      </c>
      <c r="L9480">
        <v>20</v>
      </c>
      <c r="M9480">
        <v>0</v>
      </c>
      <c r="N9480">
        <v>0</v>
      </c>
      <c r="O9480">
        <v>0</v>
      </c>
    </row>
    <row r="9481" spans="1:15" x14ac:dyDescent="0.25">
      <c r="A9481" t="s">
        <v>10638</v>
      </c>
      <c r="B9481" t="s">
        <v>2057</v>
      </c>
      <c r="C9481" t="s">
        <v>927</v>
      </c>
      <c r="D9481" t="s">
        <v>3052</v>
      </c>
      <c r="E9481" t="s">
        <v>3053</v>
      </c>
      <c r="F9481" t="s">
        <v>14371</v>
      </c>
      <c r="G9481" t="s">
        <v>14372</v>
      </c>
      <c r="H9481" t="s">
        <v>15452</v>
      </c>
      <c r="I9481">
        <v>4</v>
      </c>
      <c r="J9481">
        <v>0</v>
      </c>
      <c r="K9481">
        <v>0</v>
      </c>
      <c r="L9481">
        <v>4</v>
      </c>
      <c r="M9481">
        <v>0</v>
      </c>
      <c r="N9481">
        <v>0</v>
      </c>
      <c r="O9481">
        <v>0</v>
      </c>
    </row>
    <row r="9482" spans="1:15" x14ac:dyDescent="0.25">
      <c r="A9482" t="s">
        <v>937</v>
      </c>
      <c r="B9482" t="s">
        <v>1962</v>
      </c>
      <c r="C9482" t="s">
        <v>927</v>
      </c>
      <c r="D9482" t="s">
        <v>3052</v>
      </c>
      <c r="E9482" t="s">
        <v>3053</v>
      </c>
      <c r="F9482" t="s">
        <v>14371</v>
      </c>
      <c r="G9482" t="s">
        <v>14372</v>
      </c>
      <c r="H9482" t="s">
        <v>15453</v>
      </c>
      <c r="I9482">
        <v>40</v>
      </c>
      <c r="J9482">
        <v>0</v>
      </c>
      <c r="K9482">
        <v>0</v>
      </c>
      <c r="L9482">
        <v>0</v>
      </c>
      <c r="M9482">
        <v>0</v>
      </c>
      <c r="N9482">
        <v>0</v>
      </c>
      <c r="O9482">
        <v>40</v>
      </c>
    </row>
    <row r="9483" spans="1:15" x14ac:dyDescent="0.25">
      <c r="A9483" t="s">
        <v>1011</v>
      </c>
      <c r="B9483" t="s">
        <v>2020</v>
      </c>
      <c r="C9483" t="s">
        <v>927</v>
      </c>
      <c r="D9483" t="s">
        <v>3052</v>
      </c>
      <c r="E9483" t="s">
        <v>3053</v>
      </c>
      <c r="F9483" t="s">
        <v>14371</v>
      </c>
      <c r="G9483" t="s">
        <v>14372</v>
      </c>
      <c r="H9483" t="s">
        <v>15454</v>
      </c>
      <c r="I9483">
        <v>23</v>
      </c>
      <c r="J9483">
        <v>0</v>
      </c>
      <c r="K9483">
        <v>0</v>
      </c>
      <c r="L9483">
        <v>23</v>
      </c>
      <c r="M9483">
        <v>0</v>
      </c>
      <c r="N9483">
        <v>0</v>
      </c>
      <c r="O9483">
        <v>0</v>
      </c>
    </row>
    <row r="9484" spans="1:15" x14ac:dyDescent="0.25">
      <c r="A9484" t="s">
        <v>938</v>
      </c>
      <c r="B9484" t="s">
        <v>2791</v>
      </c>
      <c r="C9484" t="s">
        <v>927</v>
      </c>
      <c r="D9484" t="s">
        <v>3052</v>
      </c>
      <c r="E9484" t="s">
        <v>3053</v>
      </c>
      <c r="F9484" t="s">
        <v>14371</v>
      </c>
      <c r="G9484" t="s">
        <v>14372</v>
      </c>
      <c r="H9484" t="s">
        <v>15455</v>
      </c>
      <c r="I9484">
        <v>783</v>
      </c>
      <c r="J9484">
        <v>658</v>
      </c>
      <c r="K9484">
        <v>0</v>
      </c>
      <c r="L9484">
        <v>43</v>
      </c>
      <c r="M9484">
        <v>0</v>
      </c>
      <c r="N9484">
        <v>0</v>
      </c>
      <c r="O9484">
        <v>82</v>
      </c>
    </row>
    <row r="9485" spans="1:15" x14ac:dyDescent="0.25">
      <c r="A9485" t="s">
        <v>940</v>
      </c>
      <c r="B9485" t="s">
        <v>2647</v>
      </c>
      <c r="C9485" t="s">
        <v>927</v>
      </c>
      <c r="D9485" t="s">
        <v>3052</v>
      </c>
      <c r="E9485" t="s">
        <v>3053</v>
      </c>
      <c r="F9485" t="s">
        <v>14371</v>
      </c>
      <c r="G9485" t="s">
        <v>14372</v>
      </c>
      <c r="H9485" t="s">
        <v>15456</v>
      </c>
      <c r="I9485">
        <v>163</v>
      </c>
      <c r="J9485">
        <v>0</v>
      </c>
      <c r="K9485">
        <v>0</v>
      </c>
      <c r="L9485">
        <v>0</v>
      </c>
      <c r="M9485">
        <v>90</v>
      </c>
      <c r="N9485">
        <v>0</v>
      </c>
      <c r="O9485">
        <v>73</v>
      </c>
    </row>
    <row r="9486" spans="1:15" x14ac:dyDescent="0.25">
      <c r="A9486" t="s">
        <v>1013</v>
      </c>
      <c r="B9486" t="s">
        <v>1959</v>
      </c>
      <c r="C9486" t="s">
        <v>927</v>
      </c>
      <c r="D9486" t="s">
        <v>3052</v>
      </c>
      <c r="E9486" t="s">
        <v>3053</v>
      </c>
      <c r="F9486" t="s">
        <v>14371</v>
      </c>
      <c r="G9486" t="s">
        <v>14372</v>
      </c>
      <c r="H9486" t="s">
        <v>15457</v>
      </c>
      <c r="I9486">
        <v>49</v>
      </c>
      <c r="J9486">
        <v>0</v>
      </c>
      <c r="K9486">
        <v>0</v>
      </c>
      <c r="L9486">
        <v>49</v>
      </c>
      <c r="M9486">
        <v>0</v>
      </c>
      <c r="N9486">
        <v>0</v>
      </c>
      <c r="O9486">
        <v>0</v>
      </c>
    </row>
    <row r="9487" spans="1:15" x14ac:dyDescent="0.25">
      <c r="A9487" t="s">
        <v>1499</v>
      </c>
      <c r="B9487" t="s">
        <v>9863</v>
      </c>
      <c r="C9487" t="s">
        <v>923</v>
      </c>
      <c r="D9487" t="s">
        <v>3063</v>
      </c>
      <c r="E9487" t="s">
        <v>3053</v>
      </c>
      <c r="F9487" t="s">
        <v>14371</v>
      </c>
      <c r="G9487" t="s">
        <v>14372</v>
      </c>
      <c r="H9487" t="s">
        <v>15458</v>
      </c>
      <c r="I9487">
        <v>42</v>
      </c>
      <c r="J9487">
        <v>42</v>
      </c>
      <c r="K9487">
        <v>0</v>
      </c>
      <c r="L9487">
        <v>0</v>
      </c>
      <c r="M9487">
        <v>0</v>
      </c>
      <c r="N9487">
        <v>0</v>
      </c>
      <c r="O9487">
        <v>0</v>
      </c>
    </row>
    <row r="9488" spans="1:15" x14ac:dyDescent="0.25">
      <c r="A9488" t="s">
        <v>1511</v>
      </c>
      <c r="B9488" t="s">
        <v>1939</v>
      </c>
      <c r="C9488" t="s">
        <v>923</v>
      </c>
      <c r="D9488" t="s">
        <v>3063</v>
      </c>
      <c r="E9488" t="s">
        <v>3053</v>
      </c>
      <c r="F9488" t="s">
        <v>14371</v>
      </c>
      <c r="G9488" t="s">
        <v>14372</v>
      </c>
      <c r="H9488" t="s">
        <v>15459</v>
      </c>
      <c r="I9488">
        <v>10</v>
      </c>
      <c r="J9488">
        <v>10</v>
      </c>
      <c r="K9488">
        <v>0</v>
      </c>
      <c r="L9488">
        <v>0</v>
      </c>
      <c r="M9488">
        <v>0</v>
      </c>
      <c r="N9488">
        <v>0</v>
      </c>
      <c r="O9488">
        <v>0</v>
      </c>
    </row>
    <row r="9489" spans="1:15" x14ac:dyDescent="0.25">
      <c r="A9489" t="s">
        <v>1515</v>
      </c>
      <c r="B9489" t="s">
        <v>2955</v>
      </c>
      <c r="C9489" t="s">
        <v>923</v>
      </c>
      <c r="D9489" t="s">
        <v>3063</v>
      </c>
      <c r="E9489" t="s">
        <v>3053</v>
      </c>
      <c r="F9489" t="s">
        <v>14371</v>
      </c>
      <c r="G9489" t="s">
        <v>14372</v>
      </c>
      <c r="H9489" t="s">
        <v>15460</v>
      </c>
      <c r="I9489">
        <v>73</v>
      </c>
      <c r="J9489">
        <v>73</v>
      </c>
      <c r="K9489">
        <v>0</v>
      </c>
      <c r="L9489">
        <v>0</v>
      </c>
      <c r="M9489">
        <v>0</v>
      </c>
      <c r="N9489">
        <v>2</v>
      </c>
      <c r="O9489">
        <v>0</v>
      </c>
    </row>
    <row r="9490" spans="1:15" x14ac:dyDescent="0.25">
      <c r="A9490" t="s">
        <v>1302</v>
      </c>
      <c r="B9490" t="s">
        <v>1961</v>
      </c>
      <c r="C9490" t="s">
        <v>923</v>
      </c>
      <c r="D9490" t="s">
        <v>3063</v>
      </c>
      <c r="E9490" t="s">
        <v>3053</v>
      </c>
      <c r="F9490" t="s">
        <v>14371</v>
      </c>
      <c r="G9490" t="s">
        <v>14372</v>
      </c>
      <c r="H9490" t="s">
        <v>15461</v>
      </c>
      <c r="I9490">
        <v>39</v>
      </c>
      <c r="J9490">
        <v>0</v>
      </c>
      <c r="K9490">
        <v>0</v>
      </c>
      <c r="L9490">
        <v>39</v>
      </c>
      <c r="M9490">
        <v>0</v>
      </c>
      <c r="N9490">
        <v>0</v>
      </c>
      <c r="O9490">
        <v>0</v>
      </c>
    </row>
    <row r="9491" spans="1:15" x14ac:dyDescent="0.25">
      <c r="A9491" t="s">
        <v>951</v>
      </c>
      <c r="B9491" t="s">
        <v>2680</v>
      </c>
      <c r="C9491" t="s">
        <v>927</v>
      </c>
      <c r="D9491" t="s">
        <v>3052</v>
      </c>
      <c r="E9491" t="s">
        <v>3053</v>
      </c>
      <c r="F9491" t="s">
        <v>14371</v>
      </c>
      <c r="G9491" t="s">
        <v>14372</v>
      </c>
      <c r="H9491" t="s">
        <v>15462</v>
      </c>
      <c r="I9491">
        <v>2</v>
      </c>
      <c r="J9491">
        <v>0</v>
      </c>
      <c r="K9491">
        <v>0</v>
      </c>
      <c r="L9491">
        <v>0</v>
      </c>
      <c r="M9491">
        <v>0</v>
      </c>
      <c r="N9491">
        <v>0</v>
      </c>
      <c r="O9491">
        <v>2</v>
      </c>
    </row>
    <row r="9492" spans="1:15" x14ac:dyDescent="0.25">
      <c r="A9492" t="s">
        <v>1051</v>
      </c>
      <c r="B9492" t="s">
        <v>2995</v>
      </c>
      <c r="C9492" t="s">
        <v>927</v>
      </c>
      <c r="D9492" t="s">
        <v>3052</v>
      </c>
      <c r="E9492" t="s">
        <v>3053</v>
      </c>
      <c r="F9492" t="s">
        <v>14371</v>
      </c>
      <c r="G9492" t="s">
        <v>14372</v>
      </c>
      <c r="H9492" t="s">
        <v>15463</v>
      </c>
      <c r="I9492">
        <v>51</v>
      </c>
      <c r="J9492">
        <v>25</v>
      </c>
      <c r="K9492">
        <v>0</v>
      </c>
      <c r="L9492">
        <v>3</v>
      </c>
      <c r="M9492">
        <v>0</v>
      </c>
      <c r="N9492">
        <v>0</v>
      </c>
      <c r="O9492">
        <v>23</v>
      </c>
    </row>
    <row r="9493" spans="1:15" x14ac:dyDescent="0.25">
      <c r="A9493" t="s">
        <v>1057</v>
      </c>
      <c r="B9493" t="s">
        <v>1972</v>
      </c>
      <c r="C9493" t="s">
        <v>927</v>
      </c>
      <c r="D9493" t="s">
        <v>3052</v>
      </c>
      <c r="E9493" t="s">
        <v>3053</v>
      </c>
      <c r="F9493" t="s">
        <v>14371</v>
      </c>
      <c r="G9493" t="s">
        <v>14372</v>
      </c>
      <c r="H9493" t="s">
        <v>15464</v>
      </c>
      <c r="I9493">
        <v>16</v>
      </c>
      <c r="J9493">
        <v>0</v>
      </c>
      <c r="K9493">
        <v>0</v>
      </c>
      <c r="L9493">
        <v>16</v>
      </c>
      <c r="M9493">
        <v>0</v>
      </c>
      <c r="N9493">
        <v>0</v>
      </c>
      <c r="O9493">
        <v>0</v>
      </c>
    </row>
    <row r="9494" spans="1:15" x14ac:dyDescent="0.25">
      <c r="A9494" t="s">
        <v>955</v>
      </c>
      <c r="B9494" t="s">
        <v>2660</v>
      </c>
      <c r="C9494" t="s">
        <v>927</v>
      </c>
      <c r="D9494" t="s">
        <v>3052</v>
      </c>
      <c r="E9494" t="s">
        <v>3053</v>
      </c>
      <c r="F9494" t="s">
        <v>14371</v>
      </c>
      <c r="G9494" t="s">
        <v>14372</v>
      </c>
      <c r="H9494" t="s">
        <v>15465</v>
      </c>
      <c r="I9494">
        <v>27</v>
      </c>
      <c r="J9494">
        <v>0</v>
      </c>
      <c r="K9494">
        <v>0</v>
      </c>
      <c r="L9494">
        <v>27</v>
      </c>
      <c r="M9494">
        <v>0</v>
      </c>
      <c r="N9494">
        <v>0</v>
      </c>
      <c r="O9494">
        <v>0</v>
      </c>
    </row>
    <row r="9495" spans="1:15" x14ac:dyDescent="0.25">
      <c r="A9495" t="s">
        <v>1537</v>
      </c>
      <c r="B9495" t="s">
        <v>1973</v>
      </c>
      <c r="C9495" t="s">
        <v>927</v>
      </c>
      <c r="D9495" t="s">
        <v>3052</v>
      </c>
      <c r="E9495" t="s">
        <v>3053</v>
      </c>
      <c r="F9495" t="s">
        <v>14371</v>
      </c>
      <c r="G9495" t="s">
        <v>14372</v>
      </c>
      <c r="H9495" t="s">
        <v>15466</v>
      </c>
      <c r="I9495">
        <v>3337</v>
      </c>
      <c r="J9495">
        <v>2801</v>
      </c>
      <c r="K9495">
        <v>0</v>
      </c>
      <c r="L9495">
        <v>0</v>
      </c>
      <c r="M9495">
        <v>420</v>
      </c>
      <c r="N9495">
        <v>0</v>
      </c>
      <c r="O9495">
        <v>116</v>
      </c>
    </row>
    <row r="9496" spans="1:15" x14ac:dyDescent="0.25">
      <c r="A9496" t="s">
        <v>1546</v>
      </c>
      <c r="B9496" t="s">
        <v>2545</v>
      </c>
      <c r="C9496" t="s">
        <v>923</v>
      </c>
      <c r="D9496" t="s">
        <v>3063</v>
      </c>
      <c r="E9496" t="s">
        <v>3053</v>
      </c>
      <c r="F9496" t="s">
        <v>14371</v>
      </c>
      <c r="G9496" t="s">
        <v>14372</v>
      </c>
      <c r="H9496" t="s">
        <v>15467</v>
      </c>
      <c r="I9496">
        <v>12</v>
      </c>
      <c r="J9496">
        <v>0</v>
      </c>
      <c r="K9496">
        <v>0</v>
      </c>
      <c r="L9496">
        <v>12</v>
      </c>
      <c r="M9496">
        <v>0</v>
      </c>
      <c r="N9496">
        <v>0</v>
      </c>
      <c r="O9496">
        <v>0</v>
      </c>
    </row>
    <row r="9497" spans="1:15" x14ac:dyDescent="0.25">
      <c r="A9497" t="s">
        <v>1066</v>
      </c>
      <c r="B9497" t="s">
        <v>2557</v>
      </c>
      <c r="C9497" t="s">
        <v>927</v>
      </c>
      <c r="D9497" t="s">
        <v>3052</v>
      </c>
      <c r="E9497" t="s">
        <v>3053</v>
      </c>
      <c r="F9497" t="s">
        <v>14371</v>
      </c>
      <c r="G9497" t="s">
        <v>14372</v>
      </c>
      <c r="H9497" t="s">
        <v>15468</v>
      </c>
      <c r="I9497">
        <v>16</v>
      </c>
      <c r="J9497">
        <v>0</v>
      </c>
      <c r="K9497">
        <v>0</v>
      </c>
      <c r="L9497">
        <v>0</v>
      </c>
      <c r="M9497">
        <v>16</v>
      </c>
      <c r="N9497">
        <v>0</v>
      </c>
      <c r="O9497">
        <v>0</v>
      </c>
    </row>
    <row r="9498" spans="1:15" x14ac:dyDescent="0.25">
      <c r="A9498" t="s">
        <v>9816</v>
      </c>
      <c r="B9498" t="s">
        <v>2900</v>
      </c>
      <c r="C9498" t="s">
        <v>923</v>
      </c>
      <c r="D9498" t="s">
        <v>3063</v>
      </c>
      <c r="E9498" t="s">
        <v>3053</v>
      </c>
      <c r="F9498" t="s">
        <v>14371</v>
      </c>
      <c r="G9498" t="s">
        <v>14372</v>
      </c>
      <c r="H9498" t="s">
        <v>15469</v>
      </c>
      <c r="I9498">
        <v>54</v>
      </c>
      <c r="J9498">
        <v>0</v>
      </c>
      <c r="K9498">
        <v>0</v>
      </c>
      <c r="L9498">
        <v>54</v>
      </c>
      <c r="M9498">
        <v>0</v>
      </c>
      <c r="N9498">
        <v>0</v>
      </c>
      <c r="O9498">
        <v>0</v>
      </c>
    </row>
    <row r="9499" spans="1:15" x14ac:dyDescent="0.25">
      <c r="A9499" t="s">
        <v>1072</v>
      </c>
      <c r="B9499" t="s">
        <v>2907</v>
      </c>
      <c r="C9499" t="s">
        <v>927</v>
      </c>
      <c r="D9499" t="s">
        <v>3052</v>
      </c>
      <c r="E9499" t="s">
        <v>3053</v>
      </c>
      <c r="F9499" t="s">
        <v>14371</v>
      </c>
      <c r="G9499" t="s">
        <v>14372</v>
      </c>
      <c r="H9499" t="s">
        <v>15470</v>
      </c>
      <c r="I9499">
        <v>927</v>
      </c>
      <c r="J9499">
        <v>516</v>
      </c>
      <c r="K9499">
        <v>0</v>
      </c>
      <c r="L9499">
        <v>135</v>
      </c>
      <c r="M9499">
        <v>80</v>
      </c>
      <c r="N9499">
        <v>0</v>
      </c>
      <c r="O9499">
        <v>196</v>
      </c>
    </row>
    <row r="9500" spans="1:15" x14ac:dyDescent="0.25">
      <c r="A9500" t="s">
        <v>929</v>
      </c>
      <c r="B9500" t="s">
        <v>2999</v>
      </c>
      <c r="C9500" t="s">
        <v>927</v>
      </c>
      <c r="D9500" t="s">
        <v>3052</v>
      </c>
      <c r="E9500" t="s">
        <v>3053</v>
      </c>
      <c r="F9500" t="s">
        <v>838</v>
      </c>
      <c r="G9500" t="s">
        <v>839</v>
      </c>
      <c r="H9500" t="s">
        <v>9363</v>
      </c>
      <c r="I9500">
        <v>255</v>
      </c>
      <c r="J9500">
        <v>0</v>
      </c>
      <c r="K9500">
        <v>0</v>
      </c>
      <c r="L9500">
        <v>0</v>
      </c>
      <c r="M9500">
        <v>216</v>
      </c>
      <c r="N9500">
        <v>0</v>
      </c>
      <c r="O9500">
        <v>39</v>
      </c>
    </row>
    <row r="9501" spans="1:15" x14ac:dyDescent="0.25">
      <c r="A9501" t="s">
        <v>1458</v>
      </c>
      <c r="B9501" t="s">
        <v>2024</v>
      </c>
      <c r="C9501" t="s">
        <v>923</v>
      </c>
      <c r="D9501" t="s">
        <v>3063</v>
      </c>
      <c r="E9501" t="s">
        <v>3053</v>
      </c>
      <c r="F9501" t="s">
        <v>838</v>
      </c>
      <c r="G9501" t="s">
        <v>839</v>
      </c>
      <c r="H9501" t="s">
        <v>15471</v>
      </c>
      <c r="I9501">
        <v>5</v>
      </c>
      <c r="J9501">
        <v>5</v>
      </c>
      <c r="K9501">
        <v>0</v>
      </c>
      <c r="L9501">
        <v>0</v>
      </c>
      <c r="M9501">
        <v>0</v>
      </c>
      <c r="N9501">
        <v>0</v>
      </c>
      <c r="O9501">
        <v>0</v>
      </c>
    </row>
    <row r="9502" spans="1:15" x14ac:dyDescent="0.25">
      <c r="A9502" t="s">
        <v>9784</v>
      </c>
      <c r="B9502" t="s">
        <v>1994</v>
      </c>
      <c r="C9502" t="s">
        <v>927</v>
      </c>
      <c r="D9502" t="s">
        <v>3052</v>
      </c>
      <c r="E9502" t="s">
        <v>3053</v>
      </c>
      <c r="F9502" t="s">
        <v>838</v>
      </c>
      <c r="G9502" t="s">
        <v>839</v>
      </c>
      <c r="H9502" t="s">
        <v>9996</v>
      </c>
      <c r="I9502">
        <v>87</v>
      </c>
      <c r="J9502">
        <v>0</v>
      </c>
      <c r="K9502">
        <v>0</v>
      </c>
      <c r="L9502">
        <v>87</v>
      </c>
      <c r="M9502">
        <v>0</v>
      </c>
      <c r="N9502">
        <v>0</v>
      </c>
      <c r="O9502">
        <v>0</v>
      </c>
    </row>
    <row r="9503" spans="1:15" x14ac:dyDescent="0.25">
      <c r="A9503" t="s">
        <v>1461</v>
      </c>
      <c r="B9503" t="s">
        <v>1927</v>
      </c>
      <c r="C9503" t="s">
        <v>927</v>
      </c>
      <c r="D9503" t="s">
        <v>3052</v>
      </c>
      <c r="E9503" t="s">
        <v>3053</v>
      </c>
      <c r="F9503" t="s">
        <v>838</v>
      </c>
      <c r="G9503" t="s">
        <v>839</v>
      </c>
      <c r="H9503" t="s">
        <v>9364</v>
      </c>
      <c r="I9503">
        <v>73</v>
      </c>
      <c r="J9503">
        <v>73</v>
      </c>
      <c r="K9503">
        <v>0</v>
      </c>
      <c r="L9503">
        <v>0</v>
      </c>
      <c r="M9503">
        <v>0</v>
      </c>
      <c r="N9503">
        <v>0</v>
      </c>
      <c r="O9503">
        <v>0</v>
      </c>
    </row>
    <row r="9504" spans="1:15" x14ac:dyDescent="0.25">
      <c r="A9504" t="s">
        <v>985</v>
      </c>
      <c r="B9504" t="s">
        <v>1964</v>
      </c>
      <c r="C9504" t="s">
        <v>923</v>
      </c>
      <c r="D9504" t="s">
        <v>3063</v>
      </c>
      <c r="E9504" t="s">
        <v>3053</v>
      </c>
      <c r="F9504" t="s">
        <v>838</v>
      </c>
      <c r="G9504" t="s">
        <v>839</v>
      </c>
      <c r="H9504" t="s">
        <v>9365</v>
      </c>
      <c r="I9504">
        <v>14</v>
      </c>
      <c r="J9504">
        <v>0</v>
      </c>
      <c r="K9504">
        <v>0</v>
      </c>
      <c r="L9504">
        <v>14</v>
      </c>
      <c r="M9504">
        <v>0</v>
      </c>
      <c r="N9504">
        <v>0</v>
      </c>
      <c r="O9504">
        <v>0</v>
      </c>
    </row>
    <row r="9505" spans="1:15" x14ac:dyDescent="0.25">
      <c r="A9505" t="s">
        <v>935</v>
      </c>
      <c r="B9505" t="s">
        <v>1960</v>
      </c>
      <c r="C9505" t="s">
        <v>923</v>
      </c>
      <c r="D9505" t="s">
        <v>3063</v>
      </c>
      <c r="E9505" t="s">
        <v>3053</v>
      </c>
      <c r="F9505" t="s">
        <v>838</v>
      </c>
      <c r="G9505" t="s">
        <v>839</v>
      </c>
      <c r="H9505" t="s">
        <v>9366</v>
      </c>
      <c r="I9505">
        <v>3</v>
      </c>
      <c r="J9505">
        <v>0</v>
      </c>
      <c r="K9505">
        <v>0</v>
      </c>
      <c r="L9505">
        <v>3</v>
      </c>
      <c r="M9505">
        <v>0</v>
      </c>
      <c r="N9505">
        <v>0</v>
      </c>
      <c r="O9505">
        <v>0</v>
      </c>
    </row>
    <row r="9506" spans="1:15" x14ac:dyDescent="0.25">
      <c r="A9506" t="s">
        <v>1006</v>
      </c>
      <c r="B9506" t="s">
        <v>2724</v>
      </c>
      <c r="C9506" t="s">
        <v>927</v>
      </c>
      <c r="D9506" t="s">
        <v>3052</v>
      </c>
      <c r="E9506" t="s">
        <v>3053</v>
      </c>
      <c r="F9506" t="s">
        <v>838</v>
      </c>
      <c r="G9506" t="s">
        <v>839</v>
      </c>
      <c r="H9506" t="s">
        <v>9367</v>
      </c>
      <c r="I9506">
        <v>338</v>
      </c>
      <c r="J9506">
        <v>238</v>
      </c>
      <c r="K9506">
        <v>0</v>
      </c>
      <c r="L9506">
        <v>0</v>
      </c>
      <c r="M9506">
        <v>0</v>
      </c>
      <c r="N9506">
        <v>0</v>
      </c>
      <c r="O9506">
        <v>100</v>
      </c>
    </row>
    <row r="9507" spans="1:15" x14ac:dyDescent="0.25">
      <c r="A9507" t="s">
        <v>1009</v>
      </c>
      <c r="B9507" t="s">
        <v>1958</v>
      </c>
      <c r="C9507" t="s">
        <v>923</v>
      </c>
      <c r="D9507" t="s">
        <v>3063</v>
      </c>
      <c r="E9507" t="s">
        <v>3053</v>
      </c>
      <c r="F9507" t="s">
        <v>838</v>
      </c>
      <c r="G9507" t="s">
        <v>839</v>
      </c>
      <c r="H9507" t="s">
        <v>9368</v>
      </c>
      <c r="I9507">
        <v>16</v>
      </c>
      <c r="J9507">
        <v>0</v>
      </c>
      <c r="K9507">
        <v>0</v>
      </c>
      <c r="L9507">
        <v>16</v>
      </c>
      <c r="M9507">
        <v>0</v>
      </c>
      <c r="N9507">
        <v>0</v>
      </c>
      <c r="O9507">
        <v>0</v>
      </c>
    </row>
    <row r="9508" spans="1:15" x14ac:dyDescent="0.25">
      <c r="A9508" t="s">
        <v>937</v>
      </c>
      <c r="B9508" t="s">
        <v>1962</v>
      </c>
      <c r="C9508" t="s">
        <v>927</v>
      </c>
      <c r="D9508" t="s">
        <v>3052</v>
      </c>
      <c r="E9508" t="s">
        <v>3053</v>
      </c>
      <c r="F9508" t="s">
        <v>838</v>
      </c>
      <c r="G9508" t="s">
        <v>839</v>
      </c>
      <c r="H9508" t="s">
        <v>9369</v>
      </c>
      <c r="I9508">
        <v>123</v>
      </c>
      <c r="J9508">
        <v>0</v>
      </c>
      <c r="K9508">
        <v>0</v>
      </c>
      <c r="L9508">
        <v>0</v>
      </c>
      <c r="M9508">
        <v>0</v>
      </c>
      <c r="N9508">
        <v>0</v>
      </c>
      <c r="O9508">
        <v>123</v>
      </c>
    </row>
    <row r="9509" spans="1:15" x14ac:dyDescent="0.25">
      <c r="A9509" t="s">
        <v>1011</v>
      </c>
      <c r="B9509" t="s">
        <v>2020</v>
      </c>
      <c r="C9509" t="s">
        <v>927</v>
      </c>
      <c r="D9509" t="s">
        <v>3052</v>
      </c>
      <c r="E9509" t="s">
        <v>3053</v>
      </c>
      <c r="F9509" t="s">
        <v>838</v>
      </c>
      <c r="G9509" t="s">
        <v>839</v>
      </c>
      <c r="H9509" t="s">
        <v>9370</v>
      </c>
      <c r="I9509">
        <v>102</v>
      </c>
      <c r="J9509">
        <v>0</v>
      </c>
      <c r="K9509">
        <v>0</v>
      </c>
      <c r="L9509">
        <v>102</v>
      </c>
      <c r="M9509">
        <v>0</v>
      </c>
      <c r="N9509">
        <v>0</v>
      </c>
      <c r="O9509">
        <v>0</v>
      </c>
    </row>
    <row r="9510" spans="1:15" x14ac:dyDescent="0.25">
      <c r="A9510" t="s">
        <v>940</v>
      </c>
      <c r="B9510" t="s">
        <v>2647</v>
      </c>
      <c r="C9510" t="s">
        <v>927</v>
      </c>
      <c r="D9510" t="s">
        <v>3052</v>
      </c>
      <c r="E9510" t="s">
        <v>3053</v>
      </c>
      <c r="F9510" t="s">
        <v>838</v>
      </c>
      <c r="G9510" t="s">
        <v>839</v>
      </c>
      <c r="H9510" t="s">
        <v>9371</v>
      </c>
      <c r="I9510">
        <v>262</v>
      </c>
      <c r="J9510">
        <v>0</v>
      </c>
      <c r="K9510">
        <v>0</v>
      </c>
      <c r="L9510">
        <v>0</v>
      </c>
      <c r="M9510">
        <v>262</v>
      </c>
      <c r="N9510">
        <v>0</v>
      </c>
      <c r="O9510">
        <v>0</v>
      </c>
    </row>
    <row r="9511" spans="1:15" x14ac:dyDescent="0.25">
      <c r="A9511" t="s">
        <v>1013</v>
      </c>
      <c r="B9511" t="s">
        <v>1959</v>
      </c>
      <c r="C9511" t="s">
        <v>927</v>
      </c>
      <c r="D9511" t="s">
        <v>3052</v>
      </c>
      <c r="E9511" t="s">
        <v>3053</v>
      </c>
      <c r="F9511" t="s">
        <v>838</v>
      </c>
      <c r="G9511" t="s">
        <v>839</v>
      </c>
      <c r="H9511" t="s">
        <v>9372</v>
      </c>
      <c r="I9511">
        <v>26</v>
      </c>
      <c r="J9511">
        <v>0</v>
      </c>
      <c r="K9511">
        <v>0</v>
      </c>
      <c r="L9511">
        <v>26</v>
      </c>
      <c r="M9511">
        <v>0</v>
      </c>
      <c r="N9511">
        <v>0</v>
      </c>
      <c r="O9511">
        <v>0</v>
      </c>
    </row>
    <row r="9512" spans="1:15" x14ac:dyDescent="0.25">
      <c r="A9512" t="s">
        <v>9819</v>
      </c>
      <c r="B9512" t="s">
        <v>2916</v>
      </c>
      <c r="C9512" t="s">
        <v>927</v>
      </c>
      <c r="D9512" t="s">
        <v>3052</v>
      </c>
      <c r="E9512" t="s">
        <v>3053</v>
      </c>
      <c r="F9512" t="s">
        <v>838</v>
      </c>
      <c r="G9512" t="s">
        <v>839</v>
      </c>
      <c r="H9512" t="s">
        <v>10152</v>
      </c>
      <c r="I9512">
        <v>1726</v>
      </c>
      <c r="J9512">
        <v>1233</v>
      </c>
      <c r="K9512">
        <v>0</v>
      </c>
      <c r="L9512">
        <v>127</v>
      </c>
      <c r="M9512">
        <v>233</v>
      </c>
      <c r="N9512">
        <v>4</v>
      </c>
      <c r="O9512">
        <v>133</v>
      </c>
    </row>
    <row r="9513" spans="1:15" x14ac:dyDescent="0.25">
      <c r="A9513" t="s">
        <v>10667</v>
      </c>
      <c r="B9513" t="s">
        <v>10666</v>
      </c>
      <c r="C9513" t="s">
        <v>927</v>
      </c>
      <c r="D9513" t="s">
        <v>3052</v>
      </c>
      <c r="E9513" t="s">
        <v>3053</v>
      </c>
      <c r="F9513" t="s">
        <v>838</v>
      </c>
      <c r="G9513" t="s">
        <v>839</v>
      </c>
      <c r="H9513" t="s">
        <v>11512</v>
      </c>
      <c r="I9513">
        <v>10</v>
      </c>
      <c r="J9513">
        <v>10</v>
      </c>
      <c r="K9513">
        <v>0</v>
      </c>
      <c r="L9513">
        <v>0</v>
      </c>
      <c r="M9513">
        <v>0</v>
      </c>
      <c r="N9513">
        <v>0</v>
      </c>
      <c r="O9513">
        <v>0</v>
      </c>
    </row>
    <row r="9514" spans="1:15" x14ac:dyDescent="0.25">
      <c r="A9514" t="s">
        <v>1126</v>
      </c>
      <c r="B9514" t="s">
        <v>2130</v>
      </c>
      <c r="C9514" t="s">
        <v>927</v>
      </c>
      <c r="D9514" t="s">
        <v>3052</v>
      </c>
      <c r="E9514" t="s">
        <v>3053</v>
      </c>
      <c r="F9514" t="s">
        <v>838</v>
      </c>
      <c r="G9514" t="s">
        <v>839</v>
      </c>
      <c r="H9514" t="s">
        <v>10172</v>
      </c>
      <c r="I9514">
        <v>85</v>
      </c>
      <c r="J9514">
        <v>15</v>
      </c>
      <c r="K9514">
        <v>0</v>
      </c>
      <c r="L9514">
        <v>0</v>
      </c>
      <c r="M9514">
        <v>0</v>
      </c>
      <c r="N9514">
        <v>0</v>
      </c>
      <c r="O9514">
        <v>70</v>
      </c>
    </row>
    <row r="9515" spans="1:15" x14ac:dyDescent="0.25">
      <c r="A9515" t="s">
        <v>1020</v>
      </c>
      <c r="B9515" t="s">
        <v>2104</v>
      </c>
      <c r="C9515" t="s">
        <v>923</v>
      </c>
      <c r="D9515" t="s">
        <v>3063</v>
      </c>
      <c r="E9515" t="s">
        <v>3053</v>
      </c>
      <c r="F9515" t="s">
        <v>838</v>
      </c>
      <c r="G9515" t="s">
        <v>839</v>
      </c>
      <c r="H9515" t="s">
        <v>9373</v>
      </c>
      <c r="I9515">
        <v>3</v>
      </c>
      <c r="J9515">
        <v>0</v>
      </c>
      <c r="K9515">
        <v>0</v>
      </c>
      <c r="L9515">
        <v>3</v>
      </c>
      <c r="M9515">
        <v>0</v>
      </c>
      <c r="N9515">
        <v>0</v>
      </c>
      <c r="O9515">
        <v>0</v>
      </c>
    </row>
    <row r="9516" spans="1:15" x14ac:dyDescent="0.25">
      <c r="A9516" t="s">
        <v>1032</v>
      </c>
      <c r="B9516" t="s">
        <v>2037</v>
      </c>
      <c r="C9516" t="s">
        <v>923</v>
      </c>
      <c r="D9516" t="s">
        <v>3063</v>
      </c>
      <c r="E9516" t="s">
        <v>3053</v>
      </c>
      <c r="F9516" t="s">
        <v>838</v>
      </c>
      <c r="G9516" t="s">
        <v>839</v>
      </c>
      <c r="H9516" t="s">
        <v>9374</v>
      </c>
      <c r="I9516">
        <v>13</v>
      </c>
      <c r="J9516">
        <v>0</v>
      </c>
      <c r="K9516">
        <v>0</v>
      </c>
      <c r="L9516">
        <v>13</v>
      </c>
      <c r="M9516">
        <v>0</v>
      </c>
      <c r="N9516">
        <v>0</v>
      </c>
      <c r="O9516">
        <v>0</v>
      </c>
    </row>
    <row r="9517" spans="1:15" x14ac:dyDescent="0.25">
      <c r="A9517" t="s">
        <v>1302</v>
      </c>
      <c r="B9517" t="s">
        <v>1961</v>
      </c>
      <c r="C9517" t="s">
        <v>923</v>
      </c>
      <c r="D9517" t="s">
        <v>3063</v>
      </c>
      <c r="E9517" t="s">
        <v>3053</v>
      </c>
      <c r="F9517" t="s">
        <v>838</v>
      </c>
      <c r="G9517" t="s">
        <v>839</v>
      </c>
      <c r="H9517" t="s">
        <v>9375</v>
      </c>
      <c r="I9517">
        <v>27</v>
      </c>
      <c r="J9517">
        <v>0</v>
      </c>
      <c r="K9517">
        <v>0</v>
      </c>
      <c r="L9517">
        <v>27</v>
      </c>
      <c r="M9517">
        <v>0</v>
      </c>
      <c r="N9517">
        <v>0</v>
      </c>
      <c r="O9517">
        <v>0</v>
      </c>
    </row>
    <row r="9518" spans="1:15" x14ac:dyDescent="0.25">
      <c r="A9518" t="s">
        <v>1520</v>
      </c>
      <c r="B9518" t="s">
        <v>2058</v>
      </c>
      <c r="C9518" t="s">
        <v>927</v>
      </c>
      <c r="D9518" t="s">
        <v>3052</v>
      </c>
      <c r="E9518" t="s">
        <v>3053</v>
      </c>
      <c r="F9518" t="s">
        <v>838</v>
      </c>
      <c r="G9518" t="s">
        <v>839</v>
      </c>
      <c r="H9518" t="s">
        <v>15472</v>
      </c>
      <c r="I9518">
        <v>8</v>
      </c>
      <c r="J9518">
        <v>4</v>
      </c>
      <c r="K9518">
        <v>0</v>
      </c>
      <c r="L9518">
        <v>0</v>
      </c>
      <c r="M9518">
        <v>0</v>
      </c>
      <c r="N9518">
        <v>0</v>
      </c>
      <c r="O9518">
        <v>4</v>
      </c>
    </row>
    <row r="9519" spans="1:15" x14ac:dyDescent="0.25">
      <c r="A9519" t="s">
        <v>1046</v>
      </c>
      <c r="B9519" t="s">
        <v>2027</v>
      </c>
      <c r="C9519" t="s">
        <v>923</v>
      </c>
      <c r="D9519" t="s">
        <v>3063</v>
      </c>
      <c r="E9519" t="s">
        <v>3053</v>
      </c>
      <c r="F9519" t="s">
        <v>838</v>
      </c>
      <c r="G9519" t="s">
        <v>839</v>
      </c>
      <c r="H9519" t="s">
        <v>9376</v>
      </c>
      <c r="I9519">
        <v>64</v>
      </c>
      <c r="J9519">
        <v>10</v>
      </c>
      <c r="K9519">
        <v>0</v>
      </c>
      <c r="L9519">
        <v>54</v>
      </c>
      <c r="M9519">
        <v>0</v>
      </c>
      <c r="N9519">
        <v>0</v>
      </c>
      <c r="O9519">
        <v>0</v>
      </c>
    </row>
    <row r="9520" spans="1:15" x14ac:dyDescent="0.25">
      <c r="A9520" t="s">
        <v>951</v>
      </c>
      <c r="B9520" t="s">
        <v>2680</v>
      </c>
      <c r="C9520" t="s">
        <v>927</v>
      </c>
      <c r="D9520" t="s">
        <v>3052</v>
      </c>
      <c r="E9520" t="s">
        <v>3053</v>
      </c>
      <c r="F9520" t="s">
        <v>838</v>
      </c>
      <c r="G9520" t="s">
        <v>839</v>
      </c>
      <c r="H9520" t="s">
        <v>9377</v>
      </c>
      <c r="I9520">
        <v>56</v>
      </c>
      <c r="J9520">
        <v>46</v>
      </c>
      <c r="K9520">
        <v>0</v>
      </c>
      <c r="L9520">
        <v>10</v>
      </c>
      <c r="M9520">
        <v>0</v>
      </c>
      <c r="N9520">
        <v>0</v>
      </c>
      <c r="O9520">
        <v>0</v>
      </c>
    </row>
    <row r="9521" spans="1:15" x14ac:dyDescent="0.25">
      <c r="A9521" t="s">
        <v>1048</v>
      </c>
      <c r="B9521" t="s">
        <v>2989</v>
      </c>
      <c r="C9521" t="s">
        <v>927</v>
      </c>
      <c r="D9521" t="s">
        <v>3052</v>
      </c>
      <c r="E9521" t="s">
        <v>3053</v>
      </c>
      <c r="F9521" t="s">
        <v>838</v>
      </c>
      <c r="G9521" t="s">
        <v>839</v>
      </c>
      <c r="H9521" t="s">
        <v>11513</v>
      </c>
      <c r="I9521">
        <v>4</v>
      </c>
      <c r="J9521">
        <v>0</v>
      </c>
      <c r="K9521">
        <v>0</v>
      </c>
      <c r="L9521">
        <v>4</v>
      </c>
      <c r="M9521">
        <v>0</v>
      </c>
      <c r="N9521">
        <v>0</v>
      </c>
      <c r="O9521">
        <v>0</v>
      </c>
    </row>
    <row r="9522" spans="1:15" x14ac:dyDescent="0.25">
      <c r="A9522" t="s">
        <v>1050</v>
      </c>
      <c r="B9522" t="s">
        <v>2018</v>
      </c>
      <c r="C9522" t="s">
        <v>923</v>
      </c>
      <c r="D9522" t="s">
        <v>3063</v>
      </c>
      <c r="E9522" t="s">
        <v>3053</v>
      </c>
      <c r="F9522" t="s">
        <v>838</v>
      </c>
      <c r="G9522" t="s">
        <v>839</v>
      </c>
      <c r="H9522" t="s">
        <v>9378</v>
      </c>
      <c r="I9522">
        <v>8</v>
      </c>
      <c r="J9522">
        <v>8</v>
      </c>
      <c r="K9522">
        <v>0</v>
      </c>
      <c r="L9522">
        <v>0</v>
      </c>
      <c r="M9522">
        <v>0</v>
      </c>
      <c r="N9522">
        <v>0</v>
      </c>
      <c r="O9522">
        <v>0</v>
      </c>
    </row>
    <row r="9523" spans="1:15" x14ac:dyDescent="0.25">
      <c r="A9523" t="s">
        <v>1525</v>
      </c>
      <c r="B9523" t="s">
        <v>2908</v>
      </c>
      <c r="C9523" t="s">
        <v>927</v>
      </c>
      <c r="D9523" t="s">
        <v>3052</v>
      </c>
      <c r="E9523" t="s">
        <v>3053</v>
      </c>
      <c r="F9523" t="s">
        <v>838</v>
      </c>
      <c r="G9523" t="s">
        <v>839</v>
      </c>
      <c r="H9523" t="s">
        <v>9379</v>
      </c>
      <c r="I9523">
        <v>1</v>
      </c>
      <c r="J9523">
        <v>1</v>
      </c>
      <c r="K9523">
        <v>0</v>
      </c>
      <c r="L9523">
        <v>0</v>
      </c>
      <c r="M9523">
        <v>0</v>
      </c>
      <c r="N9523">
        <v>0</v>
      </c>
      <c r="O9523">
        <v>0</v>
      </c>
    </row>
    <row r="9524" spans="1:15" x14ac:dyDescent="0.25">
      <c r="A9524" t="s">
        <v>1051</v>
      </c>
      <c r="B9524" t="s">
        <v>2995</v>
      </c>
      <c r="C9524" t="s">
        <v>927</v>
      </c>
      <c r="D9524" t="s">
        <v>3052</v>
      </c>
      <c r="E9524" t="s">
        <v>3053</v>
      </c>
      <c r="F9524" t="s">
        <v>838</v>
      </c>
      <c r="G9524" t="s">
        <v>839</v>
      </c>
      <c r="H9524" t="s">
        <v>9380</v>
      </c>
      <c r="I9524">
        <v>62</v>
      </c>
      <c r="J9524">
        <v>0</v>
      </c>
      <c r="K9524">
        <v>0</v>
      </c>
      <c r="L9524">
        <v>62</v>
      </c>
      <c r="M9524">
        <v>0</v>
      </c>
      <c r="N9524">
        <v>0</v>
      </c>
      <c r="O9524">
        <v>0</v>
      </c>
    </row>
    <row r="9525" spans="1:15" x14ac:dyDescent="0.25">
      <c r="A9525" t="s">
        <v>955</v>
      </c>
      <c r="B9525" t="s">
        <v>2660</v>
      </c>
      <c r="C9525" t="s">
        <v>927</v>
      </c>
      <c r="D9525" t="s">
        <v>3052</v>
      </c>
      <c r="E9525" t="s">
        <v>3053</v>
      </c>
      <c r="F9525" t="s">
        <v>838</v>
      </c>
      <c r="G9525" t="s">
        <v>839</v>
      </c>
      <c r="H9525" t="s">
        <v>9381</v>
      </c>
      <c r="I9525">
        <v>7</v>
      </c>
      <c r="J9525">
        <v>6</v>
      </c>
      <c r="K9525">
        <v>0</v>
      </c>
      <c r="L9525">
        <v>0</v>
      </c>
      <c r="M9525">
        <v>0</v>
      </c>
      <c r="N9525">
        <v>0</v>
      </c>
      <c r="O9525">
        <v>1</v>
      </c>
    </row>
    <row r="9526" spans="1:15" x14ac:dyDescent="0.25">
      <c r="A9526" t="s">
        <v>1068</v>
      </c>
      <c r="B9526" t="s">
        <v>2081</v>
      </c>
      <c r="C9526" t="s">
        <v>923</v>
      </c>
      <c r="D9526" t="s">
        <v>3063</v>
      </c>
      <c r="E9526" t="s">
        <v>3053</v>
      </c>
      <c r="F9526" t="s">
        <v>838</v>
      </c>
      <c r="G9526" t="s">
        <v>839</v>
      </c>
      <c r="H9526" t="s">
        <v>15473</v>
      </c>
      <c r="I9526">
        <v>4</v>
      </c>
      <c r="J9526">
        <v>0</v>
      </c>
      <c r="K9526">
        <v>0</v>
      </c>
      <c r="L9526">
        <v>4</v>
      </c>
      <c r="M9526">
        <v>0</v>
      </c>
      <c r="N9526">
        <v>0</v>
      </c>
      <c r="O9526">
        <v>0</v>
      </c>
    </row>
    <row r="9527" spans="1:15" x14ac:dyDescent="0.25">
      <c r="A9527" t="s">
        <v>1069</v>
      </c>
      <c r="B9527" t="s">
        <v>2001</v>
      </c>
      <c r="C9527" t="s">
        <v>927</v>
      </c>
      <c r="D9527" t="s">
        <v>3052</v>
      </c>
      <c r="E9527" t="s">
        <v>3053</v>
      </c>
      <c r="F9527" t="s">
        <v>838</v>
      </c>
      <c r="G9527" t="s">
        <v>839</v>
      </c>
      <c r="H9527" t="s">
        <v>9382</v>
      </c>
      <c r="I9527">
        <v>170</v>
      </c>
      <c r="J9527">
        <v>98</v>
      </c>
      <c r="K9527">
        <v>0</v>
      </c>
      <c r="L9527">
        <v>0</v>
      </c>
      <c r="M9527">
        <v>30</v>
      </c>
      <c r="N9527">
        <v>0</v>
      </c>
      <c r="O9527">
        <v>42</v>
      </c>
    </row>
    <row r="9528" spans="1:15" x14ac:dyDescent="0.25">
      <c r="A9528" t="s">
        <v>1072</v>
      </c>
      <c r="B9528" t="s">
        <v>2907</v>
      </c>
      <c r="C9528" t="s">
        <v>927</v>
      </c>
      <c r="D9528" t="s">
        <v>3052</v>
      </c>
      <c r="E9528" t="s">
        <v>3053</v>
      </c>
      <c r="F9528" t="s">
        <v>838</v>
      </c>
      <c r="G9528" t="s">
        <v>839</v>
      </c>
      <c r="H9528" t="s">
        <v>9383</v>
      </c>
      <c r="I9528">
        <v>504</v>
      </c>
      <c r="J9528">
        <v>269</v>
      </c>
      <c r="K9528">
        <v>0</v>
      </c>
      <c r="L9528">
        <v>102</v>
      </c>
      <c r="M9528">
        <v>126</v>
      </c>
      <c r="N9528">
        <v>0</v>
      </c>
      <c r="O9528">
        <v>7</v>
      </c>
    </row>
    <row r="9529" spans="1:15" x14ac:dyDescent="0.25">
      <c r="A9529" t="s">
        <v>1075</v>
      </c>
      <c r="B9529" t="s">
        <v>2830</v>
      </c>
      <c r="C9529" t="s">
        <v>927</v>
      </c>
      <c r="D9529" t="s">
        <v>3052</v>
      </c>
      <c r="E9529" t="s">
        <v>3053</v>
      </c>
      <c r="F9529" t="s">
        <v>838</v>
      </c>
      <c r="G9529" t="s">
        <v>839</v>
      </c>
      <c r="H9529" t="s">
        <v>9384</v>
      </c>
      <c r="I9529">
        <v>6</v>
      </c>
      <c r="J9529">
        <v>0</v>
      </c>
      <c r="K9529">
        <v>0</v>
      </c>
      <c r="L9529">
        <v>0</v>
      </c>
      <c r="M9529">
        <v>0</v>
      </c>
      <c r="N9529">
        <v>0</v>
      </c>
      <c r="O9529">
        <v>6</v>
      </c>
    </row>
    <row r="9530" spans="1:15" x14ac:dyDescent="0.25">
      <c r="A9530" t="s">
        <v>1553</v>
      </c>
      <c r="B9530" t="s">
        <v>2132</v>
      </c>
      <c r="C9530" t="s">
        <v>927</v>
      </c>
      <c r="D9530" t="s">
        <v>3052</v>
      </c>
      <c r="E9530" t="s">
        <v>3053</v>
      </c>
      <c r="F9530" t="s">
        <v>838</v>
      </c>
      <c r="G9530" t="s">
        <v>839</v>
      </c>
      <c r="H9530" t="s">
        <v>9385</v>
      </c>
      <c r="I9530">
        <v>374</v>
      </c>
      <c r="J9530">
        <v>114</v>
      </c>
      <c r="K9530">
        <v>0</v>
      </c>
      <c r="L9530">
        <v>0</v>
      </c>
      <c r="M9530">
        <v>0</v>
      </c>
      <c r="N9530">
        <v>0</v>
      </c>
      <c r="O9530">
        <v>260</v>
      </c>
    </row>
    <row r="9531" spans="1:15" x14ac:dyDescent="0.25">
      <c r="A9531" t="s">
        <v>1083</v>
      </c>
      <c r="B9531" t="s">
        <v>2757</v>
      </c>
      <c r="C9531" t="s">
        <v>927</v>
      </c>
      <c r="D9531" t="s">
        <v>3052</v>
      </c>
      <c r="E9531" t="s">
        <v>3053</v>
      </c>
      <c r="F9531" t="s">
        <v>838</v>
      </c>
      <c r="G9531" t="s">
        <v>839</v>
      </c>
      <c r="H9531" t="s">
        <v>9386</v>
      </c>
      <c r="I9531">
        <v>1181</v>
      </c>
      <c r="J9531">
        <v>883</v>
      </c>
      <c r="K9531">
        <v>0</v>
      </c>
      <c r="L9531">
        <v>141</v>
      </c>
      <c r="M9531">
        <v>0</v>
      </c>
      <c r="N9531">
        <v>2</v>
      </c>
      <c r="O9531">
        <v>157</v>
      </c>
    </row>
    <row r="9532" spans="1:15" x14ac:dyDescent="0.25">
      <c r="A9532" t="s">
        <v>1196</v>
      </c>
      <c r="B9532" t="s">
        <v>3004</v>
      </c>
      <c r="C9532" t="s">
        <v>927</v>
      </c>
      <c r="D9532" t="s">
        <v>3052</v>
      </c>
      <c r="E9532" t="s">
        <v>3053</v>
      </c>
      <c r="F9532" t="s">
        <v>840</v>
      </c>
      <c r="G9532" t="s">
        <v>841</v>
      </c>
      <c r="H9532" t="s">
        <v>9387</v>
      </c>
      <c r="I9532">
        <v>210</v>
      </c>
      <c r="J9532">
        <v>173</v>
      </c>
      <c r="K9532">
        <v>0</v>
      </c>
      <c r="L9532">
        <v>28</v>
      </c>
      <c r="M9532">
        <v>0</v>
      </c>
      <c r="N9532">
        <v>1</v>
      </c>
      <c r="O9532">
        <v>9</v>
      </c>
    </row>
    <row r="9533" spans="1:15" x14ac:dyDescent="0.25">
      <c r="A9533" t="s">
        <v>10568</v>
      </c>
      <c r="B9533" t="s">
        <v>10567</v>
      </c>
      <c r="C9533" t="s">
        <v>927</v>
      </c>
      <c r="D9533" t="s">
        <v>3052</v>
      </c>
      <c r="E9533" t="s">
        <v>3053</v>
      </c>
      <c r="F9533" t="s">
        <v>840</v>
      </c>
      <c r="G9533" t="s">
        <v>841</v>
      </c>
      <c r="H9533" t="s">
        <v>11514</v>
      </c>
      <c r="I9533">
        <v>463</v>
      </c>
      <c r="J9533">
        <v>392</v>
      </c>
      <c r="K9533">
        <v>0</v>
      </c>
      <c r="L9533">
        <v>0</v>
      </c>
      <c r="M9533">
        <v>0</v>
      </c>
      <c r="N9533">
        <v>0</v>
      </c>
      <c r="O9533">
        <v>71</v>
      </c>
    </row>
    <row r="9534" spans="1:15" x14ac:dyDescent="0.25">
      <c r="A9534" t="s">
        <v>926</v>
      </c>
      <c r="B9534" t="s">
        <v>2923</v>
      </c>
      <c r="C9534" t="s">
        <v>927</v>
      </c>
      <c r="D9534" t="s">
        <v>3052</v>
      </c>
      <c r="E9534" t="s">
        <v>3053</v>
      </c>
      <c r="F9534" t="s">
        <v>840</v>
      </c>
      <c r="G9534" t="s">
        <v>841</v>
      </c>
      <c r="H9534" t="s">
        <v>9388</v>
      </c>
      <c r="I9534">
        <v>44</v>
      </c>
      <c r="J9534">
        <v>0</v>
      </c>
      <c r="K9534">
        <v>0</v>
      </c>
      <c r="L9534">
        <v>18</v>
      </c>
      <c r="M9534">
        <v>0</v>
      </c>
      <c r="N9534">
        <v>0</v>
      </c>
      <c r="O9534">
        <v>26</v>
      </c>
    </row>
    <row r="9535" spans="1:15" x14ac:dyDescent="0.25">
      <c r="A9535" t="s">
        <v>929</v>
      </c>
      <c r="B9535" t="s">
        <v>2999</v>
      </c>
      <c r="C9535" t="s">
        <v>927</v>
      </c>
      <c r="D9535" t="s">
        <v>3052</v>
      </c>
      <c r="E9535" t="s">
        <v>3053</v>
      </c>
      <c r="F9535" t="s">
        <v>840</v>
      </c>
      <c r="G9535" t="s">
        <v>841</v>
      </c>
      <c r="H9535" t="s">
        <v>9389</v>
      </c>
      <c r="I9535">
        <v>75</v>
      </c>
      <c r="J9535">
        <v>0</v>
      </c>
      <c r="K9535">
        <v>0</v>
      </c>
      <c r="L9535">
        <v>0</v>
      </c>
      <c r="M9535">
        <v>75</v>
      </c>
      <c r="N9535">
        <v>0</v>
      </c>
      <c r="O9535">
        <v>0</v>
      </c>
    </row>
    <row r="9536" spans="1:15" x14ac:dyDescent="0.25">
      <c r="A9536" t="s">
        <v>1575</v>
      </c>
      <c r="B9536" t="s">
        <v>2112</v>
      </c>
      <c r="C9536" t="s">
        <v>927</v>
      </c>
      <c r="D9536" t="s">
        <v>3052</v>
      </c>
      <c r="E9536" t="s">
        <v>3053</v>
      </c>
      <c r="F9536" t="s">
        <v>840</v>
      </c>
      <c r="G9536" t="s">
        <v>841</v>
      </c>
      <c r="H9536" t="s">
        <v>9390</v>
      </c>
      <c r="I9536">
        <v>341</v>
      </c>
      <c r="J9536">
        <v>255</v>
      </c>
      <c r="K9536">
        <v>0</v>
      </c>
      <c r="L9536">
        <v>0</v>
      </c>
      <c r="M9536">
        <v>0</v>
      </c>
      <c r="N9536">
        <v>0</v>
      </c>
      <c r="O9536">
        <v>86</v>
      </c>
    </row>
    <row r="9537" spans="1:15" x14ac:dyDescent="0.25">
      <c r="A9537" t="s">
        <v>931</v>
      </c>
      <c r="B9537" t="s">
        <v>1978</v>
      </c>
      <c r="C9537" t="s">
        <v>927</v>
      </c>
      <c r="D9537" t="s">
        <v>3052</v>
      </c>
      <c r="E9537" t="s">
        <v>3053</v>
      </c>
      <c r="F9537" t="s">
        <v>840</v>
      </c>
      <c r="G9537" t="s">
        <v>841</v>
      </c>
      <c r="H9537" t="s">
        <v>9391</v>
      </c>
      <c r="I9537">
        <v>5582</v>
      </c>
      <c r="J9537">
        <v>4590</v>
      </c>
      <c r="K9537">
        <v>0</v>
      </c>
      <c r="L9537">
        <v>85</v>
      </c>
      <c r="M9537">
        <v>537</v>
      </c>
      <c r="N9537">
        <v>8</v>
      </c>
      <c r="O9537">
        <v>370</v>
      </c>
    </row>
    <row r="9538" spans="1:15" x14ac:dyDescent="0.25">
      <c r="A9538" t="s">
        <v>9784</v>
      </c>
      <c r="B9538" t="s">
        <v>1994</v>
      </c>
      <c r="C9538" t="s">
        <v>927</v>
      </c>
      <c r="D9538" t="s">
        <v>3052</v>
      </c>
      <c r="E9538" t="s">
        <v>3053</v>
      </c>
      <c r="F9538" t="s">
        <v>840</v>
      </c>
      <c r="G9538" t="s">
        <v>841</v>
      </c>
      <c r="H9538" t="s">
        <v>9997</v>
      </c>
      <c r="I9538">
        <v>2</v>
      </c>
      <c r="J9538">
        <v>0</v>
      </c>
      <c r="K9538">
        <v>0</v>
      </c>
      <c r="L9538">
        <v>2</v>
      </c>
      <c r="M9538">
        <v>0</v>
      </c>
      <c r="N9538">
        <v>0</v>
      </c>
      <c r="O9538">
        <v>0</v>
      </c>
    </row>
    <row r="9539" spans="1:15" x14ac:dyDescent="0.25">
      <c r="A9539" t="s">
        <v>1581</v>
      </c>
      <c r="B9539" t="s">
        <v>2917</v>
      </c>
      <c r="C9539" t="s">
        <v>927</v>
      </c>
      <c r="D9539" t="s">
        <v>3052</v>
      </c>
      <c r="E9539" t="s">
        <v>3053</v>
      </c>
      <c r="F9539" t="s">
        <v>840</v>
      </c>
      <c r="G9539" t="s">
        <v>841</v>
      </c>
      <c r="H9539" t="s">
        <v>9392</v>
      </c>
      <c r="I9539">
        <v>39</v>
      </c>
      <c r="J9539">
        <v>39</v>
      </c>
      <c r="K9539">
        <v>0</v>
      </c>
      <c r="L9539">
        <v>0</v>
      </c>
      <c r="M9539">
        <v>0</v>
      </c>
      <c r="N9539">
        <v>0</v>
      </c>
      <c r="O9539">
        <v>0</v>
      </c>
    </row>
    <row r="9540" spans="1:15" x14ac:dyDescent="0.25">
      <c r="A9540" t="s">
        <v>983</v>
      </c>
      <c r="B9540" t="s">
        <v>2069</v>
      </c>
      <c r="C9540" t="s">
        <v>927</v>
      </c>
      <c r="D9540" t="s">
        <v>3052</v>
      </c>
      <c r="E9540" t="s">
        <v>3053</v>
      </c>
      <c r="F9540" t="s">
        <v>840</v>
      </c>
      <c r="G9540" t="s">
        <v>841</v>
      </c>
      <c r="H9540" t="s">
        <v>9394</v>
      </c>
      <c r="I9540">
        <v>26</v>
      </c>
      <c r="J9540">
        <v>10</v>
      </c>
      <c r="K9540">
        <v>0</v>
      </c>
      <c r="L9540">
        <v>0</v>
      </c>
      <c r="M9540">
        <v>0</v>
      </c>
      <c r="N9540">
        <v>0</v>
      </c>
      <c r="O9540">
        <v>16</v>
      </c>
    </row>
    <row r="9541" spans="1:15" x14ac:dyDescent="0.25">
      <c r="A9541" t="s">
        <v>933</v>
      </c>
      <c r="B9541" t="s">
        <v>2106</v>
      </c>
      <c r="C9541" t="s">
        <v>927</v>
      </c>
      <c r="D9541" t="s">
        <v>3052</v>
      </c>
      <c r="E9541" t="s">
        <v>3053</v>
      </c>
      <c r="F9541" t="s">
        <v>840</v>
      </c>
      <c r="G9541" t="s">
        <v>841</v>
      </c>
      <c r="H9541" t="s">
        <v>9395</v>
      </c>
      <c r="I9541">
        <v>28</v>
      </c>
      <c r="J9541">
        <v>16</v>
      </c>
      <c r="K9541">
        <v>0</v>
      </c>
      <c r="L9541">
        <v>0</v>
      </c>
      <c r="M9541">
        <v>0</v>
      </c>
      <c r="N9541">
        <v>0</v>
      </c>
      <c r="O9541">
        <v>12</v>
      </c>
    </row>
    <row r="9542" spans="1:15" x14ac:dyDescent="0.25">
      <c r="A9542" t="s">
        <v>1590</v>
      </c>
      <c r="B9542" t="s">
        <v>2853</v>
      </c>
      <c r="C9542" t="s">
        <v>927</v>
      </c>
      <c r="D9542" t="s">
        <v>3052</v>
      </c>
      <c r="E9542" t="s">
        <v>3053</v>
      </c>
      <c r="F9542" t="s">
        <v>840</v>
      </c>
      <c r="G9542" t="s">
        <v>841</v>
      </c>
      <c r="H9542" t="s">
        <v>9396</v>
      </c>
      <c r="I9542">
        <v>134</v>
      </c>
      <c r="J9542">
        <v>100</v>
      </c>
      <c r="K9542">
        <v>0</v>
      </c>
      <c r="L9542">
        <v>0</v>
      </c>
      <c r="M9542">
        <v>0</v>
      </c>
      <c r="N9542">
        <v>0</v>
      </c>
      <c r="O9542">
        <v>34</v>
      </c>
    </row>
    <row r="9543" spans="1:15" x14ac:dyDescent="0.25">
      <c r="A9543" t="s">
        <v>1725</v>
      </c>
      <c r="B9543" t="s">
        <v>3010</v>
      </c>
      <c r="C9543" t="s">
        <v>927</v>
      </c>
      <c r="D9543" t="s">
        <v>3052</v>
      </c>
      <c r="E9543" t="s">
        <v>3053</v>
      </c>
      <c r="F9543" t="s">
        <v>840</v>
      </c>
      <c r="G9543" t="s">
        <v>841</v>
      </c>
      <c r="H9543" t="s">
        <v>9397</v>
      </c>
      <c r="I9543">
        <v>650</v>
      </c>
      <c r="J9543">
        <v>496</v>
      </c>
      <c r="K9543">
        <v>0</v>
      </c>
      <c r="L9543">
        <v>6</v>
      </c>
      <c r="M9543">
        <v>0</v>
      </c>
      <c r="N9543">
        <v>0</v>
      </c>
      <c r="O9543">
        <v>148</v>
      </c>
    </row>
    <row r="9544" spans="1:15" x14ac:dyDescent="0.25">
      <c r="A9544" t="s">
        <v>1726</v>
      </c>
      <c r="B9544" t="s">
        <v>2269</v>
      </c>
      <c r="C9544" t="s">
        <v>923</v>
      </c>
      <c r="D9544" t="s">
        <v>3063</v>
      </c>
      <c r="E9544" t="s">
        <v>3053</v>
      </c>
      <c r="F9544" t="s">
        <v>840</v>
      </c>
      <c r="G9544" t="s">
        <v>841</v>
      </c>
      <c r="H9544" t="s">
        <v>9398</v>
      </c>
      <c r="I9544">
        <v>4</v>
      </c>
      <c r="J9544">
        <v>0</v>
      </c>
      <c r="K9544">
        <v>0</v>
      </c>
      <c r="L9544">
        <v>0</v>
      </c>
      <c r="M9544">
        <v>4</v>
      </c>
      <c r="N9544">
        <v>0</v>
      </c>
      <c r="O9544">
        <v>0</v>
      </c>
    </row>
    <row r="9545" spans="1:15" x14ac:dyDescent="0.25">
      <c r="A9545" t="s">
        <v>996</v>
      </c>
      <c r="B9545" t="s">
        <v>1952</v>
      </c>
      <c r="C9545" t="s">
        <v>923</v>
      </c>
      <c r="D9545" t="s">
        <v>3063</v>
      </c>
      <c r="E9545" t="s">
        <v>3053</v>
      </c>
      <c r="F9545" t="s">
        <v>840</v>
      </c>
      <c r="G9545" t="s">
        <v>841</v>
      </c>
      <c r="H9545" t="s">
        <v>9399</v>
      </c>
      <c r="I9545">
        <v>22</v>
      </c>
      <c r="J9545">
        <v>0</v>
      </c>
      <c r="K9545">
        <v>0</v>
      </c>
      <c r="L9545">
        <v>22</v>
      </c>
      <c r="M9545">
        <v>0</v>
      </c>
      <c r="N9545">
        <v>0</v>
      </c>
      <c r="O9545">
        <v>0</v>
      </c>
    </row>
    <row r="9546" spans="1:15" x14ac:dyDescent="0.25">
      <c r="A9546" t="s">
        <v>935</v>
      </c>
      <c r="B9546" t="s">
        <v>1960</v>
      </c>
      <c r="C9546" t="s">
        <v>923</v>
      </c>
      <c r="D9546" t="s">
        <v>3063</v>
      </c>
      <c r="E9546" t="s">
        <v>3053</v>
      </c>
      <c r="F9546" t="s">
        <v>840</v>
      </c>
      <c r="G9546" t="s">
        <v>841</v>
      </c>
      <c r="H9546" t="s">
        <v>9400</v>
      </c>
      <c r="I9546">
        <v>10</v>
      </c>
      <c r="J9546">
        <v>0</v>
      </c>
      <c r="K9546">
        <v>0</v>
      </c>
      <c r="L9546">
        <v>10</v>
      </c>
      <c r="M9546">
        <v>0</v>
      </c>
      <c r="N9546">
        <v>0</v>
      </c>
      <c r="O9546">
        <v>0</v>
      </c>
    </row>
    <row r="9547" spans="1:15" x14ac:dyDescent="0.25">
      <c r="A9547" t="s">
        <v>998</v>
      </c>
      <c r="B9547" t="s">
        <v>2820</v>
      </c>
      <c r="C9547" t="s">
        <v>927</v>
      </c>
      <c r="D9547" t="s">
        <v>3052</v>
      </c>
      <c r="E9547" t="s">
        <v>3053</v>
      </c>
      <c r="F9547" t="s">
        <v>840</v>
      </c>
      <c r="G9547" t="s">
        <v>841</v>
      </c>
      <c r="H9547" t="s">
        <v>9401</v>
      </c>
      <c r="I9547">
        <v>8</v>
      </c>
      <c r="J9547">
        <v>6</v>
      </c>
      <c r="K9547">
        <v>0</v>
      </c>
      <c r="L9547">
        <v>0</v>
      </c>
      <c r="M9547">
        <v>0</v>
      </c>
      <c r="N9547">
        <v>1</v>
      </c>
      <c r="O9547">
        <v>2</v>
      </c>
    </row>
    <row r="9548" spans="1:15" x14ac:dyDescent="0.25">
      <c r="A9548" t="s">
        <v>1416</v>
      </c>
      <c r="B9548" t="s">
        <v>2029</v>
      </c>
      <c r="C9548" t="s">
        <v>923</v>
      </c>
      <c r="D9548" t="s">
        <v>3063</v>
      </c>
      <c r="E9548" t="s">
        <v>3053</v>
      </c>
      <c r="F9548" t="s">
        <v>840</v>
      </c>
      <c r="G9548" t="s">
        <v>841</v>
      </c>
      <c r="H9548" t="s">
        <v>12498</v>
      </c>
      <c r="I9548">
        <v>17</v>
      </c>
      <c r="J9548">
        <v>0</v>
      </c>
      <c r="K9548">
        <v>0</v>
      </c>
      <c r="L9548">
        <v>17</v>
      </c>
      <c r="M9548">
        <v>0</v>
      </c>
      <c r="N9548">
        <v>0</v>
      </c>
      <c r="O9548">
        <v>0</v>
      </c>
    </row>
    <row r="9549" spans="1:15" x14ac:dyDescent="0.25">
      <c r="A9549" t="s">
        <v>1485</v>
      </c>
      <c r="B9549" t="s">
        <v>2836</v>
      </c>
      <c r="C9549" t="s">
        <v>927</v>
      </c>
      <c r="D9549" t="s">
        <v>3052</v>
      </c>
      <c r="E9549" t="s">
        <v>3053</v>
      </c>
      <c r="F9549" t="s">
        <v>840</v>
      </c>
      <c r="G9549" t="s">
        <v>841</v>
      </c>
      <c r="H9549" t="s">
        <v>9402</v>
      </c>
      <c r="I9549">
        <v>6</v>
      </c>
      <c r="J9549">
        <v>0</v>
      </c>
      <c r="K9549">
        <v>0</v>
      </c>
      <c r="L9549">
        <v>0</v>
      </c>
      <c r="M9549">
        <v>0</v>
      </c>
      <c r="N9549">
        <v>0</v>
      </c>
      <c r="O9549">
        <v>6</v>
      </c>
    </row>
    <row r="9550" spans="1:15" x14ac:dyDescent="0.25">
      <c r="A9550" t="s">
        <v>10638</v>
      </c>
      <c r="B9550" t="s">
        <v>2057</v>
      </c>
      <c r="C9550" t="s">
        <v>927</v>
      </c>
      <c r="D9550" t="s">
        <v>3052</v>
      </c>
      <c r="E9550" t="s">
        <v>3053</v>
      </c>
      <c r="F9550" t="s">
        <v>840</v>
      </c>
      <c r="G9550" t="s">
        <v>841</v>
      </c>
      <c r="H9550" t="s">
        <v>11515</v>
      </c>
      <c r="I9550">
        <v>45</v>
      </c>
      <c r="J9550">
        <v>0</v>
      </c>
      <c r="K9550">
        <v>0</v>
      </c>
      <c r="L9550">
        <v>45</v>
      </c>
      <c r="M9550">
        <v>0</v>
      </c>
      <c r="N9550">
        <v>0</v>
      </c>
      <c r="O9550">
        <v>0</v>
      </c>
    </row>
    <row r="9551" spans="1:15" x14ac:dyDescent="0.25">
      <c r="A9551" t="s">
        <v>10643</v>
      </c>
      <c r="B9551" t="s">
        <v>2987</v>
      </c>
      <c r="C9551" t="s">
        <v>927</v>
      </c>
      <c r="D9551" t="s">
        <v>3052</v>
      </c>
      <c r="E9551" t="s">
        <v>3053</v>
      </c>
      <c r="F9551" t="s">
        <v>840</v>
      </c>
      <c r="G9551" t="s">
        <v>841</v>
      </c>
      <c r="H9551" t="s">
        <v>11516</v>
      </c>
      <c r="I9551">
        <v>6814</v>
      </c>
      <c r="J9551">
        <v>6030</v>
      </c>
      <c r="K9551">
        <v>0</v>
      </c>
      <c r="L9551">
        <v>179</v>
      </c>
      <c r="M9551">
        <v>255</v>
      </c>
      <c r="N9551">
        <v>266</v>
      </c>
      <c r="O9551">
        <v>350</v>
      </c>
    </row>
    <row r="9552" spans="1:15" x14ac:dyDescent="0.25">
      <c r="A9552" t="s">
        <v>1739</v>
      </c>
      <c r="B9552" t="s">
        <v>2786</v>
      </c>
      <c r="C9552" t="s">
        <v>923</v>
      </c>
      <c r="D9552" t="s">
        <v>3063</v>
      </c>
      <c r="E9552" t="s">
        <v>3053</v>
      </c>
      <c r="F9552" t="s">
        <v>840</v>
      </c>
      <c r="G9552" t="s">
        <v>841</v>
      </c>
      <c r="H9552" t="s">
        <v>9403</v>
      </c>
      <c r="I9552">
        <v>64</v>
      </c>
      <c r="J9552">
        <v>35</v>
      </c>
      <c r="K9552">
        <v>0</v>
      </c>
      <c r="L9552">
        <v>0</v>
      </c>
      <c r="M9552">
        <v>29</v>
      </c>
      <c r="N9552">
        <v>0</v>
      </c>
      <c r="O9552">
        <v>0</v>
      </c>
    </row>
    <row r="9553" spans="1:15" x14ac:dyDescent="0.25">
      <c r="A9553" t="s">
        <v>1008</v>
      </c>
      <c r="B9553" t="s">
        <v>2928</v>
      </c>
      <c r="C9553" t="s">
        <v>927</v>
      </c>
      <c r="D9553" t="s">
        <v>3052</v>
      </c>
      <c r="E9553" t="s">
        <v>3053</v>
      </c>
      <c r="F9553" t="s">
        <v>840</v>
      </c>
      <c r="G9553" t="s">
        <v>841</v>
      </c>
      <c r="H9553" t="s">
        <v>9404</v>
      </c>
      <c r="I9553">
        <v>27</v>
      </c>
      <c r="J9553">
        <v>15</v>
      </c>
      <c r="K9553">
        <v>0</v>
      </c>
      <c r="L9553">
        <v>12</v>
      </c>
      <c r="M9553">
        <v>0</v>
      </c>
      <c r="N9553">
        <v>0</v>
      </c>
      <c r="O9553">
        <v>0</v>
      </c>
    </row>
    <row r="9554" spans="1:15" x14ac:dyDescent="0.25">
      <c r="A9554" t="s">
        <v>1010</v>
      </c>
      <c r="B9554" t="s">
        <v>2639</v>
      </c>
      <c r="C9554" t="s">
        <v>927</v>
      </c>
      <c r="D9554" t="s">
        <v>3052</v>
      </c>
      <c r="E9554" t="s">
        <v>3053</v>
      </c>
      <c r="F9554" t="s">
        <v>840</v>
      </c>
      <c r="G9554" t="s">
        <v>841</v>
      </c>
      <c r="H9554" t="s">
        <v>9405</v>
      </c>
      <c r="I9554">
        <v>66</v>
      </c>
      <c r="J9554">
        <v>59</v>
      </c>
      <c r="K9554">
        <v>0</v>
      </c>
      <c r="L9554">
        <v>0</v>
      </c>
      <c r="M9554">
        <v>0</v>
      </c>
      <c r="N9554">
        <v>0</v>
      </c>
      <c r="O9554">
        <v>7</v>
      </c>
    </row>
    <row r="9555" spans="1:15" x14ac:dyDescent="0.25">
      <c r="A9555" t="s">
        <v>937</v>
      </c>
      <c r="B9555" t="s">
        <v>1962</v>
      </c>
      <c r="C9555" t="s">
        <v>927</v>
      </c>
      <c r="D9555" t="s">
        <v>3052</v>
      </c>
      <c r="E9555" t="s">
        <v>3053</v>
      </c>
      <c r="F9555" t="s">
        <v>840</v>
      </c>
      <c r="G9555" t="s">
        <v>841</v>
      </c>
      <c r="H9555" t="s">
        <v>9406</v>
      </c>
      <c r="I9555">
        <v>145</v>
      </c>
      <c r="J9555">
        <v>0</v>
      </c>
      <c r="K9555">
        <v>0</v>
      </c>
      <c r="L9555">
        <v>0</v>
      </c>
      <c r="M9555">
        <v>0</v>
      </c>
      <c r="N9555">
        <v>0</v>
      </c>
      <c r="O9555">
        <v>145</v>
      </c>
    </row>
    <row r="9556" spans="1:15" x14ac:dyDescent="0.25">
      <c r="A9556" t="s">
        <v>938</v>
      </c>
      <c r="B9556" t="s">
        <v>2791</v>
      </c>
      <c r="C9556" t="s">
        <v>927</v>
      </c>
      <c r="D9556" t="s">
        <v>3052</v>
      </c>
      <c r="E9556" t="s">
        <v>3053</v>
      </c>
      <c r="F9556" t="s">
        <v>840</v>
      </c>
      <c r="G9556" t="s">
        <v>841</v>
      </c>
      <c r="H9556" t="s">
        <v>9407</v>
      </c>
      <c r="I9556">
        <v>16</v>
      </c>
      <c r="J9556">
        <v>0</v>
      </c>
      <c r="K9556">
        <v>0</v>
      </c>
      <c r="L9556">
        <v>16</v>
      </c>
      <c r="M9556">
        <v>0</v>
      </c>
      <c r="N9556">
        <v>0</v>
      </c>
      <c r="O9556">
        <v>0</v>
      </c>
    </row>
    <row r="9557" spans="1:15" x14ac:dyDescent="0.25">
      <c r="A9557" t="s">
        <v>940</v>
      </c>
      <c r="B9557" t="s">
        <v>2647</v>
      </c>
      <c r="C9557" t="s">
        <v>927</v>
      </c>
      <c r="D9557" t="s">
        <v>3052</v>
      </c>
      <c r="E9557" t="s">
        <v>3053</v>
      </c>
      <c r="F9557" t="s">
        <v>840</v>
      </c>
      <c r="G9557" t="s">
        <v>841</v>
      </c>
      <c r="H9557" t="s">
        <v>9408</v>
      </c>
      <c r="I9557">
        <v>83</v>
      </c>
      <c r="J9557">
        <v>0</v>
      </c>
      <c r="K9557">
        <v>0</v>
      </c>
      <c r="L9557">
        <v>0</v>
      </c>
      <c r="M9557">
        <v>83</v>
      </c>
      <c r="N9557">
        <v>0</v>
      </c>
      <c r="O9557">
        <v>0</v>
      </c>
    </row>
    <row r="9558" spans="1:15" x14ac:dyDescent="0.25">
      <c r="A9558" t="s">
        <v>1013</v>
      </c>
      <c r="B9558" t="s">
        <v>1959</v>
      </c>
      <c r="C9558" t="s">
        <v>927</v>
      </c>
      <c r="D9558" t="s">
        <v>3052</v>
      </c>
      <c r="E9558" t="s">
        <v>3053</v>
      </c>
      <c r="F9558" t="s">
        <v>840</v>
      </c>
      <c r="G9558" t="s">
        <v>841</v>
      </c>
      <c r="H9558" t="s">
        <v>12499</v>
      </c>
      <c r="I9558">
        <v>30</v>
      </c>
      <c r="J9558">
        <v>0</v>
      </c>
      <c r="K9558">
        <v>0</v>
      </c>
      <c r="L9558">
        <v>30</v>
      </c>
      <c r="M9558">
        <v>0</v>
      </c>
      <c r="N9558">
        <v>0</v>
      </c>
      <c r="O9558">
        <v>0</v>
      </c>
    </row>
    <row r="9559" spans="1:15" x14ac:dyDescent="0.25">
      <c r="A9559" t="s">
        <v>1740</v>
      </c>
      <c r="B9559" t="s">
        <v>2904</v>
      </c>
      <c r="C9559" t="s">
        <v>923</v>
      </c>
      <c r="D9559" t="s">
        <v>3063</v>
      </c>
      <c r="E9559" t="s">
        <v>3053</v>
      </c>
      <c r="F9559" t="s">
        <v>840</v>
      </c>
      <c r="G9559" t="s">
        <v>841</v>
      </c>
      <c r="H9559" t="s">
        <v>9409</v>
      </c>
      <c r="I9559">
        <v>21</v>
      </c>
      <c r="J9559">
        <v>0</v>
      </c>
      <c r="K9559">
        <v>0</v>
      </c>
      <c r="L9559">
        <v>21</v>
      </c>
      <c r="M9559">
        <v>0</v>
      </c>
      <c r="N9559">
        <v>0</v>
      </c>
      <c r="O9559">
        <v>0</v>
      </c>
    </row>
    <row r="9560" spans="1:15" x14ac:dyDescent="0.25">
      <c r="A9560" t="s">
        <v>942</v>
      </c>
      <c r="B9560" t="s">
        <v>2113</v>
      </c>
      <c r="C9560" t="s">
        <v>927</v>
      </c>
      <c r="D9560" t="s">
        <v>3052</v>
      </c>
      <c r="E9560" t="s">
        <v>3053</v>
      </c>
      <c r="F9560" t="s">
        <v>840</v>
      </c>
      <c r="G9560" t="s">
        <v>841</v>
      </c>
      <c r="H9560" t="s">
        <v>9410</v>
      </c>
      <c r="I9560">
        <v>79</v>
      </c>
      <c r="J9560">
        <v>0</v>
      </c>
      <c r="K9560">
        <v>0</v>
      </c>
      <c r="L9560">
        <v>0</v>
      </c>
      <c r="M9560">
        <v>16</v>
      </c>
      <c r="N9560">
        <v>0</v>
      </c>
      <c r="O9560">
        <v>63</v>
      </c>
    </row>
    <row r="9561" spans="1:15" x14ac:dyDescent="0.25">
      <c r="A9561" t="s">
        <v>1025</v>
      </c>
      <c r="B9561" t="s">
        <v>2893</v>
      </c>
      <c r="C9561" t="s">
        <v>927</v>
      </c>
      <c r="D9561" t="s">
        <v>3052</v>
      </c>
      <c r="E9561" t="s">
        <v>3053</v>
      </c>
      <c r="F9561" t="s">
        <v>840</v>
      </c>
      <c r="G9561" t="s">
        <v>841</v>
      </c>
      <c r="H9561" t="s">
        <v>9411</v>
      </c>
      <c r="I9561">
        <v>2</v>
      </c>
      <c r="J9561">
        <v>0</v>
      </c>
      <c r="K9561">
        <v>0</v>
      </c>
      <c r="L9561">
        <v>0</v>
      </c>
      <c r="M9561">
        <v>0</v>
      </c>
      <c r="N9561">
        <v>0</v>
      </c>
      <c r="O9561">
        <v>2</v>
      </c>
    </row>
    <row r="9562" spans="1:15" x14ac:dyDescent="0.25">
      <c r="A9562" t="s">
        <v>11713</v>
      </c>
      <c r="B9562" t="s">
        <v>2720</v>
      </c>
      <c r="C9562" t="s">
        <v>923</v>
      </c>
      <c r="D9562" t="s">
        <v>3063</v>
      </c>
      <c r="E9562" t="s">
        <v>3053</v>
      </c>
      <c r="F9562" t="s">
        <v>840</v>
      </c>
      <c r="G9562" t="s">
        <v>841</v>
      </c>
      <c r="H9562" t="s">
        <v>12500</v>
      </c>
      <c r="I9562">
        <v>16</v>
      </c>
      <c r="J9562">
        <v>0</v>
      </c>
      <c r="K9562">
        <v>0</v>
      </c>
      <c r="L9562">
        <v>0</v>
      </c>
      <c r="M9562">
        <v>16</v>
      </c>
      <c r="N9562">
        <v>0</v>
      </c>
      <c r="O9562">
        <v>0</v>
      </c>
    </row>
    <row r="9563" spans="1:15" x14ac:dyDescent="0.25">
      <c r="A9563" t="s">
        <v>1745</v>
      </c>
      <c r="B9563" t="s">
        <v>2884</v>
      </c>
      <c r="C9563" t="s">
        <v>927</v>
      </c>
      <c r="D9563" t="s">
        <v>3052</v>
      </c>
      <c r="E9563" t="s">
        <v>3053</v>
      </c>
      <c r="F9563" t="s">
        <v>840</v>
      </c>
      <c r="G9563" t="s">
        <v>841</v>
      </c>
      <c r="H9563" t="s">
        <v>9412</v>
      </c>
      <c r="I9563">
        <v>54</v>
      </c>
      <c r="J9563">
        <v>33</v>
      </c>
      <c r="K9563">
        <v>0</v>
      </c>
      <c r="L9563">
        <v>0</v>
      </c>
      <c r="M9563">
        <v>0</v>
      </c>
      <c r="N9563">
        <v>0</v>
      </c>
      <c r="O9563">
        <v>21</v>
      </c>
    </row>
    <row r="9564" spans="1:15" x14ac:dyDescent="0.25">
      <c r="A9564" t="s">
        <v>945</v>
      </c>
      <c r="B9564" t="s">
        <v>2668</v>
      </c>
      <c r="C9564" t="s">
        <v>927</v>
      </c>
      <c r="D9564" t="s">
        <v>3052</v>
      </c>
      <c r="E9564" t="s">
        <v>3053</v>
      </c>
      <c r="F9564" t="s">
        <v>840</v>
      </c>
      <c r="G9564" t="s">
        <v>841</v>
      </c>
      <c r="H9564" t="s">
        <v>9413</v>
      </c>
      <c r="I9564">
        <v>21</v>
      </c>
      <c r="J9564">
        <v>0</v>
      </c>
      <c r="K9564">
        <v>0</v>
      </c>
      <c r="L9564">
        <v>0</v>
      </c>
      <c r="M9564">
        <v>0</v>
      </c>
      <c r="N9564">
        <v>0</v>
      </c>
      <c r="O9564">
        <v>21</v>
      </c>
    </row>
    <row r="9565" spans="1:15" x14ac:dyDescent="0.25">
      <c r="A9565" t="s">
        <v>1135</v>
      </c>
      <c r="B9565" t="s">
        <v>1996</v>
      </c>
      <c r="C9565" t="s">
        <v>923</v>
      </c>
      <c r="D9565" t="s">
        <v>3063</v>
      </c>
      <c r="E9565" t="s">
        <v>3053</v>
      </c>
      <c r="F9565" t="s">
        <v>840</v>
      </c>
      <c r="G9565" t="s">
        <v>841</v>
      </c>
      <c r="H9565" t="s">
        <v>10226</v>
      </c>
      <c r="I9565">
        <v>128</v>
      </c>
      <c r="J9565">
        <v>128</v>
      </c>
      <c r="K9565">
        <v>0</v>
      </c>
      <c r="L9565">
        <v>0</v>
      </c>
      <c r="M9565">
        <v>0</v>
      </c>
      <c r="N9565">
        <v>0</v>
      </c>
      <c r="O9565">
        <v>0</v>
      </c>
    </row>
    <row r="9566" spans="1:15" x14ac:dyDescent="0.25">
      <c r="A9566" t="s">
        <v>951</v>
      </c>
      <c r="B9566" t="s">
        <v>2680</v>
      </c>
      <c r="C9566" t="s">
        <v>927</v>
      </c>
      <c r="D9566" t="s">
        <v>3052</v>
      </c>
      <c r="E9566" t="s">
        <v>3053</v>
      </c>
      <c r="F9566" t="s">
        <v>840</v>
      </c>
      <c r="G9566" t="s">
        <v>841</v>
      </c>
      <c r="H9566" t="s">
        <v>9414</v>
      </c>
      <c r="I9566">
        <v>78</v>
      </c>
      <c r="J9566">
        <v>78</v>
      </c>
      <c r="K9566">
        <v>0</v>
      </c>
      <c r="L9566">
        <v>0</v>
      </c>
      <c r="M9566">
        <v>0</v>
      </c>
      <c r="N9566">
        <v>0</v>
      </c>
      <c r="O9566">
        <v>0</v>
      </c>
    </row>
    <row r="9567" spans="1:15" x14ac:dyDescent="0.25">
      <c r="A9567" t="s">
        <v>1048</v>
      </c>
      <c r="B9567" t="s">
        <v>2989</v>
      </c>
      <c r="C9567" t="s">
        <v>927</v>
      </c>
      <c r="D9567" t="s">
        <v>3052</v>
      </c>
      <c r="E9567" t="s">
        <v>3053</v>
      </c>
      <c r="F9567" t="s">
        <v>840</v>
      </c>
      <c r="G9567" t="s">
        <v>841</v>
      </c>
      <c r="H9567" t="s">
        <v>9415</v>
      </c>
      <c r="I9567">
        <v>24</v>
      </c>
      <c r="J9567">
        <v>1</v>
      </c>
      <c r="K9567">
        <v>0</v>
      </c>
      <c r="L9567">
        <v>23</v>
      </c>
      <c r="M9567">
        <v>0</v>
      </c>
      <c r="N9567">
        <v>0</v>
      </c>
      <c r="O9567">
        <v>0</v>
      </c>
    </row>
    <row r="9568" spans="1:15" x14ac:dyDescent="0.25">
      <c r="A9568" t="s">
        <v>11720</v>
      </c>
      <c r="B9568" t="s">
        <v>10718</v>
      </c>
      <c r="C9568" t="s">
        <v>927</v>
      </c>
      <c r="D9568" t="s">
        <v>3052</v>
      </c>
      <c r="E9568" t="s">
        <v>3053</v>
      </c>
      <c r="F9568" t="s">
        <v>840</v>
      </c>
      <c r="G9568" t="s">
        <v>841</v>
      </c>
      <c r="H9568" t="s">
        <v>15474</v>
      </c>
      <c r="I9568">
        <v>19</v>
      </c>
      <c r="J9568">
        <v>0</v>
      </c>
      <c r="K9568">
        <v>0</v>
      </c>
      <c r="L9568">
        <v>0</v>
      </c>
      <c r="M9568">
        <v>0</v>
      </c>
      <c r="N9568">
        <v>0</v>
      </c>
      <c r="O9568">
        <v>19</v>
      </c>
    </row>
    <row r="9569" spans="1:15" x14ac:dyDescent="0.25">
      <c r="A9569" t="s">
        <v>9788</v>
      </c>
      <c r="B9569" t="s">
        <v>9871</v>
      </c>
      <c r="C9569" t="s">
        <v>927</v>
      </c>
      <c r="D9569" t="s">
        <v>3052</v>
      </c>
      <c r="E9569" t="s">
        <v>3053</v>
      </c>
      <c r="F9569" t="s">
        <v>840</v>
      </c>
      <c r="G9569" t="s">
        <v>841</v>
      </c>
      <c r="H9569" t="s">
        <v>10391</v>
      </c>
      <c r="I9569">
        <v>69</v>
      </c>
      <c r="J9569">
        <v>69</v>
      </c>
      <c r="K9569">
        <v>0</v>
      </c>
      <c r="L9569">
        <v>0</v>
      </c>
      <c r="M9569">
        <v>0</v>
      </c>
      <c r="N9569">
        <v>0</v>
      </c>
      <c r="O9569">
        <v>0</v>
      </c>
    </row>
    <row r="9570" spans="1:15" x14ac:dyDescent="0.25">
      <c r="A9570" t="s">
        <v>1759</v>
      </c>
      <c r="B9570" t="s">
        <v>2151</v>
      </c>
      <c r="C9570" t="s">
        <v>923</v>
      </c>
      <c r="D9570" t="s">
        <v>3063</v>
      </c>
      <c r="E9570" t="s">
        <v>3053</v>
      </c>
      <c r="F9570" t="s">
        <v>840</v>
      </c>
      <c r="G9570" t="s">
        <v>841</v>
      </c>
      <c r="H9570" t="s">
        <v>9416</v>
      </c>
      <c r="I9570">
        <v>227</v>
      </c>
      <c r="J9570">
        <v>36</v>
      </c>
      <c r="K9570">
        <v>0</v>
      </c>
      <c r="L9570">
        <v>0</v>
      </c>
      <c r="M9570">
        <v>191</v>
      </c>
      <c r="N9570">
        <v>0</v>
      </c>
      <c r="O9570">
        <v>0</v>
      </c>
    </row>
    <row r="9571" spans="1:15" x14ac:dyDescent="0.25">
      <c r="A9571" t="s">
        <v>1056</v>
      </c>
      <c r="B9571" t="s">
        <v>2966</v>
      </c>
      <c r="C9571" t="s">
        <v>927</v>
      </c>
      <c r="D9571" t="s">
        <v>3052</v>
      </c>
      <c r="E9571" t="s">
        <v>3053</v>
      </c>
      <c r="F9571" t="s">
        <v>840</v>
      </c>
      <c r="G9571" t="s">
        <v>841</v>
      </c>
      <c r="H9571" t="s">
        <v>9417</v>
      </c>
      <c r="I9571">
        <v>18</v>
      </c>
      <c r="J9571">
        <v>18</v>
      </c>
      <c r="K9571">
        <v>0</v>
      </c>
      <c r="L9571">
        <v>0</v>
      </c>
      <c r="M9571">
        <v>0</v>
      </c>
      <c r="N9571">
        <v>0</v>
      </c>
      <c r="O9571">
        <v>0</v>
      </c>
    </row>
    <row r="9572" spans="1:15" x14ac:dyDescent="0.25">
      <c r="A9572" t="s">
        <v>955</v>
      </c>
      <c r="B9572" t="s">
        <v>2660</v>
      </c>
      <c r="C9572" t="s">
        <v>927</v>
      </c>
      <c r="D9572" t="s">
        <v>3052</v>
      </c>
      <c r="E9572" t="s">
        <v>3053</v>
      </c>
      <c r="F9572" t="s">
        <v>840</v>
      </c>
      <c r="G9572" t="s">
        <v>841</v>
      </c>
      <c r="H9572" t="s">
        <v>9418</v>
      </c>
      <c r="I9572">
        <v>755</v>
      </c>
      <c r="J9572">
        <v>684</v>
      </c>
      <c r="K9572">
        <v>0</v>
      </c>
      <c r="L9572">
        <v>59</v>
      </c>
      <c r="M9572">
        <v>0</v>
      </c>
      <c r="N9572">
        <v>0</v>
      </c>
      <c r="O9572">
        <v>12</v>
      </c>
    </row>
    <row r="9573" spans="1:15" x14ac:dyDescent="0.25">
      <c r="A9573" t="s">
        <v>1760</v>
      </c>
      <c r="B9573" t="s">
        <v>3000</v>
      </c>
      <c r="C9573" t="s">
        <v>927</v>
      </c>
      <c r="D9573" t="s">
        <v>3052</v>
      </c>
      <c r="E9573" t="s">
        <v>3053</v>
      </c>
      <c r="F9573" t="s">
        <v>840</v>
      </c>
      <c r="G9573" t="s">
        <v>841</v>
      </c>
      <c r="H9573" t="s">
        <v>9419</v>
      </c>
      <c r="I9573">
        <v>6564</v>
      </c>
      <c r="J9573">
        <v>4750</v>
      </c>
      <c r="K9573">
        <v>0</v>
      </c>
      <c r="L9573">
        <v>86</v>
      </c>
      <c r="M9573">
        <v>1414</v>
      </c>
      <c r="N9573">
        <v>106</v>
      </c>
      <c r="O9573">
        <v>314</v>
      </c>
    </row>
    <row r="9574" spans="1:15" x14ac:dyDescent="0.25">
      <c r="A9574" t="s">
        <v>1660</v>
      </c>
      <c r="B9574" t="s">
        <v>2827</v>
      </c>
      <c r="C9574" t="s">
        <v>927</v>
      </c>
      <c r="D9574" t="s">
        <v>3052</v>
      </c>
      <c r="E9574" t="s">
        <v>3053</v>
      </c>
      <c r="F9574" t="s">
        <v>840</v>
      </c>
      <c r="G9574" t="s">
        <v>841</v>
      </c>
      <c r="H9574" t="s">
        <v>9420</v>
      </c>
      <c r="I9574">
        <v>116</v>
      </c>
      <c r="J9574">
        <v>99</v>
      </c>
      <c r="K9574">
        <v>0</v>
      </c>
      <c r="L9574">
        <v>0</v>
      </c>
      <c r="M9574">
        <v>0</v>
      </c>
      <c r="N9574">
        <v>0</v>
      </c>
      <c r="O9574">
        <v>17</v>
      </c>
    </row>
    <row r="9575" spans="1:15" x14ac:dyDescent="0.25">
      <c r="A9575" t="s">
        <v>960</v>
      </c>
      <c r="B9575" t="s">
        <v>2080</v>
      </c>
      <c r="C9575" t="s">
        <v>927</v>
      </c>
      <c r="D9575" t="s">
        <v>3052</v>
      </c>
      <c r="E9575" t="s">
        <v>3053</v>
      </c>
      <c r="F9575" t="s">
        <v>840</v>
      </c>
      <c r="G9575" t="s">
        <v>841</v>
      </c>
      <c r="H9575" t="s">
        <v>9421</v>
      </c>
      <c r="I9575">
        <v>2186</v>
      </c>
      <c r="J9575">
        <v>1738</v>
      </c>
      <c r="K9575">
        <v>0</v>
      </c>
      <c r="L9575">
        <v>28</v>
      </c>
      <c r="M9575">
        <v>0</v>
      </c>
      <c r="N9575">
        <v>1</v>
      </c>
      <c r="O9575">
        <v>420</v>
      </c>
    </row>
    <row r="9576" spans="1:15" x14ac:dyDescent="0.25">
      <c r="A9576" t="s">
        <v>14374</v>
      </c>
      <c r="B9576" t="s">
        <v>1943</v>
      </c>
      <c r="C9576" t="s">
        <v>927</v>
      </c>
      <c r="D9576" t="s">
        <v>3052</v>
      </c>
      <c r="E9576" t="s">
        <v>3053</v>
      </c>
      <c r="F9576" t="s">
        <v>840</v>
      </c>
      <c r="G9576" t="s">
        <v>841</v>
      </c>
      <c r="H9576" t="s">
        <v>15475</v>
      </c>
      <c r="I9576">
        <v>38</v>
      </c>
      <c r="J9576">
        <v>0</v>
      </c>
      <c r="K9576">
        <v>0</v>
      </c>
      <c r="L9576">
        <v>0</v>
      </c>
      <c r="M9576">
        <v>0</v>
      </c>
      <c r="N9576">
        <v>0</v>
      </c>
      <c r="O9576">
        <v>38</v>
      </c>
    </row>
    <row r="9577" spans="1:15" x14ac:dyDescent="0.25">
      <c r="A9577" t="s">
        <v>1062</v>
      </c>
      <c r="B9577" t="s">
        <v>1993</v>
      </c>
      <c r="C9577" t="s">
        <v>927</v>
      </c>
      <c r="D9577" t="s">
        <v>3052</v>
      </c>
      <c r="E9577" t="s">
        <v>3053</v>
      </c>
      <c r="F9577" t="s">
        <v>840</v>
      </c>
      <c r="G9577" t="s">
        <v>841</v>
      </c>
      <c r="H9577" t="s">
        <v>9422</v>
      </c>
      <c r="I9577">
        <v>357</v>
      </c>
      <c r="J9577">
        <v>333</v>
      </c>
      <c r="K9577">
        <v>0</v>
      </c>
      <c r="L9577">
        <v>8</v>
      </c>
      <c r="M9577">
        <v>0</v>
      </c>
      <c r="N9577">
        <v>2</v>
      </c>
      <c r="O9577">
        <v>16</v>
      </c>
    </row>
    <row r="9578" spans="1:15" x14ac:dyDescent="0.25">
      <c r="A9578" t="s">
        <v>962</v>
      </c>
      <c r="B9578" t="s">
        <v>2752</v>
      </c>
      <c r="C9578" t="s">
        <v>927</v>
      </c>
      <c r="D9578" t="s">
        <v>3052</v>
      </c>
      <c r="E9578" t="s">
        <v>3053</v>
      </c>
      <c r="F9578" t="s">
        <v>840</v>
      </c>
      <c r="G9578" t="s">
        <v>841</v>
      </c>
      <c r="H9578" t="s">
        <v>9423</v>
      </c>
      <c r="I9578">
        <v>1211</v>
      </c>
      <c r="J9578">
        <v>1025</v>
      </c>
      <c r="K9578">
        <v>0</v>
      </c>
      <c r="L9578">
        <v>20</v>
      </c>
      <c r="M9578">
        <v>103</v>
      </c>
      <c r="N9578">
        <v>0</v>
      </c>
      <c r="O9578">
        <v>63</v>
      </c>
    </row>
    <row r="9579" spans="1:15" x14ac:dyDescent="0.25">
      <c r="A9579" t="s">
        <v>964</v>
      </c>
      <c r="B9579" t="s">
        <v>1969</v>
      </c>
      <c r="C9579" t="s">
        <v>927</v>
      </c>
      <c r="D9579" t="s">
        <v>3052</v>
      </c>
      <c r="E9579" t="s">
        <v>3053</v>
      </c>
      <c r="F9579" t="s">
        <v>840</v>
      </c>
      <c r="G9579" t="s">
        <v>841</v>
      </c>
      <c r="H9579" t="s">
        <v>9424</v>
      </c>
      <c r="I9579">
        <v>372</v>
      </c>
      <c r="J9579">
        <v>288</v>
      </c>
      <c r="K9579">
        <v>0</v>
      </c>
      <c r="L9579">
        <v>0</v>
      </c>
      <c r="M9579">
        <v>0</v>
      </c>
      <c r="N9579">
        <v>0</v>
      </c>
      <c r="O9579">
        <v>84</v>
      </c>
    </row>
    <row r="9580" spans="1:15" x14ac:dyDescent="0.25">
      <c r="A9580" t="s">
        <v>1773</v>
      </c>
      <c r="B9580" t="s">
        <v>2592</v>
      </c>
      <c r="C9580" t="s">
        <v>923</v>
      </c>
      <c r="D9580" t="s">
        <v>3063</v>
      </c>
      <c r="E9580" t="s">
        <v>3053</v>
      </c>
      <c r="F9580" t="s">
        <v>840</v>
      </c>
      <c r="G9580" t="s">
        <v>841</v>
      </c>
      <c r="H9580" t="s">
        <v>9425</v>
      </c>
      <c r="I9580">
        <v>12</v>
      </c>
      <c r="J9580">
        <v>0</v>
      </c>
      <c r="K9580">
        <v>0</v>
      </c>
      <c r="L9580">
        <v>0</v>
      </c>
      <c r="M9580">
        <v>12</v>
      </c>
      <c r="N9580">
        <v>0</v>
      </c>
      <c r="O9580">
        <v>0</v>
      </c>
    </row>
    <row r="9581" spans="1:15" x14ac:dyDescent="0.25">
      <c r="A9581" t="s">
        <v>1066</v>
      </c>
      <c r="B9581" t="s">
        <v>2557</v>
      </c>
      <c r="C9581" t="s">
        <v>927</v>
      </c>
      <c r="D9581" t="s">
        <v>3052</v>
      </c>
      <c r="E9581" t="s">
        <v>3053</v>
      </c>
      <c r="F9581" t="s">
        <v>840</v>
      </c>
      <c r="G9581" t="s">
        <v>841</v>
      </c>
      <c r="H9581" t="s">
        <v>9426</v>
      </c>
      <c r="I9581">
        <v>69</v>
      </c>
      <c r="J9581">
        <v>0</v>
      </c>
      <c r="K9581">
        <v>0</v>
      </c>
      <c r="L9581">
        <v>0</v>
      </c>
      <c r="M9581">
        <v>69</v>
      </c>
      <c r="N9581">
        <v>0</v>
      </c>
      <c r="O9581">
        <v>0</v>
      </c>
    </row>
    <row r="9582" spans="1:15" x14ac:dyDescent="0.25">
      <c r="A9582" t="s">
        <v>1782</v>
      </c>
      <c r="B9582" t="s">
        <v>2271</v>
      </c>
      <c r="C9582" t="s">
        <v>923</v>
      </c>
      <c r="D9582" t="s">
        <v>3063</v>
      </c>
      <c r="E9582" t="s">
        <v>3053</v>
      </c>
      <c r="F9582" t="s">
        <v>840</v>
      </c>
      <c r="G9582" t="s">
        <v>841</v>
      </c>
      <c r="H9582" t="s">
        <v>9427</v>
      </c>
      <c r="I9582">
        <v>49</v>
      </c>
      <c r="J9582">
        <v>0</v>
      </c>
      <c r="K9582">
        <v>0</v>
      </c>
      <c r="L9582">
        <v>0</v>
      </c>
      <c r="M9582">
        <v>49</v>
      </c>
      <c r="N9582">
        <v>0</v>
      </c>
      <c r="O9582">
        <v>0</v>
      </c>
    </row>
    <row r="9583" spans="1:15" x14ac:dyDescent="0.25">
      <c r="A9583" t="s">
        <v>1783</v>
      </c>
      <c r="B9583" t="s">
        <v>2331</v>
      </c>
      <c r="C9583" t="s">
        <v>923</v>
      </c>
      <c r="D9583" t="s">
        <v>3063</v>
      </c>
      <c r="E9583" t="s">
        <v>3053</v>
      </c>
      <c r="F9583" t="s">
        <v>840</v>
      </c>
      <c r="G9583" t="s">
        <v>841</v>
      </c>
      <c r="H9583" t="s">
        <v>9428</v>
      </c>
      <c r="I9583">
        <v>12</v>
      </c>
      <c r="J9583">
        <v>12</v>
      </c>
      <c r="K9583">
        <v>0</v>
      </c>
      <c r="L9583">
        <v>0</v>
      </c>
      <c r="M9583">
        <v>0</v>
      </c>
      <c r="N9583">
        <v>0</v>
      </c>
      <c r="O9583">
        <v>0</v>
      </c>
    </row>
    <row r="9584" spans="1:15" x14ac:dyDescent="0.25">
      <c r="A9584" t="s">
        <v>1069</v>
      </c>
      <c r="B9584" t="s">
        <v>2001</v>
      </c>
      <c r="C9584" t="s">
        <v>927</v>
      </c>
      <c r="D9584" t="s">
        <v>3052</v>
      </c>
      <c r="E9584" t="s">
        <v>3053</v>
      </c>
      <c r="F9584" t="s">
        <v>840</v>
      </c>
      <c r="G9584" t="s">
        <v>841</v>
      </c>
      <c r="H9584" t="s">
        <v>9429</v>
      </c>
      <c r="I9584">
        <v>858</v>
      </c>
      <c r="J9584">
        <v>772</v>
      </c>
      <c r="K9584">
        <v>0</v>
      </c>
      <c r="L9584">
        <v>6</v>
      </c>
      <c r="M9584">
        <v>37</v>
      </c>
      <c r="N9584">
        <v>0</v>
      </c>
      <c r="O9584">
        <v>43</v>
      </c>
    </row>
    <row r="9585" spans="1:15" x14ac:dyDescent="0.25">
      <c r="A9585" t="s">
        <v>966</v>
      </c>
      <c r="B9585" t="s">
        <v>2684</v>
      </c>
      <c r="C9585" t="s">
        <v>927</v>
      </c>
      <c r="D9585" t="s">
        <v>3052</v>
      </c>
      <c r="E9585" t="s">
        <v>3053</v>
      </c>
      <c r="F9585" t="s">
        <v>840</v>
      </c>
      <c r="G9585" t="s">
        <v>841</v>
      </c>
      <c r="H9585" t="s">
        <v>9430</v>
      </c>
      <c r="I9585">
        <v>947</v>
      </c>
      <c r="J9585">
        <v>580</v>
      </c>
      <c r="K9585">
        <v>0</v>
      </c>
      <c r="L9585">
        <v>4</v>
      </c>
      <c r="M9585">
        <v>0</v>
      </c>
      <c r="N9585">
        <v>0</v>
      </c>
      <c r="O9585">
        <v>363</v>
      </c>
    </row>
    <row r="9586" spans="1:15" x14ac:dyDescent="0.25">
      <c r="A9586" t="s">
        <v>1684</v>
      </c>
      <c r="B9586" t="s">
        <v>2845</v>
      </c>
      <c r="C9586" t="s">
        <v>927</v>
      </c>
      <c r="D9586" t="s">
        <v>3052</v>
      </c>
      <c r="E9586" t="s">
        <v>3053</v>
      </c>
      <c r="F9586" t="s">
        <v>840</v>
      </c>
      <c r="G9586" t="s">
        <v>841</v>
      </c>
      <c r="H9586" t="s">
        <v>12501</v>
      </c>
      <c r="I9586">
        <v>1</v>
      </c>
      <c r="J9586">
        <v>0</v>
      </c>
      <c r="K9586">
        <v>0</v>
      </c>
      <c r="L9586">
        <v>0</v>
      </c>
      <c r="M9586">
        <v>0</v>
      </c>
      <c r="N9586">
        <v>0</v>
      </c>
      <c r="O9586">
        <v>1</v>
      </c>
    </row>
    <row r="9587" spans="1:15" x14ac:dyDescent="0.25">
      <c r="A9587" t="s">
        <v>968</v>
      </c>
      <c r="B9587" t="s">
        <v>2091</v>
      </c>
      <c r="C9587" t="s">
        <v>927</v>
      </c>
      <c r="D9587" t="s">
        <v>3052</v>
      </c>
      <c r="E9587" t="s">
        <v>3053</v>
      </c>
      <c r="F9587" t="s">
        <v>840</v>
      </c>
      <c r="G9587" t="s">
        <v>841</v>
      </c>
      <c r="H9587" t="s">
        <v>11517</v>
      </c>
      <c r="I9587">
        <v>513</v>
      </c>
      <c r="J9587">
        <v>14</v>
      </c>
      <c r="K9587">
        <v>0</v>
      </c>
      <c r="L9587">
        <v>0</v>
      </c>
      <c r="M9587">
        <v>0</v>
      </c>
      <c r="N9587">
        <v>0</v>
      </c>
      <c r="O9587">
        <v>499</v>
      </c>
    </row>
    <row r="9588" spans="1:15" x14ac:dyDescent="0.25">
      <c r="A9588" t="s">
        <v>1793</v>
      </c>
      <c r="B9588" t="s">
        <v>2075</v>
      </c>
      <c r="C9588" t="s">
        <v>927</v>
      </c>
      <c r="D9588" t="s">
        <v>3052</v>
      </c>
      <c r="E9588" t="s">
        <v>3053</v>
      </c>
      <c r="F9588" t="s">
        <v>840</v>
      </c>
      <c r="G9588" t="s">
        <v>841</v>
      </c>
      <c r="H9588" t="s">
        <v>9431</v>
      </c>
      <c r="I9588">
        <v>5</v>
      </c>
      <c r="J9588">
        <v>5</v>
      </c>
      <c r="K9588">
        <v>0</v>
      </c>
      <c r="L9588">
        <v>0</v>
      </c>
      <c r="M9588">
        <v>0</v>
      </c>
      <c r="N9588">
        <v>0</v>
      </c>
      <c r="O9588">
        <v>0</v>
      </c>
    </row>
    <row r="9589" spans="1:15" x14ac:dyDescent="0.25">
      <c r="A9589" t="s">
        <v>1794</v>
      </c>
      <c r="B9589" t="s">
        <v>2796</v>
      </c>
      <c r="C9589" t="s">
        <v>923</v>
      </c>
      <c r="D9589" t="s">
        <v>3063</v>
      </c>
      <c r="E9589" t="s">
        <v>3053</v>
      </c>
      <c r="F9589" t="s">
        <v>840</v>
      </c>
      <c r="G9589" t="s">
        <v>841</v>
      </c>
      <c r="H9589" t="s">
        <v>9432</v>
      </c>
      <c r="I9589">
        <v>240</v>
      </c>
      <c r="J9589">
        <v>240</v>
      </c>
      <c r="K9589">
        <v>0</v>
      </c>
      <c r="L9589">
        <v>0</v>
      </c>
      <c r="M9589">
        <v>0</v>
      </c>
      <c r="N9589">
        <v>0</v>
      </c>
      <c r="O9589">
        <v>0</v>
      </c>
    </row>
    <row r="9590" spans="1:15" x14ac:dyDescent="0.25">
      <c r="A9590" t="s">
        <v>11715</v>
      </c>
      <c r="B9590" t="s">
        <v>2784</v>
      </c>
      <c r="C9590" t="s">
        <v>927</v>
      </c>
      <c r="D9590" t="s">
        <v>3052</v>
      </c>
      <c r="E9590" t="s">
        <v>3053</v>
      </c>
      <c r="F9590" t="s">
        <v>840</v>
      </c>
      <c r="G9590" t="s">
        <v>841</v>
      </c>
      <c r="H9590" t="s">
        <v>12502</v>
      </c>
      <c r="I9590">
        <v>20</v>
      </c>
      <c r="J9590">
        <v>20</v>
      </c>
      <c r="K9590">
        <v>0</v>
      </c>
      <c r="L9590">
        <v>0</v>
      </c>
      <c r="M9590">
        <v>0</v>
      </c>
      <c r="N9590">
        <v>0</v>
      </c>
      <c r="O9590">
        <v>0</v>
      </c>
    </row>
    <row r="9591" spans="1:15" x14ac:dyDescent="0.25">
      <c r="A9591" t="s">
        <v>981</v>
      </c>
      <c r="B9591" t="s">
        <v>2985</v>
      </c>
      <c r="C9591" t="s">
        <v>927</v>
      </c>
      <c r="D9591" t="s">
        <v>3052</v>
      </c>
      <c r="E9591" t="s">
        <v>3053</v>
      </c>
      <c r="F9591" t="s">
        <v>840</v>
      </c>
      <c r="G9591" t="s">
        <v>841</v>
      </c>
      <c r="H9591" t="s">
        <v>9393</v>
      </c>
      <c r="I9591">
        <v>44</v>
      </c>
      <c r="J9591">
        <v>0</v>
      </c>
      <c r="K9591">
        <v>0</v>
      </c>
      <c r="L9591">
        <v>0</v>
      </c>
      <c r="M9591">
        <v>24</v>
      </c>
      <c r="N9591">
        <v>0</v>
      </c>
      <c r="O9591">
        <v>20</v>
      </c>
    </row>
    <row r="9592" spans="1:15" x14ac:dyDescent="0.25">
      <c r="A9592" t="s">
        <v>1564</v>
      </c>
      <c r="B9592" t="s">
        <v>3039</v>
      </c>
      <c r="C9592" t="s">
        <v>927</v>
      </c>
      <c r="D9592" t="s">
        <v>3052</v>
      </c>
      <c r="E9592" t="s">
        <v>3053</v>
      </c>
      <c r="F9592" t="s">
        <v>842</v>
      </c>
      <c r="G9592" t="s">
        <v>843</v>
      </c>
      <c r="H9592" t="s">
        <v>9433</v>
      </c>
      <c r="I9592">
        <v>16</v>
      </c>
      <c r="J9592">
        <v>8</v>
      </c>
      <c r="K9592">
        <v>0</v>
      </c>
      <c r="L9592">
        <v>0</v>
      </c>
      <c r="M9592">
        <v>0</v>
      </c>
      <c r="N9592">
        <v>0</v>
      </c>
      <c r="O9592">
        <v>8</v>
      </c>
    </row>
    <row r="9593" spans="1:15" x14ac:dyDescent="0.25">
      <c r="A9593" t="s">
        <v>1196</v>
      </c>
      <c r="B9593" t="s">
        <v>3004</v>
      </c>
      <c r="C9593" t="s">
        <v>927</v>
      </c>
      <c r="D9593" t="s">
        <v>3052</v>
      </c>
      <c r="E9593" t="s">
        <v>3053</v>
      </c>
      <c r="F9593" t="s">
        <v>842</v>
      </c>
      <c r="G9593" t="s">
        <v>843</v>
      </c>
      <c r="H9593" t="s">
        <v>9434</v>
      </c>
      <c r="I9593">
        <v>960</v>
      </c>
      <c r="J9593">
        <v>879</v>
      </c>
      <c r="K9593">
        <v>0</v>
      </c>
      <c r="L9593">
        <v>46</v>
      </c>
      <c r="M9593">
        <v>0</v>
      </c>
      <c r="N9593">
        <v>1</v>
      </c>
      <c r="O9593">
        <v>35</v>
      </c>
    </row>
    <row r="9594" spans="1:15" x14ac:dyDescent="0.25">
      <c r="A9594" t="s">
        <v>924</v>
      </c>
      <c r="B9594" t="s">
        <v>2963</v>
      </c>
      <c r="C9594" t="s">
        <v>923</v>
      </c>
      <c r="D9594" t="s">
        <v>3063</v>
      </c>
      <c r="E9594" t="s">
        <v>3053</v>
      </c>
      <c r="F9594" t="s">
        <v>842</v>
      </c>
      <c r="G9594" t="s">
        <v>843</v>
      </c>
      <c r="H9594" t="s">
        <v>9435</v>
      </c>
      <c r="I9594">
        <v>2</v>
      </c>
      <c r="J9594">
        <v>0</v>
      </c>
      <c r="K9594">
        <v>0</v>
      </c>
      <c r="L9594">
        <v>2</v>
      </c>
      <c r="M9594">
        <v>0</v>
      </c>
      <c r="N9594">
        <v>0</v>
      </c>
      <c r="O9594">
        <v>0</v>
      </c>
    </row>
    <row r="9595" spans="1:15" x14ac:dyDescent="0.25">
      <c r="A9595" t="s">
        <v>10568</v>
      </c>
      <c r="B9595" t="s">
        <v>10567</v>
      </c>
      <c r="C9595" t="s">
        <v>927</v>
      </c>
      <c r="D9595" t="s">
        <v>3052</v>
      </c>
      <c r="E9595" t="s">
        <v>3053</v>
      </c>
      <c r="F9595" t="s">
        <v>842</v>
      </c>
      <c r="G9595" t="s">
        <v>843</v>
      </c>
      <c r="H9595" t="s">
        <v>11518</v>
      </c>
      <c r="I9595">
        <v>153</v>
      </c>
      <c r="J9595">
        <v>150</v>
      </c>
      <c r="K9595">
        <v>0</v>
      </c>
      <c r="L9595">
        <v>0</v>
      </c>
      <c r="M9595">
        <v>0</v>
      </c>
      <c r="N9595">
        <v>0</v>
      </c>
      <c r="O9595">
        <v>3</v>
      </c>
    </row>
    <row r="9596" spans="1:15" x14ac:dyDescent="0.25">
      <c r="A9596" t="s">
        <v>926</v>
      </c>
      <c r="B9596" t="s">
        <v>2923</v>
      </c>
      <c r="C9596" t="s">
        <v>927</v>
      </c>
      <c r="D9596" t="s">
        <v>3052</v>
      </c>
      <c r="E9596" t="s">
        <v>3053</v>
      </c>
      <c r="F9596" t="s">
        <v>842</v>
      </c>
      <c r="G9596" t="s">
        <v>843</v>
      </c>
      <c r="H9596" t="s">
        <v>9436</v>
      </c>
      <c r="I9596">
        <v>9</v>
      </c>
      <c r="J9596">
        <v>0</v>
      </c>
      <c r="K9596">
        <v>0</v>
      </c>
      <c r="L9596">
        <v>5</v>
      </c>
      <c r="M9596">
        <v>0</v>
      </c>
      <c r="N9596">
        <v>0</v>
      </c>
      <c r="O9596">
        <v>4</v>
      </c>
    </row>
    <row r="9597" spans="1:15" x14ac:dyDescent="0.25">
      <c r="A9597" t="s">
        <v>929</v>
      </c>
      <c r="B9597" t="s">
        <v>2999</v>
      </c>
      <c r="C9597" t="s">
        <v>927</v>
      </c>
      <c r="D9597" t="s">
        <v>3052</v>
      </c>
      <c r="E9597" t="s">
        <v>3053</v>
      </c>
      <c r="F9597" t="s">
        <v>842</v>
      </c>
      <c r="G9597" t="s">
        <v>843</v>
      </c>
      <c r="H9597" t="s">
        <v>9437</v>
      </c>
      <c r="I9597">
        <v>87</v>
      </c>
      <c r="J9597">
        <v>0</v>
      </c>
      <c r="K9597">
        <v>0</v>
      </c>
      <c r="L9597">
        <v>0</v>
      </c>
      <c r="M9597">
        <v>87</v>
      </c>
      <c r="N9597">
        <v>0</v>
      </c>
      <c r="O9597">
        <v>0</v>
      </c>
    </row>
    <row r="9598" spans="1:15" x14ac:dyDescent="0.25">
      <c r="A9598" t="s">
        <v>1575</v>
      </c>
      <c r="B9598" t="s">
        <v>2112</v>
      </c>
      <c r="C9598" t="s">
        <v>927</v>
      </c>
      <c r="D9598" t="s">
        <v>3052</v>
      </c>
      <c r="E9598" t="s">
        <v>3053</v>
      </c>
      <c r="F9598" t="s">
        <v>842</v>
      </c>
      <c r="G9598" t="s">
        <v>843</v>
      </c>
      <c r="H9598" t="s">
        <v>12503</v>
      </c>
      <c r="I9598">
        <v>32</v>
      </c>
      <c r="J9598">
        <v>9</v>
      </c>
      <c r="K9598">
        <v>0</v>
      </c>
      <c r="L9598">
        <v>0</v>
      </c>
      <c r="M9598">
        <v>0</v>
      </c>
      <c r="N9598">
        <v>0</v>
      </c>
      <c r="O9598">
        <v>23</v>
      </c>
    </row>
    <row r="9599" spans="1:15" x14ac:dyDescent="0.25">
      <c r="A9599" t="s">
        <v>931</v>
      </c>
      <c r="B9599" t="s">
        <v>1978</v>
      </c>
      <c r="C9599" t="s">
        <v>927</v>
      </c>
      <c r="D9599" t="s">
        <v>3052</v>
      </c>
      <c r="E9599" t="s">
        <v>3053</v>
      </c>
      <c r="F9599" t="s">
        <v>842</v>
      </c>
      <c r="G9599" t="s">
        <v>843</v>
      </c>
      <c r="H9599" t="s">
        <v>11519</v>
      </c>
      <c r="I9599">
        <v>30</v>
      </c>
      <c r="J9599">
        <v>14</v>
      </c>
      <c r="K9599">
        <v>0</v>
      </c>
      <c r="L9599">
        <v>0</v>
      </c>
      <c r="M9599">
        <v>0</v>
      </c>
      <c r="N9599">
        <v>0</v>
      </c>
      <c r="O9599">
        <v>16</v>
      </c>
    </row>
    <row r="9600" spans="1:15" x14ac:dyDescent="0.25">
      <c r="A9600" t="s">
        <v>9784</v>
      </c>
      <c r="B9600" t="s">
        <v>1994</v>
      </c>
      <c r="C9600" t="s">
        <v>927</v>
      </c>
      <c r="D9600" t="s">
        <v>3052</v>
      </c>
      <c r="E9600" t="s">
        <v>3053</v>
      </c>
      <c r="F9600" t="s">
        <v>842</v>
      </c>
      <c r="G9600" t="s">
        <v>843</v>
      </c>
      <c r="H9600" t="s">
        <v>11520</v>
      </c>
      <c r="I9600">
        <v>2</v>
      </c>
      <c r="J9600">
        <v>0</v>
      </c>
      <c r="K9600">
        <v>0</v>
      </c>
      <c r="L9600">
        <v>2</v>
      </c>
      <c r="M9600">
        <v>0</v>
      </c>
      <c r="N9600">
        <v>0</v>
      </c>
      <c r="O9600">
        <v>0</v>
      </c>
    </row>
    <row r="9601" spans="1:15" x14ac:dyDescent="0.25">
      <c r="A9601" t="s">
        <v>1581</v>
      </c>
      <c r="B9601" t="s">
        <v>2917</v>
      </c>
      <c r="C9601" t="s">
        <v>927</v>
      </c>
      <c r="D9601" t="s">
        <v>3052</v>
      </c>
      <c r="E9601" t="s">
        <v>3053</v>
      </c>
      <c r="F9601" t="s">
        <v>842</v>
      </c>
      <c r="G9601" t="s">
        <v>843</v>
      </c>
      <c r="H9601" t="s">
        <v>9438</v>
      </c>
      <c r="I9601">
        <v>8</v>
      </c>
      <c r="J9601">
        <v>8</v>
      </c>
      <c r="K9601">
        <v>0</v>
      </c>
      <c r="L9601">
        <v>0</v>
      </c>
      <c r="M9601">
        <v>0</v>
      </c>
      <c r="N9601">
        <v>0</v>
      </c>
      <c r="O9601">
        <v>0</v>
      </c>
    </row>
    <row r="9602" spans="1:15" x14ac:dyDescent="0.25">
      <c r="A9602" t="s">
        <v>1416</v>
      </c>
      <c r="B9602" t="s">
        <v>2029</v>
      </c>
      <c r="C9602" t="s">
        <v>923</v>
      </c>
      <c r="D9602" t="s">
        <v>3063</v>
      </c>
      <c r="E9602" t="s">
        <v>3053</v>
      </c>
      <c r="F9602" t="s">
        <v>842</v>
      </c>
      <c r="G9602" t="s">
        <v>843</v>
      </c>
      <c r="H9602" t="s">
        <v>15476</v>
      </c>
      <c r="I9602">
        <v>4</v>
      </c>
      <c r="J9602">
        <v>0</v>
      </c>
      <c r="K9602">
        <v>0</v>
      </c>
      <c r="L9602">
        <v>4</v>
      </c>
      <c r="M9602">
        <v>0</v>
      </c>
      <c r="N9602">
        <v>0</v>
      </c>
      <c r="O9602">
        <v>0</v>
      </c>
    </row>
    <row r="9603" spans="1:15" x14ac:dyDescent="0.25">
      <c r="A9603" t="s">
        <v>10638</v>
      </c>
      <c r="B9603" t="s">
        <v>2057</v>
      </c>
      <c r="C9603" t="s">
        <v>927</v>
      </c>
      <c r="D9603" t="s">
        <v>3052</v>
      </c>
      <c r="E9603" t="s">
        <v>3053</v>
      </c>
      <c r="F9603" t="s">
        <v>842</v>
      </c>
      <c r="G9603" t="s">
        <v>843</v>
      </c>
      <c r="H9603" t="s">
        <v>11521</v>
      </c>
      <c r="I9603">
        <v>8</v>
      </c>
      <c r="J9603">
        <v>0</v>
      </c>
      <c r="K9603">
        <v>0</v>
      </c>
      <c r="L9603">
        <v>8</v>
      </c>
      <c r="M9603">
        <v>0</v>
      </c>
      <c r="N9603">
        <v>0</v>
      </c>
      <c r="O9603">
        <v>0</v>
      </c>
    </row>
    <row r="9604" spans="1:15" x14ac:dyDescent="0.25">
      <c r="A9604" t="s">
        <v>1250</v>
      </c>
      <c r="B9604" t="s">
        <v>2012</v>
      </c>
      <c r="C9604" t="s">
        <v>923</v>
      </c>
      <c r="D9604" t="s">
        <v>3063</v>
      </c>
      <c r="E9604" t="s">
        <v>3053</v>
      </c>
      <c r="F9604" t="s">
        <v>842</v>
      </c>
      <c r="G9604" t="s">
        <v>843</v>
      </c>
      <c r="H9604" t="s">
        <v>9439</v>
      </c>
      <c r="I9604">
        <v>156</v>
      </c>
      <c r="J9604">
        <v>156</v>
      </c>
      <c r="K9604">
        <v>0</v>
      </c>
      <c r="L9604">
        <v>0</v>
      </c>
      <c r="M9604">
        <v>0</v>
      </c>
      <c r="N9604">
        <v>0</v>
      </c>
      <c r="O9604">
        <v>0</v>
      </c>
    </row>
    <row r="9605" spans="1:15" x14ac:dyDescent="0.25">
      <c r="A9605" t="s">
        <v>937</v>
      </c>
      <c r="B9605" t="s">
        <v>1962</v>
      </c>
      <c r="C9605" t="s">
        <v>927</v>
      </c>
      <c r="D9605" t="s">
        <v>3052</v>
      </c>
      <c r="E9605" t="s">
        <v>3053</v>
      </c>
      <c r="F9605" t="s">
        <v>842</v>
      </c>
      <c r="G9605" t="s">
        <v>843</v>
      </c>
      <c r="H9605" t="s">
        <v>9440</v>
      </c>
      <c r="I9605">
        <v>27</v>
      </c>
      <c r="J9605">
        <v>0</v>
      </c>
      <c r="K9605">
        <v>0</v>
      </c>
      <c r="L9605">
        <v>0</v>
      </c>
      <c r="M9605">
        <v>0</v>
      </c>
      <c r="N9605">
        <v>0</v>
      </c>
      <c r="O9605">
        <v>27</v>
      </c>
    </row>
    <row r="9606" spans="1:15" x14ac:dyDescent="0.25">
      <c r="A9606" t="s">
        <v>938</v>
      </c>
      <c r="B9606" t="s">
        <v>2791</v>
      </c>
      <c r="C9606" t="s">
        <v>927</v>
      </c>
      <c r="D9606" t="s">
        <v>3052</v>
      </c>
      <c r="E9606" t="s">
        <v>3053</v>
      </c>
      <c r="F9606" t="s">
        <v>842</v>
      </c>
      <c r="G9606" t="s">
        <v>843</v>
      </c>
      <c r="H9606" t="s">
        <v>9441</v>
      </c>
      <c r="I9606">
        <v>113</v>
      </c>
      <c r="J9606">
        <v>42</v>
      </c>
      <c r="K9606">
        <v>0</v>
      </c>
      <c r="L9606">
        <v>42</v>
      </c>
      <c r="M9606">
        <v>0</v>
      </c>
      <c r="N9606">
        <v>0</v>
      </c>
      <c r="O9606">
        <v>29</v>
      </c>
    </row>
    <row r="9607" spans="1:15" x14ac:dyDescent="0.25">
      <c r="A9607" t="s">
        <v>940</v>
      </c>
      <c r="B9607" t="s">
        <v>2647</v>
      </c>
      <c r="C9607" t="s">
        <v>927</v>
      </c>
      <c r="D9607" t="s">
        <v>3052</v>
      </c>
      <c r="E9607" t="s">
        <v>3053</v>
      </c>
      <c r="F9607" t="s">
        <v>842</v>
      </c>
      <c r="G9607" t="s">
        <v>843</v>
      </c>
      <c r="H9607" t="s">
        <v>9442</v>
      </c>
      <c r="I9607">
        <v>135</v>
      </c>
      <c r="J9607">
        <v>0</v>
      </c>
      <c r="K9607">
        <v>0</v>
      </c>
      <c r="L9607">
        <v>0</v>
      </c>
      <c r="M9607">
        <v>135</v>
      </c>
      <c r="N9607">
        <v>0</v>
      </c>
      <c r="O9607">
        <v>0</v>
      </c>
    </row>
    <row r="9608" spans="1:15" x14ac:dyDescent="0.25">
      <c r="A9608" t="s">
        <v>1012</v>
      </c>
      <c r="B9608" t="s">
        <v>2911</v>
      </c>
      <c r="C9608" t="s">
        <v>927</v>
      </c>
      <c r="D9608" t="s">
        <v>3052</v>
      </c>
      <c r="E9608" t="s">
        <v>3053</v>
      </c>
      <c r="F9608" t="s">
        <v>842</v>
      </c>
      <c r="G9608" t="s">
        <v>843</v>
      </c>
      <c r="H9608" t="s">
        <v>9443</v>
      </c>
      <c r="I9608">
        <v>162</v>
      </c>
      <c r="J9608">
        <v>122</v>
      </c>
      <c r="K9608">
        <v>0</v>
      </c>
      <c r="L9608">
        <v>16</v>
      </c>
      <c r="M9608">
        <v>0</v>
      </c>
      <c r="N9608">
        <v>0</v>
      </c>
      <c r="O9608">
        <v>24</v>
      </c>
    </row>
    <row r="9609" spans="1:15" x14ac:dyDescent="0.25">
      <c r="A9609" t="s">
        <v>1018</v>
      </c>
      <c r="B9609" t="s">
        <v>1980</v>
      </c>
      <c r="C9609" t="s">
        <v>923</v>
      </c>
      <c r="D9609" t="s">
        <v>3063</v>
      </c>
      <c r="E9609" t="s">
        <v>3053</v>
      </c>
      <c r="F9609" t="s">
        <v>842</v>
      </c>
      <c r="G9609" t="s">
        <v>843</v>
      </c>
      <c r="H9609" t="s">
        <v>12504</v>
      </c>
      <c r="I9609">
        <v>2</v>
      </c>
      <c r="J9609">
        <v>2</v>
      </c>
      <c r="K9609">
        <v>0</v>
      </c>
      <c r="L9609">
        <v>0</v>
      </c>
      <c r="M9609">
        <v>0</v>
      </c>
      <c r="N9609">
        <v>0</v>
      </c>
      <c r="O9609">
        <v>0</v>
      </c>
    </row>
    <row r="9610" spans="1:15" x14ac:dyDescent="0.25">
      <c r="A9610" t="s">
        <v>1126</v>
      </c>
      <c r="B9610" t="s">
        <v>2130</v>
      </c>
      <c r="C9610" t="s">
        <v>927</v>
      </c>
      <c r="D9610" t="s">
        <v>3052</v>
      </c>
      <c r="E9610" t="s">
        <v>3053</v>
      </c>
      <c r="F9610" t="s">
        <v>842</v>
      </c>
      <c r="G9610" t="s">
        <v>843</v>
      </c>
      <c r="H9610" t="s">
        <v>15477</v>
      </c>
      <c r="I9610">
        <v>12</v>
      </c>
      <c r="J9610">
        <v>0</v>
      </c>
      <c r="K9610">
        <v>0</v>
      </c>
      <c r="L9610">
        <v>0</v>
      </c>
      <c r="M9610">
        <v>0</v>
      </c>
      <c r="N9610">
        <v>0</v>
      </c>
      <c r="O9610">
        <v>12</v>
      </c>
    </row>
    <row r="9611" spans="1:15" x14ac:dyDescent="0.25">
      <c r="A9611" t="s">
        <v>1628</v>
      </c>
      <c r="B9611" t="s">
        <v>2851</v>
      </c>
      <c r="C9611" t="s">
        <v>927</v>
      </c>
      <c r="D9611" t="s">
        <v>3052</v>
      </c>
      <c r="E9611" t="s">
        <v>3053</v>
      </c>
      <c r="F9611" t="s">
        <v>842</v>
      </c>
      <c r="G9611" t="s">
        <v>843</v>
      </c>
      <c r="H9611" t="s">
        <v>9444</v>
      </c>
      <c r="I9611">
        <v>85</v>
      </c>
      <c r="J9611">
        <v>60</v>
      </c>
      <c r="K9611">
        <v>0</v>
      </c>
      <c r="L9611">
        <v>0</v>
      </c>
      <c r="M9611">
        <v>0</v>
      </c>
      <c r="N9611">
        <v>0</v>
      </c>
      <c r="O9611">
        <v>25</v>
      </c>
    </row>
    <row r="9612" spans="1:15" x14ac:dyDescent="0.25">
      <c r="A9612" t="s">
        <v>11720</v>
      </c>
      <c r="B9612" t="s">
        <v>10718</v>
      </c>
      <c r="C9612" t="s">
        <v>927</v>
      </c>
      <c r="D9612" t="s">
        <v>3052</v>
      </c>
      <c r="E9612" t="s">
        <v>3053</v>
      </c>
      <c r="F9612" t="s">
        <v>842</v>
      </c>
      <c r="G9612" t="s">
        <v>843</v>
      </c>
      <c r="H9612" t="s">
        <v>15478</v>
      </c>
      <c r="I9612">
        <v>13</v>
      </c>
      <c r="J9612">
        <v>0</v>
      </c>
      <c r="K9612">
        <v>0</v>
      </c>
      <c r="L9612">
        <v>0</v>
      </c>
      <c r="M9612">
        <v>0</v>
      </c>
      <c r="N9612">
        <v>0</v>
      </c>
      <c r="O9612">
        <v>13</v>
      </c>
    </row>
    <row r="9613" spans="1:15" x14ac:dyDescent="0.25">
      <c r="A9613" t="s">
        <v>955</v>
      </c>
      <c r="B9613" t="s">
        <v>2660</v>
      </c>
      <c r="C9613" t="s">
        <v>927</v>
      </c>
      <c r="D9613" t="s">
        <v>3052</v>
      </c>
      <c r="E9613" t="s">
        <v>3053</v>
      </c>
      <c r="F9613" t="s">
        <v>842</v>
      </c>
      <c r="G9613" t="s">
        <v>843</v>
      </c>
      <c r="H9613" t="s">
        <v>9445</v>
      </c>
      <c r="I9613">
        <v>15</v>
      </c>
      <c r="J9613">
        <v>0</v>
      </c>
      <c r="K9613">
        <v>0</v>
      </c>
      <c r="L9613">
        <v>15</v>
      </c>
      <c r="M9613">
        <v>0</v>
      </c>
      <c r="N9613">
        <v>0</v>
      </c>
      <c r="O9613">
        <v>0</v>
      </c>
    </row>
    <row r="9614" spans="1:15" x14ac:dyDescent="0.25">
      <c r="A9614" t="s">
        <v>960</v>
      </c>
      <c r="B9614" t="s">
        <v>2080</v>
      </c>
      <c r="C9614" t="s">
        <v>927</v>
      </c>
      <c r="D9614" t="s">
        <v>3052</v>
      </c>
      <c r="E9614" t="s">
        <v>3053</v>
      </c>
      <c r="F9614" t="s">
        <v>842</v>
      </c>
      <c r="G9614" t="s">
        <v>843</v>
      </c>
      <c r="H9614" t="s">
        <v>9446</v>
      </c>
      <c r="I9614">
        <v>462</v>
      </c>
      <c r="J9614">
        <v>324</v>
      </c>
      <c r="K9614">
        <v>0</v>
      </c>
      <c r="L9614">
        <v>11</v>
      </c>
      <c r="M9614">
        <v>0</v>
      </c>
      <c r="N9614">
        <v>1</v>
      </c>
      <c r="O9614">
        <v>127</v>
      </c>
    </row>
    <row r="9615" spans="1:15" x14ac:dyDescent="0.25">
      <c r="A9615" t="s">
        <v>1062</v>
      </c>
      <c r="B9615" t="s">
        <v>1993</v>
      </c>
      <c r="C9615" t="s">
        <v>927</v>
      </c>
      <c r="D9615" t="s">
        <v>3052</v>
      </c>
      <c r="E9615" t="s">
        <v>3053</v>
      </c>
      <c r="F9615" t="s">
        <v>842</v>
      </c>
      <c r="G9615" t="s">
        <v>843</v>
      </c>
      <c r="H9615" t="s">
        <v>9447</v>
      </c>
      <c r="I9615">
        <v>54</v>
      </c>
      <c r="J9615">
        <v>54</v>
      </c>
      <c r="K9615">
        <v>0</v>
      </c>
      <c r="L9615">
        <v>0</v>
      </c>
      <c r="M9615">
        <v>0</v>
      </c>
      <c r="N9615">
        <v>0</v>
      </c>
      <c r="O9615">
        <v>0</v>
      </c>
    </row>
    <row r="9616" spans="1:15" x14ac:dyDescent="0.25">
      <c r="A9616" t="s">
        <v>962</v>
      </c>
      <c r="B9616" t="s">
        <v>2752</v>
      </c>
      <c r="C9616" t="s">
        <v>927</v>
      </c>
      <c r="D9616" t="s">
        <v>3052</v>
      </c>
      <c r="E9616" t="s">
        <v>3053</v>
      </c>
      <c r="F9616" t="s">
        <v>842</v>
      </c>
      <c r="G9616" t="s">
        <v>843</v>
      </c>
      <c r="H9616" t="s">
        <v>9448</v>
      </c>
      <c r="I9616">
        <v>51</v>
      </c>
      <c r="J9616">
        <v>30</v>
      </c>
      <c r="K9616">
        <v>0</v>
      </c>
      <c r="L9616">
        <v>0</v>
      </c>
      <c r="M9616">
        <v>0</v>
      </c>
      <c r="N9616">
        <v>0</v>
      </c>
      <c r="O9616">
        <v>21</v>
      </c>
    </row>
    <row r="9617" spans="1:15" x14ac:dyDescent="0.25">
      <c r="A9617" t="s">
        <v>964</v>
      </c>
      <c r="B9617" t="s">
        <v>1969</v>
      </c>
      <c r="C9617" t="s">
        <v>927</v>
      </c>
      <c r="D9617" t="s">
        <v>3052</v>
      </c>
      <c r="E9617" t="s">
        <v>3053</v>
      </c>
      <c r="F9617" t="s">
        <v>842</v>
      </c>
      <c r="G9617" t="s">
        <v>843</v>
      </c>
      <c r="H9617" t="s">
        <v>9449</v>
      </c>
      <c r="I9617">
        <v>79</v>
      </c>
      <c r="J9617">
        <v>56</v>
      </c>
      <c r="K9617">
        <v>0</v>
      </c>
      <c r="L9617">
        <v>0</v>
      </c>
      <c r="M9617">
        <v>0</v>
      </c>
      <c r="N9617">
        <v>0</v>
      </c>
      <c r="O9617">
        <v>23</v>
      </c>
    </row>
    <row r="9618" spans="1:15" x14ac:dyDescent="0.25">
      <c r="A9618" t="s">
        <v>11710</v>
      </c>
      <c r="B9618" t="s">
        <v>2605</v>
      </c>
      <c r="C9618" t="s">
        <v>923</v>
      </c>
      <c r="D9618" t="s">
        <v>3063</v>
      </c>
      <c r="E9618" t="s">
        <v>3053</v>
      </c>
      <c r="F9618" t="s">
        <v>842</v>
      </c>
      <c r="G9618" t="s">
        <v>843</v>
      </c>
      <c r="H9618" t="s">
        <v>12505</v>
      </c>
      <c r="I9618">
        <v>10</v>
      </c>
      <c r="J9618">
        <v>0</v>
      </c>
      <c r="K9618">
        <v>0</v>
      </c>
      <c r="L9618">
        <v>0</v>
      </c>
      <c r="M9618">
        <v>10</v>
      </c>
      <c r="N9618">
        <v>0</v>
      </c>
      <c r="O9618">
        <v>0</v>
      </c>
    </row>
    <row r="9619" spans="1:15" x14ac:dyDescent="0.25">
      <c r="A9619" t="s">
        <v>1069</v>
      </c>
      <c r="B9619" t="s">
        <v>2001</v>
      </c>
      <c r="C9619" t="s">
        <v>927</v>
      </c>
      <c r="D9619" t="s">
        <v>3052</v>
      </c>
      <c r="E9619" t="s">
        <v>3053</v>
      </c>
      <c r="F9619" t="s">
        <v>842</v>
      </c>
      <c r="G9619" t="s">
        <v>843</v>
      </c>
      <c r="H9619" t="s">
        <v>9450</v>
      </c>
      <c r="I9619">
        <v>51</v>
      </c>
      <c r="J9619">
        <v>49</v>
      </c>
      <c r="K9619">
        <v>0</v>
      </c>
      <c r="L9619">
        <v>0</v>
      </c>
      <c r="M9619">
        <v>0</v>
      </c>
      <c r="N9619">
        <v>0</v>
      </c>
      <c r="O9619">
        <v>2</v>
      </c>
    </row>
    <row r="9620" spans="1:15" x14ac:dyDescent="0.25">
      <c r="A9620" t="s">
        <v>966</v>
      </c>
      <c r="B9620" t="s">
        <v>2684</v>
      </c>
      <c r="C9620" t="s">
        <v>927</v>
      </c>
      <c r="D9620" t="s">
        <v>3052</v>
      </c>
      <c r="E9620" t="s">
        <v>3053</v>
      </c>
      <c r="F9620" t="s">
        <v>842</v>
      </c>
      <c r="G9620" t="s">
        <v>843</v>
      </c>
      <c r="H9620" t="s">
        <v>9451</v>
      </c>
      <c r="I9620">
        <v>378</v>
      </c>
      <c r="J9620">
        <v>286</v>
      </c>
      <c r="K9620">
        <v>0</v>
      </c>
      <c r="L9620">
        <v>0</v>
      </c>
      <c r="M9620">
        <v>0</v>
      </c>
      <c r="N9620">
        <v>0</v>
      </c>
      <c r="O9620">
        <v>92</v>
      </c>
    </row>
    <row r="9621" spans="1:15" x14ac:dyDescent="0.25">
      <c r="A9621" t="s">
        <v>1686</v>
      </c>
      <c r="B9621" t="s">
        <v>2988</v>
      </c>
      <c r="C9621" t="s">
        <v>923</v>
      </c>
      <c r="D9621" t="s">
        <v>3063</v>
      </c>
      <c r="E9621" t="s">
        <v>3053</v>
      </c>
      <c r="F9621" t="s">
        <v>842</v>
      </c>
      <c r="G9621" t="s">
        <v>843</v>
      </c>
      <c r="H9621" t="s">
        <v>9452</v>
      </c>
      <c r="I9621">
        <v>12</v>
      </c>
      <c r="J9621">
        <v>0</v>
      </c>
      <c r="K9621">
        <v>0</v>
      </c>
      <c r="L9621">
        <v>12</v>
      </c>
      <c r="M9621">
        <v>0</v>
      </c>
      <c r="N9621">
        <v>0</v>
      </c>
      <c r="O9621">
        <v>0</v>
      </c>
    </row>
    <row r="9622" spans="1:15" x14ac:dyDescent="0.25">
      <c r="A9622" t="s">
        <v>968</v>
      </c>
      <c r="B9622" t="s">
        <v>2091</v>
      </c>
      <c r="C9622" t="s">
        <v>927</v>
      </c>
      <c r="D9622" t="s">
        <v>3052</v>
      </c>
      <c r="E9622" t="s">
        <v>3053</v>
      </c>
      <c r="F9622" t="s">
        <v>842</v>
      </c>
      <c r="G9622" t="s">
        <v>843</v>
      </c>
      <c r="H9622" t="s">
        <v>9453</v>
      </c>
      <c r="I9622">
        <v>708</v>
      </c>
      <c r="J9622">
        <v>686</v>
      </c>
      <c r="K9622">
        <v>0</v>
      </c>
      <c r="L9622">
        <v>0</v>
      </c>
      <c r="M9622">
        <v>12</v>
      </c>
      <c r="N9622">
        <v>0</v>
      </c>
      <c r="O9622">
        <v>10</v>
      </c>
    </row>
    <row r="9623" spans="1:15" x14ac:dyDescent="0.25">
      <c r="A9623" t="s">
        <v>1694</v>
      </c>
      <c r="B9623" t="s">
        <v>1979</v>
      </c>
      <c r="C9623" t="s">
        <v>923</v>
      </c>
      <c r="D9623" t="s">
        <v>3063</v>
      </c>
      <c r="E9623" t="s">
        <v>3053</v>
      </c>
      <c r="F9623" t="s">
        <v>842</v>
      </c>
      <c r="G9623" t="s">
        <v>843</v>
      </c>
      <c r="H9623" t="s">
        <v>9454</v>
      </c>
      <c r="I9623">
        <v>14</v>
      </c>
      <c r="J9623">
        <v>14</v>
      </c>
      <c r="K9623">
        <v>0</v>
      </c>
      <c r="L9623">
        <v>0</v>
      </c>
      <c r="M9623">
        <v>0</v>
      </c>
      <c r="N9623">
        <v>0</v>
      </c>
      <c r="O9623">
        <v>0</v>
      </c>
    </row>
    <row r="9624" spans="1:15" x14ac:dyDescent="0.25">
      <c r="A9624" t="s">
        <v>1695</v>
      </c>
      <c r="B9624" t="s">
        <v>2788</v>
      </c>
      <c r="C9624" t="s">
        <v>923</v>
      </c>
      <c r="D9624" t="s">
        <v>3063</v>
      </c>
      <c r="E9624" t="s">
        <v>3053</v>
      </c>
      <c r="F9624" t="s">
        <v>842</v>
      </c>
      <c r="G9624" t="s">
        <v>843</v>
      </c>
      <c r="H9624" t="s">
        <v>9455</v>
      </c>
      <c r="I9624">
        <v>92</v>
      </c>
      <c r="J9624">
        <v>92</v>
      </c>
      <c r="K9624">
        <v>0</v>
      </c>
      <c r="L9624">
        <v>0</v>
      </c>
      <c r="M9624">
        <v>0</v>
      </c>
      <c r="N9624">
        <v>0</v>
      </c>
      <c r="O9624">
        <v>0</v>
      </c>
    </row>
    <row r="9625" spans="1:15" x14ac:dyDescent="0.25">
      <c r="A9625" t="s">
        <v>1564</v>
      </c>
      <c r="B9625" t="s">
        <v>3039</v>
      </c>
      <c r="C9625" t="s">
        <v>927</v>
      </c>
      <c r="D9625" t="s">
        <v>3052</v>
      </c>
      <c r="E9625" t="s">
        <v>3053</v>
      </c>
      <c r="F9625" t="s">
        <v>844</v>
      </c>
      <c r="G9625" t="s">
        <v>845</v>
      </c>
      <c r="H9625" t="s">
        <v>12506</v>
      </c>
      <c r="I9625">
        <v>28</v>
      </c>
      <c r="J9625">
        <v>0</v>
      </c>
      <c r="K9625">
        <v>0</v>
      </c>
      <c r="L9625">
        <v>0</v>
      </c>
      <c r="M9625">
        <v>0</v>
      </c>
      <c r="N9625">
        <v>0</v>
      </c>
      <c r="O9625">
        <v>28</v>
      </c>
    </row>
    <row r="9626" spans="1:15" x14ac:dyDescent="0.25">
      <c r="A9626" t="s">
        <v>1196</v>
      </c>
      <c r="B9626" t="s">
        <v>3004</v>
      </c>
      <c r="C9626" t="s">
        <v>927</v>
      </c>
      <c r="D9626" t="s">
        <v>3052</v>
      </c>
      <c r="E9626" t="s">
        <v>3053</v>
      </c>
      <c r="F9626" t="s">
        <v>844</v>
      </c>
      <c r="G9626" t="s">
        <v>845</v>
      </c>
      <c r="H9626" t="s">
        <v>9456</v>
      </c>
      <c r="I9626">
        <v>291</v>
      </c>
      <c r="J9626">
        <v>245</v>
      </c>
      <c r="K9626">
        <v>0</v>
      </c>
      <c r="L9626">
        <v>0</v>
      </c>
      <c r="M9626">
        <v>46</v>
      </c>
      <c r="N9626">
        <v>0</v>
      </c>
      <c r="O9626">
        <v>0</v>
      </c>
    </row>
    <row r="9627" spans="1:15" x14ac:dyDescent="0.25">
      <c r="A9627" t="s">
        <v>10568</v>
      </c>
      <c r="B9627" t="s">
        <v>10567</v>
      </c>
      <c r="C9627" t="s">
        <v>927</v>
      </c>
      <c r="D9627" t="s">
        <v>3052</v>
      </c>
      <c r="E9627" t="s">
        <v>3053</v>
      </c>
      <c r="F9627" t="s">
        <v>844</v>
      </c>
      <c r="G9627" t="s">
        <v>845</v>
      </c>
      <c r="H9627" t="s">
        <v>11522</v>
      </c>
      <c r="I9627">
        <v>3256</v>
      </c>
      <c r="J9627">
        <v>2772</v>
      </c>
      <c r="K9627">
        <v>16</v>
      </c>
      <c r="L9627">
        <v>17</v>
      </c>
      <c r="M9627">
        <v>407</v>
      </c>
      <c r="N9627">
        <v>0</v>
      </c>
      <c r="O9627">
        <v>44</v>
      </c>
    </row>
    <row r="9628" spans="1:15" x14ac:dyDescent="0.25">
      <c r="A9628" t="s">
        <v>926</v>
      </c>
      <c r="B9628" t="s">
        <v>2923</v>
      </c>
      <c r="C9628" t="s">
        <v>927</v>
      </c>
      <c r="D9628" t="s">
        <v>3052</v>
      </c>
      <c r="E9628" t="s">
        <v>3053</v>
      </c>
      <c r="F9628" t="s">
        <v>844</v>
      </c>
      <c r="G9628" t="s">
        <v>845</v>
      </c>
      <c r="H9628" t="s">
        <v>9457</v>
      </c>
      <c r="I9628">
        <v>17</v>
      </c>
      <c r="J9628">
        <v>0</v>
      </c>
      <c r="K9628">
        <v>0</v>
      </c>
      <c r="L9628">
        <v>16</v>
      </c>
      <c r="M9628">
        <v>0</v>
      </c>
      <c r="N9628">
        <v>0</v>
      </c>
      <c r="O9628">
        <v>1</v>
      </c>
    </row>
    <row r="9629" spans="1:15" x14ac:dyDescent="0.25">
      <c r="A9629" t="s">
        <v>929</v>
      </c>
      <c r="B9629" t="s">
        <v>2999</v>
      </c>
      <c r="C9629" t="s">
        <v>927</v>
      </c>
      <c r="D9629" t="s">
        <v>3052</v>
      </c>
      <c r="E9629" t="s">
        <v>3053</v>
      </c>
      <c r="F9629" t="s">
        <v>844</v>
      </c>
      <c r="G9629" t="s">
        <v>845</v>
      </c>
      <c r="H9629" t="s">
        <v>9458</v>
      </c>
      <c r="I9629">
        <v>146</v>
      </c>
      <c r="J9629">
        <v>0</v>
      </c>
      <c r="K9629">
        <v>0</v>
      </c>
      <c r="L9629">
        <v>0</v>
      </c>
      <c r="M9629">
        <v>146</v>
      </c>
      <c r="N9629">
        <v>0</v>
      </c>
      <c r="O9629">
        <v>0</v>
      </c>
    </row>
    <row r="9630" spans="1:15" x14ac:dyDescent="0.25">
      <c r="A9630" t="s">
        <v>1094</v>
      </c>
      <c r="B9630" t="s">
        <v>2742</v>
      </c>
      <c r="C9630" t="s">
        <v>923</v>
      </c>
      <c r="D9630" t="s">
        <v>3063</v>
      </c>
      <c r="E9630" t="s">
        <v>3053</v>
      </c>
      <c r="F9630" t="s">
        <v>844</v>
      </c>
      <c r="G9630" t="s">
        <v>845</v>
      </c>
      <c r="H9630" t="s">
        <v>9459</v>
      </c>
      <c r="I9630">
        <v>3</v>
      </c>
      <c r="J9630">
        <v>0</v>
      </c>
      <c r="K9630">
        <v>0</v>
      </c>
      <c r="L9630">
        <v>3</v>
      </c>
      <c r="M9630">
        <v>0</v>
      </c>
      <c r="N9630">
        <v>0</v>
      </c>
      <c r="O9630">
        <v>0</v>
      </c>
    </row>
    <row r="9631" spans="1:15" x14ac:dyDescent="0.25">
      <c r="A9631" t="s">
        <v>938</v>
      </c>
      <c r="B9631" t="s">
        <v>2791</v>
      </c>
      <c r="C9631" t="s">
        <v>927</v>
      </c>
      <c r="D9631" t="s">
        <v>3052</v>
      </c>
      <c r="E9631" t="s">
        <v>3053</v>
      </c>
      <c r="F9631" t="s">
        <v>844</v>
      </c>
      <c r="G9631" t="s">
        <v>845</v>
      </c>
      <c r="H9631" t="s">
        <v>9460</v>
      </c>
      <c r="I9631">
        <v>7</v>
      </c>
      <c r="J9631">
        <v>7</v>
      </c>
      <c r="K9631">
        <v>0</v>
      </c>
      <c r="L9631">
        <v>0</v>
      </c>
      <c r="M9631">
        <v>0</v>
      </c>
      <c r="N9631">
        <v>0</v>
      </c>
      <c r="O9631">
        <v>0</v>
      </c>
    </row>
    <row r="9632" spans="1:15" x14ac:dyDescent="0.25">
      <c r="A9632" t="s">
        <v>1122</v>
      </c>
      <c r="B9632" t="s">
        <v>2823</v>
      </c>
      <c r="C9632" t="s">
        <v>927</v>
      </c>
      <c r="D9632" t="s">
        <v>3052</v>
      </c>
      <c r="E9632" t="s">
        <v>3053</v>
      </c>
      <c r="F9632" t="s">
        <v>844</v>
      </c>
      <c r="G9632" t="s">
        <v>845</v>
      </c>
      <c r="H9632" t="s">
        <v>9461</v>
      </c>
      <c r="I9632">
        <v>3576</v>
      </c>
      <c r="J9632">
        <v>3032</v>
      </c>
      <c r="K9632">
        <v>0</v>
      </c>
      <c r="L9632">
        <v>100</v>
      </c>
      <c r="M9632">
        <v>269</v>
      </c>
      <c r="N9632">
        <v>0</v>
      </c>
      <c r="O9632">
        <v>175</v>
      </c>
    </row>
    <row r="9633" spans="1:15" x14ac:dyDescent="0.25">
      <c r="A9633" t="s">
        <v>10663</v>
      </c>
      <c r="B9633" t="s">
        <v>10662</v>
      </c>
      <c r="C9633" t="s">
        <v>923</v>
      </c>
      <c r="D9633" t="s">
        <v>3063</v>
      </c>
      <c r="E9633" t="s">
        <v>3053</v>
      </c>
      <c r="F9633" t="s">
        <v>844</v>
      </c>
      <c r="G9633" t="s">
        <v>845</v>
      </c>
      <c r="H9633" t="s">
        <v>11523</v>
      </c>
      <c r="I9633">
        <v>4</v>
      </c>
      <c r="J9633">
        <v>4</v>
      </c>
      <c r="K9633">
        <v>0</v>
      </c>
      <c r="L9633">
        <v>0</v>
      </c>
      <c r="M9633">
        <v>0</v>
      </c>
      <c r="N9633">
        <v>0</v>
      </c>
      <c r="O9633">
        <v>0</v>
      </c>
    </row>
    <row r="9634" spans="1:15" x14ac:dyDescent="0.25">
      <c r="A9634" t="s">
        <v>1025</v>
      </c>
      <c r="B9634" t="s">
        <v>2893</v>
      </c>
      <c r="C9634" t="s">
        <v>927</v>
      </c>
      <c r="D9634" t="s">
        <v>3052</v>
      </c>
      <c r="E9634" t="s">
        <v>3053</v>
      </c>
      <c r="F9634" t="s">
        <v>844</v>
      </c>
      <c r="G9634" t="s">
        <v>845</v>
      </c>
      <c r="H9634" t="s">
        <v>9462</v>
      </c>
      <c r="I9634">
        <v>17</v>
      </c>
      <c r="J9634">
        <v>16</v>
      </c>
      <c r="K9634">
        <v>0</v>
      </c>
      <c r="L9634">
        <v>0</v>
      </c>
      <c r="M9634">
        <v>0</v>
      </c>
      <c r="N9634">
        <v>0</v>
      </c>
      <c r="O9634">
        <v>1</v>
      </c>
    </row>
    <row r="9635" spans="1:15" x14ac:dyDescent="0.25">
      <c r="A9635" t="s">
        <v>1293</v>
      </c>
      <c r="B9635" t="s">
        <v>2910</v>
      </c>
      <c r="C9635" t="s">
        <v>927</v>
      </c>
      <c r="D9635" t="s">
        <v>3052</v>
      </c>
      <c r="E9635" t="s">
        <v>3053</v>
      </c>
      <c r="F9635" t="s">
        <v>844</v>
      </c>
      <c r="G9635" t="s">
        <v>845</v>
      </c>
      <c r="H9635" t="s">
        <v>9463</v>
      </c>
      <c r="I9635">
        <v>42</v>
      </c>
      <c r="J9635">
        <v>0</v>
      </c>
      <c r="K9635">
        <v>0</v>
      </c>
      <c r="L9635">
        <v>42</v>
      </c>
      <c r="M9635">
        <v>0</v>
      </c>
      <c r="N9635">
        <v>0</v>
      </c>
      <c r="O9635">
        <v>0</v>
      </c>
    </row>
    <row r="9636" spans="1:15" x14ac:dyDescent="0.25">
      <c r="A9636" t="s">
        <v>943</v>
      </c>
      <c r="B9636" t="s">
        <v>2694</v>
      </c>
      <c r="C9636" t="s">
        <v>927</v>
      </c>
      <c r="D9636" t="s">
        <v>3052</v>
      </c>
      <c r="E9636" t="s">
        <v>3053</v>
      </c>
      <c r="F9636" t="s">
        <v>844</v>
      </c>
      <c r="G9636" t="s">
        <v>845</v>
      </c>
      <c r="H9636" t="s">
        <v>9464</v>
      </c>
      <c r="I9636">
        <v>325</v>
      </c>
      <c r="J9636">
        <v>223</v>
      </c>
      <c r="K9636">
        <v>0</v>
      </c>
      <c r="L9636">
        <v>0</v>
      </c>
      <c r="M9636">
        <v>0</v>
      </c>
      <c r="N9636">
        <v>0</v>
      </c>
      <c r="O9636">
        <v>102</v>
      </c>
    </row>
    <row r="9637" spans="1:15" x14ac:dyDescent="0.25">
      <c r="A9637" t="s">
        <v>945</v>
      </c>
      <c r="B9637" t="s">
        <v>2668</v>
      </c>
      <c r="C9637" t="s">
        <v>927</v>
      </c>
      <c r="D9637" t="s">
        <v>3052</v>
      </c>
      <c r="E9637" t="s">
        <v>3053</v>
      </c>
      <c r="F9637" t="s">
        <v>844</v>
      </c>
      <c r="G9637" t="s">
        <v>845</v>
      </c>
      <c r="H9637" t="s">
        <v>9465</v>
      </c>
      <c r="I9637">
        <v>4</v>
      </c>
      <c r="J9637">
        <v>0</v>
      </c>
      <c r="K9637">
        <v>0</v>
      </c>
      <c r="L9637">
        <v>0</v>
      </c>
      <c r="M9637">
        <v>0</v>
      </c>
      <c r="N9637">
        <v>0</v>
      </c>
      <c r="O9637">
        <v>4</v>
      </c>
    </row>
    <row r="9638" spans="1:15" x14ac:dyDescent="0.25">
      <c r="A9638" t="s">
        <v>949</v>
      </c>
      <c r="B9638" t="s">
        <v>3035</v>
      </c>
      <c r="C9638" t="s">
        <v>927</v>
      </c>
      <c r="D9638" t="s">
        <v>3052</v>
      </c>
      <c r="E9638" t="s">
        <v>3053</v>
      </c>
      <c r="F9638" t="s">
        <v>844</v>
      </c>
      <c r="G9638" t="s">
        <v>845</v>
      </c>
      <c r="H9638" t="s">
        <v>9466</v>
      </c>
      <c r="I9638">
        <v>1</v>
      </c>
      <c r="J9638">
        <v>0</v>
      </c>
      <c r="K9638">
        <v>0</v>
      </c>
      <c r="L9638">
        <v>0</v>
      </c>
      <c r="M9638">
        <v>0</v>
      </c>
      <c r="N9638">
        <v>0</v>
      </c>
      <c r="O9638">
        <v>1</v>
      </c>
    </row>
    <row r="9639" spans="1:15" x14ac:dyDescent="0.25">
      <c r="A9639" t="s">
        <v>9806</v>
      </c>
      <c r="B9639" t="s">
        <v>2772</v>
      </c>
      <c r="C9639" t="s">
        <v>923</v>
      </c>
      <c r="D9639" t="s">
        <v>3063</v>
      </c>
      <c r="E9639" t="s">
        <v>3053</v>
      </c>
      <c r="F9639" t="s">
        <v>844</v>
      </c>
      <c r="G9639" t="s">
        <v>845</v>
      </c>
      <c r="H9639" t="s">
        <v>10230</v>
      </c>
      <c r="I9639">
        <v>2</v>
      </c>
      <c r="J9639">
        <v>0</v>
      </c>
      <c r="K9639">
        <v>2</v>
      </c>
      <c r="L9639">
        <v>0</v>
      </c>
      <c r="M9639">
        <v>0</v>
      </c>
      <c r="N9639">
        <v>0</v>
      </c>
      <c r="O9639">
        <v>0</v>
      </c>
    </row>
    <row r="9640" spans="1:15" x14ac:dyDescent="0.25">
      <c r="A9640" t="s">
        <v>1142</v>
      </c>
      <c r="B9640" t="s">
        <v>3003</v>
      </c>
      <c r="C9640" t="s">
        <v>927</v>
      </c>
      <c r="D9640" t="s">
        <v>3052</v>
      </c>
      <c r="E9640" t="s">
        <v>3053</v>
      </c>
      <c r="F9640" t="s">
        <v>844</v>
      </c>
      <c r="G9640" t="s">
        <v>845</v>
      </c>
      <c r="H9640" t="s">
        <v>9467</v>
      </c>
      <c r="I9640">
        <v>20</v>
      </c>
      <c r="J9640">
        <v>20</v>
      </c>
      <c r="K9640">
        <v>0</v>
      </c>
      <c r="L9640">
        <v>0</v>
      </c>
      <c r="M9640">
        <v>0</v>
      </c>
      <c r="N9640">
        <v>0</v>
      </c>
      <c r="O9640">
        <v>0</v>
      </c>
    </row>
    <row r="9641" spans="1:15" x14ac:dyDescent="0.25">
      <c r="A9641" t="s">
        <v>1146</v>
      </c>
      <c r="B9641" t="s">
        <v>2117</v>
      </c>
      <c r="C9641" t="s">
        <v>927</v>
      </c>
      <c r="D9641" t="s">
        <v>3052</v>
      </c>
      <c r="E9641" t="s">
        <v>3053</v>
      </c>
      <c r="F9641" t="s">
        <v>844</v>
      </c>
      <c r="G9641" t="s">
        <v>845</v>
      </c>
      <c r="H9641" t="s">
        <v>15479</v>
      </c>
      <c r="I9641">
        <v>4</v>
      </c>
      <c r="J9641">
        <v>2</v>
      </c>
      <c r="K9641">
        <v>0</v>
      </c>
      <c r="L9641">
        <v>0</v>
      </c>
      <c r="M9641">
        <v>0</v>
      </c>
      <c r="N9641">
        <v>0</v>
      </c>
      <c r="O9641">
        <v>2</v>
      </c>
    </row>
    <row r="9642" spans="1:15" x14ac:dyDescent="0.25">
      <c r="A9642" t="s">
        <v>951</v>
      </c>
      <c r="B9642" t="s">
        <v>2680</v>
      </c>
      <c r="C9642" t="s">
        <v>927</v>
      </c>
      <c r="D9642" t="s">
        <v>3052</v>
      </c>
      <c r="E9642" t="s">
        <v>3053</v>
      </c>
      <c r="F9642" t="s">
        <v>844</v>
      </c>
      <c r="G9642" t="s">
        <v>845</v>
      </c>
      <c r="H9642" t="s">
        <v>9468</v>
      </c>
      <c r="I9642">
        <v>1</v>
      </c>
      <c r="J9642">
        <v>1</v>
      </c>
      <c r="K9642">
        <v>0</v>
      </c>
      <c r="L9642">
        <v>0</v>
      </c>
      <c r="M9642">
        <v>0</v>
      </c>
      <c r="N9642">
        <v>0</v>
      </c>
      <c r="O9642">
        <v>0</v>
      </c>
    </row>
    <row r="9643" spans="1:15" x14ac:dyDescent="0.25">
      <c r="A9643" t="s">
        <v>960</v>
      </c>
      <c r="B9643" t="s">
        <v>2080</v>
      </c>
      <c r="C9643" t="s">
        <v>927</v>
      </c>
      <c r="D9643" t="s">
        <v>3052</v>
      </c>
      <c r="E9643" t="s">
        <v>3053</v>
      </c>
      <c r="F9643" t="s">
        <v>844</v>
      </c>
      <c r="G9643" t="s">
        <v>845</v>
      </c>
      <c r="H9643" t="s">
        <v>9469</v>
      </c>
      <c r="I9643">
        <v>18</v>
      </c>
      <c r="J9643">
        <v>18</v>
      </c>
      <c r="K9643">
        <v>0</v>
      </c>
      <c r="L9643">
        <v>0</v>
      </c>
      <c r="M9643">
        <v>0</v>
      </c>
      <c r="N9643">
        <v>0</v>
      </c>
      <c r="O9643">
        <v>0</v>
      </c>
    </row>
    <row r="9644" spans="1:15" x14ac:dyDescent="0.25">
      <c r="A9644" t="s">
        <v>14374</v>
      </c>
      <c r="B9644" t="s">
        <v>1943</v>
      </c>
      <c r="C9644" t="s">
        <v>927</v>
      </c>
      <c r="D9644" t="s">
        <v>3052</v>
      </c>
      <c r="E9644" t="s">
        <v>3053</v>
      </c>
      <c r="F9644" t="s">
        <v>844</v>
      </c>
      <c r="G9644" t="s">
        <v>845</v>
      </c>
      <c r="H9644" t="s">
        <v>15480</v>
      </c>
      <c r="I9644">
        <v>6</v>
      </c>
      <c r="J9644">
        <v>0</v>
      </c>
      <c r="K9644">
        <v>0</v>
      </c>
      <c r="L9644">
        <v>0</v>
      </c>
      <c r="M9644">
        <v>0</v>
      </c>
      <c r="N9644">
        <v>0</v>
      </c>
      <c r="O9644">
        <v>6</v>
      </c>
    </row>
    <row r="9645" spans="1:15" x14ac:dyDescent="0.25">
      <c r="A9645" t="s">
        <v>1072</v>
      </c>
      <c r="B9645" t="s">
        <v>2907</v>
      </c>
      <c r="C9645" t="s">
        <v>927</v>
      </c>
      <c r="D9645" t="s">
        <v>3052</v>
      </c>
      <c r="E9645" t="s">
        <v>3053</v>
      </c>
      <c r="F9645" t="s">
        <v>844</v>
      </c>
      <c r="G9645" t="s">
        <v>845</v>
      </c>
      <c r="H9645" t="s">
        <v>15481</v>
      </c>
      <c r="I9645">
        <v>491</v>
      </c>
      <c r="J9645">
        <v>420</v>
      </c>
      <c r="K9645">
        <v>0</v>
      </c>
      <c r="L9645">
        <v>0</v>
      </c>
      <c r="M9645">
        <v>0</v>
      </c>
      <c r="N9645">
        <v>4</v>
      </c>
      <c r="O9645">
        <v>71</v>
      </c>
    </row>
    <row r="9646" spans="1:15" x14ac:dyDescent="0.25">
      <c r="A9646" t="s">
        <v>966</v>
      </c>
      <c r="B9646" t="s">
        <v>2684</v>
      </c>
      <c r="C9646" t="s">
        <v>927</v>
      </c>
      <c r="D9646" t="s">
        <v>3052</v>
      </c>
      <c r="E9646" t="s">
        <v>3053</v>
      </c>
      <c r="F9646" t="s">
        <v>844</v>
      </c>
      <c r="G9646" t="s">
        <v>845</v>
      </c>
      <c r="H9646" t="s">
        <v>9470</v>
      </c>
      <c r="I9646">
        <v>56</v>
      </c>
      <c r="J9646">
        <v>44</v>
      </c>
      <c r="K9646">
        <v>0</v>
      </c>
      <c r="L9646">
        <v>0</v>
      </c>
      <c r="M9646">
        <v>0</v>
      </c>
      <c r="N9646">
        <v>0</v>
      </c>
      <c r="O9646">
        <v>12</v>
      </c>
    </row>
    <row r="9647" spans="1:15" x14ac:dyDescent="0.25">
      <c r="A9647" t="s">
        <v>1452</v>
      </c>
      <c r="B9647" t="s">
        <v>2721</v>
      </c>
      <c r="C9647" t="s">
        <v>923</v>
      </c>
      <c r="D9647" t="s">
        <v>3063</v>
      </c>
      <c r="E9647" t="s">
        <v>3053</v>
      </c>
      <c r="F9647" t="s">
        <v>846</v>
      </c>
      <c r="G9647" t="s">
        <v>847</v>
      </c>
      <c r="H9647" t="s">
        <v>9471</v>
      </c>
      <c r="I9647">
        <v>526</v>
      </c>
      <c r="J9647">
        <v>0</v>
      </c>
      <c r="K9647">
        <v>0</v>
      </c>
      <c r="L9647">
        <v>0</v>
      </c>
      <c r="M9647">
        <v>526</v>
      </c>
      <c r="N9647">
        <v>0</v>
      </c>
      <c r="O9647">
        <v>0</v>
      </c>
    </row>
    <row r="9648" spans="1:15" x14ac:dyDescent="0.25">
      <c r="A9648" t="s">
        <v>929</v>
      </c>
      <c r="B9648" t="s">
        <v>2999</v>
      </c>
      <c r="C9648" t="s">
        <v>927</v>
      </c>
      <c r="D9648" t="s">
        <v>3052</v>
      </c>
      <c r="E9648" t="s">
        <v>3053</v>
      </c>
      <c r="F9648" t="s">
        <v>846</v>
      </c>
      <c r="G9648" t="s">
        <v>847</v>
      </c>
      <c r="H9648" t="s">
        <v>9472</v>
      </c>
      <c r="I9648">
        <v>250</v>
      </c>
      <c r="J9648">
        <v>0</v>
      </c>
      <c r="K9648">
        <v>0</v>
      </c>
      <c r="L9648">
        <v>0</v>
      </c>
      <c r="M9648">
        <v>226</v>
      </c>
      <c r="N9648">
        <v>0</v>
      </c>
      <c r="O9648">
        <v>24</v>
      </c>
    </row>
    <row r="9649" spans="1:15" x14ac:dyDescent="0.25">
      <c r="A9649" t="s">
        <v>9790</v>
      </c>
      <c r="B9649" t="s">
        <v>1977</v>
      </c>
      <c r="C9649" t="s">
        <v>923</v>
      </c>
      <c r="D9649" t="s">
        <v>3063</v>
      </c>
      <c r="E9649" t="s">
        <v>3053</v>
      </c>
      <c r="F9649" t="s">
        <v>846</v>
      </c>
      <c r="G9649" t="s">
        <v>847</v>
      </c>
      <c r="H9649" t="s">
        <v>12507</v>
      </c>
      <c r="I9649">
        <v>8</v>
      </c>
      <c r="J9649">
        <v>0</v>
      </c>
      <c r="K9649">
        <v>0</v>
      </c>
      <c r="L9649">
        <v>8</v>
      </c>
      <c r="M9649">
        <v>0</v>
      </c>
      <c r="N9649">
        <v>0</v>
      </c>
      <c r="O9649">
        <v>0</v>
      </c>
    </row>
    <row r="9650" spans="1:15" x14ac:dyDescent="0.25">
      <c r="A9650" t="s">
        <v>9784</v>
      </c>
      <c r="B9650" t="s">
        <v>1994</v>
      </c>
      <c r="C9650" t="s">
        <v>927</v>
      </c>
      <c r="D9650" t="s">
        <v>3052</v>
      </c>
      <c r="E9650" t="s">
        <v>3053</v>
      </c>
      <c r="F9650" t="s">
        <v>846</v>
      </c>
      <c r="G9650" t="s">
        <v>847</v>
      </c>
      <c r="H9650" t="s">
        <v>9998</v>
      </c>
      <c r="I9650">
        <v>73</v>
      </c>
      <c r="J9650">
        <v>0</v>
      </c>
      <c r="K9650">
        <v>0</v>
      </c>
      <c r="L9650">
        <v>73</v>
      </c>
      <c r="M9650">
        <v>0</v>
      </c>
      <c r="N9650">
        <v>0</v>
      </c>
      <c r="O9650">
        <v>0</v>
      </c>
    </row>
    <row r="9651" spans="1:15" x14ac:dyDescent="0.25">
      <c r="A9651" t="s">
        <v>1459</v>
      </c>
      <c r="B9651" t="s">
        <v>2732</v>
      </c>
      <c r="C9651" t="s">
        <v>923</v>
      </c>
      <c r="D9651" t="s">
        <v>3063</v>
      </c>
      <c r="E9651" t="s">
        <v>3053</v>
      </c>
      <c r="F9651" t="s">
        <v>846</v>
      </c>
      <c r="G9651" t="s">
        <v>847</v>
      </c>
      <c r="H9651" t="s">
        <v>9473</v>
      </c>
      <c r="I9651">
        <v>237</v>
      </c>
      <c r="J9651">
        <v>0</v>
      </c>
      <c r="K9651">
        <v>0</v>
      </c>
      <c r="L9651">
        <v>237</v>
      </c>
      <c r="M9651">
        <v>0</v>
      </c>
      <c r="N9651">
        <v>0</v>
      </c>
      <c r="O9651">
        <v>0</v>
      </c>
    </row>
    <row r="9652" spans="1:15" x14ac:dyDescent="0.25">
      <c r="A9652" t="s">
        <v>989</v>
      </c>
      <c r="B9652" t="s">
        <v>2016</v>
      </c>
      <c r="C9652" t="s">
        <v>923</v>
      </c>
      <c r="D9652" t="s">
        <v>3063</v>
      </c>
      <c r="E9652" t="s">
        <v>3053</v>
      </c>
      <c r="F9652" t="s">
        <v>846</v>
      </c>
      <c r="G9652" t="s">
        <v>847</v>
      </c>
      <c r="H9652" t="s">
        <v>9474</v>
      </c>
      <c r="I9652">
        <v>20</v>
      </c>
      <c r="J9652">
        <v>0</v>
      </c>
      <c r="K9652">
        <v>0</v>
      </c>
      <c r="L9652">
        <v>20</v>
      </c>
      <c r="M9652">
        <v>0</v>
      </c>
      <c r="N9652">
        <v>0</v>
      </c>
      <c r="O9652">
        <v>0</v>
      </c>
    </row>
    <row r="9653" spans="1:15" x14ac:dyDescent="0.25">
      <c r="A9653" t="s">
        <v>11660</v>
      </c>
      <c r="B9653" t="s">
        <v>2041</v>
      </c>
      <c r="C9653" t="s">
        <v>923</v>
      </c>
      <c r="D9653" t="s">
        <v>3063</v>
      </c>
      <c r="E9653" t="s">
        <v>3053</v>
      </c>
      <c r="F9653" t="s">
        <v>846</v>
      </c>
      <c r="G9653" t="s">
        <v>847</v>
      </c>
      <c r="H9653" t="s">
        <v>12508</v>
      </c>
      <c r="I9653">
        <v>21</v>
      </c>
      <c r="J9653">
        <v>0</v>
      </c>
      <c r="K9653">
        <v>0</v>
      </c>
      <c r="L9653">
        <v>21</v>
      </c>
      <c r="M9653">
        <v>0</v>
      </c>
      <c r="N9653">
        <v>0</v>
      </c>
      <c r="O9653">
        <v>0</v>
      </c>
    </row>
    <row r="9654" spans="1:15" x14ac:dyDescent="0.25">
      <c r="A9654" t="s">
        <v>1479</v>
      </c>
      <c r="B9654" t="s">
        <v>2050</v>
      </c>
      <c r="C9654" t="s">
        <v>923</v>
      </c>
      <c r="D9654" t="s">
        <v>3063</v>
      </c>
      <c r="E9654" t="s">
        <v>3053</v>
      </c>
      <c r="F9654" t="s">
        <v>846</v>
      </c>
      <c r="G9654" t="s">
        <v>847</v>
      </c>
      <c r="H9654" t="s">
        <v>9475</v>
      </c>
      <c r="I9654">
        <v>36</v>
      </c>
      <c r="J9654">
        <v>0</v>
      </c>
      <c r="K9654">
        <v>0</v>
      </c>
      <c r="L9654">
        <v>36</v>
      </c>
      <c r="M9654">
        <v>0</v>
      </c>
      <c r="N9654">
        <v>0</v>
      </c>
      <c r="O9654">
        <v>0</v>
      </c>
    </row>
    <row r="9655" spans="1:15" x14ac:dyDescent="0.25">
      <c r="A9655" t="s">
        <v>1481</v>
      </c>
      <c r="B9655" t="s">
        <v>2726</v>
      </c>
      <c r="C9655" t="s">
        <v>923</v>
      </c>
      <c r="D9655" t="s">
        <v>3063</v>
      </c>
      <c r="E9655" t="s">
        <v>3053</v>
      </c>
      <c r="F9655" t="s">
        <v>846</v>
      </c>
      <c r="G9655" t="s">
        <v>847</v>
      </c>
      <c r="H9655" t="s">
        <v>9476</v>
      </c>
      <c r="I9655">
        <v>394</v>
      </c>
      <c r="J9655">
        <v>337</v>
      </c>
      <c r="K9655">
        <v>0</v>
      </c>
      <c r="L9655">
        <v>0</v>
      </c>
      <c r="M9655">
        <v>57</v>
      </c>
      <c r="N9655">
        <v>0</v>
      </c>
      <c r="O9655">
        <v>0</v>
      </c>
    </row>
    <row r="9656" spans="1:15" x14ac:dyDescent="0.25">
      <c r="A9656" t="s">
        <v>1000</v>
      </c>
      <c r="B9656" t="s">
        <v>1984</v>
      </c>
      <c r="C9656" t="s">
        <v>923</v>
      </c>
      <c r="D9656" t="s">
        <v>3063</v>
      </c>
      <c r="E9656" t="s">
        <v>3053</v>
      </c>
      <c r="F9656" t="s">
        <v>846</v>
      </c>
      <c r="G9656" t="s">
        <v>847</v>
      </c>
      <c r="H9656" t="s">
        <v>9477</v>
      </c>
      <c r="I9656">
        <v>4</v>
      </c>
      <c r="J9656">
        <v>0</v>
      </c>
      <c r="K9656">
        <v>0</v>
      </c>
      <c r="L9656">
        <v>4</v>
      </c>
      <c r="M9656">
        <v>0</v>
      </c>
      <c r="N9656">
        <v>0</v>
      </c>
      <c r="O9656">
        <v>0</v>
      </c>
    </row>
    <row r="9657" spans="1:15" x14ac:dyDescent="0.25">
      <c r="A9657" t="s">
        <v>1485</v>
      </c>
      <c r="B9657" t="s">
        <v>2836</v>
      </c>
      <c r="C9657" t="s">
        <v>927</v>
      </c>
      <c r="D9657" t="s">
        <v>3052</v>
      </c>
      <c r="E9657" t="s">
        <v>3053</v>
      </c>
      <c r="F9657" t="s">
        <v>846</v>
      </c>
      <c r="G9657" t="s">
        <v>847</v>
      </c>
      <c r="H9657" t="s">
        <v>15482</v>
      </c>
      <c r="I9657">
        <v>212</v>
      </c>
      <c r="J9657">
        <v>28</v>
      </c>
      <c r="K9657">
        <v>184</v>
      </c>
      <c r="L9657">
        <v>0</v>
      </c>
      <c r="M9657">
        <v>0</v>
      </c>
      <c r="N9657">
        <v>0</v>
      </c>
      <c r="O9657">
        <v>0</v>
      </c>
    </row>
    <row r="9658" spans="1:15" x14ac:dyDescent="0.25">
      <c r="A9658" t="s">
        <v>10638</v>
      </c>
      <c r="B9658" t="s">
        <v>2057</v>
      </c>
      <c r="C9658" t="s">
        <v>927</v>
      </c>
      <c r="D9658" t="s">
        <v>3052</v>
      </c>
      <c r="E9658" t="s">
        <v>3053</v>
      </c>
      <c r="F9658" t="s">
        <v>846</v>
      </c>
      <c r="G9658" t="s">
        <v>847</v>
      </c>
      <c r="H9658" t="s">
        <v>11524</v>
      </c>
      <c r="I9658">
        <v>15</v>
      </c>
      <c r="J9658">
        <v>0</v>
      </c>
      <c r="K9658">
        <v>0</v>
      </c>
      <c r="L9658">
        <v>15</v>
      </c>
      <c r="M9658">
        <v>0</v>
      </c>
      <c r="N9658">
        <v>0</v>
      </c>
      <c r="O9658">
        <v>0</v>
      </c>
    </row>
    <row r="9659" spans="1:15" x14ac:dyDescent="0.25">
      <c r="A9659" t="s">
        <v>1006</v>
      </c>
      <c r="B9659" t="s">
        <v>2724</v>
      </c>
      <c r="C9659" t="s">
        <v>927</v>
      </c>
      <c r="D9659" t="s">
        <v>3052</v>
      </c>
      <c r="E9659" t="s">
        <v>3053</v>
      </c>
      <c r="F9659" t="s">
        <v>846</v>
      </c>
      <c r="G9659" t="s">
        <v>847</v>
      </c>
      <c r="H9659" t="s">
        <v>10085</v>
      </c>
      <c r="I9659">
        <v>34</v>
      </c>
      <c r="J9659">
        <v>0</v>
      </c>
      <c r="K9659">
        <v>0</v>
      </c>
      <c r="L9659">
        <v>0</v>
      </c>
      <c r="M9659">
        <v>0</v>
      </c>
      <c r="N9659">
        <v>0</v>
      </c>
      <c r="O9659">
        <v>34</v>
      </c>
    </row>
    <row r="9660" spans="1:15" x14ac:dyDescent="0.25">
      <c r="A9660" t="s">
        <v>1009</v>
      </c>
      <c r="B9660" t="s">
        <v>1958</v>
      </c>
      <c r="C9660" t="s">
        <v>923</v>
      </c>
      <c r="D9660" t="s">
        <v>3063</v>
      </c>
      <c r="E9660" t="s">
        <v>3053</v>
      </c>
      <c r="F9660" t="s">
        <v>846</v>
      </c>
      <c r="G9660" t="s">
        <v>847</v>
      </c>
      <c r="H9660" t="s">
        <v>9478</v>
      </c>
      <c r="I9660">
        <v>34</v>
      </c>
      <c r="J9660">
        <v>0</v>
      </c>
      <c r="K9660">
        <v>0</v>
      </c>
      <c r="L9660">
        <v>34</v>
      </c>
      <c r="M9660">
        <v>0</v>
      </c>
      <c r="N9660">
        <v>0</v>
      </c>
      <c r="O9660">
        <v>0</v>
      </c>
    </row>
    <row r="9661" spans="1:15" x14ac:dyDescent="0.25">
      <c r="A9661" t="s">
        <v>1489</v>
      </c>
      <c r="B9661" t="s">
        <v>2047</v>
      </c>
      <c r="C9661" t="s">
        <v>923</v>
      </c>
      <c r="D9661" t="s">
        <v>3063</v>
      </c>
      <c r="E9661" t="s">
        <v>3053</v>
      </c>
      <c r="F9661" t="s">
        <v>846</v>
      </c>
      <c r="G9661" t="s">
        <v>847</v>
      </c>
      <c r="H9661" t="s">
        <v>9479</v>
      </c>
      <c r="I9661">
        <v>39</v>
      </c>
      <c r="J9661">
        <v>0</v>
      </c>
      <c r="K9661">
        <v>0</v>
      </c>
      <c r="L9661">
        <v>39</v>
      </c>
      <c r="M9661">
        <v>0</v>
      </c>
      <c r="N9661">
        <v>1</v>
      </c>
      <c r="O9661">
        <v>0</v>
      </c>
    </row>
    <row r="9662" spans="1:15" x14ac:dyDescent="0.25">
      <c r="A9662" t="s">
        <v>937</v>
      </c>
      <c r="B9662" t="s">
        <v>1962</v>
      </c>
      <c r="C9662" t="s">
        <v>927</v>
      </c>
      <c r="D9662" t="s">
        <v>3052</v>
      </c>
      <c r="E9662" t="s">
        <v>3053</v>
      </c>
      <c r="F9662" t="s">
        <v>846</v>
      </c>
      <c r="G9662" t="s">
        <v>847</v>
      </c>
      <c r="H9662" t="s">
        <v>9480</v>
      </c>
      <c r="I9662">
        <v>21</v>
      </c>
      <c r="J9662">
        <v>0</v>
      </c>
      <c r="K9662">
        <v>0</v>
      </c>
      <c r="L9662">
        <v>0</v>
      </c>
      <c r="M9662">
        <v>0</v>
      </c>
      <c r="N9662">
        <v>0</v>
      </c>
      <c r="O9662">
        <v>21</v>
      </c>
    </row>
    <row r="9663" spans="1:15" x14ac:dyDescent="0.25">
      <c r="A9663" t="s">
        <v>1011</v>
      </c>
      <c r="B9663" t="s">
        <v>2020</v>
      </c>
      <c r="C9663" t="s">
        <v>927</v>
      </c>
      <c r="D9663" t="s">
        <v>3052</v>
      </c>
      <c r="E9663" t="s">
        <v>3053</v>
      </c>
      <c r="F9663" t="s">
        <v>846</v>
      </c>
      <c r="G9663" t="s">
        <v>847</v>
      </c>
      <c r="H9663" t="s">
        <v>9481</v>
      </c>
      <c r="I9663">
        <v>13</v>
      </c>
      <c r="J9663">
        <v>0</v>
      </c>
      <c r="K9663">
        <v>0</v>
      </c>
      <c r="L9663">
        <v>13</v>
      </c>
      <c r="M9663">
        <v>0</v>
      </c>
      <c r="N9663">
        <v>0</v>
      </c>
      <c r="O9663">
        <v>0</v>
      </c>
    </row>
    <row r="9664" spans="1:15" x14ac:dyDescent="0.25">
      <c r="A9664" t="s">
        <v>940</v>
      </c>
      <c r="B9664" t="s">
        <v>2647</v>
      </c>
      <c r="C9664" t="s">
        <v>927</v>
      </c>
      <c r="D9664" t="s">
        <v>3052</v>
      </c>
      <c r="E9664" t="s">
        <v>3053</v>
      </c>
      <c r="F9664" t="s">
        <v>846</v>
      </c>
      <c r="G9664" t="s">
        <v>847</v>
      </c>
      <c r="H9664" t="s">
        <v>9482</v>
      </c>
      <c r="I9664">
        <v>296</v>
      </c>
      <c r="J9664">
        <v>0</v>
      </c>
      <c r="K9664">
        <v>0</v>
      </c>
      <c r="L9664">
        <v>0</v>
      </c>
      <c r="M9664">
        <v>243</v>
      </c>
      <c r="N9664">
        <v>0</v>
      </c>
      <c r="O9664">
        <v>53</v>
      </c>
    </row>
    <row r="9665" spans="1:15" x14ac:dyDescent="0.25">
      <c r="A9665" t="s">
        <v>1013</v>
      </c>
      <c r="B9665" t="s">
        <v>1959</v>
      </c>
      <c r="C9665" t="s">
        <v>927</v>
      </c>
      <c r="D9665" t="s">
        <v>3052</v>
      </c>
      <c r="E9665" t="s">
        <v>3053</v>
      </c>
      <c r="F9665" t="s">
        <v>846</v>
      </c>
      <c r="G9665" t="s">
        <v>847</v>
      </c>
      <c r="H9665" t="s">
        <v>9483</v>
      </c>
      <c r="I9665">
        <v>65</v>
      </c>
      <c r="J9665">
        <v>0</v>
      </c>
      <c r="K9665">
        <v>0</v>
      </c>
      <c r="L9665">
        <v>38</v>
      </c>
      <c r="M9665">
        <v>27</v>
      </c>
      <c r="N9665">
        <v>0</v>
      </c>
      <c r="O9665">
        <v>0</v>
      </c>
    </row>
    <row r="9666" spans="1:15" x14ac:dyDescent="0.25">
      <c r="A9666" t="s">
        <v>9819</v>
      </c>
      <c r="B9666" t="s">
        <v>2916</v>
      </c>
      <c r="C9666" t="s">
        <v>927</v>
      </c>
      <c r="D9666" t="s">
        <v>3052</v>
      </c>
      <c r="E9666" t="s">
        <v>3053</v>
      </c>
      <c r="F9666" t="s">
        <v>846</v>
      </c>
      <c r="G9666" t="s">
        <v>847</v>
      </c>
      <c r="H9666" t="s">
        <v>10153</v>
      </c>
      <c r="I9666">
        <v>47</v>
      </c>
      <c r="J9666">
        <v>47</v>
      </c>
      <c r="K9666">
        <v>0</v>
      </c>
      <c r="L9666">
        <v>0</v>
      </c>
      <c r="M9666">
        <v>0</v>
      </c>
      <c r="N9666">
        <v>0</v>
      </c>
      <c r="O9666">
        <v>0</v>
      </c>
    </row>
    <row r="9667" spans="1:15" x14ac:dyDescent="0.25">
      <c r="A9667" t="s">
        <v>1512</v>
      </c>
      <c r="B9667" t="s">
        <v>2869</v>
      </c>
      <c r="C9667" t="s">
        <v>927</v>
      </c>
      <c r="D9667" t="s">
        <v>3052</v>
      </c>
      <c r="E9667" t="s">
        <v>3053</v>
      </c>
      <c r="F9667" t="s">
        <v>846</v>
      </c>
      <c r="G9667" t="s">
        <v>847</v>
      </c>
      <c r="H9667" t="s">
        <v>9484</v>
      </c>
      <c r="I9667">
        <v>12429</v>
      </c>
      <c r="J9667">
        <v>10628</v>
      </c>
      <c r="K9667">
        <v>0</v>
      </c>
      <c r="L9667">
        <v>65</v>
      </c>
      <c r="M9667">
        <v>1690</v>
      </c>
      <c r="N9667">
        <v>0</v>
      </c>
      <c r="O9667">
        <v>46</v>
      </c>
    </row>
    <row r="9668" spans="1:15" x14ac:dyDescent="0.25">
      <c r="A9668" t="s">
        <v>1296</v>
      </c>
      <c r="B9668" t="s">
        <v>2965</v>
      </c>
      <c r="C9668" t="s">
        <v>923</v>
      </c>
      <c r="D9668" t="s">
        <v>3063</v>
      </c>
      <c r="E9668" t="s">
        <v>3053</v>
      </c>
      <c r="F9668" t="s">
        <v>846</v>
      </c>
      <c r="G9668" t="s">
        <v>847</v>
      </c>
      <c r="H9668" t="s">
        <v>15483</v>
      </c>
      <c r="I9668">
        <v>62</v>
      </c>
      <c r="J9668">
        <v>0</v>
      </c>
      <c r="K9668">
        <v>0</v>
      </c>
      <c r="L9668">
        <v>0</v>
      </c>
      <c r="M9668">
        <v>62</v>
      </c>
      <c r="N9668">
        <v>0</v>
      </c>
      <c r="O9668">
        <v>0</v>
      </c>
    </row>
    <row r="9669" spans="1:15" x14ac:dyDescent="0.25">
      <c r="A9669" t="s">
        <v>1520</v>
      </c>
      <c r="B9669" t="s">
        <v>2058</v>
      </c>
      <c r="C9669" t="s">
        <v>927</v>
      </c>
      <c r="D9669" t="s">
        <v>3052</v>
      </c>
      <c r="E9669" t="s">
        <v>3053</v>
      </c>
      <c r="F9669" t="s">
        <v>846</v>
      </c>
      <c r="G9669" t="s">
        <v>847</v>
      </c>
      <c r="H9669" t="s">
        <v>9485</v>
      </c>
      <c r="I9669">
        <v>755</v>
      </c>
      <c r="J9669">
        <v>666</v>
      </c>
      <c r="K9669">
        <v>0</v>
      </c>
      <c r="L9669">
        <v>81</v>
      </c>
      <c r="M9669">
        <v>0</v>
      </c>
      <c r="N9669">
        <v>0</v>
      </c>
      <c r="O9669">
        <v>8</v>
      </c>
    </row>
    <row r="9670" spans="1:15" x14ac:dyDescent="0.25">
      <c r="A9670" t="s">
        <v>1521</v>
      </c>
      <c r="B9670" t="s">
        <v>2920</v>
      </c>
      <c r="C9670" t="s">
        <v>927</v>
      </c>
      <c r="D9670" t="s">
        <v>3052</v>
      </c>
      <c r="E9670" t="s">
        <v>3053</v>
      </c>
      <c r="F9670" t="s">
        <v>846</v>
      </c>
      <c r="G9670" t="s">
        <v>847</v>
      </c>
      <c r="H9670" t="s">
        <v>9486</v>
      </c>
      <c r="I9670">
        <v>1583</v>
      </c>
      <c r="J9670">
        <v>1200</v>
      </c>
      <c r="K9670">
        <v>0</v>
      </c>
      <c r="L9670">
        <v>127</v>
      </c>
      <c r="M9670">
        <v>164</v>
      </c>
      <c r="N9670">
        <v>0</v>
      </c>
      <c r="O9670">
        <v>92</v>
      </c>
    </row>
    <row r="9671" spans="1:15" x14ac:dyDescent="0.25">
      <c r="A9671" t="s">
        <v>1524</v>
      </c>
      <c r="B9671" t="s">
        <v>2802</v>
      </c>
      <c r="C9671" t="s">
        <v>923</v>
      </c>
      <c r="D9671" t="s">
        <v>3063</v>
      </c>
      <c r="E9671" t="s">
        <v>3053</v>
      </c>
      <c r="F9671" t="s">
        <v>846</v>
      </c>
      <c r="G9671" t="s">
        <v>847</v>
      </c>
      <c r="H9671" t="s">
        <v>9487</v>
      </c>
      <c r="I9671">
        <v>132</v>
      </c>
      <c r="J9671">
        <v>132</v>
      </c>
      <c r="K9671">
        <v>0</v>
      </c>
      <c r="L9671">
        <v>0</v>
      </c>
      <c r="M9671">
        <v>0</v>
      </c>
      <c r="N9671">
        <v>0</v>
      </c>
      <c r="O9671">
        <v>0</v>
      </c>
    </row>
    <row r="9672" spans="1:15" x14ac:dyDescent="0.25">
      <c r="A9672" t="s">
        <v>1048</v>
      </c>
      <c r="B9672" t="s">
        <v>2989</v>
      </c>
      <c r="C9672" t="s">
        <v>927</v>
      </c>
      <c r="D9672" t="s">
        <v>3052</v>
      </c>
      <c r="E9672" t="s">
        <v>3053</v>
      </c>
      <c r="F9672" t="s">
        <v>846</v>
      </c>
      <c r="G9672" t="s">
        <v>847</v>
      </c>
      <c r="H9672" t="s">
        <v>15484</v>
      </c>
      <c r="I9672">
        <v>19</v>
      </c>
      <c r="J9672">
        <v>0</v>
      </c>
      <c r="K9672">
        <v>0</v>
      </c>
      <c r="L9672">
        <v>19</v>
      </c>
      <c r="M9672">
        <v>0</v>
      </c>
      <c r="N9672">
        <v>0</v>
      </c>
      <c r="O9672">
        <v>0</v>
      </c>
    </row>
    <row r="9673" spans="1:15" x14ac:dyDescent="0.25">
      <c r="A9673" t="s">
        <v>1525</v>
      </c>
      <c r="B9673" t="s">
        <v>2908</v>
      </c>
      <c r="C9673" t="s">
        <v>927</v>
      </c>
      <c r="D9673" t="s">
        <v>3052</v>
      </c>
      <c r="E9673" t="s">
        <v>3053</v>
      </c>
      <c r="F9673" t="s">
        <v>846</v>
      </c>
      <c r="G9673" t="s">
        <v>847</v>
      </c>
      <c r="H9673" t="s">
        <v>9488</v>
      </c>
      <c r="I9673">
        <v>202</v>
      </c>
      <c r="J9673">
        <v>202</v>
      </c>
      <c r="K9673">
        <v>0</v>
      </c>
      <c r="L9673">
        <v>0</v>
      </c>
      <c r="M9673">
        <v>0</v>
      </c>
      <c r="N9673">
        <v>0</v>
      </c>
      <c r="O9673">
        <v>0</v>
      </c>
    </row>
    <row r="9674" spans="1:15" x14ac:dyDescent="0.25">
      <c r="A9674" t="s">
        <v>10707</v>
      </c>
      <c r="B9674" t="s">
        <v>2714</v>
      </c>
      <c r="C9674" t="s">
        <v>927</v>
      </c>
      <c r="D9674" t="s">
        <v>3052</v>
      </c>
      <c r="E9674" t="s">
        <v>3053</v>
      </c>
      <c r="F9674" t="s">
        <v>846</v>
      </c>
      <c r="G9674" t="s">
        <v>847</v>
      </c>
      <c r="H9674" t="s">
        <v>11525</v>
      </c>
      <c r="I9674">
        <v>1099</v>
      </c>
      <c r="J9674">
        <v>1076</v>
      </c>
      <c r="K9674">
        <v>0</v>
      </c>
      <c r="L9674">
        <v>10</v>
      </c>
      <c r="M9674">
        <v>0</v>
      </c>
      <c r="N9674">
        <v>0</v>
      </c>
      <c r="O9674">
        <v>13</v>
      </c>
    </row>
    <row r="9675" spans="1:15" x14ac:dyDescent="0.25">
      <c r="A9675" t="s">
        <v>1528</v>
      </c>
      <c r="B9675" t="s">
        <v>2698</v>
      </c>
      <c r="C9675" t="s">
        <v>923</v>
      </c>
      <c r="D9675" t="s">
        <v>3063</v>
      </c>
      <c r="E9675" t="s">
        <v>3053</v>
      </c>
      <c r="F9675" t="s">
        <v>846</v>
      </c>
      <c r="G9675" t="s">
        <v>847</v>
      </c>
      <c r="H9675" t="s">
        <v>9489</v>
      </c>
      <c r="I9675">
        <v>7</v>
      </c>
      <c r="J9675">
        <v>7</v>
      </c>
      <c r="K9675">
        <v>0</v>
      </c>
      <c r="L9675">
        <v>0</v>
      </c>
      <c r="M9675">
        <v>0</v>
      </c>
      <c r="N9675">
        <v>0</v>
      </c>
      <c r="O9675">
        <v>0</v>
      </c>
    </row>
    <row r="9676" spans="1:15" x14ac:dyDescent="0.25">
      <c r="A9676" t="s">
        <v>1529</v>
      </c>
      <c r="B9676" t="s">
        <v>1954</v>
      </c>
      <c r="C9676" t="s">
        <v>927</v>
      </c>
      <c r="D9676" t="s">
        <v>3052</v>
      </c>
      <c r="E9676" t="s">
        <v>3053</v>
      </c>
      <c r="F9676" t="s">
        <v>846</v>
      </c>
      <c r="G9676" t="s">
        <v>847</v>
      </c>
      <c r="H9676" t="s">
        <v>9490</v>
      </c>
      <c r="I9676">
        <v>1565</v>
      </c>
      <c r="J9676">
        <v>1260</v>
      </c>
      <c r="K9676">
        <v>0</v>
      </c>
      <c r="L9676">
        <v>13</v>
      </c>
      <c r="M9676">
        <v>232</v>
      </c>
      <c r="N9676">
        <v>0</v>
      </c>
      <c r="O9676">
        <v>60</v>
      </c>
    </row>
    <row r="9677" spans="1:15" x14ac:dyDescent="0.25">
      <c r="A9677" t="s">
        <v>953</v>
      </c>
      <c r="B9677" t="s">
        <v>2014</v>
      </c>
      <c r="C9677" t="s">
        <v>927</v>
      </c>
      <c r="D9677" t="s">
        <v>3052</v>
      </c>
      <c r="E9677" t="s">
        <v>3053</v>
      </c>
      <c r="F9677" t="s">
        <v>846</v>
      </c>
      <c r="G9677" t="s">
        <v>847</v>
      </c>
      <c r="H9677" t="s">
        <v>9491</v>
      </c>
      <c r="I9677">
        <v>74</v>
      </c>
      <c r="J9677">
        <v>0</v>
      </c>
      <c r="K9677">
        <v>0</v>
      </c>
      <c r="L9677">
        <v>74</v>
      </c>
      <c r="M9677">
        <v>0</v>
      </c>
      <c r="N9677">
        <v>0</v>
      </c>
      <c r="O9677">
        <v>0</v>
      </c>
    </row>
    <row r="9678" spans="1:15" x14ac:dyDescent="0.25">
      <c r="A9678" t="s">
        <v>1057</v>
      </c>
      <c r="B9678" t="s">
        <v>1972</v>
      </c>
      <c r="C9678" t="s">
        <v>927</v>
      </c>
      <c r="D9678" t="s">
        <v>3052</v>
      </c>
      <c r="E9678" t="s">
        <v>3053</v>
      </c>
      <c r="F9678" t="s">
        <v>846</v>
      </c>
      <c r="G9678" t="s">
        <v>847</v>
      </c>
      <c r="H9678" t="s">
        <v>9492</v>
      </c>
      <c r="I9678">
        <v>58</v>
      </c>
      <c r="J9678">
        <v>58</v>
      </c>
      <c r="K9678">
        <v>0</v>
      </c>
      <c r="L9678">
        <v>0</v>
      </c>
      <c r="M9678">
        <v>0</v>
      </c>
      <c r="N9678">
        <v>0</v>
      </c>
      <c r="O9678">
        <v>0</v>
      </c>
    </row>
    <row r="9679" spans="1:15" x14ac:dyDescent="0.25">
      <c r="A9679" t="s">
        <v>955</v>
      </c>
      <c r="B9679" t="s">
        <v>2660</v>
      </c>
      <c r="C9679" t="s">
        <v>927</v>
      </c>
      <c r="D9679" t="s">
        <v>3052</v>
      </c>
      <c r="E9679" t="s">
        <v>3053</v>
      </c>
      <c r="F9679" t="s">
        <v>846</v>
      </c>
      <c r="G9679" t="s">
        <v>847</v>
      </c>
      <c r="H9679" t="s">
        <v>9493</v>
      </c>
      <c r="I9679">
        <v>532</v>
      </c>
      <c r="J9679">
        <v>271</v>
      </c>
      <c r="K9679">
        <v>0</v>
      </c>
      <c r="L9679">
        <v>46</v>
      </c>
      <c r="M9679">
        <v>187</v>
      </c>
      <c r="N9679">
        <v>0</v>
      </c>
      <c r="O9679">
        <v>28</v>
      </c>
    </row>
    <row r="9680" spans="1:15" x14ac:dyDescent="0.25">
      <c r="A9680" t="s">
        <v>1072</v>
      </c>
      <c r="B9680" t="s">
        <v>2907</v>
      </c>
      <c r="C9680" t="s">
        <v>927</v>
      </c>
      <c r="D9680" t="s">
        <v>3052</v>
      </c>
      <c r="E9680" t="s">
        <v>3053</v>
      </c>
      <c r="F9680" t="s">
        <v>846</v>
      </c>
      <c r="G9680" t="s">
        <v>847</v>
      </c>
      <c r="H9680" t="s">
        <v>9494</v>
      </c>
      <c r="I9680">
        <v>2214</v>
      </c>
      <c r="J9680">
        <v>1611</v>
      </c>
      <c r="K9680">
        <v>0</v>
      </c>
      <c r="L9680">
        <v>141</v>
      </c>
      <c r="M9680">
        <v>304</v>
      </c>
      <c r="N9680">
        <v>2</v>
      </c>
      <c r="O9680">
        <v>158</v>
      </c>
    </row>
    <row r="9681" spans="1:15" x14ac:dyDescent="0.25">
      <c r="A9681" t="s">
        <v>1553</v>
      </c>
      <c r="B9681" t="s">
        <v>2132</v>
      </c>
      <c r="C9681" t="s">
        <v>927</v>
      </c>
      <c r="D9681" t="s">
        <v>3052</v>
      </c>
      <c r="E9681" t="s">
        <v>3053</v>
      </c>
      <c r="F9681" t="s">
        <v>846</v>
      </c>
      <c r="G9681" t="s">
        <v>847</v>
      </c>
      <c r="H9681" t="s">
        <v>9495</v>
      </c>
      <c r="I9681">
        <v>334</v>
      </c>
      <c r="J9681">
        <v>218</v>
      </c>
      <c r="K9681">
        <v>0</v>
      </c>
      <c r="L9681">
        <v>0</v>
      </c>
      <c r="M9681">
        <v>0</v>
      </c>
      <c r="N9681">
        <v>0</v>
      </c>
      <c r="O9681">
        <v>116</v>
      </c>
    </row>
    <row r="9682" spans="1:15" x14ac:dyDescent="0.25">
      <c r="A9682" t="s">
        <v>1078</v>
      </c>
      <c r="B9682" t="s">
        <v>1950</v>
      </c>
      <c r="C9682" t="s">
        <v>923</v>
      </c>
      <c r="D9682" t="s">
        <v>3063</v>
      </c>
      <c r="E9682" t="s">
        <v>3053</v>
      </c>
      <c r="F9682" t="s">
        <v>846</v>
      </c>
      <c r="G9682" t="s">
        <v>847</v>
      </c>
      <c r="H9682" t="s">
        <v>9496</v>
      </c>
      <c r="I9682">
        <v>10</v>
      </c>
      <c r="J9682">
        <v>0</v>
      </c>
      <c r="K9682">
        <v>0</v>
      </c>
      <c r="L9682">
        <v>10</v>
      </c>
      <c r="M9682">
        <v>0</v>
      </c>
      <c r="N9682">
        <v>0</v>
      </c>
      <c r="O9682">
        <v>0</v>
      </c>
    </row>
    <row r="9683" spans="1:15" x14ac:dyDescent="0.25">
      <c r="A9683" t="s">
        <v>1561</v>
      </c>
      <c r="B9683" t="s">
        <v>2695</v>
      </c>
      <c r="C9683" t="s">
        <v>923</v>
      </c>
      <c r="D9683" t="s">
        <v>3063</v>
      </c>
      <c r="E9683" t="s">
        <v>3053</v>
      </c>
      <c r="F9683" t="s">
        <v>846</v>
      </c>
      <c r="G9683" t="s">
        <v>847</v>
      </c>
      <c r="H9683" t="s">
        <v>9497</v>
      </c>
      <c r="I9683">
        <v>806</v>
      </c>
      <c r="J9683">
        <v>589</v>
      </c>
      <c r="K9683">
        <v>0</v>
      </c>
      <c r="L9683">
        <v>104</v>
      </c>
      <c r="M9683">
        <v>113</v>
      </c>
      <c r="N9683">
        <v>1</v>
      </c>
      <c r="O9683">
        <v>0</v>
      </c>
    </row>
    <row r="9684" spans="1:15" x14ac:dyDescent="0.25">
      <c r="A9684" t="s">
        <v>1564</v>
      </c>
      <c r="B9684" t="s">
        <v>3039</v>
      </c>
      <c r="C9684" t="s">
        <v>927</v>
      </c>
      <c r="D9684" t="s">
        <v>3052</v>
      </c>
      <c r="E9684" t="s">
        <v>3053</v>
      </c>
      <c r="F9684" t="s">
        <v>848</v>
      </c>
      <c r="G9684" t="s">
        <v>849</v>
      </c>
      <c r="H9684" t="s">
        <v>12509</v>
      </c>
      <c r="I9684">
        <v>2</v>
      </c>
      <c r="J9684">
        <v>0</v>
      </c>
      <c r="K9684">
        <v>0</v>
      </c>
      <c r="L9684">
        <v>0</v>
      </c>
      <c r="M9684">
        <v>0</v>
      </c>
      <c r="N9684">
        <v>0</v>
      </c>
      <c r="O9684">
        <v>2</v>
      </c>
    </row>
    <row r="9685" spans="1:15" x14ac:dyDescent="0.25">
      <c r="A9685" t="s">
        <v>1196</v>
      </c>
      <c r="B9685" t="s">
        <v>3004</v>
      </c>
      <c r="C9685" t="s">
        <v>927</v>
      </c>
      <c r="D9685" t="s">
        <v>3052</v>
      </c>
      <c r="E9685" t="s">
        <v>3053</v>
      </c>
      <c r="F9685" t="s">
        <v>848</v>
      </c>
      <c r="G9685" t="s">
        <v>849</v>
      </c>
      <c r="H9685" t="s">
        <v>9498</v>
      </c>
      <c r="I9685">
        <v>10</v>
      </c>
      <c r="J9685">
        <v>0</v>
      </c>
      <c r="K9685">
        <v>0</v>
      </c>
      <c r="L9685">
        <v>10</v>
      </c>
      <c r="M9685">
        <v>0</v>
      </c>
      <c r="N9685">
        <v>0</v>
      </c>
      <c r="O9685">
        <v>0</v>
      </c>
    </row>
    <row r="9686" spans="1:15" x14ac:dyDescent="0.25">
      <c r="A9686" t="s">
        <v>924</v>
      </c>
      <c r="B9686" t="s">
        <v>2963</v>
      </c>
      <c r="C9686" t="s">
        <v>923</v>
      </c>
      <c r="D9686" t="s">
        <v>3063</v>
      </c>
      <c r="E9686" t="s">
        <v>3053</v>
      </c>
      <c r="F9686" t="s">
        <v>848</v>
      </c>
      <c r="G9686" t="s">
        <v>849</v>
      </c>
      <c r="H9686" t="s">
        <v>9499</v>
      </c>
      <c r="I9686">
        <v>21</v>
      </c>
      <c r="J9686">
        <v>0</v>
      </c>
      <c r="K9686">
        <v>0</v>
      </c>
      <c r="L9686">
        <v>21</v>
      </c>
      <c r="M9686">
        <v>0</v>
      </c>
      <c r="N9686">
        <v>0</v>
      </c>
      <c r="O9686">
        <v>0</v>
      </c>
    </row>
    <row r="9687" spans="1:15" x14ac:dyDescent="0.25">
      <c r="A9687" t="s">
        <v>10568</v>
      </c>
      <c r="B9687" t="s">
        <v>10567</v>
      </c>
      <c r="C9687" t="s">
        <v>927</v>
      </c>
      <c r="D9687" t="s">
        <v>3052</v>
      </c>
      <c r="E9687" t="s">
        <v>3053</v>
      </c>
      <c r="F9687" t="s">
        <v>848</v>
      </c>
      <c r="G9687" t="s">
        <v>849</v>
      </c>
      <c r="H9687" t="s">
        <v>11526</v>
      </c>
      <c r="I9687">
        <v>5</v>
      </c>
      <c r="J9687">
        <v>0</v>
      </c>
      <c r="K9687">
        <v>0</v>
      </c>
      <c r="L9687">
        <v>5</v>
      </c>
      <c r="M9687">
        <v>0</v>
      </c>
      <c r="N9687">
        <v>0</v>
      </c>
      <c r="O9687">
        <v>0</v>
      </c>
    </row>
    <row r="9688" spans="1:15" x14ac:dyDescent="0.25">
      <c r="A9688" t="s">
        <v>971</v>
      </c>
      <c r="B9688" t="s">
        <v>2956</v>
      </c>
      <c r="C9688" t="s">
        <v>927</v>
      </c>
      <c r="D9688" t="s">
        <v>3052</v>
      </c>
      <c r="E9688" t="s">
        <v>3053</v>
      </c>
      <c r="F9688" t="s">
        <v>848</v>
      </c>
      <c r="G9688" t="s">
        <v>849</v>
      </c>
      <c r="H9688" t="s">
        <v>9500</v>
      </c>
      <c r="I9688">
        <v>47</v>
      </c>
      <c r="J9688">
        <v>47</v>
      </c>
      <c r="K9688">
        <v>0</v>
      </c>
      <c r="L9688">
        <v>0</v>
      </c>
      <c r="M9688">
        <v>0</v>
      </c>
      <c r="N9688">
        <v>0</v>
      </c>
      <c r="O9688">
        <v>0</v>
      </c>
    </row>
    <row r="9689" spans="1:15" x14ac:dyDescent="0.25">
      <c r="A9689" t="s">
        <v>926</v>
      </c>
      <c r="B9689" t="s">
        <v>2923</v>
      </c>
      <c r="C9689" t="s">
        <v>927</v>
      </c>
      <c r="D9689" t="s">
        <v>3052</v>
      </c>
      <c r="E9689" t="s">
        <v>3053</v>
      </c>
      <c r="F9689" t="s">
        <v>848</v>
      </c>
      <c r="G9689" t="s">
        <v>849</v>
      </c>
      <c r="H9689" t="s">
        <v>9501</v>
      </c>
      <c r="I9689">
        <v>2</v>
      </c>
      <c r="J9689">
        <v>0</v>
      </c>
      <c r="K9689">
        <v>0</v>
      </c>
      <c r="L9689">
        <v>0</v>
      </c>
      <c r="M9689">
        <v>0</v>
      </c>
      <c r="N9689">
        <v>0</v>
      </c>
      <c r="O9689">
        <v>2</v>
      </c>
    </row>
    <row r="9690" spans="1:15" x14ac:dyDescent="0.25">
      <c r="A9690" t="s">
        <v>929</v>
      </c>
      <c r="B9690" t="s">
        <v>2999</v>
      </c>
      <c r="C9690" t="s">
        <v>927</v>
      </c>
      <c r="D9690" t="s">
        <v>3052</v>
      </c>
      <c r="E9690" t="s">
        <v>3053</v>
      </c>
      <c r="F9690" t="s">
        <v>848</v>
      </c>
      <c r="G9690" t="s">
        <v>849</v>
      </c>
      <c r="H9690" t="s">
        <v>9502</v>
      </c>
      <c r="I9690">
        <v>57</v>
      </c>
      <c r="J9690">
        <v>0</v>
      </c>
      <c r="K9690">
        <v>0</v>
      </c>
      <c r="L9690">
        <v>0</v>
      </c>
      <c r="M9690">
        <v>33</v>
      </c>
      <c r="N9690">
        <v>0</v>
      </c>
      <c r="O9690">
        <v>24</v>
      </c>
    </row>
    <row r="9691" spans="1:15" x14ac:dyDescent="0.25">
      <c r="A9691" t="s">
        <v>933</v>
      </c>
      <c r="B9691" t="s">
        <v>2106</v>
      </c>
      <c r="C9691" t="s">
        <v>927</v>
      </c>
      <c r="D9691" t="s">
        <v>3052</v>
      </c>
      <c r="E9691" t="s">
        <v>3053</v>
      </c>
      <c r="F9691" t="s">
        <v>848</v>
      </c>
      <c r="G9691" t="s">
        <v>849</v>
      </c>
      <c r="H9691" t="s">
        <v>9503</v>
      </c>
      <c r="I9691">
        <v>7</v>
      </c>
      <c r="J9691">
        <v>7</v>
      </c>
      <c r="K9691">
        <v>0</v>
      </c>
      <c r="L9691">
        <v>0</v>
      </c>
      <c r="M9691">
        <v>0</v>
      </c>
      <c r="N9691">
        <v>0</v>
      </c>
      <c r="O9691">
        <v>0</v>
      </c>
    </row>
    <row r="9692" spans="1:15" x14ac:dyDescent="0.25">
      <c r="A9692" t="s">
        <v>11660</v>
      </c>
      <c r="B9692" t="s">
        <v>2041</v>
      </c>
      <c r="C9692" t="s">
        <v>923</v>
      </c>
      <c r="D9692" t="s">
        <v>3063</v>
      </c>
      <c r="E9692" t="s">
        <v>3053</v>
      </c>
      <c r="F9692" t="s">
        <v>848</v>
      </c>
      <c r="G9692" t="s">
        <v>849</v>
      </c>
      <c r="H9692" t="s">
        <v>12510</v>
      </c>
      <c r="I9692">
        <v>6</v>
      </c>
      <c r="J9692">
        <v>0</v>
      </c>
      <c r="K9692">
        <v>0</v>
      </c>
      <c r="L9692">
        <v>6</v>
      </c>
      <c r="M9692">
        <v>0</v>
      </c>
      <c r="N9692">
        <v>0</v>
      </c>
      <c r="O9692">
        <v>0</v>
      </c>
    </row>
    <row r="9693" spans="1:15" x14ac:dyDescent="0.25">
      <c r="A9693" t="s">
        <v>1000</v>
      </c>
      <c r="B9693" t="s">
        <v>1984</v>
      </c>
      <c r="C9693" t="s">
        <v>923</v>
      </c>
      <c r="D9693" t="s">
        <v>3063</v>
      </c>
      <c r="E9693" t="s">
        <v>3053</v>
      </c>
      <c r="F9693" t="s">
        <v>848</v>
      </c>
      <c r="G9693" t="s">
        <v>849</v>
      </c>
      <c r="H9693" t="s">
        <v>9504</v>
      </c>
      <c r="I9693">
        <v>3</v>
      </c>
      <c r="J9693">
        <v>0</v>
      </c>
      <c r="K9693">
        <v>0</v>
      </c>
      <c r="L9693">
        <v>3</v>
      </c>
      <c r="M9693">
        <v>0</v>
      </c>
      <c r="N9693">
        <v>0</v>
      </c>
      <c r="O9693">
        <v>0</v>
      </c>
    </row>
    <row r="9694" spans="1:15" x14ac:dyDescent="0.25">
      <c r="A9694" t="s">
        <v>10638</v>
      </c>
      <c r="B9694" t="s">
        <v>2057</v>
      </c>
      <c r="C9694" t="s">
        <v>927</v>
      </c>
      <c r="D9694" t="s">
        <v>3052</v>
      </c>
      <c r="E9694" t="s">
        <v>3053</v>
      </c>
      <c r="F9694" t="s">
        <v>848</v>
      </c>
      <c r="G9694" t="s">
        <v>849</v>
      </c>
      <c r="H9694" t="s">
        <v>11527</v>
      </c>
      <c r="I9694">
        <v>5</v>
      </c>
      <c r="J9694">
        <v>0</v>
      </c>
      <c r="K9694">
        <v>0</v>
      </c>
      <c r="L9694">
        <v>5</v>
      </c>
      <c r="M9694">
        <v>0</v>
      </c>
      <c r="N9694">
        <v>0</v>
      </c>
      <c r="O9694">
        <v>0</v>
      </c>
    </row>
    <row r="9695" spans="1:15" x14ac:dyDescent="0.25">
      <c r="A9695" t="s">
        <v>1610</v>
      </c>
      <c r="B9695" t="s">
        <v>2736</v>
      </c>
      <c r="C9695" t="s">
        <v>923</v>
      </c>
      <c r="D9695" t="s">
        <v>3063</v>
      </c>
      <c r="E9695" t="s">
        <v>3053</v>
      </c>
      <c r="F9695" t="s">
        <v>848</v>
      </c>
      <c r="G9695" t="s">
        <v>849</v>
      </c>
      <c r="H9695" t="s">
        <v>9505</v>
      </c>
      <c r="I9695">
        <v>229</v>
      </c>
      <c r="J9695">
        <v>80</v>
      </c>
      <c r="K9695">
        <v>0</v>
      </c>
      <c r="L9695">
        <v>0</v>
      </c>
      <c r="M9695">
        <v>149</v>
      </c>
      <c r="N9695">
        <v>0</v>
      </c>
      <c r="O9695">
        <v>0</v>
      </c>
    </row>
    <row r="9696" spans="1:15" x14ac:dyDescent="0.25">
      <c r="A9696" t="s">
        <v>938</v>
      </c>
      <c r="B9696" t="s">
        <v>2791</v>
      </c>
      <c r="C9696" t="s">
        <v>927</v>
      </c>
      <c r="D9696" t="s">
        <v>3052</v>
      </c>
      <c r="E9696" t="s">
        <v>3053</v>
      </c>
      <c r="F9696" t="s">
        <v>848</v>
      </c>
      <c r="G9696" t="s">
        <v>849</v>
      </c>
      <c r="H9696" t="s">
        <v>9506</v>
      </c>
      <c r="I9696">
        <v>6</v>
      </c>
      <c r="J9696">
        <v>0</v>
      </c>
      <c r="K9696">
        <v>0</v>
      </c>
      <c r="L9696">
        <v>6</v>
      </c>
      <c r="M9696">
        <v>0</v>
      </c>
      <c r="N9696">
        <v>0</v>
      </c>
      <c r="O9696">
        <v>0</v>
      </c>
    </row>
    <row r="9697" spans="1:15" x14ac:dyDescent="0.25">
      <c r="A9697" t="s">
        <v>940</v>
      </c>
      <c r="B9697" t="s">
        <v>2647</v>
      </c>
      <c r="C9697" t="s">
        <v>927</v>
      </c>
      <c r="D9697" t="s">
        <v>3052</v>
      </c>
      <c r="E9697" t="s">
        <v>3053</v>
      </c>
      <c r="F9697" t="s">
        <v>848</v>
      </c>
      <c r="G9697" t="s">
        <v>849</v>
      </c>
      <c r="H9697" t="s">
        <v>9507</v>
      </c>
      <c r="I9697">
        <v>44</v>
      </c>
      <c r="J9697">
        <v>0</v>
      </c>
      <c r="K9697">
        <v>0</v>
      </c>
      <c r="L9697">
        <v>0</v>
      </c>
      <c r="M9697">
        <v>44</v>
      </c>
      <c r="N9697">
        <v>0</v>
      </c>
      <c r="O9697">
        <v>0</v>
      </c>
    </row>
    <row r="9698" spans="1:15" x14ac:dyDescent="0.25">
      <c r="A9698" t="s">
        <v>1012</v>
      </c>
      <c r="B9698" t="s">
        <v>2911</v>
      </c>
      <c r="C9698" t="s">
        <v>927</v>
      </c>
      <c r="D9698" t="s">
        <v>3052</v>
      </c>
      <c r="E9698" t="s">
        <v>3053</v>
      </c>
      <c r="F9698" t="s">
        <v>848</v>
      </c>
      <c r="G9698" t="s">
        <v>849</v>
      </c>
      <c r="H9698" t="s">
        <v>9508</v>
      </c>
      <c r="I9698">
        <v>10</v>
      </c>
      <c r="J9698">
        <v>10</v>
      </c>
      <c r="K9698">
        <v>0</v>
      </c>
      <c r="L9698">
        <v>0</v>
      </c>
      <c r="M9698">
        <v>0</v>
      </c>
      <c r="N9698">
        <v>0</v>
      </c>
      <c r="O9698">
        <v>0</v>
      </c>
    </row>
    <row r="9699" spans="1:15" x14ac:dyDescent="0.25">
      <c r="A9699" t="s">
        <v>11755</v>
      </c>
      <c r="B9699" t="s">
        <v>11754</v>
      </c>
      <c r="C9699" t="s">
        <v>923</v>
      </c>
      <c r="D9699" t="s">
        <v>3063</v>
      </c>
      <c r="E9699" t="s">
        <v>3053</v>
      </c>
      <c r="F9699" t="s">
        <v>848</v>
      </c>
      <c r="G9699" t="s">
        <v>849</v>
      </c>
      <c r="H9699" t="s">
        <v>15485</v>
      </c>
      <c r="I9699">
        <v>4</v>
      </c>
      <c r="J9699">
        <v>0</v>
      </c>
      <c r="K9699">
        <v>0</v>
      </c>
      <c r="L9699">
        <v>4</v>
      </c>
      <c r="M9699">
        <v>0</v>
      </c>
      <c r="N9699">
        <v>0</v>
      </c>
      <c r="O9699">
        <v>0</v>
      </c>
    </row>
    <row r="9700" spans="1:15" x14ac:dyDescent="0.25">
      <c r="A9700" t="s">
        <v>943</v>
      </c>
      <c r="B9700" t="s">
        <v>2694</v>
      </c>
      <c r="C9700" t="s">
        <v>927</v>
      </c>
      <c r="D9700" t="s">
        <v>3052</v>
      </c>
      <c r="E9700" t="s">
        <v>3053</v>
      </c>
      <c r="F9700" t="s">
        <v>848</v>
      </c>
      <c r="G9700" t="s">
        <v>849</v>
      </c>
      <c r="H9700" t="s">
        <v>9509</v>
      </c>
      <c r="I9700">
        <v>244</v>
      </c>
      <c r="J9700">
        <v>158</v>
      </c>
      <c r="K9700">
        <v>0</v>
      </c>
      <c r="L9700">
        <v>0</v>
      </c>
      <c r="M9700">
        <v>0</v>
      </c>
      <c r="N9700">
        <v>0</v>
      </c>
      <c r="O9700">
        <v>86</v>
      </c>
    </row>
    <row r="9701" spans="1:15" x14ac:dyDescent="0.25">
      <c r="A9701" t="s">
        <v>945</v>
      </c>
      <c r="B9701" t="s">
        <v>2668</v>
      </c>
      <c r="C9701" t="s">
        <v>927</v>
      </c>
      <c r="D9701" t="s">
        <v>3052</v>
      </c>
      <c r="E9701" t="s">
        <v>3053</v>
      </c>
      <c r="F9701" t="s">
        <v>848</v>
      </c>
      <c r="G9701" t="s">
        <v>849</v>
      </c>
      <c r="H9701" t="s">
        <v>9510</v>
      </c>
      <c r="I9701">
        <v>2</v>
      </c>
      <c r="J9701">
        <v>0</v>
      </c>
      <c r="K9701">
        <v>0</v>
      </c>
      <c r="L9701">
        <v>0</v>
      </c>
      <c r="M9701">
        <v>0</v>
      </c>
      <c r="N9701">
        <v>0</v>
      </c>
      <c r="O9701">
        <v>2</v>
      </c>
    </row>
    <row r="9702" spans="1:15" x14ac:dyDescent="0.25">
      <c r="A9702" t="s">
        <v>1300</v>
      </c>
      <c r="B9702" t="s">
        <v>2644</v>
      </c>
      <c r="C9702" t="s">
        <v>927</v>
      </c>
      <c r="D9702" t="s">
        <v>3052</v>
      </c>
      <c r="E9702" t="s">
        <v>3053</v>
      </c>
      <c r="F9702" t="s">
        <v>848</v>
      </c>
      <c r="G9702" t="s">
        <v>849</v>
      </c>
      <c r="H9702" t="s">
        <v>9511</v>
      </c>
      <c r="I9702">
        <v>140</v>
      </c>
      <c r="J9702">
        <v>104</v>
      </c>
      <c r="K9702">
        <v>0</v>
      </c>
      <c r="L9702">
        <v>0</v>
      </c>
      <c r="M9702">
        <v>36</v>
      </c>
      <c r="N9702">
        <v>4</v>
      </c>
      <c r="O9702">
        <v>0</v>
      </c>
    </row>
    <row r="9703" spans="1:15" x14ac:dyDescent="0.25">
      <c r="A9703" t="s">
        <v>1043</v>
      </c>
      <c r="B9703" t="s">
        <v>2090</v>
      </c>
      <c r="C9703" t="s">
        <v>927</v>
      </c>
      <c r="D9703" t="s">
        <v>3052</v>
      </c>
      <c r="E9703" t="s">
        <v>3053</v>
      </c>
      <c r="F9703" t="s">
        <v>848</v>
      </c>
      <c r="G9703" t="s">
        <v>849</v>
      </c>
      <c r="H9703" t="s">
        <v>9512</v>
      </c>
      <c r="I9703">
        <v>145</v>
      </c>
      <c r="J9703">
        <v>50</v>
      </c>
      <c r="K9703">
        <v>0</v>
      </c>
      <c r="L9703">
        <v>0</v>
      </c>
      <c r="M9703">
        <v>25</v>
      </c>
      <c r="N9703">
        <v>0</v>
      </c>
      <c r="O9703">
        <v>70</v>
      </c>
    </row>
    <row r="9704" spans="1:15" x14ac:dyDescent="0.25">
      <c r="A9704" t="s">
        <v>1331</v>
      </c>
      <c r="B9704" t="s">
        <v>2856</v>
      </c>
      <c r="C9704" t="s">
        <v>927</v>
      </c>
      <c r="D9704" t="s">
        <v>3052</v>
      </c>
      <c r="E9704" t="s">
        <v>3053</v>
      </c>
      <c r="F9704" t="s">
        <v>848</v>
      </c>
      <c r="G9704" t="s">
        <v>849</v>
      </c>
      <c r="H9704" t="s">
        <v>9513</v>
      </c>
      <c r="I9704">
        <v>21</v>
      </c>
      <c r="J9704">
        <v>0</v>
      </c>
      <c r="K9704">
        <v>0</v>
      </c>
      <c r="L9704">
        <v>0</v>
      </c>
      <c r="M9704">
        <v>21</v>
      </c>
      <c r="N9704">
        <v>0</v>
      </c>
      <c r="O9704">
        <v>0</v>
      </c>
    </row>
    <row r="9705" spans="1:15" x14ac:dyDescent="0.25">
      <c r="A9705" t="s">
        <v>955</v>
      </c>
      <c r="B9705" t="s">
        <v>2660</v>
      </c>
      <c r="C9705" t="s">
        <v>927</v>
      </c>
      <c r="D9705" t="s">
        <v>3052</v>
      </c>
      <c r="E9705" t="s">
        <v>3053</v>
      </c>
      <c r="F9705" t="s">
        <v>848</v>
      </c>
      <c r="G9705" t="s">
        <v>849</v>
      </c>
      <c r="H9705" t="s">
        <v>9514</v>
      </c>
      <c r="I9705">
        <v>8</v>
      </c>
      <c r="J9705">
        <v>0</v>
      </c>
      <c r="K9705">
        <v>0</v>
      </c>
      <c r="L9705">
        <v>8</v>
      </c>
      <c r="M9705">
        <v>0</v>
      </c>
      <c r="N9705">
        <v>0</v>
      </c>
      <c r="O9705">
        <v>0</v>
      </c>
    </row>
    <row r="9706" spans="1:15" x14ac:dyDescent="0.25">
      <c r="A9706" t="s">
        <v>1155</v>
      </c>
      <c r="B9706" t="s">
        <v>2912</v>
      </c>
      <c r="C9706" t="s">
        <v>927</v>
      </c>
      <c r="D9706" t="s">
        <v>3052</v>
      </c>
      <c r="E9706" t="s">
        <v>3053</v>
      </c>
      <c r="F9706" t="s">
        <v>848</v>
      </c>
      <c r="G9706" t="s">
        <v>849</v>
      </c>
      <c r="H9706" t="s">
        <v>9515</v>
      </c>
      <c r="I9706">
        <v>1</v>
      </c>
      <c r="J9706">
        <v>0</v>
      </c>
      <c r="K9706">
        <v>0</v>
      </c>
      <c r="L9706">
        <v>0</v>
      </c>
      <c r="M9706">
        <v>0</v>
      </c>
      <c r="N9706">
        <v>0</v>
      </c>
      <c r="O9706">
        <v>1</v>
      </c>
    </row>
    <row r="9707" spans="1:15" x14ac:dyDescent="0.25">
      <c r="A9707" t="s">
        <v>11663</v>
      </c>
      <c r="B9707" t="s">
        <v>11768</v>
      </c>
      <c r="C9707" t="s">
        <v>927</v>
      </c>
      <c r="D9707" t="s">
        <v>3052</v>
      </c>
      <c r="E9707" t="s">
        <v>3053</v>
      </c>
      <c r="F9707" t="s">
        <v>848</v>
      </c>
      <c r="G9707" t="s">
        <v>849</v>
      </c>
      <c r="H9707" t="s">
        <v>12511</v>
      </c>
      <c r="I9707">
        <v>262</v>
      </c>
      <c r="J9707">
        <v>197</v>
      </c>
      <c r="K9707">
        <v>7</v>
      </c>
      <c r="L9707">
        <v>6</v>
      </c>
      <c r="M9707">
        <v>0</v>
      </c>
      <c r="N9707">
        <v>0</v>
      </c>
      <c r="O9707">
        <v>52</v>
      </c>
    </row>
    <row r="9708" spans="1:15" x14ac:dyDescent="0.25">
      <c r="A9708" t="s">
        <v>962</v>
      </c>
      <c r="B9708" t="s">
        <v>2752</v>
      </c>
      <c r="C9708" t="s">
        <v>927</v>
      </c>
      <c r="D9708" t="s">
        <v>3052</v>
      </c>
      <c r="E9708" t="s">
        <v>3053</v>
      </c>
      <c r="F9708" t="s">
        <v>848</v>
      </c>
      <c r="G9708" t="s">
        <v>849</v>
      </c>
      <c r="H9708" t="s">
        <v>9516</v>
      </c>
      <c r="I9708">
        <v>54</v>
      </c>
      <c r="J9708">
        <v>54</v>
      </c>
      <c r="K9708">
        <v>0</v>
      </c>
      <c r="L9708">
        <v>0</v>
      </c>
      <c r="M9708">
        <v>0</v>
      </c>
      <c r="N9708">
        <v>0</v>
      </c>
      <c r="O9708">
        <v>0</v>
      </c>
    </row>
    <row r="9709" spans="1:15" x14ac:dyDescent="0.25">
      <c r="A9709" t="s">
        <v>1354</v>
      </c>
      <c r="B9709" t="s">
        <v>2676</v>
      </c>
      <c r="C9709" t="s">
        <v>927</v>
      </c>
      <c r="D9709" t="s">
        <v>3052</v>
      </c>
      <c r="E9709" t="s">
        <v>3053</v>
      </c>
      <c r="F9709" t="s">
        <v>848</v>
      </c>
      <c r="G9709" t="s">
        <v>849</v>
      </c>
      <c r="H9709" t="s">
        <v>9517</v>
      </c>
      <c r="I9709">
        <v>224</v>
      </c>
      <c r="J9709">
        <v>224</v>
      </c>
      <c r="K9709">
        <v>0</v>
      </c>
      <c r="L9709">
        <v>0</v>
      </c>
      <c r="M9709">
        <v>0</v>
      </c>
      <c r="N9709">
        <v>0</v>
      </c>
      <c r="O9709">
        <v>0</v>
      </c>
    </row>
    <row r="9710" spans="1:15" x14ac:dyDescent="0.25">
      <c r="A9710" t="s">
        <v>1676</v>
      </c>
      <c r="B9710" t="s">
        <v>2762</v>
      </c>
      <c r="C9710" t="s">
        <v>923</v>
      </c>
      <c r="D9710" t="s">
        <v>3063</v>
      </c>
      <c r="E9710" t="s">
        <v>3053</v>
      </c>
      <c r="F9710" t="s">
        <v>848</v>
      </c>
      <c r="G9710" t="s">
        <v>849</v>
      </c>
      <c r="H9710" t="s">
        <v>9518</v>
      </c>
      <c r="I9710">
        <v>16</v>
      </c>
      <c r="J9710">
        <v>16</v>
      </c>
      <c r="K9710">
        <v>0</v>
      </c>
      <c r="L9710">
        <v>0</v>
      </c>
      <c r="M9710">
        <v>0</v>
      </c>
      <c r="N9710">
        <v>0</v>
      </c>
      <c r="O9710">
        <v>0</v>
      </c>
    </row>
    <row r="9711" spans="1:15" x14ac:dyDescent="0.25">
      <c r="A9711" t="s">
        <v>1069</v>
      </c>
      <c r="B9711" t="s">
        <v>2001</v>
      </c>
      <c r="C9711" t="s">
        <v>927</v>
      </c>
      <c r="D9711" t="s">
        <v>3052</v>
      </c>
      <c r="E9711" t="s">
        <v>3053</v>
      </c>
      <c r="F9711" t="s">
        <v>848</v>
      </c>
      <c r="G9711" t="s">
        <v>849</v>
      </c>
      <c r="H9711" t="s">
        <v>9519</v>
      </c>
      <c r="I9711">
        <v>224</v>
      </c>
      <c r="J9711">
        <v>175</v>
      </c>
      <c r="K9711">
        <v>0</v>
      </c>
      <c r="L9711">
        <v>0</v>
      </c>
      <c r="M9711">
        <v>49</v>
      </c>
      <c r="N9711">
        <v>0</v>
      </c>
      <c r="O9711">
        <v>0</v>
      </c>
    </row>
    <row r="9712" spans="1:15" x14ac:dyDescent="0.25">
      <c r="A9712" t="s">
        <v>1072</v>
      </c>
      <c r="B9712" t="s">
        <v>2907</v>
      </c>
      <c r="C9712" t="s">
        <v>927</v>
      </c>
      <c r="D9712" t="s">
        <v>3052</v>
      </c>
      <c r="E9712" t="s">
        <v>3053</v>
      </c>
      <c r="F9712" t="s">
        <v>848</v>
      </c>
      <c r="G9712" t="s">
        <v>849</v>
      </c>
      <c r="H9712" t="s">
        <v>9520</v>
      </c>
      <c r="I9712">
        <v>15</v>
      </c>
      <c r="J9712">
        <v>0</v>
      </c>
      <c r="K9712">
        <v>0</v>
      </c>
      <c r="L9712">
        <v>15</v>
      </c>
      <c r="M9712">
        <v>0</v>
      </c>
      <c r="N9712">
        <v>0</v>
      </c>
      <c r="O9712">
        <v>0</v>
      </c>
    </row>
    <row r="9713" spans="1:15" x14ac:dyDescent="0.25">
      <c r="A9713" t="s">
        <v>1374</v>
      </c>
      <c r="B9713" t="s">
        <v>2580</v>
      </c>
      <c r="C9713" t="s">
        <v>923</v>
      </c>
      <c r="D9713" t="s">
        <v>3063</v>
      </c>
      <c r="E9713" t="s">
        <v>3053</v>
      </c>
      <c r="F9713" t="s">
        <v>848</v>
      </c>
      <c r="G9713" t="s">
        <v>849</v>
      </c>
      <c r="H9713" t="s">
        <v>9521</v>
      </c>
      <c r="I9713">
        <v>70</v>
      </c>
      <c r="J9713">
        <v>0</v>
      </c>
      <c r="K9713">
        <v>0</v>
      </c>
      <c r="L9713">
        <v>70</v>
      </c>
      <c r="M9713">
        <v>0</v>
      </c>
      <c r="N9713">
        <v>0</v>
      </c>
      <c r="O9713">
        <v>0</v>
      </c>
    </row>
    <row r="9714" spans="1:15" x14ac:dyDescent="0.25">
      <c r="A9714" t="s">
        <v>1078</v>
      </c>
      <c r="B9714" t="s">
        <v>1950</v>
      </c>
      <c r="C9714" t="s">
        <v>923</v>
      </c>
      <c r="D9714" t="s">
        <v>3063</v>
      </c>
      <c r="E9714" t="s">
        <v>3053</v>
      </c>
      <c r="F9714" t="s">
        <v>848</v>
      </c>
      <c r="G9714" t="s">
        <v>849</v>
      </c>
      <c r="H9714" t="s">
        <v>9522</v>
      </c>
      <c r="I9714">
        <v>12</v>
      </c>
      <c r="J9714">
        <v>0</v>
      </c>
      <c r="K9714">
        <v>0</v>
      </c>
      <c r="L9714">
        <v>12</v>
      </c>
      <c r="M9714">
        <v>0</v>
      </c>
      <c r="N9714">
        <v>0</v>
      </c>
      <c r="O9714">
        <v>0</v>
      </c>
    </row>
    <row r="9715" spans="1:15" x14ac:dyDescent="0.25">
      <c r="A9715" t="s">
        <v>1195</v>
      </c>
      <c r="B9715" t="s">
        <v>2924</v>
      </c>
      <c r="C9715" t="s">
        <v>927</v>
      </c>
      <c r="D9715" t="s">
        <v>3052</v>
      </c>
      <c r="E9715" t="s">
        <v>3053</v>
      </c>
      <c r="F9715" t="s">
        <v>850</v>
      </c>
      <c r="G9715" t="s">
        <v>851</v>
      </c>
      <c r="H9715" t="s">
        <v>9523</v>
      </c>
      <c r="I9715">
        <v>13</v>
      </c>
      <c r="J9715">
        <v>0</v>
      </c>
      <c r="K9715">
        <v>0</v>
      </c>
      <c r="L9715">
        <v>13</v>
      </c>
      <c r="M9715">
        <v>0</v>
      </c>
      <c r="N9715">
        <v>0</v>
      </c>
      <c r="O9715">
        <v>0</v>
      </c>
    </row>
    <row r="9716" spans="1:15" x14ac:dyDescent="0.25">
      <c r="A9716" t="s">
        <v>1196</v>
      </c>
      <c r="B9716" t="s">
        <v>3004</v>
      </c>
      <c r="C9716" t="s">
        <v>927</v>
      </c>
      <c r="D9716" t="s">
        <v>3052</v>
      </c>
      <c r="E9716" t="s">
        <v>3053</v>
      </c>
      <c r="F9716" t="s">
        <v>850</v>
      </c>
      <c r="G9716" t="s">
        <v>851</v>
      </c>
      <c r="H9716" t="s">
        <v>9524</v>
      </c>
      <c r="I9716">
        <v>85</v>
      </c>
      <c r="J9716">
        <v>49</v>
      </c>
      <c r="K9716">
        <v>0</v>
      </c>
      <c r="L9716">
        <v>0</v>
      </c>
      <c r="M9716">
        <v>33</v>
      </c>
      <c r="N9716">
        <v>0</v>
      </c>
      <c r="O9716">
        <v>3</v>
      </c>
    </row>
    <row r="9717" spans="1:15" x14ac:dyDescent="0.25">
      <c r="A9717" t="s">
        <v>924</v>
      </c>
      <c r="B9717" t="s">
        <v>2963</v>
      </c>
      <c r="C9717" t="s">
        <v>923</v>
      </c>
      <c r="D9717" t="s">
        <v>3063</v>
      </c>
      <c r="E9717" t="s">
        <v>3053</v>
      </c>
      <c r="F9717" t="s">
        <v>850</v>
      </c>
      <c r="G9717" t="s">
        <v>851</v>
      </c>
      <c r="H9717" t="s">
        <v>9525</v>
      </c>
      <c r="I9717">
        <v>9</v>
      </c>
      <c r="J9717">
        <v>0</v>
      </c>
      <c r="K9717">
        <v>0</v>
      </c>
      <c r="L9717">
        <v>9</v>
      </c>
      <c r="M9717">
        <v>0</v>
      </c>
      <c r="N9717">
        <v>0</v>
      </c>
      <c r="O9717">
        <v>0</v>
      </c>
    </row>
    <row r="9718" spans="1:15" x14ac:dyDescent="0.25">
      <c r="A9718" t="s">
        <v>10568</v>
      </c>
      <c r="B9718" t="s">
        <v>10567</v>
      </c>
      <c r="C9718" t="s">
        <v>927</v>
      </c>
      <c r="D9718" t="s">
        <v>3052</v>
      </c>
      <c r="E9718" t="s">
        <v>3053</v>
      </c>
      <c r="F9718" t="s">
        <v>850</v>
      </c>
      <c r="G9718" t="s">
        <v>851</v>
      </c>
      <c r="H9718" t="s">
        <v>11528</v>
      </c>
      <c r="I9718">
        <v>14</v>
      </c>
      <c r="J9718">
        <v>10</v>
      </c>
      <c r="K9718">
        <v>0</v>
      </c>
      <c r="L9718">
        <v>4</v>
      </c>
      <c r="M9718">
        <v>0</v>
      </c>
      <c r="N9718">
        <v>0</v>
      </c>
      <c r="O9718">
        <v>0</v>
      </c>
    </row>
    <row r="9719" spans="1:15" x14ac:dyDescent="0.25">
      <c r="A9719" t="s">
        <v>926</v>
      </c>
      <c r="B9719" t="s">
        <v>2923</v>
      </c>
      <c r="C9719" t="s">
        <v>927</v>
      </c>
      <c r="D9719" t="s">
        <v>3052</v>
      </c>
      <c r="E9719" t="s">
        <v>3053</v>
      </c>
      <c r="F9719" t="s">
        <v>850</v>
      </c>
      <c r="G9719" t="s">
        <v>851</v>
      </c>
      <c r="H9719" t="s">
        <v>9526</v>
      </c>
      <c r="I9719">
        <v>10</v>
      </c>
      <c r="J9719">
        <v>0</v>
      </c>
      <c r="K9719">
        <v>0</v>
      </c>
      <c r="L9719">
        <v>4</v>
      </c>
      <c r="M9719">
        <v>0</v>
      </c>
      <c r="N9719">
        <v>0</v>
      </c>
      <c r="O9719">
        <v>6</v>
      </c>
    </row>
    <row r="9720" spans="1:15" x14ac:dyDescent="0.25">
      <c r="A9720" t="s">
        <v>929</v>
      </c>
      <c r="B9720" t="s">
        <v>2999</v>
      </c>
      <c r="C9720" t="s">
        <v>927</v>
      </c>
      <c r="D9720" t="s">
        <v>3052</v>
      </c>
      <c r="E9720" t="s">
        <v>3053</v>
      </c>
      <c r="F9720" t="s">
        <v>850</v>
      </c>
      <c r="G9720" t="s">
        <v>851</v>
      </c>
      <c r="H9720" t="s">
        <v>9527</v>
      </c>
      <c r="I9720">
        <v>15</v>
      </c>
      <c r="J9720">
        <v>0</v>
      </c>
      <c r="K9720">
        <v>0</v>
      </c>
      <c r="L9720">
        <v>0</v>
      </c>
      <c r="M9720">
        <v>15</v>
      </c>
      <c r="N9720">
        <v>0</v>
      </c>
      <c r="O9720">
        <v>0</v>
      </c>
    </row>
    <row r="9721" spans="1:15" x14ac:dyDescent="0.25">
      <c r="A9721" t="s">
        <v>1218</v>
      </c>
      <c r="B9721" t="s">
        <v>2565</v>
      </c>
      <c r="C9721" t="s">
        <v>927</v>
      </c>
      <c r="D9721" t="s">
        <v>3052</v>
      </c>
      <c r="E9721" t="s">
        <v>3053</v>
      </c>
      <c r="F9721" t="s">
        <v>850</v>
      </c>
      <c r="G9721" t="s">
        <v>851</v>
      </c>
      <c r="H9721" t="s">
        <v>9528</v>
      </c>
      <c r="I9721">
        <v>64</v>
      </c>
      <c r="J9721">
        <v>0</v>
      </c>
      <c r="K9721">
        <v>0</v>
      </c>
      <c r="L9721">
        <v>0</v>
      </c>
      <c r="M9721">
        <v>50</v>
      </c>
      <c r="N9721">
        <v>0</v>
      </c>
      <c r="O9721">
        <v>14</v>
      </c>
    </row>
    <row r="9722" spans="1:15" x14ac:dyDescent="0.25">
      <c r="A9722" t="s">
        <v>11660</v>
      </c>
      <c r="B9722" t="s">
        <v>2041</v>
      </c>
      <c r="C9722" t="s">
        <v>923</v>
      </c>
      <c r="D9722" t="s">
        <v>3063</v>
      </c>
      <c r="E9722" t="s">
        <v>3053</v>
      </c>
      <c r="F9722" t="s">
        <v>850</v>
      </c>
      <c r="G9722" t="s">
        <v>851</v>
      </c>
      <c r="H9722" t="s">
        <v>12512</v>
      </c>
      <c r="I9722">
        <v>6</v>
      </c>
      <c r="J9722">
        <v>0</v>
      </c>
      <c r="K9722">
        <v>0</v>
      </c>
      <c r="L9722">
        <v>6</v>
      </c>
      <c r="M9722">
        <v>0</v>
      </c>
      <c r="N9722">
        <v>0</v>
      </c>
      <c r="O9722">
        <v>0</v>
      </c>
    </row>
    <row r="9723" spans="1:15" x14ac:dyDescent="0.25">
      <c r="A9723" t="s">
        <v>1603</v>
      </c>
      <c r="B9723" t="s">
        <v>2053</v>
      </c>
      <c r="C9723" t="s">
        <v>923</v>
      </c>
      <c r="D9723" t="s">
        <v>3063</v>
      </c>
      <c r="E9723" t="s">
        <v>3053</v>
      </c>
      <c r="F9723" t="s">
        <v>850</v>
      </c>
      <c r="G9723" t="s">
        <v>851</v>
      </c>
      <c r="H9723" t="s">
        <v>9529</v>
      </c>
      <c r="I9723">
        <v>4</v>
      </c>
      <c r="J9723">
        <v>0</v>
      </c>
      <c r="K9723">
        <v>0</v>
      </c>
      <c r="L9723">
        <v>4</v>
      </c>
      <c r="M9723">
        <v>0</v>
      </c>
      <c r="N9723">
        <v>0</v>
      </c>
      <c r="O9723">
        <v>0</v>
      </c>
    </row>
    <row r="9724" spans="1:15" x14ac:dyDescent="0.25">
      <c r="A9724" t="s">
        <v>1485</v>
      </c>
      <c r="B9724" t="s">
        <v>2836</v>
      </c>
      <c r="C9724" t="s">
        <v>927</v>
      </c>
      <c r="D9724" t="s">
        <v>3052</v>
      </c>
      <c r="E9724" t="s">
        <v>3053</v>
      </c>
      <c r="F9724" t="s">
        <v>850</v>
      </c>
      <c r="G9724" t="s">
        <v>851</v>
      </c>
      <c r="H9724" t="s">
        <v>9530</v>
      </c>
      <c r="I9724">
        <v>11</v>
      </c>
      <c r="J9724">
        <v>0</v>
      </c>
      <c r="K9724">
        <v>0</v>
      </c>
      <c r="L9724">
        <v>0</v>
      </c>
      <c r="M9724">
        <v>0</v>
      </c>
      <c r="N9724">
        <v>0</v>
      </c>
      <c r="O9724">
        <v>11</v>
      </c>
    </row>
    <row r="9725" spans="1:15" x14ac:dyDescent="0.25">
      <c r="A9725" t="s">
        <v>1010</v>
      </c>
      <c r="B9725" t="s">
        <v>2639</v>
      </c>
      <c r="C9725" t="s">
        <v>927</v>
      </c>
      <c r="D9725" t="s">
        <v>3052</v>
      </c>
      <c r="E9725" t="s">
        <v>3053</v>
      </c>
      <c r="F9725" t="s">
        <v>850</v>
      </c>
      <c r="G9725" t="s">
        <v>851</v>
      </c>
      <c r="H9725" t="s">
        <v>9531</v>
      </c>
      <c r="I9725">
        <v>16</v>
      </c>
      <c r="J9725">
        <v>16</v>
      </c>
      <c r="K9725">
        <v>0</v>
      </c>
      <c r="L9725">
        <v>0</v>
      </c>
      <c r="M9725">
        <v>0</v>
      </c>
      <c r="N9725">
        <v>1</v>
      </c>
      <c r="O9725">
        <v>0</v>
      </c>
    </row>
    <row r="9726" spans="1:15" x14ac:dyDescent="0.25">
      <c r="A9726" t="s">
        <v>937</v>
      </c>
      <c r="B9726" t="s">
        <v>1962</v>
      </c>
      <c r="C9726" t="s">
        <v>927</v>
      </c>
      <c r="D9726" t="s">
        <v>3052</v>
      </c>
      <c r="E9726" t="s">
        <v>3053</v>
      </c>
      <c r="F9726" t="s">
        <v>850</v>
      </c>
      <c r="G9726" t="s">
        <v>851</v>
      </c>
      <c r="H9726" t="s">
        <v>9532</v>
      </c>
      <c r="I9726">
        <v>60</v>
      </c>
      <c r="J9726">
        <v>0</v>
      </c>
      <c r="K9726">
        <v>0</v>
      </c>
      <c r="L9726">
        <v>0</v>
      </c>
      <c r="M9726">
        <v>0</v>
      </c>
      <c r="N9726">
        <v>0</v>
      </c>
      <c r="O9726">
        <v>60</v>
      </c>
    </row>
    <row r="9727" spans="1:15" x14ac:dyDescent="0.25">
      <c r="A9727" t="s">
        <v>938</v>
      </c>
      <c r="B9727" t="s">
        <v>2791</v>
      </c>
      <c r="C9727" t="s">
        <v>927</v>
      </c>
      <c r="D9727" t="s">
        <v>3052</v>
      </c>
      <c r="E9727" t="s">
        <v>3053</v>
      </c>
      <c r="F9727" t="s">
        <v>850</v>
      </c>
      <c r="G9727" t="s">
        <v>851</v>
      </c>
      <c r="H9727" t="s">
        <v>9533</v>
      </c>
      <c r="I9727">
        <v>308</v>
      </c>
      <c r="J9727">
        <v>220</v>
      </c>
      <c r="K9727">
        <v>0</v>
      </c>
      <c r="L9727">
        <v>8</v>
      </c>
      <c r="M9727">
        <v>0</v>
      </c>
      <c r="N9727">
        <v>0</v>
      </c>
      <c r="O9727">
        <v>80</v>
      </c>
    </row>
    <row r="9728" spans="1:15" x14ac:dyDescent="0.25">
      <c r="A9728" t="s">
        <v>940</v>
      </c>
      <c r="B9728" t="s">
        <v>2647</v>
      </c>
      <c r="C9728" t="s">
        <v>927</v>
      </c>
      <c r="D9728" t="s">
        <v>3052</v>
      </c>
      <c r="E9728" t="s">
        <v>3053</v>
      </c>
      <c r="F9728" t="s">
        <v>850</v>
      </c>
      <c r="G9728" t="s">
        <v>851</v>
      </c>
      <c r="H9728" t="s">
        <v>9534</v>
      </c>
      <c r="I9728">
        <v>26</v>
      </c>
      <c r="J9728">
        <v>0</v>
      </c>
      <c r="K9728">
        <v>0</v>
      </c>
      <c r="L9728">
        <v>26</v>
      </c>
      <c r="M9728">
        <v>0</v>
      </c>
      <c r="N9728">
        <v>0</v>
      </c>
      <c r="O9728">
        <v>0</v>
      </c>
    </row>
    <row r="9729" spans="1:15" x14ac:dyDescent="0.25">
      <c r="A9729" t="s">
        <v>1122</v>
      </c>
      <c r="B9729" t="s">
        <v>2823</v>
      </c>
      <c r="C9729" t="s">
        <v>927</v>
      </c>
      <c r="D9729" t="s">
        <v>3052</v>
      </c>
      <c r="E9729" t="s">
        <v>3053</v>
      </c>
      <c r="F9729" t="s">
        <v>850</v>
      </c>
      <c r="G9729" t="s">
        <v>851</v>
      </c>
      <c r="H9729" t="s">
        <v>9535</v>
      </c>
      <c r="I9729">
        <v>715</v>
      </c>
      <c r="J9729">
        <v>488</v>
      </c>
      <c r="K9729">
        <v>0</v>
      </c>
      <c r="L9729">
        <v>25</v>
      </c>
      <c r="M9729">
        <v>30</v>
      </c>
      <c r="N9729">
        <v>0</v>
      </c>
      <c r="O9729">
        <v>172</v>
      </c>
    </row>
    <row r="9730" spans="1:15" x14ac:dyDescent="0.25">
      <c r="A9730" t="s">
        <v>1624</v>
      </c>
      <c r="B9730" t="s">
        <v>2076</v>
      </c>
      <c r="C9730" t="s">
        <v>923</v>
      </c>
      <c r="D9730" t="s">
        <v>3063</v>
      </c>
      <c r="E9730" t="s">
        <v>3053</v>
      </c>
      <c r="F9730" t="s">
        <v>850</v>
      </c>
      <c r="G9730" t="s">
        <v>851</v>
      </c>
      <c r="H9730" t="s">
        <v>9536</v>
      </c>
      <c r="I9730">
        <v>118</v>
      </c>
      <c r="J9730">
        <v>9</v>
      </c>
      <c r="K9730">
        <v>33</v>
      </c>
      <c r="L9730">
        <v>42</v>
      </c>
      <c r="M9730">
        <v>34</v>
      </c>
      <c r="N9730">
        <v>9</v>
      </c>
      <c r="O9730">
        <v>0</v>
      </c>
    </row>
    <row r="9731" spans="1:15" x14ac:dyDescent="0.25">
      <c r="A9731" t="s">
        <v>1025</v>
      </c>
      <c r="B9731" t="s">
        <v>2893</v>
      </c>
      <c r="C9731" t="s">
        <v>927</v>
      </c>
      <c r="D9731" t="s">
        <v>3052</v>
      </c>
      <c r="E9731" t="s">
        <v>3053</v>
      </c>
      <c r="F9731" t="s">
        <v>850</v>
      </c>
      <c r="G9731" t="s">
        <v>851</v>
      </c>
      <c r="H9731" t="s">
        <v>15486</v>
      </c>
      <c r="I9731">
        <v>1</v>
      </c>
      <c r="J9731">
        <v>0</v>
      </c>
      <c r="K9731">
        <v>0</v>
      </c>
      <c r="L9731">
        <v>0</v>
      </c>
      <c r="M9731">
        <v>0</v>
      </c>
      <c r="N9731">
        <v>0</v>
      </c>
      <c r="O9731">
        <v>1</v>
      </c>
    </row>
    <row r="9732" spans="1:15" x14ac:dyDescent="0.25">
      <c r="A9732" t="s">
        <v>10681</v>
      </c>
      <c r="B9732" t="s">
        <v>10680</v>
      </c>
      <c r="C9732" t="s">
        <v>927</v>
      </c>
      <c r="D9732" t="s">
        <v>3052</v>
      </c>
      <c r="E9732" t="s">
        <v>3053</v>
      </c>
      <c r="F9732" t="s">
        <v>850</v>
      </c>
      <c r="G9732" t="s">
        <v>851</v>
      </c>
      <c r="H9732" t="s">
        <v>15487</v>
      </c>
      <c r="I9732">
        <v>4</v>
      </c>
      <c r="J9732">
        <v>0</v>
      </c>
      <c r="K9732">
        <v>0</v>
      </c>
      <c r="L9732">
        <v>0</v>
      </c>
      <c r="M9732">
        <v>0</v>
      </c>
      <c r="N9732">
        <v>0</v>
      </c>
      <c r="O9732">
        <v>4</v>
      </c>
    </row>
    <row r="9733" spans="1:15" x14ac:dyDescent="0.25">
      <c r="A9733" t="s">
        <v>943</v>
      </c>
      <c r="B9733" t="s">
        <v>2694</v>
      </c>
      <c r="C9733" t="s">
        <v>927</v>
      </c>
      <c r="D9733" t="s">
        <v>3052</v>
      </c>
      <c r="E9733" t="s">
        <v>3053</v>
      </c>
      <c r="F9733" t="s">
        <v>850</v>
      </c>
      <c r="G9733" t="s">
        <v>851</v>
      </c>
      <c r="H9733" t="s">
        <v>9537</v>
      </c>
      <c r="I9733">
        <v>810</v>
      </c>
      <c r="J9733">
        <v>360</v>
      </c>
      <c r="K9733">
        <v>0</v>
      </c>
      <c r="L9733">
        <v>0</v>
      </c>
      <c r="M9733">
        <v>0</v>
      </c>
      <c r="N9733">
        <v>0</v>
      </c>
      <c r="O9733">
        <v>450</v>
      </c>
    </row>
    <row r="9734" spans="1:15" x14ac:dyDescent="0.25">
      <c r="A9734" t="s">
        <v>945</v>
      </c>
      <c r="B9734" t="s">
        <v>2668</v>
      </c>
      <c r="C9734" t="s">
        <v>927</v>
      </c>
      <c r="D9734" t="s">
        <v>3052</v>
      </c>
      <c r="E9734" t="s">
        <v>3053</v>
      </c>
      <c r="F9734" t="s">
        <v>850</v>
      </c>
      <c r="G9734" t="s">
        <v>851</v>
      </c>
      <c r="H9734" t="s">
        <v>9538</v>
      </c>
      <c r="I9734">
        <v>1</v>
      </c>
      <c r="J9734">
        <v>0</v>
      </c>
      <c r="K9734">
        <v>0</v>
      </c>
      <c r="L9734">
        <v>0</v>
      </c>
      <c r="M9734">
        <v>0</v>
      </c>
      <c r="N9734">
        <v>0</v>
      </c>
      <c r="O9734">
        <v>1</v>
      </c>
    </row>
    <row r="9735" spans="1:15" x14ac:dyDescent="0.25">
      <c r="A9735" t="s">
        <v>1031</v>
      </c>
      <c r="B9735" t="s">
        <v>2779</v>
      </c>
      <c r="C9735" t="s">
        <v>927</v>
      </c>
      <c r="D9735" t="s">
        <v>3052</v>
      </c>
      <c r="E9735" t="s">
        <v>3053</v>
      </c>
      <c r="F9735" t="s">
        <v>850</v>
      </c>
      <c r="G9735" t="s">
        <v>851</v>
      </c>
      <c r="H9735" t="s">
        <v>9539</v>
      </c>
      <c r="I9735">
        <v>11</v>
      </c>
      <c r="J9735">
        <v>11</v>
      </c>
      <c r="K9735">
        <v>0</v>
      </c>
      <c r="L9735">
        <v>0</v>
      </c>
      <c r="M9735">
        <v>0</v>
      </c>
      <c r="N9735">
        <v>0</v>
      </c>
      <c r="O9735">
        <v>0</v>
      </c>
    </row>
    <row r="9736" spans="1:15" x14ac:dyDescent="0.25">
      <c r="A9736" t="s">
        <v>1146</v>
      </c>
      <c r="B9736" t="s">
        <v>2117</v>
      </c>
      <c r="C9736" t="s">
        <v>927</v>
      </c>
      <c r="D9736" t="s">
        <v>3052</v>
      </c>
      <c r="E9736" t="s">
        <v>3053</v>
      </c>
      <c r="F9736" t="s">
        <v>850</v>
      </c>
      <c r="G9736" t="s">
        <v>851</v>
      </c>
      <c r="H9736" t="s">
        <v>15488</v>
      </c>
      <c r="I9736">
        <v>199</v>
      </c>
      <c r="J9736">
        <v>111</v>
      </c>
      <c r="K9736">
        <v>0</v>
      </c>
      <c r="L9736">
        <v>0</v>
      </c>
      <c r="M9736">
        <v>0</v>
      </c>
      <c r="N9736">
        <v>0</v>
      </c>
      <c r="O9736">
        <v>88</v>
      </c>
    </row>
    <row r="9737" spans="1:15" x14ac:dyDescent="0.25">
      <c r="A9737" t="s">
        <v>951</v>
      </c>
      <c r="B9737" t="s">
        <v>2680</v>
      </c>
      <c r="C9737" t="s">
        <v>927</v>
      </c>
      <c r="D9737" t="s">
        <v>3052</v>
      </c>
      <c r="E9737" t="s">
        <v>3053</v>
      </c>
      <c r="F9737" t="s">
        <v>850</v>
      </c>
      <c r="G9737" t="s">
        <v>851</v>
      </c>
      <c r="H9737" t="s">
        <v>9540</v>
      </c>
      <c r="I9737">
        <v>159</v>
      </c>
      <c r="J9737">
        <v>136</v>
      </c>
      <c r="K9737">
        <v>0</v>
      </c>
      <c r="L9737">
        <v>0</v>
      </c>
      <c r="M9737">
        <v>0</v>
      </c>
      <c r="N9737">
        <v>0</v>
      </c>
      <c r="O9737">
        <v>23</v>
      </c>
    </row>
    <row r="9738" spans="1:15" x14ac:dyDescent="0.25">
      <c r="A9738" t="s">
        <v>9788</v>
      </c>
      <c r="B9738" t="s">
        <v>9871</v>
      </c>
      <c r="C9738" t="s">
        <v>927</v>
      </c>
      <c r="D9738" t="s">
        <v>3052</v>
      </c>
      <c r="E9738" t="s">
        <v>3053</v>
      </c>
      <c r="F9738" t="s">
        <v>850</v>
      </c>
      <c r="G9738" t="s">
        <v>851</v>
      </c>
      <c r="H9738" t="s">
        <v>11529</v>
      </c>
      <c r="I9738">
        <v>40</v>
      </c>
      <c r="J9738">
        <v>40</v>
      </c>
      <c r="K9738">
        <v>0</v>
      </c>
      <c r="L9738">
        <v>0</v>
      </c>
      <c r="M9738">
        <v>0</v>
      </c>
      <c r="N9738">
        <v>0</v>
      </c>
      <c r="O9738">
        <v>0</v>
      </c>
    </row>
    <row r="9739" spans="1:15" x14ac:dyDescent="0.25">
      <c r="A9739" t="s">
        <v>955</v>
      </c>
      <c r="B9739" t="s">
        <v>2660</v>
      </c>
      <c r="C9739" t="s">
        <v>927</v>
      </c>
      <c r="D9739" t="s">
        <v>3052</v>
      </c>
      <c r="E9739" t="s">
        <v>3053</v>
      </c>
      <c r="F9739" t="s">
        <v>850</v>
      </c>
      <c r="G9739" t="s">
        <v>851</v>
      </c>
      <c r="H9739" t="s">
        <v>9541</v>
      </c>
      <c r="I9739">
        <v>66</v>
      </c>
      <c r="J9739">
        <v>59</v>
      </c>
      <c r="K9739">
        <v>0</v>
      </c>
      <c r="L9739">
        <v>0</v>
      </c>
      <c r="M9739">
        <v>0</v>
      </c>
      <c r="N9739">
        <v>0</v>
      </c>
      <c r="O9739">
        <v>7</v>
      </c>
    </row>
    <row r="9740" spans="1:15" x14ac:dyDescent="0.25">
      <c r="A9740" t="s">
        <v>1658</v>
      </c>
      <c r="B9740" t="s">
        <v>2892</v>
      </c>
      <c r="C9740" t="s">
        <v>927</v>
      </c>
      <c r="D9740" t="s">
        <v>3052</v>
      </c>
      <c r="E9740" t="s">
        <v>3053</v>
      </c>
      <c r="F9740" t="s">
        <v>850</v>
      </c>
      <c r="G9740" t="s">
        <v>851</v>
      </c>
      <c r="H9740" t="s">
        <v>9542</v>
      </c>
      <c r="I9740">
        <v>162</v>
      </c>
      <c r="J9740">
        <v>97</v>
      </c>
      <c r="K9740">
        <v>0</v>
      </c>
      <c r="L9740">
        <v>0</v>
      </c>
      <c r="M9740">
        <v>0</v>
      </c>
      <c r="N9740">
        <v>0</v>
      </c>
      <c r="O9740">
        <v>65</v>
      </c>
    </row>
    <row r="9741" spans="1:15" x14ac:dyDescent="0.25">
      <c r="A9741" t="s">
        <v>11663</v>
      </c>
      <c r="B9741" t="s">
        <v>11768</v>
      </c>
      <c r="C9741" t="s">
        <v>927</v>
      </c>
      <c r="D9741" t="s">
        <v>3052</v>
      </c>
      <c r="E9741" t="s">
        <v>3053</v>
      </c>
      <c r="F9741" t="s">
        <v>850</v>
      </c>
      <c r="G9741" t="s">
        <v>851</v>
      </c>
      <c r="H9741" t="s">
        <v>12513</v>
      </c>
      <c r="I9741">
        <v>264</v>
      </c>
      <c r="J9741">
        <v>193</v>
      </c>
      <c r="K9741">
        <v>4</v>
      </c>
      <c r="L9741">
        <v>0</v>
      </c>
      <c r="M9741">
        <v>45</v>
      </c>
      <c r="N9741">
        <v>0</v>
      </c>
      <c r="O9741">
        <v>22</v>
      </c>
    </row>
    <row r="9742" spans="1:15" x14ac:dyDescent="0.25">
      <c r="A9742" t="s">
        <v>960</v>
      </c>
      <c r="B9742" t="s">
        <v>2080</v>
      </c>
      <c r="C9742" t="s">
        <v>927</v>
      </c>
      <c r="D9742" t="s">
        <v>3052</v>
      </c>
      <c r="E9742" t="s">
        <v>3053</v>
      </c>
      <c r="F9742" t="s">
        <v>850</v>
      </c>
      <c r="G9742" t="s">
        <v>851</v>
      </c>
      <c r="H9742" t="s">
        <v>9543</v>
      </c>
      <c r="I9742">
        <v>540</v>
      </c>
      <c r="J9742">
        <v>296</v>
      </c>
      <c r="K9742">
        <v>0</v>
      </c>
      <c r="L9742">
        <v>18</v>
      </c>
      <c r="M9742">
        <v>0</v>
      </c>
      <c r="N9742">
        <v>1</v>
      </c>
      <c r="O9742">
        <v>226</v>
      </c>
    </row>
    <row r="9743" spans="1:15" x14ac:dyDescent="0.25">
      <c r="A9743" t="s">
        <v>14374</v>
      </c>
      <c r="B9743" t="s">
        <v>1943</v>
      </c>
      <c r="C9743" t="s">
        <v>927</v>
      </c>
      <c r="D9743" t="s">
        <v>3052</v>
      </c>
      <c r="E9743" t="s">
        <v>3053</v>
      </c>
      <c r="F9743" t="s">
        <v>850</v>
      </c>
      <c r="G9743" t="s">
        <v>851</v>
      </c>
      <c r="H9743" t="s">
        <v>15489</v>
      </c>
      <c r="I9743">
        <v>32</v>
      </c>
      <c r="J9743">
        <v>0</v>
      </c>
      <c r="K9743">
        <v>0</v>
      </c>
      <c r="L9743">
        <v>0</v>
      </c>
      <c r="M9743">
        <v>0</v>
      </c>
      <c r="N9743">
        <v>0</v>
      </c>
      <c r="O9743">
        <v>32</v>
      </c>
    </row>
    <row r="9744" spans="1:15" x14ac:dyDescent="0.25">
      <c r="A9744" t="s">
        <v>962</v>
      </c>
      <c r="B9744" t="s">
        <v>2752</v>
      </c>
      <c r="C9744" t="s">
        <v>927</v>
      </c>
      <c r="D9744" t="s">
        <v>3052</v>
      </c>
      <c r="E9744" t="s">
        <v>3053</v>
      </c>
      <c r="F9744" t="s">
        <v>850</v>
      </c>
      <c r="G9744" t="s">
        <v>851</v>
      </c>
      <c r="H9744" t="s">
        <v>10461</v>
      </c>
      <c r="I9744">
        <v>5</v>
      </c>
      <c r="J9744">
        <v>4</v>
      </c>
      <c r="K9744">
        <v>0</v>
      </c>
      <c r="L9744">
        <v>0</v>
      </c>
      <c r="M9744">
        <v>0</v>
      </c>
      <c r="N9744">
        <v>0</v>
      </c>
      <c r="O9744">
        <v>1</v>
      </c>
    </row>
    <row r="9745" spans="1:15" x14ac:dyDescent="0.25">
      <c r="A9745" t="s">
        <v>966</v>
      </c>
      <c r="B9745" t="s">
        <v>2684</v>
      </c>
      <c r="C9745" t="s">
        <v>927</v>
      </c>
      <c r="D9745" t="s">
        <v>3052</v>
      </c>
      <c r="E9745" t="s">
        <v>3053</v>
      </c>
      <c r="F9745" t="s">
        <v>850</v>
      </c>
      <c r="G9745" t="s">
        <v>851</v>
      </c>
      <c r="H9745" t="s">
        <v>9544</v>
      </c>
      <c r="I9745">
        <v>2</v>
      </c>
      <c r="J9745">
        <v>2</v>
      </c>
      <c r="K9745">
        <v>0</v>
      </c>
      <c r="L9745">
        <v>0</v>
      </c>
      <c r="M9745">
        <v>0</v>
      </c>
      <c r="N9745">
        <v>0</v>
      </c>
      <c r="O9745">
        <v>0</v>
      </c>
    </row>
    <row r="9746" spans="1:15" x14ac:dyDescent="0.25">
      <c r="A9746" t="s">
        <v>968</v>
      </c>
      <c r="B9746" t="s">
        <v>2091</v>
      </c>
      <c r="C9746" t="s">
        <v>927</v>
      </c>
      <c r="D9746" t="s">
        <v>3052</v>
      </c>
      <c r="E9746" t="s">
        <v>3053</v>
      </c>
      <c r="F9746" t="s">
        <v>850</v>
      </c>
      <c r="G9746" t="s">
        <v>851</v>
      </c>
      <c r="H9746" t="s">
        <v>9545</v>
      </c>
      <c r="I9746">
        <v>545</v>
      </c>
      <c r="J9746">
        <v>301</v>
      </c>
      <c r="K9746">
        <v>0</v>
      </c>
      <c r="L9746">
        <v>0</v>
      </c>
      <c r="M9746">
        <v>0</v>
      </c>
      <c r="N9746">
        <v>0</v>
      </c>
      <c r="O9746">
        <v>244</v>
      </c>
    </row>
    <row r="9747" spans="1:15" x14ac:dyDescent="0.25">
      <c r="A9747" t="s">
        <v>1689</v>
      </c>
      <c r="B9747" t="s">
        <v>2646</v>
      </c>
      <c r="C9747" t="s">
        <v>923</v>
      </c>
      <c r="D9747" t="s">
        <v>3063</v>
      </c>
      <c r="E9747" t="s">
        <v>3053</v>
      </c>
      <c r="F9747" t="s">
        <v>850</v>
      </c>
      <c r="G9747" t="s">
        <v>851</v>
      </c>
      <c r="H9747" t="s">
        <v>9546</v>
      </c>
      <c r="I9747">
        <v>42</v>
      </c>
      <c r="J9747">
        <v>0</v>
      </c>
      <c r="K9747">
        <v>0</v>
      </c>
      <c r="L9747">
        <v>0</v>
      </c>
      <c r="M9747">
        <v>42</v>
      </c>
      <c r="N9747">
        <v>0</v>
      </c>
      <c r="O9747">
        <v>0</v>
      </c>
    </row>
    <row r="9748" spans="1:15" x14ac:dyDescent="0.25">
      <c r="A9748" t="s">
        <v>1696</v>
      </c>
      <c r="B9748" t="s">
        <v>2230</v>
      </c>
      <c r="C9748" t="s">
        <v>923</v>
      </c>
      <c r="D9748" t="s">
        <v>3063</v>
      </c>
      <c r="E9748" t="s">
        <v>3053</v>
      </c>
      <c r="F9748" t="s">
        <v>850</v>
      </c>
      <c r="G9748" t="s">
        <v>851</v>
      </c>
      <c r="H9748" t="s">
        <v>9547</v>
      </c>
      <c r="I9748">
        <v>18</v>
      </c>
      <c r="J9748">
        <v>18</v>
      </c>
      <c r="K9748">
        <v>0</v>
      </c>
      <c r="L9748">
        <v>0</v>
      </c>
      <c r="M9748">
        <v>0</v>
      </c>
      <c r="N9748">
        <v>0</v>
      </c>
      <c r="O9748">
        <v>0</v>
      </c>
    </row>
    <row r="9749" spans="1:15" x14ac:dyDescent="0.25">
      <c r="A9749" t="s">
        <v>929</v>
      </c>
      <c r="B9749" t="s">
        <v>2999</v>
      </c>
      <c r="C9749" t="s">
        <v>927</v>
      </c>
      <c r="D9749" t="s">
        <v>3052</v>
      </c>
      <c r="E9749" t="s">
        <v>3053</v>
      </c>
      <c r="F9749" t="s">
        <v>852</v>
      </c>
      <c r="G9749" t="s">
        <v>853</v>
      </c>
      <c r="H9749" t="s">
        <v>9548</v>
      </c>
      <c r="I9749">
        <v>254</v>
      </c>
      <c r="J9749">
        <v>0</v>
      </c>
      <c r="K9749">
        <v>0</v>
      </c>
      <c r="L9749">
        <v>0</v>
      </c>
      <c r="M9749">
        <v>224</v>
      </c>
      <c r="N9749">
        <v>0</v>
      </c>
      <c r="O9749">
        <v>30</v>
      </c>
    </row>
    <row r="9750" spans="1:15" x14ac:dyDescent="0.25">
      <c r="A9750" t="s">
        <v>1703</v>
      </c>
      <c r="B9750" t="s">
        <v>1992</v>
      </c>
      <c r="C9750" t="s">
        <v>923</v>
      </c>
      <c r="D9750" t="s">
        <v>3063</v>
      </c>
      <c r="E9750" t="s">
        <v>3053</v>
      </c>
      <c r="F9750" t="s">
        <v>852</v>
      </c>
      <c r="G9750" t="s">
        <v>853</v>
      </c>
      <c r="H9750" t="s">
        <v>9549</v>
      </c>
      <c r="I9750">
        <v>113</v>
      </c>
      <c r="J9750">
        <v>1</v>
      </c>
      <c r="K9750">
        <v>9</v>
      </c>
      <c r="L9750">
        <v>103</v>
      </c>
      <c r="M9750">
        <v>0</v>
      </c>
      <c r="N9750">
        <v>0</v>
      </c>
      <c r="O9750">
        <v>0</v>
      </c>
    </row>
    <row r="9751" spans="1:15" x14ac:dyDescent="0.25">
      <c r="A9751" t="s">
        <v>9790</v>
      </c>
      <c r="B9751" t="s">
        <v>1977</v>
      </c>
      <c r="C9751" t="s">
        <v>923</v>
      </c>
      <c r="D9751" t="s">
        <v>3063</v>
      </c>
      <c r="E9751" t="s">
        <v>3053</v>
      </c>
      <c r="F9751" t="s">
        <v>852</v>
      </c>
      <c r="G9751" t="s">
        <v>853</v>
      </c>
      <c r="H9751" t="s">
        <v>12514</v>
      </c>
      <c r="I9751">
        <v>11</v>
      </c>
      <c r="J9751">
        <v>0</v>
      </c>
      <c r="K9751">
        <v>0</v>
      </c>
      <c r="L9751">
        <v>11</v>
      </c>
      <c r="M9751">
        <v>0</v>
      </c>
      <c r="N9751">
        <v>0</v>
      </c>
      <c r="O9751">
        <v>0</v>
      </c>
    </row>
    <row r="9752" spans="1:15" x14ac:dyDescent="0.25">
      <c r="A9752" t="s">
        <v>9784</v>
      </c>
      <c r="B9752" t="s">
        <v>1994</v>
      </c>
      <c r="C9752" t="s">
        <v>927</v>
      </c>
      <c r="D9752" t="s">
        <v>3052</v>
      </c>
      <c r="E9752" t="s">
        <v>3053</v>
      </c>
      <c r="F9752" t="s">
        <v>852</v>
      </c>
      <c r="G9752" t="s">
        <v>853</v>
      </c>
      <c r="H9752" t="s">
        <v>9999</v>
      </c>
      <c r="I9752">
        <v>37</v>
      </c>
      <c r="J9752">
        <v>0</v>
      </c>
      <c r="K9752">
        <v>0</v>
      </c>
      <c r="L9752">
        <v>37</v>
      </c>
      <c r="M9752">
        <v>0</v>
      </c>
      <c r="N9752">
        <v>0</v>
      </c>
      <c r="O9752">
        <v>0</v>
      </c>
    </row>
    <row r="9753" spans="1:15" x14ac:dyDescent="0.25">
      <c r="A9753" t="s">
        <v>1802</v>
      </c>
      <c r="B9753" t="s">
        <v>2754</v>
      </c>
      <c r="C9753" t="s">
        <v>927</v>
      </c>
      <c r="D9753" t="s">
        <v>3052</v>
      </c>
      <c r="E9753" t="s">
        <v>3053</v>
      </c>
      <c r="F9753" t="s">
        <v>852</v>
      </c>
      <c r="G9753" t="s">
        <v>853</v>
      </c>
      <c r="H9753" t="s">
        <v>9550</v>
      </c>
      <c r="I9753">
        <v>38</v>
      </c>
      <c r="J9753">
        <v>34</v>
      </c>
      <c r="K9753">
        <v>0</v>
      </c>
      <c r="L9753">
        <v>0</v>
      </c>
      <c r="M9753">
        <v>0</v>
      </c>
      <c r="N9753">
        <v>0</v>
      </c>
      <c r="O9753">
        <v>4</v>
      </c>
    </row>
    <row r="9754" spans="1:15" x14ac:dyDescent="0.25">
      <c r="A9754" t="s">
        <v>983</v>
      </c>
      <c r="B9754" t="s">
        <v>2069</v>
      </c>
      <c r="C9754" t="s">
        <v>927</v>
      </c>
      <c r="D9754" t="s">
        <v>3052</v>
      </c>
      <c r="E9754" t="s">
        <v>3053</v>
      </c>
      <c r="F9754" t="s">
        <v>852</v>
      </c>
      <c r="G9754" t="s">
        <v>853</v>
      </c>
      <c r="H9754" t="s">
        <v>9551</v>
      </c>
      <c r="I9754">
        <v>1490</v>
      </c>
      <c r="J9754">
        <v>1189</v>
      </c>
      <c r="K9754">
        <v>0</v>
      </c>
      <c r="L9754">
        <v>58</v>
      </c>
      <c r="M9754">
        <v>124</v>
      </c>
      <c r="N9754">
        <v>0</v>
      </c>
      <c r="O9754">
        <v>119</v>
      </c>
    </row>
    <row r="9755" spans="1:15" x14ac:dyDescent="0.25">
      <c r="A9755" t="s">
        <v>989</v>
      </c>
      <c r="B9755" t="s">
        <v>2016</v>
      </c>
      <c r="C9755" t="s">
        <v>923</v>
      </c>
      <c r="D9755" t="s">
        <v>3063</v>
      </c>
      <c r="E9755" t="s">
        <v>3053</v>
      </c>
      <c r="F9755" t="s">
        <v>852</v>
      </c>
      <c r="G9755" t="s">
        <v>853</v>
      </c>
      <c r="H9755" t="s">
        <v>9552</v>
      </c>
      <c r="I9755">
        <v>11</v>
      </c>
      <c r="J9755">
        <v>0</v>
      </c>
      <c r="K9755">
        <v>0</v>
      </c>
      <c r="L9755">
        <v>11</v>
      </c>
      <c r="M9755">
        <v>0</v>
      </c>
      <c r="N9755">
        <v>0</v>
      </c>
      <c r="O9755">
        <v>0</v>
      </c>
    </row>
    <row r="9756" spans="1:15" x14ac:dyDescent="0.25">
      <c r="A9756" t="s">
        <v>1715</v>
      </c>
      <c r="B9756" t="s">
        <v>2136</v>
      </c>
      <c r="C9756" t="s">
        <v>927</v>
      </c>
      <c r="D9756" t="s">
        <v>3052</v>
      </c>
      <c r="E9756" t="s">
        <v>3053</v>
      </c>
      <c r="F9756" t="s">
        <v>852</v>
      </c>
      <c r="G9756" t="s">
        <v>853</v>
      </c>
      <c r="H9756" t="s">
        <v>9553</v>
      </c>
      <c r="I9756">
        <v>3</v>
      </c>
      <c r="J9756">
        <v>3</v>
      </c>
      <c r="K9756">
        <v>0</v>
      </c>
      <c r="L9756">
        <v>0</v>
      </c>
      <c r="M9756">
        <v>0</v>
      </c>
      <c r="N9756">
        <v>0</v>
      </c>
      <c r="O9756">
        <v>0</v>
      </c>
    </row>
    <row r="9757" spans="1:15" x14ac:dyDescent="0.25">
      <c r="A9757" t="s">
        <v>933</v>
      </c>
      <c r="B9757" t="s">
        <v>2106</v>
      </c>
      <c r="C9757" t="s">
        <v>927</v>
      </c>
      <c r="D9757" t="s">
        <v>3052</v>
      </c>
      <c r="E9757" t="s">
        <v>3053</v>
      </c>
      <c r="F9757" t="s">
        <v>852</v>
      </c>
      <c r="G9757" t="s">
        <v>853</v>
      </c>
      <c r="H9757" t="s">
        <v>9554</v>
      </c>
      <c r="I9757">
        <v>8</v>
      </c>
      <c r="J9757">
        <v>3</v>
      </c>
      <c r="K9757">
        <v>0</v>
      </c>
      <c r="L9757">
        <v>0</v>
      </c>
      <c r="M9757">
        <v>0</v>
      </c>
      <c r="N9757">
        <v>0</v>
      </c>
      <c r="O9757">
        <v>5</v>
      </c>
    </row>
    <row r="9758" spans="1:15" x14ac:dyDescent="0.25">
      <c r="A9758" t="s">
        <v>11660</v>
      </c>
      <c r="B9758" t="s">
        <v>2041</v>
      </c>
      <c r="C9758" t="s">
        <v>923</v>
      </c>
      <c r="D9758" t="s">
        <v>3063</v>
      </c>
      <c r="E9758" t="s">
        <v>3053</v>
      </c>
      <c r="F9758" t="s">
        <v>852</v>
      </c>
      <c r="G9758" t="s">
        <v>853</v>
      </c>
      <c r="H9758" t="s">
        <v>12515</v>
      </c>
      <c r="I9758">
        <v>2</v>
      </c>
      <c r="J9758">
        <v>0</v>
      </c>
      <c r="K9758">
        <v>0</v>
      </c>
      <c r="L9758">
        <v>2</v>
      </c>
      <c r="M9758">
        <v>0</v>
      </c>
      <c r="N9758">
        <v>0</v>
      </c>
      <c r="O9758">
        <v>0</v>
      </c>
    </row>
    <row r="9759" spans="1:15" x14ac:dyDescent="0.25">
      <c r="A9759" t="s">
        <v>10638</v>
      </c>
      <c r="B9759" t="s">
        <v>2057</v>
      </c>
      <c r="C9759" t="s">
        <v>927</v>
      </c>
      <c r="D9759" t="s">
        <v>3052</v>
      </c>
      <c r="E9759" t="s">
        <v>3053</v>
      </c>
      <c r="F9759" t="s">
        <v>852</v>
      </c>
      <c r="G9759" t="s">
        <v>853</v>
      </c>
      <c r="H9759" t="s">
        <v>11530</v>
      </c>
      <c r="I9759">
        <v>9</v>
      </c>
      <c r="J9759">
        <v>0</v>
      </c>
      <c r="K9759">
        <v>0</v>
      </c>
      <c r="L9759">
        <v>9</v>
      </c>
      <c r="M9759">
        <v>0</v>
      </c>
      <c r="N9759">
        <v>0</v>
      </c>
      <c r="O9759">
        <v>0</v>
      </c>
    </row>
    <row r="9760" spans="1:15" x14ac:dyDescent="0.25">
      <c r="A9760" t="s">
        <v>10643</v>
      </c>
      <c r="B9760" t="s">
        <v>2987</v>
      </c>
      <c r="C9760" t="s">
        <v>927</v>
      </c>
      <c r="D9760" t="s">
        <v>3052</v>
      </c>
      <c r="E9760" t="s">
        <v>3053</v>
      </c>
      <c r="F9760" t="s">
        <v>852</v>
      </c>
      <c r="G9760" t="s">
        <v>853</v>
      </c>
      <c r="H9760" t="s">
        <v>11531</v>
      </c>
      <c r="I9760">
        <v>1611</v>
      </c>
      <c r="J9760">
        <v>1217</v>
      </c>
      <c r="K9760">
        <v>7</v>
      </c>
      <c r="L9760">
        <v>99</v>
      </c>
      <c r="M9760">
        <v>239</v>
      </c>
      <c r="N9760">
        <v>16</v>
      </c>
      <c r="O9760">
        <v>49</v>
      </c>
    </row>
    <row r="9761" spans="1:15" x14ac:dyDescent="0.25">
      <c r="A9761" t="s">
        <v>1009</v>
      </c>
      <c r="B9761" t="s">
        <v>1958</v>
      </c>
      <c r="C9761" t="s">
        <v>923</v>
      </c>
      <c r="D9761" t="s">
        <v>3063</v>
      </c>
      <c r="E9761" t="s">
        <v>3053</v>
      </c>
      <c r="F9761" t="s">
        <v>852</v>
      </c>
      <c r="G9761" t="s">
        <v>853</v>
      </c>
      <c r="H9761" t="s">
        <v>9555</v>
      </c>
      <c r="I9761">
        <v>4</v>
      </c>
      <c r="J9761">
        <v>0</v>
      </c>
      <c r="K9761">
        <v>0</v>
      </c>
      <c r="L9761">
        <v>4</v>
      </c>
      <c r="M9761">
        <v>0</v>
      </c>
      <c r="N9761">
        <v>0</v>
      </c>
      <c r="O9761">
        <v>0</v>
      </c>
    </row>
    <row r="9762" spans="1:15" x14ac:dyDescent="0.25">
      <c r="A9762" t="s">
        <v>937</v>
      </c>
      <c r="B9762" t="s">
        <v>1962</v>
      </c>
      <c r="C9762" t="s">
        <v>927</v>
      </c>
      <c r="D9762" t="s">
        <v>3052</v>
      </c>
      <c r="E9762" t="s">
        <v>3053</v>
      </c>
      <c r="F9762" t="s">
        <v>852</v>
      </c>
      <c r="G9762" t="s">
        <v>853</v>
      </c>
      <c r="H9762" t="s">
        <v>9556</v>
      </c>
      <c r="I9762">
        <v>9</v>
      </c>
      <c r="J9762">
        <v>0</v>
      </c>
      <c r="K9762">
        <v>0</v>
      </c>
      <c r="L9762">
        <v>0</v>
      </c>
      <c r="M9762">
        <v>0</v>
      </c>
      <c r="N9762">
        <v>0</v>
      </c>
      <c r="O9762">
        <v>9</v>
      </c>
    </row>
    <row r="9763" spans="1:15" x14ac:dyDescent="0.25">
      <c r="A9763" t="s">
        <v>1824</v>
      </c>
      <c r="B9763" t="s">
        <v>2614</v>
      </c>
      <c r="C9763" t="s">
        <v>923</v>
      </c>
      <c r="D9763" t="s">
        <v>3063</v>
      </c>
      <c r="E9763" t="s">
        <v>3053</v>
      </c>
      <c r="F9763" t="s">
        <v>852</v>
      </c>
      <c r="G9763" t="s">
        <v>853</v>
      </c>
      <c r="H9763" t="s">
        <v>9557</v>
      </c>
      <c r="I9763">
        <v>12</v>
      </c>
      <c r="J9763">
        <v>12</v>
      </c>
      <c r="K9763">
        <v>0</v>
      </c>
      <c r="L9763">
        <v>0</v>
      </c>
      <c r="M9763">
        <v>0</v>
      </c>
      <c r="N9763">
        <v>0</v>
      </c>
      <c r="O9763">
        <v>0</v>
      </c>
    </row>
    <row r="9764" spans="1:15" x14ac:dyDescent="0.25">
      <c r="A9764" t="s">
        <v>938</v>
      </c>
      <c r="B9764" t="s">
        <v>2791</v>
      </c>
      <c r="C9764" t="s">
        <v>927</v>
      </c>
      <c r="D9764" t="s">
        <v>3052</v>
      </c>
      <c r="E9764" t="s">
        <v>3053</v>
      </c>
      <c r="F9764" t="s">
        <v>852</v>
      </c>
      <c r="G9764" t="s">
        <v>853</v>
      </c>
      <c r="H9764" t="s">
        <v>9558</v>
      </c>
      <c r="I9764">
        <v>22</v>
      </c>
      <c r="J9764">
        <v>0</v>
      </c>
      <c r="K9764">
        <v>0</v>
      </c>
      <c r="L9764">
        <v>22</v>
      </c>
      <c r="M9764">
        <v>0</v>
      </c>
      <c r="N9764">
        <v>0</v>
      </c>
      <c r="O9764">
        <v>0</v>
      </c>
    </row>
    <row r="9765" spans="1:15" x14ac:dyDescent="0.25">
      <c r="A9765" t="s">
        <v>940</v>
      </c>
      <c r="B9765" t="s">
        <v>2647</v>
      </c>
      <c r="C9765" t="s">
        <v>927</v>
      </c>
      <c r="D9765" t="s">
        <v>3052</v>
      </c>
      <c r="E9765" t="s">
        <v>3053</v>
      </c>
      <c r="F9765" t="s">
        <v>852</v>
      </c>
      <c r="G9765" t="s">
        <v>853</v>
      </c>
      <c r="H9765" t="s">
        <v>9559</v>
      </c>
      <c r="I9765">
        <v>20</v>
      </c>
      <c r="J9765">
        <v>0</v>
      </c>
      <c r="K9765">
        <v>0</v>
      </c>
      <c r="L9765">
        <v>0</v>
      </c>
      <c r="M9765">
        <v>20</v>
      </c>
      <c r="N9765">
        <v>0</v>
      </c>
      <c r="O9765">
        <v>0</v>
      </c>
    </row>
    <row r="9766" spans="1:15" x14ac:dyDescent="0.25">
      <c r="A9766" t="s">
        <v>1013</v>
      </c>
      <c r="B9766" t="s">
        <v>1959</v>
      </c>
      <c r="C9766" t="s">
        <v>927</v>
      </c>
      <c r="D9766" t="s">
        <v>3052</v>
      </c>
      <c r="E9766" t="s">
        <v>3053</v>
      </c>
      <c r="F9766" t="s">
        <v>852</v>
      </c>
      <c r="G9766" t="s">
        <v>853</v>
      </c>
      <c r="H9766" t="s">
        <v>9560</v>
      </c>
      <c r="I9766">
        <v>44</v>
      </c>
      <c r="J9766">
        <v>0</v>
      </c>
      <c r="K9766">
        <v>0</v>
      </c>
      <c r="L9766">
        <v>44</v>
      </c>
      <c r="M9766">
        <v>0</v>
      </c>
      <c r="N9766">
        <v>0</v>
      </c>
      <c r="O9766">
        <v>0</v>
      </c>
    </row>
    <row r="9767" spans="1:15" x14ac:dyDescent="0.25">
      <c r="A9767" t="s">
        <v>1126</v>
      </c>
      <c r="B9767" t="s">
        <v>2130</v>
      </c>
      <c r="C9767" t="s">
        <v>927</v>
      </c>
      <c r="D9767" t="s">
        <v>3052</v>
      </c>
      <c r="E9767" t="s">
        <v>3053</v>
      </c>
      <c r="F9767" t="s">
        <v>852</v>
      </c>
      <c r="G9767" t="s">
        <v>853</v>
      </c>
      <c r="H9767" t="s">
        <v>10173</v>
      </c>
      <c r="I9767">
        <v>13</v>
      </c>
      <c r="J9767">
        <v>13</v>
      </c>
      <c r="K9767">
        <v>0</v>
      </c>
      <c r="L9767">
        <v>0</v>
      </c>
      <c r="M9767">
        <v>0</v>
      </c>
      <c r="N9767">
        <v>0</v>
      </c>
      <c r="O9767">
        <v>0</v>
      </c>
    </row>
    <row r="9768" spans="1:15" x14ac:dyDescent="0.25">
      <c r="A9768" t="s">
        <v>1296</v>
      </c>
      <c r="B9768" t="s">
        <v>2965</v>
      </c>
      <c r="C9768" t="s">
        <v>923</v>
      </c>
      <c r="D9768" t="s">
        <v>3063</v>
      </c>
      <c r="E9768" t="s">
        <v>3053</v>
      </c>
      <c r="F9768" t="s">
        <v>852</v>
      </c>
      <c r="G9768" t="s">
        <v>853</v>
      </c>
      <c r="H9768" t="s">
        <v>9561</v>
      </c>
      <c r="I9768">
        <v>40</v>
      </c>
      <c r="J9768">
        <v>0</v>
      </c>
      <c r="K9768">
        <v>0</v>
      </c>
      <c r="L9768">
        <v>0</v>
      </c>
      <c r="M9768">
        <v>40</v>
      </c>
      <c r="N9768">
        <v>0</v>
      </c>
      <c r="O9768">
        <v>0</v>
      </c>
    </row>
    <row r="9769" spans="1:15" x14ac:dyDescent="0.25">
      <c r="A9769" t="s">
        <v>1030</v>
      </c>
      <c r="B9769" t="s">
        <v>2880</v>
      </c>
      <c r="C9769" t="s">
        <v>927</v>
      </c>
      <c r="D9769" t="s">
        <v>3052</v>
      </c>
      <c r="E9769" t="s">
        <v>3053</v>
      </c>
      <c r="F9769" t="s">
        <v>852</v>
      </c>
      <c r="G9769" t="s">
        <v>853</v>
      </c>
      <c r="H9769" t="s">
        <v>9562</v>
      </c>
      <c r="I9769">
        <v>2416</v>
      </c>
      <c r="J9769">
        <v>1770</v>
      </c>
      <c r="K9769">
        <v>0</v>
      </c>
      <c r="L9769">
        <v>59</v>
      </c>
      <c r="M9769">
        <v>535</v>
      </c>
      <c r="N9769">
        <v>0</v>
      </c>
      <c r="O9769">
        <v>52</v>
      </c>
    </row>
    <row r="9770" spans="1:15" x14ac:dyDescent="0.25">
      <c r="A9770" t="s">
        <v>1829</v>
      </c>
      <c r="B9770" t="s">
        <v>2811</v>
      </c>
      <c r="C9770" t="s">
        <v>927</v>
      </c>
      <c r="D9770" t="s">
        <v>3052</v>
      </c>
      <c r="E9770" t="s">
        <v>3053</v>
      </c>
      <c r="F9770" t="s">
        <v>852</v>
      </c>
      <c r="G9770" t="s">
        <v>853</v>
      </c>
      <c r="H9770" t="s">
        <v>9563</v>
      </c>
      <c r="I9770">
        <v>411</v>
      </c>
      <c r="J9770">
        <v>334</v>
      </c>
      <c r="K9770">
        <v>0</v>
      </c>
      <c r="L9770">
        <v>10</v>
      </c>
      <c r="M9770">
        <v>67</v>
      </c>
      <c r="N9770">
        <v>0</v>
      </c>
      <c r="O9770">
        <v>0</v>
      </c>
    </row>
    <row r="9771" spans="1:15" x14ac:dyDescent="0.25">
      <c r="A9771" t="s">
        <v>1041</v>
      </c>
      <c r="B9771" t="s">
        <v>2826</v>
      </c>
      <c r="C9771" t="s">
        <v>927</v>
      </c>
      <c r="D9771" t="s">
        <v>3052</v>
      </c>
      <c r="E9771" t="s">
        <v>3053</v>
      </c>
      <c r="F9771" t="s">
        <v>852</v>
      </c>
      <c r="G9771" t="s">
        <v>853</v>
      </c>
      <c r="H9771" t="s">
        <v>9564</v>
      </c>
      <c r="I9771">
        <v>3</v>
      </c>
      <c r="J9771">
        <v>3</v>
      </c>
      <c r="K9771">
        <v>0</v>
      </c>
      <c r="L9771">
        <v>0</v>
      </c>
      <c r="M9771">
        <v>0</v>
      </c>
      <c r="N9771">
        <v>0</v>
      </c>
      <c r="O9771">
        <v>0</v>
      </c>
    </row>
    <row r="9772" spans="1:15" x14ac:dyDescent="0.25">
      <c r="A9772" t="s">
        <v>1042</v>
      </c>
      <c r="B9772" t="s">
        <v>2115</v>
      </c>
      <c r="C9772" t="s">
        <v>923</v>
      </c>
      <c r="D9772" t="s">
        <v>3063</v>
      </c>
      <c r="E9772" t="s">
        <v>3053</v>
      </c>
      <c r="F9772" t="s">
        <v>852</v>
      </c>
      <c r="G9772" t="s">
        <v>853</v>
      </c>
      <c r="H9772" t="s">
        <v>9565</v>
      </c>
      <c r="I9772">
        <v>37</v>
      </c>
      <c r="J9772">
        <v>0</v>
      </c>
      <c r="K9772">
        <v>0</v>
      </c>
      <c r="L9772">
        <v>37</v>
      </c>
      <c r="M9772">
        <v>0</v>
      </c>
      <c r="N9772">
        <v>0</v>
      </c>
      <c r="O9772">
        <v>0</v>
      </c>
    </row>
    <row r="9773" spans="1:15" x14ac:dyDescent="0.25">
      <c r="A9773" t="s">
        <v>1044</v>
      </c>
      <c r="B9773" t="s">
        <v>2000</v>
      </c>
      <c r="C9773" t="s">
        <v>923</v>
      </c>
      <c r="D9773" t="s">
        <v>3063</v>
      </c>
      <c r="E9773" t="s">
        <v>3053</v>
      </c>
      <c r="F9773" t="s">
        <v>852</v>
      </c>
      <c r="G9773" t="s">
        <v>853</v>
      </c>
      <c r="H9773" t="s">
        <v>9566</v>
      </c>
      <c r="I9773">
        <v>10</v>
      </c>
      <c r="J9773">
        <v>0</v>
      </c>
      <c r="K9773">
        <v>0</v>
      </c>
      <c r="L9773">
        <v>10</v>
      </c>
      <c r="M9773">
        <v>0</v>
      </c>
      <c r="N9773">
        <v>0</v>
      </c>
      <c r="O9773">
        <v>0</v>
      </c>
    </row>
    <row r="9774" spans="1:15" x14ac:dyDescent="0.25">
      <c r="A9774" t="s">
        <v>1049</v>
      </c>
      <c r="B9774" t="s">
        <v>2138</v>
      </c>
      <c r="C9774" t="s">
        <v>927</v>
      </c>
      <c r="D9774" t="s">
        <v>3052</v>
      </c>
      <c r="E9774" t="s">
        <v>3053</v>
      </c>
      <c r="F9774" t="s">
        <v>852</v>
      </c>
      <c r="G9774" t="s">
        <v>853</v>
      </c>
      <c r="H9774" t="s">
        <v>10315</v>
      </c>
      <c r="I9774">
        <v>13</v>
      </c>
      <c r="J9774">
        <v>6</v>
      </c>
      <c r="K9774">
        <v>0</v>
      </c>
      <c r="L9774">
        <v>0</v>
      </c>
      <c r="M9774">
        <v>0</v>
      </c>
      <c r="N9774">
        <v>0</v>
      </c>
      <c r="O9774">
        <v>7</v>
      </c>
    </row>
    <row r="9775" spans="1:15" x14ac:dyDescent="0.25">
      <c r="A9775" t="s">
        <v>11720</v>
      </c>
      <c r="B9775" t="s">
        <v>10718</v>
      </c>
      <c r="C9775" t="s">
        <v>927</v>
      </c>
      <c r="D9775" t="s">
        <v>3052</v>
      </c>
      <c r="E9775" t="s">
        <v>3053</v>
      </c>
      <c r="F9775" t="s">
        <v>852</v>
      </c>
      <c r="G9775" t="s">
        <v>853</v>
      </c>
      <c r="H9775" t="s">
        <v>15490</v>
      </c>
      <c r="I9775">
        <v>12</v>
      </c>
      <c r="J9775">
        <v>6</v>
      </c>
      <c r="K9775">
        <v>0</v>
      </c>
      <c r="L9775">
        <v>0</v>
      </c>
      <c r="M9775">
        <v>0</v>
      </c>
      <c r="N9775">
        <v>0</v>
      </c>
      <c r="O9775">
        <v>6</v>
      </c>
    </row>
    <row r="9776" spans="1:15" x14ac:dyDescent="0.25">
      <c r="A9776" t="s">
        <v>955</v>
      </c>
      <c r="B9776" t="s">
        <v>2660</v>
      </c>
      <c r="C9776" t="s">
        <v>927</v>
      </c>
      <c r="D9776" t="s">
        <v>3052</v>
      </c>
      <c r="E9776" t="s">
        <v>3053</v>
      </c>
      <c r="F9776" t="s">
        <v>852</v>
      </c>
      <c r="G9776" t="s">
        <v>853</v>
      </c>
      <c r="H9776" t="s">
        <v>9567</v>
      </c>
      <c r="I9776">
        <v>131</v>
      </c>
      <c r="J9776">
        <v>129</v>
      </c>
      <c r="K9776">
        <v>0</v>
      </c>
      <c r="L9776">
        <v>0</v>
      </c>
      <c r="M9776">
        <v>0</v>
      </c>
      <c r="N9776">
        <v>0</v>
      </c>
      <c r="O9776">
        <v>2</v>
      </c>
    </row>
    <row r="9777" spans="1:15" x14ac:dyDescent="0.25">
      <c r="A9777" t="s">
        <v>1066</v>
      </c>
      <c r="B9777" t="s">
        <v>2557</v>
      </c>
      <c r="C9777" t="s">
        <v>927</v>
      </c>
      <c r="D9777" t="s">
        <v>3052</v>
      </c>
      <c r="E9777" t="s">
        <v>3053</v>
      </c>
      <c r="F9777" t="s">
        <v>852</v>
      </c>
      <c r="G9777" t="s">
        <v>853</v>
      </c>
      <c r="H9777" t="s">
        <v>9568</v>
      </c>
      <c r="I9777">
        <v>33</v>
      </c>
      <c r="J9777">
        <v>0</v>
      </c>
      <c r="K9777">
        <v>0</v>
      </c>
      <c r="L9777">
        <v>0</v>
      </c>
      <c r="M9777">
        <v>33</v>
      </c>
      <c r="N9777">
        <v>0</v>
      </c>
      <c r="O9777">
        <v>0</v>
      </c>
    </row>
    <row r="9778" spans="1:15" x14ac:dyDescent="0.25">
      <c r="A9778" t="s">
        <v>1861</v>
      </c>
      <c r="B9778" t="s">
        <v>3011</v>
      </c>
      <c r="C9778" t="s">
        <v>927</v>
      </c>
      <c r="D9778" t="s">
        <v>3052</v>
      </c>
      <c r="E9778" t="s">
        <v>3053</v>
      </c>
      <c r="F9778" t="s">
        <v>852</v>
      </c>
      <c r="G9778" t="s">
        <v>853</v>
      </c>
      <c r="H9778" t="s">
        <v>9569</v>
      </c>
      <c r="I9778">
        <v>148</v>
      </c>
      <c r="J9778">
        <v>141</v>
      </c>
      <c r="K9778">
        <v>0</v>
      </c>
      <c r="L9778">
        <v>0</v>
      </c>
      <c r="M9778">
        <v>0</v>
      </c>
      <c r="N9778">
        <v>0</v>
      </c>
      <c r="O9778">
        <v>7</v>
      </c>
    </row>
    <row r="9779" spans="1:15" x14ac:dyDescent="0.25">
      <c r="A9779" t="s">
        <v>1865</v>
      </c>
      <c r="B9779" t="s">
        <v>2866</v>
      </c>
      <c r="C9779" t="s">
        <v>927</v>
      </c>
      <c r="D9779" t="s">
        <v>3052</v>
      </c>
      <c r="E9779" t="s">
        <v>3053</v>
      </c>
      <c r="F9779" t="s">
        <v>852</v>
      </c>
      <c r="G9779" t="s">
        <v>853</v>
      </c>
      <c r="H9779" t="s">
        <v>9570</v>
      </c>
      <c r="I9779">
        <v>332</v>
      </c>
      <c r="J9779">
        <v>283</v>
      </c>
      <c r="K9779">
        <v>0</v>
      </c>
      <c r="L9779">
        <v>0</v>
      </c>
      <c r="M9779">
        <v>0</v>
      </c>
      <c r="N9779">
        <v>0</v>
      </c>
      <c r="O9779">
        <v>49</v>
      </c>
    </row>
    <row r="9780" spans="1:15" x14ac:dyDescent="0.25">
      <c r="A9780" t="s">
        <v>9846</v>
      </c>
      <c r="B9780" t="s">
        <v>2563</v>
      </c>
      <c r="C9780" t="s">
        <v>923</v>
      </c>
      <c r="D9780" t="s">
        <v>3063</v>
      </c>
      <c r="E9780" t="s">
        <v>3053</v>
      </c>
      <c r="F9780" t="s">
        <v>852</v>
      </c>
      <c r="G9780" t="s">
        <v>853</v>
      </c>
      <c r="H9780" t="s">
        <v>10514</v>
      </c>
      <c r="I9780">
        <v>25</v>
      </c>
      <c r="J9780">
        <v>0</v>
      </c>
      <c r="K9780">
        <v>0</v>
      </c>
      <c r="L9780">
        <v>25</v>
      </c>
      <c r="M9780">
        <v>0</v>
      </c>
      <c r="N9780">
        <v>0</v>
      </c>
      <c r="O9780">
        <v>0</v>
      </c>
    </row>
    <row r="9781" spans="1:15" x14ac:dyDescent="0.25">
      <c r="A9781" t="s">
        <v>1871</v>
      </c>
      <c r="B9781" t="s">
        <v>2905</v>
      </c>
      <c r="C9781" t="s">
        <v>923</v>
      </c>
      <c r="D9781" t="s">
        <v>3063</v>
      </c>
      <c r="E9781" t="s">
        <v>3053</v>
      </c>
      <c r="F9781" t="s">
        <v>852</v>
      </c>
      <c r="G9781" t="s">
        <v>853</v>
      </c>
      <c r="H9781" t="s">
        <v>11532</v>
      </c>
      <c r="I9781">
        <v>63</v>
      </c>
      <c r="J9781">
        <v>36</v>
      </c>
      <c r="K9781">
        <v>27</v>
      </c>
      <c r="L9781">
        <v>0</v>
      </c>
      <c r="M9781">
        <v>0</v>
      </c>
      <c r="N9781">
        <v>0</v>
      </c>
      <c r="O9781">
        <v>0</v>
      </c>
    </row>
    <row r="9782" spans="1:15" x14ac:dyDescent="0.25">
      <c r="A9782" t="s">
        <v>926</v>
      </c>
      <c r="B9782" t="s">
        <v>2923</v>
      </c>
      <c r="C9782" t="s">
        <v>927</v>
      </c>
      <c r="D9782" t="s">
        <v>3052</v>
      </c>
      <c r="E9782" t="s">
        <v>3053</v>
      </c>
      <c r="F9782" t="s">
        <v>854</v>
      </c>
      <c r="G9782" t="s">
        <v>855</v>
      </c>
      <c r="H9782" t="s">
        <v>9571</v>
      </c>
      <c r="I9782">
        <v>12</v>
      </c>
      <c r="J9782">
        <v>0</v>
      </c>
      <c r="K9782">
        <v>0</v>
      </c>
      <c r="L9782">
        <v>8</v>
      </c>
      <c r="M9782">
        <v>0</v>
      </c>
      <c r="N9782">
        <v>0</v>
      </c>
      <c r="O9782">
        <v>4</v>
      </c>
    </row>
    <row r="9783" spans="1:15" x14ac:dyDescent="0.25">
      <c r="A9783" t="s">
        <v>929</v>
      </c>
      <c r="B9783" t="s">
        <v>2999</v>
      </c>
      <c r="C9783" t="s">
        <v>927</v>
      </c>
      <c r="D9783" t="s">
        <v>3052</v>
      </c>
      <c r="E9783" t="s">
        <v>3053</v>
      </c>
      <c r="F9783" t="s">
        <v>854</v>
      </c>
      <c r="G9783" t="s">
        <v>855</v>
      </c>
      <c r="H9783" t="s">
        <v>9572</v>
      </c>
      <c r="I9783">
        <v>32</v>
      </c>
      <c r="J9783">
        <v>0</v>
      </c>
      <c r="K9783">
        <v>0</v>
      </c>
      <c r="L9783">
        <v>0</v>
      </c>
      <c r="M9783">
        <v>32</v>
      </c>
      <c r="N9783">
        <v>0</v>
      </c>
      <c r="O9783">
        <v>0</v>
      </c>
    </row>
    <row r="9784" spans="1:15" x14ac:dyDescent="0.25">
      <c r="A9784" t="s">
        <v>9790</v>
      </c>
      <c r="B9784" t="s">
        <v>1977</v>
      </c>
      <c r="C9784" t="s">
        <v>923</v>
      </c>
      <c r="D9784" t="s">
        <v>3063</v>
      </c>
      <c r="E9784" t="s">
        <v>3053</v>
      </c>
      <c r="F9784" t="s">
        <v>854</v>
      </c>
      <c r="G9784" t="s">
        <v>855</v>
      </c>
      <c r="H9784" t="s">
        <v>12516</v>
      </c>
      <c r="I9784">
        <v>7</v>
      </c>
      <c r="J9784">
        <v>0</v>
      </c>
      <c r="K9784">
        <v>0</v>
      </c>
      <c r="L9784">
        <v>7</v>
      </c>
      <c r="M9784">
        <v>0</v>
      </c>
      <c r="N9784">
        <v>0</v>
      </c>
      <c r="O9784">
        <v>0</v>
      </c>
    </row>
    <row r="9785" spans="1:15" x14ac:dyDescent="0.25">
      <c r="A9785" t="s">
        <v>1212</v>
      </c>
      <c r="B9785" t="s">
        <v>2004</v>
      </c>
      <c r="C9785" t="s">
        <v>923</v>
      </c>
      <c r="D9785" t="s">
        <v>3063</v>
      </c>
      <c r="E9785" t="s">
        <v>3053</v>
      </c>
      <c r="F9785" t="s">
        <v>854</v>
      </c>
      <c r="G9785" t="s">
        <v>855</v>
      </c>
      <c r="H9785" t="s">
        <v>9573</v>
      </c>
      <c r="I9785">
        <v>14</v>
      </c>
      <c r="J9785">
        <v>0</v>
      </c>
      <c r="K9785">
        <v>0</v>
      </c>
      <c r="L9785">
        <v>14</v>
      </c>
      <c r="M9785">
        <v>0</v>
      </c>
      <c r="N9785">
        <v>0</v>
      </c>
      <c r="O9785">
        <v>0</v>
      </c>
    </row>
    <row r="9786" spans="1:15" x14ac:dyDescent="0.25">
      <c r="A9786" t="s">
        <v>983</v>
      </c>
      <c r="B9786" t="s">
        <v>2069</v>
      </c>
      <c r="C9786" t="s">
        <v>927</v>
      </c>
      <c r="D9786" t="s">
        <v>3052</v>
      </c>
      <c r="E9786" t="s">
        <v>3053</v>
      </c>
      <c r="F9786" t="s">
        <v>854</v>
      </c>
      <c r="G9786" t="s">
        <v>855</v>
      </c>
      <c r="H9786" t="s">
        <v>9574</v>
      </c>
      <c r="I9786">
        <v>227</v>
      </c>
      <c r="J9786">
        <v>207</v>
      </c>
      <c r="K9786">
        <v>0</v>
      </c>
      <c r="L9786">
        <v>4</v>
      </c>
      <c r="M9786">
        <v>0</v>
      </c>
      <c r="N9786">
        <v>0</v>
      </c>
      <c r="O9786">
        <v>16</v>
      </c>
    </row>
    <row r="9787" spans="1:15" x14ac:dyDescent="0.25">
      <c r="A9787" t="s">
        <v>1715</v>
      </c>
      <c r="B9787" t="s">
        <v>2136</v>
      </c>
      <c r="C9787" t="s">
        <v>927</v>
      </c>
      <c r="D9787" t="s">
        <v>3052</v>
      </c>
      <c r="E9787" t="s">
        <v>3053</v>
      </c>
      <c r="F9787" t="s">
        <v>854</v>
      </c>
      <c r="G9787" t="s">
        <v>855</v>
      </c>
      <c r="H9787" t="s">
        <v>9575</v>
      </c>
      <c r="I9787">
        <v>1367</v>
      </c>
      <c r="J9787">
        <v>1139</v>
      </c>
      <c r="K9787">
        <v>0</v>
      </c>
      <c r="L9787">
        <v>47</v>
      </c>
      <c r="M9787">
        <v>26</v>
      </c>
      <c r="N9787">
        <v>10</v>
      </c>
      <c r="O9787">
        <v>155</v>
      </c>
    </row>
    <row r="9788" spans="1:15" x14ac:dyDescent="0.25">
      <c r="A9788" t="s">
        <v>933</v>
      </c>
      <c r="B9788" t="s">
        <v>2106</v>
      </c>
      <c r="C9788" t="s">
        <v>927</v>
      </c>
      <c r="D9788" t="s">
        <v>3052</v>
      </c>
      <c r="E9788" t="s">
        <v>3053</v>
      </c>
      <c r="F9788" t="s">
        <v>854</v>
      </c>
      <c r="G9788" t="s">
        <v>855</v>
      </c>
      <c r="H9788" t="s">
        <v>9576</v>
      </c>
      <c r="I9788">
        <v>8</v>
      </c>
      <c r="J9788">
        <v>0</v>
      </c>
      <c r="K9788">
        <v>0</v>
      </c>
      <c r="L9788">
        <v>0</v>
      </c>
      <c r="M9788">
        <v>0</v>
      </c>
      <c r="N9788">
        <v>0</v>
      </c>
      <c r="O9788">
        <v>8</v>
      </c>
    </row>
    <row r="9789" spans="1:15" x14ac:dyDescent="0.25">
      <c r="A9789" t="s">
        <v>996</v>
      </c>
      <c r="B9789" t="s">
        <v>1952</v>
      </c>
      <c r="C9789" t="s">
        <v>923</v>
      </c>
      <c r="D9789" t="s">
        <v>3063</v>
      </c>
      <c r="E9789" t="s">
        <v>3053</v>
      </c>
      <c r="F9789" t="s">
        <v>854</v>
      </c>
      <c r="G9789" t="s">
        <v>855</v>
      </c>
      <c r="H9789" t="s">
        <v>9577</v>
      </c>
      <c r="I9789">
        <v>32</v>
      </c>
      <c r="J9789">
        <v>0</v>
      </c>
      <c r="K9789">
        <v>0</v>
      </c>
      <c r="L9789">
        <v>32</v>
      </c>
      <c r="M9789">
        <v>0</v>
      </c>
      <c r="N9789">
        <v>0</v>
      </c>
      <c r="O9789">
        <v>0</v>
      </c>
    </row>
    <row r="9790" spans="1:15" x14ac:dyDescent="0.25">
      <c r="A9790" t="s">
        <v>1416</v>
      </c>
      <c r="B9790" t="s">
        <v>2029</v>
      </c>
      <c r="C9790" t="s">
        <v>923</v>
      </c>
      <c r="D9790" t="s">
        <v>3063</v>
      </c>
      <c r="E9790" t="s">
        <v>3053</v>
      </c>
      <c r="F9790" t="s">
        <v>854</v>
      </c>
      <c r="G9790" t="s">
        <v>855</v>
      </c>
      <c r="H9790" t="s">
        <v>12517</v>
      </c>
      <c r="I9790">
        <v>2</v>
      </c>
      <c r="J9790">
        <v>0</v>
      </c>
      <c r="K9790">
        <v>0</v>
      </c>
      <c r="L9790">
        <v>2</v>
      </c>
      <c r="M9790">
        <v>0</v>
      </c>
      <c r="N9790">
        <v>0</v>
      </c>
      <c r="O9790">
        <v>0</v>
      </c>
    </row>
    <row r="9791" spans="1:15" x14ac:dyDescent="0.25">
      <c r="A9791" t="s">
        <v>10638</v>
      </c>
      <c r="B9791" t="s">
        <v>2057</v>
      </c>
      <c r="C9791" t="s">
        <v>927</v>
      </c>
      <c r="D9791" t="s">
        <v>3052</v>
      </c>
      <c r="E9791" t="s">
        <v>3053</v>
      </c>
      <c r="F9791" t="s">
        <v>854</v>
      </c>
      <c r="G9791" t="s">
        <v>855</v>
      </c>
      <c r="H9791" t="s">
        <v>11533</v>
      </c>
      <c r="I9791">
        <v>6</v>
      </c>
      <c r="J9791">
        <v>0</v>
      </c>
      <c r="K9791">
        <v>0</v>
      </c>
      <c r="L9791">
        <v>6</v>
      </c>
      <c r="M9791">
        <v>0</v>
      </c>
      <c r="N9791">
        <v>0</v>
      </c>
      <c r="O9791">
        <v>0</v>
      </c>
    </row>
    <row r="9792" spans="1:15" x14ac:dyDescent="0.25">
      <c r="A9792" t="s">
        <v>10643</v>
      </c>
      <c r="B9792" t="s">
        <v>2987</v>
      </c>
      <c r="C9792" t="s">
        <v>927</v>
      </c>
      <c r="D9792" t="s">
        <v>3052</v>
      </c>
      <c r="E9792" t="s">
        <v>3053</v>
      </c>
      <c r="F9792" t="s">
        <v>854</v>
      </c>
      <c r="G9792" t="s">
        <v>855</v>
      </c>
      <c r="H9792" t="s">
        <v>11534</v>
      </c>
      <c r="I9792">
        <v>38</v>
      </c>
      <c r="J9792">
        <v>0</v>
      </c>
      <c r="K9792">
        <v>0</v>
      </c>
      <c r="L9792">
        <v>0</v>
      </c>
      <c r="M9792">
        <v>0</v>
      </c>
      <c r="N9792">
        <v>0</v>
      </c>
      <c r="O9792">
        <v>38</v>
      </c>
    </row>
    <row r="9793" spans="1:15" x14ac:dyDescent="0.25">
      <c r="A9793" t="s">
        <v>937</v>
      </c>
      <c r="B9793" t="s">
        <v>1962</v>
      </c>
      <c r="C9793" t="s">
        <v>927</v>
      </c>
      <c r="D9793" t="s">
        <v>3052</v>
      </c>
      <c r="E9793" t="s">
        <v>3053</v>
      </c>
      <c r="F9793" t="s">
        <v>854</v>
      </c>
      <c r="G9793" t="s">
        <v>855</v>
      </c>
      <c r="H9793" t="s">
        <v>9578</v>
      </c>
      <c r="I9793">
        <v>6</v>
      </c>
      <c r="J9793">
        <v>0</v>
      </c>
      <c r="K9793">
        <v>0</v>
      </c>
      <c r="L9793">
        <v>0</v>
      </c>
      <c r="M9793">
        <v>0</v>
      </c>
      <c r="N9793">
        <v>0</v>
      </c>
      <c r="O9793">
        <v>6</v>
      </c>
    </row>
    <row r="9794" spans="1:15" x14ac:dyDescent="0.25">
      <c r="A9794" t="s">
        <v>938</v>
      </c>
      <c r="B9794" t="s">
        <v>2791</v>
      </c>
      <c r="C9794" t="s">
        <v>927</v>
      </c>
      <c r="D9794" t="s">
        <v>3052</v>
      </c>
      <c r="E9794" t="s">
        <v>3053</v>
      </c>
      <c r="F9794" t="s">
        <v>854</v>
      </c>
      <c r="G9794" t="s">
        <v>855</v>
      </c>
      <c r="H9794" t="s">
        <v>9579</v>
      </c>
      <c r="I9794">
        <v>22</v>
      </c>
      <c r="J9794">
        <v>0</v>
      </c>
      <c r="K9794">
        <v>0</v>
      </c>
      <c r="L9794">
        <v>22</v>
      </c>
      <c r="M9794">
        <v>0</v>
      </c>
      <c r="N9794">
        <v>0</v>
      </c>
      <c r="O9794">
        <v>0</v>
      </c>
    </row>
    <row r="9795" spans="1:15" x14ac:dyDescent="0.25">
      <c r="A9795" t="s">
        <v>940</v>
      </c>
      <c r="B9795" t="s">
        <v>2647</v>
      </c>
      <c r="C9795" t="s">
        <v>927</v>
      </c>
      <c r="D9795" t="s">
        <v>3052</v>
      </c>
      <c r="E9795" t="s">
        <v>3053</v>
      </c>
      <c r="F9795" t="s">
        <v>854</v>
      </c>
      <c r="G9795" t="s">
        <v>855</v>
      </c>
      <c r="H9795" t="s">
        <v>11535</v>
      </c>
      <c r="I9795">
        <v>71</v>
      </c>
      <c r="J9795">
        <v>0</v>
      </c>
      <c r="K9795">
        <v>0</v>
      </c>
      <c r="L9795">
        <v>0</v>
      </c>
      <c r="M9795">
        <v>41</v>
      </c>
      <c r="N9795">
        <v>0</v>
      </c>
      <c r="O9795">
        <v>30</v>
      </c>
    </row>
    <row r="9796" spans="1:15" x14ac:dyDescent="0.25">
      <c r="A9796" t="s">
        <v>1423</v>
      </c>
      <c r="B9796" t="s">
        <v>2071</v>
      </c>
      <c r="C9796" t="s">
        <v>923</v>
      </c>
      <c r="D9796" t="s">
        <v>3063</v>
      </c>
      <c r="E9796" t="s">
        <v>3053</v>
      </c>
      <c r="F9796" t="s">
        <v>854</v>
      </c>
      <c r="G9796" t="s">
        <v>855</v>
      </c>
      <c r="H9796" t="s">
        <v>9580</v>
      </c>
      <c r="I9796">
        <v>12</v>
      </c>
      <c r="J9796">
        <v>0</v>
      </c>
      <c r="K9796">
        <v>0</v>
      </c>
      <c r="L9796">
        <v>12</v>
      </c>
      <c r="M9796">
        <v>0</v>
      </c>
      <c r="N9796">
        <v>0</v>
      </c>
      <c r="O9796">
        <v>0</v>
      </c>
    </row>
    <row r="9797" spans="1:15" x14ac:dyDescent="0.25">
      <c r="A9797" t="s">
        <v>1013</v>
      </c>
      <c r="B9797" t="s">
        <v>1959</v>
      </c>
      <c r="C9797" t="s">
        <v>927</v>
      </c>
      <c r="D9797" t="s">
        <v>3052</v>
      </c>
      <c r="E9797" t="s">
        <v>3053</v>
      </c>
      <c r="F9797" t="s">
        <v>854</v>
      </c>
      <c r="G9797" t="s">
        <v>855</v>
      </c>
      <c r="H9797" t="s">
        <v>9581</v>
      </c>
      <c r="I9797">
        <v>44</v>
      </c>
      <c r="J9797">
        <v>0</v>
      </c>
      <c r="K9797">
        <v>0</v>
      </c>
      <c r="L9797">
        <v>44</v>
      </c>
      <c r="M9797">
        <v>0</v>
      </c>
      <c r="N9797">
        <v>0</v>
      </c>
      <c r="O9797">
        <v>0</v>
      </c>
    </row>
    <row r="9798" spans="1:15" x14ac:dyDescent="0.25">
      <c r="A9798" t="s">
        <v>1030</v>
      </c>
      <c r="B9798" t="s">
        <v>2880</v>
      </c>
      <c r="C9798" t="s">
        <v>927</v>
      </c>
      <c r="D9798" t="s">
        <v>3052</v>
      </c>
      <c r="E9798" t="s">
        <v>3053</v>
      </c>
      <c r="F9798" t="s">
        <v>854</v>
      </c>
      <c r="G9798" t="s">
        <v>855</v>
      </c>
      <c r="H9798" t="s">
        <v>9582</v>
      </c>
      <c r="I9798">
        <v>1</v>
      </c>
      <c r="J9798">
        <v>0</v>
      </c>
      <c r="K9798">
        <v>0</v>
      </c>
      <c r="L9798">
        <v>0</v>
      </c>
      <c r="M9798">
        <v>0</v>
      </c>
      <c r="N9798">
        <v>0</v>
      </c>
      <c r="O9798">
        <v>1</v>
      </c>
    </row>
    <row r="9799" spans="1:15" x14ac:dyDescent="0.25">
      <c r="A9799" t="s">
        <v>1031</v>
      </c>
      <c r="B9799" t="s">
        <v>2779</v>
      </c>
      <c r="C9799" t="s">
        <v>927</v>
      </c>
      <c r="D9799" t="s">
        <v>3052</v>
      </c>
      <c r="E9799" t="s">
        <v>3053</v>
      </c>
      <c r="F9799" t="s">
        <v>854</v>
      </c>
      <c r="G9799" t="s">
        <v>855</v>
      </c>
      <c r="H9799" t="s">
        <v>9583</v>
      </c>
      <c r="I9799">
        <v>43</v>
      </c>
      <c r="J9799">
        <v>43</v>
      </c>
      <c r="K9799">
        <v>0</v>
      </c>
      <c r="L9799">
        <v>0</v>
      </c>
      <c r="M9799">
        <v>0</v>
      </c>
      <c r="N9799">
        <v>1</v>
      </c>
      <c r="O9799">
        <v>0</v>
      </c>
    </row>
    <row r="9800" spans="1:15" x14ac:dyDescent="0.25">
      <c r="A9800" t="s">
        <v>1041</v>
      </c>
      <c r="B9800" t="s">
        <v>2826</v>
      </c>
      <c r="C9800" t="s">
        <v>927</v>
      </c>
      <c r="D9800" t="s">
        <v>3052</v>
      </c>
      <c r="E9800" t="s">
        <v>3053</v>
      </c>
      <c r="F9800" t="s">
        <v>854</v>
      </c>
      <c r="G9800" t="s">
        <v>855</v>
      </c>
      <c r="H9800" t="s">
        <v>9584</v>
      </c>
      <c r="I9800">
        <v>3</v>
      </c>
      <c r="J9800">
        <v>3</v>
      </c>
      <c r="K9800">
        <v>0</v>
      </c>
      <c r="L9800">
        <v>0</v>
      </c>
      <c r="M9800">
        <v>0</v>
      </c>
      <c r="N9800">
        <v>0</v>
      </c>
      <c r="O9800">
        <v>0</v>
      </c>
    </row>
    <row r="9801" spans="1:15" x14ac:dyDescent="0.25">
      <c r="A9801" t="s">
        <v>9787</v>
      </c>
      <c r="B9801" t="s">
        <v>2822</v>
      </c>
      <c r="C9801" t="s">
        <v>927</v>
      </c>
      <c r="D9801" t="s">
        <v>3052</v>
      </c>
      <c r="E9801" t="s">
        <v>3053</v>
      </c>
      <c r="F9801" t="s">
        <v>854</v>
      </c>
      <c r="G9801" t="s">
        <v>855</v>
      </c>
      <c r="H9801" t="s">
        <v>10291</v>
      </c>
      <c r="I9801">
        <v>41</v>
      </c>
      <c r="J9801">
        <v>41</v>
      </c>
      <c r="K9801">
        <v>0</v>
      </c>
      <c r="L9801">
        <v>0</v>
      </c>
      <c r="M9801">
        <v>0</v>
      </c>
      <c r="N9801">
        <v>0</v>
      </c>
      <c r="O9801">
        <v>0</v>
      </c>
    </row>
    <row r="9802" spans="1:15" x14ac:dyDescent="0.25">
      <c r="A9802" t="s">
        <v>1832</v>
      </c>
      <c r="B9802" t="s">
        <v>2045</v>
      </c>
      <c r="C9802" t="s">
        <v>923</v>
      </c>
      <c r="D9802" t="s">
        <v>3063</v>
      </c>
      <c r="E9802" t="s">
        <v>3053</v>
      </c>
      <c r="F9802" t="s">
        <v>854</v>
      </c>
      <c r="G9802" t="s">
        <v>855</v>
      </c>
      <c r="H9802" t="s">
        <v>9585</v>
      </c>
      <c r="I9802">
        <v>1</v>
      </c>
      <c r="J9802">
        <v>1</v>
      </c>
      <c r="K9802">
        <v>0</v>
      </c>
      <c r="L9802">
        <v>0</v>
      </c>
      <c r="M9802">
        <v>0</v>
      </c>
      <c r="N9802">
        <v>0</v>
      </c>
      <c r="O9802">
        <v>0</v>
      </c>
    </row>
    <row r="9803" spans="1:15" x14ac:dyDescent="0.25">
      <c r="A9803" t="s">
        <v>1049</v>
      </c>
      <c r="B9803" t="s">
        <v>2138</v>
      </c>
      <c r="C9803" t="s">
        <v>927</v>
      </c>
      <c r="D9803" t="s">
        <v>3052</v>
      </c>
      <c r="E9803" t="s">
        <v>3053</v>
      </c>
      <c r="F9803" t="s">
        <v>854</v>
      </c>
      <c r="G9803" t="s">
        <v>855</v>
      </c>
      <c r="H9803" t="s">
        <v>9586</v>
      </c>
      <c r="I9803">
        <v>5566</v>
      </c>
      <c r="J9803">
        <v>4525</v>
      </c>
      <c r="K9803">
        <v>0</v>
      </c>
      <c r="L9803">
        <v>247</v>
      </c>
      <c r="M9803">
        <v>561</v>
      </c>
      <c r="N9803">
        <v>0</v>
      </c>
      <c r="O9803">
        <v>233</v>
      </c>
    </row>
    <row r="9804" spans="1:15" x14ac:dyDescent="0.25">
      <c r="A9804" t="s">
        <v>1758</v>
      </c>
      <c r="B9804" t="s">
        <v>2997</v>
      </c>
      <c r="C9804" t="s">
        <v>927</v>
      </c>
      <c r="D9804" t="s">
        <v>3052</v>
      </c>
      <c r="E9804" t="s">
        <v>3053</v>
      </c>
      <c r="F9804" t="s">
        <v>854</v>
      </c>
      <c r="G9804" t="s">
        <v>855</v>
      </c>
      <c r="H9804" t="s">
        <v>9587</v>
      </c>
      <c r="I9804">
        <v>119</v>
      </c>
      <c r="J9804">
        <v>78</v>
      </c>
      <c r="K9804">
        <v>41</v>
      </c>
      <c r="L9804">
        <v>0</v>
      </c>
      <c r="M9804">
        <v>0</v>
      </c>
      <c r="N9804">
        <v>1</v>
      </c>
      <c r="O9804">
        <v>0</v>
      </c>
    </row>
    <row r="9805" spans="1:15" x14ac:dyDescent="0.25">
      <c r="A9805" t="s">
        <v>1057</v>
      </c>
      <c r="B9805" t="s">
        <v>1972</v>
      </c>
      <c r="C9805" t="s">
        <v>927</v>
      </c>
      <c r="D9805" t="s">
        <v>3052</v>
      </c>
      <c r="E9805" t="s">
        <v>3053</v>
      </c>
      <c r="F9805" t="s">
        <v>854</v>
      </c>
      <c r="G9805" t="s">
        <v>855</v>
      </c>
      <c r="H9805" t="s">
        <v>9588</v>
      </c>
      <c r="I9805">
        <v>132</v>
      </c>
      <c r="J9805">
        <v>34</v>
      </c>
      <c r="K9805">
        <v>0</v>
      </c>
      <c r="L9805">
        <v>14</v>
      </c>
      <c r="M9805">
        <v>78</v>
      </c>
      <c r="N9805">
        <v>0</v>
      </c>
      <c r="O9805">
        <v>6</v>
      </c>
    </row>
    <row r="9806" spans="1:15" x14ac:dyDescent="0.25">
      <c r="A9806" t="s">
        <v>955</v>
      </c>
      <c r="B9806" t="s">
        <v>2660</v>
      </c>
      <c r="C9806" t="s">
        <v>927</v>
      </c>
      <c r="D9806" t="s">
        <v>3052</v>
      </c>
      <c r="E9806" t="s">
        <v>3053</v>
      </c>
      <c r="F9806" t="s">
        <v>854</v>
      </c>
      <c r="G9806" t="s">
        <v>855</v>
      </c>
      <c r="H9806" t="s">
        <v>9589</v>
      </c>
      <c r="I9806">
        <v>334</v>
      </c>
      <c r="J9806">
        <v>163</v>
      </c>
      <c r="K9806">
        <v>0</v>
      </c>
      <c r="L9806">
        <v>13</v>
      </c>
      <c r="M9806">
        <v>122</v>
      </c>
      <c r="N9806">
        <v>1</v>
      </c>
      <c r="O9806">
        <v>36</v>
      </c>
    </row>
    <row r="9807" spans="1:15" x14ac:dyDescent="0.25">
      <c r="A9807" t="s">
        <v>962</v>
      </c>
      <c r="B9807" t="s">
        <v>2752</v>
      </c>
      <c r="C9807" t="s">
        <v>927</v>
      </c>
      <c r="D9807" t="s">
        <v>3052</v>
      </c>
      <c r="E9807" t="s">
        <v>3053</v>
      </c>
      <c r="F9807" t="s">
        <v>854</v>
      </c>
      <c r="G9807" t="s">
        <v>855</v>
      </c>
      <c r="H9807" t="s">
        <v>12518</v>
      </c>
      <c r="I9807">
        <v>156</v>
      </c>
      <c r="J9807">
        <v>102</v>
      </c>
      <c r="K9807">
        <v>0</v>
      </c>
      <c r="L9807">
        <v>0</v>
      </c>
      <c r="M9807">
        <v>0</v>
      </c>
      <c r="N9807">
        <v>0</v>
      </c>
      <c r="O9807">
        <v>54</v>
      </c>
    </row>
    <row r="9808" spans="1:15" x14ac:dyDescent="0.25">
      <c r="A9808" t="s">
        <v>1068</v>
      </c>
      <c r="B9808" t="s">
        <v>2081</v>
      </c>
      <c r="C9808" t="s">
        <v>923</v>
      </c>
      <c r="D9808" t="s">
        <v>3063</v>
      </c>
      <c r="E9808" t="s">
        <v>3053</v>
      </c>
      <c r="F9808" t="s">
        <v>854</v>
      </c>
      <c r="G9808" t="s">
        <v>855</v>
      </c>
      <c r="H9808" t="s">
        <v>9590</v>
      </c>
      <c r="I9808">
        <v>9</v>
      </c>
      <c r="J9808">
        <v>0</v>
      </c>
      <c r="K9808">
        <v>0</v>
      </c>
      <c r="L9808">
        <v>9</v>
      </c>
      <c r="M9808">
        <v>0</v>
      </c>
      <c r="N9808">
        <v>0</v>
      </c>
      <c r="O9808">
        <v>0</v>
      </c>
    </row>
    <row r="9809" spans="1:15" x14ac:dyDescent="0.25">
      <c r="A9809" t="s">
        <v>1078</v>
      </c>
      <c r="B9809" t="s">
        <v>1950</v>
      </c>
      <c r="C9809" t="s">
        <v>923</v>
      </c>
      <c r="D9809" t="s">
        <v>3063</v>
      </c>
      <c r="E9809" t="s">
        <v>3053</v>
      </c>
      <c r="F9809" t="s">
        <v>854</v>
      </c>
      <c r="G9809" t="s">
        <v>855</v>
      </c>
      <c r="H9809" t="s">
        <v>9591</v>
      </c>
      <c r="I9809">
        <v>12</v>
      </c>
      <c r="J9809">
        <v>0</v>
      </c>
      <c r="K9809">
        <v>0</v>
      </c>
      <c r="L9809">
        <v>12</v>
      </c>
      <c r="M9809">
        <v>0</v>
      </c>
      <c r="N9809">
        <v>0</v>
      </c>
      <c r="O9809">
        <v>0</v>
      </c>
    </row>
    <row r="9810" spans="1:15" x14ac:dyDescent="0.25">
      <c r="A9810" t="s">
        <v>1865</v>
      </c>
      <c r="B9810" t="s">
        <v>2866</v>
      </c>
      <c r="C9810" t="s">
        <v>927</v>
      </c>
      <c r="D9810" t="s">
        <v>3052</v>
      </c>
      <c r="E9810" t="s">
        <v>3053</v>
      </c>
      <c r="F9810" t="s">
        <v>854</v>
      </c>
      <c r="G9810" t="s">
        <v>855</v>
      </c>
      <c r="H9810" t="s">
        <v>9592</v>
      </c>
      <c r="I9810">
        <v>83</v>
      </c>
      <c r="J9810">
        <v>62</v>
      </c>
      <c r="K9810">
        <v>0</v>
      </c>
      <c r="L9810">
        <v>0</v>
      </c>
      <c r="M9810">
        <v>0</v>
      </c>
      <c r="N9810">
        <v>0</v>
      </c>
      <c r="O9810">
        <v>21</v>
      </c>
    </row>
    <row r="9811" spans="1:15" x14ac:dyDescent="0.25">
      <c r="A9811" t="s">
        <v>1080</v>
      </c>
      <c r="B9811" t="s">
        <v>2030</v>
      </c>
      <c r="C9811" t="s">
        <v>923</v>
      </c>
      <c r="D9811" t="s">
        <v>3063</v>
      </c>
      <c r="E9811" t="s">
        <v>3053</v>
      </c>
      <c r="F9811" t="s">
        <v>854</v>
      </c>
      <c r="G9811" t="s">
        <v>855</v>
      </c>
      <c r="H9811" t="s">
        <v>9593</v>
      </c>
      <c r="I9811">
        <v>18</v>
      </c>
      <c r="J9811">
        <v>0</v>
      </c>
      <c r="K9811">
        <v>0</v>
      </c>
      <c r="L9811">
        <v>18</v>
      </c>
      <c r="M9811">
        <v>0</v>
      </c>
      <c r="N9811">
        <v>0</v>
      </c>
      <c r="O9811">
        <v>0</v>
      </c>
    </row>
    <row r="9812" spans="1:15" x14ac:dyDescent="0.25">
      <c r="A9812" t="s">
        <v>1868</v>
      </c>
      <c r="B9812" t="s">
        <v>2096</v>
      </c>
      <c r="C9812" t="s">
        <v>923</v>
      </c>
      <c r="D9812" t="s">
        <v>3063</v>
      </c>
      <c r="E9812" t="s">
        <v>3053</v>
      </c>
      <c r="F9812" t="s">
        <v>854</v>
      </c>
      <c r="G9812" t="s">
        <v>855</v>
      </c>
      <c r="H9812" t="s">
        <v>9594</v>
      </c>
      <c r="I9812">
        <v>100</v>
      </c>
      <c r="J9812">
        <v>68</v>
      </c>
      <c r="K9812">
        <v>0</v>
      </c>
      <c r="L9812">
        <v>32</v>
      </c>
      <c r="M9812">
        <v>0</v>
      </c>
      <c r="N9812">
        <v>0</v>
      </c>
      <c r="O9812">
        <v>0</v>
      </c>
    </row>
    <row r="9813" spans="1:15" x14ac:dyDescent="0.25">
      <c r="A9813" t="s">
        <v>1869</v>
      </c>
      <c r="B9813" t="s">
        <v>2974</v>
      </c>
      <c r="C9813" t="s">
        <v>923</v>
      </c>
      <c r="D9813" t="s">
        <v>3063</v>
      </c>
      <c r="E9813" t="s">
        <v>3053</v>
      </c>
      <c r="F9813" t="s">
        <v>854</v>
      </c>
      <c r="G9813" t="s">
        <v>855</v>
      </c>
      <c r="H9813" t="s">
        <v>9595</v>
      </c>
      <c r="I9813">
        <v>46</v>
      </c>
      <c r="J9813">
        <v>9</v>
      </c>
      <c r="K9813">
        <v>5</v>
      </c>
      <c r="L9813">
        <v>32</v>
      </c>
      <c r="M9813">
        <v>0</v>
      </c>
      <c r="N9813">
        <v>0</v>
      </c>
      <c r="O9813">
        <v>0</v>
      </c>
    </row>
    <row r="9814" spans="1:15" x14ac:dyDescent="0.25">
      <c r="A9814" t="s">
        <v>924</v>
      </c>
      <c r="B9814" t="s">
        <v>2963</v>
      </c>
      <c r="C9814" t="s">
        <v>923</v>
      </c>
      <c r="D9814" t="s">
        <v>3063</v>
      </c>
      <c r="E9814" t="s">
        <v>3053</v>
      </c>
      <c r="F9814" t="s">
        <v>856</v>
      </c>
      <c r="G9814" t="s">
        <v>857</v>
      </c>
      <c r="H9814" t="s">
        <v>9596</v>
      </c>
      <c r="I9814">
        <v>17</v>
      </c>
      <c r="J9814">
        <v>0</v>
      </c>
      <c r="K9814">
        <v>0</v>
      </c>
      <c r="L9814">
        <v>17</v>
      </c>
      <c r="M9814">
        <v>0</v>
      </c>
      <c r="N9814">
        <v>0</v>
      </c>
      <c r="O9814">
        <v>0</v>
      </c>
    </row>
    <row r="9815" spans="1:15" x14ac:dyDescent="0.25">
      <c r="A9815" t="s">
        <v>929</v>
      </c>
      <c r="B9815" t="s">
        <v>2999</v>
      </c>
      <c r="C9815" t="s">
        <v>927</v>
      </c>
      <c r="D9815" t="s">
        <v>3052</v>
      </c>
      <c r="E9815" t="s">
        <v>3053</v>
      </c>
      <c r="F9815" t="s">
        <v>856</v>
      </c>
      <c r="G9815" t="s">
        <v>857</v>
      </c>
      <c r="H9815" t="s">
        <v>9597</v>
      </c>
      <c r="I9815">
        <v>65</v>
      </c>
      <c r="J9815">
        <v>1</v>
      </c>
      <c r="K9815">
        <v>0</v>
      </c>
      <c r="L9815">
        <v>0</v>
      </c>
      <c r="M9815">
        <v>49</v>
      </c>
      <c r="N9815">
        <v>0</v>
      </c>
      <c r="O9815">
        <v>15</v>
      </c>
    </row>
    <row r="9816" spans="1:15" x14ac:dyDescent="0.25">
      <c r="A9816" t="s">
        <v>933</v>
      </c>
      <c r="B9816" t="s">
        <v>2106</v>
      </c>
      <c r="C9816" t="s">
        <v>927</v>
      </c>
      <c r="D9816" t="s">
        <v>3052</v>
      </c>
      <c r="E9816" t="s">
        <v>3053</v>
      </c>
      <c r="F9816" t="s">
        <v>856</v>
      </c>
      <c r="G9816" t="s">
        <v>857</v>
      </c>
      <c r="H9816" t="s">
        <v>9598</v>
      </c>
      <c r="I9816">
        <v>205</v>
      </c>
      <c r="J9816">
        <v>159</v>
      </c>
      <c r="K9816">
        <v>0</v>
      </c>
      <c r="L9816">
        <v>15</v>
      </c>
      <c r="M9816">
        <v>0</v>
      </c>
      <c r="N9816">
        <v>8</v>
      </c>
      <c r="O9816">
        <v>31</v>
      </c>
    </row>
    <row r="9817" spans="1:15" x14ac:dyDescent="0.25">
      <c r="A9817" t="s">
        <v>10638</v>
      </c>
      <c r="B9817" t="s">
        <v>2057</v>
      </c>
      <c r="C9817" t="s">
        <v>927</v>
      </c>
      <c r="D9817" t="s">
        <v>3052</v>
      </c>
      <c r="E9817" t="s">
        <v>3053</v>
      </c>
      <c r="F9817" t="s">
        <v>856</v>
      </c>
      <c r="G9817" t="s">
        <v>857</v>
      </c>
      <c r="H9817" t="s">
        <v>11536</v>
      </c>
      <c r="I9817">
        <v>7</v>
      </c>
      <c r="J9817">
        <v>0</v>
      </c>
      <c r="K9817">
        <v>0</v>
      </c>
      <c r="L9817">
        <v>7</v>
      </c>
      <c r="M9817">
        <v>0</v>
      </c>
      <c r="N9817">
        <v>0</v>
      </c>
      <c r="O9817">
        <v>0</v>
      </c>
    </row>
    <row r="9818" spans="1:15" x14ac:dyDescent="0.25">
      <c r="A9818" t="s">
        <v>1611</v>
      </c>
      <c r="B9818" t="s">
        <v>3001</v>
      </c>
      <c r="C9818" t="s">
        <v>923</v>
      </c>
      <c r="D9818" t="s">
        <v>3063</v>
      </c>
      <c r="E9818" t="s">
        <v>3053</v>
      </c>
      <c r="F9818" t="s">
        <v>856</v>
      </c>
      <c r="G9818" t="s">
        <v>857</v>
      </c>
      <c r="H9818" t="s">
        <v>9599</v>
      </c>
      <c r="I9818">
        <v>37</v>
      </c>
      <c r="J9818">
        <v>0</v>
      </c>
      <c r="K9818">
        <v>0</v>
      </c>
      <c r="L9818">
        <v>5</v>
      </c>
      <c r="M9818">
        <v>32</v>
      </c>
      <c r="N9818">
        <v>0</v>
      </c>
      <c r="O9818">
        <v>0</v>
      </c>
    </row>
    <row r="9819" spans="1:15" x14ac:dyDescent="0.25">
      <c r="A9819" t="s">
        <v>938</v>
      </c>
      <c r="B9819" t="s">
        <v>2791</v>
      </c>
      <c r="C9819" t="s">
        <v>927</v>
      </c>
      <c r="D9819" t="s">
        <v>3052</v>
      </c>
      <c r="E9819" t="s">
        <v>3053</v>
      </c>
      <c r="F9819" t="s">
        <v>856</v>
      </c>
      <c r="G9819" t="s">
        <v>857</v>
      </c>
      <c r="H9819" t="s">
        <v>9600</v>
      </c>
      <c r="I9819">
        <v>55</v>
      </c>
      <c r="J9819">
        <v>35</v>
      </c>
      <c r="K9819">
        <v>0</v>
      </c>
      <c r="L9819">
        <v>20</v>
      </c>
      <c r="M9819">
        <v>0</v>
      </c>
      <c r="N9819">
        <v>0</v>
      </c>
      <c r="O9819">
        <v>0</v>
      </c>
    </row>
    <row r="9820" spans="1:15" x14ac:dyDescent="0.25">
      <c r="A9820" t="s">
        <v>940</v>
      </c>
      <c r="B9820" t="s">
        <v>2647</v>
      </c>
      <c r="C9820" t="s">
        <v>927</v>
      </c>
      <c r="D9820" t="s">
        <v>3052</v>
      </c>
      <c r="E9820" t="s">
        <v>3053</v>
      </c>
      <c r="F9820" t="s">
        <v>856</v>
      </c>
      <c r="G9820" t="s">
        <v>857</v>
      </c>
      <c r="H9820" t="s">
        <v>9601</v>
      </c>
      <c r="I9820">
        <v>44</v>
      </c>
      <c r="J9820">
        <v>0</v>
      </c>
      <c r="K9820">
        <v>0</v>
      </c>
      <c r="L9820">
        <v>0</v>
      </c>
      <c r="M9820">
        <v>44</v>
      </c>
      <c r="N9820">
        <v>0</v>
      </c>
      <c r="O9820">
        <v>0</v>
      </c>
    </row>
    <row r="9821" spans="1:15" x14ac:dyDescent="0.25">
      <c r="A9821" t="s">
        <v>1012</v>
      </c>
      <c r="B9821" t="s">
        <v>2911</v>
      </c>
      <c r="C9821" t="s">
        <v>927</v>
      </c>
      <c r="D9821" t="s">
        <v>3052</v>
      </c>
      <c r="E9821" t="s">
        <v>3053</v>
      </c>
      <c r="F9821" t="s">
        <v>856</v>
      </c>
      <c r="G9821" t="s">
        <v>857</v>
      </c>
      <c r="H9821" t="s">
        <v>9602</v>
      </c>
      <c r="I9821">
        <v>81</v>
      </c>
      <c r="J9821">
        <v>66</v>
      </c>
      <c r="K9821">
        <v>0</v>
      </c>
      <c r="L9821">
        <v>4</v>
      </c>
      <c r="M9821">
        <v>0</v>
      </c>
      <c r="N9821">
        <v>1</v>
      </c>
      <c r="O9821">
        <v>11</v>
      </c>
    </row>
    <row r="9822" spans="1:15" x14ac:dyDescent="0.25">
      <c r="A9822" t="s">
        <v>1013</v>
      </c>
      <c r="B9822" t="s">
        <v>1959</v>
      </c>
      <c r="C9822" t="s">
        <v>927</v>
      </c>
      <c r="D9822" t="s">
        <v>3052</v>
      </c>
      <c r="E9822" t="s">
        <v>3053</v>
      </c>
      <c r="F9822" t="s">
        <v>856</v>
      </c>
      <c r="G9822" t="s">
        <v>857</v>
      </c>
      <c r="H9822" t="s">
        <v>15491</v>
      </c>
      <c r="I9822">
        <v>20</v>
      </c>
      <c r="J9822">
        <v>0</v>
      </c>
      <c r="K9822">
        <v>0</v>
      </c>
      <c r="L9822">
        <v>20</v>
      </c>
      <c r="M9822">
        <v>0</v>
      </c>
      <c r="N9822">
        <v>0</v>
      </c>
      <c r="O9822">
        <v>0</v>
      </c>
    </row>
    <row r="9823" spans="1:15" x14ac:dyDescent="0.25">
      <c r="A9823" t="s">
        <v>1025</v>
      </c>
      <c r="B9823" t="s">
        <v>2893</v>
      </c>
      <c r="C9823" t="s">
        <v>927</v>
      </c>
      <c r="D9823" t="s">
        <v>3052</v>
      </c>
      <c r="E9823" t="s">
        <v>3053</v>
      </c>
      <c r="F9823" t="s">
        <v>856</v>
      </c>
      <c r="G9823" t="s">
        <v>857</v>
      </c>
      <c r="H9823" t="s">
        <v>10200</v>
      </c>
      <c r="I9823">
        <v>1</v>
      </c>
      <c r="J9823">
        <v>0</v>
      </c>
      <c r="K9823">
        <v>0</v>
      </c>
      <c r="L9823">
        <v>0</v>
      </c>
      <c r="M9823">
        <v>0</v>
      </c>
      <c r="N9823">
        <v>0</v>
      </c>
      <c r="O9823">
        <v>1</v>
      </c>
    </row>
    <row r="9824" spans="1:15" x14ac:dyDescent="0.25">
      <c r="A9824" t="s">
        <v>945</v>
      </c>
      <c r="B9824" t="s">
        <v>2668</v>
      </c>
      <c r="C9824" t="s">
        <v>927</v>
      </c>
      <c r="D9824" t="s">
        <v>3052</v>
      </c>
      <c r="E9824" t="s">
        <v>3053</v>
      </c>
      <c r="F9824" t="s">
        <v>856</v>
      </c>
      <c r="G9824" t="s">
        <v>857</v>
      </c>
      <c r="H9824" t="s">
        <v>9603</v>
      </c>
      <c r="I9824">
        <v>3</v>
      </c>
      <c r="J9824">
        <v>3</v>
      </c>
      <c r="K9824">
        <v>0</v>
      </c>
      <c r="L9824">
        <v>0</v>
      </c>
      <c r="M9824">
        <v>0</v>
      </c>
      <c r="N9824">
        <v>0</v>
      </c>
      <c r="O9824">
        <v>0</v>
      </c>
    </row>
    <row r="9825" spans="1:15" x14ac:dyDescent="0.25">
      <c r="A9825" t="s">
        <v>1640</v>
      </c>
      <c r="B9825" t="s">
        <v>2202</v>
      </c>
      <c r="C9825" t="s">
        <v>923</v>
      </c>
      <c r="D9825" t="s">
        <v>3063</v>
      </c>
      <c r="E9825" t="s">
        <v>3053</v>
      </c>
      <c r="F9825" t="s">
        <v>856</v>
      </c>
      <c r="G9825" t="s">
        <v>857</v>
      </c>
      <c r="H9825" t="s">
        <v>9604</v>
      </c>
      <c r="I9825">
        <v>74</v>
      </c>
      <c r="J9825">
        <v>10</v>
      </c>
      <c r="K9825">
        <v>0</v>
      </c>
      <c r="L9825">
        <v>0</v>
      </c>
      <c r="M9825">
        <v>64</v>
      </c>
      <c r="N9825">
        <v>0</v>
      </c>
      <c r="O9825">
        <v>0</v>
      </c>
    </row>
    <row r="9826" spans="1:15" x14ac:dyDescent="0.25">
      <c r="A9826" t="s">
        <v>951</v>
      </c>
      <c r="B9826" t="s">
        <v>2680</v>
      </c>
      <c r="C9826" t="s">
        <v>927</v>
      </c>
      <c r="D9826" t="s">
        <v>3052</v>
      </c>
      <c r="E9826" t="s">
        <v>3053</v>
      </c>
      <c r="F9826" t="s">
        <v>856</v>
      </c>
      <c r="G9826" t="s">
        <v>857</v>
      </c>
      <c r="H9826" t="s">
        <v>9605</v>
      </c>
      <c r="I9826">
        <v>134</v>
      </c>
      <c r="J9826">
        <v>134</v>
      </c>
      <c r="K9826">
        <v>0</v>
      </c>
      <c r="L9826">
        <v>0</v>
      </c>
      <c r="M9826">
        <v>0</v>
      </c>
      <c r="N9826">
        <v>0</v>
      </c>
      <c r="O9826">
        <v>0</v>
      </c>
    </row>
    <row r="9827" spans="1:15" x14ac:dyDescent="0.25">
      <c r="A9827" t="s">
        <v>955</v>
      </c>
      <c r="B9827" t="s">
        <v>2660</v>
      </c>
      <c r="C9827" t="s">
        <v>927</v>
      </c>
      <c r="D9827" t="s">
        <v>3052</v>
      </c>
      <c r="E9827" t="s">
        <v>3053</v>
      </c>
      <c r="F9827" t="s">
        <v>856</v>
      </c>
      <c r="G9827" t="s">
        <v>857</v>
      </c>
      <c r="H9827" t="s">
        <v>9606</v>
      </c>
      <c r="I9827">
        <v>163</v>
      </c>
      <c r="J9827">
        <v>146</v>
      </c>
      <c r="K9827">
        <v>0</v>
      </c>
      <c r="L9827">
        <v>17</v>
      </c>
      <c r="M9827">
        <v>0</v>
      </c>
      <c r="N9827">
        <v>0</v>
      </c>
      <c r="O9827">
        <v>0</v>
      </c>
    </row>
    <row r="9828" spans="1:15" x14ac:dyDescent="0.25">
      <c r="A9828" t="s">
        <v>1654</v>
      </c>
      <c r="B9828" t="s">
        <v>2850</v>
      </c>
      <c r="C9828" t="s">
        <v>927</v>
      </c>
      <c r="D9828" t="s">
        <v>3052</v>
      </c>
      <c r="E9828" t="s">
        <v>3053</v>
      </c>
      <c r="F9828" t="s">
        <v>856</v>
      </c>
      <c r="G9828" t="s">
        <v>857</v>
      </c>
      <c r="H9828" t="s">
        <v>9607</v>
      </c>
      <c r="I9828">
        <v>153</v>
      </c>
      <c r="J9828">
        <v>45</v>
      </c>
      <c r="K9828">
        <v>0</v>
      </c>
      <c r="L9828">
        <v>0</v>
      </c>
      <c r="M9828">
        <v>61</v>
      </c>
      <c r="N9828">
        <v>0</v>
      </c>
      <c r="O9828">
        <v>47</v>
      </c>
    </row>
    <row r="9829" spans="1:15" x14ac:dyDescent="0.25">
      <c r="A9829" t="s">
        <v>1661</v>
      </c>
      <c r="B9829" t="s">
        <v>2764</v>
      </c>
      <c r="C9829" t="s">
        <v>923</v>
      </c>
      <c r="D9829" t="s">
        <v>3063</v>
      </c>
      <c r="E9829" t="s">
        <v>3053</v>
      </c>
      <c r="F9829" t="s">
        <v>856</v>
      </c>
      <c r="G9829" t="s">
        <v>857</v>
      </c>
      <c r="H9829" t="s">
        <v>9608</v>
      </c>
      <c r="I9829">
        <v>37</v>
      </c>
      <c r="J9829">
        <v>0</v>
      </c>
      <c r="K9829">
        <v>0</v>
      </c>
      <c r="L9829">
        <v>37</v>
      </c>
      <c r="M9829">
        <v>0</v>
      </c>
      <c r="N9829">
        <v>0</v>
      </c>
      <c r="O9829">
        <v>0</v>
      </c>
    </row>
    <row r="9830" spans="1:15" x14ac:dyDescent="0.25">
      <c r="A9830" t="s">
        <v>11663</v>
      </c>
      <c r="B9830" t="s">
        <v>11768</v>
      </c>
      <c r="C9830" t="s">
        <v>927</v>
      </c>
      <c r="D9830" t="s">
        <v>3052</v>
      </c>
      <c r="E9830" t="s">
        <v>3053</v>
      </c>
      <c r="F9830" t="s">
        <v>856</v>
      </c>
      <c r="G9830" t="s">
        <v>857</v>
      </c>
      <c r="H9830" t="s">
        <v>12519</v>
      </c>
      <c r="I9830">
        <v>915</v>
      </c>
      <c r="J9830">
        <v>790</v>
      </c>
      <c r="K9830">
        <v>0</v>
      </c>
      <c r="L9830">
        <v>0</v>
      </c>
      <c r="M9830">
        <v>66</v>
      </c>
      <c r="N9830">
        <v>3</v>
      </c>
      <c r="O9830">
        <v>59</v>
      </c>
    </row>
    <row r="9831" spans="1:15" x14ac:dyDescent="0.25">
      <c r="A9831" t="s">
        <v>962</v>
      </c>
      <c r="B9831" t="s">
        <v>2752</v>
      </c>
      <c r="C9831" t="s">
        <v>927</v>
      </c>
      <c r="D9831" t="s">
        <v>3052</v>
      </c>
      <c r="E9831" t="s">
        <v>3053</v>
      </c>
      <c r="F9831" t="s">
        <v>856</v>
      </c>
      <c r="G9831" t="s">
        <v>857</v>
      </c>
      <c r="H9831" t="s">
        <v>9609</v>
      </c>
      <c r="I9831">
        <v>115</v>
      </c>
      <c r="J9831">
        <v>106</v>
      </c>
      <c r="K9831">
        <v>0</v>
      </c>
      <c r="L9831">
        <v>0</v>
      </c>
      <c r="M9831">
        <v>0</v>
      </c>
      <c r="N9831">
        <v>0</v>
      </c>
      <c r="O9831">
        <v>9</v>
      </c>
    </row>
    <row r="9832" spans="1:15" x14ac:dyDescent="0.25">
      <c r="A9832" t="s">
        <v>1676</v>
      </c>
      <c r="B9832" t="s">
        <v>2762</v>
      </c>
      <c r="C9832" t="s">
        <v>923</v>
      </c>
      <c r="D9832" t="s">
        <v>3063</v>
      </c>
      <c r="E9832" t="s">
        <v>3053</v>
      </c>
      <c r="F9832" t="s">
        <v>856</v>
      </c>
      <c r="G9832" t="s">
        <v>857</v>
      </c>
      <c r="H9832" t="s">
        <v>9610</v>
      </c>
      <c r="I9832">
        <v>6</v>
      </c>
      <c r="J9832">
        <v>6</v>
      </c>
      <c r="K9832">
        <v>0</v>
      </c>
      <c r="L9832">
        <v>0</v>
      </c>
      <c r="M9832">
        <v>0</v>
      </c>
      <c r="N9832">
        <v>0</v>
      </c>
      <c r="O9832">
        <v>0</v>
      </c>
    </row>
    <row r="9833" spans="1:15" x14ac:dyDescent="0.25">
      <c r="A9833" t="s">
        <v>1069</v>
      </c>
      <c r="B9833" t="s">
        <v>2001</v>
      </c>
      <c r="C9833" t="s">
        <v>927</v>
      </c>
      <c r="D9833" t="s">
        <v>3052</v>
      </c>
      <c r="E9833" t="s">
        <v>3053</v>
      </c>
      <c r="F9833" t="s">
        <v>856</v>
      </c>
      <c r="G9833" t="s">
        <v>857</v>
      </c>
      <c r="H9833" t="s">
        <v>9611</v>
      </c>
      <c r="I9833">
        <v>14</v>
      </c>
      <c r="J9833">
        <v>14</v>
      </c>
      <c r="K9833">
        <v>0</v>
      </c>
      <c r="L9833">
        <v>0</v>
      </c>
      <c r="M9833">
        <v>0</v>
      </c>
      <c r="N9833">
        <v>0</v>
      </c>
      <c r="O9833">
        <v>0</v>
      </c>
    </row>
    <row r="9834" spans="1:15" x14ac:dyDescent="0.25">
      <c r="A9834" t="s">
        <v>1697</v>
      </c>
      <c r="B9834" t="s">
        <v>3009</v>
      </c>
      <c r="C9834" t="s">
        <v>927</v>
      </c>
      <c r="D9834" t="s">
        <v>3052</v>
      </c>
      <c r="E9834" t="s">
        <v>3053</v>
      </c>
      <c r="F9834" t="s">
        <v>856</v>
      </c>
      <c r="G9834" t="s">
        <v>857</v>
      </c>
      <c r="H9834" t="s">
        <v>9612</v>
      </c>
      <c r="I9834">
        <v>3003</v>
      </c>
      <c r="J9834">
        <v>2686</v>
      </c>
      <c r="K9834">
        <v>0</v>
      </c>
      <c r="L9834">
        <v>5</v>
      </c>
      <c r="M9834">
        <v>218</v>
      </c>
      <c r="N9834">
        <v>9</v>
      </c>
      <c r="O9834">
        <v>94</v>
      </c>
    </row>
    <row r="9835" spans="1:15" x14ac:dyDescent="0.25">
      <c r="A9835" t="s">
        <v>1699</v>
      </c>
      <c r="B9835" t="s">
        <v>1949</v>
      </c>
      <c r="C9835" t="s">
        <v>923</v>
      </c>
      <c r="D9835" t="s">
        <v>3063</v>
      </c>
      <c r="E9835" t="s">
        <v>3053</v>
      </c>
      <c r="F9835" t="s">
        <v>856</v>
      </c>
      <c r="G9835" t="s">
        <v>857</v>
      </c>
      <c r="H9835" t="s">
        <v>9613</v>
      </c>
      <c r="I9835">
        <v>29</v>
      </c>
      <c r="J9835">
        <v>0</v>
      </c>
      <c r="K9835">
        <v>0</v>
      </c>
      <c r="L9835">
        <v>29</v>
      </c>
      <c r="M9835">
        <v>0</v>
      </c>
      <c r="N9835">
        <v>0</v>
      </c>
      <c r="O9835">
        <v>0</v>
      </c>
    </row>
    <row r="9836" spans="1:15" x14ac:dyDescent="0.25">
      <c r="A9836" t="s">
        <v>926</v>
      </c>
      <c r="B9836" t="s">
        <v>2923</v>
      </c>
      <c r="C9836" t="s">
        <v>927</v>
      </c>
      <c r="D9836" t="s">
        <v>3052</v>
      </c>
      <c r="E9836" t="s">
        <v>3053</v>
      </c>
      <c r="F9836" t="s">
        <v>858</v>
      </c>
      <c r="G9836" t="s">
        <v>859</v>
      </c>
      <c r="H9836" t="s">
        <v>9614</v>
      </c>
      <c r="I9836">
        <v>4</v>
      </c>
      <c r="J9836">
        <v>0</v>
      </c>
      <c r="K9836">
        <v>0</v>
      </c>
      <c r="L9836">
        <v>1</v>
      </c>
      <c r="M9836">
        <v>0</v>
      </c>
      <c r="N9836">
        <v>0</v>
      </c>
      <c r="O9836">
        <v>3</v>
      </c>
    </row>
    <row r="9837" spans="1:15" x14ac:dyDescent="0.25">
      <c r="A9837" t="s">
        <v>929</v>
      </c>
      <c r="B9837" t="s">
        <v>2999</v>
      </c>
      <c r="C9837" t="s">
        <v>927</v>
      </c>
      <c r="D9837" t="s">
        <v>3052</v>
      </c>
      <c r="E9837" t="s">
        <v>3053</v>
      </c>
      <c r="F9837" t="s">
        <v>858</v>
      </c>
      <c r="G9837" t="s">
        <v>859</v>
      </c>
      <c r="H9837" t="s">
        <v>11537</v>
      </c>
      <c r="I9837">
        <v>24</v>
      </c>
      <c r="J9837">
        <v>0</v>
      </c>
      <c r="K9837">
        <v>0</v>
      </c>
      <c r="L9837">
        <v>0</v>
      </c>
      <c r="M9837">
        <v>0</v>
      </c>
      <c r="N9837">
        <v>0</v>
      </c>
      <c r="O9837">
        <v>24</v>
      </c>
    </row>
    <row r="9838" spans="1:15" x14ac:dyDescent="0.25">
      <c r="A9838" t="s">
        <v>982</v>
      </c>
      <c r="B9838" t="s">
        <v>2874</v>
      </c>
      <c r="C9838" t="s">
        <v>923</v>
      </c>
      <c r="D9838" t="s">
        <v>3063</v>
      </c>
      <c r="E9838" t="s">
        <v>3053</v>
      </c>
      <c r="F9838" t="s">
        <v>858</v>
      </c>
      <c r="G9838" t="s">
        <v>859</v>
      </c>
      <c r="H9838" t="s">
        <v>9615</v>
      </c>
      <c r="I9838">
        <v>10</v>
      </c>
      <c r="J9838">
        <v>10</v>
      </c>
      <c r="K9838">
        <v>0</v>
      </c>
      <c r="L9838">
        <v>0</v>
      </c>
      <c r="M9838">
        <v>0</v>
      </c>
      <c r="N9838">
        <v>0</v>
      </c>
      <c r="O9838">
        <v>0</v>
      </c>
    </row>
    <row r="9839" spans="1:15" x14ac:dyDescent="0.25">
      <c r="A9839" t="s">
        <v>983</v>
      </c>
      <c r="B9839" t="s">
        <v>2069</v>
      </c>
      <c r="C9839" t="s">
        <v>927</v>
      </c>
      <c r="D9839" t="s">
        <v>3052</v>
      </c>
      <c r="E9839" t="s">
        <v>3053</v>
      </c>
      <c r="F9839" t="s">
        <v>858</v>
      </c>
      <c r="G9839" t="s">
        <v>859</v>
      </c>
      <c r="H9839" t="s">
        <v>9616</v>
      </c>
      <c r="I9839">
        <v>328</v>
      </c>
      <c r="J9839">
        <v>287</v>
      </c>
      <c r="K9839">
        <v>0</v>
      </c>
      <c r="L9839">
        <v>0</v>
      </c>
      <c r="M9839">
        <v>0</v>
      </c>
      <c r="N9839">
        <v>0</v>
      </c>
      <c r="O9839">
        <v>41</v>
      </c>
    </row>
    <row r="9840" spans="1:15" x14ac:dyDescent="0.25">
      <c r="A9840" t="s">
        <v>1808</v>
      </c>
      <c r="B9840" t="s">
        <v>3032</v>
      </c>
      <c r="C9840" t="s">
        <v>927</v>
      </c>
      <c r="D9840" t="s">
        <v>3052</v>
      </c>
      <c r="E9840" t="s">
        <v>3053</v>
      </c>
      <c r="F9840" t="s">
        <v>858</v>
      </c>
      <c r="G9840" t="s">
        <v>859</v>
      </c>
      <c r="H9840" t="s">
        <v>9617</v>
      </c>
      <c r="I9840">
        <v>95</v>
      </c>
      <c r="J9840">
        <v>82</v>
      </c>
      <c r="K9840">
        <v>0</v>
      </c>
      <c r="L9840">
        <v>0</v>
      </c>
      <c r="M9840">
        <v>0</v>
      </c>
      <c r="N9840">
        <v>0</v>
      </c>
      <c r="O9840">
        <v>13</v>
      </c>
    </row>
    <row r="9841" spans="1:15" x14ac:dyDescent="0.25">
      <c r="A9841" t="s">
        <v>1715</v>
      </c>
      <c r="B9841" t="s">
        <v>2136</v>
      </c>
      <c r="C9841" t="s">
        <v>927</v>
      </c>
      <c r="D9841" t="s">
        <v>3052</v>
      </c>
      <c r="E9841" t="s">
        <v>3053</v>
      </c>
      <c r="F9841" t="s">
        <v>858</v>
      </c>
      <c r="G9841" t="s">
        <v>859</v>
      </c>
      <c r="H9841" t="s">
        <v>9618</v>
      </c>
      <c r="I9841">
        <v>612</v>
      </c>
      <c r="J9841">
        <v>512</v>
      </c>
      <c r="K9841">
        <v>0</v>
      </c>
      <c r="L9841">
        <v>0</v>
      </c>
      <c r="M9841">
        <v>41</v>
      </c>
      <c r="N9841">
        <v>0</v>
      </c>
      <c r="O9841">
        <v>59</v>
      </c>
    </row>
    <row r="9842" spans="1:15" x14ac:dyDescent="0.25">
      <c r="A9842" t="s">
        <v>1590</v>
      </c>
      <c r="B9842" t="s">
        <v>2853</v>
      </c>
      <c r="C9842" t="s">
        <v>927</v>
      </c>
      <c r="D9842" t="s">
        <v>3052</v>
      </c>
      <c r="E9842" t="s">
        <v>3053</v>
      </c>
      <c r="F9842" t="s">
        <v>858</v>
      </c>
      <c r="G9842" t="s">
        <v>859</v>
      </c>
      <c r="H9842" t="s">
        <v>9619</v>
      </c>
      <c r="I9842">
        <v>88</v>
      </c>
      <c r="J9842">
        <v>67</v>
      </c>
      <c r="K9842">
        <v>0</v>
      </c>
      <c r="L9842">
        <v>0</v>
      </c>
      <c r="M9842">
        <v>0</v>
      </c>
      <c r="N9842">
        <v>0</v>
      </c>
      <c r="O9842">
        <v>21</v>
      </c>
    </row>
    <row r="9843" spans="1:15" x14ac:dyDescent="0.25">
      <c r="A9843" t="s">
        <v>937</v>
      </c>
      <c r="B9843" t="s">
        <v>1962</v>
      </c>
      <c r="C9843" t="s">
        <v>927</v>
      </c>
      <c r="D9843" t="s">
        <v>3052</v>
      </c>
      <c r="E9843" t="s">
        <v>3053</v>
      </c>
      <c r="F9843" t="s">
        <v>858</v>
      </c>
      <c r="G9843" t="s">
        <v>859</v>
      </c>
      <c r="H9843" t="s">
        <v>9620</v>
      </c>
      <c r="I9843">
        <v>25</v>
      </c>
      <c r="J9843">
        <v>0</v>
      </c>
      <c r="K9843">
        <v>0</v>
      </c>
      <c r="L9843">
        <v>0</v>
      </c>
      <c r="M9843">
        <v>0</v>
      </c>
      <c r="N9843">
        <v>0</v>
      </c>
      <c r="O9843">
        <v>25</v>
      </c>
    </row>
    <row r="9844" spans="1:15" x14ac:dyDescent="0.25">
      <c r="A9844" t="s">
        <v>940</v>
      </c>
      <c r="B9844" t="s">
        <v>2647</v>
      </c>
      <c r="C9844" t="s">
        <v>927</v>
      </c>
      <c r="D9844" t="s">
        <v>3052</v>
      </c>
      <c r="E9844" t="s">
        <v>3053</v>
      </c>
      <c r="F9844" t="s">
        <v>858</v>
      </c>
      <c r="G9844" t="s">
        <v>859</v>
      </c>
      <c r="H9844" t="s">
        <v>9621</v>
      </c>
      <c r="I9844">
        <v>52</v>
      </c>
      <c r="J9844">
        <v>0</v>
      </c>
      <c r="K9844">
        <v>0</v>
      </c>
      <c r="L9844">
        <v>0</v>
      </c>
      <c r="M9844">
        <v>52</v>
      </c>
      <c r="N9844">
        <v>0</v>
      </c>
      <c r="O9844">
        <v>0</v>
      </c>
    </row>
    <row r="9845" spans="1:15" x14ac:dyDescent="0.25">
      <c r="A9845" t="s">
        <v>1013</v>
      </c>
      <c r="B9845" t="s">
        <v>1959</v>
      </c>
      <c r="C9845" t="s">
        <v>927</v>
      </c>
      <c r="D9845" t="s">
        <v>3052</v>
      </c>
      <c r="E9845" t="s">
        <v>3053</v>
      </c>
      <c r="F9845" t="s">
        <v>858</v>
      </c>
      <c r="G9845" t="s">
        <v>859</v>
      </c>
      <c r="H9845" t="s">
        <v>11538</v>
      </c>
      <c r="I9845">
        <v>12</v>
      </c>
      <c r="J9845">
        <v>0</v>
      </c>
      <c r="K9845">
        <v>0</v>
      </c>
      <c r="L9845">
        <v>12</v>
      </c>
      <c r="M9845">
        <v>0</v>
      </c>
      <c r="N9845">
        <v>0</v>
      </c>
      <c r="O9845">
        <v>0</v>
      </c>
    </row>
    <row r="9846" spans="1:15" x14ac:dyDescent="0.25">
      <c r="A9846" t="s">
        <v>1745</v>
      </c>
      <c r="B9846" t="s">
        <v>2884</v>
      </c>
      <c r="C9846" t="s">
        <v>927</v>
      </c>
      <c r="D9846" t="s">
        <v>3052</v>
      </c>
      <c r="E9846" t="s">
        <v>3053</v>
      </c>
      <c r="F9846" t="s">
        <v>858</v>
      </c>
      <c r="G9846" t="s">
        <v>859</v>
      </c>
      <c r="H9846" t="s">
        <v>9622</v>
      </c>
      <c r="I9846">
        <v>10</v>
      </c>
      <c r="J9846">
        <v>8</v>
      </c>
      <c r="K9846">
        <v>0</v>
      </c>
      <c r="L9846">
        <v>0</v>
      </c>
      <c r="M9846">
        <v>0</v>
      </c>
      <c r="N9846">
        <v>0</v>
      </c>
      <c r="O9846">
        <v>2</v>
      </c>
    </row>
    <row r="9847" spans="1:15" x14ac:dyDescent="0.25">
      <c r="A9847" t="s">
        <v>1030</v>
      </c>
      <c r="B9847" t="s">
        <v>2880</v>
      </c>
      <c r="C9847" t="s">
        <v>927</v>
      </c>
      <c r="D9847" t="s">
        <v>3052</v>
      </c>
      <c r="E9847" t="s">
        <v>3053</v>
      </c>
      <c r="F9847" t="s">
        <v>858</v>
      </c>
      <c r="G9847" t="s">
        <v>859</v>
      </c>
      <c r="H9847" t="s">
        <v>9623</v>
      </c>
      <c r="I9847">
        <v>1</v>
      </c>
      <c r="J9847">
        <v>0</v>
      </c>
      <c r="K9847">
        <v>0</v>
      </c>
      <c r="L9847">
        <v>0</v>
      </c>
      <c r="M9847">
        <v>1</v>
      </c>
      <c r="N9847">
        <v>0</v>
      </c>
      <c r="O9847">
        <v>0</v>
      </c>
    </row>
    <row r="9848" spans="1:15" x14ac:dyDescent="0.25">
      <c r="A9848" t="s">
        <v>1049</v>
      </c>
      <c r="B9848" t="s">
        <v>2138</v>
      </c>
      <c r="C9848" t="s">
        <v>927</v>
      </c>
      <c r="D9848" t="s">
        <v>3052</v>
      </c>
      <c r="E9848" t="s">
        <v>3053</v>
      </c>
      <c r="F9848" t="s">
        <v>858</v>
      </c>
      <c r="G9848" t="s">
        <v>859</v>
      </c>
      <c r="H9848" t="s">
        <v>9624</v>
      </c>
      <c r="I9848">
        <v>4205</v>
      </c>
      <c r="J9848">
        <v>3447</v>
      </c>
      <c r="K9848">
        <v>0</v>
      </c>
      <c r="L9848">
        <v>53</v>
      </c>
      <c r="M9848">
        <v>353</v>
      </c>
      <c r="N9848">
        <v>0</v>
      </c>
      <c r="O9848">
        <v>352</v>
      </c>
    </row>
    <row r="9849" spans="1:15" x14ac:dyDescent="0.25">
      <c r="A9849" t="s">
        <v>1758</v>
      </c>
      <c r="B9849" t="s">
        <v>2997</v>
      </c>
      <c r="C9849" t="s">
        <v>927</v>
      </c>
      <c r="D9849" t="s">
        <v>3052</v>
      </c>
      <c r="E9849" t="s">
        <v>3053</v>
      </c>
      <c r="F9849" t="s">
        <v>858</v>
      </c>
      <c r="G9849" t="s">
        <v>859</v>
      </c>
      <c r="H9849" t="s">
        <v>9625</v>
      </c>
      <c r="I9849">
        <v>4722</v>
      </c>
      <c r="J9849">
        <v>4124</v>
      </c>
      <c r="K9849">
        <v>0</v>
      </c>
      <c r="L9849">
        <v>18</v>
      </c>
      <c r="M9849">
        <v>387</v>
      </c>
      <c r="N9849">
        <v>80</v>
      </c>
      <c r="O9849">
        <v>193</v>
      </c>
    </row>
    <row r="9850" spans="1:15" x14ac:dyDescent="0.25">
      <c r="A9850" t="s">
        <v>1057</v>
      </c>
      <c r="B9850" t="s">
        <v>1972</v>
      </c>
      <c r="C9850" t="s">
        <v>927</v>
      </c>
      <c r="D9850" t="s">
        <v>3052</v>
      </c>
      <c r="E9850" t="s">
        <v>3053</v>
      </c>
      <c r="F9850" t="s">
        <v>858</v>
      </c>
      <c r="G9850" t="s">
        <v>859</v>
      </c>
      <c r="H9850" t="s">
        <v>9626</v>
      </c>
      <c r="I9850">
        <v>123</v>
      </c>
      <c r="J9850">
        <v>58</v>
      </c>
      <c r="K9850">
        <v>0</v>
      </c>
      <c r="L9850">
        <v>0</v>
      </c>
      <c r="M9850">
        <v>0</v>
      </c>
      <c r="N9850">
        <v>0</v>
      </c>
      <c r="O9850">
        <v>65</v>
      </c>
    </row>
    <row r="9851" spans="1:15" x14ac:dyDescent="0.25">
      <c r="A9851" t="s">
        <v>955</v>
      </c>
      <c r="B9851" t="s">
        <v>2660</v>
      </c>
      <c r="C9851" t="s">
        <v>927</v>
      </c>
      <c r="D9851" t="s">
        <v>3052</v>
      </c>
      <c r="E9851" t="s">
        <v>3053</v>
      </c>
      <c r="F9851" t="s">
        <v>858</v>
      </c>
      <c r="G9851" t="s">
        <v>859</v>
      </c>
      <c r="H9851" t="s">
        <v>9627</v>
      </c>
      <c r="I9851">
        <v>64</v>
      </c>
      <c r="J9851">
        <v>53</v>
      </c>
      <c r="K9851">
        <v>0</v>
      </c>
      <c r="L9851">
        <v>0</v>
      </c>
      <c r="M9851">
        <v>0</v>
      </c>
      <c r="N9851">
        <v>0</v>
      </c>
      <c r="O9851">
        <v>11</v>
      </c>
    </row>
    <row r="9852" spans="1:15" x14ac:dyDescent="0.25">
      <c r="A9852" t="s">
        <v>1848</v>
      </c>
      <c r="B9852" t="s">
        <v>2620</v>
      </c>
      <c r="C9852" t="s">
        <v>923</v>
      </c>
      <c r="D9852" t="s">
        <v>3063</v>
      </c>
      <c r="E9852" t="s">
        <v>3053</v>
      </c>
      <c r="F9852" t="s">
        <v>858</v>
      </c>
      <c r="G9852" t="s">
        <v>859</v>
      </c>
      <c r="H9852" t="s">
        <v>12520</v>
      </c>
      <c r="I9852">
        <v>10</v>
      </c>
      <c r="J9852">
        <v>0</v>
      </c>
      <c r="K9852">
        <v>0</v>
      </c>
      <c r="L9852">
        <v>10</v>
      </c>
      <c r="M9852">
        <v>0</v>
      </c>
      <c r="N9852">
        <v>0</v>
      </c>
      <c r="O9852">
        <v>0</v>
      </c>
    </row>
    <row r="9853" spans="1:15" x14ac:dyDescent="0.25">
      <c r="A9853" t="s">
        <v>962</v>
      </c>
      <c r="B9853" t="s">
        <v>2752</v>
      </c>
      <c r="C9853" t="s">
        <v>927</v>
      </c>
      <c r="D9853" t="s">
        <v>3052</v>
      </c>
      <c r="E9853" t="s">
        <v>3053</v>
      </c>
      <c r="F9853" t="s">
        <v>858</v>
      </c>
      <c r="G9853" t="s">
        <v>859</v>
      </c>
      <c r="H9853" t="s">
        <v>10462</v>
      </c>
      <c r="I9853">
        <v>29</v>
      </c>
      <c r="J9853">
        <v>23</v>
      </c>
      <c r="K9853">
        <v>0</v>
      </c>
      <c r="L9853">
        <v>0</v>
      </c>
      <c r="M9853">
        <v>0</v>
      </c>
      <c r="N9853">
        <v>0</v>
      </c>
      <c r="O9853">
        <v>6</v>
      </c>
    </row>
    <row r="9854" spans="1:15" x14ac:dyDescent="0.25">
      <c r="A9854" t="s">
        <v>1857</v>
      </c>
      <c r="B9854" t="s">
        <v>3016</v>
      </c>
      <c r="C9854" t="s">
        <v>927</v>
      </c>
      <c r="D9854" t="s">
        <v>3052</v>
      </c>
      <c r="E9854" t="s">
        <v>3053</v>
      </c>
      <c r="F9854" t="s">
        <v>858</v>
      </c>
      <c r="G9854" t="s">
        <v>859</v>
      </c>
      <c r="H9854" t="s">
        <v>12521</v>
      </c>
      <c r="I9854">
        <v>1</v>
      </c>
      <c r="J9854">
        <v>1</v>
      </c>
      <c r="K9854">
        <v>0</v>
      </c>
      <c r="L9854">
        <v>0</v>
      </c>
      <c r="M9854">
        <v>0</v>
      </c>
      <c r="N9854">
        <v>0</v>
      </c>
      <c r="O9854">
        <v>0</v>
      </c>
    </row>
    <row r="9855" spans="1:15" x14ac:dyDescent="0.25">
      <c r="A9855" t="s">
        <v>1069</v>
      </c>
      <c r="B9855" t="s">
        <v>2001</v>
      </c>
      <c r="C9855" t="s">
        <v>927</v>
      </c>
      <c r="D9855" t="s">
        <v>3052</v>
      </c>
      <c r="E9855" t="s">
        <v>3053</v>
      </c>
      <c r="F9855" t="s">
        <v>858</v>
      </c>
      <c r="G9855" t="s">
        <v>859</v>
      </c>
      <c r="H9855" t="s">
        <v>9628</v>
      </c>
      <c r="I9855">
        <v>1</v>
      </c>
      <c r="J9855">
        <v>0</v>
      </c>
      <c r="K9855">
        <v>0</v>
      </c>
      <c r="L9855">
        <v>0</v>
      </c>
      <c r="M9855">
        <v>0</v>
      </c>
      <c r="N9855">
        <v>0</v>
      </c>
      <c r="O9855">
        <v>1</v>
      </c>
    </row>
    <row r="9856" spans="1:15" x14ac:dyDescent="0.25">
      <c r="A9856" t="s">
        <v>1077</v>
      </c>
      <c r="B9856" t="s">
        <v>2711</v>
      </c>
      <c r="C9856" t="s">
        <v>927</v>
      </c>
      <c r="D9856" t="s">
        <v>3052</v>
      </c>
      <c r="E9856" t="s">
        <v>3053</v>
      </c>
      <c r="F9856" t="s">
        <v>858</v>
      </c>
      <c r="G9856" t="s">
        <v>859</v>
      </c>
      <c r="H9856" t="s">
        <v>15492</v>
      </c>
      <c r="I9856">
        <v>27</v>
      </c>
      <c r="J9856">
        <v>20</v>
      </c>
      <c r="K9856">
        <v>0</v>
      </c>
      <c r="L9856">
        <v>0</v>
      </c>
      <c r="M9856">
        <v>0</v>
      </c>
      <c r="N9856">
        <v>0</v>
      </c>
      <c r="O9856">
        <v>7</v>
      </c>
    </row>
    <row r="9857" spans="1:15" x14ac:dyDescent="0.25">
      <c r="A9857" t="s">
        <v>1078</v>
      </c>
      <c r="B9857" t="s">
        <v>1950</v>
      </c>
      <c r="C9857" t="s">
        <v>923</v>
      </c>
      <c r="D9857" t="s">
        <v>3063</v>
      </c>
      <c r="E9857" t="s">
        <v>3053</v>
      </c>
      <c r="F9857" t="s">
        <v>858</v>
      </c>
      <c r="G9857" t="s">
        <v>859</v>
      </c>
      <c r="H9857" t="s">
        <v>9629</v>
      </c>
      <c r="I9857">
        <v>47</v>
      </c>
      <c r="J9857">
        <v>0</v>
      </c>
      <c r="K9857">
        <v>0</v>
      </c>
      <c r="L9857">
        <v>47</v>
      </c>
      <c r="M9857">
        <v>0</v>
      </c>
      <c r="N9857">
        <v>0</v>
      </c>
      <c r="O9857">
        <v>0</v>
      </c>
    </row>
    <row r="9858" spans="1:15" x14ac:dyDescent="0.25">
      <c r="A9858" t="s">
        <v>1865</v>
      </c>
      <c r="B9858" t="s">
        <v>2866</v>
      </c>
      <c r="C9858" t="s">
        <v>927</v>
      </c>
      <c r="D9858" t="s">
        <v>3052</v>
      </c>
      <c r="E9858" t="s">
        <v>3053</v>
      </c>
      <c r="F9858" t="s">
        <v>858</v>
      </c>
      <c r="G9858" t="s">
        <v>859</v>
      </c>
      <c r="H9858" t="s">
        <v>9630</v>
      </c>
      <c r="I9858">
        <v>181</v>
      </c>
      <c r="J9858">
        <v>132</v>
      </c>
      <c r="K9858">
        <v>0</v>
      </c>
      <c r="L9858">
        <v>0</v>
      </c>
      <c r="M9858">
        <v>0</v>
      </c>
      <c r="N9858">
        <v>0</v>
      </c>
      <c r="O9858">
        <v>49</v>
      </c>
    </row>
    <row r="9859" spans="1:15" x14ac:dyDescent="0.25">
      <c r="A9859" t="s">
        <v>1080</v>
      </c>
      <c r="B9859" t="s">
        <v>2030</v>
      </c>
      <c r="C9859" t="s">
        <v>923</v>
      </c>
      <c r="D9859" t="s">
        <v>3063</v>
      </c>
      <c r="E9859" t="s">
        <v>3053</v>
      </c>
      <c r="F9859" t="s">
        <v>858</v>
      </c>
      <c r="G9859" t="s">
        <v>859</v>
      </c>
      <c r="H9859" t="s">
        <v>9631</v>
      </c>
      <c r="I9859">
        <v>12</v>
      </c>
      <c r="J9859">
        <v>0</v>
      </c>
      <c r="K9859">
        <v>0</v>
      </c>
      <c r="L9859">
        <v>12</v>
      </c>
      <c r="M9859">
        <v>0</v>
      </c>
      <c r="N9859">
        <v>0</v>
      </c>
      <c r="O9859">
        <v>0</v>
      </c>
    </row>
    <row r="9860" spans="1:15" x14ac:dyDescent="0.25">
      <c r="A9860" t="s">
        <v>9790</v>
      </c>
      <c r="B9860" t="s">
        <v>1977</v>
      </c>
      <c r="C9860" t="s">
        <v>923</v>
      </c>
      <c r="D9860" t="s">
        <v>3063</v>
      </c>
      <c r="E9860" t="s">
        <v>3053</v>
      </c>
      <c r="F9860" t="s">
        <v>862</v>
      </c>
      <c r="G9860" t="s">
        <v>863</v>
      </c>
      <c r="H9860" t="s">
        <v>12522</v>
      </c>
      <c r="I9860">
        <v>9</v>
      </c>
      <c r="J9860">
        <v>0</v>
      </c>
      <c r="K9860">
        <v>0</v>
      </c>
      <c r="L9860">
        <v>9</v>
      </c>
      <c r="M9860">
        <v>0</v>
      </c>
      <c r="N9860">
        <v>0</v>
      </c>
      <c r="O9860">
        <v>0</v>
      </c>
    </row>
    <row r="9861" spans="1:15" x14ac:dyDescent="0.25">
      <c r="A9861" t="s">
        <v>983</v>
      </c>
      <c r="B9861" t="s">
        <v>2069</v>
      </c>
      <c r="C9861" t="s">
        <v>927</v>
      </c>
      <c r="D9861" t="s">
        <v>3052</v>
      </c>
      <c r="E9861" t="s">
        <v>3053</v>
      </c>
      <c r="F9861" t="s">
        <v>862</v>
      </c>
      <c r="G9861" t="s">
        <v>863</v>
      </c>
      <c r="H9861" t="s">
        <v>9652</v>
      </c>
      <c r="I9861">
        <v>171</v>
      </c>
      <c r="J9861">
        <v>105</v>
      </c>
      <c r="K9861">
        <v>0</v>
      </c>
      <c r="L9861">
        <v>11</v>
      </c>
      <c r="M9861">
        <v>0</v>
      </c>
      <c r="N9861">
        <v>0</v>
      </c>
      <c r="O9861">
        <v>55</v>
      </c>
    </row>
    <row r="9862" spans="1:15" x14ac:dyDescent="0.25">
      <c r="A9862" t="s">
        <v>1808</v>
      </c>
      <c r="B9862" t="s">
        <v>3032</v>
      </c>
      <c r="C9862" t="s">
        <v>927</v>
      </c>
      <c r="D9862" t="s">
        <v>3052</v>
      </c>
      <c r="E9862" t="s">
        <v>3053</v>
      </c>
      <c r="F9862" t="s">
        <v>862</v>
      </c>
      <c r="G9862" t="s">
        <v>863</v>
      </c>
      <c r="H9862" t="s">
        <v>11539</v>
      </c>
      <c r="I9862">
        <v>40</v>
      </c>
      <c r="J9862">
        <v>25</v>
      </c>
      <c r="K9862">
        <v>0</v>
      </c>
      <c r="L9862">
        <v>0</v>
      </c>
      <c r="M9862">
        <v>0</v>
      </c>
      <c r="N9862">
        <v>0</v>
      </c>
      <c r="O9862">
        <v>15</v>
      </c>
    </row>
    <row r="9863" spans="1:15" x14ac:dyDescent="0.25">
      <c r="A9863" t="s">
        <v>1715</v>
      </c>
      <c r="B9863" t="s">
        <v>2136</v>
      </c>
      <c r="C9863" t="s">
        <v>927</v>
      </c>
      <c r="D9863" t="s">
        <v>3052</v>
      </c>
      <c r="E9863" t="s">
        <v>3053</v>
      </c>
      <c r="F9863" t="s">
        <v>862</v>
      </c>
      <c r="G9863" t="s">
        <v>863</v>
      </c>
      <c r="H9863" t="s">
        <v>9653</v>
      </c>
      <c r="I9863">
        <v>777</v>
      </c>
      <c r="J9863">
        <v>554</v>
      </c>
      <c r="K9863">
        <v>0</v>
      </c>
      <c r="L9863">
        <v>47</v>
      </c>
      <c r="M9863">
        <v>30</v>
      </c>
      <c r="N9863">
        <v>0</v>
      </c>
      <c r="O9863">
        <v>146</v>
      </c>
    </row>
    <row r="9864" spans="1:15" x14ac:dyDescent="0.25">
      <c r="A9864" t="s">
        <v>935</v>
      </c>
      <c r="B9864" t="s">
        <v>1960</v>
      </c>
      <c r="C9864" t="s">
        <v>923</v>
      </c>
      <c r="D9864" t="s">
        <v>3063</v>
      </c>
      <c r="E9864" t="s">
        <v>3053</v>
      </c>
      <c r="F9864" t="s">
        <v>862</v>
      </c>
      <c r="G9864" t="s">
        <v>863</v>
      </c>
      <c r="H9864" t="s">
        <v>9654</v>
      </c>
      <c r="I9864">
        <v>4</v>
      </c>
      <c r="J9864">
        <v>0</v>
      </c>
      <c r="K9864">
        <v>0</v>
      </c>
      <c r="L9864">
        <v>4</v>
      </c>
      <c r="M9864">
        <v>0</v>
      </c>
      <c r="N9864">
        <v>0</v>
      </c>
      <c r="O9864">
        <v>0</v>
      </c>
    </row>
    <row r="9865" spans="1:15" x14ac:dyDescent="0.25">
      <c r="A9865" t="s">
        <v>10643</v>
      </c>
      <c r="B9865" t="s">
        <v>2987</v>
      </c>
      <c r="C9865" t="s">
        <v>927</v>
      </c>
      <c r="D9865" t="s">
        <v>3052</v>
      </c>
      <c r="E9865" t="s">
        <v>3053</v>
      </c>
      <c r="F9865" t="s">
        <v>862</v>
      </c>
      <c r="G9865" t="s">
        <v>863</v>
      </c>
      <c r="H9865" t="s">
        <v>11540</v>
      </c>
      <c r="I9865">
        <v>58</v>
      </c>
      <c r="J9865">
        <v>0</v>
      </c>
      <c r="K9865">
        <v>0</v>
      </c>
      <c r="L9865">
        <v>0</v>
      </c>
      <c r="M9865">
        <v>0</v>
      </c>
      <c r="N9865">
        <v>0</v>
      </c>
      <c r="O9865">
        <v>58</v>
      </c>
    </row>
    <row r="9866" spans="1:15" x14ac:dyDescent="0.25">
      <c r="A9866" t="s">
        <v>938</v>
      </c>
      <c r="B9866" t="s">
        <v>2791</v>
      </c>
      <c r="C9866" t="s">
        <v>927</v>
      </c>
      <c r="D9866" t="s">
        <v>3052</v>
      </c>
      <c r="E9866" t="s">
        <v>3053</v>
      </c>
      <c r="F9866" t="s">
        <v>862</v>
      </c>
      <c r="G9866" t="s">
        <v>863</v>
      </c>
      <c r="H9866" t="s">
        <v>9655</v>
      </c>
      <c r="I9866">
        <v>14</v>
      </c>
      <c r="J9866">
        <v>0</v>
      </c>
      <c r="K9866">
        <v>0</v>
      </c>
      <c r="L9866">
        <v>14</v>
      </c>
      <c r="M9866">
        <v>0</v>
      </c>
      <c r="N9866">
        <v>0</v>
      </c>
      <c r="O9866">
        <v>0</v>
      </c>
    </row>
    <row r="9867" spans="1:15" x14ac:dyDescent="0.25">
      <c r="A9867" t="s">
        <v>1013</v>
      </c>
      <c r="B9867" t="s">
        <v>1959</v>
      </c>
      <c r="C9867" t="s">
        <v>927</v>
      </c>
      <c r="D9867" t="s">
        <v>3052</v>
      </c>
      <c r="E9867" t="s">
        <v>3053</v>
      </c>
      <c r="F9867" t="s">
        <v>862</v>
      </c>
      <c r="G9867" t="s">
        <v>863</v>
      </c>
      <c r="H9867" t="s">
        <v>11541</v>
      </c>
      <c r="I9867">
        <v>27</v>
      </c>
      <c r="J9867">
        <v>0</v>
      </c>
      <c r="K9867">
        <v>0</v>
      </c>
      <c r="L9867">
        <v>27</v>
      </c>
      <c r="M9867">
        <v>0</v>
      </c>
      <c r="N9867">
        <v>0</v>
      </c>
      <c r="O9867">
        <v>0</v>
      </c>
    </row>
    <row r="9868" spans="1:15" x14ac:dyDescent="0.25">
      <c r="A9868" t="s">
        <v>1030</v>
      </c>
      <c r="B9868" t="s">
        <v>2880</v>
      </c>
      <c r="C9868" t="s">
        <v>927</v>
      </c>
      <c r="D9868" t="s">
        <v>3052</v>
      </c>
      <c r="E9868" t="s">
        <v>3053</v>
      </c>
      <c r="F9868" t="s">
        <v>862</v>
      </c>
      <c r="G9868" t="s">
        <v>863</v>
      </c>
      <c r="H9868" t="s">
        <v>9656</v>
      </c>
      <c r="I9868">
        <v>1</v>
      </c>
      <c r="J9868">
        <v>0</v>
      </c>
      <c r="K9868">
        <v>0</v>
      </c>
      <c r="L9868">
        <v>0</v>
      </c>
      <c r="M9868">
        <v>0</v>
      </c>
      <c r="N9868">
        <v>0</v>
      </c>
      <c r="O9868">
        <v>1</v>
      </c>
    </row>
    <row r="9869" spans="1:15" x14ac:dyDescent="0.25">
      <c r="A9869" t="s">
        <v>1049</v>
      </c>
      <c r="B9869" t="s">
        <v>2138</v>
      </c>
      <c r="C9869" t="s">
        <v>927</v>
      </c>
      <c r="D9869" t="s">
        <v>3052</v>
      </c>
      <c r="E9869" t="s">
        <v>3053</v>
      </c>
      <c r="F9869" t="s">
        <v>862</v>
      </c>
      <c r="G9869" t="s">
        <v>863</v>
      </c>
      <c r="H9869" t="s">
        <v>9657</v>
      </c>
      <c r="I9869">
        <v>398</v>
      </c>
      <c r="J9869">
        <v>320</v>
      </c>
      <c r="K9869">
        <v>0</v>
      </c>
      <c r="L9869">
        <v>2</v>
      </c>
      <c r="M9869">
        <v>28</v>
      </c>
      <c r="N9869">
        <v>0</v>
      </c>
      <c r="O9869">
        <v>48</v>
      </c>
    </row>
    <row r="9870" spans="1:15" x14ac:dyDescent="0.25">
      <c r="A9870" t="s">
        <v>1758</v>
      </c>
      <c r="B9870" t="s">
        <v>2997</v>
      </c>
      <c r="C9870" t="s">
        <v>927</v>
      </c>
      <c r="D9870" t="s">
        <v>3052</v>
      </c>
      <c r="E9870" t="s">
        <v>3053</v>
      </c>
      <c r="F9870" t="s">
        <v>862</v>
      </c>
      <c r="G9870" t="s">
        <v>863</v>
      </c>
      <c r="H9870" t="s">
        <v>9658</v>
      </c>
      <c r="I9870">
        <v>31</v>
      </c>
      <c r="J9870">
        <v>31</v>
      </c>
      <c r="K9870">
        <v>0</v>
      </c>
      <c r="L9870">
        <v>0</v>
      </c>
      <c r="M9870">
        <v>0</v>
      </c>
      <c r="N9870">
        <v>0</v>
      </c>
      <c r="O9870">
        <v>0</v>
      </c>
    </row>
    <row r="9871" spans="1:15" x14ac:dyDescent="0.25">
      <c r="A9871" t="s">
        <v>955</v>
      </c>
      <c r="B9871" t="s">
        <v>2660</v>
      </c>
      <c r="C9871" t="s">
        <v>927</v>
      </c>
      <c r="D9871" t="s">
        <v>3052</v>
      </c>
      <c r="E9871" t="s">
        <v>3053</v>
      </c>
      <c r="F9871" t="s">
        <v>862</v>
      </c>
      <c r="G9871" t="s">
        <v>863</v>
      </c>
      <c r="H9871" t="s">
        <v>9659</v>
      </c>
      <c r="I9871">
        <v>8</v>
      </c>
      <c r="J9871">
        <v>0</v>
      </c>
      <c r="K9871">
        <v>0</v>
      </c>
      <c r="L9871">
        <v>8</v>
      </c>
      <c r="M9871">
        <v>0</v>
      </c>
      <c r="N9871">
        <v>0</v>
      </c>
      <c r="O9871">
        <v>0</v>
      </c>
    </row>
    <row r="9872" spans="1:15" x14ac:dyDescent="0.25">
      <c r="A9872" t="s">
        <v>962</v>
      </c>
      <c r="B9872" t="s">
        <v>2752</v>
      </c>
      <c r="C9872" t="s">
        <v>927</v>
      </c>
      <c r="D9872" t="s">
        <v>3052</v>
      </c>
      <c r="E9872" t="s">
        <v>3053</v>
      </c>
      <c r="F9872" t="s">
        <v>862</v>
      </c>
      <c r="G9872" t="s">
        <v>863</v>
      </c>
      <c r="H9872" t="s">
        <v>10463</v>
      </c>
      <c r="I9872">
        <v>142</v>
      </c>
      <c r="J9872">
        <v>112</v>
      </c>
      <c r="K9872">
        <v>0</v>
      </c>
      <c r="L9872">
        <v>0</v>
      </c>
      <c r="M9872">
        <v>0</v>
      </c>
      <c r="N9872">
        <v>0</v>
      </c>
      <c r="O9872">
        <v>30</v>
      </c>
    </row>
    <row r="9873" spans="1:15" x14ac:dyDescent="0.25">
      <c r="A9873" t="s">
        <v>1857</v>
      </c>
      <c r="B9873" t="s">
        <v>3016</v>
      </c>
      <c r="C9873" t="s">
        <v>927</v>
      </c>
      <c r="D9873" t="s">
        <v>3052</v>
      </c>
      <c r="E9873" t="s">
        <v>3053</v>
      </c>
      <c r="F9873" t="s">
        <v>862</v>
      </c>
      <c r="G9873" t="s">
        <v>863</v>
      </c>
      <c r="H9873" t="s">
        <v>9660</v>
      </c>
      <c r="I9873">
        <v>5987</v>
      </c>
      <c r="J9873">
        <v>3587</v>
      </c>
      <c r="K9873">
        <v>0</v>
      </c>
      <c r="L9873">
        <v>2090</v>
      </c>
      <c r="M9873">
        <v>0</v>
      </c>
      <c r="N9873">
        <v>0</v>
      </c>
      <c r="O9873">
        <v>310</v>
      </c>
    </row>
    <row r="9874" spans="1:15" x14ac:dyDescent="0.25">
      <c r="A9874" t="s">
        <v>1080</v>
      </c>
      <c r="B9874" t="s">
        <v>2030</v>
      </c>
      <c r="C9874" t="s">
        <v>923</v>
      </c>
      <c r="D9874" t="s">
        <v>3063</v>
      </c>
      <c r="E9874" t="s">
        <v>3053</v>
      </c>
      <c r="F9874" t="s">
        <v>862</v>
      </c>
      <c r="G9874" t="s">
        <v>863</v>
      </c>
      <c r="H9874" t="s">
        <v>9661</v>
      </c>
      <c r="I9874">
        <v>3</v>
      </c>
      <c r="J9874">
        <v>0</v>
      </c>
      <c r="K9874">
        <v>0</v>
      </c>
      <c r="L9874">
        <v>3</v>
      </c>
      <c r="M9874">
        <v>0</v>
      </c>
      <c r="N9874">
        <v>0</v>
      </c>
      <c r="O9874">
        <v>0</v>
      </c>
    </row>
    <row r="9875" spans="1:15" x14ac:dyDescent="0.25">
      <c r="A9875" t="s">
        <v>971</v>
      </c>
      <c r="B9875" t="s">
        <v>2956</v>
      </c>
      <c r="C9875" t="s">
        <v>927</v>
      </c>
      <c r="D9875" t="s">
        <v>3052</v>
      </c>
      <c r="E9875" t="s">
        <v>3053</v>
      </c>
      <c r="F9875" t="s">
        <v>860</v>
      </c>
      <c r="G9875" t="s">
        <v>861</v>
      </c>
      <c r="H9875" t="s">
        <v>9632</v>
      </c>
      <c r="I9875">
        <v>8</v>
      </c>
      <c r="J9875">
        <v>8</v>
      </c>
      <c r="K9875">
        <v>0</v>
      </c>
      <c r="L9875">
        <v>0</v>
      </c>
      <c r="M9875">
        <v>0</v>
      </c>
      <c r="N9875">
        <v>0</v>
      </c>
      <c r="O9875">
        <v>0</v>
      </c>
    </row>
    <row r="9876" spans="1:15" x14ac:dyDescent="0.25">
      <c r="A9876" t="s">
        <v>926</v>
      </c>
      <c r="B9876" t="s">
        <v>2923</v>
      </c>
      <c r="C9876" t="s">
        <v>927</v>
      </c>
      <c r="D9876" t="s">
        <v>3052</v>
      </c>
      <c r="E9876" t="s">
        <v>3053</v>
      </c>
      <c r="F9876" t="s">
        <v>860</v>
      </c>
      <c r="G9876" t="s">
        <v>861</v>
      </c>
      <c r="H9876" t="s">
        <v>12523</v>
      </c>
      <c r="I9876">
        <v>1</v>
      </c>
      <c r="J9876">
        <v>0</v>
      </c>
      <c r="K9876">
        <v>0</v>
      </c>
      <c r="L9876">
        <v>0</v>
      </c>
      <c r="M9876">
        <v>0</v>
      </c>
      <c r="N9876">
        <v>0</v>
      </c>
      <c r="O9876">
        <v>1</v>
      </c>
    </row>
    <row r="9877" spans="1:15" x14ac:dyDescent="0.25">
      <c r="A9877" t="s">
        <v>978</v>
      </c>
      <c r="B9877" t="s">
        <v>1999</v>
      </c>
      <c r="C9877" t="s">
        <v>923</v>
      </c>
      <c r="D9877" t="s">
        <v>3063</v>
      </c>
      <c r="E9877" t="s">
        <v>3053</v>
      </c>
      <c r="F9877" t="s">
        <v>860</v>
      </c>
      <c r="G9877" t="s">
        <v>861</v>
      </c>
      <c r="H9877" t="s">
        <v>9633</v>
      </c>
      <c r="I9877">
        <v>4</v>
      </c>
      <c r="J9877">
        <v>4</v>
      </c>
      <c r="K9877">
        <v>0</v>
      </c>
      <c r="L9877">
        <v>0</v>
      </c>
      <c r="M9877">
        <v>0</v>
      </c>
      <c r="N9877">
        <v>0</v>
      </c>
      <c r="O9877">
        <v>0</v>
      </c>
    </row>
    <row r="9878" spans="1:15" x14ac:dyDescent="0.25">
      <c r="A9878" t="s">
        <v>1457</v>
      </c>
      <c r="B9878" t="s">
        <v>2003</v>
      </c>
      <c r="C9878" t="s">
        <v>923</v>
      </c>
      <c r="D9878" t="s">
        <v>3063</v>
      </c>
      <c r="E9878" t="s">
        <v>3053</v>
      </c>
      <c r="F9878" t="s">
        <v>860</v>
      </c>
      <c r="G9878" t="s">
        <v>861</v>
      </c>
      <c r="H9878" t="s">
        <v>9904</v>
      </c>
      <c r="I9878">
        <v>4</v>
      </c>
      <c r="J9878">
        <v>0</v>
      </c>
      <c r="K9878">
        <v>0</v>
      </c>
      <c r="L9878">
        <v>4</v>
      </c>
      <c r="M9878">
        <v>0</v>
      </c>
      <c r="N9878">
        <v>0</v>
      </c>
      <c r="O9878">
        <v>0</v>
      </c>
    </row>
    <row r="9879" spans="1:15" x14ac:dyDescent="0.25">
      <c r="A9879" t="s">
        <v>1458</v>
      </c>
      <c r="B9879" t="s">
        <v>2024</v>
      </c>
      <c r="C9879" t="s">
        <v>923</v>
      </c>
      <c r="D9879" t="s">
        <v>3063</v>
      </c>
      <c r="E9879" t="s">
        <v>3053</v>
      </c>
      <c r="F9879" t="s">
        <v>860</v>
      </c>
      <c r="G9879" t="s">
        <v>861</v>
      </c>
      <c r="H9879" t="s">
        <v>9634</v>
      </c>
      <c r="I9879">
        <v>6</v>
      </c>
      <c r="J9879">
        <v>6</v>
      </c>
      <c r="K9879">
        <v>0</v>
      </c>
      <c r="L9879">
        <v>0</v>
      </c>
      <c r="M9879">
        <v>0</v>
      </c>
      <c r="N9879">
        <v>0</v>
      </c>
      <c r="O9879">
        <v>0</v>
      </c>
    </row>
    <row r="9880" spans="1:15" x14ac:dyDescent="0.25">
      <c r="A9880" t="s">
        <v>9784</v>
      </c>
      <c r="B9880" t="s">
        <v>1994</v>
      </c>
      <c r="C9880" t="s">
        <v>927</v>
      </c>
      <c r="D9880" t="s">
        <v>3052</v>
      </c>
      <c r="E9880" t="s">
        <v>3053</v>
      </c>
      <c r="F9880" t="s">
        <v>860</v>
      </c>
      <c r="G9880" t="s">
        <v>861</v>
      </c>
      <c r="H9880" t="s">
        <v>10000</v>
      </c>
      <c r="I9880">
        <v>5</v>
      </c>
      <c r="J9880">
        <v>0</v>
      </c>
      <c r="K9880">
        <v>0</v>
      </c>
      <c r="L9880">
        <v>5</v>
      </c>
      <c r="M9880">
        <v>0</v>
      </c>
      <c r="N9880">
        <v>0</v>
      </c>
      <c r="O9880">
        <v>0</v>
      </c>
    </row>
    <row r="9881" spans="1:15" x14ac:dyDescent="0.25">
      <c r="A9881" t="s">
        <v>1095</v>
      </c>
      <c r="B9881" t="s">
        <v>1946</v>
      </c>
      <c r="C9881" t="s">
        <v>923</v>
      </c>
      <c r="D9881" t="s">
        <v>3063</v>
      </c>
      <c r="E9881" t="s">
        <v>3053</v>
      </c>
      <c r="F9881" t="s">
        <v>860</v>
      </c>
      <c r="G9881" t="s">
        <v>861</v>
      </c>
      <c r="H9881" t="s">
        <v>9635</v>
      </c>
      <c r="I9881">
        <v>24</v>
      </c>
      <c r="J9881">
        <v>0</v>
      </c>
      <c r="K9881">
        <v>0</v>
      </c>
      <c r="L9881">
        <v>24</v>
      </c>
      <c r="M9881">
        <v>0</v>
      </c>
      <c r="N9881">
        <v>0</v>
      </c>
      <c r="O9881">
        <v>0</v>
      </c>
    </row>
    <row r="9882" spans="1:15" x14ac:dyDescent="0.25">
      <c r="A9882" t="s">
        <v>985</v>
      </c>
      <c r="B9882" t="s">
        <v>1964</v>
      </c>
      <c r="C9882" t="s">
        <v>923</v>
      </c>
      <c r="D9882" t="s">
        <v>3063</v>
      </c>
      <c r="E9882" t="s">
        <v>3053</v>
      </c>
      <c r="F9882" t="s">
        <v>860</v>
      </c>
      <c r="G9882" t="s">
        <v>861</v>
      </c>
      <c r="H9882" t="s">
        <v>9636</v>
      </c>
      <c r="I9882">
        <v>3</v>
      </c>
      <c r="J9882">
        <v>0</v>
      </c>
      <c r="K9882">
        <v>0</v>
      </c>
      <c r="L9882">
        <v>3</v>
      </c>
      <c r="M9882">
        <v>0</v>
      </c>
      <c r="N9882">
        <v>0</v>
      </c>
      <c r="O9882">
        <v>0</v>
      </c>
    </row>
    <row r="9883" spans="1:15" x14ac:dyDescent="0.25">
      <c r="A9883" t="s">
        <v>991</v>
      </c>
      <c r="B9883" t="s">
        <v>1976</v>
      </c>
      <c r="C9883" t="s">
        <v>923</v>
      </c>
      <c r="D9883" t="s">
        <v>3063</v>
      </c>
      <c r="E9883" t="s">
        <v>3053</v>
      </c>
      <c r="F9883" t="s">
        <v>860</v>
      </c>
      <c r="G9883" t="s">
        <v>861</v>
      </c>
      <c r="H9883" t="s">
        <v>9637</v>
      </c>
      <c r="I9883">
        <v>22</v>
      </c>
      <c r="J9883">
        <v>0</v>
      </c>
      <c r="K9883">
        <v>0</v>
      </c>
      <c r="L9883">
        <v>22</v>
      </c>
      <c r="M9883">
        <v>0</v>
      </c>
      <c r="N9883">
        <v>0</v>
      </c>
      <c r="O9883">
        <v>0</v>
      </c>
    </row>
    <row r="9884" spans="1:15" x14ac:dyDescent="0.25">
      <c r="A9884" t="s">
        <v>935</v>
      </c>
      <c r="B9884" t="s">
        <v>1960</v>
      </c>
      <c r="C9884" t="s">
        <v>923</v>
      </c>
      <c r="D9884" t="s">
        <v>3063</v>
      </c>
      <c r="E9884" t="s">
        <v>3053</v>
      </c>
      <c r="F9884" t="s">
        <v>860</v>
      </c>
      <c r="G9884" t="s">
        <v>861</v>
      </c>
      <c r="H9884" t="s">
        <v>9638</v>
      </c>
      <c r="I9884">
        <v>7</v>
      </c>
      <c r="J9884">
        <v>0</v>
      </c>
      <c r="K9884">
        <v>0</v>
      </c>
      <c r="L9884">
        <v>7</v>
      </c>
      <c r="M9884">
        <v>0</v>
      </c>
      <c r="N9884">
        <v>0</v>
      </c>
      <c r="O9884">
        <v>0</v>
      </c>
    </row>
    <row r="9885" spans="1:15" x14ac:dyDescent="0.25">
      <c r="A9885" t="s">
        <v>11660</v>
      </c>
      <c r="B9885" t="s">
        <v>2041</v>
      </c>
      <c r="C9885" t="s">
        <v>923</v>
      </c>
      <c r="D9885" t="s">
        <v>3063</v>
      </c>
      <c r="E9885" t="s">
        <v>3053</v>
      </c>
      <c r="F9885" t="s">
        <v>860</v>
      </c>
      <c r="G9885" t="s">
        <v>861</v>
      </c>
      <c r="H9885" t="s">
        <v>15493</v>
      </c>
      <c r="I9885">
        <v>1</v>
      </c>
      <c r="J9885">
        <v>0</v>
      </c>
      <c r="K9885">
        <v>0</v>
      </c>
      <c r="L9885">
        <v>1</v>
      </c>
      <c r="M9885">
        <v>0</v>
      </c>
      <c r="N9885">
        <v>0</v>
      </c>
      <c r="O9885">
        <v>0</v>
      </c>
    </row>
    <row r="9886" spans="1:15" x14ac:dyDescent="0.25">
      <c r="A9886" t="s">
        <v>1416</v>
      </c>
      <c r="B9886" t="s">
        <v>2029</v>
      </c>
      <c r="C9886" t="s">
        <v>923</v>
      </c>
      <c r="D9886" t="s">
        <v>3063</v>
      </c>
      <c r="E9886" t="s">
        <v>3053</v>
      </c>
      <c r="F9886" t="s">
        <v>860</v>
      </c>
      <c r="G9886" t="s">
        <v>861</v>
      </c>
      <c r="H9886" t="s">
        <v>15494</v>
      </c>
      <c r="I9886">
        <v>11</v>
      </c>
      <c r="J9886">
        <v>0</v>
      </c>
      <c r="K9886">
        <v>0</v>
      </c>
      <c r="L9886">
        <v>11</v>
      </c>
      <c r="M9886">
        <v>0</v>
      </c>
      <c r="N9886">
        <v>0</v>
      </c>
      <c r="O9886">
        <v>0</v>
      </c>
    </row>
    <row r="9887" spans="1:15" x14ac:dyDescent="0.25">
      <c r="A9887" t="s">
        <v>1006</v>
      </c>
      <c r="B9887" t="s">
        <v>2724</v>
      </c>
      <c r="C9887" t="s">
        <v>927</v>
      </c>
      <c r="D9887" t="s">
        <v>3052</v>
      </c>
      <c r="E9887" t="s">
        <v>3053</v>
      </c>
      <c r="F9887" t="s">
        <v>860</v>
      </c>
      <c r="G9887" t="s">
        <v>861</v>
      </c>
      <c r="H9887" t="s">
        <v>9639</v>
      </c>
      <c r="I9887">
        <v>429</v>
      </c>
      <c r="J9887">
        <v>291</v>
      </c>
      <c r="K9887">
        <v>0</v>
      </c>
      <c r="L9887">
        <v>22</v>
      </c>
      <c r="M9887">
        <v>32</v>
      </c>
      <c r="N9887">
        <v>0</v>
      </c>
      <c r="O9887">
        <v>84</v>
      </c>
    </row>
    <row r="9888" spans="1:15" x14ac:dyDescent="0.25">
      <c r="A9888" t="s">
        <v>1009</v>
      </c>
      <c r="B9888" t="s">
        <v>1958</v>
      </c>
      <c r="C9888" t="s">
        <v>923</v>
      </c>
      <c r="D9888" t="s">
        <v>3063</v>
      </c>
      <c r="E9888" t="s">
        <v>3053</v>
      </c>
      <c r="F9888" t="s">
        <v>860</v>
      </c>
      <c r="G9888" t="s">
        <v>861</v>
      </c>
      <c r="H9888" t="s">
        <v>9640</v>
      </c>
      <c r="I9888">
        <v>6</v>
      </c>
      <c r="J9888">
        <v>0</v>
      </c>
      <c r="K9888">
        <v>0</v>
      </c>
      <c r="L9888">
        <v>6</v>
      </c>
      <c r="M9888">
        <v>0</v>
      </c>
      <c r="N9888">
        <v>0</v>
      </c>
      <c r="O9888">
        <v>0</v>
      </c>
    </row>
    <row r="9889" spans="1:15" x14ac:dyDescent="0.25">
      <c r="A9889" t="s">
        <v>937</v>
      </c>
      <c r="B9889" t="s">
        <v>1962</v>
      </c>
      <c r="C9889" t="s">
        <v>927</v>
      </c>
      <c r="D9889" t="s">
        <v>3052</v>
      </c>
      <c r="E9889" t="s">
        <v>3053</v>
      </c>
      <c r="F9889" t="s">
        <v>860</v>
      </c>
      <c r="G9889" t="s">
        <v>861</v>
      </c>
      <c r="H9889" t="s">
        <v>9641</v>
      </c>
      <c r="I9889">
        <v>62</v>
      </c>
      <c r="J9889">
        <v>0</v>
      </c>
      <c r="K9889">
        <v>0</v>
      </c>
      <c r="L9889">
        <v>0</v>
      </c>
      <c r="M9889">
        <v>0</v>
      </c>
      <c r="N9889">
        <v>0</v>
      </c>
      <c r="O9889">
        <v>62</v>
      </c>
    </row>
    <row r="9890" spans="1:15" x14ac:dyDescent="0.25">
      <c r="A9890" t="s">
        <v>1013</v>
      </c>
      <c r="B9890" t="s">
        <v>1959</v>
      </c>
      <c r="C9890" t="s">
        <v>927</v>
      </c>
      <c r="D9890" t="s">
        <v>3052</v>
      </c>
      <c r="E9890" t="s">
        <v>3053</v>
      </c>
      <c r="F9890" t="s">
        <v>860</v>
      </c>
      <c r="G9890" t="s">
        <v>861</v>
      </c>
      <c r="H9890" t="s">
        <v>9642</v>
      </c>
      <c r="I9890">
        <v>3</v>
      </c>
      <c r="J9890">
        <v>0</v>
      </c>
      <c r="K9890">
        <v>0</v>
      </c>
      <c r="L9890">
        <v>3</v>
      </c>
      <c r="M9890">
        <v>0</v>
      </c>
      <c r="N9890">
        <v>0</v>
      </c>
      <c r="O9890">
        <v>0</v>
      </c>
    </row>
    <row r="9891" spans="1:15" x14ac:dyDescent="0.25">
      <c r="A9891" t="s">
        <v>9819</v>
      </c>
      <c r="B9891" t="s">
        <v>2916</v>
      </c>
      <c r="C9891" t="s">
        <v>927</v>
      </c>
      <c r="D9891" t="s">
        <v>3052</v>
      </c>
      <c r="E9891" t="s">
        <v>3053</v>
      </c>
      <c r="F9891" t="s">
        <v>860</v>
      </c>
      <c r="G9891" t="s">
        <v>861</v>
      </c>
      <c r="H9891" t="s">
        <v>10154</v>
      </c>
      <c r="I9891">
        <v>442</v>
      </c>
      <c r="J9891">
        <v>381</v>
      </c>
      <c r="K9891">
        <v>0</v>
      </c>
      <c r="L9891">
        <v>0</v>
      </c>
      <c r="M9891">
        <v>0</v>
      </c>
      <c r="N9891">
        <v>0</v>
      </c>
      <c r="O9891">
        <v>61</v>
      </c>
    </row>
    <row r="9892" spans="1:15" x14ac:dyDescent="0.25">
      <c r="A9892" t="s">
        <v>1018</v>
      </c>
      <c r="B9892" t="s">
        <v>1980</v>
      </c>
      <c r="C9892" t="s">
        <v>923</v>
      </c>
      <c r="D9892" t="s">
        <v>3063</v>
      </c>
      <c r="E9892" t="s">
        <v>3053</v>
      </c>
      <c r="F9892" t="s">
        <v>860</v>
      </c>
      <c r="G9892" t="s">
        <v>861</v>
      </c>
      <c r="H9892" t="s">
        <v>9643</v>
      </c>
      <c r="I9892">
        <v>14</v>
      </c>
      <c r="J9892">
        <v>0</v>
      </c>
      <c r="K9892">
        <v>0</v>
      </c>
      <c r="L9892">
        <v>14</v>
      </c>
      <c r="M9892">
        <v>0</v>
      </c>
      <c r="N9892">
        <v>0</v>
      </c>
      <c r="O9892">
        <v>0</v>
      </c>
    </row>
    <row r="9893" spans="1:15" x14ac:dyDescent="0.25">
      <c r="A9893" t="s">
        <v>10667</v>
      </c>
      <c r="B9893" t="s">
        <v>10666</v>
      </c>
      <c r="C9893" t="s">
        <v>927</v>
      </c>
      <c r="D9893" t="s">
        <v>3052</v>
      </c>
      <c r="E9893" t="s">
        <v>3053</v>
      </c>
      <c r="F9893" t="s">
        <v>860</v>
      </c>
      <c r="G9893" t="s">
        <v>861</v>
      </c>
      <c r="H9893" t="s">
        <v>11542</v>
      </c>
      <c r="I9893">
        <v>7</v>
      </c>
      <c r="J9893">
        <v>7</v>
      </c>
      <c r="K9893">
        <v>0</v>
      </c>
      <c r="L9893">
        <v>0</v>
      </c>
      <c r="M9893">
        <v>0</v>
      </c>
      <c r="N9893">
        <v>0</v>
      </c>
      <c r="O9893">
        <v>0</v>
      </c>
    </row>
    <row r="9894" spans="1:15" x14ac:dyDescent="0.25">
      <c r="A9894" t="s">
        <v>1126</v>
      </c>
      <c r="B9894" t="s">
        <v>2130</v>
      </c>
      <c r="C9894" t="s">
        <v>927</v>
      </c>
      <c r="D9894" t="s">
        <v>3052</v>
      </c>
      <c r="E9894" t="s">
        <v>3053</v>
      </c>
      <c r="F9894" t="s">
        <v>860</v>
      </c>
      <c r="G9894" t="s">
        <v>861</v>
      </c>
      <c r="H9894" t="s">
        <v>11543</v>
      </c>
      <c r="I9894">
        <v>43</v>
      </c>
      <c r="J9894">
        <v>13</v>
      </c>
      <c r="K9894">
        <v>0</v>
      </c>
      <c r="L9894">
        <v>0</v>
      </c>
      <c r="M9894">
        <v>0</v>
      </c>
      <c r="N9894">
        <v>0</v>
      </c>
      <c r="O9894">
        <v>30</v>
      </c>
    </row>
    <row r="9895" spans="1:15" x14ac:dyDescent="0.25">
      <c r="A9895" t="s">
        <v>1025</v>
      </c>
      <c r="B9895" t="s">
        <v>2893</v>
      </c>
      <c r="C9895" t="s">
        <v>927</v>
      </c>
      <c r="D9895" t="s">
        <v>3052</v>
      </c>
      <c r="E9895" t="s">
        <v>3053</v>
      </c>
      <c r="F9895" t="s">
        <v>860</v>
      </c>
      <c r="G9895" t="s">
        <v>861</v>
      </c>
      <c r="H9895" t="s">
        <v>12524</v>
      </c>
      <c r="I9895">
        <v>33</v>
      </c>
      <c r="J9895">
        <v>14</v>
      </c>
      <c r="K9895">
        <v>0</v>
      </c>
      <c r="L9895">
        <v>0</v>
      </c>
      <c r="M9895">
        <v>0</v>
      </c>
      <c r="N9895">
        <v>0</v>
      </c>
      <c r="O9895">
        <v>19</v>
      </c>
    </row>
    <row r="9896" spans="1:15" x14ac:dyDescent="0.25">
      <c r="A9896" t="s">
        <v>1510</v>
      </c>
      <c r="B9896" t="s">
        <v>2812</v>
      </c>
      <c r="C9896" t="s">
        <v>923</v>
      </c>
      <c r="D9896" t="s">
        <v>3063</v>
      </c>
      <c r="E9896" t="s">
        <v>3053</v>
      </c>
      <c r="F9896" t="s">
        <v>860</v>
      </c>
      <c r="G9896" t="s">
        <v>861</v>
      </c>
      <c r="H9896" t="s">
        <v>9644</v>
      </c>
      <c r="I9896">
        <v>31</v>
      </c>
      <c r="J9896">
        <v>31</v>
      </c>
      <c r="K9896">
        <v>0</v>
      </c>
      <c r="L9896">
        <v>0</v>
      </c>
      <c r="M9896">
        <v>0</v>
      </c>
      <c r="N9896">
        <v>0</v>
      </c>
      <c r="O9896">
        <v>0</v>
      </c>
    </row>
    <row r="9897" spans="1:15" x14ac:dyDescent="0.25">
      <c r="A9897" t="s">
        <v>10681</v>
      </c>
      <c r="B9897" t="s">
        <v>10680</v>
      </c>
      <c r="C9897" t="s">
        <v>927</v>
      </c>
      <c r="D9897" t="s">
        <v>3052</v>
      </c>
      <c r="E9897" t="s">
        <v>3053</v>
      </c>
      <c r="F9897" t="s">
        <v>860</v>
      </c>
      <c r="G9897" t="s">
        <v>861</v>
      </c>
      <c r="H9897" t="s">
        <v>15495</v>
      </c>
      <c r="I9897">
        <v>3</v>
      </c>
      <c r="J9897">
        <v>0</v>
      </c>
      <c r="K9897">
        <v>0</v>
      </c>
      <c r="L9897">
        <v>0</v>
      </c>
      <c r="M9897">
        <v>0</v>
      </c>
      <c r="N9897">
        <v>0</v>
      </c>
      <c r="O9897">
        <v>3</v>
      </c>
    </row>
    <row r="9898" spans="1:15" x14ac:dyDescent="0.25">
      <c r="A9898" t="s">
        <v>1031</v>
      </c>
      <c r="B9898" t="s">
        <v>2779</v>
      </c>
      <c r="C9898" t="s">
        <v>927</v>
      </c>
      <c r="D9898" t="s">
        <v>3052</v>
      </c>
      <c r="E9898" t="s">
        <v>3053</v>
      </c>
      <c r="F9898" t="s">
        <v>860</v>
      </c>
      <c r="G9898" t="s">
        <v>861</v>
      </c>
      <c r="H9898" t="s">
        <v>9645</v>
      </c>
      <c r="I9898">
        <v>7</v>
      </c>
      <c r="J9898">
        <v>7</v>
      </c>
      <c r="K9898">
        <v>0</v>
      </c>
      <c r="L9898">
        <v>0</v>
      </c>
      <c r="M9898">
        <v>0</v>
      </c>
      <c r="N9898">
        <v>1</v>
      </c>
      <c r="O9898">
        <v>0</v>
      </c>
    </row>
    <row r="9899" spans="1:15" x14ac:dyDescent="0.25">
      <c r="A9899" t="s">
        <v>1520</v>
      </c>
      <c r="B9899" t="s">
        <v>2058</v>
      </c>
      <c r="C9899" t="s">
        <v>927</v>
      </c>
      <c r="D9899" t="s">
        <v>3052</v>
      </c>
      <c r="E9899" t="s">
        <v>3053</v>
      </c>
      <c r="F9899" t="s">
        <v>860</v>
      </c>
      <c r="G9899" t="s">
        <v>861</v>
      </c>
      <c r="H9899" t="s">
        <v>15496</v>
      </c>
      <c r="I9899">
        <v>18</v>
      </c>
      <c r="J9899">
        <v>18</v>
      </c>
      <c r="K9899">
        <v>0</v>
      </c>
      <c r="L9899">
        <v>0</v>
      </c>
      <c r="M9899">
        <v>0</v>
      </c>
      <c r="N9899">
        <v>0</v>
      </c>
      <c r="O9899">
        <v>0</v>
      </c>
    </row>
    <row r="9900" spans="1:15" x14ac:dyDescent="0.25">
      <c r="A9900" t="s">
        <v>1044</v>
      </c>
      <c r="B9900" t="s">
        <v>2000</v>
      </c>
      <c r="C9900" t="s">
        <v>923</v>
      </c>
      <c r="D9900" t="s">
        <v>3063</v>
      </c>
      <c r="E9900" t="s">
        <v>3053</v>
      </c>
      <c r="F9900" t="s">
        <v>860</v>
      </c>
      <c r="G9900" t="s">
        <v>861</v>
      </c>
      <c r="H9900" t="s">
        <v>10299</v>
      </c>
      <c r="I9900">
        <v>10</v>
      </c>
      <c r="J9900">
        <v>0</v>
      </c>
      <c r="K9900">
        <v>0</v>
      </c>
      <c r="L9900">
        <v>10</v>
      </c>
      <c r="M9900">
        <v>0</v>
      </c>
      <c r="N9900">
        <v>0</v>
      </c>
      <c r="O9900">
        <v>0</v>
      </c>
    </row>
    <row r="9901" spans="1:15" x14ac:dyDescent="0.25">
      <c r="A9901" t="s">
        <v>1046</v>
      </c>
      <c r="B9901" t="s">
        <v>2027</v>
      </c>
      <c r="C9901" t="s">
        <v>923</v>
      </c>
      <c r="D9901" t="s">
        <v>3063</v>
      </c>
      <c r="E9901" t="s">
        <v>3053</v>
      </c>
      <c r="F9901" t="s">
        <v>860</v>
      </c>
      <c r="G9901" t="s">
        <v>861</v>
      </c>
      <c r="H9901" t="s">
        <v>15497</v>
      </c>
      <c r="I9901">
        <v>7</v>
      </c>
      <c r="J9901">
        <v>0</v>
      </c>
      <c r="K9901">
        <v>0</v>
      </c>
      <c r="L9901">
        <v>7</v>
      </c>
      <c r="M9901">
        <v>0</v>
      </c>
      <c r="N9901">
        <v>0</v>
      </c>
      <c r="O9901">
        <v>0</v>
      </c>
    </row>
    <row r="9902" spans="1:15" x14ac:dyDescent="0.25">
      <c r="A9902" t="s">
        <v>951</v>
      </c>
      <c r="B9902" t="s">
        <v>2680</v>
      </c>
      <c r="C9902" t="s">
        <v>927</v>
      </c>
      <c r="D9902" t="s">
        <v>3052</v>
      </c>
      <c r="E9902" t="s">
        <v>3053</v>
      </c>
      <c r="F9902" t="s">
        <v>860</v>
      </c>
      <c r="G9902" t="s">
        <v>861</v>
      </c>
      <c r="H9902" t="s">
        <v>9646</v>
      </c>
      <c r="I9902">
        <v>393</v>
      </c>
      <c r="J9902">
        <v>355</v>
      </c>
      <c r="K9902">
        <v>0</v>
      </c>
      <c r="L9902">
        <v>0</v>
      </c>
      <c r="M9902">
        <v>0</v>
      </c>
      <c r="N9902">
        <v>0</v>
      </c>
      <c r="O9902">
        <v>38</v>
      </c>
    </row>
    <row r="9903" spans="1:15" x14ac:dyDescent="0.25">
      <c r="A9903" t="s">
        <v>1051</v>
      </c>
      <c r="B9903" t="s">
        <v>2995</v>
      </c>
      <c r="C9903" t="s">
        <v>927</v>
      </c>
      <c r="D9903" t="s">
        <v>3052</v>
      </c>
      <c r="E9903" t="s">
        <v>3053</v>
      </c>
      <c r="F9903" t="s">
        <v>860</v>
      </c>
      <c r="G9903" t="s">
        <v>861</v>
      </c>
      <c r="H9903" t="s">
        <v>9647</v>
      </c>
      <c r="I9903">
        <v>285</v>
      </c>
      <c r="J9903">
        <v>140</v>
      </c>
      <c r="K9903">
        <v>0</v>
      </c>
      <c r="L9903">
        <v>87</v>
      </c>
      <c r="M9903">
        <v>0</v>
      </c>
      <c r="N9903">
        <v>0</v>
      </c>
      <c r="O9903">
        <v>58</v>
      </c>
    </row>
    <row r="9904" spans="1:15" x14ac:dyDescent="0.25">
      <c r="A9904" t="s">
        <v>1529</v>
      </c>
      <c r="B9904" t="s">
        <v>1954</v>
      </c>
      <c r="C9904" t="s">
        <v>927</v>
      </c>
      <c r="D9904" t="s">
        <v>3052</v>
      </c>
      <c r="E9904" t="s">
        <v>3053</v>
      </c>
      <c r="F9904" t="s">
        <v>860</v>
      </c>
      <c r="G9904" t="s">
        <v>861</v>
      </c>
      <c r="H9904" t="s">
        <v>9648</v>
      </c>
      <c r="I9904">
        <v>2858</v>
      </c>
      <c r="J9904">
        <v>2360</v>
      </c>
      <c r="K9904">
        <v>0</v>
      </c>
      <c r="L9904">
        <v>43</v>
      </c>
      <c r="M9904">
        <v>433</v>
      </c>
      <c r="N9904">
        <v>3</v>
      </c>
      <c r="O9904">
        <v>22</v>
      </c>
    </row>
    <row r="9905" spans="1:15" x14ac:dyDescent="0.25">
      <c r="A9905" t="s">
        <v>14374</v>
      </c>
      <c r="B9905" t="s">
        <v>1943</v>
      </c>
      <c r="C9905" t="s">
        <v>927</v>
      </c>
      <c r="D9905" t="s">
        <v>3052</v>
      </c>
      <c r="E9905" t="s">
        <v>3053</v>
      </c>
      <c r="F9905" t="s">
        <v>860</v>
      </c>
      <c r="G9905" t="s">
        <v>861</v>
      </c>
      <c r="H9905" t="s">
        <v>15498</v>
      </c>
      <c r="I9905">
        <v>15</v>
      </c>
      <c r="J9905">
        <v>0</v>
      </c>
      <c r="K9905">
        <v>0</v>
      </c>
      <c r="L9905">
        <v>0</v>
      </c>
      <c r="M9905">
        <v>0</v>
      </c>
      <c r="N9905">
        <v>0</v>
      </c>
      <c r="O9905">
        <v>15</v>
      </c>
    </row>
    <row r="9906" spans="1:15" x14ac:dyDescent="0.25">
      <c r="A9906" t="s">
        <v>1066</v>
      </c>
      <c r="B9906" t="s">
        <v>2557</v>
      </c>
      <c r="C9906" t="s">
        <v>927</v>
      </c>
      <c r="D9906" t="s">
        <v>3052</v>
      </c>
      <c r="E9906" t="s">
        <v>3053</v>
      </c>
      <c r="F9906" t="s">
        <v>860</v>
      </c>
      <c r="G9906" t="s">
        <v>861</v>
      </c>
      <c r="H9906" t="s">
        <v>9649</v>
      </c>
      <c r="I9906">
        <v>12</v>
      </c>
      <c r="J9906">
        <v>0</v>
      </c>
      <c r="K9906">
        <v>0</v>
      </c>
      <c r="L9906">
        <v>0</v>
      </c>
      <c r="M9906">
        <v>12</v>
      </c>
      <c r="N9906">
        <v>0</v>
      </c>
      <c r="O9906">
        <v>0</v>
      </c>
    </row>
    <row r="9907" spans="1:15" x14ac:dyDescent="0.25">
      <c r="A9907" t="s">
        <v>1069</v>
      </c>
      <c r="B9907" t="s">
        <v>2001</v>
      </c>
      <c r="C9907" t="s">
        <v>927</v>
      </c>
      <c r="D9907" t="s">
        <v>3052</v>
      </c>
      <c r="E9907" t="s">
        <v>3053</v>
      </c>
      <c r="F9907" t="s">
        <v>860</v>
      </c>
      <c r="G9907" t="s">
        <v>861</v>
      </c>
      <c r="H9907" t="s">
        <v>9650</v>
      </c>
      <c r="I9907">
        <v>1</v>
      </c>
      <c r="J9907">
        <v>0</v>
      </c>
      <c r="K9907">
        <v>0</v>
      </c>
      <c r="L9907">
        <v>0</v>
      </c>
      <c r="M9907">
        <v>0</v>
      </c>
      <c r="N9907">
        <v>0</v>
      </c>
      <c r="O9907">
        <v>1</v>
      </c>
    </row>
    <row r="9908" spans="1:15" x14ac:dyDescent="0.25">
      <c r="A9908" t="s">
        <v>1083</v>
      </c>
      <c r="B9908" t="s">
        <v>2757</v>
      </c>
      <c r="C9908" t="s">
        <v>927</v>
      </c>
      <c r="D9908" t="s">
        <v>3052</v>
      </c>
      <c r="E9908" t="s">
        <v>3053</v>
      </c>
      <c r="F9908" t="s">
        <v>860</v>
      </c>
      <c r="G9908" t="s">
        <v>861</v>
      </c>
      <c r="H9908" t="s">
        <v>9651</v>
      </c>
      <c r="I9908">
        <v>34</v>
      </c>
      <c r="J9908">
        <v>0</v>
      </c>
      <c r="K9908">
        <v>0</v>
      </c>
      <c r="L9908">
        <v>10</v>
      </c>
      <c r="M9908">
        <v>0</v>
      </c>
      <c r="N9908">
        <v>0</v>
      </c>
      <c r="O9908">
        <v>24</v>
      </c>
    </row>
    <row r="9909" spans="1:15" x14ac:dyDescent="0.25">
      <c r="A9909" t="s">
        <v>11723</v>
      </c>
      <c r="B9909" t="s">
        <v>2719</v>
      </c>
      <c r="C9909" t="s">
        <v>927</v>
      </c>
      <c r="D9909" t="s">
        <v>3052</v>
      </c>
      <c r="E9909" t="s">
        <v>3053</v>
      </c>
      <c r="F9909" t="s">
        <v>864</v>
      </c>
      <c r="G9909" t="s">
        <v>865</v>
      </c>
      <c r="H9909" t="s">
        <v>12525</v>
      </c>
      <c r="I9909">
        <v>564</v>
      </c>
      <c r="J9909">
        <v>337</v>
      </c>
      <c r="K9909">
        <v>2</v>
      </c>
      <c r="L9909">
        <v>105</v>
      </c>
      <c r="M9909">
        <v>100</v>
      </c>
      <c r="N9909">
        <v>0</v>
      </c>
      <c r="O9909">
        <v>20</v>
      </c>
    </row>
    <row r="9910" spans="1:15" x14ac:dyDescent="0.25">
      <c r="A9910" t="s">
        <v>971</v>
      </c>
      <c r="B9910" t="s">
        <v>2956</v>
      </c>
      <c r="C9910" t="s">
        <v>927</v>
      </c>
      <c r="D9910" t="s">
        <v>3052</v>
      </c>
      <c r="E9910" t="s">
        <v>3053</v>
      </c>
      <c r="F9910" t="s">
        <v>864</v>
      </c>
      <c r="G9910" t="s">
        <v>865</v>
      </c>
      <c r="H9910" t="s">
        <v>9662</v>
      </c>
      <c r="I9910">
        <v>164</v>
      </c>
      <c r="J9910">
        <v>128</v>
      </c>
      <c r="K9910">
        <v>0</v>
      </c>
      <c r="L9910">
        <v>0</v>
      </c>
      <c r="M9910">
        <v>0</v>
      </c>
      <c r="N9910">
        <v>0</v>
      </c>
      <c r="O9910">
        <v>36</v>
      </c>
    </row>
    <row r="9911" spans="1:15" x14ac:dyDescent="0.25">
      <c r="A9911" t="s">
        <v>926</v>
      </c>
      <c r="B9911" t="s">
        <v>2923</v>
      </c>
      <c r="C9911" t="s">
        <v>927</v>
      </c>
      <c r="D9911" t="s">
        <v>3052</v>
      </c>
      <c r="E9911" t="s">
        <v>3053</v>
      </c>
      <c r="F9911" t="s">
        <v>864</v>
      </c>
      <c r="G9911" t="s">
        <v>865</v>
      </c>
      <c r="H9911" t="s">
        <v>9663</v>
      </c>
      <c r="I9911">
        <v>1</v>
      </c>
      <c r="J9911">
        <v>0</v>
      </c>
      <c r="K9911">
        <v>0</v>
      </c>
      <c r="L9911">
        <v>0</v>
      </c>
      <c r="M9911">
        <v>0</v>
      </c>
      <c r="N9911">
        <v>0</v>
      </c>
      <c r="O9911">
        <v>1</v>
      </c>
    </row>
    <row r="9912" spans="1:15" x14ac:dyDescent="0.25">
      <c r="A9912" t="s">
        <v>929</v>
      </c>
      <c r="B9912" t="s">
        <v>2999</v>
      </c>
      <c r="C9912" t="s">
        <v>927</v>
      </c>
      <c r="D9912" t="s">
        <v>3052</v>
      </c>
      <c r="E9912" t="s">
        <v>3053</v>
      </c>
      <c r="F9912" t="s">
        <v>864</v>
      </c>
      <c r="G9912" t="s">
        <v>865</v>
      </c>
      <c r="H9912" t="s">
        <v>9664</v>
      </c>
      <c r="I9912">
        <v>166</v>
      </c>
      <c r="J9912">
        <v>0</v>
      </c>
      <c r="K9912">
        <v>0</v>
      </c>
      <c r="L9912">
        <v>0</v>
      </c>
      <c r="M9912">
        <v>166</v>
      </c>
      <c r="N9912">
        <v>0</v>
      </c>
      <c r="O9912">
        <v>0</v>
      </c>
    </row>
    <row r="9913" spans="1:15" x14ac:dyDescent="0.25">
      <c r="A9913" t="s">
        <v>9784</v>
      </c>
      <c r="B9913" t="s">
        <v>1994</v>
      </c>
      <c r="C9913" t="s">
        <v>927</v>
      </c>
      <c r="D9913" t="s">
        <v>3052</v>
      </c>
      <c r="E9913" t="s">
        <v>3053</v>
      </c>
      <c r="F9913" t="s">
        <v>864</v>
      </c>
      <c r="G9913" t="s">
        <v>865</v>
      </c>
      <c r="H9913" t="s">
        <v>10001</v>
      </c>
      <c r="I9913">
        <v>4</v>
      </c>
      <c r="J9913">
        <v>0</v>
      </c>
      <c r="K9913">
        <v>0</v>
      </c>
      <c r="L9913">
        <v>4</v>
      </c>
      <c r="M9913">
        <v>0</v>
      </c>
      <c r="N9913">
        <v>0</v>
      </c>
      <c r="O9913">
        <v>0</v>
      </c>
    </row>
    <row r="9914" spans="1:15" x14ac:dyDescent="0.25">
      <c r="A9914" t="s">
        <v>1095</v>
      </c>
      <c r="B9914" t="s">
        <v>1946</v>
      </c>
      <c r="C9914" t="s">
        <v>923</v>
      </c>
      <c r="D9914" t="s">
        <v>3063</v>
      </c>
      <c r="E9914" t="s">
        <v>3053</v>
      </c>
      <c r="F9914" t="s">
        <v>864</v>
      </c>
      <c r="G9914" t="s">
        <v>865</v>
      </c>
      <c r="H9914" t="s">
        <v>15499</v>
      </c>
      <c r="I9914">
        <v>14</v>
      </c>
      <c r="J9914">
        <v>0</v>
      </c>
      <c r="K9914">
        <v>0</v>
      </c>
      <c r="L9914">
        <v>14</v>
      </c>
      <c r="M9914">
        <v>0</v>
      </c>
      <c r="N9914">
        <v>0</v>
      </c>
      <c r="O9914">
        <v>0</v>
      </c>
    </row>
    <row r="9915" spans="1:15" x14ac:dyDescent="0.25">
      <c r="A9915" t="s">
        <v>1212</v>
      </c>
      <c r="B9915" t="s">
        <v>2004</v>
      </c>
      <c r="C9915" t="s">
        <v>923</v>
      </c>
      <c r="D9915" t="s">
        <v>3063</v>
      </c>
      <c r="E9915" t="s">
        <v>3053</v>
      </c>
      <c r="F9915" t="s">
        <v>864</v>
      </c>
      <c r="G9915" t="s">
        <v>865</v>
      </c>
      <c r="H9915" t="s">
        <v>10007</v>
      </c>
      <c r="I9915">
        <v>11</v>
      </c>
      <c r="J9915">
        <v>0</v>
      </c>
      <c r="K9915">
        <v>0</v>
      </c>
      <c r="L9915">
        <v>11</v>
      </c>
      <c r="M9915">
        <v>0</v>
      </c>
      <c r="N9915">
        <v>0</v>
      </c>
      <c r="O9915">
        <v>0</v>
      </c>
    </row>
    <row r="9916" spans="1:15" x14ac:dyDescent="0.25">
      <c r="A9916" t="s">
        <v>1411</v>
      </c>
      <c r="B9916" t="s">
        <v>2993</v>
      </c>
      <c r="C9916" t="s">
        <v>927</v>
      </c>
      <c r="D9916" t="s">
        <v>3052</v>
      </c>
      <c r="E9916" t="s">
        <v>3053</v>
      </c>
      <c r="F9916" t="s">
        <v>864</v>
      </c>
      <c r="G9916" t="s">
        <v>865</v>
      </c>
      <c r="H9916" t="s">
        <v>9665</v>
      </c>
      <c r="I9916">
        <v>68</v>
      </c>
      <c r="J9916">
        <v>65</v>
      </c>
      <c r="K9916">
        <v>0</v>
      </c>
      <c r="L9916">
        <v>0</v>
      </c>
      <c r="M9916">
        <v>0</v>
      </c>
      <c r="N9916">
        <v>0</v>
      </c>
      <c r="O9916">
        <v>3</v>
      </c>
    </row>
    <row r="9917" spans="1:15" x14ac:dyDescent="0.25">
      <c r="A9917" t="s">
        <v>933</v>
      </c>
      <c r="B9917" t="s">
        <v>2106</v>
      </c>
      <c r="C9917" t="s">
        <v>927</v>
      </c>
      <c r="D9917" t="s">
        <v>3052</v>
      </c>
      <c r="E9917" t="s">
        <v>3053</v>
      </c>
      <c r="F9917" t="s">
        <v>864</v>
      </c>
      <c r="G9917" t="s">
        <v>865</v>
      </c>
      <c r="H9917" t="s">
        <v>15500</v>
      </c>
      <c r="I9917">
        <v>32</v>
      </c>
      <c r="J9917">
        <v>0</v>
      </c>
      <c r="K9917">
        <v>0</v>
      </c>
      <c r="L9917">
        <v>0</v>
      </c>
      <c r="M9917">
        <v>0</v>
      </c>
      <c r="N9917">
        <v>0</v>
      </c>
      <c r="O9917">
        <v>32</v>
      </c>
    </row>
    <row r="9918" spans="1:15" x14ac:dyDescent="0.25">
      <c r="A9918" t="s">
        <v>1878</v>
      </c>
      <c r="B9918" t="s">
        <v>11743</v>
      </c>
      <c r="C9918" t="s">
        <v>923</v>
      </c>
      <c r="D9918" t="s">
        <v>3063</v>
      </c>
      <c r="E9918" t="s">
        <v>3053</v>
      </c>
      <c r="F9918" t="s">
        <v>864</v>
      </c>
      <c r="G9918" t="s">
        <v>865</v>
      </c>
      <c r="H9918" t="s">
        <v>12526</v>
      </c>
      <c r="I9918">
        <v>12</v>
      </c>
      <c r="J9918">
        <v>0</v>
      </c>
      <c r="K9918">
        <v>0</v>
      </c>
      <c r="L9918">
        <v>0</v>
      </c>
      <c r="M9918">
        <v>12</v>
      </c>
      <c r="N9918">
        <v>0</v>
      </c>
      <c r="O9918">
        <v>0</v>
      </c>
    </row>
    <row r="9919" spans="1:15" x14ac:dyDescent="0.25">
      <c r="A9919" t="s">
        <v>996</v>
      </c>
      <c r="B9919" t="s">
        <v>1952</v>
      </c>
      <c r="C9919" t="s">
        <v>923</v>
      </c>
      <c r="D9919" t="s">
        <v>3063</v>
      </c>
      <c r="E9919" t="s">
        <v>3053</v>
      </c>
      <c r="F9919" t="s">
        <v>864</v>
      </c>
      <c r="G9919" t="s">
        <v>865</v>
      </c>
      <c r="H9919" t="s">
        <v>9666</v>
      </c>
      <c r="I9919">
        <v>6</v>
      </c>
      <c r="J9919">
        <v>0</v>
      </c>
      <c r="K9919">
        <v>0</v>
      </c>
      <c r="L9919">
        <v>6</v>
      </c>
      <c r="M9919">
        <v>0</v>
      </c>
      <c r="N9919">
        <v>0</v>
      </c>
      <c r="O9919">
        <v>0</v>
      </c>
    </row>
    <row r="9920" spans="1:15" x14ac:dyDescent="0.25">
      <c r="A9920" t="s">
        <v>10638</v>
      </c>
      <c r="B9920" t="s">
        <v>2057</v>
      </c>
      <c r="C9920" t="s">
        <v>927</v>
      </c>
      <c r="D9920" t="s">
        <v>3052</v>
      </c>
      <c r="E9920" t="s">
        <v>3053</v>
      </c>
      <c r="F9920" t="s">
        <v>864</v>
      </c>
      <c r="G9920" t="s">
        <v>865</v>
      </c>
      <c r="H9920" t="s">
        <v>11544</v>
      </c>
      <c r="I9920">
        <v>5</v>
      </c>
      <c r="J9920">
        <v>0</v>
      </c>
      <c r="K9920">
        <v>0</v>
      </c>
      <c r="L9920">
        <v>5</v>
      </c>
      <c r="M9920">
        <v>0</v>
      </c>
      <c r="N9920">
        <v>0</v>
      </c>
      <c r="O9920">
        <v>0</v>
      </c>
    </row>
    <row r="9921" spans="1:15" x14ac:dyDescent="0.25">
      <c r="A9921" t="s">
        <v>1008</v>
      </c>
      <c r="B9921" t="s">
        <v>2928</v>
      </c>
      <c r="C9921" t="s">
        <v>927</v>
      </c>
      <c r="D9921" t="s">
        <v>3052</v>
      </c>
      <c r="E9921" t="s">
        <v>3053</v>
      </c>
      <c r="F9921" t="s">
        <v>864</v>
      </c>
      <c r="G9921" t="s">
        <v>865</v>
      </c>
      <c r="H9921" t="s">
        <v>9667</v>
      </c>
      <c r="I9921">
        <v>12</v>
      </c>
      <c r="J9921">
        <v>10</v>
      </c>
      <c r="K9921">
        <v>0</v>
      </c>
      <c r="L9921">
        <v>0</v>
      </c>
      <c r="M9921">
        <v>2</v>
      </c>
      <c r="N9921">
        <v>1</v>
      </c>
      <c r="O9921">
        <v>0</v>
      </c>
    </row>
    <row r="9922" spans="1:15" x14ac:dyDescent="0.25">
      <c r="A9922" t="s">
        <v>938</v>
      </c>
      <c r="B9922" t="s">
        <v>2791</v>
      </c>
      <c r="C9922" t="s">
        <v>927</v>
      </c>
      <c r="D9922" t="s">
        <v>3052</v>
      </c>
      <c r="E9922" t="s">
        <v>3053</v>
      </c>
      <c r="F9922" t="s">
        <v>864</v>
      </c>
      <c r="G9922" t="s">
        <v>865</v>
      </c>
      <c r="H9922" t="s">
        <v>9668</v>
      </c>
      <c r="I9922">
        <v>616</v>
      </c>
      <c r="J9922">
        <v>575</v>
      </c>
      <c r="K9922">
        <v>0</v>
      </c>
      <c r="L9922">
        <v>5</v>
      </c>
      <c r="M9922">
        <v>0</v>
      </c>
      <c r="N9922">
        <v>3</v>
      </c>
      <c r="O9922">
        <v>36</v>
      </c>
    </row>
    <row r="9923" spans="1:15" x14ac:dyDescent="0.25">
      <c r="A9923" t="s">
        <v>940</v>
      </c>
      <c r="B9923" t="s">
        <v>2647</v>
      </c>
      <c r="C9923" t="s">
        <v>927</v>
      </c>
      <c r="D9923" t="s">
        <v>3052</v>
      </c>
      <c r="E9923" t="s">
        <v>3053</v>
      </c>
      <c r="F9923" t="s">
        <v>864</v>
      </c>
      <c r="G9923" t="s">
        <v>865</v>
      </c>
      <c r="H9923" t="s">
        <v>9669</v>
      </c>
      <c r="I9923">
        <v>32</v>
      </c>
      <c r="J9923">
        <v>0</v>
      </c>
      <c r="K9923">
        <v>0</v>
      </c>
      <c r="L9923">
        <v>0</v>
      </c>
      <c r="M9923">
        <v>32</v>
      </c>
      <c r="N9923">
        <v>0</v>
      </c>
      <c r="O9923">
        <v>0</v>
      </c>
    </row>
    <row r="9924" spans="1:15" x14ac:dyDescent="0.25">
      <c r="A9924" t="s">
        <v>1013</v>
      </c>
      <c r="B9924" t="s">
        <v>1959</v>
      </c>
      <c r="C9924" t="s">
        <v>927</v>
      </c>
      <c r="D9924" t="s">
        <v>3052</v>
      </c>
      <c r="E9924" t="s">
        <v>3053</v>
      </c>
      <c r="F9924" t="s">
        <v>864</v>
      </c>
      <c r="G9924" t="s">
        <v>865</v>
      </c>
      <c r="H9924" t="s">
        <v>9670</v>
      </c>
      <c r="I9924">
        <v>9</v>
      </c>
      <c r="J9924">
        <v>0</v>
      </c>
      <c r="K9924">
        <v>0</v>
      </c>
      <c r="L9924">
        <v>9</v>
      </c>
      <c r="M9924">
        <v>0</v>
      </c>
      <c r="N9924">
        <v>0</v>
      </c>
      <c r="O9924">
        <v>0</v>
      </c>
    </row>
    <row r="9925" spans="1:15" x14ac:dyDescent="0.25">
      <c r="A9925" t="s">
        <v>1426</v>
      </c>
      <c r="B9925" t="s">
        <v>2137</v>
      </c>
      <c r="C9925" t="s">
        <v>927</v>
      </c>
      <c r="D9925" t="s">
        <v>3052</v>
      </c>
      <c r="E9925" t="s">
        <v>3053</v>
      </c>
      <c r="F9925" t="s">
        <v>864</v>
      </c>
      <c r="G9925" t="s">
        <v>865</v>
      </c>
      <c r="H9925" t="s">
        <v>9671</v>
      </c>
      <c r="I9925">
        <v>1753</v>
      </c>
      <c r="J9925">
        <v>1218</v>
      </c>
      <c r="K9925">
        <v>0</v>
      </c>
      <c r="L9925">
        <v>28</v>
      </c>
      <c r="M9925">
        <v>126</v>
      </c>
      <c r="N9925">
        <v>64</v>
      </c>
      <c r="O9925">
        <v>381</v>
      </c>
    </row>
    <row r="9926" spans="1:15" x14ac:dyDescent="0.25">
      <c r="A9926" t="s">
        <v>1427</v>
      </c>
      <c r="B9926" t="s">
        <v>2087</v>
      </c>
      <c r="C9926" t="s">
        <v>927</v>
      </c>
      <c r="D9926" t="s">
        <v>3052</v>
      </c>
      <c r="E9926" t="s">
        <v>3053</v>
      </c>
      <c r="F9926" t="s">
        <v>864</v>
      </c>
      <c r="G9926" t="s">
        <v>865</v>
      </c>
      <c r="H9926" t="s">
        <v>9672</v>
      </c>
      <c r="I9926">
        <v>147</v>
      </c>
      <c r="J9926">
        <v>147</v>
      </c>
      <c r="K9926">
        <v>0</v>
      </c>
      <c r="L9926">
        <v>0</v>
      </c>
      <c r="M9926">
        <v>0</v>
      </c>
      <c r="N9926">
        <v>0</v>
      </c>
      <c r="O9926">
        <v>0</v>
      </c>
    </row>
    <row r="9927" spans="1:15" x14ac:dyDescent="0.25">
      <c r="A9927" t="s">
        <v>1296</v>
      </c>
      <c r="B9927" t="s">
        <v>2965</v>
      </c>
      <c r="C9927" t="s">
        <v>923</v>
      </c>
      <c r="D9927" t="s">
        <v>3063</v>
      </c>
      <c r="E9927" t="s">
        <v>3053</v>
      </c>
      <c r="F9927" t="s">
        <v>864</v>
      </c>
      <c r="G9927" t="s">
        <v>865</v>
      </c>
      <c r="H9927" t="s">
        <v>9673</v>
      </c>
      <c r="I9927">
        <v>30</v>
      </c>
      <c r="J9927">
        <v>0</v>
      </c>
      <c r="K9927">
        <v>0</v>
      </c>
      <c r="L9927">
        <v>0</v>
      </c>
      <c r="M9927">
        <v>30</v>
      </c>
      <c r="N9927">
        <v>0</v>
      </c>
      <c r="O9927">
        <v>0</v>
      </c>
    </row>
    <row r="9928" spans="1:15" x14ac:dyDescent="0.25">
      <c r="A9928" t="s">
        <v>951</v>
      </c>
      <c r="B9928" t="s">
        <v>2680</v>
      </c>
      <c r="C9928" t="s">
        <v>927</v>
      </c>
      <c r="D9928" t="s">
        <v>3052</v>
      </c>
      <c r="E9928" t="s">
        <v>3053</v>
      </c>
      <c r="F9928" t="s">
        <v>864</v>
      </c>
      <c r="G9928" t="s">
        <v>865</v>
      </c>
      <c r="H9928" t="s">
        <v>9674</v>
      </c>
      <c r="I9928">
        <v>2</v>
      </c>
      <c r="J9928">
        <v>0</v>
      </c>
      <c r="K9928">
        <v>0</v>
      </c>
      <c r="L9928">
        <v>0</v>
      </c>
      <c r="M9928">
        <v>0</v>
      </c>
      <c r="N9928">
        <v>0</v>
      </c>
      <c r="O9928">
        <v>2</v>
      </c>
    </row>
    <row r="9929" spans="1:15" x14ac:dyDescent="0.25">
      <c r="A9929" t="s">
        <v>1051</v>
      </c>
      <c r="B9929" t="s">
        <v>2995</v>
      </c>
      <c r="C9929" t="s">
        <v>927</v>
      </c>
      <c r="D9929" t="s">
        <v>3052</v>
      </c>
      <c r="E9929" t="s">
        <v>3053</v>
      </c>
      <c r="F9929" t="s">
        <v>864</v>
      </c>
      <c r="G9929" t="s">
        <v>865</v>
      </c>
      <c r="H9929" t="s">
        <v>9675</v>
      </c>
      <c r="I9929">
        <v>27</v>
      </c>
      <c r="J9929">
        <v>0</v>
      </c>
      <c r="K9929">
        <v>0</v>
      </c>
      <c r="L9929">
        <v>27</v>
      </c>
      <c r="M9929">
        <v>0</v>
      </c>
      <c r="N9929">
        <v>0</v>
      </c>
      <c r="O9929">
        <v>0</v>
      </c>
    </row>
    <row r="9930" spans="1:15" x14ac:dyDescent="0.25">
      <c r="A9930" t="s">
        <v>1436</v>
      </c>
      <c r="B9930" t="s">
        <v>2209</v>
      </c>
      <c r="C9930" t="s">
        <v>927</v>
      </c>
      <c r="D9930" t="s">
        <v>3052</v>
      </c>
      <c r="E9930" t="s">
        <v>3053</v>
      </c>
      <c r="F9930" t="s">
        <v>864</v>
      </c>
      <c r="G9930" t="s">
        <v>865</v>
      </c>
      <c r="H9930" t="s">
        <v>9676</v>
      </c>
      <c r="I9930">
        <v>195</v>
      </c>
      <c r="J9930">
        <v>57</v>
      </c>
      <c r="K9930">
        <v>0</v>
      </c>
      <c r="L9930">
        <v>60</v>
      </c>
      <c r="M9930">
        <v>76</v>
      </c>
      <c r="N9930">
        <v>163</v>
      </c>
      <c r="O9930">
        <v>2</v>
      </c>
    </row>
    <row r="9931" spans="1:15" x14ac:dyDescent="0.25">
      <c r="A9931" t="s">
        <v>1442</v>
      </c>
      <c r="B9931" t="s">
        <v>2017</v>
      </c>
      <c r="C9931" t="s">
        <v>923</v>
      </c>
      <c r="D9931" t="s">
        <v>3063</v>
      </c>
      <c r="E9931" t="s">
        <v>3053</v>
      </c>
      <c r="F9931" t="s">
        <v>864</v>
      </c>
      <c r="G9931" t="s">
        <v>865</v>
      </c>
      <c r="H9931" t="s">
        <v>9677</v>
      </c>
      <c r="I9931">
        <v>2</v>
      </c>
      <c r="J9931">
        <v>0</v>
      </c>
      <c r="K9931">
        <v>0</v>
      </c>
      <c r="L9931">
        <v>2</v>
      </c>
      <c r="M9931">
        <v>0</v>
      </c>
      <c r="N9931">
        <v>0</v>
      </c>
      <c r="O9931">
        <v>0</v>
      </c>
    </row>
    <row r="9932" spans="1:15" x14ac:dyDescent="0.25">
      <c r="A9932" t="s">
        <v>1913</v>
      </c>
      <c r="B9932" t="s">
        <v>2572</v>
      </c>
      <c r="C9932" t="s">
        <v>923</v>
      </c>
      <c r="D9932" t="s">
        <v>3063</v>
      </c>
      <c r="E9932" t="s">
        <v>3053</v>
      </c>
      <c r="F9932" t="s">
        <v>864</v>
      </c>
      <c r="G9932" t="s">
        <v>865</v>
      </c>
      <c r="H9932" t="s">
        <v>9678</v>
      </c>
      <c r="I9932">
        <v>31</v>
      </c>
      <c r="J9932">
        <v>0</v>
      </c>
      <c r="K9932">
        <v>0</v>
      </c>
      <c r="L9932">
        <v>0</v>
      </c>
      <c r="M9932">
        <v>31</v>
      </c>
      <c r="N9932">
        <v>0</v>
      </c>
      <c r="O9932">
        <v>0</v>
      </c>
    </row>
    <row r="9933" spans="1:15" x14ac:dyDescent="0.25">
      <c r="A9933" t="s">
        <v>1069</v>
      </c>
      <c r="B9933" t="s">
        <v>2001</v>
      </c>
      <c r="C9933" t="s">
        <v>927</v>
      </c>
      <c r="D9933" t="s">
        <v>3052</v>
      </c>
      <c r="E9933" t="s">
        <v>3053</v>
      </c>
      <c r="F9933" t="s">
        <v>864</v>
      </c>
      <c r="G9933" t="s">
        <v>865</v>
      </c>
      <c r="H9933" t="s">
        <v>9679</v>
      </c>
      <c r="I9933">
        <v>1</v>
      </c>
      <c r="J9933">
        <v>0</v>
      </c>
      <c r="K9933">
        <v>0</v>
      </c>
      <c r="L9933">
        <v>0</v>
      </c>
      <c r="M9933">
        <v>0</v>
      </c>
      <c r="N9933">
        <v>0</v>
      </c>
      <c r="O9933">
        <v>1</v>
      </c>
    </row>
    <row r="9934" spans="1:15" x14ac:dyDescent="0.25">
      <c r="A9934" t="s">
        <v>1072</v>
      </c>
      <c r="B9934" t="s">
        <v>2907</v>
      </c>
      <c r="C9934" t="s">
        <v>927</v>
      </c>
      <c r="D9934" t="s">
        <v>3052</v>
      </c>
      <c r="E9934" t="s">
        <v>3053</v>
      </c>
      <c r="F9934" t="s">
        <v>864</v>
      </c>
      <c r="G9934" t="s">
        <v>865</v>
      </c>
      <c r="H9934" t="s">
        <v>9680</v>
      </c>
      <c r="I9934">
        <v>101</v>
      </c>
      <c r="J9934">
        <v>68</v>
      </c>
      <c r="K9934">
        <v>0</v>
      </c>
      <c r="L9934">
        <v>0</v>
      </c>
      <c r="M9934">
        <v>33</v>
      </c>
      <c r="N9934">
        <v>0</v>
      </c>
      <c r="O9934">
        <v>0</v>
      </c>
    </row>
    <row r="9935" spans="1:15" x14ac:dyDescent="0.25">
      <c r="A9935" t="s">
        <v>1918</v>
      </c>
      <c r="B9935" t="s">
        <v>2197</v>
      </c>
      <c r="C9935" t="s">
        <v>923</v>
      </c>
      <c r="D9935" t="s">
        <v>3063</v>
      </c>
      <c r="E9935" t="s">
        <v>3053</v>
      </c>
      <c r="F9935" t="s">
        <v>864</v>
      </c>
      <c r="G9935" t="s">
        <v>865</v>
      </c>
      <c r="H9935" t="s">
        <v>9681</v>
      </c>
      <c r="I9935">
        <v>19</v>
      </c>
      <c r="J9935">
        <v>0</v>
      </c>
      <c r="K9935">
        <v>0</v>
      </c>
      <c r="L9935">
        <v>0</v>
      </c>
      <c r="M9935">
        <v>19</v>
      </c>
      <c r="N9935">
        <v>0</v>
      </c>
      <c r="O9935">
        <v>0</v>
      </c>
    </row>
    <row r="9936" spans="1:15" x14ac:dyDescent="0.25">
      <c r="A9936" t="s">
        <v>1180</v>
      </c>
      <c r="B9936" t="s">
        <v>2896</v>
      </c>
      <c r="C9936" t="s">
        <v>927</v>
      </c>
      <c r="D9936" t="s">
        <v>3052</v>
      </c>
      <c r="E9936" t="s">
        <v>3053</v>
      </c>
      <c r="F9936" t="s">
        <v>864</v>
      </c>
      <c r="G9936" t="s">
        <v>865</v>
      </c>
      <c r="H9936" t="s">
        <v>9682</v>
      </c>
      <c r="I9936">
        <v>305</v>
      </c>
      <c r="J9936">
        <v>271</v>
      </c>
      <c r="K9936">
        <v>0</v>
      </c>
      <c r="L9936">
        <v>0</v>
      </c>
      <c r="M9936">
        <v>0</v>
      </c>
      <c r="N9936">
        <v>0</v>
      </c>
      <c r="O9936">
        <v>34</v>
      </c>
    </row>
    <row r="9937" spans="1:15" x14ac:dyDescent="0.25">
      <c r="A9937" t="s">
        <v>1075</v>
      </c>
      <c r="B9937" t="s">
        <v>2830</v>
      </c>
      <c r="C9937" t="s">
        <v>927</v>
      </c>
      <c r="D9937" t="s">
        <v>3052</v>
      </c>
      <c r="E9937" t="s">
        <v>3053</v>
      </c>
      <c r="F9937" t="s">
        <v>864</v>
      </c>
      <c r="G9937" t="s">
        <v>865</v>
      </c>
      <c r="H9937" t="s">
        <v>9683</v>
      </c>
      <c r="I9937">
        <v>26</v>
      </c>
      <c r="J9937">
        <v>17</v>
      </c>
      <c r="K9937">
        <v>0</v>
      </c>
      <c r="L9937">
        <v>0</v>
      </c>
      <c r="M9937">
        <v>0</v>
      </c>
      <c r="N9937">
        <v>0</v>
      </c>
      <c r="O9937">
        <v>9</v>
      </c>
    </row>
    <row r="9938" spans="1:15" x14ac:dyDescent="0.25">
      <c r="A9938" t="s">
        <v>1920</v>
      </c>
      <c r="B9938" t="s">
        <v>2871</v>
      </c>
      <c r="C9938" t="s">
        <v>927</v>
      </c>
      <c r="D9938" t="s">
        <v>3052</v>
      </c>
      <c r="E9938" t="s">
        <v>3053</v>
      </c>
      <c r="F9938" t="s">
        <v>864</v>
      </c>
      <c r="G9938" t="s">
        <v>865</v>
      </c>
      <c r="H9938" t="s">
        <v>10509</v>
      </c>
      <c r="I9938">
        <v>2</v>
      </c>
      <c r="J9938">
        <v>2</v>
      </c>
      <c r="K9938">
        <v>0</v>
      </c>
      <c r="L9938">
        <v>0</v>
      </c>
      <c r="M9938">
        <v>0</v>
      </c>
      <c r="N9938">
        <v>0</v>
      </c>
      <c r="O9938">
        <v>0</v>
      </c>
    </row>
    <row r="9939" spans="1:15" x14ac:dyDescent="0.25">
      <c r="A9939" t="s">
        <v>1563</v>
      </c>
      <c r="B9939" t="s">
        <v>2895</v>
      </c>
      <c r="C9939" t="s">
        <v>927</v>
      </c>
      <c r="D9939" t="s">
        <v>3052</v>
      </c>
      <c r="E9939" t="s">
        <v>3053</v>
      </c>
      <c r="F9939" t="s">
        <v>864</v>
      </c>
      <c r="G9939" t="s">
        <v>865</v>
      </c>
      <c r="H9939" t="s">
        <v>9684</v>
      </c>
      <c r="I9939">
        <v>1465</v>
      </c>
      <c r="J9939">
        <v>1255</v>
      </c>
      <c r="K9939">
        <v>0</v>
      </c>
      <c r="L9939">
        <v>18</v>
      </c>
      <c r="M9939">
        <v>120</v>
      </c>
      <c r="N9939">
        <v>0</v>
      </c>
      <c r="O9939">
        <v>72</v>
      </c>
    </row>
    <row r="9940" spans="1:15" x14ac:dyDescent="0.25">
      <c r="A9940" t="s">
        <v>971</v>
      </c>
      <c r="B9940" t="s">
        <v>2956</v>
      </c>
      <c r="C9940" t="s">
        <v>927</v>
      </c>
      <c r="D9940" t="s">
        <v>3052</v>
      </c>
      <c r="E9940" t="s">
        <v>3053</v>
      </c>
      <c r="F9940" t="s">
        <v>282</v>
      </c>
      <c r="G9940" t="s">
        <v>3040</v>
      </c>
      <c r="H9940" t="s">
        <v>12557</v>
      </c>
      <c r="I9940">
        <v>1162</v>
      </c>
      <c r="J9940">
        <v>851</v>
      </c>
      <c r="K9940">
        <v>0</v>
      </c>
      <c r="L9940">
        <v>0</v>
      </c>
      <c r="M9940">
        <v>193</v>
      </c>
      <c r="N9940">
        <v>0</v>
      </c>
      <c r="O9940">
        <v>118</v>
      </c>
    </row>
    <row r="9941" spans="1:15" x14ac:dyDescent="0.25">
      <c r="A9941" t="s">
        <v>972</v>
      </c>
      <c r="B9941" t="s">
        <v>2842</v>
      </c>
      <c r="C9941" t="s">
        <v>927</v>
      </c>
      <c r="D9941" t="s">
        <v>3052</v>
      </c>
      <c r="E9941" t="s">
        <v>3053</v>
      </c>
      <c r="F9941" t="s">
        <v>282</v>
      </c>
      <c r="G9941" t="s">
        <v>3040</v>
      </c>
      <c r="H9941" t="s">
        <v>12566</v>
      </c>
      <c r="I9941">
        <v>5174</v>
      </c>
      <c r="J9941">
        <v>4426</v>
      </c>
      <c r="K9941">
        <v>1</v>
      </c>
      <c r="L9941">
        <v>6</v>
      </c>
      <c r="M9941">
        <v>252</v>
      </c>
      <c r="N9941">
        <v>0</v>
      </c>
      <c r="O9941">
        <v>489</v>
      </c>
    </row>
    <row r="9942" spans="1:15" x14ac:dyDescent="0.25">
      <c r="A9942" t="s">
        <v>973</v>
      </c>
      <c r="B9942" t="s">
        <v>1957</v>
      </c>
      <c r="C9942" t="s">
        <v>923</v>
      </c>
      <c r="D9942" t="s">
        <v>3063</v>
      </c>
      <c r="E9942" t="s">
        <v>3053</v>
      </c>
      <c r="F9942" t="s">
        <v>282</v>
      </c>
      <c r="G9942" t="s">
        <v>3040</v>
      </c>
      <c r="H9942" t="s">
        <v>12568</v>
      </c>
      <c r="I9942">
        <v>170</v>
      </c>
      <c r="J9942">
        <v>101</v>
      </c>
      <c r="K9942">
        <v>0</v>
      </c>
      <c r="L9942">
        <v>69</v>
      </c>
      <c r="M9942">
        <v>0</v>
      </c>
      <c r="N9942">
        <v>0</v>
      </c>
      <c r="O9942">
        <v>0</v>
      </c>
    </row>
    <row r="9943" spans="1:15" x14ac:dyDescent="0.25">
      <c r="A9943" t="s">
        <v>974</v>
      </c>
      <c r="B9943" t="s">
        <v>2949</v>
      </c>
      <c r="C9943" t="s">
        <v>923</v>
      </c>
      <c r="D9943" t="s">
        <v>3063</v>
      </c>
      <c r="E9943" t="s">
        <v>3053</v>
      </c>
      <c r="F9943" t="s">
        <v>282</v>
      </c>
      <c r="G9943" t="s">
        <v>3040</v>
      </c>
      <c r="H9943" t="s">
        <v>12572</v>
      </c>
      <c r="I9943">
        <v>117</v>
      </c>
      <c r="J9943">
        <v>0</v>
      </c>
      <c r="K9943">
        <v>3</v>
      </c>
      <c r="L9943">
        <v>114</v>
      </c>
      <c r="M9943">
        <v>0</v>
      </c>
      <c r="N9943">
        <v>0</v>
      </c>
      <c r="O9943">
        <v>0</v>
      </c>
    </row>
    <row r="9944" spans="1:15" x14ac:dyDescent="0.25">
      <c r="A9944" t="s">
        <v>926</v>
      </c>
      <c r="B9944" t="s">
        <v>2923</v>
      </c>
      <c r="C9944" t="s">
        <v>927</v>
      </c>
      <c r="D9944" t="s">
        <v>3052</v>
      </c>
      <c r="E9944" t="s">
        <v>3053</v>
      </c>
      <c r="F9944" t="s">
        <v>282</v>
      </c>
      <c r="G9944" t="s">
        <v>3040</v>
      </c>
      <c r="H9944" t="s">
        <v>12575</v>
      </c>
      <c r="I9944">
        <v>542</v>
      </c>
      <c r="J9944">
        <v>0</v>
      </c>
      <c r="K9944">
        <v>0</v>
      </c>
      <c r="L9944">
        <v>427</v>
      </c>
      <c r="M9944">
        <v>0</v>
      </c>
      <c r="N9944">
        <v>0</v>
      </c>
      <c r="O9944">
        <v>115</v>
      </c>
    </row>
    <row r="9945" spans="1:15" x14ac:dyDescent="0.25">
      <c r="A9945" t="s">
        <v>975</v>
      </c>
      <c r="B9945" t="s">
        <v>2010</v>
      </c>
      <c r="C9945" t="s">
        <v>923</v>
      </c>
      <c r="D9945" t="s">
        <v>3063</v>
      </c>
      <c r="E9945" t="s">
        <v>3053</v>
      </c>
      <c r="F9945" t="s">
        <v>282</v>
      </c>
      <c r="G9945" t="s">
        <v>3040</v>
      </c>
      <c r="H9945" t="s">
        <v>12590</v>
      </c>
      <c r="I9945">
        <v>96</v>
      </c>
      <c r="J9945">
        <v>96</v>
      </c>
      <c r="K9945">
        <v>0</v>
      </c>
      <c r="L9945">
        <v>0</v>
      </c>
      <c r="M9945">
        <v>0</v>
      </c>
      <c r="N9945">
        <v>0</v>
      </c>
      <c r="O9945">
        <v>0</v>
      </c>
    </row>
    <row r="9946" spans="1:15" x14ac:dyDescent="0.25">
      <c r="A9946" t="s">
        <v>929</v>
      </c>
      <c r="B9946" t="s">
        <v>2999</v>
      </c>
      <c r="C9946" t="s">
        <v>927</v>
      </c>
      <c r="D9946" t="s">
        <v>3052</v>
      </c>
      <c r="E9946" t="s">
        <v>3053</v>
      </c>
      <c r="F9946" t="s">
        <v>282</v>
      </c>
      <c r="G9946" t="s">
        <v>3040</v>
      </c>
      <c r="H9946" t="s">
        <v>12602</v>
      </c>
      <c r="I9946">
        <v>2183</v>
      </c>
      <c r="J9946">
        <v>18</v>
      </c>
      <c r="K9946">
        <v>0</v>
      </c>
      <c r="L9946">
        <v>0</v>
      </c>
      <c r="M9946">
        <v>2119</v>
      </c>
      <c r="N9946">
        <v>0</v>
      </c>
      <c r="O9946">
        <v>46</v>
      </c>
    </row>
    <row r="9947" spans="1:15" x14ac:dyDescent="0.25">
      <c r="A9947" t="s">
        <v>9782</v>
      </c>
      <c r="B9947" t="s">
        <v>2310</v>
      </c>
      <c r="C9947" t="s">
        <v>923</v>
      </c>
      <c r="D9947" t="s">
        <v>3063</v>
      </c>
      <c r="E9947" t="s">
        <v>3053</v>
      </c>
      <c r="F9947" t="s">
        <v>282</v>
      </c>
      <c r="G9947" t="s">
        <v>3040</v>
      </c>
      <c r="H9947" t="s">
        <v>12614</v>
      </c>
      <c r="I9947">
        <v>33</v>
      </c>
      <c r="J9947">
        <v>33</v>
      </c>
      <c r="K9947">
        <v>0</v>
      </c>
      <c r="L9947">
        <v>0</v>
      </c>
      <c r="M9947">
        <v>0</v>
      </c>
      <c r="N9947">
        <v>0</v>
      </c>
      <c r="O9947">
        <v>0</v>
      </c>
    </row>
    <row r="9948" spans="1:15" x14ac:dyDescent="0.25">
      <c r="A9948" t="s">
        <v>976</v>
      </c>
      <c r="B9948" t="s">
        <v>2936</v>
      </c>
      <c r="C9948" t="s">
        <v>927</v>
      </c>
      <c r="D9948" t="s">
        <v>3052</v>
      </c>
      <c r="E9948" t="s">
        <v>3053</v>
      </c>
      <c r="F9948" t="s">
        <v>282</v>
      </c>
      <c r="G9948" t="s">
        <v>3040</v>
      </c>
      <c r="H9948" t="s">
        <v>12616</v>
      </c>
      <c r="I9948">
        <v>17</v>
      </c>
      <c r="J9948">
        <v>8</v>
      </c>
      <c r="K9948">
        <v>0</v>
      </c>
      <c r="L9948">
        <v>0</v>
      </c>
      <c r="M9948">
        <v>0</v>
      </c>
      <c r="N9948">
        <v>0</v>
      </c>
      <c r="O9948">
        <v>9</v>
      </c>
    </row>
    <row r="9949" spans="1:15" x14ac:dyDescent="0.25">
      <c r="A9949" t="s">
        <v>978</v>
      </c>
      <c r="B9949" t="s">
        <v>1999</v>
      </c>
      <c r="C9949" t="s">
        <v>923</v>
      </c>
      <c r="D9949" t="s">
        <v>3063</v>
      </c>
      <c r="E9949" t="s">
        <v>3053</v>
      </c>
      <c r="F9949" t="s">
        <v>282</v>
      </c>
      <c r="G9949" t="s">
        <v>3040</v>
      </c>
      <c r="H9949" t="s">
        <v>12622</v>
      </c>
      <c r="I9949">
        <v>1</v>
      </c>
      <c r="J9949">
        <v>1</v>
      </c>
      <c r="K9949">
        <v>0</v>
      </c>
      <c r="L9949">
        <v>0</v>
      </c>
      <c r="M9949">
        <v>0</v>
      </c>
      <c r="N9949">
        <v>0</v>
      </c>
      <c r="O9949">
        <v>0</v>
      </c>
    </row>
    <row r="9950" spans="1:15" x14ac:dyDescent="0.25">
      <c r="A9950" t="s">
        <v>979</v>
      </c>
      <c r="B9950" t="s">
        <v>2273</v>
      </c>
      <c r="C9950" t="s">
        <v>923</v>
      </c>
      <c r="D9950" t="s">
        <v>3063</v>
      </c>
      <c r="E9950" t="s">
        <v>3053</v>
      </c>
      <c r="F9950" t="s">
        <v>282</v>
      </c>
      <c r="G9950" t="s">
        <v>3040</v>
      </c>
      <c r="H9950" t="s">
        <v>12633</v>
      </c>
      <c r="I9950">
        <v>46</v>
      </c>
      <c r="J9950">
        <v>46</v>
      </c>
      <c r="K9950">
        <v>0</v>
      </c>
      <c r="L9950">
        <v>0</v>
      </c>
      <c r="M9950">
        <v>0</v>
      </c>
      <c r="N9950">
        <v>0</v>
      </c>
      <c r="O9950">
        <v>0</v>
      </c>
    </row>
    <row r="9951" spans="1:15" x14ac:dyDescent="0.25">
      <c r="A9951" t="s">
        <v>14373</v>
      </c>
      <c r="B9951" t="s">
        <v>15234</v>
      </c>
      <c r="C9951" t="s">
        <v>923</v>
      </c>
      <c r="D9951" t="s">
        <v>3063</v>
      </c>
      <c r="E9951" t="s">
        <v>3053</v>
      </c>
      <c r="F9951" t="s">
        <v>282</v>
      </c>
      <c r="G9951" t="s">
        <v>3040</v>
      </c>
      <c r="H9951" t="s">
        <v>15501</v>
      </c>
      <c r="I9951">
        <v>3</v>
      </c>
      <c r="J9951">
        <v>3</v>
      </c>
      <c r="K9951">
        <v>0</v>
      </c>
      <c r="L9951">
        <v>0</v>
      </c>
      <c r="M9951">
        <v>0</v>
      </c>
      <c r="N9951">
        <v>0</v>
      </c>
      <c r="O9951">
        <v>0</v>
      </c>
    </row>
    <row r="9952" spans="1:15" x14ac:dyDescent="0.25">
      <c r="A9952" t="s">
        <v>9790</v>
      </c>
      <c r="B9952" t="s">
        <v>1977</v>
      </c>
      <c r="C9952" t="s">
        <v>923</v>
      </c>
      <c r="D9952" t="s">
        <v>3063</v>
      </c>
      <c r="E9952" t="s">
        <v>3053</v>
      </c>
      <c r="F9952" t="s">
        <v>282</v>
      </c>
      <c r="G9952" t="s">
        <v>3040</v>
      </c>
      <c r="H9952" t="s">
        <v>12648</v>
      </c>
      <c r="I9952">
        <v>72</v>
      </c>
      <c r="J9952">
        <v>0</v>
      </c>
      <c r="K9952">
        <v>0</v>
      </c>
      <c r="L9952">
        <v>72</v>
      </c>
      <c r="M9952">
        <v>0</v>
      </c>
      <c r="N9952">
        <v>0</v>
      </c>
      <c r="O9952">
        <v>0</v>
      </c>
    </row>
    <row r="9953" spans="1:15" x14ac:dyDescent="0.25">
      <c r="A9953" t="s">
        <v>1458</v>
      </c>
      <c r="B9953" t="s">
        <v>2024</v>
      </c>
      <c r="C9953" t="s">
        <v>923</v>
      </c>
      <c r="D9953" t="s">
        <v>3063</v>
      </c>
      <c r="E9953" t="s">
        <v>3053</v>
      </c>
      <c r="F9953" t="s">
        <v>282</v>
      </c>
      <c r="G9953" t="s">
        <v>3040</v>
      </c>
      <c r="H9953" t="s">
        <v>12657</v>
      </c>
      <c r="I9953">
        <v>7</v>
      </c>
      <c r="J9953">
        <v>7</v>
      </c>
      <c r="K9953">
        <v>0</v>
      </c>
      <c r="L9953">
        <v>0</v>
      </c>
      <c r="M9953">
        <v>0</v>
      </c>
      <c r="N9953">
        <v>0</v>
      </c>
      <c r="O9953">
        <v>0</v>
      </c>
    </row>
    <row r="9954" spans="1:15" x14ac:dyDescent="0.25">
      <c r="A9954" t="s">
        <v>9783</v>
      </c>
      <c r="B9954" t="s">
        <v>2356</v>
      </c>
      <c r="C9954" t="s">
        <v>923</v>
      </c>
      <c r="D9954" t="s">
        <v>3063</v>
      </c>
      <c r="E9954" t="s">
        <v>3053</v>
      </c>
      <c r="F9954" t="s">
        <v>282</v>
      </c>
      <c r="G9954" t="s">
        <v>3040</v>
      </c>
      <c r="H9954" t="s">
        <v>12674</v>
      </c>
      <c r="I9954">
        <v>378</v>
      </c>
      <c r="J9954">
        <v>357</v>
      </c>
      <c r="K9954">
        <v>0</v>
      </c>
      <c r="L9954">
        <v>0</v>
      </c>
      <c r="M9954">
        <v>21</v>
      </c>
      <c r="N9954">
        <v>11</v>
      </c>
      <c r="O9954">
        <v>0</v>
      </c>
    </row>
    <row r="9955" spans="1:15" x14ac:dyDescent="0.25">
      <c r="A9955" t="s">
        <v>9784</v>
      </c>
      <c r="B9955" t="s">
        <v>1994</v>
      </c>
      <c r="C9955" t="s">
        <v>927</v>
      </c>
      <c r="D9955" t="s">
        <v>3052</v>
      </c>
      <c r="E9955" t="s">
        <v>3053</v>
      </c>
      <c r="F9955" t="s">
        <v>282</v>
      </c>
      <c r="G9955" t="s">
        <v>3040</v>
      </c>
      <c r="H9955" t="s">
        <v>12681</v>
      </c>
      <c r="I9955">
        <v>156</v>
      </c>
      <c r="J9955">
        <v>0</v>
      </c>
      <c r="K9955">
        <v>0</v>
      </c>
      <c r="L9955">
        <v>156</v>
      </c>
      <c r="M9955">
        <v>0</v>
      </c>
      <c r="N9955">
        <v>0</v>
      </c>
      <c r="O9955">
        <v>0</v>
      </c>
    </row>
    <row r="9956" spans="1:15" x14ac:dyDescent="0.25">
      <c r="A9956" t="s">
        <v>980</v>
      </c>
      <c r="B9956" t="s">
        <v>2722</v>
      </c>
      <c r="C9956" t="s">
        <v>923</v>
      </c>
      <c r="D9956" t="s">
        <v>3063</v>
      </c>
      <c r="E9956" t="s">
        <v>3053</v>
      </c>
      <c r="F9956" t="s">
        <v>282</v>
      </c>
      <c r="G9956" t="s">
        <v>3040</v>
      </c>
      <c r="H9956" t="s">
        <v>12690</v>
      </c>
      <c r="I9956">
        <v>8</v>
      </c>
      <c r="J9956">
        <v>0</v>
      </c>
      <c r="K9956">
        <v>0</v>
      </c>
      <c r="L9956">
        <v>0</v>
      </c>
      <c r="M9956">
        <v>8</v>
      </c>
      <c r="N9956">
        <v>0</v>
      </c>
      <c r="O9956">
        <v>0</v>
      </c>
    </row>
    <row r="9957" spans="1:15" x14ac:dyDescent="0.25">
      <c r="A9957" t="s">
        <v>1212</v>
      </c>
      <c r="B9957" t="s">
        <v>2004</v>
      </c>
      <c r="C9957" t="s">
        <v>923</v>
      </c>
      <c r="D9957" t="s">
        <v>3063</v>
      </c>
      <c r="E9957" t="s">
        <v>3053</v>
      </c>
      <c r="F9957" t="s">
        <v>282</v>
      </c>
      <c r="G9957" t="s">
        <v>3040</v>
      </c>
      <c r="H9957" t="s">
        <v>15502</v>
      </c>
      <c r="I9957">
        <v>16</v>
      </c>
      <c r="J9957">
        <v>0</v>
      </c>
      <c r="K9957">
        <v>0</v>
      </c>
      <c r="L9957">
        <v>16</v>
      </c>
      <c r="M9957">
        <v>0</v>
      </c>
      <c r="N9957">
        <v>0</v>
      </c>
      <c r="O9957">
        <v>0</v>
      </c>
    </row>
    <row r="9958" spans="1:15" x14ac:dyDescent="0.25">
      <c r="A9958" t="s">
        <v>1461</v>
      </c>
      <c r="B9958" t="s">
        <v>1927</v>
      </c>
      <c r="C9958" t="s">
        <v>927</v>
      </c>
      <c r="D9958" t="s">
        <v>3052</v>
      </c>
      <c r="E9958" t="s">
        <v>3053</v>
      </c>
      <c r="F9958" t="s">
        <v>282</v>
      </c>
      <c r="G9958" t="s">
        <v>3040</v>
      </c>
      <c r="H9958" t="s">
        <v>15503</v>
      </c>
      <c r="I9958">
        <v>24</v>
      </c>
      <c r="J9958">
        <v>21</v>
      </c>
      <c r="K9958">
        <v>0</v>
      </c>
      <c r="L9958">
        <v>0</v>
      </c>
      <c r="M9958">
        <v>0</v>
      </c>
      <c r="N9958">
        <v>0</v>
      </c>
      <c r="O9958">
        <v>3</v>
      </c>
    </row>
    <row r="9959" spans="1:15" x14ac:dyDescent="0.25">
      <c r="A9959" t="s">
        <v>981</v>
      </c>
      <c r="B9959" t="s">
        <v>2985</v>
      </c>
      <c r="C9959" t="s">
        <v>927</v>
      </c>
      <c r="D9959" t="s">
        <v>3052</v>
      </c>
      <c r="E9959" t="s">
        <v>3053</v>
      </c>
      <c r="F9959" t="s">
        <v>282</v>
      </c>
      <c r="G9959" t="s">
        <v>3040</v>
      </c>
      <c r="H9959" t="s">
        <v>12733</v>
      </c>
      <c r="I9959">
        <v>1138</v>
      </c>
      <c r="J9959">
        <v>743</v>
      </c>
      <c r="K9959">
        <v>0</v>
      </c>
      <c r="L9959">
        <v>59</v>
      </c>
      <c r="M9959">
        <v>87</v>
      </c>
      <c r="N9959">
        <v>0</v>
      </c>
      <c r="O9959">
        <v>249</v>
      </c>
    </row>
    <row r="9960" spans="1:15" x14ac:dyDescent="0.25">
      <c r="A9960" t="s">
        <v>983</v>
      </c>
      <c r="B9960" t="s">
        <v>2069</v>
      </c>
      <c r="C9960" t="s">
        <v>927</v>
      </c>
      <c r="D9960" t="s">
        <v>3052</v>
      </c>
      <c r="E9960" t="s">
        <v>3053</v>
      </c>
      <c r="F9960" t="s">
        <v>282</v>
      </c>
      <c r="G9960" t="s">
        <v>3040</v>
      </c>
      <c r="H9960" t="s">
        <v>12767</v>
      </c>
      <c r="I9960">
        <v>726</v>
      </c>
      <c r="J9960">
        <v>513</v>
      </c>
      <c r="K9960">
        <v>0</v>
      </c>
      <c r="L9960">
        <v>6</v>
      </c>
      <c r="M9960">
        <v>0</v>
      </c>
      <c r="N9960">
        <v>0</v>
      </c>
      <c r="O9960">
        <v>207</v>
      </c>
    </row>
    <row r="9961" spans="1:15" x14ac:dyDescent="0.25">
      <c r="A9961" t="s">
        <v>984</v>
      </c>
      <c r="B9961" t="s">
        <v>2249</v>
      </c>
      <c r="C9961" t="s">
        <v>923</v>
      </c>
      <c r="D9961" t="s">
        <v>3063</v>
      </c>
      <c r="E9961" t="s">
        <v>3053</v>
      </c>
      <c r="F9961" t="s">
        <v>282</v>
      </c>
      <c r="G9961" t="s">
        <v>3040</v>
      </c>
      <c r="H9961" t="s">
        <v>12777</v>
      </c>
      <c r="I9961">
        <v>153</v>
      </c>
      <c r="J9961">
        <v>0</v>
      </c>
      <c r="K9961">
        <v>0</v>
      </c>
      <c r="L9961">
        <v>0</v>
      </c>
      <c r="M9961">
        <v>153</v>
      </c>
      <c r="N9961">
        <v>0</v>
      </c>
      <c r="O9961">
        <v>0</v>
      </c>
    </row>
    <row r="9962" spans="1:15" x14ac:dyDescent="0.25">
      <c r="A9962" t="s">
        <v>985</v>
      </c>
      <c r="B9962" t="s">
        <v>1964</v>
      </c>
      <c r="C9962" t="s">
        <v>923</v>
      </c>
      <c r="D9962" t="s">
        <v>3063</v>
      </c>
      <c r="E9962" t="s">
        <v>3053</v>
      </c>
      <c r="F9962" t="s">
        <v>282</v>
      </c>
      <c r="G9962" t="s">
        <v>3040</v>
      </c>
      <c r="H9962" t="s">
        <v>12783</v>
      </c>
      <c r="I9962">
        <v>24</v>
      </c>
      <c r="J9962">
        <v>0</v>
      </c>
      <c r="K9962">
        <v>0</v>
      </c>
      <c r="L9962">
        <v>24</v>
      </c>
      <c r="M9962">
        <v>0</v>
      </c>
      <c r="N9962">
        <v>0</v>
      </c>
      <c r="O9962">
        <v>0</v>
      </c>
    </row>
    <row r="9963" spans="1:15" x14ac:dyDescent="0.25">
      <c r="A9963" t="s">
        <v>987</v>
      </c>
      <c r="B9963" t="s">
        <v>2881</v>
      </c>
      <c r="C9963" t="s">
        <v>927</v>
      </c>
      <c r="D9963" t="s">
        <v>3052</v>
      </c>
      <c r="E9963" t="s">
        <v>3053</v>
      </c>
      <c r="F9963" t="s">
        <v>282</v>
      </c>
      <c r="G9963" t="s">
        <v>3040</v>
      </c>
      <c r="H9963" t="s">
        <v>12814</v>
      </c>
      <c r="I9963">
        <v>191</v>
      </c>
      <c r="J9963">
        <v>165</v>
      </c>
      <c r="K9963">
        <v>0</v>
      </c>
      <c r="L9963">
        <v>0</v>
      </c>
      <c r="M9963">
        <v>0</v>
      </c>
      <c r="N9963">
        <v>0</v>
      </c>
      <c r="O9963">
        <v>26</v>
      </c>
    </row>
    <row r="9964" spans="1:15" x14ac:dyDescent="0.25">
      <c r="A9964" t="s">
        <v>988</v>
      </c>
      <c r="B9964" t="s">
        <v>2991</v>
      </c>
      <c r="C9964" t="s">
        <v>923</v>
      </c>
      <c r="D9964" t="s">
        <v>3063</v>
      </c>
      <c r="E9964" t="s">
        <v>3053</v>
      </c>
      <c r="F9964" t="s">
        <v>282</v>
      </c>
      <c r="G9964" t="s">
        <v>3040</v>
      </c>
      <c r="H9964" t="s">
        <v>12816</v>
      </c>
      <c r="I9964">
        <v>33</v>
      </c>
      <c r="J9964">
        <v>0</v>
      </c>
      <c r="K9964">
        <v>0</v>
      </c>
      <c r="L9964">
        <v>0</v>
      </c>
      <c r="M9964">
        <v>33</v>
      </c>
      <c r="N9964">
        <v>0</v>
      </c>
      <c r="O9964">
        <v>0</v>
      </c>
    </row>
    <row r="9965" spans="1:15" x14ac:dyDescent="0.25">
      <c r="A9965" t="s">
        <v>989</v>
      </c>
      <c r="B9965" t="s">
        <v>2016</v>
      </c>
      <c r="C9965" t="s">
        <v>923</v>
      </c>
      <c r="D9965" t="s">
        <v>3063</v>
      </c>
      <c r="E9965" t="s">
        <v>3053</v>
      </c>
      <c r="F9965" t="s">
        <v>282</v>
      </c>
      <c r="G9965" t="s">
        <v>3040</v>
      </c>
      <c r="H9965" t="s">
        <v>12825</v>
      </c>
      <c r="I9965">
        <v>13</v>
      </c>
      <c r="J9965">
        <v>0</v>
      </c>
      <c r="K9965">
        <v>0</v>
      </c>
      <c r="L9965">
        <v>13</v>
      </c>
      <c r="M9965">
        <v>0</v>
      </c>
      <c r="N9965">
        <v>0</v>
      </c>
      <c r="O9965">
        <v>0</v>
      </c>
    </row>
    <row r="9966" spans="1:15" x14ac:dyDescent="0.25">
      <c r="A9966" t="s">
        <v>933</v>
      </c>
      <c r="B9966" t="s">
        <v>2106</v>
      </c>
      <c r="C9966" t="s">
        <v>927</v>
      </c>
      <c r="D9966" t="s">
        <v>3052</v>
      </c>
      <c r="E9966" t="s">
        <v>3053</v>
      </c>
      <c r="F9966" t="s">
        <v>282</v>
      </c>
      <c r="G9966" t="s">
        <v>3040</v>
      </c>
      <c r="H9966" t="s">
        <v>12841</v>
      </c>
      <c r="I9966">
        <v>155</v>
      </c>
      <c r="J9966">
        <v>37</v>
      </c>
      <c r="K9966">
        <v>0</v>
      </c>
      <c r="L9966">
        <v>0</v>
      </c>
      <c r="M9966">
        <v>0</v>
      </c>
      <c r="N9966">
        <v>0</v>
      </c>
      <c r="O9966">
        <v>118</v>
      </c>
    </row>
    <row r="9967" spans="1:15" x14ac:dyDescent="0.25">
      <c r="A9967" t="s">
        <v>990</v>
      </c>
      <c r="B9967" t="s">
        <v>2399</v>
      </c>
      <c r="C9967" t="s">
        <v>923</v>
      </c>
      <c r="D9967" t="s">
        <v>3063</v>
      </c>
      <c r="E9967" t="s">
        <v>3053</v>
      </c>
      <c r="F9967" t="s">
        <v>282</v>
      </c>
      <c r="G9967" t="s">
        <v>3040</v>
      </c>
      <c r="H9967" t="s">
        <v>12878</v>
      </c>
      <c r="I9967">
        <v>139</v>
      </c>
      <c r="J9967">
        <v>125</v>
      </c>
      <c r="K9967">
        <v>0</v>
      </c>
      <c r="L9967">
        <v>0</v>
      </c>
      <c r="M9967">
        <v>14</v>
      </c>
      <c r="N9967">
        <v>7</v>
      </c>
      <c r="O9967">
        <v>0</v>
      </c>
    </row>
    <row r="9968" spans="1:15" x14ac:dyDescent="0.25">
      <c r="A9968" t="s">
        <v>991</v>
      </c>
      <c r="B9968" t="s">
        <v>1976</v>
      </c>
      <c r="C9968" t="s">
        <v>923</v>
      </c>
      <c r="D9968" t="s">
        <v>3063</v>
      </c>
      <c r="E9968" t="s">
        <v>3053</v>
      </c>
      <c r="F9968" t="s">
        <v>282</v>
      </c>
      <c r="G9968" t="s">
        <v>3040</v>
      </c>
      <c r="H9968" t="s">
        <v>12887</v>
      </c>
      <c r="I9968">
        <v>49</v>
      </c>
      <c r="J9968">
        <v>0</v>
      </c>
      <c r="K9968">
        <v>0</v>
      </c>
      <c r="L9968">
        <v>49</v>
      </c>
      <c r="M9968">
        <v>0</v>
      </c>
      <c r="N9968">
        <v>0</v>
      </c>
      <c r="O9968">
        <v>0</v>
      </c>
    </row>
    <row r="9969" spans="1:15" x14ac:dyDescent="0.25">
      <c r="A9969" t="s">
        <v>992</v>
      </c>
      <c r="B9969" t="s">
        <v>3033</v>
      </c>
      <c r="C9969" t="s">
        <v>927</v>
      </c>
      <c r="D9969" t="s">
        <v>3052</v>
      </c>
      <c r="E9969" t="s">
        <v>3053</v>
      </c>
      <c r="F9969" t="s">
        <v>282</v>
      </c>
      <c r="G9969" t="s">
        <v>3040</v>
      </c>
      <c r="H9969" t="s">
        <v>12898</v>
      </c>
      <c r="I9969">
        <v>366</v>
      </c>
      <c r="J9969">
        <v>236</v>
      </c>
      <c r="K9969">
        <v>0</v>
      </c>
      <c r="L9969">
        <v>0</v>
      </c>
      <c r="M9969">
        <v>0</v>
      </c>
      <c r="N9969">
        <v>0</v>
      </c>
      <c r="O9969">
        <v>130</v>
      </c>
    </row>
    <row r="9970" spans="1:15" x14ac:dyDescent="0.25">
      <c r="A9970" t="s">
        <v>993</v>
      </c>
      <c r="B9970" t="s">
        <v>1931</v>
      </c>
      <c r="C9970" t="s">
        <v>923</v>
      </c>
      <c r="D9970" t="s">
        <v>3063</v>
      </c>
      <c r="E9970" t="s">
        <v>3053</v>
      </c>
      <c r="F9970" t="s">
        <v>282</v>
      </c>
      <c r="G9970" t="s">
        <v>3040</v>
      </c>
      <c r="H9970" t="s">
        <v>12920</v>
      </c>
      <c r="I9970">
        <v>153</v>
      </c>
      <c r="J9970">
        <v>153</v>
      </c>
      <c r="K9970">
        <v>0</v>
      </c>
      <c r="L9970">
        <v>0</v>
      </c>
      <c r="M9970">
        <v>0</v>
      </c>
      <c r="N9970">
        <v>0</v>
      </c>
      <c r="O9970">
        <v>0</v>
      </c>
    </row>
    <row r="9971" spans="1:15" x14ac:dyDescent="0.25">
      <c r="A9971" t="s">
        <v>9785</v>
      </c>
      <c r="B9971" t="s">
        <v>1967</v>
      </c>
      <c r="C9971" t="s">
        <v>923</v>
      </c>
      <c r="D9971" t="s">
        <v>3063</v>
      </c>
      <c r="E9971" t="s">
        <v>3053</v>
      </c>
      <c r="F9971" t="s">
        <v>282</v>
      </c>
      <c r="G9971" t="s">
        <v>3040</v>
      </c>
      <c r="H9971" t="s">
        <v>12921</v>
      </c>
      <c r="I9971">
        <v>17</v>
      </c>
      <c r="J9971">
        <v>0</v>
      </c>
      <c r="K9971">
        <v>0</v>
      </c>
      <c r="L9971">
        <v>17</v>
      </c>
      <c r="M9971">
        <v>0</v>
      </c>
      <c r="N9971">
        <v>0</v>
      </c>
      <c r="O9971">
        <v>0</v>
      </c>
    </row>
    <row r="9972" spans="1:15" x14ac:dyDescent="0.25">
      <c r="A9972" t="s">
        <v>996</v>
      </c>
      <c r="B9972" t="s">
        <v>1952</v>
      </c>
      <c r="C9972" t="s">
        <v>923</v>
      </c>
      <c r="D9972" t="s">
        <v>3063</v>
      </c>
      <c r="E9972" t="s">
        <v>3053</v>
      </c>
      <c r="F9972" t="s">
        <v>282</v>
      </c>
      <c r="G9972" t="s">
        <v>3040</v>
      </c>
      <c r="H9972" t="s">
        <v>12923</v>
      </c>
      <c r="I9972">
        <v>46</v>
      </c>
      <c r="J9972">
        <v>0</v>
      </c>
      <c r="K9972">
        <v>0</v>
      </c>
      <c r="L9972">
        <v>46</v>
      </c>
      <c r="M9972">
        <v>0</v>
      </c>
      <c r="N9972">
        <v>0</v>
      </c>
      <c r="O9972">
        <v>0</v>
      </c>
    </row>
    <row r="9973" spans="1:15" x14ac:dyDescent="0.25">
      <c r="A9973" t="s">
        <v>997</v>
      </c>
      <c r="B9973" t="s">
        <v>2033</v>
      </c>
      <c r="C9973" t="s">
        <v>927</v>
      </c>
      <c r="D9973" t="s">
        <v>3052</v>
      </c>
      <c r="E9973" t="s">
        <v>3053</v>
      </c>
      <c r="F9973" t="s">
        <v>282</v>
      </c>
      <c r="G9973" t="s">
        <v>3040</v>
      </c>
      <c r="H9973" t="s">
        <v>12967</v>
      </c>
      <c r="I9973">
        <v>18432</v>
      </c>
      <c r="J9973">
        <v>11983</v>
      </c>
      <c r="K9973">
        <v>0</v>
      </c>
      <c r="L9973">
        <v>661</v>
      </c>
      <c r="M9973">
        <v>3593</v>
      </c>
      <c r="N9973">
        <v>119</v>
      </c>
      <c r="O9973">
        <v>2195</v>
      </c>
    </row>
    <row r="9974" spans="1:15" x14ac:dyDescent="0.25">
      <c r="A9974" t="s">
        <v>935</v>
      </c>
      <c r="B9974" t="s">
        <v>1960</v>
      </c>
      <c r="C9974" t="s">
        <v>923</v>
      </c>
      <c r="D9974" t="s">
        <v>3063</v>
      </c>
      <c r="E9974" t="s">
        <v>3053</v>
      </c>
      <c r="F9974" t="s">
        <v>282</v>
      </c>
      <c r="G9974" t="s">
        <v>3040</v>
      </c>
      <c r="H9974" t="s">
        <v>12973</v>
      </c>
      <c r="I9974">
        <v>38</v>
      </c>
      <c r="J9974">
        <v>0</v>
      </c>
      <c r="K9974">
        <v>0</v>
      </c>
      <c r="L9974">
        <v>38</v>
      </c>
      <c r="M9974">
        <v>0</v>
      </c>
      <c r="N9974">
        <v>0</v>
      </c>
      <c r="O9974">
        <v>0</v>
      </c>
    </row>
    <row r="9975" spans="1:15" x14ac:dyDescent="0.25">
      <c r="A9975" t="s">
        <v>11660</v>
      </c>
      <c r="B9975" t="s">
        <v>2041</v>
      </c>
      <c r="C9975" t="s">
        <v>923</v>
      </c>
      <c r="D9975" t="s">
        <v>3063</v>
      </c>
      <c r="E9975" t="s">
        <v>3053</v>
      </c>
      <c r="F9975" t="s">
        <v>282</v>
      </c>
      <c r="G9975" t="s">
        <v>3040</v>
      </c>
      <c r="H9975" t="s">
        <v>12982</v>
      </c>
      <c r="I9975">
        <v>40</v>
      </c>
      <c r="J9975">
        <v>0</v>
      </c>
      <c r="K9975">
        <v>0</v>
      </c>
      <c r="L9975">
        <v>40</v>
      </c>
      <c r="M9975">
        <v>0</v>
      </c>
      <c r="N9975">
        <v>0</v>
      </c>
      <c r="O9975">
        <v>0</v>
      </c>
    </row>
    <row r="9976" spans="1:15" x14ac:dyDescent="0.25">
      <c r="A9976" t="s">
        <v>998</v>
      </c>
      <c r="B9976" t="s">
        <v>2820</v>
      </c>
      <c r="C9976" t="s">
        <v>927</v>
      </c>
      <c r="D9976" t="s">
        <v>3052</v>
      </c>
      <c r="E9976" t="s">
        <v>3053</v>
      </c>
      <c r="F9976" t="s">
        <v>282</v>
      </c>
      <c r="G9976" t="s">
        <v>3040</v>
      </c>
      <c r="H9976" t="s">
        <v>12991</v>
      </c>
      <c r="I9976">
        <v>31</v>
      </c>
      <c r="J9976">
        <v>30</v>
      </c>
      <c r="K9976">
        <v>0</v>
      </c>
      <c r="L9976">
        <v>0</v>
      </c>
      <c r="M9976">
        <v>0</v>
      </c>
      <c r="N9976">
        <v>0</v>
      </c>
      <c r="O9976">
        <v>1</v>
      </c>
    </row>
    <row r="9977" spans="1:15" x14ac:dyDescent="0.25">
      <c r="A9977" t="s">
        <v>10624</v>
      </c>
      <c r="B9977" t="s">
        <v>2882</v>
      </c>
      <c r="C9977" t="s">
        <v>927</v>
      </c>
      <c r="D9977" t="s">
        <v>3052</v>
      </c>
      <c r="E9977" t="s">
        <v>3053</v>
      </c>
      <c r="F9977" t="s">
        <v>282</v>
      </c>
      <c r="G9977" t="s">
        <v>3040</v>
      </c>
      <c r="H9977" t="s">
        <v>13007</v>
      </c>
      <c r="I9977">
        <v>54</v>
      </c>
      <c r="J9977">
        <v>54</v>
      </c>
      <c r="K9977">
        <v>0</v>
      </c>
      <c r="L9977">
        <v>0</v>
      </c>
      <c r="M9977">
        <v>0</v>
      </c>
      <c r="N9977">
        <v>0</v>
      </c>
      <c r="O9977">
        <v>0</v>
      </c>
    </row>
    <row r="9978" spans="1:15" x14ac:dyDescent="0.25">
      <c r="A9978" t="s">
        <v>1416</v>
      </c>
      <c r="B9978" t="s">
        <v>2029</v>
      </c>
      <c r="C9978" t="s">
        <v>923</v>
      </c>
      <c r="D9978" t="s">
        <v>3063</v>
      </c>
      <c r="E9978" t="s">
        <v>3053</v>
      </c>
      <c r="F9978" t="s">
        <v>282</v>
      </c>
      <c r="G9978" t="s">
        <v>3040</v>
      </c>
      <c r="H9978" t="s">
        <v>13012</v>
      </c>
      <c r="I9978">
        <v>110</v>
      </c>
      <c r="J9978">
        <v>0</v>
      </c>
      <c r="K9978">
        <v>0</v>
      </c>
      <c r="L9978">
        <v>110</v>
      </c>
      <c r="M9978">
        <v>0</v>
      </c>
      <c r="N9978">
        <v>0</v>
      </c>
      <c r="O9978">
        <v>0</v>
      </c>
    </row>
    <row r="9979" spans="1:15" x14ac:dyDescent="0.25">
      <c r="A9979" t="s">
        <v>999</v>
      </c>
      <c r="B9979" t="s">
        <v>2311</v>
      </c>
      <c r="C9979" t="s">
        <v>923</v>
      </c>
      <c r="D9979" t="s">
        <v>3063</v>
      </c>
      <c r="E9979" t="s">
        <v>3053</v>
      </c>
      <c r="F9979" t="s">
        <v>282</v>
      </c>
      <c r="G9979" t="s">
        <v>3040</v>
      </c>
      <c r="H9979" t="s">
        <v>13024</v>
      </c>
      <c r="I9979">
        <v>10</v>
      </c>
      <c r="J9979">
        <v>0</v>
      </c>
      <c r="K9979">
        <v>0</v>
      </c>
      <c r="L9979">
        <v>0</v>
      </c>
      <c r="M9979">
        <v>10</v>
      </c>
      <c r="N9979">
        <v>0</v>
      </c>
      <c r="O9979">
        <v>0</v>
      </c>
    </row>
    <row r="9980" spans="1:15" x14ac:dyDescent="0.25">
      <c r="A9980" t="s">
        <v>1000</v>
      </c>
      <c r="B9980" t="s">
        <v>1984</v>
      </c>
      <c r="C9980" t="s">
        <v>923</v>
      </c>
      <c r="D9980" t="s">
        <v>3063</v>
      </c>
      <c r="E9980" t="s">
        <v>3053</v>
      </c>
      <c r="F9980" t="s">
        <v>282</v>
      </c>
      <c r="G9980" t="s">
        <v>3040</v>
      </c>
      <c r="H9980" t="s">
        <v>13029</v>
      </c>
      <c r="I9980">
        <v>33</v>
      </c>
      <c r="J9980">
        <v>0</v>
      </c>
      <c r="K9980">
        <v>0</v>
      </c>
      <c r="L9980">
        <v>33</v>
      </c>
      <c r="M9980">
        <v>0</v>
      </c>
      <c r="N9980">
        <v>0</v>
      </c>
      <c r="O9980">
        <v>0</v>
      </c>
    </row>
    <row r="9981" spans="1:15" x14ac:dyDescent="0.25">
      <c r="A9981" t="s">
        <v>1001</v>
      </c>
      <c r="B9981" t="s">
        <v>3007</v>
      </c>
      <c r="C9981" t="s">
        <v>927</v>
      </c>
      <c r="D9981" t="s">
        <v>3052</v>
      </c>
      <c r="E9981" t="s">
        <v>3053</v>
      </c>
      <c r="F9981" t="s">
        <v>282</v>
      </c>
      <c r="G9981" t="s">
        <v>3040</v>
      </c>
      <c r="H9981" t="s">
        <v>13046</v>
      </c>
      <c r="I9981">
        <v>1128</v>
      </c>
      <c r="J9981">
        <v>0</v>
      </c>
      <c r="K9981">
        <v>0</v>
      </c>
      <c r="L9981">
        <v>1128</v>
      </c>
      <c r="M9981">
        <v>0</v>
      </c>
      <c r="N9981">
        <v>7</v>
      </c>
      <c r="O9981">
        <v>0</v>
      </c>
    </row>
    <row r="9982" spans="1:15" x14ac:dyDescent="0.25">
      <c r="A9982" t="s">
        <v>1003</v>
      </c>
      <c r="B9982" t="s">
        <v>2862</v>
      </c>
      <c r="C9982" t="s">
        <v>927</v>
      </c>
      <c r="D9982" t="s">
        <v>3052</v>
      </c>
      <c r="E9982" t="s">
        <v>3053</v>
      </c>
      <c r="F9982" t="s">
        <v>282</v>
      </c>
      <c r="G9982" t="s">
        <v>3040</v>
      </c>
      <c r="H9982" t="s">
        <v>13061</v>
      </c>
      <c r="I9982">
        <v>6691</v>
      </c>
      <c r="J9982">
        <v>4101</v>
      </c>
      <c r="K9982">
        <v>18</v>
      </c>
      <c r="L9982">
        <v>20</v>
      </c>
      <c r="M9982">
        <v>2214</v>
      </c>
      <c r="N9982">
        <v>0</v>
      </c>
      <c r="O9982">
        <v>338</v>
      </c>
    </row>
    <row r="9983" spans="1:15" x14ac:dyDescent="0.25">
      <c r="A9983" t="s">
        <v>1004</v>
      </c>
      <c r="B9983" t="s">
        <v>2887</v>
      </c>
      <c r="C9983" t="s">
        <v>927</v>
      </c>
      <c r="D9983" t="s">
        <v>3052</v>
      </c>
      <c r="E9983" t="s">
        <v>3053</v>
      </c>
      <c r="F9983" t="s">
        <v>282</v>
      </c>
      <c r="G9983" t="s">
        <v>3040</v>
      </c>
      <c r="H9983" t="s">
        <v>13063</v>
      </c>
      <c r="I9983">
        <v>3454</v>
      </c>
      <c r="J9983">
        <v>2381</v>
      </c>
      <c r="K9983">
        <v>0</v>
      </c>
      <c r="L9983">
        <v>0</v>
      </c>
      <c r="M9983">
        <v>886</v>
      </c>
      <c r="N9983">
        <v>0</v>
      </c>
      <c r="O9983">
        <v>187</v>
      </c>
    </row>
    <row r="9984" spans="1:15" x14ac:dyDescent="0.25">
      <c r="A9984" t="s">
        <v>10638</v>
      </c>
      <c r="B9984" t="s">
        <v>2057</v>
      </c>
      <c r="C9984" t="s">
        <v>927</v>
      </c>
      <c r="D9984" t="s">
        <v>3052</v>
      </c>
      <c r="E9984" t="s">
        <v>3053</v>
      </c>
      <c r="F9984" t="s">
        <v>282</v>
      </c>
      <c r="G9984" t="s">
        <v>3040</v>
      </c>
      <c r="H9984" t="s">
        <v>13076</v>
      </c>
      <c r="I9984">
        <v>445</v>
      </c>
      <c r="J9984">
        <v>0</v>
      </c>
      <c r="K9984">
        <v>0</v>
      </c>
      <c r="L9984">
        <v>445</v>
      </c>
      <c r="M9984">
        <v>0</v>
      </c>
      <c r="N9984">
        <v>0</v>
      </c>
      <c r="O9984">
        <v>0</v>
      </c>
    </row>
    <row r="9985" spans="1:15" x14ac:dyDescent="0.25">
      <c r="A9985" t="s">
        <v>9786</v>
      </c>
      <c r="B9985" t="s">
        <v>2616</v>
      </c>
      <c r="C9985" t="s">
        <v>923</v>
      </c>
      <c r="D9985" t="s">
        <v>3063</v>
      </c>
      <c r="E9985" t="s">
        <v>3053</v>
      </c>
      <c r="F9985" t="s">
        <v>282</v>
      </c>
      <c r="G9985" t="s">
        <v>3040</v>
      </c>
      <c r="H9985" t="s">
        <v>13091</v>
      </c>
      <c r="I9985">
        <v>8</v>
      </c>
      <c r="J9985">
        <v>0</v>
      </c>
      <c r="K9985">
        <v>0</v>
      </c>
      <c r="L9985">
        <v>0</v>
      </c>
      <c r="M9985">
        <v>8</v>
      </c>
      <c r="N9985">
        <v>0</v>
      </c>
      <c r="O9985">
        <v>0</v>
      </c>
    </row>
    <row r="9986" spans="1:15" x14ac:dyDescent="0.25">
      <c r="A9986" t="s">
        <v>1005</v>
      </c>
      <c r="B9986" t="s">
        <v>2128</v>
      </c>
      <c r="C9986" t="s">
        <v>927</v>
      </c>
      <c r="D9986" t="s">
        <v>3052</v>
      </c>
      <c r="E9986" t="s">
        <v>3053</v>
      </c>
      <c r="F9986" t="s">
        <v>282</v>
      </c>
      <c r="G9986" t="s">
        <v>3040</v>
      </c>
      <c r="H9986" t="s">
        <v>13094</v>
      </c>
      <c r="I9986">
        <v>4743</v>
      </c>
      <c r="J9986">
        <v>3736</v>
      </c>
      <c r="K9986">
        <v>0</v>
      </c>
      <c r="L9986">
        <v>6</v>
      </c>
      <c r="M9986">
        <v>526</v>
      </c>
      <c r="N9986">
        <v>6</v>
      </c>
      <c r="O9986">
        <v>475</v>
      </c>
    </row>
    <row r="9987" spans="1:15" x14ac:dyDescent="0.25">
      <c r="A9987" t="s">
        <v>1006</v>
      </c>
      <c r="B9987" t="s">
        <v>2724</v>
      </c>
      <c r="C9987" t="s">
        <v>927</v>
      </c>
      <c r="D9987" t="s">
        <v>3052</v>
      </c>
      <c r="E9987" t="s">
        <v>3053</v>
      </c>
      <c r="F9987" t="s">
        <v>282</v>
      </c>
      <c r="G9987" t="s">
        <v>3040</v>
      </c>
      <c r="H9987" t="s">
        <v>13101</v>
      </c>
      <c r="I9987">
        <v>395</v>
      </c>
      <c r="J9987">
        <v>288</v>
      </c>
      <c r="K9987">
        <v>0</v>
      </c>
      <c r="L9987">
        <v>1</v>
      </c>
      <c r="M9987">
        <v>22</v>
      </c>
      <c r="N9987">
        <v>4</v>
      </c>
      <c r="O9987">
        <v>84</v>
      </c>
    </row>
    <row r="9988" spans="1:15" x14ac:dyDescent="0.25">
      <c r="A9988" t="s">
        <v>1007</v>
      </c>
      <c r="B9988" t="s">
        <v>2891</v>
      </c>
      <c r="C9988" t="s">
        <v>927</v>
      </c>
      <c r="D9988" t="s">
        <v>3052</v>
      </c>
      <c r="E9988" t="s">
        <v>3053</v>
      </c>
      <c r="F9988" t="s">
        <v>282</v>
      </c>
      <c r="G9988" t="s">
        <v>3040</v>
      </c>
      <c r="H9988" t="s">
        <v>13107</v>
      </c>
      <c r="I9988">
        <v>5090</v>
      </c>
      <c r="J9988">
        <v>4600</v>
      </c>
      <c r="K9988">
        <v>0</v>
      </c>
      <c r="L9988">
        <v>228</v>
      </c>
      <c r="M9988">
        <v>0</v>
      </c>
      <c r="N9988">
        <v>20</v>
      </c>
      <c r="O9988">
        <v>262</v>
      </c>
    </row>
    <row r="9989" spans="1:15" x14ac:dyDescent="0.25">
      <c r="A9989" t="s">
        <v>10643</v>
      </c>
      <c r="B9989" t="s">
        <v>2987</v>
      </c>
      <c r="C9989" t="s">
        <v>927</v>
      </c>
      <c r="D9989" t="s">
        <v>3052</v>
      </c>
      <c r="E9989" t="s">
        <v>3053</v>
      </c>
      <c r="F9989" t="s">
        <v>282</v>
      </c>
      <c r="G9989" t="s">
        <v>3040</v>
      </c>
      <c r="H9989" t="s">
        <v>13112</v>
      </c>
      <c r="I9989">
        <v>73</v>
      </c>
      <c r="J9989">
        <v>23</v>
      </c>
      <c r="K9989">
        <v>0</v>
      </c>
      <c r="L9989">
        <v>0</v>
      </c>
      <c r="M9989">
        <v>50</v>
      </c>
      <c r="N9989">
        <v>0</v>
      </c>
      <c r="O9989">
        <v>0</v>
      </c>
    </row>
    <row r="9990" spans="1:15" x14ac:dyDescent="0.25">
      <c r="A9990" t="s">
        <v>1008</v>
      </c>
      <c r="B9990" t="s">
        <v>2928</v>
      </c>
      <c r="C9990" t="s">
        <v>927</v>
      </c>
      <c r="D9990" t="s">
        <v>3052</v>
      </c>
      <c r="E9990" t="s">
        <v>3053</v>
      </c>
      <c r="F9990" t="s">
        <v>282</v>
      </c>
      <c r="G9990" t="s">
        <v>3040</v>
      </c>
      <c r="H9990" t="s">
        <v>13122</v>
      </c>
      <c r="I9990">
        <v>33</v>
      </c>
      <c r="J9990">
        <v>16</v>
      </c>
      <c r="K9990">
        <v>0</v>
      </c>
      <c r="L9990">
        <v>12</v>
      </c>
      <c r="M9990">
        <v>5</v>
      </c>
      <c r="N9990">
        <v>1</v>
      </c>
      <c r="O9990">
        <v>0</v>
      </c>
    </row>
    <row r="9991" spans="1:15" x14ac:dyDescent="0.25">
      <c r="A9991" t="s">
        <v>10647</v>
      </c>
      <c r="B9991" t="s">
        <v>10646</v>
      </c>
      <c r="C9991" t="s">
        <v>923</v>
      </c>
      <c r="D9991" t="s">
        <v>3063</v>
      </c>
      <c r="E9991" t="s">
        <v>3053</v>
      </c>
      <c r="F9991" t="s">
        <v>282</v>
      </c>
      <c r="G9991" t="s">
        <v>3040</v>
      </c>
      <c r="H9991" t="s">
        <v>15504</v>
      </c>
      <c r="I9991">
        <v>21</v>
      </c>
      <c r="J9991">
        <v>21</v>
      </c>
      <c r="K9991">
        <v>0</v>
      </c>
      <c r="L9991">
        <v>0</v>
      </c>
      <c r="M9991">
        <v>0</v>
      </c>
      <c r="N9991">
        <v>0</v>
      </c>
      <c r="O9991">
        <v>0</v>
      </c>
    </row>
    <row r="9992" spans="1:15" x14ac:dyDescent="0.25">
      <c r="A9992" t="s">
        <v>1009</v>
      </c>
      <c r="B9992" t="s">
        <v>1958</v>
      </c>
      <c r="C9992" t="s">
        <v>923</v>
      </c>
      <c r="D9992" t="s">
        <v>3063</v>
      </c>
      <c r="E9992" t="s">
        <v>3053</v>
      </c>
      <c r="F9992" t="s">
        <v>282</v>
      </c>
      <c r="G9992" t="s">
        <v>3040</v>
      </c>
      <c r="H9992" t="s">
        <v>13134</v>
      </c>
      <c r="I9992">
        <v>31</v>
      </c>
      <c r="J9992">
        <v>0</v>
      </c>
      <c r="K9992">
        <v>0</v>
      </c>
      <c r="L9992">
        <v>31</v>
      </c>
      <c r="M9992">
        <v>0</v>
      </c>
      <c r="N9992">
        <v>0</v>
      </c>
      <c r="O9992">
        <v>0</v>
      </c>
    </row>
    <row r="9993" spans="1:15" x14ac:dyDescent="0.25">
      <c r="A9993" t="s">
        <v>1010</v>
      </c>
      <c r="B9993" t="s">
        <v>2639</v>
      </c>
      <c r="C9993" t="s">
        <v>927</v>
      </c>
      <c r="D9993" t="s">
        <v>3052</v>
      </c>
      <c r="E9993" t="s">
        <v>3053</v>
      </c>
      <c r="F9993" t="s">
        <v>282</v>
      </c>
      <c r="G9993" t="s">
        <v>3040</v>
      </c>
      <c r="H9993" t="s">
        <v>13157</v>
      </c>
      <c r="I9993">
        <v>41</v>
      </c>
      <c r="J9993">
        <v>28</v>
      </c>
      <c r="K9993">
        <v>0</v>
      </c>
      <c r="L9993">
        <v>0</v>
      </c>
      <c r="M9993">
        <v>0</v>
      </c>
      <c r="N9993">
        <v>0</v>
      </c>
      <c r="O9993">
        <v>13</v>
      </c>
    </row>
    <row r="9994" spans="1:15" x14ac:dyDescent="0.25">
      <c r="A9994" t="s">
        <v>937</v>
      </c>
      <c r="B9994" t="s">
        <v>1962</v>
      </c>
      <c r="C9994" t="s">
        <v>927</v>
      </c>
      <c r="D9994" t="s">
        <v>3052</v>
      </c>
      <c r="E9994" t="s">
        <v>3053</v>
      </c>
      <c r="F9994" t="s">
        <v>282</v>
      </c>
      <c r="G9994" t="s">
        <v>3040</v>
      </c>
      <c r="H9994" t="s">
        <v>13182</v>
      </c>
      <c r="I9994">
        <v>701</v>
      </c>
      <c r="J9994">
        <v>0</v>
      </c>
      <c r="K9994">
        <v>0</v>
      </c>
      <c r="L9994">
        <v>0</v>
      </c>
      <c r="M9994">
        <v>0</v>
      </c>
      <c r="N9994">
        <v>0</v>
      </c>
      <c r="O9994">
        <v>701</v>
      </c>
    </row>
    <row r="9995" spans="1:15" x14ac:dyDescent="0.25">
      <c r="A9995" t="s">
        <v>1011</v>
      </c>
      <c r="B9995" t="s">
        <v>2020</v>
      </c>
      <c r="C9995" t="s">
        <v>927</v>
      </c>
      <c r="D9995" t="s">
        <v>3052</v>
      </c>
      <c r="E9995" t="s">
        <v>3053</v>
      </c>
      <c r="F9995" t="s">
        <v>282</v>
      </c>
      <c r="G9995" t="s">
        <v>3040</v>
      </c>
      <c r="H9995" t="s">
        <v>13198</v>
      </c>
      <c r="I9995">
        <v>70</v>
      </c>
      <c r="J9995">
        <v>0</v>
      </c>
      <c r="K9995">
        <v>0</v>
      </c>
      <c r="L9995">
        <v>70</v>
      </c>
      <c r="M9995">
        <v>0</v>
      </c>
      <c r="N9995">
        <v>0</v>
      </c>
      <c r="O9995">
        <v>0</v>
      </c>
    </row>
    <row r="9996" spans="1:15" x14ac:dyDescent="0.25">
      <c r="A9996" t="s">
        <v>938</v>
      </c>
      <c r="B9996" t="s">
        <v>2791</v>
      </c>
      <c r="C9996" t="s">
        <v>927</v>
      </c>
      <c r="D9996" t="s">
        <v>3052</v>
      </c>
      <c r="E9996" t="s">
        <v>3053</v>
      </c>
      <c r="F9996" t="s">
        <v>282</v>
      </c>
      <c r="G9996" t="s">
        <v>3040</v>
      </c>
      <c r="H9996" t="s">
        <v>13213</v>
      </c>
      <c r="I9996">
        <v>1120</v>
      </c>
      <c r="J9996">
        <v>826</v>
      </c>
      <c r="K9996">
        <v>0</v>
      </c>
      <c r="L9996">
        <v>108</v>
      </c>
      <c r="M9996">
        <v>0</v>
      </c>
      <c r="N9996">
        <v>0</v>
      </c>
      <c r="O9996">
        <v>186</v>
      </c>
    </row>
    <row r="9997" spans="1:15" x14ac:dyDescent="0.25">
      <c r="A9997" t="s">
        <v>940</v>
      </c>
      <c r="B9997" t="s">
        <v>2647</v>
      </c>
      <c r="C9997" t="s">
        <v>927</v>
      </c>
      <c r="D9997" t="s">
        <v>3052</v>
      </c>
      <c r="E9997" t="s">
        <v>3053</v>
      </c>
      <c r="F9997" t="s">
        <v>282</v>
      </c>
      <c r="G9997" t="s">
        <v>3040</v>
      </c>
      <c r="H9997" t="s">
        <v>13232</v>
      </c>
      <c r="I9997">
        <v>1419</v>
      </c>
      <c r="J9997">
        <v>0</v>
      </c>
      <c r="K9997">
        <v>0</v>
      </c>
      <c r="L9997">
        <v>0</v>
      </c>
      <c r="M9997">
        <v>1365</v>
      </c>
      <c r="N9997">
        <v>0</v>
      </c>
      <c r="O9997">
        <v>54</v>
      </c>
    </row>
    <row r="9998" spans="1:15" x14ac:dyDescent="0.25">
      <c r="A9998" t="s">
        <v>1012</v>
      </c>
      <c r="B9998" t="s">
        <v>2911</v>
      </c>
      <c r="C9998" t="s">
        <v>927</v>
      </c>
      <c r="D9998" t="s">
        <v>3052</v>
      </c>
      <c r="E9998" t="s">
        <v>3053</v>
      </c>
      <c r="F9998" t="s">
        <v>282</v>
      </c>
      <c r="G9998" t="s">
        <v>3040</v>
      </c>
      <c r="H9998" t="s">
        <v>13259</v>
      </c>
      <c r="I9998">
        <v>172</v>
      </c>
      <c r="J9998">
        <v>90</v>
      </c>
      <c r="K9998">
        <v>0</v>
      </c>
      <c r="L9998">
        <v>0</v>
      </c>
      <c r="M9998">
        <v>72</v>
      </c>
      <c r="N9998">
        <v>1</v>
      </c>
      <c r="O9998">
        <v>10</v>
      </c>
    </row>
    <row r="9999" spans="1:15" x14ac:dyDescent="0.25">
      <c r="A9999" t="s">
        <v>1013</v>
      </c>
      <c r="B9999" t="s">
        <v>1959</v>
      </c>
      <c r="C9999" t="s">
        <v>927</v>
      </c>
      <c r="D9999" t="s">
        <v>3052</v>
      </c>
      <c r="E9999" t="s">
        <v>3053</v>
      </c>
      <c r="F9999" t="s">
        <v>282</v>
      </c>
      <c r="G9999" t="s">
        <v>3040</v>
      </c>
      <c r="H9999" t="s">
        <v>13270</v>
      </c>
      <c r="I9999">
        <v>589</v>
      </c>
      <c r="J9999">
        <v>0</v>
      </c>
      <c r="K9999">
        <v>0</v>
      </c>
      <c r="L9999">
        <v>589</v>
      </c>
      <c r="M9999">
        <v>0</v>
      </c>
      <c r="N9999">
        <v>0</v>
      </c>
      <c r="O9999">
        <v>0</v>
      </c>
    </row>
    <row r="10000" spans="1:15" x14ac:dyDescent="0.25">
      <c r="A10000" t="s">
        <v>1014</v>
      </c>
      <c r="B10000" t="s">
        <v>2898</v>
      </c>
      <c r="C10000" t="s">
        <v>927</v>
      </c>
      <c r="D10000" t="s">
        <v>3052</v>
      </c>
      <c r="E10000" t="s">
        <v>3053</v>
      </c>
      <c r="F10000" t="s">
        <v>282</v>
      </c>
      <c r="G10000" t="s">
        <v>3040</v>
      </c>
      <c r="H10000" t="s">
        <v>13299</v>
      </c>
      <c r="I10000">
        <v>3339</v>
      </c>
      <c r="J10000">
        <v>2391</v>
      </c>
      <c r="K10000">
        <v>0</v>
      </c>
      <c r="L10000">
        <v>23</v>
      </c>
      <c r="M10000">
        <v>842</v>
      </c>
      <c r="N10000">
        <v>15</v>
      </c>
      <c r="O10000">
        <v>83</v>
      </c>
    </row>
    <row r="10001" spans="1:15" x14ac:dyDescent="0.25">
      <c r="A10001" t="s">
        <v>9820</v>
      </c>
      <c r="B10001" t="s">
        <v>3017</v>
      </c>
      <c r="C10001" t="s">
        <v>927</v>
      </c>
      <c r="D10001" t="s">
        <v>3052</v>
      </c>
      <c r="E10001" t="s">
        <v>3053</v>
      </c>
      <c r="F10001" t="s">
        <v>282</v>
      </c>
      <c r="G10001" t="s">
        <v>3040</v>
      </c>
      <c r="H10001" t="s">
        <v>13302</v>
      </c>
      <c r="I10001">
        <v>26</v>
      </c>
      <c r="J10001">
        <v>23</v>
      </c>
      <c r="K10001">
        <v>0</v>
      </c>
      <c r="L10001">
        <v>0</v>
      </c>
      <c r="M10001">
        <v>0</v>
      </c>
      <c r="N10001">
        <v>0</v>
      </c>
      <c r="O10001">
        <v>3</v>
      </c>
    </row>
    <row r="10002" spans="1:15" x14ac:dyDescent="0.25">
      <c r="A10002" t="s">
        <v>1015</v>
      </c>
      <c r="B10002" t="s">
        <v>2284</v>
      </c>
      <c r="C10002" t="s">
        <v>923</v>
      </c>
      <c r="D10002" t="s">
        <v>3063</v>
      </c>
      <c r="E10002" t="s">
        <v>3053</v>
      </c>
      <c r="F10002" t="s">
        <v>282</v>
      </c>
      <c r="G10002" t="s">
        <v>3040</v>
      </c>
      <c r="H10002" t="s">
        <v>13307</v>
      </c>
      <c r="I10002">
        <v>6</v>
      </c>
      <c r="J10002">
        <v>6</v>
      </c>
      <c r="K10002">
        <v>0</v>
      </c>
      <c r="L10002">
        <v>0</v>
      </c>
      <c r="M10002">
        <v>0</v>
      </c>
      <c r="N10002">
        <v>0</v>
      </c>
      <c r="O10002">
        <v>0</v>
      </c>
    </row>
    <row r="10003" spans="1:15" x14ac:dyDescent="0.25">
      <c r="A10003" t="s">
        <v>1016</v>
      </c>
      <c r="B10003" t="s">
        <v>2725</v>
      </c>
      <c r="C10003" t="s">
        <v>927</v>
      </c>
      <c r="D10003" t="s">
        <v>3052</v>
      </c>
      <c r="E10003" t="s">
        <v>3053</v>
      </c>
      <c r="F10003" t="s">
        <v>282</v>
      </c>
      <c r="G10003" t="s">
        <v>3040</v>
      </c>
      <c r="H10003" t="s">
        <v>13309</v>
      </c>
      <c r="I10003">
        <v>342</v>
      </c>
      <c r="J10003">
        <v>140</v>
      </c>
      <c r="K10003">
        <v>0</v>
      </c>
      <c r="L10003">
        <v>0</v>
      </c>
      <c r="M10003">
        <v>182</v>
      </c>
      <c r="N10003">
        <v>0</v>
      </c>
      <c r="O10003">
        <v>20</v>
      </c>
    </row>
    <row r="10004" spans="1:15" x14ac:dyDescent="0.25">
      <c r="A10004" t="s">
        <v>1017</v>
      </c>
      <c r="B10004" t="s">
        <v>2671</v>
      </c>
      <c r="C10004" t="s">
        <v>923</v>
      </c>
      <c r="D10004" t="s">
        <v>3063</v>
      </c>
      <c r="E10004" t="s">
        <v>3053</v>
      </c>
      <c r="F10004" t="s">
        <v>282</v>
      </c>
      <c r="G10004" t="s">
        <v>3040</v>
      </c>
      <c r="H10004" t="s">
        <v>13339</v>
      </c>
      <c r="I10004">
        <v>285</v>
      </c>
      <c r="J10004">
        <v>164</v>
      </c>
      <c r="K10004">
        <v>0</v>
      </c>
      <c r="L10004">
        <v>0</v>
      </c>
      <c r="M10004">
        <v>121</v>
      </c>
      <c r="N10004">
        <v>0</v>
      </c>
      <c r="O10004">
        <v>0</v>
      </c>
    </row>
    <row r="10005" spans="1:15" x14ac:dyDescent="0.25">
      <c r="A10005" t="s">
        <v>1018</v>
      </c>
      <c r="B10005" t="s">
        <v>1980</v>
      </c>
      <c r="C10005" t="s">
        <v>923</v>
      </c>
      <c r="D10005" t="s">
        <v>3063</v>
      </c>
      <c r="E10005" t="s">
        <v>3053</v>
      </c>
      <c r="F10005" t="s">
        <v>282</v>
      </c>
      <c r="G10005" t="s">
        <v>3040</v>
      </c>
      <c r="H10005" t="s">
        <v>13345</v>
      </c>
      <c r="I10005">
        <v>36</v>
      </c>
      <c r="J10005">
        <v>0</v>
      </c>
      <c r="K10005">
        <v>0</v>
      </c>
      <c r="L10005">
        <v>36</v>
      </c>
      <c r="M10005">
        <v>0</v>
      </c>
      <c r="N10005">
        <v>0</v>
      </c>
      <c r="O10005">
        <v>0</v>
      </c>
    </row>
    <row r="10006" spans="1:15" x14ac:dyDescent="0.25">
      <c r="A10006" t="s">
        <v>1019</v>
      </c>
      <c r="B10006" t="s">
        <v>2944</v>
      </c>
      <c r="C10006" t="s">
        <v>927</v>
      </c>
      <c r="D10006" t="s">
        <v>3052</v>
      </c>
      <c r="E10006" t="s">
        <v>3053</v>
      </c>
      <c r="F10006" t="s">
        <v>282</v>
      </c>
      <c r="G10006" t="s">
        <v>3040</v>
      </c>
      <c r="H10006" t="s">
        <v>13358</v>
      </c>
      <c r="I10006">
        <v>1</v>
      </c>
      <c r="J10006">
        <v>0</v>
      </c>
      <c r="K10006">
        <v>0</v>
      </c>
      <c r="L10006">
        <v>0</v>
      </c>
      <c r="M10006">
        <v>0</v>
      </c>
      <c r="N10006">
        <v>0</v>
      </c>
      <c r="O10006">
        <v>1</v>
      </c>
    </row>
    <row r="10007" spans="1:15" x14ac:dyDescent="0.25">
      <c r="A10007" t="s">
        <v>10667</v>
      </c>
      <c r="B10007" t="s">
        <v>10666</v>
      </c>
      <c r="C10007" t="s">
        <v>927</v>
      </c>
      <c r="D10007" t="s">
        <v>3052</v>
      </c>
      <c r="E10007" t="s">
        <v>3053</v>
      </c>
      <c r="F10007" t="s">
        <v>282</v>
      </c>
      <c r="G10007" t="s">
        <v>3040</v>
      </c>
      <c r="H10007" t="s">
        <v>13361</v>
      </c>
      <c r="I10007">
        <v>68</v>
      </c>
      <c r="J10007">
        <v>68</v>
      </c>
      <c r="K10007">
        <v>0</v>
      </c>
      <c r="L10007">
        <v>0</v>
      </c>
      <c r="M10007">
        <v>0</v>
      </c>
      <c r="N10007">
        <v>0</v>
      </c>
      <c r="O10007">
        <v>0</v>
      </c>
    </row>
    <row r="10008" spans="1:15" x14ac:dyDescent="0.25">
      <c r="A10008" t="s">
        <v>1126</v>
      </c>
      <c r="B10008" t="s">
        <v>2130</v>
      </c>
      <c r="C10008" t="s">
        <v>927</v>
      </c>
      <c r="D10008" t="s">
        <v>3052</v>
      </c>
      <c r="E10008" t="s">
        <v>3053</v>
      </c>
      <c r="F10008" t="s">
        <v>282</v>
      </c>
      <c r="G10008" t="s">
        <v>3040</v>
      </c>
      <c r="H10008" t="s">
        <v>13369</v>
      </c>
      <c r="I10008">
        <v>368</v>
      </c>
      <c r="J10008">
        <v>90</v>
      </c>
      <c r="K10008">
        <v>0</v>
      </c>
      <c r="L10008">
        <v>0</v>
      </c>
      <c r="M10008">
        <v>0</v>
      </c>
      <c r="N10008">
        <v>0</v>
      </c>
      <c r="O10008">
        <v>278</v>
      </c>
    </row>
    <row r="10009" spans="1:15" x14ac:dyDescent="0.25">
      <c r="A10009" t="s">
        <v>1020</v>
      </c>
      <c r="B10009" t="s">
        <v>2104</v>
      </c>
      <c r="C10009" t="s">
        <v>923</v>
      </c>
      <c r="D10009" t="s">
        <v>3063</v>
      </c>
      <c r="E10009" t="s">
        <v>3053</v>
      </c>
      <c r="F10009" t="s">
        <v>282</v>
      </c>
      <c r="G10009" t="s">
        <v>3040</v>
      </c>
      <c r="H10009" t="s">
        <v>13379</v>
      </c>
      <c r="I10009">
        <v>9</v>
      </c>
      <c r="J10009">
        <v>0</v>
      </c>
      <c r="K10009">
        <v>0</v>
      </c>
      <c r="L10009">
        <v>9</v>
      </c>
      <c r="M10009">
        <v>0</v>
      </c>
      <c r="N10009">
        <v>0</v>
      </c>
      <c r="O10009">
        <v>0</v>
      </c>
    </row>
    <row r="10010" spans="1:15" x14ac:dyDescent="0.25">
      <c r="A10010" t="s">
        <v>11755</v>
      </c>
      <c r="B10010" t="s">
        <v>11754</v>
      </c>
      <c r="C10010" t="s">
        <v>923</v>
      </c>
      <c r="D10010" t="s">
        <v>3063</v>
      </c>
      <c r="E10010" t="s">
        <v>3053</v>
      </c>
      <c r="F10010" t="s">
        <v>282</v>
      </c>
      <c r="G10010" t="s">
        <v>3040</v>
      </c>
      <c r="H10010" t="s">
        <v>15505</v>
      </c>
      <c r="I10010">
        <v>3</v>
      </c>
      <c r="J10010">
        <v>0</v>
      </c>
      <c r="K10010">
        <v>0</v>
      </c>
      <c r="L10010">
        <v>3</v>
      </c>
      <c r="M10010">
        <v>0</v>
      </c>
      <c r="N10010">
        <v>0</v>
      </c>
      <c r="O10010">
        <v>0</v>
      </c>
    </row>
    <row r="10011" spans="1:15" x14ac:dyDescent="0.25">
      <c r="A10011" t="s">
        <v>1021</v>
      </c>
      <c r="B10011" t="s">
        <v>2051</v>
      </c>
      <c r="C10011" t="s">
        <v>923</v>
      </c>
      <c r="D10011" t="s">
        <v>3063</v>
      </c>
      <c r="E10011" t="s">
        <v>3053</v>
      </c>
      <c r="F10011" t="s">
        <v>282</v>
      </c>
      <c r="G10011" t="s">
        <v>3040</v>
      </c>
      <c r="H10011" t="s">
        <v>13388</v>
      </c>
      <c r="I10011">
        <v>39</v>
      </c>
      <c r="J10011">
        <v>0</v>
      </c>
      <c r="K10011">
        <v>0</v>
      </c>
      <c r="L10011">
        <v>39</v>
      </c>
      <c r="M10011">
        <v>0</v>
      </c>
      <c r="N10011">
        <v>0</v>
      </c>
      <c r="O10011">
        <v>0</v>
      </c>
    </row>
    <row r="10012" spans="1:15" x14ac:dyDescent="0.25">
      <c r="A10012" t="s">
        <v>1022</v>
      </c>
      <c r="B10012" t="s">
        <v>2116</v>
      </c>
      <c r="C10012" t="s">
        <v>927</v>
      </c>
      <c r="D10012" t="s">
        <v>3052</v>
      </c>
      <c r="E10012" t="s">
        <v>3053</v>
      </c>
      <c r="F10012" t="s">
        <v>282</v>
      </c>
      <c r="G10012" t="s">
        <v>3040</v>
      </c>
      <c r="H10012" t="s">
        <v>13389</v>
      </c>
      <c r="I10012">
        <v>5014</v>
      </c>
      <c r="J10012">
        <v>3953</v>
      </c>
      <c r="K10012">
        <v>0</v>
      </c>
      <c r="L10012">
        <v>20</v>
      </c>
      <c r="M10012">
        <v>822</v>
      </c>
      <c r="N10012">
        <v>0</v>
      </c>
      <c r="O10012">
        <v>219</v>
      </c>
    </row>
    <row r="10013" spans="1:15" x14ac:dyDescent="0.25">
      <c r="A10013" t="s">
        <v>1023</v>
      </c>
      <c r="B10013" t="s">
        <v>2803</v>
      </c>
      <c r="C10013" t="s">
        <v>923</v>
      </c>
      <c r="D10013" t="s">
        <v>3063</v>
      </c>
      <c r="E10013" t="s">
        <v>3053</v>
      </c>
      <c r="F10013" t="s">
        <v>282</v>
      </c>
      <c r="G10013" t="s">
        <v>3040</v>
      </c>
      <c r="H10013" t="s">
        <v>13391</v>
      </c>
      <c r="I10013">
        <v>358</v>
      </c>
      <c r="J10013">
        <v>358</v>
      </c>
      <c r="K10013">
        <v>0</v>
      </c>
      <c r="L10013">
        <v>0</v>
      </c>
      <c r="M10013">
        <v>0</v>
      </c>
      <c r="N10013">
        <v>0</v>
      </c>
      <c r="O10013">
        <v>0</v>
      </c>
    </row>
    <row r="10014" spans="1:15" x14ac:dyDescent="0.25">
      <c r="A10014" t="s">
        <v>1024</v>
      </c>
      <c r="B10014" t="s">
        <v>2584</v>
      </c>
      <c r="C10014" t="s">
        <v>923</v>
      </c>
      <c r="D10014" t="s">
        <v>3063</v>
      </c>
      <c r="E10014" t="s">
        <v>3053</v>
      </c>
      <c r="F10014" t="s">
        <v>282</v>
      </c>
      <c r="G10014" t="s">
        <v>3040</v>
      </c>
      <c r="H10014" t="s">
        <v>13394</v>
      </c>
      <c r="I10014">
        <v>177</v>
      </c>
      <c r="J10014">
        <v>0</v>
      </c>
      <c r="K10014">
        <v>0</v>
      </c>
      <c r="L10014">
        <v>164</v>
      </c>
      <c r="M10014">
        <v>13</v>
      </c>
      <c r="N10014">
        <v>0</v>
      </c>
      <c r="O10014">
        <v>0</v>
      </c>
    </row>
    <row r="10015" spans="1:15" x14ac:dyDescent="0.25">
      <c r="A10015" t="s">
        <v>942</v>
      </c>
      <c r="B10015" t="s">
        <v>2113</v>
      </c>
      <c r="C10015" t="s">
        <v>927</v>
      </c>
      <c r="D10015" t="s">
        <v>3052</v>
      </c>
      <c r="E10015" t="s">
        <v>3053</v>
      </c>
      <c r="F10015" t="s">
        <v>282</v>
      </c>
      <c r="G10015" t="s">
        <v>3040</v>
      </c>
      <c r="H10015" t="s">
        <v>13398</v>
      </c>
      <c r="I10015">
        <v>3</v>
      </c>
      <c r="J10015">
        <v>0</v>
      </c>
      <c r="K10015">
        <v>0</v>
      </c>
      <c r="L10015">
        <v>0</v>
      </c>
      <c r="M10015">
        <v>0</v>
      </c>
      <c r="N10015">
        <v>0</v>
      </c>
      <c r="O10015">
        <v>3</v>
      </c>
    </row>
    <row r="10016" spans="1:15" x14ac:dyDescent="0.25">
      <c r="A10016" t="s">
        <v>1025</v>
      </c>
      <c r="B10016" t="s">
        <v>2893</v>
      </c>
      <c r="C10016" t="s">
        <v>927</v>
      </c>
      <c r="D10016" t="s">
        <v>3052</v>
      </c>
      <c r="E10016" t="s">
        <v>3053</v>
      </c>
      <c r="F10016" t="s">
        <v>282</v>
      </c>
      <c r="G10016" t="s">
        <v>3040</v>
      </c>
      <c r="H10016" t="s">
        <v>13409</v>
      </c>
      <c r="I10016">
        <v>3</v>
      </c>
      <c r="J10016">
        <v>0</v>
      </c>
      <c r="K10016">
        <v>0</v>
      </c>
      <c r="L10016">
        <v>0</v>
      </c>
      <c r="M10016">
        <v>0</v>
      </c>
      <c r="N10016">
        <v>0</v>
      </c>
      <c r="O10016">
        <v>3</v>
      </c>
    </row>
    <row r="10017" spans="1:15" x14ac:dyDescent="0.25">
      <c r="A10017" t="s">
        <v>1026</v>
      </c>
      <c r="B10017" t="s">
        <v>2848</v>
      </c>
      <c r="C10017" t="s">
        <v>927</v>
      </c>
      <c r="D10017" t="s">
        <v>3052</v>
      </c>
      <c r="E10017" t="s">
        <v>3053</v>
      </c>
      <c r="F10017" t="s">
        <v>282</v>
      </c>
      <c r="G10017" t="s">
        <v>3040</v>
      </c>
      <c r="H10017" t="s">
        <v>13418</v>
      </c>
      <c r="I10017">
        <v>14415</v>
      </c>
      <c r="J10017">
        <v>11498</v>
      </c>
      <c r="K10017">
        <v>0</v>
      </c>
      <c r="L10017">
        <v>106</v>
      </c>
      <c r="M10017">
        <v>729</v>
      </c>
      <c r="N10017">
        <v>35</v>
      </c>
      <c r="O10017">
        <v>2082</v>
      </c>
    </row>
    <row r="10018" spans="1:15" x14ac:dyDescent="0.25">
      <c r="A10018" t="s">
        <v>10681</v>
      </c>
      <c r="B10018" t="s">
        <v>10680</v>
      </c>
      <c r="C10018" t="s">
        <v>927</v>
      </c>
      <c r="D10018" t="s">
        <v>3052</v>
      </c>
      <c r="E10018" t="s">
        <v>3053</v>
      </c>
      <c r="F10018" t="s">
        <v>282</v>
      </c>
      <c r="G10018" t="s">
        <v>3040</v>
      </c>
      <c r="H10018" t="s">
        <v>15506</v>
      </c>
      <c r="I10018">
        <v>377</v>
      </c>
      <c r="J10018">
        <v>0</v>
      </c>
      <c r="K10018">
        <v>0</v>
      </c>
      <c r="L10018">
        <v>0</v>
      </c>
      <c r="M10018">
        <v>0</v>
      </c>
      <c r="N10018">
        <v>0</v>
      </c>
      <c r="O10018">
        <v>377</v>
      </c>
    </row>
    <row r="10019" spans="1:15" x14ac:dyDescent="0.25">
      <c r="A10019" t="s">
        <v>1027</v>
      </c>
      <c r="B10019" t="s">
        <v>2941</v>
      </c>
      <c r="C10019" t="s">
        <v>923</v>
      </c>
      <c r="D10019" t="s">
        <v>3063</v>
      </c>
      <c r="E10019" t="s">
        <v>3053</v>
      </c>
      <c r="F10019" t="s">
        <v>282</v>
      </c>
      <c r="G10019" t="s">
        <v>3040</v>
      </c>
      <c r="H10019" t="s">
        <v>13442</v>
      </c>
      <c r="I10019">
        <v>110</v>
      </c>
      <c r="J10019">
        <v>0</v>
      </c>
      <c r="K10019">
        <v>0</v>
      </c>
      <c r="L10019">
        <v>0</v>
      </c>
      <c r="M10019">
        <v>110</v>
      </c>
      <c r="N10019">
        <v>0</v>
      </c>
      <c r="O10019">
        <v>0</v>
      </c>
    </row>
    <row r="10020" spans="1:15" x14ac:dyDescent="0.25">
      <c r="A10020" t="s">
        <v>1028</v>
      </c>
      <c r="B10020" t="s">
        <v>2682</v>
      </c>
      <c r="C10020" t="s">
        <v>923</v>
      </c>
      <c r="D10020" t="s">
        <v>3063</v>
      </c>
      <c r="E10020" t="s">
        <v>3053</v>
      </c>
      <c r="F10020" t="s">
        <v>282</v>
      </c>
      <c r="G10020" t="s">
        <v>3040</v>
      </c>
      <c r="H10020" t="s">
        <v>13449</v>
      </c>
      <c r="I10020">
        <v>35</v>
      </c>
      <c r="J10020">
        <v>0</v>
      </c>
      <c r="K10020">
        <v>0</v>
      </c>
      <c r="L10020">
        <v>0</v>
      </c>
      <c r="M10020">
        <v>35</v>
      </c>
      <c r="N10020">
        <v>0</v>
      </c>
      <c r="O10020">
        <v>0</v>
      </c>
    </row>
    <row r="10021" spans="1:15" x14ac:dyDescent="0.25">
      <c r="A10021" t="s">
        <v>1029</v>
      </c>
      <c r="B10021" t="s">
        <v>2377</v>
      </c>
      <c r="C10021" t="s">
        <v>923</v>
      </c>
      <c r="D10021" t="s">
        <v>3063</v>
      </c>
      <c r="E10021" t="s">
        <v>3053</v>
      </c>
      <c r="F10021" t="s">
        <v>282</v>
      </c>
      <c r="G10021" t="s">
        <v>3040</v>
      </c>
      <c r="H10021" t="s">
        <v>13454</v>
      </c>
      <c r="I10021">
        <v>117</v>
      </c>
      <c r="J10021">
        <v>117</v>
      </c>
      <c r="K10021">
        <v>0</v>
      </c>
      <c r="L10021">
        <v>0</v>
      </c>
      <c r="M10021">
        <v>0</v>
      </c>
      <c r="N10021">
        <v>0</v>
      </c>
      <c r="O10021">
        <v>0</v>
      </c>
    </row>
    <row r="10022" spans="1:15" x14ac:dyDescent="0.25">
      <c r="A10022" t="s">
        <v>943</v>
      </c>
      <c r="B10022" t="s">
        <v>2694</v>
      </c>
      <c r="C10022" t="s">
        <v>927</v>
      </c>
      <c r="D10022" t="s">
        <v>3052</v>
      </c>
      <c r="E10022" t="s">
        <v>3053</v>
      </c>
      <c r="F10022" t="s">
        <v>282</v>
      </c>
      <c r="G10022" t="s">
        <v>3040</v>
      </c>
      <c r="H10022" t="s">
        <v>13466</v>
      </c>
      <c r="I10022">
        <v>10234</v>
      </c>
      <c r="J10022">
        <v>6916</v>
      </c>
      <c r="K10022">
        <v>0</v>
      </c>
      <c r="L10022">
        <v>248</v>
      </c>
      <c r="M10022">
        <v>2279</v>
      </c>
      <c r="N10022">
        <v>7</v>
      </c>
      <c r="O10022">
        <v>791</v>
      </c>
    </row>
    <row r="10023" spans="1:15" x14ac:dyDescent="0.25">
      <c r="A10023" t="s">
        <v>1030</v>
      </c>
      <c r="B10023" t="s">
        <v>2880</v>
      </c>
      <c r="C10023" t="s">
        <v>927</v>
      </c>
      <c r="D10023" t="s">
        <v>3052</v>
      </c>
      <c r="E10023" t="s">
        <v>3053</v>
      </c>
      <c r="F10023" t="s">
        <v>282</v>
      </c>
      <c r="G10023" t="s">
        <v>3040</v>
      </c>
      <c r="H10023" t="s">
        <v>13474</v>
      </c>
      <c r="I10023">
        <v>3501</v>
      </c>
      <c r="J10023">
        <v>2436</v>
      </c>
      <c r="K10023">
        <v>0</v>
      </c>
      <c r="L10023">
        <v>140</v>
      </c>
      <c r="M10023">
        <v>176</v>
      </c>
      <c r="N10023">
        <v>0</v>
      </c>
      <c r="O10023">
        <v>749</v>
      </c>
    </row>
    <row r="10024" spans="1:15" x14ac:dyDescent="0.25">
      <c r="A10024" t="s">
        <v>1031</v>
      </c>
      <c r="B10024" t="s">
        <v>2779</v>
      </c>
      <c r="C10024" t="s">
        <v>927</v>
      </c>
      <c r="D10024" t="s">
        <v>3052</v>
      </c>
      <c r="E10024" t="s">
        <v>3053</v>
      </c>
      <c r="F10024" t="s">
        <v>282</v>
      </c>
      <c r="G10024" t="s">
        <v>3040</v>
      </c>
      <c r="H10024" t="s">
        <v>13498</v>
      </c>
      <c r="I10024">
        <v>402</v>
      </c>
      <c r="J10024">
        <v>334</v>
      </c>
      <c r="K10024">
        <v>0</v>
      </c>
      <c r="L10024">
        <v>35</v>
      </c>
      <c r="M10024">
        <v>0</v>
      </c>
      <c r="N10024">
        <v>0</v>
      </c>
      <c r="O10024">
        <v>33</v>
      </c>
    </row>
    <row r="10025" spans="1:15" x14ac:dyDescent="0.25">
      <c r="A10025" t="s">
        <v>1032</v>
      </c>
      <c r="B10025" t="s">
        <v>2037</v>
      </c>
      <c r="C10025" t="s">
        <v>923</v>
      </c>
      <c r="D10025" t="s">
        <v>3063</v>
      </c>
      <c r="E10025" t="s">
        <v>3053</v>
      </c>
      <c r="F10025" t="s">
        <v>282</v>
      </c>
      <c r="G10025" t="s">
        <v>3040</v>
      </c>
      <c r="H10025" t="s">
        <v>13509</v>
      </c>
      <c r="I10025">
        <v>12</v>
      </c>
      <c r="J10025">
        <v>0</v>
      </c>
      <c r="K10025">
        <v>0</v>
      </c>
      <c r="L10025">
        <v>12</v>
      </c>
      <c r="M10025">
        <v>0</v>
      </c>
      <c r="N10025">
        <v>0</v>
      </c>
      <c r="O10025">
        <v>0</v>
      </c>
    </row>
    <row r="10026" spans="1:15" x14ac:dyDescent="0.25">
      <c r="A10026" t="s">
        <v>1033</v>
      </c>
      <c r="B10026" t="s">
        <v>2039</v>
      </c>
      <c r="C10026" t="s">
        <v>923</v>
      </c>
      <c r="D10026" t="s">
        <v>3063</v>
      </c>
      <c r="E10026" t="s">
        <v>3053</v>
      </c>
      <c r="F10026" t="s">
        <v>282</v>
      </c>
      <c r="G10026" t="s">
        <v>3040</v>
      </c>
      <c r="H10026" t="s">
        <v>13511</v>
      </c>
      <c r="I10026">
        <v>91</v>
      </c>
      <c r="J10026">
        <v>0</v>
      </c>
      <c r="K10026">
        <v>0</v>
      </c>
      <c r="L10026">
        <v>91</v>
      </c>
      <c r="M10026">
        <v>0</v>
      </c>
      <c r="N10026">
        <v>0</v>
      </c>
      <c r="O10026">
        <v>0</v>
      </c>
    </row>
    <row r="10027" spans="1:15" x14ac:dyDescent="0.25">
      <c r="A10027" t="s">
        <v>1034</v>
      </c>
      <c r="B10027" t="s">
        <v>2708</v>
      </c>
      <c r="C10027" t="s">
        <v>923</v>
      </c>
      <c r="D10027" t="s">
        <v>3063</v>
      </c>
      <c r="E10027" t="s">
        <v>3053</v>
      </c>
      <c r="F10027" t="s">
        <v>282</v>
      </c>
      <c r="G10027" t="s">
        <v>3040</v>
      </c>
      <c r="H10027" t="s">
        <v>13532</v>
      </c>
      <c r="I10027">
        <v>28</v>
      </c>
      <c r="J10027">
        <v>0</v>
      </c>
      <c r="K10027">
        <v>0</v>
      </c>
      <c r="L10027">
        <v>0</v>
      </c>
      <c r="M10027">
        <v>28</v>
      </c>
      <c r="N10027">
        <v>0</v>
      </c>
      <c r="O10027">
        <v>0</v>
      </c>
    </row>
    <row r="10028" spans="1:15" x14ac:dyDescent="0.25">
      <c r="A10028" t="s">
        <v>1035</v>
      </c>
      <c r="B10028" t="s">
        <v>2819</v>
      </c>
      <c r="C10028" t="s">
        <v>923</v>
      </c>
      <c r="D10028" t="s">
        <v>3063</v>
      </c>
      <c r="E10028" t="s">
        <v>3053</v>
      </c>
      <c r="F10028" t="s">
        <v>282</v>
      </c>
      <c r="G10028" t="s">
        <v>3040</v>
      </c>
      <c r="H10028" t="s">
        <v>13542</v>
      </c>
      <c r="I10028">
        <v>354</v>
      </c>
      <c r="J10028">
        <v>354</v>
      </c>
      <c r="K10028">
        <v>0</v>
      </c>
      <c r="L10028">
        <v>0</v>
      </c>
      <c r="M10028">
        <v>0</v>
      </c>
      <c r="N10028">
        <v>1</v>
      </c>
      <c r="O10028">
        <v>0</v>
      </c>
    </row>
    <row r="10029" spans="1:15" x14ac:dyDescent="0.25">
      <c r="A10029" t="s">
        <v>1036</v>
      </c>
      <c r="B10029" t="s">
        <v>1966</v>
      </c>
      <c r="C10029" t="s">
        <v>923</v>
      </c>
      <c r="D10029" t="s">
        <v>3063</v>
      </c>
      <c r="E10029" t="s">
        <v>3053</v>
      </c>
      <c r="F10029" t="s">
        <v>282</v>
      </c>
      <c r="G10029" t="s">
        <v>3040</v>
      </c>
      <c r="H10029" t="s">
        <v>13545</v>
      </c>
      <c r="I10029">
        <v>20</v>
      </c>
      <c r="J10029">
        <v>0</v>
      </c>
      <c r="K10029">
        <v>0</v>
      </c>
      <c r="L10029">
        <v>20</v>
      </c>
      <c r="M10029">
        <v>0</v>
      </c>
      <c r="N10029">
        <v>0</v>
      </c>
      <c r="O10029">
        <v>0</v>
      </c>
    </row>
    <row r="10030" spans="1:15" x14ac:dyDescent="0.25">
      <c r="A10030" t="s">
        <v>1037</v>
      </c>
      <c r="B10030" t="s">
        <v>2103</v>
      </c>
      <c r="C10030" t="s">
        <v>923</v>
      </c>
      <c r="D10030" t="s">
        <v>3063</v>
      </c>
      <c r="E10030" t="s">
        <v>3053</v>
      </c>
      <c r="F10030" t="s">
        <v>282</v>
      </c>
      <c r="G10030" t="s">
        <v>3040</v>
      </c>
      <c r="H10030" t="s">
        <v>13558</v>
      </c>
      <c r="I10030">
        <v>50</v>
      </c>
      <c r="J10030">
        <v>31</v>
      </c>
      <c r="K10030">
        <v>0</v>
      </c>
      <c r="L10030">
        <v>19</v>
      </c>
      <c r="M10030">
        <v>0</v>
      </c>
      <c r="N10030">
        <v>0</v>
      </c>
      <c r="O10030">
        <v>0</v>
      </c>
    </row>
    <row r="10031" spans="1:15" x14ac:dyDescent="0.25">
      <c r="A10031" t="s">
        <v>1038</v>
      </c>
      <c r="B10031" t="s">
        <v>2068</v>
      </c>
      <c r="C10031" t="s">
        <v>927</v>
      </c>
      <c r="D10031" t="s">
        <v>3052</v>
      </c>
      <c r="E10031" t="s">
        <v>3053</v>
      </c>
      <c r="F10031" t="s">
        <v>282</v>
      </c>
      <c r="G10031" t="s">
        <v>3040</v>
      </c>
      <c r="H10031" t="s">
        <v>13559</v>
      </c>
      <c r="I10031">
        <v>10157</v>
      </c>
      <c r="J10031">
        <v>7794</v>
      </c>
      <c r="K10031">
        <v>0</v>
      </c>
      <c r="L10031">
        <v>682</v>
      </c>
      <c r="M10031">
        <v>350</v>
      </c>
      <c r="N10031">
        <v>1</v>
      </c>
      <c r="O10031">
        <v>1331</v>
      </c>
    </row>
    <row r="10032" spans="1:15" x14ac:dyDescent="0.25">
      <c r="A10032" t="s">
        <v>1039</v>
      </c>
      <c r="B10032" t="s">
        <v>2885</v>
      </c>
      <c r="C10032" t="s">
        <v>927</v>
      </c>
      <c r="D10032" t="s">
        <v>3052</v>
      </c>
      <c r="E10032" t="s">
        <v>3053</v>
      </c>
      <c r="F10032" t="s">
        <v>282</v>
      </c>
      <c r="G10032" t="s">
        <v>3040</v>
      </c>
      <c r="H10032" t="s">
        <v>13586</v>
      </c>
      <c r="I10032">
        <v>375</v>
      </c>
      <c r="J10032">
        <v>307</v>
      </c>
      <c r="K10032">
        <v>0</v>
      </c>
      <c r="L10032">
        <v>24</v>
      </c>
      <c r="M10032">
        <v>0</v>
      </c>
      <c r="N10032">
        <v>8</v>
      </c>
      <c r="O10032">
        <v>44</v>
      </c>
    </row>
    <row r="10033" spans="1:15" x14ac:dyDescent="0.25">
      <c r="A10033" t="s">
        <v>1521</v>
      </c>
      <c r="B10033" t="s">
        <v>2920</v>
      </c>
      <c r="C10033" t="s">
        <v>927</v>
      </c>
      <c r="D10033" t="s">
        <v>3052</v>
      </c>
      <c r="E10033" t="s">
        <v>3053</v>
      </c>
      <c r="F10033" t="s">
        <v>282</v>
      </c>
      <c r="G10033" t="s">
        <v>3040</v>
      </c>
      <c r="H10033" t="s">
        <v>13588</v>
      </c>
      <c r="I10033">
        <v>4</v>
      </c>
      <c r="J10033">
        <v>0</v>
      </c>
      <c r="K10033">
        <v>0</v>
      </c>
      <c r="L10033">
        <v>4</v>
      </c>
      <c r="M10033">
        <v>0</v>
      </c>
      <c r="N10033">
        <v>0</v>
      </c>
      <c r="O10033">
        <v>0</v>
      </c>
    </row>
    <row r="10034" spans="1:15" x14ac:dyDescent="0.25">
      <c r="A10034" t="s">
        <v>1041</v>
      </c>
      <c r="B10034" t="s">
        <v>2826</v>
      </c>
      <c r="C10034" t="s">
        <v>927</v>
      </c>
      <c r="D10034" t="s">
        <v>3052</v>
      </c>
      <c r="E10034" t="s">
        <v>3053</v>
      </c>
      <c r="F10034" t="s">
        <v>282</v>
      </c>
      <c r="G10034" t="s">
        <v>3040</v>
      </c>
      <c r="H10034" t="s">
        <v>13590</v>
      </c>
      <c r="I10034">
        <v>640</v>
      </c>
      <c r="J10034">
        <v>34</v>
      </c>
      <c r="K10034">
        <v>0</v>
      </c>
      <c r="L10034">
        <v>0</v>
      </c>
      <c r="M10034">
        <v>0</v>
      </c>
      <c r="N10034">
        <v>0</v>
      </c>
      <c r="O10034">
        <v>606</v>
      </c>
    </row>
    <row r="10035" spans="1:15" x14ac:dyDescent="0.25">
      <c r="A10035" t="s">
        <v>9787</v>
      </c>
      <c r="B10035" t="s">
        <v>2822</v>
      </c>
      <c r="C10035" t="s">
        <v>927</v>
      </c>
      <c r="D10035" t="s">
        <v>3052</v>
      </c>
      <c r="E10035" t="s">
        <v>3053</v>
      </c>
      <c r="F10035" t="s">
        <v>282</v>
      </c>
      <c r="G10035" t="s">
        <v>3040</v>
      </c>
      <c r="H10035" t="s">
        <v>13595</v>
      </c>
      <c r="I10035">
        <v>3535</v>
      </c>
      <c r="J10035">
        <v>3278</v>
      </c>
      <c r="K10035">
        <v>0</v>
      </c>
      <c r="L10035">
        <v>96</v>
      </c>
      <c r="M10035">
        <v>157</v>
      </c>
      <c r="N10035">
        <v>7</v>
      </c>
      <c r="O10035">
        <v>4</v>
      </c>
    </row>
    <row r="10036" spans="1:15" x14ac:dyDescent="0.25">
      <c r="A10036" t="s">
        <v>1042</v>
      </c>
      <c r="B10036" t="s">
        <v>2115</v>
      </c>
      <c r="C10036" t="s">
        <v>923</v>
      </c>
      <c r="D10036" t="s">
        <v>3063</v>
      </c>
      <c r="E10036" t="s">
        <v>3053</v>
      </c>
      <c r="F10036" t="s">
        <v>282</v>
      </c>
      <c r="G10036" t="s">
        <v>3040</v>
      </c>
      <c r="H10036" t="s">
        <v>13612</v>
      </c>
      <c r="I10036">
        <v>90</v>
      </c>
      <c r="J10036">
        <v>0</v>
      </c>
      <c r="K10036">
        <v>0</v>
      </c>
      <c r="L10036">
        <v>90</v>
      </c>
      <c r="M10036">
        <v>0</v>
      </c>
      <c r="N10036">
        <v>0</v>
      </c>
      <c r="O10036">
        <v>0</v>
      </c>
    </row>
    <row r="10037" spans="1:15" x14ac:dyDescent="0.25">
      <c r="A10037" t="s">
        <v>1043</v>
      </c>
      <c r="B10037" t="s">
        <v>2090</v>
      </c>
      <c r="C10037" t="s">
        <v>927</v>
      </c>
      <c r="D10037" t="s">
        <v>3052</v>
      </c>
      <c r="E10037" t="s">
        <v>3053</v>
      </c>
      <c r="F10037" t="s">
        <v>282</v>
      </c>
      <c r="G10037" t="s">
        <v>3040</v>
      </c>
      <c r="H10037" t="s">
        <v>13622</v>
      </c>
      <c r="I10037">
        <v>7992</v>
      </c>
      <c r="J10037">
        <v>6544</v>
      </c>
      <c r="K10037">
        <v>0</v>
      </c>
      <c r="L10037">
        <v>404</v>
      </c>
      <c r="M10037">
        <v>746</v>
      </c>
      <c r="N10037">
        <v>0</v>
      </c>
      <c r="O10037">
        <v>298</v>
      </c>
    </row>
    <row r="10038" spans="1:15" x14ac:dyDescent="0.25">
      <c r="A10038" t="s">
        <v>1044</v>
      </c>
      <c r="B10038" t="s">
        <v>2000</v>
      </c>
      <c r="C10038" t="s">
        <v>923</v>
      </c>
      <c r="D10038" t="s">
        <v>3063</v>
      </c>
      <c r="E10038" t="s">
        <v>3053</v>
      </c>
      <c r="F10038" t="s">
        <v>282</v>
      </c>
      <c r="G10038" t="s">
        <v>3040</v>
      </c>
      <c r="H10038" t="s">
        <v>13628</v>
      </c>
      <c r="I10038">
        <v>61</v>
      </c>
      <c r="J10038">
        <v>0</v>
      </c>
      <c r="K10038">
        <v>0</v>
      </c>
      <c r="L10038">
        <v>61</v>
      </c>
      <c r="M10038">
        <v>0</v>
      </c>
      <c r="N10038">
        <v>0</v>
      </c>
      <c r="O10038">
        <v>0</v>
      </c>
    </row>
    <row r="10039" spans="1:15" x14ac:dyDescent="0.25">
      <c r="A10039" t="s">
        <v>1144</v>
      </c>
      <c r="B10039" t="s">
        <v>2124</v>
      </c>
      <c r="C10039" t="s">
        <v>923</v>
      </c>
      <c r="D10039" t="s">
        <v>3063</v>
      </c>
      <c r="E10039" t="s">
        <v>3053</v>
      </c>
      <c r="F10039" t="s">
        <v>282</v>
      </c>
      <c r="G10039" t="s">
        <v>3040</v>
      </c>
      <c r="H10039" t="s">
        <v>13636</v>
      </c>
      <c r="I10039">
        <v>21</v>
      </c>
      <c r="J10039">
        <v>21</v>
      </c>
      <c r="K10039">
        <v>0</v>
      </c>
      <c r="L10039">
        <v>0</v>
      </c>
      <c r="M10039">
        <v>0</v>
      </c>
      <c r="N10039">
        <v>0</v>
      </c>
      <c r="O10039">
        <v>0</v>
      </c>
    </row>
    <row r="10040" spans="1:15" x14ac:dyDescent="0.25">
      <c r="A10040" t="s">
        <v>1045</v>
      </c>
      <c r="B10040" t="s">
        <v>2250</v>
      </c>
      <c r="C10040" t="s">
        <v>923</v>
      </c>
      <c r="D10040" t="s">
        <v>3063</v>
      </c>
      <c r="E10040" t="s">
        <v>3053</v>
      </c>
      <c r="F10040" t="s">
        <v>282</v>
      </c>
      <c r="G10040" t="s">
        <v>3040</v>
      </c>
      <c r="H10040" t="s">
        <v>13642</v>
      </c>
      <c r="I10040">
        <v>8</v>
      </c>
      <c r="J10040">
        <v>0</v>
      </c>
      <c r="K10040">
        <v>0</v>
      </c>
      <c r="L10040">
        <v>0</v>
      </c>
      <c r="M10040">
        <v>8</v>
      </c>
      <c r="N10040">
        <v>0</v>
      </c>
      <c r="O10040">
        <v>0</v>
      </c>
    </row>
    <row r="10041" spans="1:15" x14ac:dyDescent="0.25">
      <c r="A10041" t="s">
        <v>1046</v>
      </c>
      <c r="B10041" t="s">
        <v>2027</v>
      </c>
      <c r="C10041" t="s">
        <v>923</v>
      </c>
      <c r="D10041" t="s">
        <v>3063</v>
      </c>
      <c r="E10041" t="s">
        <v>3053</v>
      </c>
      <c r="F10041" t="s">
        <v>282</v>
      </c>
      <c r="G10041" t="s">
        <v>3040</v>
      </c>
      <c r="H10041" t="s">
        <v>13643</v>
      </c>
      <c r="I10041">
        <v>57</v>
      </c>
      <c r="J10041">
        <v>0</v>
      </c>
      <c r="K10041">
        <v>0</v>
      </c>
      <c r="L10041">
        <v>57</v>
      </c>
      <c r="M10041">
        <v>0</v>
      </c>
      <c r="N10041">
        <v>0</v>
      </c>
      <c r="O10041">
        <v>0</v>
      </c>
    </row>
    <row r="10042" spans="1:15" x14ac:dyDescent="0.25">
      <c r="A10042" t="s">
        <v>1146</v>
      </c>
      <c r="B10042" t="s">
        <v>2117</v>
      </c>
      <c r="C10042" t="s">
        <v>927</v>
      </c>
      <c r="D10042" t="s">
        <v>3052</v>
      </c>
      <c r="E10042" t="s">
        <v>3053</v>
      </c>
      <c r="F10042" t="s">
        <v>282</v>
      </c>
      <c r="G10042" t="s">
        <v>3040</v>
      </c>
      <c r="H10042" t="s">
        <v>15507</v>
      </c>
      <c r="I10042">
        <v>92</v>
      </c>
      <c r="J10042">
        <v>47</v>
      </c>
      <c r="K10042">
        <v>0</v>
      </c>
      <c r="L10042">
        <v>0</v>
      </c>
      <c r="M10042">
        <v>0</v>
      </c>
      <c r="N10042">
        <v>0</v>
      </c>
      <c r="O10042">
        <v>45</v>
      </c>
    </row>
    <row r="10043" spans="1:15" x14ac:dyDescent="0.25">
      <c r="A10043" t="s">
        <v>1047</v>
      </c>
      <c r="B10043" t="s">
        <v>2815</v>
      </c>
      <c r="C10043" t="s">
        <v>923</v>
      </c>
      <c r="D10043" t="s">
        <v>3063</v>
      </c>
      <c r="E10043" t="s">
        <v>3053</v>
      </c>
      <c r="F10043" t="s">
        <v>282</v>
      </c>
      <c r="G10043" t="s">
        <v>3040</v>
      </c>
      <c r="H10043" t="s">
        <v>13655</v>
      </c>
      <c r="I10043">
        <v>139</v>
      </c>
      <c r="J10043">
        <v>139</v>
      </c>
      <c r="K10043">
        <v>0</v>
      </c>
      <c r="L10043">
        <v>0</v>
      </c>
      <c r="M10043">
        <v>0</v>
      </c>
      <c r="N10043">
        <v>14</v>
      </c>
      <c r="O10043">
        <v>0</v>
      </c>
    </row>
    <row r="10044" spans="1:15" x14ac:dyDescent="0.25">
      <c r="A10044" t="s">
        <v>1906</v>
      </c>
      <c r="B10044" t="s">
        <v>1983</v>
      </c>
      <c r="C10044" t="s">
        <v>923</v>
      </c>
      <c r="D10044" t="s">
        <v>3063</v>
      </c>
      <c r="E10044" t="s">
        <v>3053</v>
      </c>
      <c r="F10044" t="s">
        <v>282</v>
      </c>
      <c r="G10044" t="s">
        <v>3040</v>
      </c>
      <c r="H10044" t="s">
        <v>15508</v>
      </c>
      <c r="I10044">
        <v>9</v>
      </c>
      <c r="J10044">
        <v>9</v>
      </c>
      <c r="K10044">
        <v>0</v>
      </c>
      <c r="L10044">
        <v>0</v>
      </c>
      <c r="M10044">
        <v>0</v>
      </c>
      <c r="N10044">
        <v>0</v>
      </c>
      <c r="O10044">
        <v>0</v>
      </c>
    </row>
    <row r="10045" spans="1:15" x14ac:dyDescent="0.25">
      <c r="A10045" t="s">
        <v>951</v>
      </c>
      <c r="B10045" t="s">
        <v>2680</v>
      </c>
      <c r="C10045" t="s">
        <v>927</v>
      </c>
      <c r="D10045" t="s">
        <v>3052</v>
      </c>
      <c r="E10045" t="s">
        <v>3053</v>
      </c>
      <c r="F10045" t="s">
        <v>282</v>
      </c>
      <c r="G10045" t="s">
        <v>3040</v>
      </c>
      <c r="H10045" t="s">
        <v>13683</v>
      </c>
      <c r="I10045">
        <v>3093</v>
      </c>
      <c r="J10045">
        <v>2775</v>
      </c>
      <c r="K10045">
        <v>0</v>
      </c>
      <c r="L10045">
        <v>110</v>
      </c>
      <c r="M10045">
        <v>78</v>
      </c>
      <c r="N10045">
        <v>8</v>
      </c>
      <c r="O10045">
        <v>130</v>
      </c>
    </row>
    <row r="10046" spans="1:15" x14ac:dyDescent="0.25">
      <c r="A10046" t="s">
        <v>1048</v>
      </c>
      <c r="B10046" t="s">
        <v>2989</v>
      </c>
      <c r="C10046" t="s">
        <v>927</v>
      </c>
      <c r="D10046" t="s">
        <v>3052</v>
      </c>
      <c r="E10046" t="s">
        <v>3053</v>
      </c>
      <c r="F10046" t="s">
        <v>282</v>
      </c>
      <c r="G10046" t="s">
        <v>3040</v>
      </c>
      <c r="H10046" t="s">
        <v>13692</v>
      </c>
      <c r="I10046">
        <v>7343</v>
      </c>
      <c r="J10046">
        <v>5705</v>
      </c>
      <c r="K10046">
        <v>252</v>
      </c>
      <c r="L10046">
        <v>256</v>
      </c>
      <c r="M10046">
        <v>768</v>
      </c>
      <c r="N10046">
        <v>1</v>
      </c>
      <c r="O10046">
        <v>362</v>
      </c>
    </row>
    <row r="10047" spans="1:15" x14ac:dyDescent="0.25">
      <c r="A10047" t="s">
        <v>1049</v>
      </c>
      <c r="B10047" t="s">
        <v>2138</v>
      </c>
      <c r="C10047" t="s">
        <v>927</v>
      </c>
      <c r="D10047" t="s">
        <v>3052</v>
      </c>
      <c r="E10047" t="s">
        <v>3053</v>
      </c>
      <c r="F10047" t="s">
        <v>282</v>
      </c>
      <c r="G10047" t="s">
        <v>3040</v>
      </c>
      <c r="H10047" t="s">
        <v>13702</v>
      </c>
      <c r="I10047">
        <v>21067</v>
      </c>
      <c r="J10047">
        <v>17214</v>
      </c>
      <c r="K10047">
        <v>0</v>
      </c>
      <c r="L10047">
        <v>130</v>
      </c>
      <c r="M10047">
        <v>951</v>
      </c>
      <c r="N10047">
        <v>0</v>
      </c>
      <c r="O10047">
        <v>2772</v>
      </c>
    </row>
    <row r="10048" spans="1:15" x14ac:dyDescent="0.25">
      <c r="A10048" t="s">
        <v>1050</v>
      </c>
      <c r="B10048" t="s">
        <v>2018</v>
      </c>
      <c r="C10048" t="s">
        <v>923</v>
      </c>
      <c r="D10048" t="s">
        <v>3063</v>
      </c>
      <c r="E10048" t="s">
        <v>3053</v>
      </c>
      <c r="F10048" t="s">
        <v>282</v>
      </c>
      <c r="G10048" t="s">
        <v>3040</v>
      </c>
      <c r="H10048" t="s">
        <v>13708</v>
      </c>
      <c r="I10048">
        <v>7</v>
      </c>
      <c r="J10048">
        <v>7</v>
      </c>
      <c r="K10048">
        <v>0</v>
      </c>
      <c r="L10048">
        <v>0</v>
      </c>
      <c r="M10048">
        <v>0</v>
      </c>
      <c r="N10048">
        <v>0</v>
      </c>
      <c r="O10048">
        <v>0</v>
      </c>
    </row>
    <row r="10049" spans="1:15" x14ac:dyDescent="0.25">
      <c r="A10049" t="s">
        <v>1051</v>
      </c>
      <c r="B10049" t="s">
        <v>2995</v>
      </c>
      <c r="C10049" t="s">
        <v>927</v>
      </c>
      <c r="D10049" t="s">
        <v>3052</v>
      </c>
      <c r="E10049" t="s">
        <v>3053</v>
      </c>
      <c r="F10049" t="s">
        <v>282</v>
      </c>
      <c r="G10049" t="s">
        <v>3040</v>
      </c>
      <c r="H10049" t="s">
        <v>13727</v>
      </c>
      <c r="I10049">
        <v>656</v>
      </c>
      <c r="J10049">
        <v>0</v>
      </c>
      <c r="K10049">
        <v>0</v>
      </c>
      <c r="L10049">
        <v>656</v>
      </c>
      <c r="M10049">
        <v>0</v>
      </c>
      <c r="N10049">
        <v>3</v>
      </c>
      <c r="O10049">
        <v>0</v>
      </c>
    </row>
    <row r="10050" spans="1:15" x14ac:dyDescent="0.25">
      <c r="A10050" t="s">
        <v>11661</v>
      </c>
      <c r="B10050" t="s">
        <v>11764</v>
      </c>
      <c r="C10050" t="s">
        <v>923</v>
      </c>
      <c r="D10050" t="s">
        <v>3063</v>
      </c>
      <c r="E10050" t="s">
        <v>3053</v>
      </c>
      <c r="F10050" t="s">
        <v>282</v>
      </c>
      <c r="G10050" t="s">
        <v>3040</v>
      </c>
      <c r="H10050" t="s">
        <v>13738</v>
      </c>
      <c r="I10050">
        <v>12</v>
      </c>
      <c r="J10050">
        <v>12</v>
      </c>
      <c r="K10050">
        <v>0</v>
      </c>
      <c r="L10050">
        <v>0</v>
      </c>
      <c r="M10050">
        <v>0</v>
      </c>
      <c r="N10050">
        <v>0</v>
      </c>
      <c r="O10050">
        <v>0</v>
      </c>
    </row>
    <row r="10051" spans="1:15" x14ac:dyDescent="0.25">
      <c r="A10051" t="s">
        <v>953</v>
      </c>
      <c r="B10051" t="s">
        <v>2014</v>
      </c>
      <c r="C10051" t="s">
        <v>927</v>
      </c>
      <c r="D10051" t="s">
        <v>3052</v>
      </c>
      <c r="E10051" t="s">
        <v>3053</v>
      </c>
      <c r="F10051" t="s">
        <v>282</v>
      </c>
      <c r="G10051" t="s">
        <v>3040</v>
      </c>
      <c r="H10051" t="s">
        <v>13761</v>
      </c>
      <c r="I10051">
        <v>67</v>
      </c>
      <c r="J10051">
        <v>0</v>
      </c>
      <c r="K10051">
        <v>0</v>
      </c>
      <c r="L10051">
        <v>67</v>
      </c>
      <c r="M10051">
        <v>0</v>
      </c>
      <c r="N10051">
        <v>0</v>
      </c>
      <c r="O10051">
        <v>0</v>
      </c>
    </row>
    <row r="10052" spans="1:15" x14ac:dyDescent="0.25">
      <c r="A10052" t="s">
        <v>1053</v>
      </c>
      <c r="B10052" t="s">
        <v>2860</v>
      </c>
      <c r="C10052" t="s">
        <v>923</v>
      </c>
      <c r="D10052" t="s">
        <v>3063</v>
      </c>
      <c r="E10052" t="s">
        <v>3053</v>
      </c>
      <c r="F10052" t="s">
        <v>282</v>
      </c>
      <c r="G10052" t="s">
        <v>3040</v>
      </c>
      <c r="H10052" t="s">
        <v>13771</v>
      </c>
      <c r="I10052">
        <v>122</v>
      </c>
      <c r="J10052">
        <v>0</v>
      </c>
      <c r="K10052">
        <v>0</v>
      </c>
      <c r="L10052">
        <v>0</v>
      </c>
      <c r="M10052">
        <v>122</v>
      </c>
      <c r="N10052">
        <v>0</v>
      </c>
      <c r="O10052">
        <v>0</v>
      </c>
    </row>
    <row r="10053" spans="1:15" x14ac:dyDescent="0.25">
      <c r="A10053" t="s">
        <v>1054</v>
      </c>
      <c r="B10053" t="s">
        <v>2408</v>
      </c>
      <c r="C10053" t="s">
        <v>923</v>
      </c>
      <c r="D10053" t="s">
        <v>3063</v>
      </c>
      <c r="E10053" t="s">
        <v>3053</v>
      </c>
      <c r="F10053" t="s">
        <v>282</v>
      </c>
      <c r="G10053" t="s">
        <v>3040</v>
      </c>
      <c r="H10053" t="s">
        <v>13788</v>
      </c>
      <c r="I10053">
        <v>121</v>
      </c>
      <c r="J10053">
        <v>121</v>
      </c>
      <c r="K10053">
        <v>0</v>
      </c>
      <c r="L10053">
        <v>0</v>
      </c>
      <c r="M10053">
        <v>0</v>
      </c>
      <c r="N10053">
        <v>0</v>
      </c>
      <c r="O10053">
        <v>0</v>
      </c>
    </row>
    <row r="10054" spans="1:15" x14ac:dyDescent="0.25">
      <c r="A10054" t="s">
        <v>1055</v>
      </c>
      <c r="B10054" t="s">
        <v>1935</v>
      </c>
      <c r="C10054" t="s">
        <v>923</v>
      </c>
      <c r="D10054" t="s">
        <v>3063</v>
      </c>
      <c r="E10054" t="s">
        <v>3053</v>
      </c>
      <c r="F10054" t="s">
        <v>282</v>
      </c>
      <c r="G10054" t="s">
        <v>3040</v>
      </c>
      <c r="H10054" t="s">
        <v>13793</v>
      </c>
      <c r="I10054">
        <v>132</v>
      </c>
      <c r="J10054">
        <v>132</v>
      </c>
      <c r="K10054">
        <v>0</v>
      </c>
      <c r="L10054">
        <v>0</v>
      </c>
      <c r="M10054">
        <v>0</v>
      </c>
      <c r="N10054">
        <v>1</v>
      </c>
      <c r="O10054">
        <v>0</v>
      </c>
    </row>
    <row r="10055" spans="1:15" x14ac:dyDescent="0.25">
      <c r="A10055" t="s">
        <v>11720</v>
      </c>
      <c r="B10055" t="s">
        <v>10718</v>
      </c>
      <c r="C10055" t="s">
        <v>927</v>
      </c>
      <c r="D10055" t="s">
        <v>3052</v>
      </c>
      <c r="E10055" t="s">
        <v>3053</v>
      </c>
      <c r="F10055" t="s">
        <v>282</v>
      </c>
      <c r="G10055" t="s">
        <v>3040</v>
      </c>
      <c r="H10055" t="s">
        <v>15509</v>
      </c>
      <c r="I10055">
        <v>755</v>
      </c>
      <c r="J10055">
        <v>300</v>
      </c>
      <c r="K10055">
        <v>0</v>
      </c>
      <c r="L10055">
        <v>0</v>
      </c>
      <c r="M10055">
        <v>0</v>
      </c>
      <c r="N10055">
        <v>0</v>
      </c>
      <c r="O10055">
        <v>455</v>
      </c>
    </row>
    <row r="10056" spans="1:15" x14ac:dyDescent="0.25">
      <c r="A10056" t="s">
        <v>9788</v>
      </c>
      <c r="B10056" t="s">
        <v>9871</v>
      </c>
      <c r="C10056" t="s">
        <v>927</v>
      </c>
      <c r="D10056" t="s">
        <v>3052</v>
      </c>
      <c r="E10056" t="s">
        <v>3053</v>
      </c>
      <c r="F10056" t="s">
        <v>282</v>
      </c>
      <c r="G10056" t="s">
        <v>3040</v>
      </c>
      <c r="H10056" t="s">
        <v>13796</v>
      </c>
      <c r="I10056">
        <v>900</v>
      </c>
      <c r="J10056">
        <v>900</v>
      </c>
      <c r="K10056">
        <v>0</v>
      </c>
      <c r="L10056">
        <v>0</v>
      </c>
      <c r="M10056">
        <v>0</v>
      </c>
      <c r="N10056">
        <v>0</v>
      </c>
      <c r="O10056">
        <v>0</v>
      </c>
    </row>
    <row r="10057" spans="1:15" x14ac:dyDescent="0.25">
      <c r="A10057" t="s">
        <v>1056</v>
      </c>
      <c r="B10057" t="s">
        <v>2966</v>
      </c>
      <c r="C10057" t="s">
        <v>927</v>
      </c>
      <c r="D10057" t="s">
        <v>3052</v>
      </c>
      <c r="E10057" t="s">
        <v>3053</v>
      </c>
      <c r="F10057" t="s">
        <v>282</v>
      </c>
      <c r="G10057" t="s">
        <v>3040</v>
      </c>
      <c r="H10057" t="s">
        <v>13806</v>
      </c>
      <c r="I10057">
        <v>171</v>
      </c>
      <c r="J10057">
        <v>123</v>
      </c>
      <c r="K10057">
        <v>0</v>
      </c>
      <c r="L10057">
        <v>30</v>
      </c>
      <c r="M10057">
        <v>18</v>
      </c>
      <c r="N10057">
        <v>0</v>
      </c>
      <c r="O10057">
        <v>0</v>
      </c>
    </row>
    <row r="10058" spans="1:15" x14ac:dyDescent="0.25">
      <c r="A10058" t="s">
        <v>1057</v>
      </c>
      <c r="B10058" t="s">
        <v>1972</v>
      </c>
      <c r="C10058" t="s">
        <v>927</v>
      </c>
      <c r="D10058" t="s">
        <v>3052</v>
      </c>
      <c r="E10058" t="s">
        <v>3053</v>
      </c>
      <c r="F10058" t="s">
        <v>282</v>
      </c>
      <c r="G10058" t="s">
        <v>3040</v>
      </c>
      <c r="H10058" t="s">
        <v>13816</v>
      </c>
      <c r="I10058">
        <v>110</v>
      </c>
      <c r="J10058">
        <v>79</v>
      </c>
      <c r="K10058">
        <v>0</v>
      </c>
      <c r="L10058">
        <v>0</v>
      </c>
      <c r="M10058">
        <v>0</v>
      </c>
      <c r="N10058">
        <v>0</v>
      </c>
      <c r="O10058">
        <v>31</v>
      </c>
    </row>
    <row r="10059" spans="1:15" x14ac:dyDescent="0.25">
      <c r="A10059" t="s">
        <v>955</v>
      </c>
      <c r="B10059" t="s">
        <v>2660</v>
      </c>
      <c r="C10059" t="s">
        <v>927</v>
      </c>
      <c r="D10059" t="s">
        <v>3052</v>
      </c>
      <c r="E10059" t="s">
        <v>3053</v>
      </c>
      <c r="F10059" t="s">
        <v>282</v>
      </c>
      <c r="G10059" t="s">
        <v>3040</v>
      </c>
      <c r="H10059" t="s">
        <v>13825</v>
      </c>
      <c r="I10059">
        <v>1028</v>
      </c>
      <c r="J10059">
        <v>766</v>
      </c>
      <c r="K10059">
        <v>0</v>
      </c>
      <c r="L10059">
        <v>75</v>
      </c>
      <c r="M10059">
        <v>148</v>
      </c>
      <c r="N10059">
        <v>11</v>
      </c>
      <c r="O10059">
        <v>39</v>
      </c>
    </row>
    <row r="10060" spans="1:15" x14ac:dyDescent="0.25">
      <c r="A10060" t="s">
        <v>1058</v>
      </c>
      <c r="B10060" t="s">
        <v>2183</v>
      </c>
      <c r="C10060" t="s">
        <v>923</v>
      </c>
      <c r="D10060" t="s">
        <v>3063</v>
      </c>
      <c r="E10060" t="s">
        <v>3053</v>
      </c>
      <c r="F10060" t="s">
        <v>282</v>
      </c>
      <c r="G10060" t="s">
        <v>3040</v>
      </c>
      <c r="H10060" t="s">
        <v>13847</v>
      </c>
      <c r="I10060">
        <v>8</v>
      </c>
      <c r="J10060">
        <v>0</v>
      </c>
      <c r="K10060">
        <v>0</v>
      </c>
      <c r="L10060">
        <v>0</v>
      </c>
      <c r="M10060">
        <v>8</v>
      </c>
      <c r="N10060">
        <v>0</v>
      </c>
      <c r="O10060">
        <v>0</v>
      </c>
    </row>
    <row r="10061" spans="1:15" x14ac:dyDescent="0.25">
      <c r="A10061" t="s">
        <v>1059</v>
      </c>
      <c r="B10061" t="s">
        <v>2064</v>
      </c>
      <c r="C10061" t="s">
        <v>923</v>
      </c>
      <c r="D10061" t="s">
        <v>3063</v>
      </c>
      <c r="E10061" t="s">
        <v>3053</v>
      </c>
      <c r="F10061" t="s">
        <v>282</v>
      </c>
      <c r="G10061" t="s">
        <v>3040</v>
      </c>
      <c r="H10061" t="s">
        <v>13871</v>
      </c>
      <c r="I10061">
        <v>3</v>
      </c>
      <c r="J10061">
        <v>3</v>
      </c>
      <c r="K10061">
        <v>0</v>
      </c>
      <c r="L10061">
        <v>0</v>
      </c>
      <c r="M10061">
        <v>0</v>
      </c>
      <c r="N10061">
        <v>0</v>
      </c>
      <c r="O10061">
        <v>0</v>
      </c>
    </row>
    <row r="10062" spans="1:15" x14ac:dyDescent="0.25">
      <c r="A10062" t="s">
        <v>11662</v>
      </c>
      <c r="B10062" t="s">
        <v>11767</v>
      </c>
      <c r="C10062" t="s">
        <v>923</v>
      </c>
      <c r="D10062" t="s">
        <v>3063</v>
      </c>
      <c r="E10062" t="s">
        <v>3053</v>
      </c>
      <c r="F10062" t="s">
        <v>282</v>
      </c>
      <c r="G10062" t="s">
        <v>3040</v>
      </c>
      <c r="H10062" t="s">
        <v>13876</v>
      </c>
      <c r="I10062">
        <v>46</v>
      </c>
      <c r="J10062">
        <v>0</v>
      </c>
      <c r="K10062">
        <v>0</v>
      </c>
      <c r="L10062">
        <v>0</v>
      </c>
      <c r="M10062">
        <v>46</v>
      </c>
      <c r="N10062">
        <v>0</v>
      </c>
      <c r="O10062">
        <v>0</v>
      </c>
    </row>
    <row r="10063" spans="1:15" x14ac:dyDescent="0.25">
      <c r="A10063" t="s">
        <v>1060</v>
      </c>
      <c r="B10063" t="s">
        <v>2651</v>
      </c>
      <c r="C10063" t="s">
        <v>927</v>
      </c>
      <c r="D10063" t="s">
        <v>3052</v>
      </c>
      <c r="E10063" t="s">
        <v>3053</v>
      </c>
      <c r="F10063" t="s">
        <v>282</v>
      </c>
      <c r="G10063" t="s">
        <v>3040</v>
      </c>
      <c r="H10063" t="s">
        <v>13890</v>
      </c>
      <c r="I10063">
        <v>579</v>
      </c>
      <c r="J10063">
        <v>434</v>
      </c>
      <c r="K10063">
        <v>0</v>
      </c>
      <c r="L10063">
        <v>4</v>
      </c>
      <c r="M10063">
        <v>56</v>
      </c>
      <c r="N10063">
        <v>0</v>
      </c>
      <c r="O10063">
        <v>85</v>
      </c>
    </row>
    <row r="10064" spans="1:15" x14ac:dyDescent="0.25">
      <c r="A10064" t="s">
        <v>11663</v>
      </c>
      <c r="B10064" t="s">
        <v>11768</v>
      </c>
      <c r="C10064" t="s">
        <v>927</v>
      </c>
      <c r="D10064" t="s">
        <v>3052</v>
      </c>
      <c r="E10064" t="s">
        <v>3053</v>
      </c>
      <c r="F10064" t="s">
        <v>282</v>
      </c>
      <c r="G10064" t="s">
        <v>3040</v>
      </c>
      <c r="H10064" t="s">
        <v>13898</v>
      </c>
      <c r="I10064">
        <v>753</v>
      </c>
      <c r="J10064">
        <v>458</v>
      </c>
      <c r="K10064">
        <v>205</v>
      </c>
      <c r="L10064">
        <v>0</v>
      </c>
      <c r="M10064">
        <v>0</v>
      </c>
      <c r="N10064">
        <v>1</v>
      </c>
      <c r="O10064">
        <v>90</v>
      </c>
    </row>
    <row r="10065" spans="1:15" x14ac:dyDescent="0.25">
      <c r="A10065" t="s">
        <v>960</v>
      </c>
      <c r="B10065" t="s">
        <v>2080</v>
      </c>
      <c r="C10065" t="s">
        <v>927</v>
      </c>
      <c r="D10065" t="s">
        <v>3052</v>
      </c>
      <c r="E10065" t="s">
        <v>3053</v>
      </c>
      <c r="F10065" t="s">
        <v>282</v>
      </c>
      <c r="G10065" t="s">
        <v>3040</v>
      </c>
      <c r="H10065" t="s">
        <v>13908</v>
      </c>
      <c r="I10065">
        <v>1</v>
      </c>
      <c r="J10065">
        <v>0</v>
      </c>
      <c r="K10065">
        <v>0</v>
      </c>
      <c r="L10065">
        <v>0</v>
      </c>
      <c r="M10065">
        <v>0</v>
      </c>
      <c r="N10065">
        <v>0</v>
      </c>
      <c r="O10065">
        <v>1</v>
      </c>
    </row>
    <row r="10066" spans="1:15" x14ac:dyDescent="0.25">
      <c r="A10066" t="s">
        <v>14374</v>
      </c>
      <c r="B10066" t="s">
        <v>1943</v>
      </c>
      <c r="C10066" t="s">
        <v>927</v>
      </c>
      <c r="D10066" t="s">
        <v>3052</v>
      </c>
      <c r="E10066" t="s">
        <v>3053</v>
      </c>
      <c r="F10066" t="s">
        <v>282</v>
      </c>
      <c r="G10066" t="s">
        <v>3040</v>
      </c>
      <c r="H10066" t="s">
        <v>15510</v>
      </c>
      <c r="I10066">
        <v>439</v>
      </c>
      <c r="J10066">
        <v>0</v>
      </c>
      <c r="K10066">
        <v>0</v>
      </c>
      <c r="L10066">
        <v>0</v>
      </c>
      <c r="M10066">
        <v>0</v>
      </c>
      <c r="N10066">
        <v>0</v>
      </c>
      <c r="O10066">
        <v>439</v>
      </c>
    </row>
    <row r="10067" spans="1:15" x14ac:dyDescent="0.25">
      <c r="A10067" t="s">
        <v>11664</v>
      </c>
      <c r="B10067" t="s">
        <v>2199</v>
      </c>
      <c r="C10067" t="s">
        <v>923</v>
      </c>
      <c r="D10067" t="s">
        <v>3063</v>
      </c>
      <c r="E10067" t="s">
        <v>3053</v>
      </c>
      <c r="F10067" t="s">
        <v>282</v>
      </c>
      <c r="G10067" t="s">
        <v>3040</v>
      </c>
      <c r="H10067" t="s">
        <v>13925</v>
      </c>
      <c r="I10067">
        <v>10</v>
      </c>
      <c r="J10067">
        <v>0</v>
      </c>
      <c r="K10067">
        <v>0</v>
      </c>
      <c r="L10067">
        <v>0</v>
      </c>
      <c r="M10067">
        <v>10</v>
      </c>
      <c r="N10067">
        <v>0</v>
      </c>
      <c r="O10067">
        <v>0</v>
      </c>
    </row>
    <row r="10068" spans="1:15" x14ac:dyDescent="0.25">
      <c r="A10068" t="s">
        <v>1062</v>
      </c>
      <c r="B10068" t="s">
        <v>1993</v>
      </c>
      <c r="C10068" t="s">
        <v>927</v>
      </c>
      <c r="D10068" t="s">
        <v>3052</v>
      </c>
      <c r="E10068" t="s">
        <v>3053</v>
      </c>
      <c r="F10068" t="s">
        <v>282</v>
      </c>
      <c r="G10068" t="s">
        <v>3040</v>
      </c>
      <c r="H10068" t="s">
        <v>13940</v>
      </c>
      <c r="I10068">
        <v>279</v>
      </c>
      <c r="J10068">
        <v>279</v>
      </c>
      <c r="K10068">
        <v>0</v>
      </c>
      <c r="L10068">
        <v>0</v>
      </c>
      <c r="M10068">
        <v>0</v>
      </c>
      <c r="N10068">
        <v>0</v>
      </c>
      <c r="O10068">
        <v>0</v>
      </c>
    </row>
    <row r="10069" spans="1:15" x14ac:dyDescent="0.25">
      <c r="A10069" t="s">
        <v>962</v>
      </c>
      <c r="B10069" t="s">
        <v>2752</v>
      </c>
      <c r="C10069" t="s">
        <v>927</v>
      </c>
      <c r="D10069" t="s">
        <v>3052</v>
      </c>
      <c r="E10069" t="s">
        <v>3053</v>
      </c>
      <c r="F10069" t="s">
        <v>282</v>
      </c>
      <c r="G10069" t="s">
        <v>3040</v>
      </c>
      <c r="H10069" t="s">
        <v>13945</v>
      </c>
      <c r="I10069">
        <v>1636</v>
      </c>
      <c r="J10069">
        <v>1158</v>
      </c>
      <c r="K10069">
        <v>0</v>
      </c>
      <c r="L10069">
        <v>0</v>
      </c>
      <c r="M10069">
        <v>187</v>
      </c>
      <c r="N10069">
        <v>0</v>
      </c>
      <c r="O10069">
        <v>291</v>
      </c>
    </row>
    <row r="10070" spans="1:15" x14ac:dyDescent="0.25">
      <c r="A10070" t="s">
        <v>11665</v>
      </c>
      <c r="B10070" t="s">
        <v>10811</v>
      </c>
      <c r="C10070" t="s">
        <v>923</v>
      </c>
      <c r="D10070" t="s">
        <v>3063</v>
      </c>
      <c r="E10070" t="s">
        <v>3053</v>
      </c>
      <c r="F10070" t="s">
        <v>282</v>
      </c>
      <c r="G10070" t="s">
        <v>3040</v>
      </c>
      <c r="H10070" t="s">
        <v>13963</v>
      </c>
      <c r="I10070">
        <v>12</v>
      </c>
      <c r="J10070">
        <v>0</v>
      </c>
      <c r="K10070">
        <v>0</v>
      </c>
      <c r="L10070">
        <v>12</v>
      </c>
      <c r="M10070">
        <v>0</v>
      </c>
      <c r="N10070">
        <v>0</v>
      </c>
      <c r="O10070">
        <v>0</v>
      </c>
    </row>
    <row r="10071" spans="1:15" x14ac:dyDescent="0.25">
      <c r="A10071" t="s">
        <v>1064</v>
      </c>
      <c r="B10071" t="s">
        <v>2105</v>
      </c>
      <c r="C10071" t="s">
        <v>923</v>
      </c>
      <c r="D10071" t="s">
        <v>3063</v>
      </c>
      <c r="E10071" t="s">
        <v>3053</v>
      </c>
      <c r="F10071" t="s">
        <v>282</v>
      </c>
      <c r="G10071" t="s">
        <v>3040</v>
      </c>
      <c r="H10071" t="s">
        <v>13970</v>
      </c>
      <c r="I10071">
        <v>2</v>
      </c>
      <c r="J10071">
        <v>2</v>
      </c>
      <c r="K10071">
        <v>0</v>
      </c>
      <c r="L10071">
        <v>0</v>
      </c>
      <c r="M10071">
        <v>0</v>
      </c>
      <c r="N10071">
        <v>0</v>
      </c>
      <c r="O10071">
        <v>0</v>
      </c>
    </row>
    <row r="10072" spans="1:15" x14ac:dyDescent="0.25">
      <c r="A10072" t="s">
        <v>1066</v>
      </c>
      <c r="B10072" t="s">
        <v>2557</v>
      </c>
      <c r="C10072" t="s">
        <v>927</v>
      </c>
      <c r="D10072" t="s">
        <v>3052</v>
      </c>
      <c r="E10072" t="s">
        <v>3053</v>
      </c>
      <c r="F10072" t="s">
        <v>282</v>
      </c>
      <c r="G10072" t="s">
        <v>3040</v>
      </c>
      <c r="H10072" t="s">
        <v>14028</v>
      </c>
      <c r="I10072">
        <v>103</v>
      </c>
      <c r="J10072">
        <v>0</v>
      </c>
      <c r="K10072">
        <v>0</v>
      </c>
      <c r="L10072">
        <v>0</v>
      </c>
      <c r="M10072">
        <v>103</v>
      </c>
      <c r="N10072">
        <v>0</v>
      </c>
      <c r="O10072">
        <v>0</v>
      </c>
    </row>
    <row r="10073" spans="1:15" x14ac:dyDescent="0.25">
      <c r="A10073" t="s">
        <v>11666</v>
      </c>
      <c r="B10073" t="s">
        <v>11780</v>
      </c>
      <c r="C10073" t="s">
        <v>923</v>
      </c>
      <c r="D10073" t="s">
        <v>3063</v>
      </c>
      <c r="E10073" t="s">
        <v>3053</v>
      </c>
      <c r="F10073" t="s">
        <v>282</v>
      </c>
      <c r="G10073" t="s">
        <v>3040</v>
      </c>
      <c r="H10073" t="s">
        <v>14058</v>
      </c>
      <c r="I10073">
        <v>8</v>
      </c>
      <c r="J10073">
        <v>0</v>
      </c>
      <c r="K10073">
        <v>0</v>
      </c>
      <c r="L10073">
        <v>0</v>
      </c>
      <c r="M10073">
        <v>8</v>
      </c>
      <c r="N10073">
        <v>0</v>
      </c>
      <c r="O10073">
        <v>0</v>
      </c>
    </row>
    <row r="10074" spans="1:15" x14ac:dyDescent="0.25">
      <c r="A10074" t="s">
        <v>1067</v>
      </c>
      <c r="B10074" t="s">
        <v>2222</v>
      </c>
      <c r="C10074" t="s">
        <v>923</v>
      </c>
      <c r="D10074" t="s">
        <v>3063</v>
      </c>
      <c r="E10074" t="s">
        <v>3053</v>
      </c>
      <c r="F10074" t="s">
        <v>282</v>
      </c>
      <c r="G10074" t="s">
        <v>3040</v>
      </c>
      <c r="H10074" t="s">
        <v>14060</v>
      </c>
      <c r="I10074">
        <v>69</v>
      </c>
      <c r="J10074">
        <v>0</v>
      </c>
      <c r="K10074">
        <v>0</v>
      </c>
      <c r="L10074">
        <v>0</v>
      </c>
      <c r="M10074">
        <v>69</v>
      </c>
      <c r="N10074">
        <v>0</v>
      </c>
      <c r="O10074">
        <v>0</v>
      </c>
    </row>
    <row r="10075" spans="1:15" x14ac:dyDescent="0.25">
      <c r="A10075" t="s">
        <v>1068</v>
      </c>
      <c r="B10075" t="s">
        <v>2081</v>
      </c>
      <c r="C10075" t="s">
        <v>923</v>
      </c>
      <c r="D10075" t="s">
        <v>3063</v>
      </c>
      <c r="E10075" t="s">
        <v>3053</v>
      </c>
      <c r="F10075" t="s">
        <v>282</v>
      </c>
      <c r="G10075" t="s">
        <v>3040</v>
      </c>
      <c r="H10075" t="s">
        <v>14067</v>
      </c>
      <c r="I10075">
        <v>123</v>
      </c>
      <c r="J10075">
        <v>0</v>
      </c>
      <c r="K10075">
        <v>3</v>
      </c>
      <c r="L10075">
        <v>120</v>
      </c>
      <c r="M10075">
        <v>0</v>
      </c>
      <c r="N10075">
        <v>0</v>
      </c>
      <c r="O10075">
        <v>0</v>
      </c>
    </row>
    <row r="10076" spans="1:15" x14ac:dyDescent="0.25">
      <c r="A10076" t="s">
        <v>11667</v>
      </c>
      <c r="B10076" t="s">
        <v>1986</v>
      </c>
      <c r="C10076" t="s">
        <v>923</v>
      </c>
      <c r="D10076" t="s">
        <v>3063</v>
      </c>
      <c r="E10076" t="s">
        <v>3053</v>
      </c>
      <c r="F10076" t="s">
        <v>282</v>
      </c>
      <c r="G10076" t="s">
        <v>3040</v>
      </c>
      <c r="H10076" t="s">
        <v>14069</v>
      </c>
      <c r="I10076">
        <v>117</v>
      </c>
      <c r="J10076">
        <v>0</v>
      </c>
      <c r="K10076">
        <v>0</v>
      </c>
      <c r="L10076">
        <v>0</v>
      </c>
      <c r="M10076">
        <v>117</v>
      </c>
      <c r="N10076">
        <v>0</v>
      </c>
      <c r="O10076">
        <v>0</v>
      </c>
    </row>
    <row r="10077" spans="1:15" x14ac:dyDescent="0.25">
      <c r="A10077" t="s">
        <v>1069</v>
      </c>
      <c r="B10077" t="s">
        <v>2001</v>
      </c>
      <c r="C10077" t="s">
        <v>927</v>
      </c>
      <c r="D10077" t="s">
        <v>3052</v>
      </c>
      <c r="E10077" t="s">
        <v>3053</v>
      </c>
      <c r="F10077" t="s">
        <v>282</v>
      </c>
      <c r="G10077" t="s">
        <v>3040</v>
      </c>
      <c r="H10077" t="s">
        <v>14088</v>
      </c>
      <c r="I10077">
        <v>4594</v>
      </c>
      <c r="J10077">
        <v>3391</v>
      </c>
      <c r="K10077">
        <v>1</v>
      </c>
      <c r="L10077">
        <v>31</v>
      </c>
      <c r="M10077">
        <v>837</v>
      </c>
      <c r="N10077">
        <v>0</v>
      </c>
      <c r="O10077">
        <v>334</v>
      </c>
    </row>
    <row r="10078" spans="1:15" x14ac:dyDescent="0.25">
      <c r="A10078" t="s">
        <v>11668</v>
      </c>
      <c r="B10078" t="s">
        <v>2174</v>
      </c>
      <c r="C10078" t="s">
        <v>923</v>
      </c>
      <c r="D10078" t="s">
        <v>3063</v>
      </c>
      <c r="E10078" t="s">
        <v>3053</v>
      </c>
      <c r="F10078" t="s">
        <v>282</v>
      </c>
      <c r="G10078" t="s">
        <v>3040</v>
      </c>
      <c r="H10078" t="s">
        <v>14108</v>
      </c>
      <c r="I10078">
        <v>103</v>
      </c>
      <c r="J10078">
        <v>0</v>
      </c>
      <c r="K10078">
        <v>0</v>
      </c>
      <c r="L10078">
        <v>0</v>
      </c>
      <c r="M10078">
        <v>103</v>
      </c>
      <c r="N10078">
        <v>0</v>
      </c>
      <c r="O10078">
        <v>0</v>
      </c>
    </row>
    <row r="10079" spans="1:15" x14ac:dyDescent="0.25">
      <c r="A10079" t="s">
        <v>1070</v>
      </c>
      <c r="B10079" t="s">
        <v>2201</v>
      </c>
      <c r="C10079" t="s">
        <v>923</v>
      </c>
      <c r="D10079" t="s">
        <v>3063</v>
      </c>
      <c r="E10079" t="s">
        <v>3053</v>
      </c>
      <c r="F10079" t="s">
        <v>282</v>
      </c>
      <c r="G10079" t="s">
        <v>3040</v>
      </c>
      <c r="H10079" t="s">
        <v>14119</v>
      </c>
      <c r="I10079">
        <v>20</v>
      </c>
      <c r="J10079">
        <v>20</v>
      </c>
      <c r="K10079">
        <v>0</v>
      </c>
      <c r="L10079">
        <v>0</v>
      </c>
      <c r="M10079">
        <v>0</v>
      </c>
      <c r="N10079">
        <v>0</v>
      </c>
      <c r="O10079">
        <v>0</v>
      </c>
    </row>
    <row r="10080" spans="1:15" x14ac:dyDescent="0.25">
      <c r="A10080" t="s">
        <v>14375</v>
      </c>
      <c r="B10080" t="s">
        <v>1947</v>
      </c>
      <c r="C10080" t="s">
        <v>923</v>
      </c>
      <c r="D10080" t="s">
        <v>3063</v>
      </c>
      <c r="E10080" t="s">
        <v>3053</v>
      </c>
      <c r="F10080" t="s">
        <v>282</v>
      </c>
      <c r="G10080" t="s">
        <v>3040</v>
      </c>
      <c r="H10080" t="s">
        <v>15511</v>
      </c>
      <c r="I10080">
        <v>37</v>
      </c>
      <c r="J10080">
        <v>0</v>
      </c>
      <c r="K10080">
        <v>0</v>
      </c>
      <c r="L10080">
        <v>37</v>
      </c>
      <c r="M10080">
        <v>0</v>
      </c>
      <c r="N10080">
        <v>0</v>
      </c>
      <c r="O10080">
        <v>0</v>
      </c>
    </row>
    <row r="10081" spans="1:15" x14ac:dyDescent="0.25">
      <c r="A10081" t="s">
        <v>9789</v>
      </c>
      <c r="B10081" t="s">
        <v>2789</v>
      </c>
      <c r="C10081" t="s">
        <v>923</v>
      </c>
      <c r="D10081" t="s">
        <v>3063</v>
      </c>
      <c r="E10081" t="s">
        <v>3053</v>
      </c>
      <c r="F10081" t="s">
        <v>282</v>
      </c>
      <c r="G10081" t="s">
        <v>3040</v>
      </c>
      <c r="H10081" t="s">
        <v>14130</v>
      </c>
      <c r="I10081">
        <v>35</v>
      </c>
      <c r="J10081">
        <v>35</v>
      </c>
      <c r="K10081">
        <v>0</v>
      </c>
      <c r="L10081">
        <v>0</v>
      </c>
      <c r="M10081">
        <v>0</v>
      </c>
      <c r="N10081">
        <v>0</v>
      </c>
      <c r="O10081">
        <v>0</v>
      </c>
    </row>
    <row r="10082" spans="1:15" x14ac:dyDescent="0.25">
      <c r="A10082" t="s">
        <v>1071</v>
      </c>
      <c r="B10082" t="s">
        <v>2571</v>
      </c>
      <c r="C10082" t="s">
        <v>923</v>
      </c>
      <c r="D10082" t="s">
        <v>3063</v>
      </c>
      <c r="E10082" t="s">
        <v>3053</v>
      </c>
      <c r="F10082" t="s">
        <v>282</v>
      </c>
      <c r="G10082" t="s">
        <v>3040</v>
      </c>
      <c r="H10082" t="s">
        <v>14138</v>
      </c>
      <c r="I10082">
        <v>6</v>
      </c>
      <c r="J10082">
        <v>0</v>
      </c>
      <c r="K10082">
        <v>0</v>
      </c>
      <c r="L10082">
        <v>6</v>
      </c>
      <c r="M10082">
        <v>0</v>
      </c>
      <c r="N10082">
        <v>0</v>
      </c>
      <c r="O10082">
        <v>0</v>
      </c>
    </row>
    <row r="10083" spans="1:15" x14ac:dyDescent="0.25">
      <c r="A10083" t="s">
        <v>1072</v>
      </c>
      <c r="B10083" t="s">
        <v>2907</v>
      </c>
      <c r="C10083" t="s">
        <v>927</v>
      </c>
      <c r="D10083" t="s">
        <v>3052</v>
      </c>
      <c r="E10083" t="s">
        <v>3053</v>
      </c>
      <c r="F10083" t="s">
        <v>282</v>
      </c>
      <c r="G10083" t="s">
        <v>3040</v>
      </c>
      <c r="H10083" t="s">
        <v>14145</v>
      </c>
      <c r="I10083">
        <v>4748</v>
      </c>
      <c r="J10083">
        <v>3523</v>
      </c>
      <c r="K10083">
        <v>0</v>
      </c>
      <c r="L10083">
        <v>233</v>
      </c>
      <c r="M10083">
        <v>273</v>
      </c>
      <c r="N10083">
        <v>2</v>
      </c>
      <c r="O10083">
        <v>719</v>
      </c>
    </row>
    <row r="10084" spans="1:15" x14ac:dyDescent="0.25">
      <c r="A10084" t="s">
        <v>1073</v>
      </c>
      <c r="B10084" t="s">
        <v>2302</v>
      </c>
      <c r="C10084" t="s">
        <v>923</v>
      </c>
      <c r="D10084" t="s">
        <v>3063</v>
      </c>
      <c r="E10084" t="s">
        <v>3053</v>
      </c>
      <c r="F10084" t="s">
        <v>282</v>
      </c>
      <c r="G10084" t="s">
        <v>3040</v>
      </c>
      <c r="H10084" t="s">
        <v>14169</v>
      </c>
      <c r="I10084">
        <v>4</v>
      </c>
      <c r="J10084">
        <v>4</v>
      </c>
      <c r="K10084">
        <v>0</v>
      </c>
      <c r="L10084">
        <v>0</v>
      </c>
      <c r="M10084">
        <v>0</v>
      </c>
      <c r="N10084">
        <v>0</v>
      </c>
      <c r="O10084">
        <v>0</v>
      </c>
    </row>
    <row r="10085" spans="1:15" x14ac:dyDescent="0.25">
      <c r="A10085" t="s">
        <v>1074</v>
      </c>
      <c r="B10085" t="s">
        <v>2280</v>
      </c>
      <c r="C10085" t="s">
        <v>923</v>
      </c>
      <c r="D10085" t="s">
        <v>3063</v>
      </c>
      <c r="E10085" t="s">
        <v>3053</v>
      </c>
      <c r="F10085" t="s">
        <v>282</v>
      </c>
      <c r="G10085" t="s">
        <v>3040</v>
      </c>
      <c r="H10085" t="s">
        <v>14175</v>
      </c>
      <c r="I10085">
        <v>6</v>
      </c>
      <c r="J10085">
        <v>6</v>
      </c>
      <c r="K10085">
        <v>0</v>
      </c>
      <c r="L10085">
        <v>0</v>
      </c>
      <c r="M10085">
        <v>0</v>
      </c>
      <c r="N10085">
        <v>0</v>
      </c>
      <c r="O10085">
        <v>0</v>
      </c>
    </row>
    <row r="10086" spans="1:15" x14ac:dyDescent="0.25">
      <c r="A10086" t="s">
        <v>1181</v>
      </c>
      <c r="B10086" t="s">
        <v>2894</v>
      </c>
      <c r="C10086" t="s">
        <v>927</v>
      </c>
      <c r="D10086" t="s">
        <v>3052</v>
      </c>
      <c r="E10086" t="s">
        <v>3053</v>
      </c>
      <c r="F10086" t="s">
        <v>282</v>
      </c>
      <c r="G10086" t="s">
        <v>3040</v>
      </c>
      <c r="H10086" t="s">
        <v>14185</v>
      </c>
      <c r="I10086">
        <v>1</v>
      </c>
      <c r="J10086">
        <v>0</v>
      </c>
      <c r="K10086">
        <v>0</v>
      </c>
      <c r="L10086">
        <v>0</v>
      </c>
      <c r="M10086">
        <v>0</v>
      </c>
      <c r="N10086">
        <v>0</v>
      </c>
      <c r="O10086">
        <v>1</v>
      </c>
    </row>
    <row r="10087" spans="1:15" x14ac:dyDescent="0.25">
      <c r="A10087" t="s">
        <v>1075</v>
      </c>
      <c r="B10087" t="s">
        <v>2830</v>
      </c>
      <c r="C10087" t="s">
        <v>927</v>
      </c>
      <c r="D10087" t="s">
        <v>3052</v>
      </c>
      <c r="E10087" t="s">
        <v>3053</v>
      </c>
      <c r="F10087" t="s">
        <v>282</v>
      </c>
      <c r="G10087" t="s">
        <v>3040</v>
      </c>
      <c r="H10087" t="s">
        <v>14190</v>
      </c>
      <c r="I10087">
        <v>446</v>
      </c>
      <c r="J10087">
        <v>299</v>
      </c>
      <c r="K10087">
        <v>0</v>
      </c>
      <c r="L10087">
        <v>11</v>
      </c>
      <c r="M10087">
        <v>0</v>
      </c>
      <c r="N10087">
        <v>0</v>
      </c>
      <c r="O10087">
        <v>136</v>
      </c>
    </row>
    <row r="10088" spans="1:15" x14ac:dyDescent="0.25">
      <c r="A10088" t="s">
        <v>1684</v>
      </c>
      <c r="B10088" t="s">
        <v>2845</v>
      </c>
      <c r="C10088" t="s">
        <v>927</v>
      </c>
      <c r="D10088" t="s">
        <v>3052</v>
      </c>
      <c r="E10088" t="s">
        <v>3053</v>
      </c>
      <c r="F10088" t="s">
        <v>282</v>
      </c>
      <c r="G10088" t="s">
        <v>3040</v>
      </c>
      <c r="H10088" t="s">
        <v>14197</v>
      </c>
      <c r="I10088">
        <v>2</v>
      </c>
      <c r="J10088">
        <v>0</v>
      </c>
      <c r="K10088">
        <v>0</v>
      </c>
      <c r="L10088">
        <v>0</v>
      </c>
      <c r="M10088">
        <v>0</v>
      </c>
      <c r="N10088">
        <v>0</v>
      </c>
      <c r="O10088">
        <v>2</v>
      </c>
    </row>
    <row r="10089" spans="1:15" x14ac:dyDescent="0.25">
      <c r="A10089" t="s">
        <v>1076</v>
      </c>
      <c r="B10089" t="s">
        <v>2852</v>
      </c>
      <c r="C10089" t="s">
        <v>927</v>
      </c>
      <c r="D10089" t="s">
        <v>3052</v>
      </c>
      <c r="E10089" t="s">
        <v>3053</v>
      </c>
      <c r="F10089" t="s">
        <v>282</v>
      </c>
      <c r="G10089" t="s">
        <v>3040</v>
      </c>
      <c r="H10089" t="s">
        <v>14205</v>
      </c>
      <c r="I10089">
        <v>595</v>
      </c>
      <c r="J10089">
        <v>486</v>
      </c>
      <c r="K10089">
        <v>0</v>
      </c>
      <c r="L10089">
        <v>0</v>
      </c>
      <c r="M10089">
        <v>0</v>
      </c>
      <c r="N10089">
        <v>0</v>
      </c>
      <c r="O10089">
        <v>109</v>
      </c>
    </row>
    <row r="10090" spans="1:15" x14ac:dyDescent="0.25">
      <c r="A10090" t="s">
        <v>1077</v>
      </c>
      <c r="B10090" t="s">
        <v>2711</v>
      </c>
      <c r="C10090" t="s">
        <v>927</v>
      </c>
      <c r="D10090" t="s">
        <v>3052</v>
      </c>
      <c r="E10090" t="s">
        <v>3053</v>
      </c>
      <c r="F10090" t="s">
        <v>282</v>
      </c>
      <c r="G10090" t="s">
        <v>3040</v>
      </c>
      <c r="H10090" t="s">
        <v>14208</v>
      </c>
      <c r="I10090">
        <v>369</v>
      </c>
      <c r="J10090">
        <v>255</v>
      </c>
      <c r="K10090">
        <v>0</v>
      </c>
      <c r="L10090">
        <v>19</v>
      </c>
      <c r="M10090">
        <v>69</v>
      </c>
      <c r="N10090">
        <v>0</v>
      </c>
      <c r="O10090">
        <v>26</v>
      </c>
    </row>
    <row r="10091" spans="1:15" x14ac:dyDescent="0.25">
      <c r="A10091" t="s">
        <v>1078</v>
      </c>
      <c r="B10091" t="s">
        <v>1950</v>
      </c>
      <c r="C10091" t="s">
        <v>923</v>
      </c>
      <c r="D10091" t="s">
        <v>3063</v>
      </c>
      <c r="E10091" t="s">
        <v>3053</v>
      </c>
      <c r="F10091" t="s">
        <v>282</v>
      </c>
      <c r="G10091" t="s">
        <v>3040</v>
      </c>
      <c r="H10091" t="s">
        <v>14212</v>
      </c>
      <c r="I10091">
        <v>78</v>
      </c>
      <c r="J10091">
        <v>0</v>
      </c>
      <c r="K10091">
        <v>0</v>
      </c>
      <c r="L10091">
        <v>78</v>
      </c>
      <c r="M10091">
        <v>0</v>
      </c>
      <c r="N10091">
        <v>0</v>
      </c>
      <c r="O10091">
        <v>0</v>
      </c>
    </row>
    <row r="10092" spans="1:15" x14ac:dyDescent="0.25">
      <c r="A10092" t="s">
        <v>1079</v>
      </c>
      <c r="B10092" t="s">
        <v>2810</v>
      </c>
      <c r="C10092" t="s">
        <v>927</v>
      </c>
      <c r="D10092" t="s">
        <v>3052</v>
      </c>
      <c r="E10092" t="s">
        <v>3053</v>
      </c>
      <c r="F10092" t="s">
        <v>282</v>
      </c>
      <c r="G10092" t="s">
        <v>3040</v>
      </c>
      <c r="H10092" t="s">
        <v>14219</v>
      </c>
      <c r="I10092">
        <v>1542</v>
      </c>
      <c r="J10092">
        <v>1267</v>
      </c>
      <c r="K10092">
        <v>0</v>
      </c>
      <c r="L10092">
        <v>101</v>
      </c>
      <c r="M10092">
        <v>92</v>
      </c>
      <c r="N10092">
        <v>5</v>
      </c>
      <c r="O10092">
        <v>82</v>
      </c>
    </row>
    <row r="10093" spans="1:15" x14ac:dyDescent="0.25">
      <c r="A10093" t="s">
        <v>1920</v>
      </c>
      <c r="B10093" t="s">
        <v>2871</v>
      </c>
      <c r="C10093" t="s">
        <v>927</v>
      </c>
      <c r="D10093" t="s">
        <v>3052</v>
      </c>
      <c r="E10093" t="s">
        <v>3053</v>
      </c>
      <c r="F10093" t="s">
        <v>282</v>
      </c>
      <c r="G10093" t="s">
        <v>3040</v>
      </c>
      <c r="H10093" t="s">
        <v>15512</v>
      </c>
      <c r="I10093">
        <v>6</v>
      </c>
      <c r="J10093">
        <v>4</v>
      </c>
      <c r="K10093">
        <v>0</v>
      </c>
      <c r="L10093">
        <v>0</v>
      </c>
      <c r="M10093">
        <v>0</v>
      </c>
      <c r="N10093">
        <v>0</v>
      </c>
      <c r="O10093">
        <v>2</v>
      </c>
    </row>
    <row r="10094" spans="1:15" x14ac:dyDescent="0.25">
      <c r="A10094" t="s">
        <v>1080</v>
      </c>
      <c r="B10094" t="s">
        <v>2030</v>
      </c>
      <c r="C10094" t="s">
        <v>923</v>
      </c>
      <c r="D10094" t="s">
        <v>3063</v>
      </c>
      <c r="E10094" t="s">
        <v>3053</v>
      </c>
      <c r="F10094" t="s">
        <v>282</v>
      </c>
      <c r="G10094" t="s">
        <v>3040</v>
      </c>
      <c r="H10094" t="s">
        <v>14277</v>
      </c>
      <c r="I10094">
        <v>49</v>
      </c>
      <c r="J10094">
        <v>0</v>
      </c>
      <c r="K10094">
        <v>0</v>
      </c>
      <c r="L10094">
        <v>49</v>
      </c>
      <c r="M10094">
        <v>0</v>
      </c>
      <c r="N10094">
        <v>0</v>
      </c>
      <c r="O10094">
        <v>0</v>
      </c>
    </row>
    <row r="10095" spans="1:15" x14ac:dyDescent="0.25">
      <c r="A10095" t="s">
        <v>1081</v>
      </c>
      <c r="B10095" t="s">
        <v>2200</v>
      </c>
      <c r="C10095" t="s">
        <v>923</v>
      </c>
      <c r="D10095" t="s">
        <v>3063</v>
      </c>
      <c r="E10095" t="s">
        <v>3053</v>
      </c>
      <c r="F10095" t="s">
        <v>282</v>
      </c>
      <c r="G10095" t="s">
        <v>3040</v>
      </c>
      <c r="H10095" t="s">
        <v>14298</v>
      </c>
      <c r="I10095">
        <v>20</v>
      </c>
      <c r="J10095">
        <v>20</v>
      </c>
      <c r="K10095">
        <v>0</v>
      </c>
      <c r="L10095">
        <v>0</v>
      </c>
      <c r="M10095">
        <v>0</v>
      </c>
      <c r="N10095">
        <v>0</v>
      </c>
      <c r="O10095">
        <v>0</v>
      </c>
    </row>
    <row r="10096" spans="1:15" x14ac:dyDescent="0.25">
      <c r="A10096" t="s">
        <v>14376</v>
      </c>
      <c r="B10096" t="s">
        <v>15424</v>
      </c>
      <c r="C10096" t="s">
        <v>923</v>
      </c>
      <c r="D10096" t="s">
        <v>3063</v>
      </c>
      <c r="E10096" t="s">
        <v>3053</v>
      </c>
      <c r="F10096" t="s">
        <v>282</v>
      </c>
      <c r="G10096" t="s">
        <v>3040</v>
      </c>
      <c r="H10096" t="s">
        <v>15513</v>
      </c>
      <c r="I10096">
        <v>6</v>
      </c>
      <c r="J10096">
        <v>0</v>
      </c>
      <c r="K10096">
        <v>0</v>
      </c>
      <c r="L10096">
        <v>0</v>
      </c>
      <c r="M10096">
        <v>6</v>
      </c>
      <c r="N10096">
        <v>0</v>
      </c>
      <c r="O10096">
        <v>0</v>
      </c>
    </row>
    <row r="10097" spans="1:15" x14ac:dyDescent="0.25">
      <c r="A10097" t="s">
        <v>14377</v>
      </c>
      <c r="B10097" t="s">
        <v>14444</v>
      </c>
      <c r="C10097" t="s">
        <v>923</v>
      </c>
      <c r="D10097" t="s">
        <v>3063</v>
      </c>
      <c r="E10097" t="s">
        <v>3053</v>
      </c>
      <c r="F10097" t="s">
        <v>282</v>
      </c>
      <c r="G10097" t="s">
        <v>3040</v>
      </c>
      <c r="H10097" t="s">
        <v>15514</v>
      </c>
      <c r="I10097">
        <v>14</v>
      </c>
      <c r="J10097">
        <v>5</v>
      </c>
      <c r="K10097">
        <v>0</v>
      </c>
      <c r="L10097">
        <v>9</v>
      </c>
      <c r="M10097">
        <v>0</v>
      </c>
      <c r="N10097">
        <v>0</v>
      </c>
      <c r="O10097">
        <v>0</v>
      </c>
    </row>
    <row r="10098" spans="1:15" x14ac:dyDescent="0.25">
      <c r="A10098" t="s">
        <v>1082</v>
      </c>
      <c r="B10098" t="s">
        <v>2622</v>
      </c>
      <c r="C10098" t="s">
        <v>923</v>
      </c>
      <c r="D10098" t="s">
        <v>3063</v>
      </c>
      <c r="E10098" t="s">
        <v>3053</v>
      </c>
      <c r="F10098" t="s">
        <v>282</v>
      </c>
      <c r="G10098" t="s">
        <v>3040</v>
      </c>
      <c r="H10098" t="s">
        <v>14328</v>
      </c>
      <c r="I10098">
        <v>160</v>
      </c>
      <c r="J10098">
        <v>0</v>
      </c>
      <c r="K10098">
        <v>0</v>
      </c>
      <c r="L10098">
        <v>160</v>
      </c>
      <c r="M10098">
        <v>0</v>
      </c>
      <c r="N10098">
        <v>0</v>
      </c>
      <c r="O10098">
        <v>0</v>
      </c>
    </row>
    <row r="10099" spans="1:15" x14ac:dyDescent="0.25">
      <c r="A10099" t="s">
        <v>11669</v>
      </c>
      <c r="B10099" t="s">
        <v>2579</v>
      </c>
      <c r="C10099" t="s">
        <v>923</v>
      </c>
      <c r="D10099" t="s">
        <v>3063</v>
      </c>
      <c r="E10099" t="s">
        <v>3053</v>
      </c>
      <c r="F10099" t="s">
        <v>282</v>
      </c>
      <c r="G10099" t="s">
        <v>3040</v>
      </c>
      <c r="H10099" t="s">
        <v>14332</v>
      </c>
      <c r="I10099">
        <v>109</v>
      </c>
      <c r="J10099">
        <v>0</v>
      </c>
      <c r="K10099">
        <v>0</v>
      </c>
      <c r="L10099">
        <v>109</v>
      </c>
      <c r="M10099">
        <v>0</v>
      </c>
      <c r="N10099">
        <v>0</v>
      </c>
      <c r="O10099">
        <v>0</v>
      </c>
    </row>
    <row r="10100" spans="1:15" x14ac:dyDescent="0.25">
      <c r="A10100" t="s">
        <v>10787</v>
      </c>
      <c r="B10100" t="s">
        <v>2599</v>
      </c>
      <c r="C10100" t="s">
        <v>923</v>
      </c>
      <c r="D10100" t="s">
        <v>3063</v>
      </c>
      <c r="E10100" t="s">
        <v>3053</v>
      </c>
      <c r="F10100" t="s">
        <v>282</v>
      </c>
      <c r="G10100" t="s">
        <v>3040</v>
      </c>
      <c r="H10100" t="s">
        <v>14337</v>
      </c>
      <c r="I10100">
        <v>145</v>
      </c>
      <c r="J10100">
        <v>0</v>
      </c>
      <c r="K10100">
        <v>0</v>
      </c>
      <c r="L10100">
        <v>145</v>
      </c>
      <c r="M10100">
        <v>0</v>
      </c>
      <c r="N10100">
        <v>0</v>
      </c>
      <c r="O10100">
        <v>0</v>
      </c>
    </row>
    <row r="10101" spans="1:15" x14ac:dyDescent="0.25">
      <c r="A10101" t="s">
        <v>1083</v>
      </c>
      <c r="B10101" t="s">
        <v>2757</v>
      </c>
      <c r="C10101" t="s">
        <v>927</v>
      </c>
      <c r="D10101" t="s">
        <v>3052</v>
      </c>
      <c r="E10101" t="s">
        <v>3053</v>
      </c>
      <c r="F10101" t="s">
        <v>282</v>
      </c>
      <c r="G10101" t="s">
        <v>3040</v>
      </c>
      <c r="H10101" t="s">
        <v>14349</v>
      </c>
      <c r="I10101">
        <v>173</v>
      </c>
      <c r="J10101">
        <v>160</v>
      </c>
      <c r="K10101">
        <v>0</v>
      </c>
      <c r="L10101">
        <v>0</v>
      </c>
      <c r="M10101">
        <v>0</v>
      </c>
      <c r="N10101">
        <v>0</v>
      </c>
      <c r="O10101">
        <v>13</v>
      </c>
    </row>
    <row r="10102" spans="1:15" x14ac:dyDescent="0.25">
      <c r="A10102" t="s">
        <v>1564</v>
      </c>
      <c r="B10102" t="s">
        <v>3039</v>
      </c>
      <c r="C10102" t="s">
        <v>927</v>
      </c>
      <c r="D10102" t="s">
        <v>3052</v>
      </c>
      <c r="E10102" t="s">
        <v>3053</v>
      </c>
      <c r="F10102" t="s">
        <v>283</v>
      </c>
      <c r="G10102" t="s">
        <v>3040</v>
      </c>
      <c r="H10102" t="s">
        <v>12534</v>
      </c>
      <c r="I10102">
        <v>1</v>
      </c>
      <c r="J10102">
        <v>0</v>
      </c>
      <c r="K10102">
        <v>0</v>
      </c>
      <c r="L10102">
        <v>0</v>
      </c>
      <c r="M10102">
        <v>0</v>
      </c>
      <c r="N10102">
        <v>0</v>
      </c>
      <c r="O10102">
        <v>1</v>
      </c>
    </row>
    <row r="10103" spans="1:15" x14ac:dyDescent="0.25">
      <c r="A10103" t="s">
        <v>1084</v>
      </c>
      <c r="B10103" t="s">
        <v>2540</v>
      </c>
      <c r="C10103" t="s">
        <v>923</v>
      </c>
      <c r="D10103" t="s">
        <v>3063</v>
      </c>
      <c r="E10103" t="s">
        <v>3053</v>
      </c>
      <c r="F10103" t="s">
        <v>283</v>
      </c>
      <c r="G10103" t="s">
        <v>3040</v>
      </c>
      <c r="H10103" t="s">
        <v>12540</v>
      </c>
      <c r="I10103">
        <v>103</v>
      </c>
      <c r="J10103">
        <v>0</v>
      </c>
      <c r="K10103">
        <v>0</v>
      </c>
      <c r="L10103">
        <v>0</v>
      </c>
      <c r="M10103">
        <v>103</v>
      </c>
      <c r="N10103">
        <v>0</v>
      </c>
      <c r="O10103">
        <v>0</v>
      </c>
    </row>
    <row r="10104" spans="1:15" x14ac:dyDescent="0.25">
      <c r="A10104" t="s">
        <v>924</v>
      </c>
      <c r="B10104" t="s">
        <v>2963</v>
      </c>
      <c r="C10104" t="s">
        <v>923</v>
      </c>
      <c r="D10104" t="s">
        <v>3063</v>
      </c>
      <c r="E10104" t="s">
        <v>3053</v>
      </c>
      <c r="F10104" t="s">
        <v>283</v>
      </c>
      <c r="G10104" t="s">
        <v>3040</v>
      </c>
      <c r="H10104" t="s">
        <v>12551</v>
      </c>
      <c r="I10104">
        <v>24</v>
      </c>
      <c r="J10104">
        <v>0</v>
      </c>
      <c r="K10104">
        <v>0</v>
      </c>
      <c r="L10104">
        <v>24</v>
      </c>
      <c r="M10104">
        <v>0</v>
      </c>
      <c r="N10104">
        <v>0</v>
      </c>
      <c r="O10104">
        <v>0</v>
      </c>
    </row>
    <row r="10105" spans="1:15" x14ac:dyDescent="0.25">
      <c r="A10105" t="s">
        <v>971</v>
      </c>
      <c r="B10105" t="s">
        <v>2956</v>
      </c>
      <c r="C10105" t="s">
        <v>927</v>
      </c>
      <c r="D10105" t="s">
        <v>3052</v>
      </c>
      <c r="E10105" t="s">
        <v>3053</v>
      </c>
      <c r="F10105" t="s">
        <v>283</v>
      </c>
      <c r="G10105" t="s">
        <v>3040</v>
      </c>
      <c r="H10105" t="s">
        <v>12558</v>
      </c>
      <c r="I10105">
        <v>3510</v>
      </c>
      <c r="J10105">
        <v>2766</v>
      </c>
      <c r="K10105">
        <v>0</v>
      </c>
      <c r="L10105">
        <v>0</v>
      </c>
      <c r="M10105">
        <v>336</v>
      </c>
      <c r="N10105">
        <v>2</v>
      </c>
      <c r="O10105">
        <v>408</v>
      </c>
    </row>
    <row r="10106" spans="1:15" x14ac:dyDescent="0.25">
      <c r="A10106" t="s">
        <v>926</v>
      </c>
      <c r="B10106" t="s">
        <v>2923</v>
      </c>
      <c r="C10106" t="s">
        <v>927</v>
      </c>
      <c r="D10106" t="s">
        <v>3052</v>
      </c>
      <c r="E10106" t="s">
        <v>3053</v>
      </c>
      <c r="F10106" t="s">
        <v>283</v>
      </c>
      <c r="G10106" t="s">
        <v>3040</v>
      </c>
      <c r="H10106" t="s">
        <v>12576</v>
      </c>
      <c r="I10106">
        <v>69</v>
      </c>
      <c r="J10106">
        <v>0</v>
      </c>
      <c r="K10106">
        <v>0</v>
      </c>
      <c r="L10106">
        <v>47</v>
      </c>
      <c r="M10106">
        <v>0</v>
      </c>
      <c r="N10106">
        <v>0</v>
      </c>
      <c r="O10106">
        <v>22</v>
      </c>
    </row>
    <row r="10107" spans="1:15" x14ac:dyDescent="0.25">
      <c r="A10107" t="s">
        <v>1085</v>
      </c>
      <c r="B10107" t="s">
        <v>2162</v>
      </c>
      <c r="C10107" t="s">
        <v>923</v>
      </c>
      <c r="D10107" t="s">
        <v>3063</v>
      </c>
      <c r="E10107" t="s">
        <v>3053</v>
      </c>
      <c r="F10107" t="s">
        <v>283</v>
      </c>
      <c r="G10107" t="s">
        <v>3040</v>
      </c>
      <c r="H10107" t="s">
        <v>12589</v>
      </c>
      <c r="I10107">
        <v>14</v>
      </c>
      <c r="J10107">
        <v>14</v>
      </c>
      <c r="K10107">
        <v>0</v>
      </c>
      <c r="L10107">
        <v>0</v>
      </c>
      <c r="M10107">
        <v>0</v>
      </c>
      <c r="N10107">
        <v>0</v>
      </c>
      <c r="O10107">
        <v>0</v>
      </c>
    </row>
    <row r="10108" spans="1:15" x14ac:dyDescent="0.25">
      <c r="A10108" t="s">
        <v>929</v>
      </c>
      <c r="B10108" t="s">
        <v>2999</v>
      </c>
      <c r="C10108" t="s">
        <v>927</v>
      </c>
      <c r="D10108" t="s">
        <v>3052</v>
      </c>
      <c r="E10108" t="s">
        <v>3053</v>
      </c>
      <c r="F10108" t="s">
        <v>283</v>
      </c>
      <c r="G10108" t="s">
        <v>3040</v>
      </c>
      <c r="H10108" t="s">
        <v>12603</v>
      </c>
      <c r="I10108">
        <v>3577</v>
      </c>
      <c r="J10108">
        <v>102</v>
      </c>
      <c r="K10108">
        <v>0</v>
      </c>
      <c r="L10108">
        <v>0</v>
      </c>
      <c r="M10108">
        <v>3457</v>
      </c>
      <c r="N10108">
        <v>38</v>
      </c>
      <c r="O10108">
        <v>18</v>
      </c>
    </row>
    <row r="10109" spans="1:15" x14ac:dyDescent="0.25">
      <c r="A10109" t="s">
        <v>1086</v>
      </c>
      <c r="B10109" t="s">
        <v>2363</v>
      </c>
      <c r="C10109" t="s">
        <v>923</v>
      </c>
      <c r="D10109" t="s">
        <v>3063</v>
      </c>
      <c r="E10109" t="s">
        <v>3053</v>
      </c>
      <c r="F10109" t="s">
        <v>283</v>
      </c>
      <c r="G10109" t="s">
        <v>3040</v>
      </c>
      <c r="H10109" t="s">
        <v>12618</v>
      </c>
      <c r="I10109">
        <v>84</v>
      </c>
      <c r="J10109">
        <v>9</v>
      </c>
      <c r="K10109">
        <v>75</v>
      </c>
      <c r="L10109">
        <v>0</v>
      </c>
      <c r="M10109">
        <v>0</v>
      </c>
      <c r="N10109">
        <v>0</v>
      </c>
      <c r="O10109">
        <v>0</v>
      </c>
    </row>
    <row r="10110" spans="1:15" x14ac:dyDescent="0.25">
      <c r="A10110" t="s">
        <v>1087</v>
      </c>
      <c r="B10110" t="s">
        <v>2979</v>
      </c>
      <c r="C10110" t="s">
        <v>923</v>
      </c>
      <c r="D10110" t="s">
        <v>3063</v>
      </c>
      <c r="E10110" t="s">
        <v>3053</v>
      </c>
      <c r="F10110" t="s">
        <v>283</v>
      </c>
      <c r="G10110" t="s">
        <v>3040</v>
      </c>
      <c r="H10110" t="s">
        <v>12619</v>
      </c>
      <c r="I10110">
        <v>16</v>
      </c>
      <c r="J10110">
        <v>16</v>
      </c>
      <c r="K10110">
        <v>0</v>
      </c>
      <c r="L10110">
        <v>0</v>
      </c>
      <c r="M10110">
        <v>0</v>
      </c>
      <c r="N10110">
        <v>9</v>
      </c>
      <c r="O10110">
        <v>0</v>
      </c>
    </row>
    <row r="10111" spans="1:15" x14ac:dyDescent="0.25">
      <c r="A10111" t="s">
        <v>978</v>
      </c>
      <c r="B10111" t="s">
        <v>1999</v>
      </c>
      <c r="C10111" t="s">
        <v>923</v>
      </c>
      <c r="D10111" t="s">
        <v>3063</v>
      </c>
      <c r="E10111" t="s">
        <v>3053</v>
      </c>
      <c r="F10111" t="s">
        <v>283</v>
      </c>
      <c r="G10111" t="s">
        <v>3040</v>
      </c>
      <c r="H10111" t="s">
        <v>12623</v>
      </c>
      <c r="I10111">
        <v>6</v>
      </c>
      <c r="J10111">
        <v>0</v>
      </c>
      <c r="K10111">
        <v>0</v>
      </c>
      <c r="L10111">
        <v>6</v>
      </c>
      <c r="M10111">
        <v>0</v>
      </c>
      <c r="N10111">
        <v>0</v>
      </c>
      <c r="O10111">
        <v>0</v>
      </c>
    </row>
    <row r="10112" spans="1:15" x14ac:dyDescent="0.25">
      <c r="A10112" t="s">
        <v>1088</v>
      </c>
      <c r="B10112" t="s">
        <v>2097</v>
      </c>
      <c r="C10112" t="s">
        <v>923</v>
      </c>
      <c r="D10112" t="s">
        <v>3063</v>
      </c>
      <c r="E10112" t="s">
        <v>3053</v>
      </c>
      <c r="F10112" t="s">
        <v>283</v>
      </c>
      <c r="G10112" t="s">
        <v>3040</v>
      </c>
      <c r="H10112" t="s">
        <v>12632</v>
      </c>
      <c r="I10112">
        <v>6</v>
      </c>
      <c r="J10112">
        <v>6</v>
      </c>
      <c r="K10112">
        <v>0</v>
      </c>
      <c r="L10112">
        <v>0</v>
      </c>
      <c r="M10112">
        <v>0</v>
      </c>
      <c r="N10112">
        <v>0</v>
      </c>
      <c r="O10112">
        <v>0</v>
      </c>
    </row>
    <row r="10113" spans="1:15" x14ac:dyDescent="0.25">
      <c r="A10113" t="s">
        <v>9790</v>
      </c>
      <c r="B10113" t="s">
        <v>1977</v>
      </c>
      <c r="C10113" t="s">
        <v>923</v>
      </c>
      <c r="D10113" t="s">
        <v>3063</v>
      </c>
      <c r="E10113" t="s">
        <v>3053</v>
      </c>
      <c r="F10113" t="s">
        <v>283</v>
      </c>
      <c r="G10113" t="s">
        <v>3040</v>
      </c>
      <c r="H10113" t="s">
        <v>12649</v>
      </c>
      <c r="I10113">
        <v>139</v>
      </c>
      <c r="J10113">
        <v>0</v>
      </c>
      <c r="K10113">
        <v>0</v>
      </c>
      <c r="L10113">
        <v>139</v>
      </c>
      <c r="M10113">
        <v>0</v>
      </c>
      <c r="N10113">
        <v>0</v>
      </c>
      <c r="O10113">
        <v>0</v>
      </c>
    </row>
    <row r="10114" spans="1:15" x14ac:dyDescent="0.25">
      <c r="A10114" t="s">
        <v>14378</v>
      </c>
      <c r="B10114" t="s">
        <v>2554</v>
      </c>
      <c r="C10114" t="s">
        <v>923</v>
      </c>
      <c r="D10114" t="s">
        <v>3063</v>
      </c>
      <c r="E10114" t="s">
        <v>3053</v>
      </c>
      <c r="F10114" t="s">
        <v>283</v>
      </c>
      <c r="G10114" t="s">
        <v>3040</v>
      </c>
      <c r="H10114" t="s">
        <v>15515</v>
      </c>
      <c r="I10114">
        <v>33</v>
      </c>
      <c r="J10114">
        <v>0</v>
      </c>
      <c r="K10114">
        <v>0</v>
      </c>
      <c r="L10114">
        <v>0</v>
      </c>
      <c r="M10114">
        <v>33</v>
      </c>
      <c r="N10114">
        <v>0</v>
      </c>
      <c r="O10114">
        <v>0</v>
      </c>
    </row>
    <row r="10115" spans="1:15" x14ac:dyDescent="0.25">
      <c r="A10115" t="s">
        <v>1089</v>
      </c>
      <c r="B10115" t="s">
        <v>2153</v>
      </c>
      <c r="C10115" t="s">
        <v>923</v>
      </c>
      <c r="D10115" t="s">
        <v>3063</v>
      </c>
      <c r="E10115" t="s">
        <v>3053</v>
      </c>
      <c r="F10115" t="s">
        <v>283</v>
      </c>
      <c r="G10115" t="s">
        <v>3040</v>
      </c>
      <c r="H10115" t="s">
        <v>12662</v>
      </c>
      <c r="I10115">
        <v>36</v>
      </c>
      <c r="J10115">
        <v>0</v>
      </c>
      <c r="K10115">
        <v>0</v>
      </c>
      <c r="L10115">
        <v>0</v>
      </c>
      <c r="M10115">
        <v>36</v>
      </c>
      <c r="N10115">
        <v>0</v>
      </c>
      <c r="O10115">
        <v>0</v>
      </c>
    </row>
    <row r="10116" spans="1:15" x14ac:dyDescent="0.25">
      <c r="A10116" t="s">
        <v>1090</v>
      </c>
      <c r="B10116" t="s">
        <v>2875</v>
      </c>
      <c r="C10116" t="s">
        <v>927</v>
      </c>
      <c r="D10116" t="s">
        <v>3052</v>
      </c>
      <c r="E10116" t="s">
        <v>3053</v>
      </c>
      <c r="F10116" t="s">
        <v>283</v>
      </c>
      <c r="G10116" t="s">
        <v>3040</v>
      </c>
      <c r="H10116" t="s">
        <v>12663</v>
      </c>
      <c r="I10116">
        <v>4541</v>
      </c>
      <c r="J10116">
        <v>3827</v>
      </c>
      <c r="K10116">
        <v>0</v>
      </c>
      <c r="L10116">
        <v>0</v>
      </c>
      <c r="M10116">
        <v>276</v>
      </c>
      <c r="N10116">
        <v>23</v>
      </c>
      <c r="O10116">
        <v>438</v>
      </c>
    </row>
    <row r="10117" spans="1:15" x14ac:dyDescent="0.25">
      <c r="A10117" t="s">
        <v>1091</v>
      </c>
      <c r="B10117" t="s">
        <v>2951</v>
      </c>
      <c r="C10117" t="s">
        <v>923</v>
      </c>
      <c r="D10117" t="s">
        <v>3063</v>
      </c>
      <c r="E10117" t="s">
        <v>3053</v>
      </c>
      <c r="F10117" t="s">
        <v>283</v>
      </c>
      <c r="G10117" t="s">
        <v>3040</v>
      </c>
      <c r="H10117" t="s">
        <v>12665</v>
      </c>
      <c r="I10117">
        <v>69</v>
      </c>
      <c r="J10117">
        <v>0</v>
      </c>
      <c r="K10117">
        <v>0</v>
      </c>
      <c r="L10117">
        <v>0</v>
      </c>
      <c r="M10117">
        <v>69</v>
      </c>
      <c r="N10117">
        <v>0</v>
      </c>
      <c r="O10117">
        <v>0</v>
      </c>
    </row>
    <row r="10118" spans="1:15" x14ac:dyDescent="0.25">
      <c r="A10118" t="s">
        <v>1092</v>
      </c>
      <c r="B10118" t="s">
        <v>2953</v>
      </c>
      <c r="C10118" t="s">
        <v>923</v>
      </c>
      <c r="D10118" t="s">
        <v>3063</v>
      </c>
      <c r="E10118" t="s">
        <v>3053</v>
      </c>
      <c r="F10118" t="s">
        <v>283</v>
      </c>
      <c r="G10118" t="s">
        <v>3040</v>
      </c>
      <c r="H10118" t="s">
        <v>12672</v>
      </c>
      <c r="I10118">
        <v>166</v>
      </c>
      <c r="J10118">
        <v>63</v>
      </c>
      <c r="K10118">
        <v>0</v>
      </c>
      <c r="L10118">
        <v>0</v>
      </c>
      <c r="M10118">
        <v>103</v>
      </c>
      <c r="N10118">
        <v>0</v>
      </c>
      <c r="O10118">
        <v>0</v>
      </c>
    </row>
    <row r="10119" spans="1:15" x14ac:dyDescent="0.25">
      <c r="A10119" t="s">
        <v>9784</v>
      </c>
      <c r="B10119" t="s">
        <v>1994</v>
      </c>
      <c r="C10119" t="s">
        <v>927</v>
      </c>
      <c r="D10119" t="s">
        <v>3052</v>
      </c>
      <c r="E10119" t="s">
        <v>3053</v>
      </c>
      <c r="F10119" t="s">
        <v>283</v>
      </c>
      <c r="G10119" t="s">
        <v>3040</v>
      </c>
      <c r="H10119" t="s">
        <v>12682</v>
      </c>
      <c r="I10119">
        <v>36</v>
      </c>
      <c r="J10119">
        <v>0</v>
      </c>
      <c r="K10119">
        <v>0</v>
      </c>
      <c r="L10119">
        <v>36</v>
      </c>
      <c r="M10119">
        <v>0</v>
      </c>
      <c r="N10119">
        <v>0</v>
      </c>
      <c r="O10119">
        <v>0</v>
      </c>
    </row>
    <row r="10120" spans="1:15" x14ac:dyDescent="0.25">
      <c r="A10120" t="s">
        <v>1093</v>
      </c>
      <c r="B10120" t="s">
        <v>2737</v>
      </c>
      <c r="C10120" t="s">
        <v>923</v>
      </c>
      <c r="D10120" t="s">
        <v>3063</v>
      </c>
      <c r="E10120" t="s">
        <v>3053</v>
      </c>
      <c r="F10120" t="s">
        <v>283</v>
      </c>
      <c r="G10120" t="s">
        <v>3040</v>
      </c>
      <c r="H10120" t="s">
        <v>12695</v>
      </c>
      <c r="I10120">
        <v>38</v>
      </c>
      <c r="J10120">
        <v>0</v>
      </c>
      <c r="K10120">
        <v>0</v>
      </c>
      <c r="L10120">
        <v>0</v>
      </c>
      <c r="M10120">
        <v>38</v>
      </c>
      <c r="N10120">
        <v>0</v>
      </c>
      <c r="O10120">
        <v>0</v>
      </c>
    </row>
    <row r="10121" spans="1:15" x14ac:dyDescent="0.25">
      <c r="A10121" t="s">
        <v>1094</v>
      </c>
      <c r="B10121" t="s">
        <v>2742</v>
      </c>
      <c r="C10121" t="s">
        <v>923</v>
      </c>
      <c r="D10121" t="s">
        <v>3063</v>
      </c>
      <c r="E10121" t="s">
        <v>3053</v>
      </c>
      <c r="F10121" t="s">
        <v>283</v>
      </c>
      <c r="G10121" t="s">
        <v>3040</v>
      </c>
      <c r="H10121" t="s">
        <v>12699</v>
      </c>
      <c r="I10121">
        <v>23</v>
      </c>
      <c r="J10121">
        <v>17</v>
      </c>
      <c r="K10121">
        <v>0</v>
      </c>
      <c r="L10121">
        <v>6</v>
      </c>
      <c r="M10121">
        <v>0</v>
      </c>
      <c r="N10121">
        <v>0</v>
      </c>
      <c r="O10121">
        <v>0</v>
      </c>
    </row>
    <row r="10122" spans="1:15" x14ac:dyDescent="0.25">
      <c r="A10122" t="s">
        <v>1095</v>
      </c>
      <c r="B10122" t="s">
        <v>1946</v>
      </c>
      <c r="C10122" t="s">
        <v>923</v>
      </c>
      <c r="D10122" t="s">
        <v>3063</v>
      </c>
      <c r="E10122" t="s">
        <v>3053</v>
      </c>
      <c r="F10122" t="s">
        <v>283</v>
      </c>
      <c r="G10122" t="s">
        <v>3040</v>
      </c>
      <c r="H10122" t="s">
        <v>12705</v>
      </c>
      <c r="I10122">
        <v>44</v>
      </c>
      <c r="J10122">
        <v>0</v>
      </c>
      <c r="K10122">
        <v>0</v>
      </c>
      <c r="L10122">
        <v>44</v>
      </c>
      <c r="M10122">
        <v>0</v>
      </c>
      <c r="N10122">
        <v>0</v>
      </c>
      <c r="O10122">
        <v>0</v>
      </c>
    </row>
    <row r="10123" spans="1:15" x14ac:dyDescent="0.25">
      <c r="A10123" t="s">
        <v>1096</v>
      </c>
      <c r="B10123" t="s">
        <v>2332</v>
      </c>
      <c r="C10123" t="s">
        <v>923</v>
      </c>
      <c r="D10123" t="s">
        <v>3063</v>
      </c>
      <c r="E10123" t="s">
        <v>3053</v>
      </c>
      <c r="F10123" t="s">
        <v>283</v>
      </c>
      <c r="G10123" t="s">
        <v>3040</v>
      </c>
      <c r="H10123" t="s">
        <v>12719</v>
      </c>
      <c r="I10123">
        <v>27</v>
      </c>
      <c r="J10123">
        <v>0</v>
      </c>
      <c r="K10123">
        <v>0</v>
      </c>
      <c r="L10123">
        <v>27</v>
      </c>
      <c r="M10123">
        <v>0</v>
      </c>
      <c r="N10123">
        <v>0</v>
      </c>
      <c r="O10123">
        <v>0</v>
      </c>
    </row>
    <row r="10124" spans="1:15" x14ac:dyDescent="0.25">
      <c r="A10124" t="s">
        <v>981</v>
      </c>
      <c r="B10124" t="s">
        <v>2985</v>
      </c>
      <c r="C10124" t="s">
        <v>927</v>
      </c>
      <c r="D10124" t="s">
        <v>3052</v>
      </c>
      <c r="E10124" t="s">
        <v>3053</v>
      </c>
      <c r="F10124" t="s">
        <v>283</v>
      </c>
      <c r="G10124" t="s">
        <v>3040</v>
      </c>
      <c r="H10124" t="s">
        <v>12734</v>
      </c>
      <c r="I10124">
        <v>13661</v>
      </c>
      <c r="J10124">
        <v>10552</v>
      </c>
      <c r="K10124">
        <v>66</v>
      </c>
      <c r="L10124">
        <v>110</v>
      </c>
      <c r="M10124">
        <v>719</v>
      </c>
      <c r="N10124">
        <v>0</v>
      </c>
      <c r="O10124">
        <v>2214</v>
      </c>
    </row>
    <row r="10125" spans="1:15" x14ac:dyDescent="0.25">
      <c r="A10125" t="s">
        <v>10588</v>
      </c>
      <c r="B10125" t="s">
        <v>10587</v>
      </c>
      <c r="C10125" t="s">
        <v>923</v>
      </c>
      <c r="D10125" t="s">
        <v>3063</v>
      </c>
      <c r="E10125" t="s">
        <v>3053</v>
      </c>
      <c r="F10125" t="s">
        <v>283</v>
      </c>
      <c r="G10125" t="s">
        <v>3040</v>
      </c>
      <c r="H10125" t="s">
        <v>12742</v>
      </c>
      <c r="I10125">
        <v>7</v>
      </c>
      <c r="J10125">
        <v>0</v>
      </c>
      <c r="K10125">
        <v>0</v>
      </c>
      <c r="L10125">
        <v>0</v>
      </c>
      <c r="M10125">
        <v>7</v>
      </c>
      <c r="N10125">
        <v>0</v>
      </c>
      <c r="O10125">
        <v>0</v>
      </c>
    </row>
    <row r="10126" spans="1:15" x14ac:dyDescent="0.25">
      <c r="A10126" t="s">
        <v>1097</v>
      </c>
      <c r="B10126" t="s">
        <v>2717</v>
      </c>
      <c r="C10126" t="s">
        <v>923</v>
      </c>
      <c r="D10126" t="s">
        <v>3063</v>
      </c>
      <c r="E10126" t="s">
        <v>3053</v>
      </c>
      <c r="F10126" t="s">
        <v>283</v>
      </c>
      <c r="G10126" t="s">
        <v>3040</v>
      </c>
      <c r="H10126" t="s">
        <v>12744</v>
      </c>
      <c r="I10126">
        <v>6</v>
      </c>
      <c r="J10126">
        <v>0</v>
      </c>
      <c r="K10126">
        <v>0</v>
      </c>
      <c r="L10126">
        <v>0</v>
      </c>
      <c r="M10126">
        <v>6</v>
      </c>
      <c r="N10126">
        <v>0</v>
      </c>
      <c r="O10126">
        <v>0</v>
      </c>
    </row>
    <row r="10127" spans="1:15" x14ac:dyDescent="0.25">
      <c r="A10127" t="s">
        <v>1098</v>
      </c>
      <c r="B10127" t="s">
        <v>2730</v>
      </c>
      <c r="C10127" t="s">
        <v>923</v>
      </c>
      <c r="D10127" t="s">
        <v>3063</v>
      </c>
      <c r="E10127" t="s">
        <v>3053</v>
      </c>
      <c r="F10127" t="s">
        <v>283</v>
      </c>
      <c r="G10127" t="s">
        <v>3040</v>
      </c>
      <c r="H10127" t="s">
        <v>12745</v>
      </c>
      <c r="I10127">
        <v>142</v>
      </c>
      <c r="J10127">
        <v>135</v>
      </c>
      <c r="K10127">
        <v>7</v>
      </c>
      <c r="L10127">
        <v>0</v>
      </c>
      <c r="M10127">
        <v>0</v>
      </c>
      <c r="N10127">
        <v>0</v>
      </c>
      <c r="O10127">
        <v>0</v>
      </c>
    </row>
    <row r="10128" spans="1:15" x14ac:dyDescent="0.25">
      <c r="A10128" t="s">
        <v>1099</v>
      </c>
      <c r="B10128" t="s">
        <v>2641</v>
      </c>
      <c r="C10128" t="s">
        <v>927</v>
      </c>
      <c r="D10128" t="s">
        <v>3052</v>
      </c>
      <c r="E10128" t="s">
        <v>3053</v>
      </c>
      <c r="F10128" t="s">
        <v>283</v>
      </c>
      <c r="G10128" t="s">
        <v>3040</v>
      </c>
      <c r="H10128" t="s">
        <v>12762</v>
      </c>
      <c r="I10128">
        <v>5480</v>
      </c>
      <c r="J10128">
        <v>4406</v>
      </c>
      <c r="K10128">
        <v>4</v>
      </c>
      <c r="L10128">
        <v>140</v>
      </c>
      <c r="M10128">
        <v>599</v>
      </c>
      <c r="N10128">
        <v>1</v>
      </c>
      <c r="O10128">
        <v>331</v>
      </c>
    </row>
    <row r="10129" spans="1:15" x14ac:dyDescent="0.25">
      <c r="A10129" t="s">
        <v>11670</v>
      </c>
      <c r="B10129" t="s">
        <v>11741</v>
      </c>
      <c r="C10129" t="s">
        <v>923</v>
      </c>
      <c r="D10129" t="s">
        <v>3063</v>
      </c>
      <c r="E10129" t="s">
        <v>3053</v>
      </c>
      <c r="F10129" t="s">
        <v>283</v>
      </c>
      <c r="G10129" t="s">
        <v>3040</v>
      </c>
      <c r="H10129" t="s">
        <v>12805</v>
      </c>
      <c r="I10129">
        <v>2</v>
      </c>
      <c r="J10129">
        <v>0</v>
      </c>
      <c r="K10129">
        <v>2</v>
      </c>
      <c r="L10129">
        <v>0</v>
      </c>
      <c r="M10129">
        <v>0</v>
      </c>
      <c r="N10129">
        <v>0</v>
      </c>
      <c r="O10129">
        <v>0</v>
      </c>
    </row>
    <row r="10130" spans="1:15" x14ac:dyDescent="0.25">
      <c r="A10130" t="s">
        <v>1100</v>
      </c>
      <c r="B10130" t="s">
        <v>2855</v>
      </c>
      <c r="C10130" t="s">
        <v>927</v>
      </c>
      <c r="D10130" t="s">
        <v>3052</v>
      </c>
      <c r="E10130" t="s">
        <v>3053</v>
      </c>
      <c r="F10130" t="s">
        <v>283</v>
      </c>
      <c r="G10130" t="s">
        <v>3040</v>
      </c>
      <c r="H10130" t="s">
        <v>12809</v>
      </c>
      <c r="I10130">
        <v>10057</v>
      </c>
      <c r="J10130">
        <v>9520</v>
      </c>
      <c r="K10130">
        <v>0</v>
      </c>
      <c r="L10130">
        <v>38</v>
      </c>
      <c r="M10130">
        <v>0</v>
      </c>
      <c r="N10130">
        <v>35</v>
      </c>
      <c r="O10130">
        <v>499</v>
      </c>
    </row>
    <row r="10131" spans="1:15" x14ac:dyDescent="0.25">
      <c r="A10131" t="s">
        <v>1101</v>
      </c>
      <c r="B10131" t="s">
        <v>2242</v>
      </c>
      <c r="C10131" t="s">
        <v>923</v>
      </c>
      <c r="D10131" t="s">
        <v>3063</v>
      </c>
      <c r="E10131" t="s">
        <v>3053</v>
      </c>
      <c r="F10131" t="s">
        <v>283</v>
      </c>
      <c r="G10131" t="s">
        <v>3040</v>
      </c>
      <c r="H10131" t="s">
        <v>12812</v>
      </c>
      <c r="I10131">
        <v>2</v>
      </c>
      <c r="J10131">
        <v>2</v>
      </c>
      <c r="K10131">
        <v>0</v>
      </c>
      <c r="L10131">
        <v>0</v>
      </c>
      <c r="M10131">
        <v>0</v>
      </c>
      <c r="N10131">
        <v>2</v>
      </c>
      <c r="O10131">
        <v>0</v>
      </c>
    </row>
    <row r="10132" spans="1:15" x14ac:dyDescent="0.25">
      <c r="A10132" t="s">
        <v>1102</v>
      </c>
      <c r="B10132" t="s">
        <v>2801</v>
      </c>
      <c r="C10132" t="s">
        <v>923</v>
      </c>
      <c r="D10132" t="s">
        <v>3063</v>
      </c>
      <c r="E10132" t="s">
        <v>3053</v>
      </c>
      <c r="F10132" t="s">
        <v>283</v>
      </c>
      <c r="G10132" t="s">
        <v>3040</v>
      </c>
      <c r="H10132" t="s">
        <v>12819</v>
      </c>
      <c r="I10132">
        <v>5</v>
      </c>
      <c r="J10132">
        <v>5</v>
      </c>
      <c r="K10132">
        <v>0</v>
      </c>
      <c r="L10132">
        <v>0</v>
      </c>
      <c r="M10132">
        <v>0</v>
      </c>
      <c r="N10132">
        <v>0</v>
      </c>
      <c r="O10132">
        <v>0</v>
      </c>
    </row>
    <row r="10133" spans="1:15" x14ac:dyDescent="0.25">
      <c r="A10133" t="s">
        <v>989</v>
      </c>
      <c r="B10133" t="s">
        <v>2016</v>
      </c>
      <c r="C10133" t="s">
        <v>923</v>
      </c>
      <c r="D10133" t="s">
        <v>3063</v>
      </c>
      <c r="E10133" t="s">
        <v>3053</v>
      </c>
      <c r="F10133" t="s">
        <v>283</v>
      </c>
      <c r="G10133" t="s">
        <v>3040</v>
      </c>
      <c r="H10133" t="s">
        <v>12826</v>
      </c>
      <c r="I10133">
        <v>56</v>
      </c>
      <c r="J10133">
        <v>0</v>
      </c>
      <c r="K10133">
        <v>0</v>
      </c>
      <c r="L10133">
        <v>56</v>
      </c>
      <c r="M10133">
        <v>0</v>
      </c>
      <c r="N10133">
        <v>0</v>
      </c>
      <c r="O10133">
        <v>0</v>
      </c>
    </row>
    <row r="10134" spans="1:15" x14ac:dyDescent="0.25">
      <c r="A10134" t="s">
        <v>933</v>
      </c>
      <c r="B10134" t="s">
        <v>2106</v>
      </c>
      <c r="C10134" t="s">
        <v>927</v>
      </c>
      <c r="D10134" t="s">
        <v>3052</v>
      </c>
      <c r="E10134" t="s">
        <v>3053</v>
      </c>
      <c r="F10134" t="s">
        <v>283</v>
      </c>
      <c r="G10134" t="s">
        <v>3040</v>
      </c>
      <c r="H10134" t="s">
        <v>12842</v>
      </c>
      <c r="I10134">
        <v>26646</v>
      </c>
      <c r="J10134">
        <v>21974</v>
      </c>
      <c r="K10134">
        <v>236</v>
      </c>
      <c r="L10134">
        <v>244</v>
      </c>
      <c r="M10134">
        <v>2069</v>
      </c>
      <c r="N10134">
        <v>99</v>
      </c>
      <c r="O10134">
        <v>2123</v>
      </c>
    </row>
    <row r="10135" spans="1:15" x14ac:dyDescent="0.25">
      <c r="A10135" t="s">
        <v>1104</v>
      </c>
      <c r="B10135" t="s">
        <v>2483</v>
      </c>
      <c r="C10135" t="s">
        <v>923</v>
      </c>
      <c r="D10135" t="s">
        <v>3063</v>
      </c>
      <c r="E10135" t="s">
        <v>3053</v>
      </c>
      <c r="F10135" t="s">
        <v>283</v>
      </c>
      <c r="G10135" t="s">
        <v>3040</v>
      </c>
      <c r="H10135" t="s">
        <v>12865</v>
      </c>
      <c r="I10135">
        <v>4</v>
      </c>
      <c r="J10135">
        <v>4</v>
      </c>
      <c r="K10135">
        <v>0</v>
      </c>
      <c r="L10135">
        <v>0</v>
      </c>
      <c r="M10135">
        <v>0</v>
      </c>
      <c r="N10135">
        <v>0</v>
      </c>
      <c r="O10135">
        <v>0</v>
      </c>
    </row>
    <row r="10136" spans="1:15" x14ac:dyDescent="0.25">
      <c r="A10136" t="s">
        <v>1105</v>
      </c>
      <c r="B10136" t="s">
        <v>2918</v>
      </c>
      <c r="C10136" t="s">
        <v>923</v>
      </c>
      <c r="D10136" t="s">
        <v>3063</v>
      </c>
      <c r="E10136" t="s">
        <v>3053</v>
      </c>
      <c r="F10136" t="s">
        <v>283</v>
      </c>
      <c r="G10136" t="s">
        <v>3040</v>
      </c>
      <c r="H10136" t="s">
        <v>12868</v>
      </c>
      <c r="I10136">
        <v>117</v>
      </c>
      <c r="J10136">
        <v>117</v>
      </c>
      <c r="K10136">
        <v>0</v>
      </c>
      <c r="L10136">
        <v>0</v>
      </c>
      <c r="M10136">
        <v>0</v>
      </c>
      <c r="N10136">
        <v>0</v>
      </c>
      <c r="O10136">
        <v>0</v>
      </c>
    </row>
    <row r="10137" spans="1:15" x14ac:dyDescent="0.25">
      <c r="A10137" t="s">
        <v>1106</v>
      </c>
      <c r="B10137" t="s">
        <v>2960</v>
      </c>
      <c r="C10137" t="s">
        <v>923</v>
      </c>
      <c r="D10137" t="s">
        <v>3063</v>
      </c>
      <c r="E10137" t="s">
        <v>3053</v>
      </c>
      <c r="F10137" t="s">
        <v>283</v>
      </c>
      <c r="G10137" t="s">
        <v>3040</v>
      </c>
      <c r="H10137" t="s">
        <v>12877</v>
      </c>
      <c r="I10137">
        <v>51</v>
      </c>
      <c r="J10137">
        <v>0</v>
      </c>
      <c r="K10137">
        <v>0</v>
      </c>
      <c r="L10137">
        <v>0</v>
      </c>
      <c r="M10137">
        <v>51</v>
      </c>
      <c r="N10137">
        <v>0</v>
      </c>
      <c r="O10137">
        <v>0</v>
      </c>
    </row>
    <row r="10138" spans="1:15" x14ac:dyDescent="0.25">
      <c r="A10138" t="s">
        <v>992</v>
      </c>
      <c r="B10138" t="s">
        <v>3033</v>
      </c>
      <c r="C10138" t="s">
        <v>927</v>
      </c>
      <c r="D10138" t="s">
        <v>3052</v>
      </c>
      <c r="E10138" t="s">
        <v>3053</v>
      </c>
      <c r="F10138" t="s">
        <v>283</v>
      </c>
      <c r="G10138" t="s">
        <v>3040</v>
      </c>
      <c r="H10138" t="s">
        <v>12899</v>
      </c>
      <c r="I10138">
        <v>11821</v>
      </c>
      <c r="J10138">
        <v>9479</v>
      </c>
      <c r="K10138">
        <v>6</v>
      </c>
      <c r="L10138">
        <v>158</v>
      </c>
      <c r="M10138">
        <v>1209</v>
      </c>
      <c r="N10138">
        <v>0</v>
      </c>
      <c r="O10138">
        <v>969</v>
      </c>
    </row>
    <row r="10139" spans="1:15" x14ac:dyDescent="0.25">
      <c r="A10139" t="s">
        <v>1108</v>
      </c>
      <c r="B10139" t="s">
        <v>2746</v>
      </c>
      <c r="C10139" t="s">
        <v>923</v>
      </c>
      <c r="D10139" t="s">
        <v>3063</v>
      </c>
      <c r="E10139" t="s">
        <v>3053</v>
      </c>
      <c r="F10139" t="s">
        <v>283</v>
      </c>
      <c r="G10139" t="s">
        <v>3040</v>
      </c>
      <c r="H10139" t="s">
        <v>12905</v>
      </c>
      <c r="I10139">
        <v>44</v>
      </c>
      <c r="J10139">
        <v>0</v>
      </c>
      <c r="K10139">
        <v>0</v>
      </c>
      <c r="L10139">
        <v>0</v>
      </c>
      <c r="M10139">
        <v>44</v>
      </c>
      <c r="N10139">
        <v>0</v>
      </c>
      <c r="O10139">
        <v>0</v>
      </c>
    </row>
    <row r="10140" spans="1:15" x14ac:dyDescent="0.25">
      <c r="A10140" t="s">
        <v>996</v>
      </c>
      <c r="B10140" t="s">
        <v>1952</v>
      </c>
      <c r="C10140" t="s">
        <v>923</v>
      </c>
      <c r="D10140" t="s">
        <v>3063</v>
      </c>
      <c r="E10140" t="s">
        <v>3053</v>
      </c>
      <c r="F10140" t="s">
        <v>283</v>
      </c>
      <c r="G10140" t="s">
        <v>3040</v>
      </c>
      <c r="H10140" t="s">
        <v>12924</v>
      </c>
      <c r="I10140">
        <v>58</v>
      </c>
      <c r="J10140">
        <v>0</v>
      </c>
      <c r="K10140">
        <v>0</v>
      </c>
      <c r="L10140">
        <v>58</v>
      </c>
      <c r="M10140">
        <v>0</v>
      </c>
      <c r="N10140">
        <v>0</v>
      </c>
      <c r="O10140">
        <v>0</v>
      </c>
    </row>
    <row r="10141" spans="1:15" x14ac:dyDescent="0.25">
      <c r="A10141" t="s">
        <v>1109</v>
      </c>
      <c r="B10141" t="s">
        <v>2248</v>
      </c>
      <c r="C10141" t="s">
        <v>923</v>
      </c>
      <c r="D10141" t="s">
        <v>3063</v>
      </c>
      <c r="E10141" t="s">
        <v>3053</v>
      </c>
      <c r="F10141" t="s">
        <v>283</v>
      </c>
      <c r="G10141" t="s">
        <v>3040</v>
      </c>
      <c r="H10141" t="s">
        <v>12945</v>
      </c>
      <c r="I10141">
        <v>8</v>
      </c>
      <c r="J10141">
        <v>8</v>
      </c>
      <c r="K10141">
        <v>0</v>
      </c>
      <c r="L10141">
        <v>0</v>
      </c>
      <c r="M10141">
        <v>0</v>
      </c>
      <c r="N10141">
        <v>0</v>
      </c>
      <c r="O10141">
        <v>0</v>
      </c>
    </row>
    <row r="10142" spans="1:15" x14ac:dyDescent="0.25">
      <c r="A10142" t="s">
        <v>1110</v>
      </c>
      <c r="B10142" t="s">
        <v>2888</v>
      </c>
      <c r="C10142" t="s">
        <v>927</v>
      </c>
      <c r="D10142" t="s">
        <v>3052</v>
      </c>
      <c r="E10142" t="s">
        <v>3053</v>
      </c>
      <c r="F10142" t="s">
        <v>283</v>
      </c>
      <c r="G10142" t="s">
        <v>3040</v>
      </c>
      <c r="H10142" t="s">
        <v>12950</v>
      </c>
      <c r="I10142">
        <v>12848</v>
      </c>
      <c r="J10142">
        <v>11199</v>
      </c>
      <c r="K10142">
        <v>0</v>
      </c>
      <c r="L10142">
        <v>149</v>
      </c>
      <c r="M10142">
        <v>637</v>
      </c>
      <c r="N10142">
        <v>5</v>
      </c>
      <c r="O10142">
        <v>863</v>
      </c>
    </row>
    <row r="10143" spans="1:15" x14ac:dyDescent="0.25">
      <c r="A10143" t="s">
        <v>997</v>
      </c>
      <c r="B10143" t="s">
        <v>2033</v>
      </c>
      <c r="C10143" t="s">
        <v>927</v>
      </c>
      <c r="D10143" t="s">
        <v>3052</v>
      </c>
      <c r="E10143" t="s">
        <v>3053</v>
      </c>
      <c r="F10143" t="s">
        <v>283</v>
      </c>
      <c r="G10143" t="s">
        <v>3040</v>
      </c>
      <c r="H10143" t="s">
        <v>12968</v>
      </c>
      <c r="I10143">
        <v>1</v>
      </c>
      <c r="J10143">
        <v>0</v>
      </c>
      <c r="K10143">
        <v>0</v>
      </c>
      <c r="L10143">
        <v>0</v>
      </c>
      <c r="M10143">
        <v>0</v>
      </c>
      <c r="N10143">
        <v>0</v>
      </c>
      <c r="O10143">
        <v>1</v>
      </c>
    </row>
    <row r="10144" spans="1:15" x14ac:dyDescent="0.25">
      <c r="A10144" t="s">
        <v>935</v>
      </c>
      <c r="B10144" t="s">
        <v>1960</v>
      </c>
      <c r="C10144" t="s">
        <v>923</v>
      </c>
      <c r="D10144" t="s">
        <v>3063</v>
      </c>
      <c r="E10144" t="s">
        <v>3053</v>
      </c>
      <c r="F10144" t="s">
        <v>283</v>
      </c>
      <c r="G10144" t="s">
        <v>3040</v>
      </c>
      <c r="H10144" t="s">
        <v>12974</v>
      </c>
      <c r="I10144">
        <v>34</v>
      </c>
      <c r="J10144">
        <v>0</v>
      </c>
      <c r="K10144">
        <v>0</v>
      </c>
      <c r="L10144">
        <v>34</v>
      </c>
      <c r="M10144">
        <v>0</v>
      </c>
      <c r="N10144">
        <v>0</v>
      </c>
      <c r="O10144">
        <v>0</v>
      </c>
    </row>
    <row r="10145" spans="1:15" x14ac:dyDescent="0.25">
      <c r="A10145" t="s">
        <v>11660</v>
      </c>
      <c r="B10145" t="s">
        <v>2041</v>
      </c>
      <c r="C10145" t="s">
        <v>923</v>
      </c>
      <c r="D10145" t="s">
        <v>3063</v>
      </c>
      <c r="E10145" t="s">
        <v>3053</v>
      </c>
      <c r="F10145" t="s">
        <v>283</v>
      </c>
      <c r="G10145" t="s">
        <v>3040</v>
      </c>
      <c r="H10145" t="s">
        <v>12983</v>
      </c>
      <c r="I10145">
        <v>31</v>
      </c>
      <c r="J10145">
        <v>0</v>
      </c>
      <c r="K10145">
        <v>0</v>
      </c>
      <c r="L10145">
        <v>31</v>
      </c>
      <c r="M10145">
        <v>0</v>
      </c>
      <c r="N10145">
        <v>0</v>
      </c>
      <c r="O10145">
        <v>0</v>
      </c>
    </row>
    <row r="10146" spans="1:15" x14ac:dyDescent="0.25">
      <c r="A10146" t="s">
        <v>998</v>
      </c>
      <c r="B10146" t="s">
        <v>2820</v>
      </c>
      <c r="C10146" t="s">
        <v>927</v>
      </c>
      <c r="D10146" t="s">
        <v>3052</v>
      </c>
      <c r="E10146" t="s">
        <v>3053</v>
      </c>
      <c r="F10146" t="s">
        <v>283</v>
      </c>
      <c r="G10146" t="s">
        <v>3040</v>
      </c>
      <c r="H10146" t="s">
        <v>12992</v>
      </c>
      <c r="I10146">
        <v>280</v>
      </c>
      <c r="J10146">
        <v>221</v>
      </c>
      <c r="K10146">
        <v>0</v>
      </c>
      <c r="L10146">
        <v>0</v>
      </c>
      <c r="M10146">
        <v>0</v>
      </c>
      <c r="N10146">
        <v>0</v>
      </c>
      <c r="O10146">
        <v>59</v>
      </c>
    </row>
    <row r="10147" spans="1:15" x14ac:dyDescent="0.25">
      <c r="A10147" t="s">
        <v>1111</v>
      </c>
      <c r="B10147" t="s">
        <v>2795</v>
      </c>
      <c r="C10147" t="s">
        <v>927</v>
      </c>
      <c r="D10147" t="s">
        <v>3052</v>
      </c>
      <c r="E10147" t="s">
        <v>3053</v>
      </c>
      <c r="F10147" t="s">
        <v>283</v>
      </c>
      <c r="G10147" t="s">
        <v>3040</v>
      </c>
      <c r="H10147" t="s">
        <v>12998</v>
      </c>
      <c r="I10147">
        <v>3552</v>
      </c>
      <c r="J10147">
        <v>2975</v>
      </c>
      <c r="K10147">
        <v>0</v>
      </c>
      <c r="L10147">
        <v>96</v>
      </c>
      <c r="M10147">
        <v>78</v>
      </c>
      <c r="N10147">
        <v>0</v>
      </c>
      <c r="O10147">
        <v>403</v>
      </c>
    </row>
    <row r="10148" spans="1:15" x14ac:dyDescent="0.25">
      <c r="A10148" t="s">
        <v>10624</v>
      </c>
      <c r="B10148" t="s">
        <v>2882</v>
      </c>
      <c r="C10148" t="s">
        <v>927</v>
      </c>
      <c r="D10148" t="s">
        <v>3052</v>
      </c>
      <c r="E10148" t="s">
        <v>3053</v>
      </c>
      <c r="F10148" t="s">
        <v>283</v>
      </c>
      <c r="G10148" t="s">
        <v>3040</v>
      </c>
      <c r="H10148" t="s">
        <v>13008</v>
      </c>
      <c r="I10148">
        <v>50</v>
      </c>
      <c r="J10148">
        <v>28</v>
      </c>
      <c r="K10148">
        <v>0</v>
      </c>
      <c r="L10148">
        <v>0</v>
      </c>
      <c r="M10148">
        <v>0</v>
      </c>
      <c r="N10148">
        <v>0</v>
      </c>
      <c r="O10148">
        <v>22</v>
      </c>
    </row>
    <row r="10149" spans="1:15" x14ac:dyDescent="0.25">
      <c r="A10149" t="s">
        <v>1416</v>
      </c>
      <c r="B10149" t="s">
        <v>2029</v>
      </c>
      <c r="C10149" t="s">
        <v>923</v>
      </c>
      <c r="D10149" t="s">
        <v>3063</v>
      </c>
      <c r="E10149" t="s">
        <v>3053</v>
      </c>
      <c r="F10149" t="s">
        <v>283</v>
      </c>
      <c r="G10149" t="s">
        <v>3040</v>
      </c>
      <c r="H10149" t="s">
        <v>13013</v>
      </c>
      <c r="I10149">
        <v>79</v>
      </c>
      <c r="J10149">
        <v>0</v>
      </c>
      <c r="K10149">
        <v>0</v>
      </c>
      <c r="L10149">
        <v>79</v>
      </c>
      <c r="M10149">
        <v>0</v>
      </c>
      <c r="N10149">
        <v>0</v>
      </c>
      <c r="O10149">
        <v>0</v>
      </c>
    </row>
    <row r="10150" spans="1:15" x14ac:dyDescent="0.25">
      <c r="A10150" t="s">
        <v>1112</v>
      </c>
      <c r="B10150" t="s">
        <v>2143</v>
      </c>
      <c r="C10150" t="s">
        <v>927</v>
      </c>
      <c r="D10150" t="s">
        <v>3052</v>
      </c>
      <c r="E10150" t="s">
        <v>3053</v>
      </c>
      <c r="F10150" t="s">
        <v>283</v>
      </c>
      <c r="G10150" t="s">
        <v>3040</v>
      </c>
      <c r="H10150" t="s">
        <v>13028</v>
      </c>
      <c r="I10150">
        <v>2298</v>
      </c>
      <c r="J10150">
        <v>1623</v>
      </c>
      <c r="K10150">
        <v>0</v>
      </c>
      <c r="L10150">
        <v>45</v>
      </c>
      <c r="M10150">
        <v>463</v>
      </c>
      <c r="N10150">
        <v>1</v>
      </c>
      <c r="O10150">
        <v>167</v>
      </c>
    </row>
    <row r="10151" spans="1:15" x14ac:dyDescent="0.25">
      <c r="A10151" t="s">
        <v>1000</v>
      </c>
      <c r="B10151" t="s">
        <v>1984</v>
      </c>
      <c r="C10151" t="s">
        <v>923</v>
      </c>
      <c r="D10151" t="s">
        <v>3063</v>
      </c>
      <c r="E10151" t="s">
        <v>3053</v>
      </c>
      <c r="F10151" t="s">
        <v>283</v>
      </c>
      <c r="G10151" t="s">
        <v>3040</v>
      </c>
      <c r="H10151" t="s">
        <v>13030</v>
      </c>
      <c r="I10151">
        <v>85</v>
      </c>
      <c r="J10151">
        <v>0</v>
      </c>
      <c r="K10151">
        <v>0</v>
      </c>
      <c r="L10151">
        <v>85</v>
      </c>
      <c r="M10151">
        <v>0</v>
      </c>
      <c r="N10151">
        <v>0</v>
      </c>
      <c r="O10151">
        <v>0</v>
      </c>
    </row>
    <row r="10152" spans="1:15" x14ac:dyDescent="0.25">
      <c r="A10152" t="s">
        <v>1113</v>
      </c>
      <c r="B10152" t="s">
        <v>1953</v>
      </c>
      <c r="C10152" t="s">
        <v>927</v>
      </c>
      <c r="D10152" t="s">
        <v>3052</v>
      </c>
      <c r="E10152" t="s">
        <v>3053</v>
      </c>
      <c r="F10152" t="s">
        <v>283</v>
      </c>
      <c r="G10152" t="s">
        <v>3040</v>
      </c>
      <c r="H10152" t="s">
        <v>13038</v>
      </c>
      <c r="I10152">
        <v>32023</v>
      </c>
      <c r="J10152">
        <v>29337</v>
      </c>
      <c r="K10152">
        <v>0</v>
      </c>
      <c r="L10152">
        <v>221</v>
      </c>
      <c r="M10152">
        <v>423</v>
      </c>
      <c r="N10152">
        <v>713</v>
      </c>
      <c r="O10152">
        <v>2042</v>
      </c>
    </row>
    <row r="10153" spans="1:15" x14ac:dyDescent="0.25">
      <c r="A10153" t="s">
        <v>10630</v>
      </c>
      <c r="B10153" t="s">
        <v>10629</v>
      </c>
      <c r="C10153" t="s">
        <v>923</v>
      </c>
      <c r="D10153" t="s">
        <v>3063</v>
      </c>
      <c r="E10153" t="s">
        <v>3053</v>
      </c>
      <c r="F10153" t="s">
        <v>283</v>
      </c>
      <c r="G10153" t="s">
        <v>3040</v>
      </c>
      <c r="H10153" t="s">
        <v>15516</v>
      </c>
      <c r="I10153">
        <v>8</v>
      </c>
      <c r="J10153">
        <v>8</v>
      </c>
      <c r="K10153">
        <v>0</v>
      </c>
      <c r="L10153">
        <v>0</v>
      </c>
      <c r="M10153">
        <v>0</v>
      </c>
      <c r="N10153">
        <v>0</v>
      </c>
      <c r="O10153">
        <v>0</v>
      </c>
    </row>
    <row r="10154" spans="1:15" x14ac:dyDescent="0.25">
      <c r="A10154" t="s">
        <v>1114</v>
      </c>
      <c r="B10154" t="s">
        <v>2879</v>
      </c>
      <c r="C10154" t="s">
        <v>927</v>
      </c>
      <c r="D10154" t="s">
        <v>3052</v>
      </c>
      <c r="E10154" t="s">
        <v>3053</v>
      </c>
      <c r="F10154" t="s">
        <v>283</v>
      </c>
      <c r="G10154" t="s">
        <v>3040</v>
      </c>
      <c r="H10154" t="s">
        <v>13053</v>
      </c>
      <c r="I10154">
        <v>6823</v>
      </c>
      <c r="J10154">
        <v>6148</v>
      </c>
      <c r="K10154">
        <v>22</v>
      </c>
      <c r="L10154">
        <v>26</v>
      </c>
      <c r="M10154">
        <v>567</v>
      </c>
      <c r="N10154">
        <v>76</v>
      </c>
      <c r="O10154">
        <v>60</v>
      </c>
    </row>
    <row r="10155" spans="1:15" x14ac:dyDescent="0.25">
      <c r="A10155" t="s">
        <v>1002</v>
      </c>
      <c r="B10155" t="s">
        <v>2078</v>
      </c>
      <c r="C10155" t="s">
        <v>923</v>
      </c>
      <c r="D10155" t="s">
        <v>3063</v>
      </c>
      <c r="E10155" t="s">
        <v>3053</v>
      </c>
      <c r="F10155" t="s">
        <v>283</v>
      </c>
      <c r="G10155" t="s">
        <v>3040</v>
      </c>
      <c r="H10155" t="s">
        <v>13060</v>
      </c>
      <c r="I10155">
        <v>1</v>
      </c>
      <c r="J10155">
        <v>0</v>
      </c>
      <c r="K10155">
        <v>0</v>
      </c>
      <c r="L10155">
        <v>1</v>
      </c>
      <c r="M10155">
        <v>0</v>
      </c>
      <c r="N10155">
        <v>0</v>
      </c>
      <c r="O10155">
        <v>0</v>
      </c>
    </row>
    <row r="10156" spans="1:15" x14ac:dyDescent="0.25">
      <c r="A10156" t="s">
        <v>1003</v>
      </c>
      <c r="B10156" t="s">
        <v>2862</v>
      </c>
      <c r="C10156" t="s">
        <v>927</v>
      </c>
      <c r="D10156" t="s">
        <v>3052</v>
      </c>
      <c r="E10156" t="s">
        <v>3053</v>
      </c>
      <c r="F10156" t="s">
        <v>283</v>
      </c>
      <c r="G10156" t="s">
        <v>3040</v>
      </c>
      <c r="H10156" t="s">
        <v>13062</v>
      </c>
      <c r="I10156">
        <v>43</v>
      </c>
      <c r="J10156">
        <v>15</v>
      </c>
      <c r="K10156">
        <v>16</v>
      </c>
      <c r="L10156">
        <v>0</v>
      </c>
      <c r="M10156">
        <v>0</v>
      </c>
      <c r="N10156">
        <v>0</v>
      </c>
      <c r="O10156">
        <v>12</v>
      </c>
    </row>
    <row r="10157" spans="1:15" x14ac:dyDescent="0.25">
      <c r="A10157" t="s">
        <v>1115</v>
      </c>
      <c r="B10157" t="s">
        <v>2677</v>
      </c>
      <c r="C10157" t="s">
        <v>927</v>
      </c>
      <c r="D10157" t="s">
        <v>3052</v>
      </c>
      <c r="E10157" t="s">
        <v>3053</v>
      </c>
      <c r="F10157" t="s">
        <v>283</v>
      </c>
      <c r="G10157" t="s">
        <v>3040</v>
      </c>
      <c r="H10157" t="s">
        <v>13064</v>
      </c>
      <c r="I10157">
        <v>1</v>
      </c>
      <c r="J10157">
        <v>0</v>
      </c>
      <c r="K10157">
        <v>0</v>
      </c>
      <c r="L10157">
        <v>0</v>
      </c>
      <c r="M10157">
        <v>0</v>
      </c>
      <c r="N10157">
        <v>0</v>
      </c>
      <c r="O10157">
        <v>1</v>
      </c>
    </row>
    <row r="10158" spans="1:15" x14ac:dyDescent="0.25">
      <c r="A10158" t="s">
        <v>1116</v>
      </c>
      <c r="B10158" t="s">
        <v>2508</v>
      </c>
      <c r="C10158" t="s">
        <v>923</v>
      </c>
      <c r="D10158" t="s">
        <v>3063</v>
      </c>
      <c r="E10158" t="s">
        <v>3053</v>
      </c>
      <c r="F10158" t="s">
        <v>283</v>
      </c>
      <c r="G10158" t="s">
        <v>3040</v>
      </c>
      <c r="H10158" t="s">
        <v>13066</v>
      </c>
      <c r="I10158">
        <v>20</v>
      </c>
      <c r="J10158">
        <v>20</v>
      </c>
      <c r="K10158">
        <v>0</v>
      </c>
      <c r="L10158">
        <v>0</v>
      </c>
      <c r="M10158">
        <v>0</v>
      </c>
      <c r="N10158">
        <v>0</v>
      </c>
      <c r="O10158">
        <v>0</v>
      </c>
    </row>
    <row r="10159" spans="1:15" x14ac:dyDescent="0.25">
      <c r="A10159" t="s">
        <v>10638</v>
      </c>
      <c r="B10159" t="s">
        <v>2057</v>
      </c>
      <c r="C10159" t="s">
        <v>927</v>
      </c>
      <c r="D10159" t="s">
        <v>3052</v>
      </c>
      <c r="E10159" t="s">
        <v>3053</v>
      </c>
      <c r="F10159" t="s">
        <v>283</v>
      </c>
      <c r="G10159" t="s">
        <v>3040</v>
      </c>
      <c r="H10159" t="s">
        <v>13077</v>
      </c>
      <c r="I10159">
        <v>211</v>
      </c>
      <c r="J10159">
        <v>0</v>
      </c>
      <c r="K10159">
        <v>0</v>
      </c>
      <c r="L10159">
        <v>211</v>
      </c>
      <c r="M10159">
        <v>0</v>
      </c>
      <c r="N10159">
        <v>0</v>
      </c>
      <c r="O10159">
        <v>0</v>
      </c>
    </row>
    <row r="10160" spans="1:15" x14ac:dyDescent="0.25">
      <c r="A10160" t="s">
        <v>10640</v>
      </c>
      <c r="B10160" t="s">
        <v>10639</v>
      </c>
      <c r="C10160" t="s">
        <v>923</v>
      </c>
      <c r="D10160" t="s">
        <v>3063</v>
      </c>
      <c r="E10160" t="s">
        <v>3053</v>
      </c>
      <c r="F10160" t="s">
        <v>283</v>
      </c>
      <c r="G10160" t="s">
        <v>3040</v>
      </c>
      <c r="H10160" t="s">
        <v>13092</v>
      </c>
      <c r="I10160">
        <v>31</v>
      </c>
      <c r="J10160">
        <v>31</v>
      </c>
      <c r="K10160">
        <v>0</v>
      </c>
      <c r="L10160">
        <v>0</v>
      </c>
      <c r="M10160">
        <v>0</v>
      </c>
      <c r="N10160">
        <v>0</v>
      </c>
      <c r="O10160">
        <v>0</v>
      </c>
    </row>
    <row r="10161" spans="1:15" x14ac:dyDescent="0.25">
      <c r="A10161" t="s">
        <v>1005</v>
      </c>
      <c r="B10161" t="s">
        <v>2128</v>
      </c>
      <c r="C10161" t="s">
        <v>927</v>
      </c>
      <c r="D10161" t="s">
        <v>3052</v>
      </c>
      <c r="E10161" t="s">
        <v>3053</v>
      </c>
      <c r="F10161" t="s">
        <v>283</v>
      </c>
      <c r="G10161" t="s">
        <v>3040</v>
      </c>
      <c r="H10161" t="s">
        <v>13095</v>
      </c>
      <c r="I10161">
        <v>7196</v>
      </c>
      <c r="J10161">
        <v>5983</v>
      </c>
      <c r="K10161">
        <v>0</v>
      </c>
      <c r="L10161">
        <v>351</v>
      </c>
      <c r="M10161">
        <v>355</v>
      </c>
      <c r="N10161">
        <v>1</v>
      </c>
      <c r="O10161">
        <v>507</v>
      </c>
    </row>
    <row r="10162" spans="1:15" x14ac:dyDescent="0.25">
      <c r="A10162" t="s">
        <v>1117</v>
      </c>
      <c r="B10162" t="s">
        <v>2182</v>
      </c>
      <c r="C10162" t="s">
        <v>923</v>
      </c>
      <c r="D10162" t="s">
        <v>3063</v>
      </c>
      <c r="E10162" t="s">
        <v>3053</v>
      </c>
      <c r="F10162" t="s">
        <v>283</v>
      </c>
      <c r="G10162" t="s">
        <v>3040</v>
      </c>
      <c r="H10162" t="s">
        <v>13100</v>
      </c>
      <c r="I10162">
        <v>99</v>
      </c>
      <c r="J10162">
        <v>0</v>
      </c>
      <c r="K10162">
        <v>0</v>
      </c>
      <c r="L10162">
        <v>0</v>
      </c>
      <c r="M10162">
        <v>99</v>
      </c>
      <c r="N10162">
        <v>0</v>
      </c>
      <c r="O10162">
        <v>0</v>
      </c>
    </row>
    <row r="10163" spans="1:15" x14ac:dyDescent="0.25">
      <c r="A10163" t="s">
        <v>1008</v>
      </c>
      <c r="B10163" t="s">
        <v>2928</v>
      </c>
      <c r="C10163" t="s">
        <v>927</v>
      </c>
      <c r="D10163" t="s">
        <v>3052</v>
      </c>
      <c r="E10163" t="s">
        <v>3053</v>
      </c>
      <c r="F10163" t="s">
        <v>283</v>
      </c>
      <c r="G10163" t="s">
        <v>3040</v>
      </c>
      <c r="H10163" t="s">
        <v>13123</v>
      </c>
      <c r="I10163">
        <v>295</v>
      </c>
      <c r="J10163">
        <v>238</v>
      </c>
      <c r="K10163">
        <v>0</v>
      </c>
      <c r="L10163">
        <v>14</v>
      </c>
      <c r="M10163">
        <v>41</v>
      </c>
      <c r="N10163">
        <v>14</v>
      </c>
      <c r="O10163">
        <v>2</v>
      </c>
    </row>
    <row r="10164" spans="1:15" x14ac:dyDescent="0.25">
      <c r="A10164" t="s">
        <v>1009</v>
      </c>
      <c r="B10164" t="s">
        <v>1958</v>
      </c>
      <c r="C10164" t="s">
        <v>923</v>
      </c>
      <c r="D10164" t="s">
        <v>3063</v>
      </c>
      <c r="E10164" t="s">
        <v>3053</v>
      </c>
      <c r="F10164" t="s">
        <v>283</v>
      </c>
      <c r="G10164" t="s">
        <v>3040</v>
      </c>
      <c r="H10164" t="s">
        <v>13135</v>
      </c>
      <c r="I10164">
        <v>10</v>
      </c>
      <c r="J10164">
        <v>0</v>
      </c>
      <c r="K10164">
        <v>0</v>
      </c>
      <c r="L10164">
        <v>10</v>
      </c>
      <c r="M10164">
        <v>0</v>
      </c>
      <c r="N10164">
        <v>0</v>
      </c>
      <c r="O10164">
        <v>0</v>
      </c>
    </row>
    <row r="10165" spans="1:15" x14ac:dyDescent="0.25">
      <c r="A10165" t="s">
        <v>1118</v>
      </c>
      <c r="B10165" t="s">
        <v>2149</v>
      </c>
      <c r="C10165" t="s">
        <v>923</v>
      </c>
      <c r="D10165" t="s">
        <v>3063</v>
      </c>
      <c r="E10165" t="s">
        <v>3053</v>
      </c>
      <c r="F10165" t="s">
        <v>283</v>
      </c>
      <c r="G10165" t="s">
        <v>3040</v>
      </c>
      <c r="H10165" t="s">
        <v>13149</v>
      </c>
      <c r="I10165">
        <v>14</v>
      </c>
      <c r="J10165">
        <v>0</v>
      </c>
      <c r="K10165">
        <v>0</v>
      </c>
      <c r="L10165">
        <v>0</v>
      </c>
      <c r="M10165">
        <v>14</v>
      </c>
      <c r="N10165">
        <v>0</v>
      </c>
      <c r="O10165">
        <v>0</v>
      </c>
    </row>
    <row r="10166" spans="1:15" x14ac:dyDescent="0.25">
      <c r="A10166" t="s">
        <v>1010</v>
      </c>
      <c r="B10166" t="s">
        <v>2639</v>
      </c>
      <c r="C10166" t="s">
        <v>927</v>
      </c>
      <c r="D10166" t="s">
        <v>3052</v>
      </c>
      <c r="E10166" t="s">
        <v>3053</v>
      </c>
      <c r="F10166" t="s">
        <v>283</v>
      </c>
      <c r="G10166" t="s">
        <v>3040</v>
      </c>
      <c r="H10166" t="s">
        <v>13158</v>
      </c>
      <c r="I10166">
        <v>1923</v>
      </c>
      <c r="J10166">
        <v>1565</v>
      </c>
      <c r="K10166">
        <v>0</v>
      </c>
      <c r="L10166">
        <v>0</v>
      </c>
      <c r="M10166">
        <v>0</v>
      </c>
      <c r="N10166">
        <v>5</v>
      </c>
      <c r="O10166">
        <v>358</v>
      </c>
    </row>
    <row r="10167" spans="1:15" x14ac:dyDescent="0.25">
      <c r="A10167" t="s">
        <v>9792</v>
      </c>
      <c r="B10167" t="s">
        <v>3015</v>
      </c>
      <c r="C10167" t="s">
        <v>923</v>
      </c>
      <c r="D10167" t="s">
        <v>3063</v>
      </c>
      <c r="E10167" t="s">
        <v>3053</v>
      </c>
      <c r="F10167" t="s">
        <v>283</v>
      </c>
      <c r="G10167" t="s">
        <v>3040</v>
      </c>
      <c r="H10167" t="s">
        <v>13177</v>
      </c>
      <c r="I10167">
        <v>57</v>
      </c>
      <c r="J10167">
        <v>0</v>
      </c>
      <c r="K10167">
        <v>0</v>
      </c>
      <c r="L10167">
        <v>57</v>
      </c>
      <c r="M10167">
        <v>0</v>
      </c>
      <c r="N10167">
        <v>0</v>
      </c>
      <c r="O10167">
        <v>0</v>
      </c>
    </row>
    <row r="10168" spans="1:15" x14ac:dyDescent="0.25">
      <c r="A10168" t="s">
        <v>937</v>
      </c>
      <c r="B10168" t="s">
        <v>1962</v>
      </c>
      <c r="C10168" t="s">
        <v>927</v>
      </c>
      <c r="D10168" t="s">
        <v>3052</v>
      </c>
      <c r="E10168" t="s">
        <v>3053</v>
      </c>
      <c r="F10168" t="s">
        <v>283</v>
      </c>
      <c r="G10168" t="s">
        <v>3040</v>
      </c>
      <c r="H10168" t="s">
        <v>13183</v>
      </c>
      <c r="I10168">
        <v>798</v>
      </c>
      <c r="J10168">
        <v>0</v>
      </c>
      <c r="K10168">
        <v>0</v>
      </c>
      <c r="L10168">
        <v>0</v>
      </c>
      <c r="M10168">
        <v>0</v>
      </c>
      <c r="N10168">
        <v>0</v>
      </c>
      <c r="O10168">
        <v>798</v>
      </c>
    </row>
    <row r="10169" spans="1:15" x14ac:dyDescent="0.25">
      <c r="A10169" t="s">
        <v>1119</v>
      </c>
      <c r="B10169" t="s">
        <v>2777</v>
      </c>
      <c r="C10169" t="s">
        <v>927</v>
      </c>
      <c r="D10169" t="s">
        <v>3052</v>
      </c>
      <c r="E10169" t="s">
        <v>3053</v>
      </c>
      <c r="F10169" t="s">
        <v>283</v>
      </c>
      <c r="G10169" t="s">
        <v>3040</v>
      </c>
      <c r="H10169" t="s">
        <v>13195</v>
      </c>
      <c r="I10169">
        <v>6203</v>
      </c>
      <c r="J10169">
        <v>4757</v>
      </c>
      <c r="K10169">
        <v>0</v>
      </c>
      <c r="L10169">
        <v>360</v>
      </c>
      <c r="M10169">
        <v>81</v>
      </c>
      <c r="N10169">
        <v>0</v>
      </c>
      <c r="O10169">
        <v>1005</v>
      </c>
    </row>
    <row r="10170" spans="1:15" x14ac:dyDescent="0.25">
      <c r="A10170" t="s">
        <v>1011</v>
      </c>
      <c r="B10170" t="s">
        <v>2020</v>
      </c>
      <c r="C10170" t="s">
        <v>927</v>
      </c>
      <c r="D10170" t="s">
        <v>3052</v>
      </c>
      <c r="E10170" t="s">
        <v>3053</v>
      </c>
      <c r="F10170" t="s">
        <v>283</v>
      </c>
      <c r="G10170" t="s">
        <v>3040</v>
      </c>
      <c r="H10170" t="s">
        <v>13199</v>
      </c>
      <c r="I10170">
        <v>28</v>
      </c>
      <c r="J10170">
        <v>0</v>
      </c>
      <c r="K10170">
        <v>0</v>
      </c>
      <c r="L10170">
        <v>28</v>
      </c>
      <c r="M10170">
        <v>0</v>
      </c>
      <c r="N10170">
        <v>0</v>
      </c>
      <c r="O10170">
        <v>0</v>
      </c>
    </row>
    <row r="10171" spans="1:15" x14ac:dyDescent="0.25">
      <c r="A10171" t="s">
        <v>938</v>
      </c>
      <c r="B10171" t="s">
        <v>2791</v>
      </c>
      <c r="C10171" t="s">
        <v>927</v>
      </c>
      <c r="D10171" t="s">
        <v>3052</v>
      </c>
      <c r="E10171" t="s">
        <v>3053</v>
      </c>
      <c r="F10171" t="s">
        <v>283</v>
      </c>
      <c r="G10171" t="s">
        <v>3040</v>
      </c>
      <c r="H10171" t="s">
        <v>13214</v>
      </c>
      <c r="I10171">
        <v>4938</v>
      </c>
      <c r="J10171">
        <v>3686</v>
      </c>
      <c r="K10171">
        <v>0</v>
      </c>
      <c r="L10171">
        <v>285</v>
      </c>
      <c r="M10171">
        <v>394</v>
      </c>
      <c r="N10171">
        <v>5</v>
      </c>
      <c r="O10171">
        <v>573</v>
      </c>
    </row>
    <row r="10172" spans="1:15" x14ac:dyDescent="0.25">
      <c r="A10172" t="s">
        <v>1120</v>
      </c>
      <c r="B10172" t="s">
        <v>2011</v>
      </c>
      <c r="C10172" t="s">
        <v>923</v>
      </c>
      <c r="D10172" t="s">
        <v>3063</v>
      </c>
      <c r="E10172" t="s">
        <v>3053</v>
      </c>
      <c r="F10172" t="s">
        <v>283</v>
      </c>
      <c r="G10172" t="s">
        <v>3040</v>
      </c>
      <c r="H10172" t="s">
        <v>13222</v>
      </c>
      <c r="I10172">
        <v>305</v>
      </c>
      <c r="J10172">
        <v>0</v>
      </c>
      <c r="K10172">
        <v>0</v>
      </c>
      <c r="L10172">
        <v>305</v>
      </c>
      <c r="M10172">
        <v>0</v>
      </c>
      <c r="N10172">
        <v>0</v>
      </c>
      <c r="O10172">
        <v>0</v>
      </c>
    </row>
    <row r="10173" spans="1:15" x14ac:dyDescent="0.25">
      <c r="A10173" t="s">
        <v>1121</v>
      </c>
      <c r="B10173" t="s">
        <v>2042</v>
      </c>
      <c r="C10173" t="s">
        <v>923</v>
      </c>
      <c r="D10173" t="s">
        <v>3063</v>
      </c>
      <c r="E10173" t="s">
        <v>3053</v>
      </c>
      <c r="F10173" t="s">
        <v>283</v>
      </c>
      <c r="G10173" t="s">
        <v>3040</v>
      </c>
      <c r="H10173" t="s">
        <v>13224</v>
      </c>
      <c r="I10173">
        <v>22</v>
      </c>
      <c r="J10173">
        <v>22</v>
      </c>
      <c r="K10173">
        <v>0</v>
      </c>
      <c r="L10173">
        <v>0</v>
      </c>
      <c r="M10173">
        <v>0</v>
      </c>
      <c r="N10173">
        <v>0</v>
      </c>
      <c r="O10173">
        <v>0</v>
      </c>
    </row>
    <row r="10174" spans="1:15" x14ac:dyDescent="0.25">
      <c r="A10174" t="s">
        <v>940</v>
      </c>
      <c r="B10174" t="s">
        <v>2647</v>
      </c>
      <c r="C10174" t="s">
        <v>927</v>
      </c>
      <c r="D10174" t="s">
        <v>3052</v>
      </c>
      <c r="E10174" t="s">
        <v>3053</v>
      </c>
      <c r="F10174" t="s">
        <v>283</v>
      </c>
      <c r="G10174" t="s">
        <v>3040</v>
      </c>
      <c r="H10174" t="s">
        <v>13233</v>
      </c>
      <c r="I10174">
        <v>2189</v>
      </c>
      <c r="J10174">
        <v>8</v>
      </c>
      <c r="K10174">
        <v>0</v>
      </c>
      <c r="L10174">
        <v>2</v>
      </c>
      <c r="M10174">
        <v>2093</v>
      </c>
      <c r="N10174">
        <v>0</v>
      </c>
      <c r="O10174">
        <v>86</v>
      </c>
    </row>
    <row r="10175" spans="1:15" x14ac:dyDescent="0.25">
      <c r="A10175" t="s">
        <v>1122</v>
      </c>
      <c r="B10175" t="s">
        <v>2823</v>
      </c>
      <c r="C10175" t="s">
        <v>927</v>
      </c>
      <c r="D10175" t="s">
        <v>3052</v>
      </c>
      <c r="E10175" t="s">
        <v>3053</v>
      </c>
      <c r="F10175" t="s">
        <v>283</v>
      </c>
      <c r="G10175" t="s">
        <v>3040</v>
      </c>
      <c r="H10175" t="s">
        <v>13243</v>
      </c>
      <c r="I10175">
        <v>10</v>
      </c>
      <c r="J10175">
        <v>0</v>
      </c>
      <c r="K10175">
        <v>0</v>
      </c>
      <c r="L10175">
        <v>0</v>
      </c>
      <c r="M10175">
        <v>0</v>
      </c>
      <c r="N10175">
        <v>0</v>
      </c>
      <c r="O10175">
        <v>10</v>
      </c>
    </row>
    <row r="10176" spans="1:15" x14ac:dyDescent="0.25">
      <c r="A10176" t="s">
        <v>1123</v>
      </c>
      <c r="B10176" t="s">
        <v>2691</v>
      </c>
      <c r="C10176" t="s">
        <v>927</v>
      </c>
      <c r="D10176" t="s">
        <v>3052</v>
      </c>
      <c r="E10176" t="s">
        <v>3053</v>
      </c>
      <c r="F10176" t="s">
        <v>283</v>
      </c>
      <c r="G10176" t="s">
        <v>3040</v>
      </c>
      <c r="H10176" t="s">
        <v>13255</v>
      </c>
      <c r="I10176">
        <v>1341</v>
      </c>
      <c r="J10176">
        <v>1213</v>
      </c>
      <c r="K10176">
        <v>13</v>
      </c>
      <c r="L10176">
        <v>0</v>
      </c>
      <c r="M10176">
        <v>0</v>
      </c>
      <c r="N10176">
        <v>6</v>
      </c>
      <c r="O10176">
        <v>115</v>
      </c>
    </row>
    <row r="10177" spans="1:15" x14ac:dyDescent="0.25">
      <c r="A10177" t="s">
        <v>1012</v>
      </c>
      <c r="B10177" t="s">
        <v>2911</v>
      </c>
      <c r="C10177" t="s">
        <v>927</v>
      </c>
      <c r="D10177" t="s">
        <v>3052</v>
      </c>
      <c r="E10177" t="s">
        <v>3053</v>
      </c>
      <c r="F10177" t="s">
        <v>283</v>
      </c>
      <c r="G10177" t="s">
        <v>3040</v>
      </c>
      <c r="H10177" t="s">
        <v>13260</v>
      </c>
      <c r="I10177">
        <v>1129</v>
      </c>
      <c r="J10177">
        <v>786</v>
      </c>
      <c r="K10177">
        <v>3</v>
      </c>
      <c r="L10177">
        <v>23</v>
      </c>
      <c r="M10177">
        <v>306</v>
      </c>
      <c r="N10177">
        <v>10</v>
      </c>
      <c r="O10177">
        <v>11</v>
      </c>
    </row>
    <row r="10178" spans="1:15" x14ac:dyDescent="0.25">
      <c r="A10178" t="s">
        <v>9793</v>
      </c>
      <c r="B10178" t="s">
        <v>2615</v>
      </c>
      <c r="C10178" t="s">
        <v>923</v>
      </c>
      <c r="D10178" t="s">
        <v>3063</v>
      </c>
      <c r="E10178" t="s">
        <v>3053</v>
      </c>
      <c r="F10178" t="s">
        <v>283</v>
      </c>
      <c r="G10178" t="s">
        <v>3040</v>
      </c>
      <c r="H10178" t="s">
        <v>13269</v>
      </c>
      <c r="I10178">
        <v>68</v>
      </c>
      <c r="J10178">
        <v>0</v>
      </c>
      <c r="K10178">
        <v>0</v>
      </c>
      <c r="L10178">
        <v>68</v>
      </c>
      <c r="M10178">
        <v>0</v>
      </c>
      <c r="N10178">
        <v>0</v>
      </c>
      <c r="O10178">
        <v>0</v>
      </c>
    </row>
    <row r="10179" spans="1:15" x14ac:dyDescent="0.25">
      <c r="A10179" t="s">
        <v>1013</v>
      </c>
      <c r="B10179" t="s">
        <v>1959</v>
      </c>
      <c r="C10179" t="s">
        <v>927</v>
      </c>
      <c r="D10179" t="s">
        <v>3052</v>
      </c>
      <c r="E10179" t="s">
        <v>3053</v>
      </c>
      <c r="F10179" t="s">
        <v>283</v>
      </c>
      <c r="G10179" t="s">
        <v>3040</v>
      </c>
      <c r="H10179" t="s">
        <v>13271</v>
      </c>
      <c r="I10179">
        <v>244</v>
      </c>
      <c r="J10179">
        <v>0</v>
      </c>
      <c r="K10179">
        <v>0</v>
      </c>
      <c r="L10179">
        <v>244</v>
      </c>
      <c r="M10179">
        <v>0</v>
      </c>
      <c r="N10179">
        <v>0</v>
      </c>
      <c r="O10179">
        <v>0</v>
      </c>
    </row>
    <row r="10180" spans="1:15" x14ac:dyDescent="0.25">
      <c r="A10180" t="s">
        <v>1124</v>
      </c>
      <c r="B10180" t="s">
        <v>2981</v>
      </c>
      <c r="C10180" t="s">
        <v>923</v>
      </c>
      <c r="D10180" t="s">
        <v>3063</v>
      </c>
      <c r="E10180" t="s">
        <v>3053</v>
      </c>
      <c r="F10180" t="s">
        <v>283</v>
      </c>
      <c r="G10180" t="s">
        <v>3040</v>
      </c>
      <c r="H10180" t="s">
        <v>13281</v>
      </c>
      <c r="I10180">
        <v>3</v>
      </c>
      <c r="J10180">
        <v>3</v>
      </c>
      <c r="K10180">
        <v>0</v>
      </c>
      <c r="L10180">
        <v>0</v>
      </c>
      <c r="M10180">
        <v>0</v>
      </c>
      <c r="N10180">
        <v>0</v>
      </c>
      <c r="O10180">
        <v>0</v>
      </c>
    </row>
    <row r="10181" spans="1:15" x14ac:dyDescent="0.25">
      <c r="A10181" t="s">
        <v>1125</v>
      </c>
      <c r="B10181" t="s">
        <v>2938</v>
      </c>
      <c r="C10181" t="s">
        <v>923</v>
      </c>
      <c r="D10181" t="s">
        <v>3063</v>
      </c>
      <c r="E10181" t="s">
        <v>3053</v>
      </c>
      <c r="F10181" t="s">
        <v>283</v>
      </c>
      <c r="G10181" t="s">
        <v>3040</v>
      </c>
      <c r="H10181" t="s">
        <v>13295</v>
      </c>
      <c r="I10181">
        <v>42</v>
      </c>
      <c r="J10181">
        <v>0</v>
      </c>
      <c r="K10181">
        <v>0</v>
      </c>
      <c r="L10181">
        <v>0</v>
      </c>
      <c r="M10181">
        <v>42</v>
      </c>
      <c r="N10181">
        <v>0</v>
      </c>
      <c r="O10181">
        <v>0</v>
      </c>
    </row>
    <row r="10182" spans="1:15" x14ac:dyDescent="0.25">
      <c r="A10182" t="s">
        <v>1016</v>
      </c>
      <c r="B10182" t="s">
        <v>2725</v>
      </c>
      <c r="C10182" t="s">
        <v>927</v>
      </c>
      <c r="D10182" t="s">
        <v>3052</v>
      </c>
      <c r="E10182" t="s">
        <v>3053</v>
      </c>
      <c r="F10182" t="s">
        <v>283</v>
      </c>
      <c r="G10182" t="s">
        <v>3040</v>
      </c>
      <c r="H10182" t="s">
        <v>13310</v>
      </c>
      <c r="I10182">
        <v>49</v>
      </c>
      <c r="J10182">
        <v>0</v>
      </c>
      <c r="K10182">
        <v>0</v>
      </c>
      <c r="L10182">
        <v>0</v>
      </c>
      <c r="M10182">
        <v>49</v>
      </c>
      <c r="N10182">
        <v>0</v>
      </c>
      <c r="O10182">
        <v>0</v>
      </c>
    </row>
    <row r="10183" spans="1:15" x14ac:dyDescent="0.25">
      <c r="A10183" t="s">
        <v>11671</v>
      </c>
      <c r="B10183" t="s">
        <v>1998</v>
      </c>
      <c r="C10183" t="s">
        <v>923</v>
      </c>
      <c r="D10183" t="s">
        <v>3063</v>
      </c>
      <c r="E10183" t="s">
        <v>3053</v>
      </c>
      <c r="F10183" t="s">
        <v>283</v>
      </c>
      <c r="G10183" t="s">
        <v>3040</v>
      </c>
      <c r="H10183" t="s">
        <v>13331</v>
      </c>
      <c r="I10183">
        <v>14</v>
      </c>
      <c r="J10183">
        <v>14</v>
      </c>
      <c r="K10183">
        <v>0</v>
      </c>
      <c r="L10183">
        <v>0</v>
      </c>
      <c r="M10183">
        <v>0</v>
      </c>
      <c r="N10183">
        <v>0</v>
      </c>
      <c r="O10183">
        <v>0</v>
      </c>
    </row>
    <row r="10184" spans="1:15" x14ac:dyDescent="0.25">
      <c r="A10184" t="s">
        <v>1018</v>
      </c>
      <c r="B10184" t="s">
        <v>1980</v>
      </c>
      <c r="C10184" t="s">
        <v>923</v>
      </c>
      <c r="D10184" t="s">
        <v>3063</v>
      </c>
      <c r="E10184" t="s">
        <v>3053</v>
      </c>
      <c r="F10184" t="s">
        <v>283</v>
      </c>
      <c r="G10184" t="s">
        <v>3040</v>
      </c>
      <c r="H10184" t="s">
        <v>13346</v>
      </c>
      <c r="I10184">
        <v>30</v>
      </c>
      <c r="J10184">
        <v>0</v>
      </c>
      <c r="K10184">
        <v>0</v>
      </c>
      <c r="L10184">
        <v>30</v>
      </c>
      <c r="M10184">
        <v>0</v>
      </c>
      <c r="N10184">
        <v>0</v>
      </c>
      <c r="O10184">
        <v>0</v>
      </c>
    </row>
    <row r="10185" spans="1:15" x14ac:dyDescent="0.25">
      <c r="A10185" t="s">
        <v>10667</v>
      </c>
      <c r="B10185" t="s">
        <v>10666</v>
      </c>
      <c r="C10185" t="s">
        <v>927</v>
      </c>
      <c r="D10185" t="s">
        <v>3052</v>
      </c>
      <c r="E10185" t="s">
        <v>3053</v>
      </c>
      <c r="F10185" t="s">
        <v>283</v>
      </c>
      <c r="G10185" t="s">
        <v>3040</v>
      </c>
      <c r="H10185" t="s">
        <v>13362</v>
      </c>
      <c r="I10185">
        <v>310</v>
      </c>
      <c r="J10185">
        <v>310</v>
      </c>
      <c r="K10185">
        <v>0</v>
      </c>
      <c r="L10185">
        <v>0</v>
      </c>
      <c r="M10185">
        <v>0</v>
      </c>
      <c r="N10185">
        <v>0</v>
      </c>
      <c r="O10185">
        <v>0</v>
      </c>
    </row>
    <row r="10186" spans="1:15" x14ac:dyDescent="0.25">
      <c r="A10186" t="s">
        <v>1126</v>
      </c>
      <c r="B10186" t="s">
        <v>2130</v>
      </c>
      <c r="C10186" t="s">
        <v>927</v>
      </c>
      <c r="D10186" t="s">
        <v>3052</v>
      </c>
      <c r="E10186" t="s">
        <v>3053</v>
      </c>
      <c r="F10186" t="s">
        <v>283</v>
      </c>
      <c r="G10186" t="s">
        <v>3040</v>
      </c>
      <c r="H10186" t="s">
        <v>13370</v>
      </c>
      <c r="I10186">
        <v>771</v>
      </c>
      <c r="J10186">
        <v>169</v>
      </c>
      <c r="K10186">
        <v>0</v>
      </c>
      <c r="L10186">
        <v>0</v>
      </c>
      <c r="M10186">
        <v>0</v>
      </c>
      <c r="N10186">
        <v>0</v>
      </c>
      <c r="O10186">
        <v>602</v>
      </c>
    </row>
    <row r="10187" spans="1:15" x14ac:dyDescent="0.25">
      <c r="A10187" t="s">
        <v>1020</v>
      </c>
      <c r="B10187" t="s">
        <v>2104</v>
      </c>
      <c r="C10187" t="s">
        <v>923</v>
      </c>
      <c r="D10187" t="s">
        <v>3063</v>
      </c>
      <c r="E10187" t="s">
        <v>3053</v>
      </c>
      <c r="F10187" t="s">
        <v>283</v>
      </c>
      <c r="G10187" t="s">
        <v>3040</v>
      </c>
      <c r="H10187" t="s">
        <v>13380</v>
      </c>
      <c r="I10187">
        <v>4</v>
      </c>
      <c r="J10187">
        <v>0</v>
      </c>
      <c r="K10187">
        <v>0</v>
      </c>
      <c r="L10187">
        <v>4</v>
      </c>
      <c r="M10187">
        <v>0</v>
      </c>
      <c r="N10187">
        <v>0</v>
      </c>
      <c r="O10187">
        <v>0</v>
      </c>
    </row>
    <row r="10188" spans="1:15" x14ac:dyDescent="0.25">
      <c r="A10188" t="s">
        <v>11755</v>
      </c>
      <c r="B10188" t="s">
        <v>11754</v>
      </c>
      <c r="C10188" t="s">
        <v>923</v>
      </c>
      <c r="D10188" t="s">
        <v>3063</v>
      </c>
      <c r="E10188" t="s">
        <v>3053</v>
      </c>
      <c r="F10188" t="s">
        <v>283</v>
      </c>
      <c r="G10188" t="s">
        <v>3040</v>
      </c>
      <c r="H10188" t="s">
        <v>15517</v>
      </c>
      <c r="I10188">
        <v>4</v>
      </c>
      <c r="J10188">
        <v>0</v>
      </c>
      <c r="K10188">
        <v>0</v>
      </c>
      <c r="L10188">
        <v>4</v>
      </c>
      <c r="M10188">
        <v>0</v>
      </c>
      <c r="N10188">
        <v>0</v>
      </c>
      <c r="O10188">
        <v>0</v>
      </c>
    </row>
    <row r="10189" spans="1:15" x14ac:dyDescent="0.25">
      <c r="A10189" t="s">
        <v>1023</v>
      </c>
      <c r="B10189" t="s">
        <v>2803</v>
      </c>
      <c r="C10189" t="s">
        <v>923</v>
      </c>
      <c r="D10189" t="s">
        <v>3063</v>
      </c>
      <c r="E10189" t="s">
        <v>3053</v>
      </c>
      <c r="F10189" t="s">
        <v>283</v>
      </c>
      <c r="G10189" t="s">
        <v>3040</v>
      </c>
      <c r="H10189" t="s">
        <v>13392</v>
      </c>
      <c r="I10189">
        <v>8</v>
      </c>
      <c r="J10189">
        <v>8</v>
      </c>
      <c r="K10189">
        <v>0</v>
      </c>
      <c r="L10189">
        <v>0</v>
      </c>
      <c r="M10189">
        <v>0</v>
      </c>
      <c r="N10189">
        <v>0</v>
      </c>
      <c r="O10189">
        <v>0</v>
      </c>
    </row>
    <row r="10190" spans="1:15" x14ac:dyDescent="0.25">
      <c r="A10190" t="s">
        <v>1127</v>
      </c>
      <c r="B10190" t="s">
        <v>3034</v>
      </c>
      <c r="C10190" t="s">
        <v>927</v>
      </c>
      <c r="D10190" t="s">
        <v>3052</v>
      </c>
      <c r="E10190" t="s">
        <v>3053</v>
      </c>
      <c r="F10190" t="s">
        <v>283</v>
      </c>
      <c r="G10190" t="s">
        <v>3040</v>
      </c>
      <c r="H10190" t="s">
        <v>13403</v>
      </c>
      <c r="I10190">
        <v>213</v>
      </c>
      <c r="J10190">
        <v>213</v>
      </c>
      <c r="K10190">
        <v>0</v>
      </c>
      <c r="L10190">
        <v>0</v>
      </c>
      <c r="M10190">
        <v>0</v>
      </c>
      <c r="N10190">
        <v>1</v>
      </c>
      <c r="O10190">
        <v>0</v>
      </c>
    </row>
    <row r="10191" spans="1:15" x14ac:dyDescent="0.25">
      <c r="A10191" t="s">
        <v>1025</v>
      </c>
      <c r="B10191" t="s">
        <v>2893</v>
      </c>
      <c r="C10191" t="s">
        <v>927</v>
      </c>
      <c r="D10191" t="s">
        <v>3052</v>
      </c>
      <c r="E10191" t="s">
        <v>3053</v>
      </c>
      <c r="F10191" t="s">
        <v>283</v>
      </c>
      <c r="G10191" t="s">
        <v>3040</v>
      </c>
      <c r="H10191" t="s">
        <v>13410</v>
      </c>
      <c r="I10191">
        <v>2989</v>
      </c>
      <c r="J10191">
        <v>1900</v>
      </c>
      <c r="K10191">
        <v>0</v>
      </c>
      <c r="L10191">
        <v>63</v>
      </c>
      <c r="M10191">
        <v>99</v>
      </c>
      <c r="N10191">
        <v>21</v>
      </c>
      <c r="O10191">
        <v>927</v>
      </c>
    </row>
    <row r="10192" spans="1:15" x14ac:dyDescent="0.25">
      <c r="A10192" t="s">
        <v>1026</v>
      </c>
      <c r="B10192" t="s">
        <v>2848</v>
      </c>
      <c r="C10192" t="s">
        <v>927</v>
      </c>
      <c r="D10192" t="s">
        <v>3052</v>
      </c>
      <c r="E10192" t="s">
        <v>3053</v>
      </c>
      <c r="F10192" t="s">
        <v>283</v>
      </c>
      <c r="G10192" t="s">
        <v>3040</v>
      </c>
      <c r="H10192" t="s">
        <v>13419</v>
      </c>
      <c r="I10192">
        <v>3794</v>
      </c>
      <c r="J10192">
        <v>2551</v>
      </c>
      <c r="K10192">
        <v>0</v>
      </c>
      <c r="L10192">
        <v>205</v>
      </c>
      <c r="M10192">
        <v>625</v>
      </c>
      <c r="N10192">
        <v>5</v>
      </c>
      <c r="O10192">
        <v>413</v>
      </c>
    </row>
    <row r="10193" spans="1:15" x14ac:dyDescent="0.25">
      <c r="A10193" t="s">
        <v>1625</v>
      </c>
      <c r="B10193" t="s">
        <v>2210</v>
      </c>
      <c r="C10193" t="s">
        <v>923</v>
      </c>
      <c r="D10193" t="s">
        <v>3063</v>
      </c>
      <c r="E10193" t="s">
        <v>3053</v>
      </c>
      <c r="F10193" t="s">
        <v>283</v>
      </c>
      <c r="G10193" t="s">
        <v>3040</v>
      </c>
      <c r="H10193" t="s">
        <v>13426</v>
      </c>
      <c r="I10193">
        <v>8</v>
      </c>
      <c r="J10193">
        <v>8</v>
      </c>
      <c r="K10193">
        <v>0</v>
      </c>
      <c r="L10193">
        <v>0</v>
      </c>
      <c r="M10193">
        <v>0</v>
      </c>
      <c r="N10193">
        <v>0</v>
      </c>
      <c r="O10193">
        <v>0</v>
      </c>
    </row>
    <row r="10194" spans="1:15" x14ac:dyDescent="0.25">
      <c r="A10194" t="s">
        <v>9794</v>
      </c>
      <c r="B10194" t="s">
        <v>2745</v>
      </c>
      <c r="C10194" t="s">
        <v>923</v>
      </c>
      <c r="D10194" t="s">
        <v>3063</v>
      </c>
      <c r="E10194" t="s">
        <v>3053</v>
      </c>
      <c r="F10194" t="s">
        <v>283</v>
      </c>
      <c r="G10194" t="s">
        <v>3040</v>
      </c>
      <c r="H10194" t="s">
        <v>13430</v>
      </c>
      <c r="I10194">
        <v>464</v>
      </c>
      <c r="J10194">
        <v>357</v>
      </c>
      <c r="K10194">
        <v>0</v>
      </c>
      <c r="L10194">
        <v>79</v>
      </c>
      <c r="M10194">
        <v>28</v>
      </c>
      <c r="N10194">
        <v>0</v>
      </c>
      <c r="O10194">
        <v>0</v>
      </c>
    </row>
    <row r="10195" spans="1:15" x14ac:dyDescent="0.25">
      <c r="A10195" t="s">
        <v>10681</v>
      </c>
      <c r="B10195" t="s">
        <v>10680</v>
      </c>
      <c r="C10195" t="s">
        <v>927</v>
      </c>
      <c r="D10195" t="s">
        <v>3052</v>
      </c>
      <c r="E10195" t="s">
        <v>3053</v>
      </c>
      <c r="F10195" t="s">
        <v>283</v>
      </c>
      <c r="G10195" t="s">
        <v>3040</v>
      </c>
      <c r="H10195" t="s">
        <v>15518</v>
      </c>
      <c r="I10195">
        <v>277</v>
      </c>
      <c r="J10195">
        <v>0</v>
      </c>
      <c r="K10195">
        <v>0</v>
      </c>
      <c r="L10195">
        <v>0</v>
      </c>
      <c r="M10195">
        <v>0</v>
      </c>
      <c r="N10195">
        <v>0</v>
      </c>
      <c r="O10195">
        <v>277</v>
      </c>
    </row>
    <row r="10196" spans="1:15" x14ac:dyDescent="0.25">
      <c r="A10196" t="s">
        <v>1128</v>
      </c>
      <c r="B10196" t="s">
        <v>2751</v>
      </c>
      <c r="C10196" t="s">
        <v>923</v>
      </c>
      <c r="D10196" t="s">
        <v>3063</v>
      </c>
      <c r="E10196" t="s">
        <v>3053</v>
      </c>
      <c r="F10196" t="s">
        <v>283</v>
      </c>
      <c r="G10196" t="s">
        <v>3040</v>
      </c>
      <c r="H10196" t="s">
        <v>13437</v>
      </c>
      <c r="I10196">
        <v>57</v>
      </c>
      <c r="J10196">
        <v>0</v>
      </c>
      <c r="K10196">
        <v>0</v>
      </c>
      <c r="L10196">
        <v>0</v>
      </c>
      <c r="M10196">
        <v>57</v>
      </c>
      <c r="N10196">
        <v>0</v>
      </c>
      <c r="O10196">
        <v>0</v>
      </c>
    </row>
    <row r="10197" spans="1:15" x14ac:dyDescent="0.25">
      <c r="A10197" t="s">
        <v>1028</v>
      </c>
      <c r="B10197" t="s">
        <v>2682</v>
      </c>
      <c r="C10197" t="s">
        <v>923</v>
      </c>
      <c r="D10197" t="s">
        <v>3063</v>
      </c>
      <c r="E10197" t="s">
        <v>3053</v>
      </c>
      <c r="F10197" t="s">
        <v>283</v>
      </c>
      <c r="G10197" t="s">
        <v>3040</v>
      </c>
      <c r="H10197" t="s">
        <v>13450</v>
      </c>
      <c r="I10197">
        <v>43</v>
      </c>
      <c r="J10197">
        <v>0</v>
      </c>
      <c r="K10197">
        <v>0</v>
      </c>
      <c r="L10197">
        <v>0</v>
      </c>
      <c r="M10197">
        <v>43</v>
      </c>
      <c r="N10197">
        <v>0</v>
      </c>
      <c r="O10197">
        <v>0</v>
      </c>
    </row>
    <row r="10198" spans="1:15" x14ac:dyDescent="0.25">
      <c r="A10198" t="s">
        <v>1129</v>
      </c>
      <c r="B10198" t="s">
        <v>2731</v>
      </c>
      <c r="C10198" t="s">
        <v>923</v>
      </c>
      <c r="D10198" t="s">
        <v>3063</v>
      </c>
      <c r="E10198" t="s">
        <v>3053</v>
      </c>
      <c r="F10198" t="s">
        <v>283</v>
      </c>
      <c r="G10198" t="s">
        <v>3040</v>
      </c>
      <c r="H10198" t="s">
        <v>13457</v>
      </c>
      <c r="I10198">
        <v>41</v>
      </c>
      <c r="J10198">
        <v>0</v>
      </c>
      <c r="K10198">
        <v>0</v>
      </c>
      <c r="L10198">
        <v>0</v>
      </c>
      <c r="M10198">
        <v>41</v>
      </c>
      <c r="N10198">
        <v>0</v>
      </c>
      <c r="O10198">
        <v>0</v>
      </c>
    </row>
    <row r="10199" spans="1:15" x14ac:dyDescent="0.25">
      <c r="A10199" t="s">
        <v>943</v>
      </c>
      <c r="B10199" t="s">
        <v>2694</v>
      </c>
      <c r="C10199" t="s">
        <v>927</v>
      </c>
      <c r="D10199" t="s">
        <v>3052</v>
      </c>
      <c r="E10199" t="s">
        <v>3053</v>
      </c>
      <c r="F10199" t="s">
        <v>283</v>
      </c>
      <c r="G10199" t="s">
        <v>3040</v>
      </c>
      <c r="H10199" t="s">
        <v>13467</v>
      </c>
      <c r="I10199">
        <v>4607</v>
      </c>
      <c r="J10199">
        <v>2928</v>
      </c>
      <c r="K10199">
        <v>0</v>
      </c>
      <c r="L10199">
        <v>292</v>
      </c>
      <c r="M10199">
        <v>98</v>
      </c>
      <c r="N10199">
        <v>0</v>
      </c>
      <c r="O10199">
        <v>1289</v>
      </c>
    </row>
    <row r="10200" spans="1:15" x14ac:dyDescent="0.25">
      <c r="A10200" t="s">
        <v>945</v>
      </c>
      <c r="B10200" t="s">
        <v>2668</v>
      </c>
      <c r="C10200" t="s">
        <v>927</v>
      </c>
      <c r="D10200" t="s">
        <v>3052</v>
      </c>
      <c r="E10200" t="s">
        <v>3053</v>
      </c>
      <c r="F10200" t="s">
        <v>283</v>
      </c>
      <c r="G10200" t="s">
        <v>3040</v>
      </c>
      <c r="H10200" t="s">
        <v>13486</v>
      </c>
      <c r="I10200">
        <v>4790</v>
      </c>
      <c r="J10200">
        <v>3330</v>
      </c>
      <c r="K10200">
        <v>0</v>
      </c>
      <c r="L10200">
        <v>37</v>
      </c>
      <c r="M10200">
        <v>634</v>
      </c>
      <c r="N10200">
        <v>0</v>
      </c>
      <c r="O10200">
        <v>789</v>
      </c>
    </row>
    <row r="10201" spans="1:15" x14ac:dyDescent="0.25">
      <c r="A10201" t="s">
        <v>1130</v>
      </c>
      <c r="B10201" t="s">
        <v>2821</v>
      </c>
      <c r="C10201" t="s">
        <v>923</v>
      </c>
      <c r="D10201" t="s">
        <v>3063</v>
      </c>
      <c r="E10201" t="s">
        <v>3053</v>
      </c>
      <c r="F10201" t="s">
        <v>283</v>
      </c>
      <c r="G10201" t="s">
        <v>3040</v>
      </c>
      <c r="H10201" t="s">
        <v>13490</v>
      </c>
      <c r="I10201">
        <v>3</v>
      </c>
      <c r="J10201">
        <v>3</v>
      </c>
      <c r="K10201">
        <v>0</v>
      </c>
      <c r="L10201">
        <v>0</v>
      </c>
      <c r="M10201">
        <v>0</v>
      </c>
      <c r="N10201">
        <v>0</v>
      </c>
      <c r="O10201">
        <v>0</v>
      </c>
    </row>
    <row r="10202" spans="1:15" x14ac:dyDescent="0.25">
      <c r="A10202" t="s">
        <v>10687</v>
      </c>
      <c r="B10202" t="s">
        <v>10686</v>
      </c>
      <c r="C10202" t="s">
        <v>923</v>
      </c>
      <c r="D10202" t="s">
        <v>3063</v>
      </c>
      <c r="E10202" t="s">
        <v>3053</v>
      </c>
      <c r="F10202" t="s">
        <v>283</v>
      </c>
      <c r="G10202" t="s">
        <v>3040</v>
      </c>
      <c r="H10202" t="s">
        <v>15519</v>
      </c>
      <c r="I10202">
        <v>3</v>
      </c>
      <c r="J10202">
        <v>3</v>
      </c>
      <c r="K10202">
        <v>0</v>
      </c>
      <c r="L10202">
        <v>0</v>
      </c>
      <c r="M10202">
        <v>0</v>
      </c>
      <c r="N10202">
        <v>0</v>
      </c>
      <c r="O10202">
        <v>0</v>
      </c>
    </row>
    <row r="10203" spans="1:15" x14ac:dyDescent="0.25">
      <c r="A10203" t="s">
        <v>1031</v>
      </c>
      <c r="B10203" t="s">
        <v>2779</v>
      </c>
      <c r="C10203" t="s">
        <v>927</v>
      </c>
      <c r="D10203" t="s">
        <v>3052</v>
      </c>
      <c r="E10203" t="s">
        <v>3053</v>
      </c>
      <c r="F10203" t="s">
        <v>283</v>
      </c>
      <c r="G10203" t="s">
        <v>3040</v>
      </c>
      <c r="H10203" t="s">
        <v>13499</v>
      </c>
      <c r="I10203">
        <v>810</v>
      </c>
      <c r="J10203">
        <v>666</v>
      </c>
      <c r="K10203">
        <v>0</v>
      </c>
      <c r="L10203">
        <v>69</v>
      </c>
      <c r="M10203">
        <v>36</v>
      </c>
      <c r="N10203">
        <v>6</v>
      </c>
      <c r="O10203">
        <v>39</v>
      </c>
    </row>
    <row r="10204" spans="1:15" x14ac:dyDescent="0.25">
      <c r="A10204" t="s">
        <v>1033</v>
      </c>
      <c r="B10204" t="s">
        <v>2039</v>
      </c>
      <c r="C10204" t="s">
        <v>923</v>
      </c>
      <c r="D10204" t="s">
        <v>3063</v>
      </c>
      <c r="E10204" t="s">
        <v>3053</v>
      </c>
      <c r="F10204" t="s">
        <v>283</v>
      </c>
      <c r="G10204" t="s">
        <v>3040</v>
      </c>
      <c r="H10204" t="s">
        <v>13512</v>
      </c>
      <c r="I10204">
        <v>78</v>
      </c>
      <c r="J10204">
        <v>0</v>
      </c>
      <c r="K10204">
        <v>0</v>
      </c>
      <c r="L10204">
        <v>78</v>
      </c>
      <c r="M10204">
        <v>0</v>
      </c>
      <c r="N10204">
        <v>0</v>
      </c>
      <c r="O10204">
        <v>0</v>
      </c>
    </row>
    <row r="10205" spans="1:15" x14ac:dyDescent="0.25">
      <c r="A10205" t="s">
        <v>11672</v>
      </c>
      <c r="B10205" t="s">
        <v>2073</v>
      </c>
      <c r="C10205" t="s">
        <v>923</v>
      </c>
      <c r="D10205" t="s">
        <v>3063</v>
      </c>
      <c r="E10205" t="s">
        <v>3053</v>
      </c>
      <c r="F10205" t="s">
        <v>283</v>
      </c>
      <c r="G10205" t="s">
        <v>3040</v>
      </c>
      <c r="H10205" t="s">
        <v>13531</v>
      </c>
      <c r="I10205">
        <v>12</v>
      </c>
      <c r="J10205">
        <v>12</v>
      </c>
      <c r="K10205">
        <v>0</v>
      </c>
      <c r="L10205">
        <v>0</v>
      </c>
      <c r="M10205">
        <v>0</v>
      </c>
      <c r="N10205">
        <v>0</v>
      </c>
      <c r="O10205">
        <v>0</v>
      </c>
    </row>
    <row r="10206" spans="1:15" x14ac:dyDescent="0.25">
      <c r="A10206" t="s">
        <v>1132</v>
      </c>
      <c r="B10206" t="s">
        <v>2163</v>
      </c>
      <c r="C10206" t="s">
        <v>923</v>
      </c>
      <c r="D10206" t="s">
        <v>3063</v>
      </c>
      <c r="E10206" t="s">
        <v>3053</v>
      </c>
      <c r="F10206" t="s">
        <v>283</v>
      </c>
      <c r="G10206" t="s">
        <v>3040</v>
      </c>
      <c r="H10206" t="s">
        <v>13546</v>
      </c>
      <c r="I10206">
        <v>69</v>
      </c>
      <c r="J10206">
        <v>0</v>
      </c>
      <c r="K10206">
        <v>0</v>
      </c>
      <c r="L10206">
        <v>12</v>
      </c>
      <c r="M10206">
        <v>57</v>
      </c>
      <c r="N10206">
        <v>0</v>
      </c>
      <c r="O10206">
        <v>0</v>
      </c>
    </row>
    <row r="10207" spans="1:15" x14ac:dyDescent="0.25">
      <c r="A10207" t="s">
        <v>1133</v>
      </c>
      <c r="B10207" t="s">
        <v>2738</v>
      </c>
      <c r="C10207" t="s">
        <v>923</v>
      </c>
      <c r="D10207" t="s">
        <v>3063</v>
      </c>
      <c r="E10207" t="s">
        <v>3053</v>
      </c>
      <c r="F10207" t="s">
        <v>283</v>
      </c>
      <c r="G10207" t="s">
        <v>3040</v>
      </c>
      <c r="H10207" t="s">
        <v>13547</v>
      </c>
      <c r="I10207">
        <v>286</v>
      </c>
      <c r="J10207">
        <v>3</v>
      </c>
      <c r="K10207">
        <v>0</v>
      </c>
      <c r="L10207">
        <v>0</v>
      </c>
      <c r="M10207">
        <v>283</v>
      </c>
      <c r="N10207">
        <v>0</v>
      </c>
      <c r="O10207">
        <v>0</v>
      </c>
    </row>
    <row r="10208" spans="1:15" x14ac:dyDescent="0.25">
      <c r="A10208" t="s">
        <v>1134</v>
      </c>
      <c r="B10208" t="s">
        <v>2118</v>
      </c>
      <c r="C10208" t="s">
        <v>927</v>
      </c>
      <c r="D10208" t="s">
        <v>3052</v>
      </c>
      <c r="E10208" t="s">
        <v>3053</v>
      </c>
      <c r="F10208" t="s">
        <v>283</v>
      </c>
      <c r="G10208" t="s">
        <v>3040</v>
      </c>
      <c r="H10208" t="s">
        <v>13549</v>
      </c>
      <c r="I10208">
        <v>4798</v>
      </c>
      <c r="J10208">
        <v>2854</v>
      </c>
      <c r="K10208">
        <v>0</v>
      </c>
      <c r="L10208">
        <v>388</v>
      </c>
      <c r="M10208">
        <v>545</v>
      </c>
      <c r="N10208">
        <v>19</v>
      </c>
      <c r="O10208">
        <v>1011</v>
      </c>
    </row>
    <row r="10209" spans="1:15" x14ac:dyDescent="0.25">
      <c r="A10209" t="s">
        <v>949</v>
      </c>
      <c r="B10209" t="s">
        <v>3035</v>
      </c>
      <c r="C10209" t="s">
        <v>927</v>
      </c>
      <c r="D10209" t="s">
        <v>3052</v>
      </c>
      <c r="E10209" t="s">
        <v>3053</v>
      </c>
      <c r="F10209" t="s">
        <v>283</v>
      </c>
      <c r="G10209" t="s">
        <v>3040</v>
      </c>
      <c r="H10209" t="s">
        <v>13552</v>
      </c>
      <c r="I10209">
        <v>96</v>
      </c>
      <c r="J10209">
        <v>0</v>
      </c>
      <c r="K10209">
        <v>0</v>
      </c>
      <c r="L10209">
        <v>0</v>
      </c>
      <c r="M10209">
        <v>0</v>
      </c>
      <c r="N10209">
        <v>0</v>
      </c>
      <c r="O10209">
        <v>96</v>
      </c>
    </row>
    <row r="10210" spans="1:15" x14ac:dyDescent="0.25">
      <c r="A10210" t="s">
        <v>1135</v>
      </c>
      <c r="B10210" t="s">
        <v>1996</v>
      </c>
      <c r="C10210" t="s">
        <v>923</v>
      </c>
      <c r="D10210" t="s">
        <v>3063</v>
      </c>
      <c r="E10210" t="s">
        <v>3053</v>
      </c>
      <c r="F10210" t="s">
        <v>283</v>
      </c>
      <c r="G10210" t="s">
        <v>3040</v>
      </c>
      <c r="H10210" t="s">
        <v>13561</v>
      </c>
      <c r="I10210">
        <v>183</v>
      </c>
      <c r="J10210">
        <v>183</v>
      </c>
      <c r="K10210">
        <v>0</v>
      </c>
      <c r="L10210">
        <v>0</v>
      </c>
      <c r="M10210">
        <v>0</v>
      </c>
      <c r="N10210">
        <v>0</v>
      </c>
      <c r="O10210">
        <v>0</v>
      </c>
    </row>
    <row r="10211" spans="1:15" x14ac:dyDescent="0.25">
      <c r="A10211" t="s">
        <v>1136</v>
      </c>
      <c r="B10211" t="s">
        <v>1942</v>
      </c>
      <c r="C10211" t="s">
        <v>923</v>
      </c>
      <c r="D10211" t="s">
        <v>3063</v>
      </c>
      <c r="E10211" t="s">
        <v>3053</v>
      </c>
      <c r="F10211" t="s">
        <v>283</v>
      </c>
      <c r="G10211" t="s">
        <v>3040</v>
      </c>
      <c r="H10211" t="s">
        <v>13578</v>
      </c>
      <c r="I10211">
        <v>20</v>
      </c>
      <c r="J10211">
        <v>20</v>
      </c>
      <c r="K10211">
        <v>0</v>
      </c>
      <c r="L10211">
        <v>0</v>
      </c>
      <c r="M10211">
        <v>0</v>
      </c>
      <c r="N10211">
        <v>0</v>
      </c>
      <c r="O10211">
        <v>0</v>
      </c>
    </row>
    <row r="10212" spans="1:15" x14ac:dyDescent="0.25">
      <c r="A10212" t="s">
        <v>1138</v>
      </c>
      <c r="B10212" t="s">
        <v>2635</v>
      </c>
      <c r="C10212" t="s">
        <v>923</v>
      </c>
      <c r="D10212" t="s">
        <v>3063</v>
      </c>
      <c r="E10212" t="s">
        <v>3053</v>
      </c>
      <c r="F10212" t="s">
        <v>283</v>
      </c>
      <c r="G10212" t="s">
        <v>3040</v>
      </c>
      <c r="H10212" t="s">
        <v>13584</v>
      </c>
      <c r="I10212">
        <v>497</v>
      </c>
      <c r="J10212">
        <v>0</v>
      </c>
      <c r="K10212">
        <v>0</v>
      </c>
      <c r="L10212">
        <v>497</v>
      </c>
      <c r="M10212">
        <v>0</v>
      </c>
      <c r="N10212">
        <v>0</v>
      </c>
      <c r="O10212">
        <v>0</v>
      </c>
    </row>
    <row r="10213" spans="1:15" x14ac:dyDescent="0.25">
      <c r="A10213" t="s">
        <v>1041</v>
      </c>
      <c r="B10213" t="s">
        <v>2826</v>
      </c>
      <c r="C10213" t="s">
        <v>927</v>
      </c>
      <c r="D10213" t="s">
        <v>3052</v>
      </c>
      <c r="E10213" t="s">
        <v>3053</v>
      </c>
      <c r="F10213" t="s">
        <v>283</v>
      </c>
      <c r="G10213" t="s">
        <v>3040</v>
      </c>
      <c r="H10213" t="s">
        <v>13591</v>
      </c>
      <c r="I10213">
        <v>1220</v>
      </c>
      <c r="J10213">
        <v>4</v>
      </c>
      <c r="K10213">
        <v>0</v>
      </c>
      <c r="L10213">
        <v>0</v>
      </c>
      <c r="M10213">
        <v>0</v>
      </c>
      <c r="N10213">
        <v>0</v>
      </c>
      <c r="O10213">
        <v>1216</v>
      </c>
    </row>
    <row r="10214" spans="1:15" x14ac:dyDescent="0.25">
      <c r="A10214" t="s">
        <v>9787</v>
      </c>
      <c r="B10214" t="s">
        <v>2822</v>
      </c>
      <c r="C10214" t="s">
        <v>927</v>
      </c>
      <c r="D10214" t="s">
        <v>3052</v>
      </c>
      <c r="E10214" t="s">
        <v>3053</v>
      </c>
      <c r="F10214" t="s">
        <v>283</v>
      </c>
      <c r="G10214" t="s">
        <v>3040</v>
      </c>
      <c r="H10214" t="s">
        <v>13596</v>
      </c>
      <c r="I10214">
        <v>5093</v>
      </c>
      <c r="J10214">
        <v>4461</v>
      </c>
      <c r="K10214">
        <v>0</v>
      </c>
      <c r="L10214">
        <v>193</v>
      </c>
      <c r="M10214">
        <v>431</v>
      </c>
      <c r="N10214">
        <v>15</v>
      </c>
      <c r="O10214">
        <v>8</v>
      </c>
    </row>
    <row r="10215" spans="1:15" x14ac:dyDescent="0.25">
      <c r="A10215" t="s">
        <v>1139</v>
      </c>
      <c r="B10215" t="s">
        <v>2025</v>
      </c>
      <c r="C10215" t="s">
        <v>923</v>
      </c>
      <c r="D10215" t="s">
        <v>3063</v>
      </c>
      <c r="E10215" t="s">
        <v>3053</v>
      </c>
      <c r="F10215" t="s">
        <v>283</v>
      </c>
      <c r="G10215" t="s">
        <v>3040</v>
      </c>
      <c r="H10215" t="s">
        <v>13602</v>
      </c>
      <c r="I10215">
        <v>53</v>
      </c>
      <c r="J10215">
        <v>53</v>
      </c>
      <c r="K10215">
        <v>0</v>
      </c>
      <c r="L10215">
        <v>0</v>
      </c>
      <c r="M10215">
        <v>0</v>
      </c>
      <c r="N10215">
        <v>1</v>
      </c>
      <c r="O10215">
        <v>0</v>
      </c>
    </row>
    <row r="10216" spans="1:15" x14ac:dyDescent="0.25">
      <c r="A10216" t="s">
        <v>1140</v>
      </c>
      <c r="B10216" t="s">
        <v>2697</v>
      </c>
      <c r="C10216" t="s">
        <v>927</v>
      </c>
      <c r="D10216" t="s">
        <v>3052</v>
      </c>
      <c r="E10216" t="s">
        <v>3053</v>
      </c>
      <c r="F10216" t="s">
        <v>283</v>
      </c>
      <c r="G10216" t="s">
        <v>3040</v>
      </c>
      <c r="H10216" t="s">
        <v>13604</v>
      </c>
      <c r="I10216">
        <v>1256</v>
      </c>
      <c r="J10216">
        <v>825</v>
      </c>
      <c r="K10216">
        <v>92</v>
      </c>
      <c r="L10216">
        <v>69</v>
      </c>
      <c r="M10216">
        <v>169</v>
      </c>
      <c r="N10216">
        <v>26</v>
      </c>
      <c r="O10216">
        <v>101</v>
      </c>
    </row>
    <row r="10217" spans="1:15" x14ac:dyDescent="0.25">
      <c r="A10217" t="s">
        <v>1141</v>
      </c>
      <c r="B10217" t="s">
        <v>2642</v>
      </c>
      <c r="C10217" t="s">
        <v>927</v>
      </c>
      <c r="D10217" t="s">
        <v>3052</v>
      </c>
      <c r="E10217" t="s">
        <v>3053</v>
      </c>
      <c r="F10217" t="s">
        <v>283</v>
      </c>
      <c r="G10217" t="s">
        <v>3040</v>
      </c>
      <c r="H10217" t="s">
        <v>13608</v>
      </c>
      <c r="I10217">
        <v>3916</v>
      </c>
      <c r="J10217">
        <v>2916</v>
      </c>
      <c r="K10217">
        <v>0</v>
      </c>
      <c r="L10217">
        <v>395</v>
      </c>
      <c r="M10217">
        <v>428</v>
      </c>
      <c r="N10217">
        <v>0</v>
      </c>
      <c r="O10217">
        <v>177</v>
      </c>
    </row>
    <row r="10218" spans="1:15" x14ac:dyDescent="0.25">
      <c r="A10218" t="s">
        <v>1142</v>
      </c>
      <c r="B10218" t="s">
        <v>3003</v>
      </c>
      <c r="C10218" t="s">
        <v>927</v>
      </c>
      <c r="D10218" t="s">
        <v>3052</v>
      </c>
      <c r="E10218" t="s">
        <v>3053</v>
      </c>
      <c r="F10218" t="s">
        <v>283</v>
      </c>
      <c r="G10218" t="s">
        <v>3040</v>
      </c>
      <c r="H10218" t="s">
        <v>13618</v>
      </c>
      <c r="I10218">
        <v>4155</v>
      </c>
      <c r="J10218">
        <v>3269</v>
      </c>
      <c r="K10218">
        <v>0</v>
      </c>
      <c r="L10218">
        <v>68</v>
      </c>
      <c r="M10218">
        <v>0</v>
      </c>
      <c r="N10218">
        <v>11</v>
      </c>
      <c r="O10218">
        <v>818</v>
      </c>
    </row>
    <row r="10219" spans="1:15" x14ac:dyDescent="0.25">
      <c r="A10219" t="s">
        <v>1143</v>
      </c>
      <c r="B10219" t="s">
        <v>2422</v>
      </c>
      <c r="C10219" t="s">
        <v>923</v>
      </c>
      <c r="D10219" t="s">
        <v>3063</v>
      </c>
      <c r="E10219" t="s">
        <v>3053</v>
      </c>
      <c r="F10219" t="s">
        <v>283</v>
      </c>
      <c r="G10219" t="s">
        <v>3040</v>
      </c>
      <c r="H10219" t="s">
        <v>13621</v>
      </c>
      <c r="I10219">
        <v>11</v>
      </c>
      <c r="J10219">
        <v>0</v>
      </c>
      <c r="K10219">
        <v>11</v>
      </c>
      <c r="L10219">
        <v>0</v>
      </c>
      <c r="M10219">
        <v>0</v>
      </c>
      <c r="N10219">
        <v>0</v>
      </c>
      <c r="O10219">
        <v>0</v>
      </c>
    </row>
    <row r="10220" spans="1:15" x14ac:dyDescent="0.25">
      <c r="A10220" t="s">
        <v>1043</v>
      </c>
      <c r="B10220" t="s">
        <v>2090</v>
      </c>
      <c r="C10220" t="s">
        <v>927</v>
      </c>
      <c r="D10220" t="s">
        <v>3052</v>
      </c>
      <c r="E10220" t="s">
        <v>3053</v>
      </c>
      <c r="F10220" t="s">
        <v>283</v>
      </c>
      <c r="G10220" t="s">
        <v>3040</v>
      </c>
      <c r="H10220" t="s">
        <v>13623</v>
      </c>
      <c r="I10220">
        <v>56</v>
      </c>
      <c r="J10220">
        <v>31</v>
      </c>
      <c r="K10220">
        <v>0</v>
      </c>
      <c r="L10220">
        <v>0</v>
      </c>
      <c r="M10220">
        <v>25</v>
      </c>
      <c r="N10220">
        <v>0</v>
      </c>
      <c r="O10220">
        <v>0</v>
      </c>
    </row>
    <row r="10221" spans="1:15" x14ac:dyDescent="0.25">
      <c r="A10221" t="s">
        <v>1044</v>
      </c>
      <c r="B10221" t="s">
        <v>2000</v>
      </c>
      <c r="C10221" t="s">
        <v>923</v>
      </c>
      <c r="D10221" t="s">
        <v>3063</v>
      </c>
      <c r="E10221" t="s">
        <v>3053</v>
      </c>
      <c r="F10221" t="s">
        <v>283</v>
      </c>
      <c r="G10221" t="s">
        <v>3040</v>
      </c>
      <c r="H10221" t="s">
        <v>13629</v>
      </c>
      <c r="I10221">
        <v>38</v>
      </c>
      <c r="J10221">
        <v>0</v>
      </c>
      <c r="K10221">
        <v>0</v>
      </c>
      <c r="L10221">
        <v>38</v>
      </c>
      <c r="M10221">
        <v>0</v>
      </c>
      <c r="N10221">
        <v>0</v>
      </c>
      <c r="O10221">
        <v>0</v>
      </c>
    </row>
    <row r="10222" spans="1:15" x14ac:dyDescent="0.25">
      <c r="A10222" t="s">
        <v>1144</v>
      </c>
      <c r="B10222" t="s">
        <v>2124</v>
      </c>
      <c r="C10222" t="s">
        <v>923</v>
      </c>
      <c r="D10222" t="s">
        <v>3063</v>
      </c>
      <c r="E10222" t="s">
        <v>3053</v>
      </c>
      <c r="F10222" t="s">
        <v>283</v>
      </c>
      <c r="G10222" t="s">
        <v>3040</v>
      </c>
      <c r="H10222" t="s">
        <v>13637</v>
      </c>
      <c r="I10222">
        <v>59</v>
      </c>
      <c r="J10222">
        <v>59</v>
      </c>
      <c r="K10222">
        <v>0</v>
      </c>
      <c r="L10222">
        <v>0</v>
      </c>
      <c r="M10222">
        <v>0</v>
      </c>
      <c r="N10222">
        <v>0</v>
      </c>
      <c r="O10222">
        <v>0</v>
      </c>
    </row>
    <row r="10223" spans="1:15" x14ac:dyDescent="0.25">
      <c r="A10223" t="s">
        <v>1145</v>
      </c>
      <c r="B10223" t="s">
        <v>2814</v>
      </c>
      <c r="C10223" t="s">
        <v>923</v>
      </c>
      <c r="D10223" t="s">
        <v>3063</v>
      </c>
      <c r="E10223" t="s">
        <v>3053</v>
      </c>
      <c r="F10223" t="s">
        <v>283</v>
      </c>
      <c r="G10223" t="s">
        <v>3040</v>
      </c>
      <c r="H10223" t="s">
        <v>13648</v>
      </c>
      <c r="I10223">
        <v>8</v>
      </c>
      <c r="J10223">
        <v>8</v>
      </c>
      <c r="K10223">
        <v>0</v>
      </c>
      <c r="L10223">
        <v>0</v>
      </c>
      <c r="M10223">
        <v>0</v>
      </c>
      <c r="N10223">
        <v>0</v>
      </c>
      <c r="O10223">
        <v>0</v>
      </c>
    </row>
    <row r="10224" spans="1:15" x14ac:dyDescent="0.25">
      <c r="A10224" t="s">
        <v>1146</v>
      </c>
      <c r="B10224" t="s">
        <v>2117</v>
      </c>
      <c r="C10224" t="s">
        <v>927</v>
      </c>
      <c r="D10224" t="s">
        <v>3052</v>
      </c>
      <c r="E10224" t="s">
        <v>3053</v>
      </c>
      <c r="F10224" t="s">
        <v>283</v>
      </c>
      <c r="G10224" t="s">
        <v>3040</v>
      </c>
      <c r="H10224" t="s">
        <v>13650</v>
      </c>
      <c r="I10224">
        <v>11231</v>
      </c>
      <c r="J10224">
        <v>8408</v>
      </c>
      <c r="K10224">
        <v>0</v>
      </c>
      <c r="L10224">
        <v>985</v>
      </c>
      <c r="M10224">
        <v>406</v>
      </c>
      <c r="N10224">
        <v>25</v>
      </c>
      <c r="O10224">
        <v>1432</v>
      </c>
    </row>
    <row r="10225" spans="1:15" x14ac:dyDescent="0.25">
      <c r="A10225" t="s">
        <v>1147</v>
      </c>
      <c r="B10225" t="s">
        <v>2129</v>
      </c>
      <c r="C10225" t="s">
        <v>923</v>
      </c>
      <c r="D10225" t="s">
        <v>3063</v>
      </c>
      <c r="E10225" t="s">
        <v>3053</v>
      </c>
      <c r="F10225" t="s">
        <v>283</v>
      </c>
      <c r="G10225" t="s">
        <v>3040</v>
      </c>
      <c r="H10225" t="s">
        <v>13658</v>
      </c>
      <c r="I10225">
        <v>9</v>
      </c>
      <c r="J10225">
        <v>9</v>
      </c>
      <c r="K10225">
        <v>0</v>
      </c>
      <c r="L10225">
        <v>0</v>
      </c>
      <c r="M10225">
        <v>0</v>
      </c>
      <c r="N10225">
        <v>0</v>
      </c>
      <c r="O10225">
        <v>0</v>
      </c>
    </row>
    <row r="10226" spans="1:15" x14ac:dyDescent="0.25">
      <c r="A10226" t="s">
        <v>1148</v>
      </c>
      <c r="B10226" t="s">
        <v>2767</v>
      </c>
      <c r="C10226" t="s">
        <v>923</v>
      </c>
      <c r="D10226" t="s">
        <v>3063</v>
      </c>
      <c r="E10226" t="s">
        <v>3053</v>
      </c>
      <c r="F10226" t="s">
        <v>283</v>
      </c>
      <c r="G10226" t="s">
        <v>3040</v>
      </c>
      <c r="H10226" t="s">
        <v>13675</v>
      </c>
      <c r="I10226">
        <v>117</v>
      </c>
      <c r="J10226">
        <v>117</v>
      </c>
      <c r="K10226">
        <v>0</v>
      </c>
      <c r="L10226">
        <v>0</v>
      </c>
      <c r="M10226">
        <v>0</v>
      </c>
      <c r="N10226">
        <v>0</v>
      </c>
      <c r="O10226">
        <v>0</v>
      </c>
    </row>
    <row r="10227" spans="1:15" x14ac:dyDescent="0.25">
      <c r="A10227" t="s">
        <v>1906</v>
      </c>
      <c r="B10227" t="s">
        <v>1983</v>
      </c>
      <c r="C10227" t="s">
        <v>923</v>
      </c>
      <c r="D10227" t="s">
        <v>3063</v>
      </c>
      <c r="E10227" t="s">
        <v>3053</v>
      </c>
      <c r="F10227" t="s">
        <v>283</v>
      </c>
      <c r="G10227" t="s">
        <v>3040</v>
      </c>
      <c r="H10227" t="s">
        <v>15520</v>
      </c>
      <c r="I10227">
        <v>30</v>
      </c>
      <c r="J10227">
        <v>30</v>
      </c>
      <c r="K10227">
        <v>0</v>
      </c>
      <c r="L10227">
        <v>0</v>
      </c>
      <c r="M10227">
        <v>0</v>
      </c>
      <c r="N10227">
        <v>0</v>
      </c>
      <c r="O10227">
        <v>0</v>
      </c>
    </row>
    <row r="10228" spans="1:15" x14ac:dyDescent="0.25">
      <c r="A10228" t="s">
        <v>951</v>
      </c>
      <c r="B10228" t="s">
        <v>2680</v>
      </c>
      <c r="C10228" t="s">
        <v>927</v>
      </c>
      <c r="D10228" t="s">
        <v>3052</v>
      </c>
      <c r="E10228" t="s">
        <v>3053</v>
      </c>
      <c r="F10228" t="s">
        <v>283</v>
      </c>
      <c r="G10228" t="s">
        <v>3040</v>
      </c>
      <c r="H10228" t="s">
        <v>13684</v>
      </c>
      <c r="I10228">
        <v>3105</v>
      </c>
      <c r="J10228">
        <v>2907</v>
      </c>
      <c r="K10228">
        <v>0</v>
      </c>
      <c r="L10228">
        <v>39</v>
      </c>
      <c r="M10228">
        <v>40</v>
      </c>
      <c r="N10228">
        <v>0</v>
      </c>
      <c r="O10228">
        <v>119</v>
      </c>
    </row>
    <row r="10229" spans="1:15" x14ac:dyDescent="0.25">
      <c r="A10229" t="s">
        <v>1048</v>
      </c>
      <c r="B10229" t="s">
        <v>2989</v>
      </c>
      <c r="C10229" t="s">
        <v>927</v>
      </c>
      <c r="D10229" t="s">
        <v>3052</v>
      </c>
      <c r="E10229" t="s">
        <v>3053</v>
      </c>
      <c r="F10229" t="s">
        <v>283</v>
      </c>
      <c r="G10229" t="s">
        <v>3040</v>
      </c>
      <c r="H10229" t="s">
        <v>13693</v>
      </c>
      <c r="I10229">
        <v>8478</v>
      </c>
      <c r="J10229">
        <v>7123</v>
      </c>
      <c r="K10229">
        <v>0</v>
      </c>
      <c r="L10229">
        <v>444</v>
      </c>
      <c r="M10229">
        <v>613</v>
      </c>
      <c r="N10229">
        <v>2</v>
      </c>
      <c r="O10229">
        <v>298</v>
      </c>
    </row>
    <row r="10230" spans="1:15" x14ac:dyDescent="0.25">
      <c r="A10230" t="s">
        <v>1049</v>
      </c>
      <c r="B10230" t="s">
        <v>2138</v>
      </c>
      <c r="C10230" t="s">
        <v>927</v>
      </c>
      <c r="D10230" t="s">
        <v>3052</v>
      </c>
      <c r="E10230" t="s">
        <v>3053</v>
      </c>
      <c r="F10230" t="s">
        <v>283</v>
      </c>
      <c r="G10230" t="s">
        <v>3040</v>
      </c>
      <c r="H10230" t="s">
        <v>13703</v>
      </c>
      <c r="I10230">
        <v>164</v>
      </c>
      <c r="J10230">
        <v>106</v>
      </c>
      <c r="K10230">
        <v>0</v>
      </c>
      <c r="L10230">
        <v>0</v>
      </c>
      <c r="M10230">
        <v>0</v>
      </c>
      <c r="N10230">
        <v>0</v>
      </c>
      <c r="O10230">
        <v>58</v>
      </c>
    </row>
    <row r="10231" spans="1:15" x14ac:dyDescent="0.25">
      <c r="A10231" t="s">
        <v>1051</v>
      </c>
      <c r="B10231" t="s">
        <v>2995</v>
      </c>
      <c r="C10231" t="s">
        <v>927</v>
      </c>
      <c r="D10231" t="s">
        <v>3052</v>
      </c>
      <c r="E10231" t="s">
        <v>3053</v>
      </c>
      <c r="F10231" t="s">
        <v>283</v>
      </c>
      <c r="G10231" t="s">
        <v>3040</v>
      </c>
      <c r="H10231" t="s">
        <v>13728</v>
      </c>
      <c r="I10231">
        <v>175</v>
      </c>
      <c r="J10231">
        <v>0</v>
      </c>
      <c r="K10231">
        <v>0</v>
      </c>
      <c r="L10231">
        <v>175</v>
      </c>
      <c r="M10231">
        <v>0</v>
      </c>
      <c r="N10231">
        <v>0</v>
      </c>
      <c r="O10231">
        <v>0</v>
      </c>
    </row>
    <row r="10232" spans="1:15" x14ac:dyDescent="0.25">
      <c r="A10232" t="s">
        <v>1149</v>
      </c>
      <c r="B10232" t="s">
        <v>2262</v>
      </c>
      <c r="C10232" t="s">
        <v>923</v>
      </c>
      <c r="D10232" t="s">
        <v>3063</v>
      </c>
      <c r="E10232" t="s">
        <v>3053</v>
      </c>
      <c r="F10232" t="s">
        <v>283</v>
      </c>
      <c r="G10232" t="s">
        <v>3040</v>
      </c>
      <c r="H10232" t="s">
        <v>13747</v>
      </c>
      <c r="I10232">
        <v>44</v>
      </c>
      <c r="J10232">
        <v>0</v>
      </c>
      <c r="K10232">
        <v>0</v>
      </c>
      <c r="L10232">
        <v>0</v>
      </c>
      <c r="M10232">
        <v>44</v>
      </c>
      <c r="N10232">
        <v>0</v>
      </c>
      <c r="O10232">
        <v>0</v>
      </c>
    </row>
    <row r="10233" spans="1:15" x14ac:dyDescent="0.25">
      <c r="A10233" t="s">
        <v>953</v>
      </c>
      <c r="B10233" t="s">
        <v>2014</v>
      </c>
      <c r="C10233" t="s">
        <v>927</v>
      </c>
      <c r="D10233" t="s">
        <v>3052</v>
      </c>
      <c r="E10233" t="s">
        <v>3053</v>
      </c>
      <c r="F10233" t="s">
        <v>283</v>
      </c>
      <c r="G10233" t="s">
        <v>3040</v>
      </c>
      <c r="H10233" t="s">
        <v>13762</v>
      </c>
      <c r="I10233">
        <v>183</v>
      </c>
      <c r="J10233">
        <v>0</v>
      </c>
      <c r="K10233">
        <v>0</v>
      </c>
      <c r="L10233">
        <v>183</v>
      </c>
      <c r="M10233">
        <v>0</v>
      </c>
      <c r="N10233">
        <v>0</v>
      </c>
      <c r="O10233">
        <v>0</v>
      </c>
    </row>
    <row r="10234" spans="1:15" x14ac:dyDescent="0.25">
      <c r="A10234" t="s">
        <v>10809</v>
      </c>
      <c r="B10234" t="s">
        <v>10808</v>
      </c>
      <c r="C10234" t="s">
        <v>923</v>
      </c>
      <c r="D10234" t="s">
        <v>3063</v>
      </c>
      <c r="E10234" t="s">
        <v>3053</v>
      </c>
      <c r="F10234" t="s">
        <v>283</v>
      </c>
      <c r="G10234" t="s">
        <v>3040</v>
      </c>
      <c r="H10234" t="s">
        <v>15521</v>
      </c>
      <c r="I10234">
        <v>2</v>
      </c>
      <c r="J10234">
        <v>2</v>
      </c>
      <c r="K10234">
        <v>0</v>
      </c>
      <c r="L10234">
        <v>0</v>
      </c>
      <c r="M10234">
        <v>0</v>
      </c>
      <c r="N10234">
        <v>0</v>
      </c>
      <c r="O10234">
        <v>0</v>
      </c>
    </row>
    <row r="10235" spans="1:15" x14ac:dyDescent="0.25">
      <c r="A10235" t="s">
        <v>1150</v>
      </c>
      <c r="B10235" t="s">
        <v>2701</v>
      </c>
      <c r="C10235" t="s">
        <v>923</v>
      </c>
      <c r="D10235" t="s">
        <v>3063</v>
      </c>
      <c r="E10235" t="s">
        <v>3053</v>
      </c>
      <c r="F10235" t="s">
        <v>283</v>
      </c>
      <c r="G10235" t="s">
        <v>3040</v>
      </c>
      <c r="H10235" t="s">
        <v>13777</v>
      </c>
      <c r="I10235">
        <v>27</v>
      </c>
      <c r="J10235">
        <v>0</v>
      </c>
      <c r="K10235">
        <v>0</v>
      </c>
      <c r="L10235">
        <v>0</v>
      </c>
      <c r="M10235">
        <v>27</v>
      </c>
      <c r="N10235">
        <v>0</v>
      </c>
      <c r="O10235">
        <v>0</v>
      </c>
    </row>
    <row r="10236" spans="1:15" x14ac:dyDescent="0.25">
      <c r="A10236" t="s">
        <v>1151</v>
      </c>
      <c r="B10236" t="s">
        <v>2240</v>
      </c>
      <c r="C10236" t="s">
        <v>923</v>
      </c>
      <c r="D10236" t="s">
        <v>3063</v>
      </c>
      <c r="E10236" t="s">
        <v>3053</v>
      </c>
      <c r="F10236" t="s">
        <v>283</v>
      </c>
      <c r="G10236" t="s">
        <v>3040</v>
      </c>
      <c r="H10236" t="s">
        <v>13779</v>
      </c>
      <c r="I10236">
        <v>24</v>
      </c>
      <c r="J10236">
        <v>0</v>
      </c>
      <c r="K10236">
        <v>0</v>
      </c>
      <c r="L10236">
        <v>0</v>
      </c>
      <c r="M10236">
        <v>24</v>
      </c>
      <c r="N10236">
        <v>0</v>
      </c>
      <c r="O10236">
        <v>0</v>
      </c>
    </row>
    <row r="10237" spans="1:15" x14ac:dyDescent="0.25">
      <c r="A10237" t="s">
        <v>1530</v>
      </c>
      <c r="B10237" t="s">
        <v>1934</v>
      </c>
      <c r="C10237" t="s">
        <v>927</v>
      </c>
      <c r="D10237" t="s">
        <v>3052</v>
      </c>
      <c r="E10237" t="s">
        <v>3053</v>
      </c>
      <c r="F10237" t="s">
        <v>283</v>
      </c>
      <c r="G10237" t="s">
        <v>3040</v>
      </c>
      <c r="H10237" t="s">
        <v>15522</v>
      </c>
      <c r="I10237">
        <v>46</v>
      </c>
      <c r="J10237">
        <v>0</v>
      </c>
      <c r="K10237">
        <v>0</v>
      </c>
      <c r="L10237">
        <v>0</v>
      </c>
      <c r="M10237">
        <v>0</v>
      </c>
      <c r="N10237">
        <v>0</v>
      </c>
      <c r="O10237">
        <v>46</v>
      </c>
    </row>
    <row r="10238" spans="1:15" x14ac:dyDescent="0.25">
      <c r="A10238" t="s">
        <v>1651</v>
      </c>
      <c r="B10238" t="s">
        <v>2123</v>
      </c>
      <c r="C10238" t="s">
        <v>923</v>
      </c>
      <c r="D10238" t="s">
        <v>3063</v>
      </c>
      <c r="E10238" t="s">
        <v>3053</v>
      </c>
      <c r="F10238" t="s">
        <v>283</v>
      </c>
      <c r="G10238" t="s">
        <v>3040</v>
      </c>
      <c r="H10238" t="s">
        <v>13786</v>
      </c>
      <c r="I10238">
        <v>8</v>
      </c>
      <c r="J10238">
        <v>8</v>
      </c>
      <c r="K10238">
        <v>0</v>
      </c>
      <c r="L10238">
        <v>0</v>
      </c>
      <c r="M10238">
        <v>0</v>
      </c>
      <c r="N10238">
        <v>0</v>
      </c>
      <c r="O10238">
        <v>0</v>
      </c>
    </row>
    <row r="10239" spans="1:15" x14ac:dyDescent="0.25">
      <c r="A10239" t="s">
        <v>14379</v>
      </c>
      <c r="B10239" t="s">
        <v>15059</v>
      </c>
      <c r="C10239" t="s">
        <v>923</v>
      </c>
      <c r="D10239" t="s">
        <v>3063</v>
      </c>
      <c r="E10239" t="s">
        <v>3053</v>
      </c>
      <c r="F10239" t="s">
        <v>283</v>
      </c>
      <c r="G10239" t="s">
        <v>3040</v>
      </c>
      <c r="H10239" t="s">
        <v>15523</v>
      </c>
      <c r="I10239">
        <v>20</v>
      </c>
      <c r="J10239">
        <v>0</v>
      </c>
      <c r="K10239">
        <v>0</v>
      </c>
      <c r="L10239">
        <v>20</v>
      </c>
      <c r="M10239">
        <v>0</v>
      </c>
      <c r="N10239">
        <v>0</v>
      </c>
      <c r="O10239">
        <v>0</v>
      </c>
    </row>
    <row r="10240" spans="1:15" x14ac:dyDescent="0.25">
      <c r="A10240" t="s">
        <v>1152</v>
      </c>
      <c r="B10240" t="s">
        <v>3031</v>
      </c>
      <c r="C10240" t="s">
        <v>927</v>
      </c>
      <c r="D10240" t="s">
        <v>3052</v>
      </c>
      <c r="E10240" t="s">
        <v>3053</v>
      </c>
      <c r="F10240" t="s">
        <v>283</v>
      </c>
      <c r="G10240" t="s">
        <v>3040</v>
      </c>
      <c r="H10240" t="s">
        <v>13794</v>
      </c>
      <c r="I10240">
        <v>6713</v>
      </c>
      <c r="J10240">
        <v>5548</v>
      </c>
      <c r="K10240">
        <v>0</v>
      </c>
      <c r="L10240">
        <v>128</v>
      </c>
      <c r="M10240">
        <v>590</v>
      </c>
      <c r="N10240">
        <v>45</v>
      </c>
      <c r="O10240">
        <v>447</v>
      </c>
    </row>
    <row r="10241" spans="1:15" x14ac:dyDescent="0.25">
      <c r="A10241" t="s">
        <v>11720</v>
      </c>
      <c r="B10241" t="s">
        <v>10718</v>
      </c>
      <c r="C10241" t="s">
        <v>927</v>
      </c>
      <c r="D10241" t="s">
        <v>3052</v>
      </c>
      <c r="E10241" t="s">
        <v>3053</v>
      </c>
      <c r="F10241" t="s">
        <v>283</v>
      </c>
      <c r="G10241" t="s">
        <v>3040</v>
      </c>
      <c r="H10241" t="s">
        <v>15524</v>
      </c>
      <c r="I10241">
        <v>1657</v>
      </c>
      <c r="J10241">
        <v>809</v>
      </c>
      <c r="K10241">
        <v>0</v>
      </c>
      <c r="L10241">
        <v>0</v>
      </c>
      <c r="M10241">
        <v>0</v>
      </c>
      <c r="N10241">
        <v>0</v>
      </c>
      <c r="O10241">
        <v>848</v>
      </c>
    </row>
    <row r="10242" spans="1:15" x14ac:dyDescent="0.25">
      <c r="A10242" t="s">
        <v>9788</v>
      </c>
      <c r="B10242" t="s">
        <v>9871</v>
      </c>
      <c r="C10242" t="s">
        <v>927</v>
      </c>
      <c r="D10242" t="s">
        <v>3052</v>
      </c>
      <c r="E10242" t="s">
        <v>3053</v>
      </c>
      <c r="F10242" t="s">
        <v>283</v>
      </c>
      <c r="G10242" t="s">
        <v>3040</v>
      </c>
      <c r="H10242" t="s">
        <v>13797</v>
      </c>
      <c r="I10242">
        <v>2174</v>
      </c>
      <c r="J10242">
        <v>2174</v>
      </c>
      <c r="K10242">
        <v>0</v>
      </c>
      <c r="L10242">
        <v>0</v>
      </c>
      <c r="M10242">
        <v>0</v>
      </c>
      <c r="N10242">
        <v>0</v>
      </c>
      <c r="O10242">
        <v>0</v>
      </c>
    </row>
    <row r="10243" spans="1:15" x14ac:dyDescent="0.25">
      <c r="A10243" t="s">
        <v>1056</v>
      </c>
      <c r="B10243" t="s">
        <v>2966</v>
      </c>
      <c r="C10243" t="s">
        <v>927</v>
      </c>
      <c r="D10243" t="s">
        <v>3052</v>
      </c>
      <c r="E10243" t="s">
        <v>3053</v>
      </c>
      <c r="F10243" t="s">
        <v>283</v>
      </c>
      <c r="G10243" t="s">
        <v>3040</v>
      </c>
      <c r="H10243" t="s">
        <v>13807</v>
      </c>
      <c r="I10243">
        <v>403</v>
      </c>
      <c r="J10243">
        <v>234</v>
      </c>
      <c r="K10243">
        <v>0</v>
      </c>
      <c r="L10243">
        <v>144</v>
      </c>
      <c r="M10243">
        <v>25</v>
      </c>
      <c r="N10243">
        <v>14</v>
      </c>
      <c r="O10243">
        <v>0</v>
      </c>
    </row>
    <row r="10244" spans="1:15" x14ac:dyDescent="0.25">
      <c r="A10244" t="s">
        <v>1057</v>
      </c>
      <c r="B10244" t="s">
        <v>1972</v>
      </c>
      <c r="C10244" t="s">
        <v>927</v>
      </c>
      <c r="D10244" t="s">
        <v>3052</v>
      </c>
      <c r="E10244" t="s">
        <v>3053</v>
      </c>
      <c r="F10244" t="s">
        <v>283</v>
      </c>
      <c r="G10244" t="s">
        <v>3040</v>
      </c>
      <c r="H10244" t="s">
        <v>13817</v>
      </c>
      <c r="I10244">
        <v>1518</v>
      </c>
      <c r="J10244">
        <v>709</v>
      </c>
      <c r="K10244">
        <v>0</v>
      </c>
      <c r="L10244">
        <v>553</v>
      </c>
      <c r="M10244">
        <v>35</v>
      </c>
      <c r="N10244">
        <v>0</v>
      </c>
      <c r="O10244">
        <v>221</v>
      </c>
    </row>
    <row r="10245" spans="1:15" x14ac:dyDescent="0.25">
      <c r="A10245" t="s">
        <v>955</v>
      </c>
      <c r="B10245" t="s">
        <v>2660</v>
      </c>
      <c r="C10245" t="s">
        <v>927</v>
      </c>
      <c r="D10245" t="s">
        <v>3052</v>
      </c>
      <c r="E10245" t="s">
        <v>3053</v>
      </c>
      <c r="F10245" t="s">
        <v>283</v>
      </c>
      <c r="G10245" t="s">
        <v>3040</v>
      </c>
      <c r="H10245" t="s">
        <v>13826</v>
      </c>
      <c r="I10245">
        <v>11545</v>
      </c>
      <c r="J10245">
        <v>8257</v>
      </c>
      <c r="K10245">
        <v>501</v>
      </c>
      <c r="L10245">
        <v>509</v>
      </c>
      <c r="M10245">
        <v>2014</v>
      </c>
      <c r="N10245">
        <v>70</v>
      </c>
      <c r="O10245">
        <v>264</v>
      </c>
    </row>
    <row r="10246" spans="1:15" x14ac:dyDescent="0.25">
      <c r="A10246" t="s">
        <v>1153</v>
      </c>
      <c r="B10246" t="s">
        <v>2560</v>
      </c>
      <c r="C10246" t="s">
        <v>923</v>
      </c>
      <c r="D10246" t="s">
        <v>3063</v>
      </c>
      <c r="E10246" t="s">
        <v>3053</v>
      </c>
      <c r="F10246" t="s">
        <v>283</v>
      </c>
      <c r="G10246" t="s">
        <v>3040</v>
      </c>
      <c r="H10246" t="s">
        <v>13837</v>
      </c>
      <c r="I10246">
        <v>30</v>
      </c>
      <c r="J10246">
        <v>0</v>
      </c>
      <c r="K10246">
        <v>0</v>
      </c>
      <c r="L10246">
        <v>30</v>
      </c>
      <c r="M10246">
        <v>0</v>
      </c>
      <c r="N10246">
        <v>0</v>
      </c>
      <c r="O10246">
        <v>0</v>
      </c>
    </row>
    <row r="10247" spans="1:15" x14ac:dyDescent="0.25">
      <c r="A10247" t="s">
        <v>1154</v>
      </c>
      <c r="B10247" t="s">
        <v>2861</v>
      </c>
      <c r="C10247" t="s">
        <v>927</v>
      </c>
      <c r="D10247" t="s">
        <v>3052</v>
      </c>
      <c r="E10247" t="s">
        <v>3053</v>
      </c>
      <c r="F10247" t="s">
        <v>283</v>
      </c>
      <c r="G10247" t="s">
        <v>3040</v>
      </c>
      <c r="H10247" t="s">
        <v>13844</v>
      </c>
      <c r="I10247">
        <v>9392</v>
      </c>
      <c r="J10247">
        <v>7850</v>
      </c>
      <c r="K10247">
        <v>0</v>
      </c>
      <c r="L10247">
        <v>106</v>
      </c>
      <c r="M10247">
        <v>771</v>
      </c>
      <c r="N10247">
        <v>2</v>
      </c>
      <c r="O10247">
        <v>665</v>
      </c>
    </row>
    <row r="10248" spans="1:15" x14ac:dyDescent="0.25">
      <c r="A10248" t="s">
        <v>1155</v>
      </c>
      <c r="B10248" t="s">
        <v>2912</v>
      </c>
      <c r="C10248" t="s">
        <v>927</v>
      </c>
      <c r="D10248" t="s">
        <v>3052</v>
      </c>
      <c r="E10248" t="s">
        <v>3053</v>
      </c>
      <c r="F10248" t="s">
        <v>283</v>
      </c>
      <c r="G10248" t="s">
        <v>3040</v>
      </c>
      <c r="H10248" t="s">
        <v>13853</v>
      </c>
      <c r="I10248">
        <v>6</v>
      </c>
      <c r="J10248">
        <v>0</v>
      </c>
      <c r="K10248">
        <v>0</v>
      </c>
      <c r="L10248">
        <v>0</v>
      </c>
      <c r="M10248">
        <v>0</v>
      </c>
      <c r="N10248">
        <v>0</v>
      </c>
      <c r="O10248">
        <v>6</v>
      </c>
    </row>
    <row r="10249" spans="1:15" x14ac:dyDescent="0.25">
      <c r="A10249" t="s">
        <v>9795</v>
      </c>
      <c r="B10249" t="s">
        <v>1982</v>
      </c>
      <c r="C10249" t="s">
        <v>923</v>
      </c>
      <c r="D10249" t="s">
        <v>3063</v>
      </c>
      <c r="E10249" t="s">
        <v>3053</v>
      </c>
      <c r="F10249" t="s">
        <v>283</v>
      </c>
      <c r="G10249" t="s">
        <v>3040</v>
      </c>
      <c r="H10249" t="s">
        <v>13882</v>
      </c>
      <c r="I10249">
        <v>168</v>
      </c>
      <c r="J10249">
        <v>4</v>
      </c>
      <c r="K10249">
        <v>0</v>
      </c>
      <c r="L10249">
        <v>164</v>
      </c>
      <c r="M10249">
        <v>0</v>
      </c>
      <c r="N10249">
        <v>25</v>
      </c>
      <c r="O10249">
        <v>0</v>
      </c>
    </row>
    <row r="10250" spans="1:15" x14ac:dyDescent="0.25">
      <c r="A10250" t="s">
        <v>1156</v>
      </c>
      <c r="B10250" t="s">
        <v>2094</v>
      </c>
      <c r="C10250" t="s">
        <v>923</v>
      </c>
      <c r="D10250" t="s">
        <v>3063</v>
      </c>
      <c r="E10250" t="s">
        <v>3053</v>
      </c>
      <c r="F10250" t="s">
        <v>283</v>
      </c>
      <c r="G10250" t="s">
        <v>3040</v>
      </c>
      <c r="H10250" t="s">
        <v>13894</v>
      </c>
      <c r="I10250">
        <v>35</v>
      </c>
      <c r="J10250">
        <v>0</v>
      </c>
      <c r="K10250">
        <v>0</v>
      </c>
      <c r="L10250">
        <v>35</v>
      </c>
      <c r="M10250">
        <v>0</v>
      </c>
      <c r="N10250">
        <v>0</v>
      </c>
      <c r="O10250">
        <v>0</v>
      </c>
    </row>
    <row r="10251" spans="1:15" x14ac:dyDescent="0.25">
      <c r="A10251" t="s">
        <v>11663</v>
      </c>
      <c r="B10251" t="s">
        <v>11768</v>
      </c>
      <c r="C10251" t="s">
        <v>927</v>
      </c>
      <c r="D10251" t="s">
        <v>3052</v>
      </c>
      <c r="E10251" t="s">
        <v>3053</v>
      </c>
      <c r="F10251" t="s">
        <v>283</v>
      </c>
      <c r="G10251" t="s">
        <v>3040</v>
      </c>
      <c r="H10251" t="s">
        <v>13899</v>
      </c>
      <c r="I10251">
        <v>641</v>
      </c>
      <c r="J10251">
        <v>425</v>
      </c>
      <c r="K10251">
        <v>175</v>
      </c>
      <c r="L10251">
        <v>0</v>
      </c>
      <c r="M10251">
        <v>2</v>
      </c>
      <c r="N10251">
        <v>1</v>
      </c>
      <c r="O10251">
        <v>39</v>
      </c>
    </row>
    <row r="10252" spans="1:15" x14ac:dyDescent="0.25">
      <c r="A10252" t="s">
        <v>960</v>
      </c>
      <c r="B10252" t="s">
        <v>2080</v>
      </c>
      <c r="C10252" t="s">
        <v>927</v>
      </c>
      <c r="D10252" t="s">
        <v>3052</v>
      </c>
      <c r="E10252" t="s">
        <v>3053</v>
      </c>
      <c r="F10252" t="s">
        <v>283</v>
      </c>
      <c r="G10252" t="s">
        <v>3040</v>
      </c>
      <c r="H10252" t="s">
        <v>13909</v>
      </c>
      <c r="I10252">
        <v>1</v>
      </c>
      <c r="J10252">
        <v>0</v>
      </c>
      <c r="K10252">
        <v>0</v>
      </c>
      <c r="L10252">
        <v>0</v>
      </c>
      <c r="M10252">
        <v>0</v>
      </c>
      <c r="N10252">
        <v>0</v>
      </c>
      <c r="O10252">
        <v>1</v>
      </c>
    </row>
    <row r="10253" spans="1:15" x14ac:dyDescent="0.25">
      <c r="A10253" t="s">
        <v>14380</v>
      </c>
      <c r="B10253" t="s">
        <v>2074</v>
      </c>
      <c r="C10253" t="s">
        <v>927</v>
      </c>
      <c r="D10253" t="s">
        <v>3052</v>
      </c>
      <c r="E10253" t="s">
        <v>3053</v>
      </c>
      <c r="F10253" t="s">
        <v>283</v>
      </c>
      <c r="G10253" t="s">
        <v>3040</v>
      </c>
      <c r="H10253" t="s">
        <v>15525</v>
      </c>
      <c r="I10253">
        <v>5018</v>
      </c>
      <c r="J10253">
        <v>3669</v>
      </c>
      <c r="K10253">
        <v>88</v>
      </c>
      <c r="L10253">
        <v>3</v>
      </c>
      <c r="M10253">
        <v>446</v>
      </c>
      <c r="N10253">
        <v>41</v>
      </c>
      <c r="O10253">
        <v>812</v>
      </c>
    </row>
    <row r="10254" spans="1:15" x14ac:dyDescent="0.25">
      <c r="A10254" t="s">
        <v>14374</v>
      </c>
      <c r="B10254" t="s">
        <v>1943</v>
      </c>
      <c r="C10254" t="s">
        <v>927</v>
      </c>
      <c r="D10254" t="s">
        <v>3052</v>
      </c>
      <c r="E10254" t="s">
        <v>3053</v>
      </c>
      <c r="F10254" t="s">
        <v>283</v>
      </c>
      <c r="G10254" t="s">
        <v>3040</v>
      </c>
      <c r="H10254" t="s">
        <v>15526</v>
      </c>
      <c r="I10254">
        <v>993</v>
      </c>
      <c r="J10254">
        <v>0</v>
      </c>
      <c r="K10254">
        <v>0</v>
      </c>
      <c r="L10254">
        <v>0</v>
      </c>
      <c r="M10254">
        <v>0</v>
      </c>
      <c r="N10254">
        <v>0</v>
      </c>
      <c r="O10254">
        <v>993</v>
      </c>
    </row>
    <row r="10255" spans="1:15" x14ac:dyDescent="0.25">
      <c r="A10255" t="s">
        <v>1157</v>
      </c>
      <c r="B10255" t="s">
        <v>2259</v>
      </c>
      <c r="C10255" t="s">
        <v>923</v>
      </c>
      <c r="D10255" t="s">
        <v>3063</v>
      </c>
      <c r="E10255" t="s">
        <v>3053</v>
      </c>
      <c r="F10255" t="s">
        <v>283</v>
      </c>
      <c r="G10255" t="s">
        <v>3040</v>
      </c>
      <c r="H10255" t="s">
        <v>13923</v>
      </c>
      <c r="I10255">
        <v>20</v>
      </c>
      <c r="J10255">
        <v>20</v>
      </c>
      <c r="K10255">
        <v>0</v>
      </c>
      <c r="L10255">
        <v>0</v>
      </c>
      <c r="M10255">
        <v>0</v>
      </c>
      <c r="N10255">
        <v>0</v>
      </c>
      <c r="O10255">
        <v>0</v>
      </c>
    </row>
    <row r="10256" spans="1:15" x14ac:dyDescent="0.25">
      <c r="A10256" t="s">
        <v>11772</v>
      </c>
      <c r="B10256" t="s">
        <v>11771</v>
      </c>
      <c r="C10256" t="s">
        <v>923</v>
      </c>
      <c r="D10256" t="s">
        <v>3063</v>
      </c>
      <c r="E10256" t="s">
        <v>3053</v>
      </c>
      <c r="F10256" t="s">
        <v>283</v>
      </c>
      <c r="G10256" t="s">
        <v>3040</v>
      </c>
      <c r="H10256" t="s">
        <v>15527</v>
      </c>
      <c r="I10256">
        <v>6</v>
      </c>
      <c r="J10256">
        <v>6</v>
      </c>
      <c r="K10256">
        <v>0</v>
      </c>
      <c r="L10256">
        <v>0</v>
      </c>
      <c r="M10256">
        <v>0</v>
      </c>
      <c r="N10256">
        <v>0</v>
      </c>
      <c r="O10256">
        <v>0</v>
      </c>
    </row>
    <row r="10257" spans="1:15" x14ac:dyDescent="0.25">
      <c r="A10257" t="s">
        <v>1158</v>
      </c>
      <c r="B10257" t="s">
        <v>2922</v>
      </c>
      <c r="C10257" t="s">
        <v>927</v>
      </c>
      <c r="D10257" t="s">
        <v>3052</v>
      </c>
      <c r="E10257" t="s">
        <v>3053</v>
      </c>
      <c r="F10257" t="s">
        <v>283</v>
      </c>
      <c r="G10257" t="s">
        <v>3040</v>
      </c>
      <c r="H10257" t="s">
        <v>13928</v>
      </c>
      <c r="I10257">
        <v>5</v>
      </c>
      <c r="J10257">
        <v>0</v>
      </c>
      <c r="K10257">
        <v>0</v>
      </c>
      <c r="L10257">
        <v>5</v>
      </c>
      <c r="M10257">
        <v>0</v>
      </c>
      <c r="N10257">
        <v>0</v>
      </c>
      <c r="O10257">
        <v>0</v>
      </c>
    </row>
    <row r="10258" spans="1:15" x14ac:dyDescent="0.25">
      <c r="A10258" t="s">
        <v>1062</v>
      </c>
      <c r="B10258" t="s">
        <v>1993</v>
      </c>
      <c r="C10258" t="s">
        <v>927</v>
      </c>
      <c r="D10258" t="s">
        <v>3052</v>
      </c>
      <c r="E10258" t="s">
        <v>3053</v>
      </c>
      <c r="F10258" t="s">
        <v>283</v>
      </c>
      <c r="G10258" t="s">
        <v>3040</v>
      </c>
      <c r="H10258" t="s">
        <v>13941</v>
      </c>
      <c r="I10258">
        <v>100</v>
      </c>
      <c r="J10258">
        <v>96</v>
      </c>
      <c r="K10258">
        <v>0</v>
      </c>
      <c r="L10258">
        <v>0</v>
      </c>
      <c r="M10258">
        <v>0</v>
      </c>
      <c r="N10258">
        <v>0</v>
      </c>
      <c r="O10258">
        <v>4</v>
      </c>
    </row>
    <row r="10259" spans="1:15" x14ac:dyDescent="0.25">
      <c r="A10259" t="s">
        <v>962</v>
      </c>
      <c r="B10259" t="s">
        <v>2752</v>
      </c>
      <c r="C10259" t="s">
        <v>927</v>
      </c>
      <c r="D10259" t="s">
        <v>3052</v>
      </c>
      <c r="E10259" t="s">
        <v>3053</v>
      </c>
      <c r="F10259" t="s">
        <v>283</v>
      </c>
      <c r="G10259" t="s">
        <v>3040</v>
      </c>
      <c r="H10259" t="s">
        <v>13946</v>
      </c>
      <c r="I10259">
        <v>4004</v>
      </c>
      <c r="J10259">
        <v>3396</v>
      </c>
      <c r="K10259">
        <v>0</v>
      </c>
      <c r="L10259">
        <v>80</v>
      </c>
      <c r="M10259">
        <v>169</v>
      </c>
      <c r="N10259">
        <v>1</v>
      </c>
      <c r="O10259">
        <v>359</v>
      </c>
    </row>
    <row r="10260" spans="1:15" x14ac:dyDescent="0.25">
      <c r="A10260" t="s">
        <v>1159</v>
      </c>
      <c r="B10260" t="s">
        <v>2829</v>
      </c>
      <c r="C10260" t="s">
        <v>927</v>
      </c>
      <c r="D10260" t="s">
        <v>3052</v>
      </c>
      <c r="E10260" t="s">
        <v>3053</v>
      </c>
      <c r="F10260" t="s">
        <v>283</v>
      </c>
      <c r="G10260" t="s">
        <v>3040</v>
      </c>
      <c r="H10260" t="s">
        <v>13965</v>
      </c>
      <c r="I10260">
        <v>5196</v>
      </c>
      <c r="J10260">
        <v>4435</v>
      </c>
      <c r="K10260">
        <v>385</v>
      </c>
      <c r="L10260">
        <v>262</v>
      </c>
      <c r="M10260">
        <v>79</v>
      </c>
      <c r="N10260">
        <v>64</v>
      </c>
      <c r="O10260">
        <v>35</v>
      </c>
    </row>
    <row r="10261" spans="1:15" x14ac:dyDescent="0.25">
      <c r="A10261" t="s">
        <v>1160</v>
      </c>
      <c r="B10261" t="s">
        <v>2863</v>
      </c>
      <c r="C10261" t="s">
        <v>923</v>
      </c>
      <c r="D10261" t="s">
        <v>3063</v>
      </c>
      <c r="E10261" t="s">
        <v>3053</v>
      </c>
      <c r="F10261" t="s">
        <v>283</v>
      </c>
      <c r="G10261" t="s">
        <v>3040</v>
      </c>
      <c r="H10261" t="s">
        <v>13975</v>
      </c>
      <c r="I10261">
        <v>36</v>
      </c>
      <c r="J10261">
        <v>36</v>
      </c>
      <c r="K10261">
        <v>0</v>
      </c>
      <c r="L10261">
        <v>0</v>
      </c>
      <c r="M10261">
        <v>0</v>
      </c>
      <c r="N10261">
        <v>0</v>
      </c>
      <c r="O10261">
        <v>0</v>
      </c>
    </row>
    <row r="10262" spans="1:15" x14ac:dyDescent="0.25">
      <c r="A10262" t="s">
        <v>1352</v>
      </c>
      <c r="B10262" t="s">
        <v>2085</v>
      </c>
      <c r="C10262" t="s">
        <v>923</v>
      </c>
      <c r="D10262" t="s">
        <v>3063</v>
      </c>
      <c r="E10262" t="s">
        <v>3053</v>
      </c>
      <c r="F10262" t="s">
        <v>283</v>
      </c>
      <c r="G10262" t="s">
        <v>3040</v>
      </c>
      <c r="H10262" t="s">
        <v>13981</v>
      </c>
      <c r="I10262">
        <v>69</v>
      </c>
      <c r="J10262">
        <v>69</v>
      </c>
      <c r="K10262">
        <v>0</v>
      </c>
      <c r="L10262">
        <v>0</v>
      </c>
      <c r="M10262">
        <v>0</v>
      </c>
      <c r="N10262">
        <v>0</v>
      </c>
      <c r="O10262">
        <v>0</v>
      </c>
    </row>
    <row r="10263" spans="1:15" x14ac:dyDescent="0.25">
      <c r="A10263" t="s">
        <v>1161</v>
      </c>
      <c r="B10263" t="s">
        <v>2558</v>
      </c>
      <c r="C10263" t="s">
        <v>923</v>
      </c>
      <c r="D10263" t="s">
        <v>3063</v>
      </c>
      <c r="E10263" t="s">
        <v>3053</v>
      </c>
      <c r="F10263" t="s">
        <v>283</v>
      </c>
      <c r="G10263" t="s">
        <v>3040</v>
      </c>
      <c r="H10263" t="s">
        <v>13995</v>
      </c>
      <c r="I10263">
        <v>34</v>
      </c>
      <c r="J10263">
        <v>0</v>
      </c>
      <c r="K10263">
        <v>0</v>
      </c>
      <c r="L10263">
        <v>0</v>
      </c>
      <c r="M10263">
        <v>34</v>
      </c>
      <c r="N10263">
        <v>0</v>
      </c>
      <c r="O10263">
        <v>0</v>
      </c>
    </row>
    <row r="10264" spans="1:15" x14ac:dyDescent="0.25">
      <c r="A10264" t="s">
        <v>1162</v>
      </c>
      <c r="B10264" t="s">
        <v>2547</v>
      </c>
      <c r="C10264" t="s">
        <v>923</v>
      </c>
      <c r="D10264" t="s">
        <v>3063</v>
      </c>
      <c r="E10264" t="s">
        <v>3053</v>
      </c>
      <c r="F10264" t="s">
        <v>283</v>
      </c>
      <c r="G10264" t="s">
        <v>3040</v>
      </c>
      <c r="H10264" t="s">
        <v>14003</v>
      </c>
      <c r="I10264">
        <v>23</v>
      </c>
      <c r="J10264">
        <v>0</v>
      </c>
      <c r="K10264">
        <v>0</v>
      </c>
      <c r="L10264">
        <v>23</v>
      </c>
      <c r="M10264">
        <v>0</v>
      </c>
      <c r="N10264">
        <v>0</v>
      </c>
      <c r="O10264">
        <v>0</v>
      </c>
    </row>
    <row r="10265" spans="1:15" x14ac:dyDescent="0.25">
      <c r="A10265" t="s">
        <v>14381</v>
      </c>
      <c r="B10265" t="s">
        <v>14450</v>
      </c>
      <c r="C10265" t="s">
        <v>923</v>
      </c>
      <c r="D10265" t="s">
        <v>3063</v>
      </c>
      <c r="E10265" t="s">
        <v>3053</v>
      </c>
      <c r="F10265" t="s">
        <v>283</v>
      </c>
      <c r="G10265" t="s">
        <v>3040</v>
      </c>
      <c r="H10265" t="s">
        <v>15528</v>
      </c>
      <c r="I10265">
        <v>10</v>
      </c>
      <c r="J10265">
        <v>0</v>
      </c>
      <c r="K10265">
        <v>0</v>
      </c>
      <c r="L10265">
        <v>0</v>
      </c>
      <c r="M10265">
        <v>10</v>
      </c>
      <c r="N10265">
        <v>0</v>
      </c>
      <c r="O10265">
        <v>0</v>
      </c>
    </row>
    <row r="10266" spans="1:15" x14ac:dyDescent="0.25">
      <c r="A10266" t="s">
        <v>1163</v>
      </c>
      <c r="B10266" t="s">
        <v>2562</v>
      </c>
      <c r="C10266" t="s">
        <v>923</v>
      </c>
      <c r="D10266" t="s">
        <v>3063</v>
      </c>
      <c r="E10266" t="s">
        <v>3053</v>
      </c>
      <c r="F10266" t="s">
        <v>283</v>
      </c>
      <c r="G10266" t="s">
        <v>3040</v>
      </c>
      <c r="H10266" t="s">
        <v>14011</v>
      </c>
      <c r="I10266">
        <v>11</v>
      </c>
      <c r="J10266">
        <v>0</v>
      </c>
      <c r="K10266">
        <v>0</v>
      </c>
      <c r="L10266">
        <v>0</v>
      </c>
      <c r="M10266">
        <v>11</v>
      </c>
      <c r="N10266">
        <v>0</v>
      </c>
      <c r="O10266">
        <v>0</v>
      </c>
    </row>
    <row r="10267" spans="1:15" x14ac:dyDescent="0.25">
      <c r="A10267" t="s">
        <v>1164</v>
      </c>
      <c r="B10267" t="s">
        <v>2604</v>
      </c>
      <c r="C10267" t="s">
        <v>923</v>
      </c>
      <c r="D10267" t="s">
        <v>3063</v>
      </c>
      <c r="E10267" t="s">
        <v>3053</v>
      </c>
      <c r="F10267" t="s">
        <v>283</v>
      </c>
      <c r="G10267" t="s">
        <v>3040</v>
      </c>
      <c r="H10267" t="s">
        <v>14021</v>
      </c>
      <c r="I10267">
        <v>12</v>
      </c>
      <c r="J10267">
        <v>0</v>
      </c>
      <c r="K10267">
        <v>0</v>
      </c>
      <c r="L10267">
        <v>0</v>
      </c>
      <c r="M10267">
        <v>12</v>
      </c>
      <c r="N10267">
        <v>0</v>
      </c>
      <c r="O10267">
        <v>0</v>
      </c>
    </row>
    <row r="10268" spans="1:15" x14ac:dyDescent="0.25">
      <c r="A10268" t="s">
        <v>1165</v>
      </c>
      <c r="B10268" t="s">
        <v>2624</v>
      </c>
      <c r="C10268" t="s">
        <v>923</v>
      </c>
      <c r="D10268" t="s">
        <v>3063</v>
      </c>
      <c r="E10268" t="s">
        <v>3053</v>
      </c>
      <c r="F10268" t="s">
        <v>283</v>
      </c>
      <c r="G10268" t="s">
        <v>3040</v>
      </c>
      <c r="H10268" t="s">
        <v>14023</v>
      </c>
      <c r="I10268">
        <v>36</v>
      </c>
      <c r="J10268">
        <v>0</v>
      </c>
      <c r="K10268">
        <v>0</v>
      </c>
      <c r="L10268">
        <v>0</v>
      </c>
      <c r="M10268">
        <v>36</v>
      </c>
      <c r="N10268">
        <v>0</v>
      </c>
      <c r="O10268">
        <v>0</v>
      </c>
    </row>
    <row r="10269" spans="1:15" x14ac:dyDescent="0.25">
      <c r="A10269" t="s">
        <v>1066</v>
      </c>
      <c r="B10269" t="s">
        <v>2557</v>
      </c>
      <c r="C10269" t="s">
        <v>927</v>
      </c>
      <c r="D10269" t="s">
        <v>3052</v>
      </c>
      <c r="E10269" t="s">
        <v>3053</v>
      </c>
      <c r="F10269" t="s">
        <v>283</v>
      </c>
      <c r="G10269" t="s">
        <v>3040</v>
      </c>
      <c r="H10269" t="s">
        <v>14029</v>
      </c>
      <c r="I10269">
        <v>57</v>
      </c>
      <c r="J10269">
        <v>0</v>
      </c>
      <c r="K10269">
        <v>0</v>
      </c>
      <c r="L10269">
        <v>0</v>
      </c>
      <c r="M10269">
        <v>57</v>
      </c>
      <c r="N10269">
        <v>0</v>
      </c>
      <c r="O10269">
        <v>0</v>
      </c>
    </row>
    <row r="10270" spans="1:15" x14ac:dyDescent="0.25">
      <c r="A10270" t="s">
        <v>1166</v>
      </c>
      <c r="B10270" t="s">
        <v>2533</v>
      </c>
      <c r="C10270" t="s">
        <v>923</v>
      </c>
      <c r="D10270" t="s">
        <v>3063</v>
      </c>
      <c r="E10270" t="s">
        <v>3053</v>
      </c>
      <c r="F10270" t="s">
        <v>283</v>
      </c>
      <c r="G10270" t="s">
        <v>3040</v>
      </c>
      <c r="H10270" t="s">
        <v>14042</v>
      </c>
      <c r="I10270">
        <v>12</v>
      </c>
      <c r="J10270">
        <v>0</v>
      </c>
      <c r="K10270">
        <v>0</v>
      </c>
      <c r="L10270">
        <v>0</v>
      </c>
      <c r="M10270">
        <v>12</v>
      </c>
      <c r="N10270">
        <v>0</v>
      </c>
      <c r="O10270">
        <v>0</v>
      </c>
    </row>
    <row r="10271" spans="1:15" x14ac:dyDescent="0.25">
      <c r="A10271" t="s">
        <v>1167</v>
      </c>
      <c r="B10271" t="s">
        <v>2190</v>
      </c>
      <c r="C10271" t="s">
        <v>923</v>
      </c>
      <c r="D10271" t="s">
        <v>3063</v>
      </c>
      <c r="E10271" t="s">
        <v>3053</v>
      </c>
      <c r="F10271" t="s">
        <v>283</v>
      </c>
      <c r="G10271" t="s">
        <v>3040</v>
      </c>
      <c r="H10271" t="s">
        <v>14050</v>
      </c>
      <c r="I10271">
        <v>47</v>
      </c>
      <c r="J10271">
        <v>0</v>
      </c>
      <c r="K10271">
        <v>0</v>
      </c>
      <c r="L10271">
        <v>47</v>
      </c>
      <c r="M10271">
        <v>0</v>
      </c>
      <c r="N10271">
        <v>0</v>
      </c>
      <c r="O10271">
        <v>0</v>
      </c>
    </row>
    <row r="10272" spans="1:15" x14ac:dyDescent="0.25">
      <c r="A10272" t="s">
        <v>1168</v>
      </c>
      <c r="B10272" t="s">
        <v>2712</v>
      </c>
      <c r="C10272" t="s">
        <v>927</v>
      </c>
      <c r="D10272" t="s">
        <v>3052</v>
      </c>
      <c r="E10272" t="s">
        <v>3053</v>
      </c>
      <c r="F10272" t="s">
        <v>283</v>
      </c>
      <c r="G10272" t="s">
        <v>3040</v>
      </c>
      <c r="H10272" t="s">
        <v>14057</v>
      </c>
      <c r="I10272">
        <v>2968</v>
      </c>
      <c r="J10272">
        <v>2133</v>
      </c>
      <c r="K10272">
        <v>2</v>
      </c>
      <c r="L10272">
        <v>173</v>
      </c>
      <c r="M10272">
        <v>215</v>
      </c>
      <c r="N10272">
        <v>0</v>
      </c>
      <c r="O10272">
        <v>445</v>
      </c>
    </row>
    <row r="10273" spans="1:15" x14ac:dyDescent="0.25">
      <c r="A10273" t="s">
        <v>11667</v>
      </c>
      <c r="B10273" t="s">
        <v>1986</v>
      </c>
      <c r="C10273" t="s">
        <v>923</v>
      </c>
      <c r="D10273" t="s">
        <v>3063</v>
      </c>
      <c r="E10273" t="s">
        <v>3053</v>
      </c>
      <c r="F10273" t="s">
        <v>283</v>
      </c>
      <c r="G10273" t="s">
        <v>3040</v>
      </c>
      <c r="H10273" t="s">
        <v>14070</v>
      </c>
      <c r="I10273">
        <v>46</v>
      </c>
      <c r="J10273">
        <v>0</v>
      </c>
      <c r="K10273">
        <v>0</v>
      </c>
      <c r="L10273">
        <v>0</v>
      </c>
      <c r="M10273">
        <v>46</v>
      </c>
      <c r="N10273">
        <v>0</v>
      </c>
      <c r="O10273">
        <v>0</v>
      </c>
    </row>
    <row r="10274" spans="1:15" x14ac:dyDescent="0.25">
      <c r="A10274" t="s">
        <v>1170</v>
      </c>
      <c r="B10274" t="s">
        <v>2968</v>
      </c>
      <c r="C10274" t="s">
        <v>923</v>
      </c>
      <c r="D10274" t="s">
        <v>3063</v>
      </c>
      <c r="E10274" t="s">
        <v>3053</v>
      </c>
      <c r="F10274" t="s">
        <v>283</v>
      </c>
      <c r="G10274" t="s">
        <v>3040</v>
      </c>
      <c r="H10274" t="s">
        <v>14079</v>
      </c>
      <c r="I10274">
        <v>24</v>
      </c>
      <c r="J10274">
        <v>0</v>
      </c>
      <c r="K10274">
        <v>0</v>
      </c>
      <c r="L10274">
        <v>24</v>
      </c>
      <c r="M10274">
        <v>0</v>
      </c>
      <c r="N10274">
        <v>0</v>
      </c>
      <c r="O10274">
        <v>0</v>
      </c>
    </row>
    <row r="10275" spans="1:15" x14ac:dyDescent="0.25">
      <c r="A10275" t="s">
        <v>1171</v>
      </c>
      <c r="B10275" t="s">
        <v>2286</v>
      </c>
      <c r="C10275" t="s">
        <v>923</v>
      </c>
      <c r="D10275" t="s">
        <v>3063</v>
      </c>
      <c r="E10275" t="s">
        <v>3053</v>
      </c>
      <c r="F10275" t="s">
        <v>283</v>
      </c>
      <c r="G10275" t="s">
        <v>3040</v>
      </c>
      <c r="H10275" t="s">
        <v>14083</v>
      </c>
      <c r="I10275">
        <v>8</v>
      </c>
      <c r="J10275">
        <v>0</v>
      </c>
      <c r="K10275">
        <v>0</v>
      </c>
      <c r="L10275">
        <v>0</v>
      </c>
      <c r="M10275">
        <v>8</v>
      </c>
      <c r="N10275">
        <v>0</v>
      </c>
      <c r="O10275">
        <v>0</v>
      </c>
    </row>
    <row r="10276" spans="1:15" x14ac:dyDescent="0.25">
      <c r="A10276" t="s">
        <v>1069</v>
      </c>
      <c r="B10276" t="s">
        <v>2001</v>
      </c>
      <c r="C10276" t="s">
        <v>927</v>
      </c>
      <c r="D10276" t="s">
        <v>3052</v>
      </c>
      <c r="E10276" t="s">
        <v>3053</v>
      </c>
      <c r="F10276" t="s">
        <v>283</v>
      </c>
      <c r="G10276" t="s">
        <v>3040</v>
      </c>
      <c r="H10276" t="s">
        <v>14089</v>
      </c>
      <c r="I10276">
        <v>2982</v>
      </c>
      <c r="J10276">
        <v>2695</v>
      </c>
      <c r="K10276">
        <v>0</v>
      </c>
      <c r="L10276">
        <v>1</v>
      </c>
      <c r="M10276">
        <v>62</v>
      </c>
      <c r="N10276">
        <v>0</v>
      </c>
      <c r="O10276">
        <v>224</v>
      </c>
    </row>
    <row r="10277" spans="1:15" x14ac:dyDescent="0.25">
      <c r="A10277" t="s">
        <v>1172</v>
      </c>
      <c r="B10277" t="s">
        <v>3023</v>
      </c>
      <c r="C10277" t="s">
        <v>927</v>
      </c>
      <c r="D10277" t="s">
        <v>3052</v>
      </c>
      <c r="E10277" t="s">
        <v>3053</v>
      </c>
      <c r="F10277" t="s">
        <v>283</v>
      </c>
      <c r="G10277" t="s">
        <v>3040</v>
      </c>
      <c r="H10277" t="s">
        <v>14101</v>
      </c>
      <c r="I10277">
        <v>7460</v>
      </c>
      <c r="J10277">
        <v>6670</v>
      </c>
      <c r="K10277">
        <v>0</v>
      </c>
      <c r="L10277">
        <v>98</v>
      </c>
      <c r="M10277">
        <v>261</v>
      </c>
      <c r="N10277">
        <v>0</v>
      </c>
      <c r="O10277">
        <v>431</v>
      </c>
    </row>
    <row r="10278" spans="1:15" x14ac:dyDescent="0.25">
      <c r="A10278" t="s">
        <v>1173</v>
      </c>
      <c r="B10278" t="s">
        <v>11781</v>
      </c>
      <c r="C10278" t="s">
        <v>923</v>
      </c>
      <c r="D10278" t="s">
        <v>3063</v>
      </c>
      <c r="E10278" t="s">
        <v>3053</v>
      </c>
      <c r="F10278" t="s">
        <v>283</v>
      </c>
      <c r="G10278" t="s">
        <v>3040</v>
      </c>
      <c r="H10278" t="s">
        <v>14103</v>
      </c>
      <c r="I10278">
        <v>16</v>
      </c>
      <c r="J10278">
        <v>16</v>
      </c>
      <c r="K10278">
        <v>0</v>
      </c>
      <c r="L10278">
        <v>0</v>
      </c>
      <c r="M10278">
        <v>0</v>
      </c>
      <c r="N10278">
        <v>0</v>
      </c>
      <c r="O10278">
        <v>0</v>
      </c>
    </row>
    <row r="10279" spans="1:15" x14ac:dyDescent="0.25">
      <c r="A10279" t="s">
        <v>1174</v>
      </c>
      <c r="B10279" t="s">
        <v>2663</v>
      </c>
      <c r="C10279" t="s">
        <v>927</v>
      </c>
      <c r="D10279" t="s">
        <v>3052</v>
      </c>
      <c r="E10279" t="s">
        <v>3053</v>
      </c>
      <c r="F10279" t="s">
        <v>283</v>
      </c>
      <c r="G10279" t="s">
        <v>3040</v>
      </c>
      <c r="H10279" t="s">
        <v>14114</v>
      </c>
      <c r="I10279">
        <v>39</v>
      </c>
      <c r="J10279">
        <v>17</v>
      </c>
      <c r="K10279">
        <v>0</v>
      </c>
      <c r="L10279">
        <v>0</v>
      </c>
      <c r="M10279">
        <v>0</v>
      </c>
      <c r="N10279">
        <v>0</v>
      </c>
      <c r="O10279">
        <v>22</v>
      </c>
    </row>
    <row r="10280" spans="1:15" x14ac:dyDescent="0.25">
      <c r="A10280" t="s">
        <v>1175</v>
      </c>
      <c r="B10280" t="s">
        <v>2318</v>
      </c>
      <c r="C10280" t="s">
        <v>923</v>
      </c>
      <c r="D10280" t="s">
        <v>3063</v>
      </c>
      <c r="E10280" t="s">
        <v>3053</v>
      </c>
      <c r="F10280" t="s">
        <v>283</v>
      </c>
      <c r="G10280" t="s">
        <v>3040</v>
      </c>
      <c r="H10280" t="s">
        <v>14117</v>
      </c>
      <c r="I10280">
        <v>41</v>
      </c>
      <c r="J10280">
        <v>0</v>
      </c>
      <c r="K10280">
        <v>0</v>
      </c>
      <c r="L10280">
        <v>0</v>
      </c>
      <c r="M10280">
        <v>41</v>
      </c>
      <c r="N10280">
        <v>0</v>
      </c>
      <c r="O10280">
        <v>0</v>
      </c>
    </row>
    <row r="10281" spans="1:15" x14ac:dyDescent="0.25">
      <c r="A10281" t="s">
        <v>9796</v>
      </c>
      <c r="B10281" t="s">
        <v>2192</v>
      </c>
      <c r="C10281" t="s">
        <v>923</v>
      </c>
      <c r="D10281" t="s">
        <v>3063</v>
      </c>
      <c r="E10281" t="s">
        <v>3053</v>
      </c>
      <c r="F10281" t="s">
        <v>283</v>
      </c>
      <c r="G10281" t="s">
        <v>3040</v>
      </c>
      <c r="H10281" t="s">
        <v>14120</v>
      </c>
      <c r="I10281">
        <v>67</v>
      </c>
      <c r="J10281">
        <v>0</v>
      </c>
      <c r="K10281">
        <v>0</v>
      </c>
      <c r="L10281">
        <v>0</v>
      </c>
      <c r="M10281">
        <v>67</v>
      </c>
      <c r="N10281">
        <v>0</v>
      </c>
      <c r="O10281">
        <v>0</v>
      </c>
    </row>
    <row r="10282" spans="1:15" x14ac:dyDescent="0.25">
      <c r="A10282" t="s">
        <v>9797</v>
      </c>
      <c r="B10282" t="s">
        <v>2316</v>
      </c>
      <c r="C10282" t="s">
        <v>923</v>
      </c>
      <c r="D10282" t="s">
        <v>3063</v>
      </c>
      <c r="E10282" t="s">
        <v>3053</v>
      </c>
      <c r="F10282" t="s">
        <v>283</v>
      </c>
      <c r="G10282" t="s">
        <v>3040</v>
      </c>
      <c r="H10282" t="s">
        <v>14123</v>
      </c>
      <c r="I10282">
        <v>6</v>
      </c>
      <c r="J10282">
        <v>6</v>
      </c>
      <c r="K10282">
        <v>0</v>
      </c>
      <c r="L10282">
        <v>0</v>
      </c>
      <c r="M10282">
        <v>0</v>
      </c>
      <c r="N10282">
        <v>0</v>
      </c>
      <c r="O10282">
        <v>0</v>
      </c>
    </row>
    <row r="10283" spans="1:15" x14ac:dyDescent="0.25">
      <c r="A10283" t="s">
        <v>9798</v>
      </c>
      <c r="B10283" t="s">
        <v>9879</v>
      </c>
      <c r="C10283" t="s">
        <v>923</v>
      </c>
      <c r="D10283" t="s">
        <v>3063</v>
      </c>
      <c r="E10283" t="s">
        <v>3053</v>
      </c>
      <c r="F10283" t="s">
        <v>283</v>
      </c>
      <c r="G10283" t="s">
        <v>3040</v>
      </c>
      <c r="H10283" t="s">
        <v>14126</v>
      </c>
      <c r="I10283">
        <v>28</v>
      </c>
      <c r="J10283">
        <v>28</v>
      </c>
      <c r="K10283">
        <v>0</v>
      </c>
      <c r="L10283">
        <v>0</v>
      </c>
      <c r="M10283">
        <v>0</v>
      </c>
      <c r="N10283">
        <v>0</v>
      </c>
      <c r="O10283">
        <v>0</v>
      </c>
    </row>
    <row r="10284" spans="1:15" x14ac:dyDescent="0.25">
      <c r="A10284" t="s">
        <v>9881</v>
      </c>
      <c r="B10284" t="s">
        <v>2254</v>
      </c>
      <c r="C10284" t="s">
        <v>923</v>
      </c>
      <c r="D10284" t="s">
        <v>3063</v>
      </c>
      <c r="E10284" t="s">
        <v>3053</v>
      </c>
      <c r="F10284" t="s">
        <v>283</v>
      </c>
      <c r="G10284" t="s">
        <v>3040</v>
      </c>
      <c r="H10284" t="s">
        <v>14131</v>
      </c>
      <c r="I10284">
        <v>57</v>
      </c>
      <c r="J10284">
        <v>0</v>
      </c>
      <c r="K10284">
        <v>0</v>
      </c>
      <c r="L10284">
        <v>0</v>
      </c>
      <c r="M10284">
        <v>57</v>
      </c>
      <c r="N10284">
        <v>0</v>
      </c>
      <c r="O10284">
        <v>0</v>
      </c>
    </row>
    <row r="10285" spans="1:15" x14ac:dyDescent="0.25">
      <c r="A10285" t="s">
        <v>1176</v>
      </c>
      <c r="B10285" t="s">
        <v>2952</v>
      </c>
      <c r="C10285" t="s">
        <v>923</v>
      </c>
      <c r="D10285" t="s">
        <v>3063</v>
      </c>
      <c r="E10285" t="s">
        <v>3053</v>
      </c>
      <c r="F10285" t="s">
        <v>283</v>
      </c>
      <c r="G10285" t="s">
        <v>3040</v>
      </c>
      <c r="H10285" t="s">
        <v>14132</v>
      </c>
      <c r="I10285">
        <v>667</v>
      </c>
      <c r="J10285">
        <v>173</v>
      </c>
      <c r="K10285">
        <v>0</v>
      </c>
      <c r="L10285">
        <v>494</v>
      </c>
      <c r="M10285">
        <v>0</v>
      </c>
      <c r="N10285">
        <v>5</v>
      </c>
      <c r="O10285">
        <v>0</v>
      </c>
    </row>
    <row r="10286" spans="1:15" x14ac:dyDescent="0.25">
      <c r="A10286" t="s">
        <v>1071</v>
      </c>
      <c r="B10286" t="s">
        <v>2571</v>
      </c>
      <c r="C10286" t="s">
        <v>923</v>
      </c>
      <c r="D10286" t="s">
        <v>3063</v>
      </c>
      <c r="E10286" t="s">
        <v>3053</v>
      </c>
      <c r="F10286" t="s">
        <v>283</v>
      </c>
      <c r="G10286" t="s">
        <v>3040</v>
      </c>
      <c r="H10286" t="s">
        <v>14139</v>
      </c>
      <c r="I10286">
        <v>26</v>
      </c>
      <c r="J10286">
        <v>0</v>
      </c>
      <c r="K10286">
        <v>0</v>
      </c>
      <c r="L10286">
        <v>26</v>
      </c>
      <c r="M10286">
        <v>0</v>
      </c>
      <c r="N10286">
        <v>0</v>
      </c>
      <c r="O10286">
        <v>0</v>
      </c>
    </row>
    <row r="10287" spans="1:15" x14ac:dyDescent="0.25">
      <c r="A10287" t="s">
        <v>1072</v>
      </c>
      <c r="B10287" t="s">
        <v>2907</v>
      </c>
      <c r="C10287" t="s">
        <v>927</v>
      </c>
      <c r="D10287" t="s">
        <v>3052</v>
      </c>
      <c r="E10287" t="s">
        <v>3053</v>
      </c>
      <c r="F10287" t="s">
        <v>283</v>
      </c>
      <c r="G10287" t="s">
        <v>3040</v>
      </c>
      <c r="H10287" t="s">
        <v>14146</v>
      </c>
      <c r="I10287">
        <v>502</v>
      </c>
      <c r="J10287">
        <v>81</v>
      </c>
      <c r="K10287">
        <v>0</v>
      </c>
      <c r="L10287">
        <v>188</v>
      </c>
      <c r="M10287">
        <v>225</v>
      </c>
      <c r="N10287">
        <v>0</v>
      </c>
      <c r="O10287">
        <v>8</v>
      </c>
    </row>
    <row r="10288" spans="1:15" x14ac:dyDescent="0.25">
      <c r="A10288" t="s">
        <v>1178</v>
      </c>
      <c r="B10288" t="s">
        <v>2301</v>
      </c>
      <c r="C10288" t="s">
        <v>923</v>
      </c>
      <c r="D10288" t="s">
        <v>3063</v>
      </c>
      <c r="E10288" t="s">
        <v>3053</v>
      </c>
      <c r="F10288" t="s">
        <v>283</v>
      </c>
      <c r="G10288" t="s">
        <v>3040</v>
      </c>
      <c r="H10288" t="s">
        <v>14155</v>
      </c>
      <c r="I10288">
        <v>6</v>
      </c>
      <c r="J10288">
        <v>6</v>
      </c>
      <c r="K10288">
        <v>0</v>
      </c>
      <c r="L10288">
        <v>0</v>
      </c>
      <c r="M10288">
        <v>0</v>
      </c>
      <c r="N10288">
        <v>0</v>
      </c>
      <c r="O10288">
        <v>0</v>
      </c>
    </row>
    <row r="10289" spans="1:15" x14ac:dyDescent="0.25">
      <c r="A10289" t="s">
        <v>1179</v>
      </c>
      <c r="B10289" t="s">
        <v>2253</v>
      </c>
      <c r="C10289" t="s">
        <v>923</v>
      </c>
      <c r="D10289" t="s">
        <v>3063</v>
      </c>
      <c r="E10289" t="s">
        <v>3053</v>
      </c>
      <c r="F10289" t="s">
        <v>283</v>
      </c>
      <c r="G10289" t="s">
        <v>3040</v>
      </c>
      <c r="H10289" t="s">
        <v>14165</v>
      </c>
      <c r="I10289">
        <v>29</v>
      </c>
      <c r="J10289">
        <v>3</v>
      </c>
      <c r="K10289">
        <v>0</v>
      </c>
      <c r="L10289">
        <v>0</v>
      </c>
      <c r="M10289">
        <v>26</v>
      </c>
      <c r="N10289">
        <v>0</v>
      </c>
      <c r="O10289">
        <v>0</v>
      </c>
    </row>
    <row r="10290" spans="1:15" x14ac:dyDescent="0.25">
      <c r="A10290" t="s">
        <v>9799</v>
      </c>
      <c r="B10290" t="s">
        <v>2246</v>
      </c>
      <c r="C10290" t="s">
        <v>923</v>
      </c>
      <c r="D10290" t="s">
        <v>3063</v>
      </c>
      <c r="E10290" t="s">
        <v>3053</v>
      </c>
      <c r="F10290" t="s">
        <v>283</v>
      </c>
      <c r="G10290" t="s">
        <v>3040</v>
      </c>
      <c r="H10290" t="s">
        <v>14168</v>
      </c>
      <c r="I10290">
        <v>15</v>
      </c>
      <c r="J10290">
        <v>0</v>
      </c>
      <c r="K10290">
        <v>0</v>
      </c>
      <c r="L10290">
        <v>15</v>
      </c>
      <c r="M10290">
        <v>0</v>
      </c>
      <c r="N10290">
        <v>0</v>
      </c>
      <c r="O10290">
        <v>0</v>
      </c>
    </row>
    <row r="10291" spans="1:15" x14ac:dyDescent="0.25">
      <c r="A10291" t="s">
        <v>1180</v>
      </c>
      <c r="B10291" t="s">
        <v>2896</v>
      </c>
      <c r="C10291" t="s">
        <v>927</v>
      </c>
      <c r="D10291" t="s">
        <v>3052</v>
      </c>
      <c r="E10291" t="s">
        <v>3053</v>
      </c>
      <c r="F10291" t="s">
        <v>283</v>
      </c>
      <c r="G10291" t="s">
        <v>3040</v>
      </c>
      <c r="H10291" t="s">
        <v>14178</v>
      </c>
      <c r="I10291">
        <v>1</v>
      </c>
      <c r="J10291">
        <v>0</v>
      </c>
      <c r="K10291">
        <v>0</v>
      </c>
      <c r="L10291">
        <v>0</v>
      </c>
      <c r="M10291">
        <v>0</v>
      </c>
      <c r="N10291">
        <v>0</v>
      </c>
      <c r="O10291">
        <v>1</v>
      </c>
    </row>
    <row r="10292" spans="1:15" x14ac:dyDescent="0.25">
      <c r="A10292" t="s">
        <v>1181</v>
      </c>
      <c r="B10292" t="s">
        <v>2894</v>
      </c>
      <c r="C10292" t="s">
        <v>927</v>
      </c>
      <c r="D10292" t="s">
        <v>3052</v>
      </c>
      <c r="E10292" t="s">
        <v>3053</v>
      </c>
      <c r="F10292" t="s">
        <v>283</v>
      </c>
      <c r="G10292" t="s">
        <v>3040</v>
      </c>
      <c r="H10292" t="s">
        <v>14186</v>
      </c>
      <c r="I10292">
        <v>4199</v>
      </c>
      <c r="J10292">
        <v>3353</v>
      </c>
      <c r="K10292">
        <v>0</v>
      </c>
      <c r="L10292">
        <v>0</v>
      </c>
      <c r="M10292">
        <v>571</v>
      </c>
      <c r="N10292">
        <v>3</v>
      </c>
      <c r="O10292">
        <v>275</v>
      </c>
    </row>
    <row r="10293" spans="1:15" x14ac:dyDescent="0.25">
      <c r="A10293" t="s">
        <v>11673</v>
      </c>
      <c r="B10293" t="s">
        <v>2186</v>
      </c>
      <c r="C10293" t="s">
        <v>923</v>
      </c>
      <c r="D10293" t="s">
        <v>3063</v>
      </c>
      <c r="E10293" t="s">
        <v>3053</v>
      </c>
      <c r="F10293" t="s">
        <v>283</v>
      </c>
      <c r="G10293" t="s">
        <v>3040</v>
      </c>
      <c r="H10293" t="s">
        <v>14189</v>
      </c>
      <c r="I10293">
        <v>4</v>
      </c>
      <c r="J10293">
        <v>0</v>
      </c>
      <c r="K10293">
        <v>0</v>
      </c>
      <c r="L10293">
        <v>0</v>
      </c>
      <c r="M10293">
        <v>4</v>
      </c>
      <c r="N10293">
        <v>0</v>
      </c>
      <c r="O10293">
        <v>0</v>
      </c>
    </row>
    <row r="10294" spans="1:15" x14ac:dyDescent="0.25">
      <c r="A10294" t="s">
        <v>1183</v>
      </c>
      <c r="B10294" t="s">
        <v>2108</v>
      </c>
      <c r="C10294" t="s">
        <v>923</v>
      </c>
      <c r="D10294" t="s">
        <v>3063</v>
      </c>
      <c r="E10294" t="s">
        <v>3053</v>
      </c>
      <c r="F10294" t="s">
        <v>283</v>
      </c>
      <c r="G10294" t="s">
        <v>3040</v>
      </c>
      <c r="H10294" t="s">
        <v>14233</v>
      </c>
      <c r="I10294">
        <v>54</v>
      </c>
      <c r="J10294">
        <v>54</v>
      </c>
      <c r="K10294">
        <v>0</v>
      </c>
      <c r="L10294">
        <v>0</v>
      </c>
      <c r="M10294">
        <v>0</v>
      </c>
      <c r="N10294">
        <v>0</v>
      </c>
      <c r="O10294">
        <v>0</v>
      </c>
    </row>
    <row r="10295" spans="1:15" x14ac:dyDescent="0.25">
      <c r="A10295" t="s">
        <v>1184</v>
      </c>
      <c r="B10295" t="s">
        <v>2152</v>
      </c>
      <c r="C10295" t="s">
        <v>923</v>
      </c>
      <c r="D10295" t="s">
        <v>3063</v>
      </c>
      <c r="E10295" t="s">
        <v>3053</v>
      </c>
      <c r="F10295" t="s">
        <v>283</v>
      </c>
      <c r="G10295" t="s">
        <v>3040</v>
      </c>
      <c r="H10295" t="s">
        <v>14256</v>
      </c>
      <c r="I10295">
        <v>6</v>
      </c>
      <c r="J10295">
        <v>6</v>
      </c>
      <c r="K10295">
        <v>0</v>
      </c>
      <c r="L10295">
        <v>0</v>
      </c>
      <c r="M10295">
        <v>0</v>
      </c>
      <c r="N10295">
        <v>0</v>
      </c>
      <c r="O10295">
        <v>0</v>
      </c>
    </row>
    <row r="10296" spans="1:15" x14ac:dyDescent="0.25">
      <c r="A10296" t="s">
        <v>1185</v>
      </c>
      <c r="B10296" t="s">
        <v>2886</v>
      </c>
      <c r="C10296" t="s">
        <v>927</v>
      </c>
      <c r="D10296" t="s">
        <v>3052</v>
      </c>
      <c r="E10296" t="s">
        <v>3053</v>
      </c>
      <c r="F10296" t="s">
        <v>283</v>
      </c>
      <c r="G10296" t="s">
        <v>3040</v>
      </c>
      <c r="H10296" t="s">
        <v>14257</v>
      </c>
      <c r="I10296">
        <v>5427</v>
      </c>
      <c r="J10296">
        <v>4572</v>
      </c>
      <c r="K10296">
        <v>95</v>
      </c>
      <c r="L10296">
        <v>0</v>
      </c>
      <c r="M10296">
        <v>469</v>
      </c>
      <c r="N10296">
        <v>0</v>
      </c>
      <c r="O10296">
        <v>291</v>
      </c>
    </row>
    <row r="10297" spans="1:15" x14ac:dyDescent="0.25">
      <c r="A10297" t="s">
        <v>1186</v>
      </c>
      <c r="B10297" t="s">
        <v>2166</v>
      </c>
      <c r="C10297" t="s">
        <v>923</v>
      </c>
      <c r="D10297" t="s">
        <v>3063</v>
      </c>
      <c r="E10297" t="s">
        <v>3053</v>
      </c>
      <c r="F10297" t="s">
        <v>283</v>
      </c>
      <c r="G10297" t="s">
        <v>3040</v>
      </c>
      <c r="H10297" t="s">
        <v>14264</v>
      </c>
      <c r="I10297">
        <v>4</v>
      </c>
      <c r="J10297">
        <v>4</v>
      </c>
      <c r="K10297">
        <v>0</v>
      </c>
      <c r="L10297">
        <v>0</v>
      </c>
      <c r="M10297">
        <v>0</v>
      </c>
      <c r="N10297">
        <v>0</v>
      </c>
      <c r="O10297">
        <v>0</v>
      </c>
    </row>
    <row r="10298" spans="1:15" x14ac:dyDescent="0.25">
      <c r="A10298" t="s">
        <v>1187</v>
      </c>
      <c r="B10298" t="s">
        <v>2125</v>
      </c>
      <c r="C10298" t="s">
        <v>923</v>
      </c>
      <c r="D10298" t="s">
        <v>3063</v>
      </c>
      <c r="E10298" t="s">
        <v>3053</v>
      </c>
      <c r="F10298" t="s">
        <v>283</v>
      </c>
      <c r="G10298" t="s">
        <v>3040</v>
      </c>
      <c r="H10298" t="s">
        <v>14272</v>
      </c>
      <c r="I10298">
        <v>15</v>
      </c>
      <c r="J10298">
        <v>11</v>
      </c>
      <c r="K10298">
        <v>0</v>
      </c>
      <c r="L10298">
        <v>4</v>
      </c>
      <c r="M10298">
        <v>0</v>
      </c>
      <c r="N10298">
        <v>4</v>
      </c>
      <c r="O10298">
        <v>0</v>
      </c>
    </row>
    <row r="10299" spans="1:15" x14ac:dyDescent="0.25">
      <c r="A10299" t="s">
        <v>1080</v>
      </c>
      <c r="B10299" t="s">
        <v>2030</v>
      </c>
      <c r="C10299" t="s">
        <v>923</v>
      </c>
      <c r="D10299" t="s">
        <v>3063</v>
      </c>
      <c r="E10299" t="s">
        <v>3053</v>
      </c>
      <c r="F10299" t="s">
        <v>283</v>
      </c>
      <c r="G10299" t="s">
        <v>3040</v>
      </c>
      <c r="H10299" t="s">
        <v>14278</v>
      </c>
      <c r="I10299">
        <v>27</v>
      </c>
      <c r="J10299">
        <v>0</v>
      </c>
      <c r="K10299">
        <v>0</v>
      </c>
      <c r="L10299">
        <v>27</v>
      </c>
      <c r="M10299">
        <v>0</v>
      </c>
      <c r="N10299">
        <v>0</v>
      </c>
      <c r="O10299">
        <v>0</v>
      </c>
    </row>
    <row r="10300" spans="1:15" x14ac:dyDescent="0.25">
      <c r="A10300" t="s">
        <v>1188</v>
      </c>
      <c r="B10300" t="s">
        <v>2244</v>
      </c>
      <c r="C10300" t="s">
        <v>923</v>
      </c>
      <c r="D10300" t="s">
        <v>3063</v>
      </c>
      <c r="E10300" t="s">
        <v>3053</v>
      </c>
      <c r="F10300" t="s">
        <v>283</v>
      </c>
      <c r="G10300" t="s">
        <v>3040</v>
      </c>
      <c r="H10300" t="s">
        <v>14299</v>
      </c>
      <c r="I10300">
        <v>80</v>
      </c>
      <c r="J10300">
        <v>0</v>
      </c>
      <c r="K10300">
        <v>0</v>
      </c>
      <c r="L10300">
        <v>0</v>
      </c>
      <c r="M10300">
        <v>80</v>
      </c>
      <c r="N10300">
        <v>0</v>
      </c>
      <c r="O10300">
        <v>0</v>
      </c>
    </row>
    <row r="10301" spans="1:15" x14ac:dyDescent="0.25">
      <c r="A10301" t="s">
        <v>14377</v>
      </c>
      <c r="B10301" t="s">
        <v>14444</v>
      </c>
      <c r="C10301" t="s">
        <v>923</v>
      </c>
      <c r="D10301" t="s">
        <v>3063</v>
      </c>
      <c r="E10301" t="s">
        <v>3053</v>
      </c>
      <c r="F10301" t="s">
        <v>283</v>
      </c>
      <c r="G10301" t="s">
        <v>3040</v>
      </c>
      <c r="H10301" t="s">
        <v>15529</v>
      </c>
      <c r="I10301">
        <v>15</v>
      </c>
      <c r="J10301">
        <v>0</v>
      </c>
      <c r="K10301">
        <v>0</v>
      </c>
      <c r="L10301">
        <v>15</v>
      </c>
      <c r="M10301">
        <v>0</v>
      </c>
      <c r="N10301">
        <v>0</v>
      </c>
      <c r="O10301">
        <v>0</v>
      </c>
    </row>
    <row r="10302" spans="1:15" x14ac:dyDescent="0.25">
      <c r="A10302" t="s">
        <v>1189</v>
      </c>
      <c r="B10302" t="s">
        <v>2079</v>
      </c>
      <c r="C10302" t="s">
        <v>923</v>
      </c>
      <c r="D10302" t="s">
        <v>3063</v>
      </c>
      <c r="E10302" t="s">
        <v>3053</v>
      </c>
      <c r="F10302" t="s">
        <v>283</v>
      </c>
      <c r="G10302" t="s">
        <v>3040</v>
      </c>
      <c r="H10302" t="s">
        <v>14305</v>
      </c>
      <c r="I10302">
        <v>43</v>
      </c>
      <c r="J10302">
        <v>0</v>
      </c>
      <c r="K10302">
        <v>0</v>
      </c>
      <c r="L10302">
        <v>0</v>
      </c>
      <c r="M10302">
        <v>43</v>
      </c>
      <c r="N10302">
        <v>0</v>
      </c>
      <c r="O10302">
        <v>0</v>
      </c>
    </row>
    <row r="10303" spans="1:15" x14ac:dyDescent="0.25">
      <c r="A10303" t="s">
        <v>1190</v>
      </c>
      <c r="B10303" t="s">
        <v>2220</v>
      </c>
      <c r="C10303" t="s">
        <v>923</v>
      </c>
      <c r="D10303" t="s">
        <v>3063</v>
      </c>
      <c r="E10303" t="s">
        <v>3053</v>
      </c>
      <c r="F10303" t="s">
        <v>283</v>
      </c>
      <c r="G10303" t="s">
        <v>3040</v>
      </c>
      <c r="H10303" t="s">
        <v>14308</v>
      </c>
      <c r="I10303">
        <v>21</v>
      </c>
      <c r="J10303">
        <v>0</v>
      </c>
      <c r="K10303">
        <v>0</v>
      </c>
      <c r="L10303">
        <v>0</v>
      </c>
      <c r="M10303">
        <v>21</v>
      </c>
      <c r="N10303">
        <v>0</v>
      </c>
      <c r="O10303">
        <v>0</v>
      </c>
    </row>
    <row r="10304" spans="1:15" x14ac:dyDescent="0.25">
      <c r="A10304" t="s">
        <v>1191</v>
      </c>
      <c r="B10304" t="s">
        <v>2398</v>
      </c>
      <c r="C10304" t="s">
        <v>923</v>
      </c>
      <c r="D10304" t="s">
        <v>3063</v>
      </c>
      <c r="E10304" t="s">
        <v>3053</v>
      </c>
      <c r="F10304" t="s">
        <v>283</v>
      </c>
      <c r="G10304" t="s">
        <v>3040</v>
      </c>
      <c r="H10304" t="s">
        <v>14309</v>
      </c>
      <c r="I10304">
        <v>94</v>
      </c>
      <c r="J10304">
        <v>94</v>
      </c>
      <c r="K10304">
        <v>0</v>
      </c>
      <c r="L10304">
        <v>0</v>
      </c>
      <c r="M10304">
        <v>0</v>
      </c>
      <c r="N10304">
        <v>0</v>
      </c>
      <c r="O10304">
        <v>0</v>
      </c>
    </row>
    <row r="10305" spans="1:15" x14ac:dyDescent="0.25">
      <c r="A10305" t="s">
        <v>1192</v>
      </c>
      <c r="B10305" t="s">
        <v>2713</v>
      </c>
      <c r="C10305" t="s">
        <v>923</v>
      </c>
      <c r="D10305" t="s">
        <v>3063</v>
      </c>
      <c r="E10305" t="s">
        <v>3053</v>
      </c>
      <c r="F10305" t="s">
        <v>283</v>
      </c>
      <c r="G10305" t="s">
        <v>3040</v>
      </c>
      <c r="H10305" t="s">
        <v>14310</v>
      </c>
      <c r="I10305">
        <v>41</v>
      </c>
      <c r="J10305">
        <v>0</v>
      </c>
      <c r="K10305">
        <v>0</v>
      </c>
      <c r="L10305">
        <v>0</v>
      </c>
      <c r="M10305">
        <v>41</v>
      </c>
      <c r="N10305">
        <v>0</v>
      </c>
      <c r="O10305">
        <v>0</v>
      </c>
    </row>
    <row r="10306" spans="1:15" x14ac:dyDescent="0.25">
      <c r="A10306" t="s">
        <v>1193</v>
      </c>
      <c r="B10306" t="s">
        <v>2617</v>
      </c>
      <c r="C10306" t="s">
        <v>923</v>
      </c>
      <c r="D10306" t="s">
        <v>3063</v>
      </c>
      <c r="E10306" t="s">
        <v>3053</v>
      </c>
      <c r="F10306" t="s">
        <v>283</v>
      </c>
      <c r="G10306" t="s">
        <v>3040</v>
      </c>
      <c r="H10306" t="s">
        <v>14334</v>
      </c>
      <c r="I10306">
        <v>204</v>
      </c>
      <c r="J10306">
        <v>0</v>
      </c>
      <c r="K10306">
        <v>0</v>
      </c>
      <c r="L10306">
        <v>204</v>
      </c>
      <c r="M10306">
        <v>0</v>
      </c>
      <c r="N10306">
        <v>0</v>
      </c>
      <c r="O10306">
        <v>0</v>
      </c>
    </row>
    <row r="10307" spans="1:15" x14ac:dyDescent="0.25">
      <c r="A10307" t="s">
        <v>1399</v>
      </c>
      <c r="B10307" t="s">
        <v>2903</v>
      </c>
      <c r="C10307" t="s">
        <v>923</v>
      </c>
      <c r="D10307" t="s">
        <v>3063</v>
      </c>
      <c r="E10307" t="s">
        <v>3053</v>
      </c>
      <c r="F10307" t="s">
        <v>283</v>
      </c>
      <c r="G10307" t="s">
        <v>3040</v>
      </c>
      <c r="H10307" t="s">
        <v>14342</v>
      </c>
      <c r="I10307">
        <v>40</v>
      </c>
      <c r="J10307">
        <v>0</v>
      </c>
      <c r="K10307">
        <v>0</v>
      </c>
      <c r="L10307">
        <v>40</v>
      </c>
      <c r="M10307">
        <v>0</v>
      </c>
      <c r="N10307">
        <v>0</v>
      </c>
      <c r="O10307">
        <v>0</v>
      </c>
    </row>
    <row r="10308" spans="1:15" x14ac:dyDescent="0.25">
      <c r="A10308" t="s">
        <v>1194</v>
      </c>
      <c r="B10308" t="s">
        <v>2627</v>
      </c>
      <c r="C10308" t="s">
        <v>923</v>
      </c>
      <c r="D10308" t="s">
        <v>3063</v>
      </c>
      <c r="E10308" t="s">
        <v>3053</v>
      </c>
      <c r="F10308" t="s">
        <v>283</v>
      </c>
      <c r="G10308" t="s">
        <v>3040</v>
      </c>
      <c r="H10308" t="s">
        <v>14345</v>
      </c>
      <c r="I10308">
        <v>295</v>
      </c>
      <c r="J10308">
        <v>0</v>
      </c>
      <c r="K10308">
        <v>0</v>
      </c>
      <c r="L10308">
        <v>295</v>
      </c>
      <c r="M10308">
        <v>0</v>
      </c>
      <c r="N10308">
        <v>0</v>
      </c>
      <c r="O10308">
        <v>0</v>
      </c>
    </row>
    <row r="10309" spans="1:15" x14ac:dyDescent="0.25">
      <c r="A10309" t="s">
        <v>1195</v>
      </c>
      <c r="B10309" t="s">
        <v>2924</v>
      </c>
      <c r="C10309" t="s">
        <v>927</v>
      </c>
      <c r="D10309" t="s">
        <v>3052</v>
      </c>
      <c r="E10309" t="s">
        <v>3053</v>
      </c>
      <c r="F10309" t="s">
        <v>284</v>
      </c>
      <c r="G10309" t="s">
        <v>3040</v>
      </c>
      <c r="H10309" t="s">
        <v>12531</v>
      </c>
      <c r="I10309">
        <v>9785</v>
      </c>
      <c r="J10309">
        <v>7261</v>
      </c>
      <c r="K10309">
        <v>0</v>
      </c>
      <c r="L10309">
        <v>532</v>
      </c>
      <c r="M10309">
        <v>306</v>
      </c>
      <c r="N10309">
        <v>11</v>
      </c>
      <c r="O10309">
        <v>1686</v>
      </c>
    </row>
    <row r="10310" spans="1:15" x14ac:dyDescent="0.25">
      <c r="A10310" t="s">
        <v>1564</v>
      </c>
      <c r="B10310" t="s">
        <v>3039</v>
      </c>
      <c r="C10310" t="s">
        <v>927</v>
      </c>
      <c r="D10310" t="s">
        <v>3052</v>
      </c>
      <c r="E10310" t="s">
        <v>3053</v>
      </c>
      <c r="F10310" t="s">
        <v>284</v>
      </c>
      <c r="G10310" t="s">
        <v>3040</v>
      </c>
      <c r="H10310" t="s">
        <v>12535</v>
      </c>
      <c r="I10310">
        <v>338</v>
      </c>
      <c r="J10310">
        <v>30</v>
      </c>
      <c r="K10310">
        <v>0</v>
      </c>
      <c r="L10310">
        <v>0</v>
      </c>
      <c r="M10310">
        <v>0</v>
      </c>
      <c r="N10310">
        <v>0</v>
      </c>
      <c r="O10310">
        <v>308</v>
      </c>
    </row>
    <row r="10311" spans="1:15" x14ac:dyDescent="0.25">
      <c r="A10311" t="s">
        <v>1196</v>
      </c>
      <c r="B10311" t="s">
        <v>3004</v>
      </c>
      <c r="C10311" t="s">
        <v>927</v>
      </c>
      <c r="D10311" t="s">
        <v>3052</v>
      </c>
      <c r="E10311" t="s">
        <v>3053</v>
      </c>
      <c r="F10311" t="s">
        <v>284</v>
      </c>
      <c r="G10311" t="s">
        <v>3040</v>
      </c>
      <c r="H10311" t="s">
        <v>12537</v>
      </c>
      <c r="I10311">
        <v>1718</v>
      </c>
      <c r="J10311">
        <v>1462</v>
      </c>
      <c r="K10311">
        <v>0</v>
      </c>
      <c r="L10311">
        <v>0</v>
      </c>
      <c r="M10311">
        <v>0</v>
      </c>
      <c r="N10311">
        <v>0</v>
      </c>
      <c r="O10311">
        <v>256</v>
      </c>
    </row>
    <row r="10312" spans="1:15" x14ac:dyDescent="0.25">
      <c r="A10312" t="s">
        <v>1197</v>
      </c>
      <c r="B10312" t="s">
        <v>2559</v>
      </c>
      <c r="C10312" t="s">
        <v>923</v>
      </c>
      <c r="D10312" t="s">
        <v>3063</v>
      </c>
      <c r="E10312" t="s">
        <v>3053</v>
      </c>
      <c r="F10312" t="s">
        <v>284</v>
      </c>
      <c r="G10312" t="s">
        <v>3040</v>
      </c>
      <c r="H10312" t="s">
        <v>12544</v>
      </c>
      <c r="I10312">
        <v>37</v>
      </c>
      <c r="J10312">
        <v>0</v>
      </c>
      <c r="K10312">
        <v>0</v>
      </c>
      <c r="L10312">
        <v>37</v>
      </c>
      <c r="M10312">
        <v>0</v>
      </c>
      <c r="N10312">
        <v>0</v>
      </c>
      <c r="O10312">
        <v>0</v>
      </c>
    </row>
    <row r="10313" spans="1:15" x14ac:dyDescent="0.25">
      <c r="A10313" t="s">
        <v>1198</v>
      </c>
      <c r="B10313" t="s">
        <v>2455</v>
      </c>
      <c r="C10313" t="s">
        <v>923</v>
      </c>
      <c r="D10313" t="s">
        <v>3063</v>
      </c>
      <c r="E10313" t="s">
        <v>3053</v>
      </c>
      <c r="F10313" t="s">
        <v>284</v>
      </c>
      <c r="G10313" t="s">
        <v>3040</v>
      </c>
      <c r="H10313" t="s">
        <v>12550</v>
      </c>
      <c r="I10313">
        <v>44</v>
      </c>
      <c r="J10313">
        <v>44</v>
      </c>
      <c r="K10313">
        <v>0</v>
      </c>
      <c r="L10313">
        <v>0</v>
      </c>
      <c r="M10313">
        <v>0</v>
      </c>
      <c r="N10313">
        <v>0</v>
      </c>
      <c r="O10313">
        <v>0</v>
      </c>
    </row>
    <row r="10314" spans="1:15" x14ac:dyDescent="0.25">
      <c r="A10314" t="s">
        <v>924</v>
      </c>
      <c r="B10314" t="s">
        <v>2963</v>
      </c>
      <c r="C10314" t="s">
        <v>923</v>
      </c>
      <c r="D10314" t="s">
        <v>3063</v>
      </c>
      <c r="E10314" t="s">
        <v>3053</v>
      </c>
      <c r="F10314" t="s">
        <v>284</v>
      </c>
      <c r="G10314" t="s">
        <v>3040</v>
      </c>
      <c r="H10314" t="s">
        <v>12552</v>
      </c>
      <c r="I10314">
        <v>126</v>
      </c>
      <c r="J10314">
        <v>0</v>
      </c>
      <c r="K10314">
        <v>0</v>
      </c>
      <c r="L10314">
        <v>126</v>
      </c>
      <c r="M10314">
        <v>0</v>
      </c>
      <c r="N10314">
        <v>0</v>
      </c>
      <c r="O10314">
        <v>0</v>
      </c>
    </row>
    <row r="10315" spans="1:15" x14ac:dyDescent="0.25">
      <c r="A10315" t="s">
        <v>971</v>
      </c>
      <c r="B10315" t="s">
        <v>2956</v>
      </c>
      <c r="C10315" t="s">
        <v>927</v>
      </c>
      <c r="D10315" t="s">
        <v>3052</v>
      </c>
      <c r="E10315" t="s">
        <v>3053</v>
      </c>
      <c r="F10315" t="s">
        <v>284</v>
      </c>
      <c r="G10315" t="s">
        <v>3040</v>
      </c>
      <c r="H10315" t="s">
        <v>12559</v>
      </c>
      <c r="I10315">
        <v>38</v>
      </c>
      <c r="J10315">
        <v>0</v>
      </c>
      <c r="K10315">
        <v>0</v>
      </c>
      <c r="L10315">
        <v>0</v>
      </c>
      <c r="M10315">
        <v>0</v>
      </c>
      <c r="N10315">
        <v>0</v>
      </c>
      <c r="O10315">
        <v>38</v>
      </c>
    </row>
    <row r="10316" spans="1:15" x14ac:dyDescent="0.25">
      <c r="A10316" t="s">
        <v>1199</v>
      </c>
      <c r="B10316" t="s">
        <v>3038</v>
      </c>
      <c r="C10316" t="s">
        <v>923</v>
      </c>
      <c r="D10316" t="s">
        <v>3063</v>
      </c>
      <c r="E10316" t="s">
        <v>3053</v>
      </c>
      <c r="F10316" t="s">
        <v>284</v>
      </c>
      <c r="G10316" t="s">
        <v>3040</v>
      </c>
      <c r="H10316" t="s">
        <v>12564</v>
      </c>
      <c r="I10316">
        <v>39</v>
      </c>
      <c r="J10316">
        <v>39</v>
      </c>
      <c r="K10316">
        <v>0</v>
      </c>
      <c r="L10316">
        <v>0</v>
      </c>
      <c r="M10316">
        <v>0</v>
      </c>
      <c r="N10316">
        <v>0</v>
      </c>
      <c r="O10316">
        <v>0</v>
      </c>
    </row>
    <row r="10317" spans="1:15" x14ac:dyDescent="0.25">
      <c r="A10317" t="s">
        <v>1200</v>
      </c>
      <c r="B10317" t="s">
        <v>2969</v>
      </c>
      <c r="C10317" t="s">
        <v>923</v>
      </c>
      <c r="D10317" t="s">
        <v>3063</v>
      </c>
      <c r="E10317" t="s">
        <v>3053</v>
      </c>
      <c r="F10317" t="s">
        <v>284</v>
      </c>
      <c r="G10317" t="s">
        <v>3040</v>
      </c>
      <c r="H10317" t="s">
        <v>12570</v>
      </c>
      <c r="I10317">
        <v>16</v>
      </c>
      <c r="J10317">
        <v>9</v>
      </c>
      <c r="K10317">
        <v>7</v>
      </c>
      <c r="L10317">
        <v>0</v>
      </c>
      <c r="M10317">
        <v>0</v>
      </c>
      <c r="N10317">
        <v>0</v>
      </c>
      <c r="O10317">
        <v>0</v>
      </c>
    </row>
    <row r="10318" spans="1:15" x14ac:dyDescent="0.25">
      <c r="A10318" t="s">
        <v>926</v>
      </c>
      <c r="B10318" t="s">
        <v>2923</v>
      </c>
      <c r="C10318" t="s">
        <v>927</v>
      </c>
      <c r="D10318" t="s">
        <v>3052</v>
      </c>
      <c r="E10318" t="s">
        <v>3053</v>
      </c>
      <c r="F10318" t="s">
        <v>284</v>
      </c>
      <c r="G10318" t="s">
        <v>3040</v>
      </c>
      <c r="H10318" t="s">
        <v>12577</v>
      </c>
      <c r="I10318">
        <v>56</v>
      </c>
      <c r="J10318">
        <v>1</v>
      </c>
      <c r="K10318">
        <v>0</v>
      </c>
      <c r="L10318">
        <v>55</v>
      </c>
      <c r="M10318">
        <v>0</v>
      </c>
      <c r="N10318">
        <v>0</v>
      </c>
      <c r="O10318">
        <v>0</v>
      </c>
    </row>
    <row r="10319" spans="1:15" x14ac:dyDescent="0.25">
      <c r="A10319" t="s">
        <v>1201</v>
      </c>
      <c r="B10319" t="s">
        <v>2972</v>
      </c>
      <c r="C10319" t="s">
        <v>923</v>
      </c>
      <c r="D10319" t="s">
        <v>3063</v>
      </c>
      <c r="E10319" t="s">
        <v>3053</v>
      </c>
      <c r="F10319" t="s">
        <v>284</v>
      </c>
      <c r="G10319" t="s">
        <v>3040</v>
      </c>
      <c r="H10319" t="s">
        <v>12586</v>
      </c>
      <c r="I10319">
        <v>567</v>
      </c>
      <c r="J10319">
        <v>490</v>
      </c>
      <c r="K10319">
        <v>2</v>
      </c>
      <c r="L10319">
        <v>34</v>
      </c>
      <c r="M10319">
        <v>41</v>
      </c>
      <c r="N10319">
        <v>2</v>
      </c>
      <c r="O10319">
        <v>0</v>
      </c>
    </row>
    <row r="10320" spans="1:15" x14ac:dyDescent="0.25">
      <c r="A10320" t="s">
        <v>1202</v>
      </c>
      <c r="B10320" t="s">
        <v>2191</v>
      </c>
      <c r="C10320" t="s">
        <v>923</v>
      </c>
      <c r="D10320" t="s">
        <v>3063</v>
      </c>
      <c r="E10320" t="s">
        <v>3053</v>
      </c>
      <c r="F10320" t="s">
        <v>284</v>
      </c>
      <c r="G10320" t="s">
        <v>3040</v>
      </c>
      <c r="H10320" t="s">
        <v>12594</v>
      </c>
      <c r="I10320">
        <v>12</v>
      </c>
      <c r="J10320">
        <v>0</v>
      </c>
      <c r="K10320">
        <v>0</v>
      </c>
      <c r="L10320">
        <v>0</v>
      </c>
      <c r="M10320">
        <v>12</v>
      </c>
      <c r="N10320">
        <v>0</v>
      </c>
      <c r="O10320">
        <v>0</v>
      </c>
    </row>
    <row r="10321" spans="1:15" x14ac:dyDescent="0.25">
      <c r="A10321" t="s">
        <v>9800</v>
      </c>
      <c r="B10321" t="s">
        <v>9857</v>
      </c>
      <c r="C10321" t="s">
        <v>923</v>
      </c>
      <c r="D10321" t="s">
        <v>3063</v>
      </c>
      <c r="E10321" t="s">
        <v>3053</v>
      </c>
      <c r="F10321" t="s">
        <v>284</v>
      </c>
      <c r="G10321" t="s">
        <v>3040</v>
      </c>
      <c r="H10321" t="s">
        <v>12601</v>
      </c>
      <c r="I10321">
        <v>1</v>
      </c>
      <c r="J10321">
        <v>1</v>
      </c>
      <c r="K10321">
        <v>0</v>
      </c>
      <c r="L10321">
        <v>0</v>
      </c>
      <c r="M10321">
        <v>0</v>
      </c>
      <c r="N10321">
        <v>0</v>
      </c>
      <c r="O10321">
        <v>0</v>
      </c>
    </row>
    <row r="10322" spans="1:15" x14ac:dyDescent="0.25">
      <c r="A10322" t="s">
        <v>929</v>
      </c>
      <c r="B10322" t="s">
        <v>2999</v>
      </c>
      <c r="C10322" t="s">
        <v>927</v>
      </c>
      <c r="D10322" t="s">
        <v>3052</v>
      </c>
      <c r="E10322" t="s">
        <v>3053</v>
      </c>
      <c r="F10322" t="s">
        <v>284</v>
      </c>
      <c r="G10322" t="s">
        <v>3040</v>
      </c>
      <c r="H10322" t="s">
        <v>12604</v>
      </c>
      <c r="I10322">
        <v>4502</v>
      </c>
      <c r="J10322">
        <v>11</v>
      </c>
      <c r="K10322">
        <v>0</v>
      </c>
      <c r="L10322">
        <v>0</v>
      </c>
      <c r="M10322">
        <v>4353</v>
      </c>
      <c r="N10322">
        <v>0</v>
      </c>
      <c r="O10322">
        <v>138</v>
      </c>
    </row>
    <row r="10323" spans="1:15" x14ac:dyDescent="0.25">
      <c r="A10323" t="s">
        <v>9858</v>
      </c>
      <c r="B10323" t="s">
        <v>2383</v>
      </c>
      <c r="C10323" t="s">
        <v>923</v>
      </c>
      <c r="D10323" t="s">
        <v>3063</v>
      </c>
      <c r="E10323" t="s">
        <v>3053</v>
      </c>
      <c r="F10323" t="s">
        <v>284</v>
      </c>
      <c r="G10323" t="s">
        <v>3040</v>
      </c>
      <c r="H10323" t="s">
        <v>12612</v>
      </c>
      <c r="I10323">
        <v>49</v>
      </c>
      <c r="J10323">
        <v>49</v>
      </c>
      <c r="K10323">
        <v>0</v>
      </c>
      <c r="L10323">
        <v>0</v>
      </c>
      <c r="M10323">
        <v>0</v>
      </c>
      <c r="N10323">
        <v>0</v>
      </c>
      <c r="O10323">
        <v>0</v>
      </c>
    </row>
    <row r="10324" spans="1:15" x14ac:dyDescent="0.25">
      <c r="A10324" t="s">
        <v>1087</v>
      </c>
      <c r="B10324" t="s">
        <v>2979</v>
      </c>
      <c r="C10324" t="s">
        <v>923</v>
      </c>
      <c r="D10324" t="s">
        <v>3063</v>
      </c>
      <c r="E10324" t="s">
        <v>3053</v>
      </c>
      <c r="F10324" t="s">
        <v>284</v>
      </c>
      <c r="G10324" t="s">
        <v>3040</v>
      </c>
      <c r="H10324" t="s">
        <v>12620</v>
      </c>
      <c r="I10324">
        <v>872</v>
      </c>
      <c r="J10324">
        <v>839</v>
      </c>
      <c r="K10324">
        <v>0</v>
      </c>
      <c r="L10324">
        <v>33</v>
      </c>
      <c r="M10324">
        <v>0</v>
      </c>
      <c r="N10324">
        <v>178</v>
      </c>
      <c r="O10324">
        <v>0</v>
      </c>
    </row>
    <row r="10325" spans="1:15" x14ac:dyDescent="0.25">
      <c r="A10325" t="s">
        <v>9801</v>
      </c>
      <c r="B10325" t="s">
        <v>9859</v>
      </c>
      <c r="C10325" t="s">
        <v>923</v>
      </c>
      <c r="D10325" t="s">
        <v>3063</v>
      </c>
      <c r="E10325" t="s">
        <v>3053</v>
      </c>
      <c r="F10325" t="s">
        <v>284</v>
      </c>
      <c r="G10325" t="s">
        <v>3040</v>
      </c>
      <c r="H10325" t="s">
        <v>12621</v>
      </c>
      <c r="I10325">
        <v>65</v>
      </c>
      <c r="J10325">
        <v>65</v>
      </c>
      <c r="K10325">
        <v>0</v>
      </c>
      <c r="L10325">
        <v>0</v>
      </c>
      <c r="M10325">
        <v>0</v>
      </c>
      <c r="N10325">
        <v>0</v>
      </c>
      <c r="O10325">
        <v>0</v>
      </c>
    </row>
    <row r="10326" spans="1:15" x14ac:dyDescent="0.25">
      <c r="A10326" t="s">
        <v>978</v>
      </c>
      <c r="B10326" t="s">
        <v>1999</v>
      </c>
      <c r="C10326" t="s">
        <v>923</v>
      </c>
      <c r="D10326" t="s">
        <v>3063</v>
      </c>
      <c r="E10326" t="s">
        <v>3053</v>
      </c>
      <c r="F10326" t="s">
        <v>284</v>
      </c>
      <c r="G10326" t="s">
        <v>3040</v>
      </c>
      <c r="H10326" t="s">
        <v>12624</v>
      </c>
      <c r="I10326">
        <v>34</v>
      </c>
      <c r="J10326">
        <v>0</v>
      </c>
      <c r="K10326">
        <v>0</v>
      </c>
      <c r="L10326">
        <v>34</v>
      </c>
      <c r="M10326">
        <v>0</v>
      </c>
      <c r="N10326">
        <v>0</v>
      </c>
      <c r="O10326">
        <v>0</v>
      </c>
    </row>
    <row r="10327" spans="1:15" x14ac:dyDescent="0.25">
      <c r="A10327" t="s">
        <v>1204</v>
      </c>
      <c r="B10327" t="s">
        <v>2448</v>
      </c>
      <c r="C10327" t="s">
        <v>923</v>
      </c>
      <c r="D10327" t="s">
        <v>3063</v>
      </c>
      <c r="E10327" t="s">
        <v>3053</v>
      </c>
      <c r="F10327" t="s">
        <v>284</v>
      </c>
      <c r="G10327" t="s">
        <v>3040</v>
      </c>
      <c r="H10327" t="s">
        <v>12631</v>
      </c>
      <c r="I10327">
        <v>23</v>
      </c>
      <c r="J10327">
        <v>23</v>
      </c>
      <c r="K10327">
        <v>0</v>
      </c>
      <c r="L10327">
        <v>0</v>
      </c>
      <c r="M10327">
        <v>0</v>
      </c>
      <c r="N10327">
        <v>0</v>
      </c>
      <c r="O10327">
        <v>0</v>
      </c>
    </row>
    <row r="10328" spans="1:15" x14ac:dyDescent="0.25">
      <c r="A10328" t="s">
        <v>1205</v>
      </c>
      <c r="B10328" t="s">
        <v>2504</v>
      </c>
      <c r="C10328" t="s">
        <v>923</v>
      </c>
      <c r="D10328" t="s">
        <v>3063</v>
      </c>
      <c r="E10328" t="s">
        <v>3053</v>
      </c>
      <c r="F10328" t="s">
        <v>284</v>
      </c>
      <c r="G10328" t="s">
        <v>3040</v>
      </c>
      <c r="H10328" t="s">
        <v>12637</v>
      </c>
      <c r="I10328">
        <v>202</v>
      </c>
      <c r="J10328">
        <v>151</v>
      </c>
      <c r="K10328">
        <v>51</v>
      </c>
      <c r="L10328">
        <v>0</v>
      </c>
      <c r="M10328">
        <v>0</v>
      </c>
      <c r="N10328">
        <v>0</v>
      </c>
      <c r="O10328">
        <v>0</v>
      </c>
    </row>
    <row r="10329" spans="1:15" x14ac:dyDescent="0.25">
      <c r="A10329" t="s">
        <v>1206</v>
      </c>
      <c r="B10329" t="s">
        <v>2950</v>
      </c>
      <c r="C10329" t="s">
        <v>923</v>
      </c>
      <c r="D10329" t="s">
        <v>3063</v>
      </c>
      <c r="E10329" t="s">
        <v>3053</v>
      </c>
      <c r="F10329" t="s">
        <v>284</v>
      </c>
      <c r="G10329" t="s">
        <v>3040</v>
      </c>
      <c r="H10329" t="s">
        <v>12646</v>
      </c>
      <c r="I10329">
        <v>26</v>
      </c>
      <c r="J10329">
        <v>19</v>
      </c>
      <c r="K10329">
        <v>7</v>
      </c>
      <c r="L10329">
        <v>0</v>
      </c>
      <c r="M10329">
        <v>0</v>
      </c>
      <c r="N10329">
        <v>26</v>
      </c>
      <c r="O10329">
        <v>0</v>
      </c>
    </row>
    <row r="10330" spans="1:15" x14ac:dyDescent="0.25">
      <c r="A10330" t="s">
        <v>9790</v>
      </c>
      <c r="B10330" t="s">
        <v>1977</v>
      </c>
      <c r="C10330" t="s">
        <v>923</v>
      </c>
      <c r="D10330" t="s">
        <v>3063</v>
      </c>
      <c r="E10330" t="s">
        <v>3053</v>
      </c>
      <c r="F10330" t="s">
        <v>284</v>
      </c>
      <c r="G10330" t="s">
        <v>3040</v>
      </c>
      <c r="H10330" t="s">
        <v>12650</v>
      </c>
      <c r="I10330">
        <v>77</v>
      </c>
      <c r="J10330">
        <v>0</v>
      </c>
      <c r="K10330">
        <v>0</v>
      </c>
      <c r="L10330">
        <v>77</v>
      </c>
      <c r="M10330">
        <v>0</v>
      </c>
      <c r="N10330">
        <v>0</v>
      </c>
      <c r="O10330">
        <v>0</v>
      </c>
    </row>
    <row r="10331" spans="1:15" x14ac:dyDescent="0.25">
      <c r="A10331" t="s">
        <v>10579</v>
      </c>
      <c r="B10331" t="s">
        <v>10578</v>
      </c>
      <c r="C10331" t="s">
        <v>923</v>
      </c>
      <c r="D10331" t="s">
        <v>3063</v>
      </c>
      <c r="E10331" t="s">
        <v>3053</v>
      </c>
      <c r="F10331" t="s">
        <v>284</v>
      </c>
      <c r="G10331" t="s">
        <v>3040</v>
      </c>
      <c r="H10331" t="s">
        <v>12661</v>
      </c>
      <c r="I10331">
        <v>177</v>
      </c>
      <c r="J10331">
        <v>177</v>
      </c>
      <c r="K10331">
        <v>0</v>
      </c>
      <c r="L10331">
        <v>0</v>
      </c>
      <c r="M10331">
        <v>0</v>
      </c>
      <c r="N10331">
        <v>0</v>
      </c>
      <c r="O10331">
        <v>0</v>
      </c>
    </row>
    <row r="10332" spans="1:15" x14ac:dyDescent="0.25">
      <c r="A10332" t="s">
        <v>1207</v>
      </c>
      <c r="B10332" t="s">
        <v>2031</v>
      </c>
      <c r="C10332" t="s">
        <v>923</v>
      </c>
      <c r="D10332" t="s">
        <v>3063</v>
      </c>
      <c r="E10332" t="s">
        <v>3053</v>
      </c>
      <c r="F10332" t="s">
        <v>284</v>
      </c>
      <c r="G10332" t="s">
        <v>3040</v>
      </c>
      <c r="H10332" t="s">
        <v>12664</v>
      </c>
      <c r="I10332">
        <v>2</v>
      </c>
      <c r="J10332">
        <v>2</v>
      </c>
      <c r="K10332">
        <v>0</v>
      </c>
      <c r="L10332">
        <v>0</v>
      </c>
      <c r="M10332">
        <v>0</v>
      </c>
      <c r="N10332">
        <v>0</v>
      </c>
      <c r="O10332">
        <v>0</v>
      </c>
    </row>
    <row r="10333" spans="1:15" x14ac:dyDescent="0.25">
      <c r="A10333" t="s">
        <v>9802</v>
      </c>
      <c r="B10333" t="s">
        <v>2899</v>
      </c>
      <c r="C10333" t="s">
        <v>923</v>
      </c>
      <c r="D10333" t="s">
        <v>3063</v>
      </c>
      <c r="E10333" t="s">
        <v>3053</v>
      </c>
      <c r="F10333" t="s">
        <v>284</v>
      </c>
      <c r="G10333" t="s">
        <v>3040</v>
      </c>
      <c r="H10333" t="s">
        <v>12667</v>
      </c>
      <c r="I10333">
        <v>144</v>
      </c>
      <c r="J10333">
        <v>144</v>
      </c>
      <c r="K10333">
        <v>0</v>
      </c>
      <c r="L10333">
        <v>0</v>
      </c>
      <c r="M10333">
        <v>0</v>
      </c>
      <c r="N10333">
        <v>0</v>
      </c>
      <c r="O10333">
        <v>0</v>
      </c>
    </row>
    <row r="10334" spans="1:15" x14ac:dyDescent="0.25">
      <c r="A10334" t="s">
        <v>14382</v>
      </c>
      <c r="B10334" t="s">
        <v>2787</v>
      </c>
      <c r="C10334" t="s">
        <v>923</v>
      </c>
      <c r="D10334" t="s">
        <v>3063</v>
      </c>
      <c r="E10334" t="s">
        <v>3053</v>
      </c>
      <c r="F10334" t="s">
        <v>284</v>
      </c>
      <c r="G10334" t="s">
        <v>3040</v>
      </c>
      <c r="H10334" t="s">
        <v>15530</v>
      </c>
      <c r="I10334">
        <v>299</v>
      </c>
      <c r="J10334">
        <v>269</v>
      </c>
      <c r="K10334">
        <v>0</v>
      </c>
      <c r="L10334">
        <v>0</v>
      </c>
      <c r="M10334">
        <v>30</v>
      </c>
      <c r="N10334">
        <v>5</v>
      </c>
      <c r="O10334">
        <v>0</v>
      </c>
    </row>
    <row r="10335" spans="1:15" x14ac:dyDescent="0.25">
      <c r="A10335" t="s">
        <v>1208</v>
      </c>
      <c r="B10335" t="s">
        <v>2361</v>
      </c>
      <c r="C10335" t="s">
        <v>923</v>
      </c>
      <c r="D10335" t="s">
        <v>3063</v>
      </c>
      <c r="E10335" t="s">
        <v>3053</v>
      </c>
      <c r="F10335" t="s">
        <v>284</v>
      </c>
      <c r="G10335" t="s">
        <v>3040</v>
      </c>
      <c r="H10335" t="s">
        <v>12669</v>
      </c>
      <c r="I10335">
        <v>66</v>
      </c>
      <c r="J10335">
        <v>66</v>
      </c>
      <c r="K10335">
        <v>0</v>
      </c>
      <c r="L10335">
        <v>0</v>
      </c>
      <c r="M10335">
        <v>0</v>
      </c>
      <c r="N10335">
        <v>0</v>
      </c>
      <c r="O10335">
        <v>0</v>
      </c>
    </row>
    <row r="10336" spans="1:15" x14ac:dyDescent="0.25">
      <c r="A10336" t="s">
        <v>1209</v>
      </c>
      <c r="B10336" t="s">
        <v>2513</v>
      </c>
      <c r="C10336" t="s">
        <v>923</v>
      </c>
      <c r="D10336" t="s">
        <v>3063</v>
      </c>
      <c r="E10336" t="s">
        <v>3053</v>
      </c>
      <c r="F10336" t="s">
        <v>284</v>
      </c>
      <c r="G10336" t="s">
        <v>3040</v>
      </c>
      <c r="H10336" t="s">
        <v>12671</v>
      </c>
      <c r="I10336">
        <v>55</v>
      </c>
      <c r="J10336">
        <v>55</v>
      </c>
      <c r="K10336">
        <v>0</v>
      </c>
      <c r="L10336">
        <v>0</v>
      </c>
      <c r="M10336">
        <v>0</v>
      </c>
      <c r="N10336">
        <v>0</v>
      </c>
      <c r="O10336">
        <v>0</v>
      </c>
    </row>
    <row r="10337" spans="1:15" x14ac:dyDescent="0.25">
      <c r="A10337" t="s">
        <v>1210</v>
      </c>
      <c r="B10337" t="s">
        <v>2403</v>
      </c>
      <c r="C10337" t="s">
        <v>923</v>
      </c>
      <c r="D10337" t="s">
        <v>3063</v>
      </c>
      <c r="E10337" t="s">
        <v>3053</v>
      </c>
      <c r="F10337" t="s">
        <v>284</v>
      </c>
      <c r="G10337" t="s">
        <v>3040</v>
      </c>
      <c r="H10337" t="s">
        <v>12675</v>
      </c>
      <c r="I10337">
        <v>21</v>
      </c>
      <c r="J10337">
        <v>21</v>
      </c>
      <c r="K10337">
        <v>0</v>
      </c>
      <c r="L10337">
        <v>0</v>
      </c>
      <c r="M10337">
        <v>0</v>
      </c>
      <c r="N10337">
        <v>0</v>
      </c>
      <c r="O10337">
        <v>0</v>
      </c>
    </row>
    <row r="10338" spans="1:15" x14ac:dyDescent="0.25">
      <c r="A10338" t="s">
        <v>9784</v>
      </c>
      <c r="B10338" t="s">
        <v>1994</v>
      </c>
      <c r="C10338" t="s">
        <v>927</v>
      </c>
      <c r="D10338" t="s">
        <v>3052</v>
      </c>
      <c r="E10338" t="s">
        <v>3053</v>
      </c>
      <c r="F10338" t="s">
        <v>284</v>
      </c>
      <c r="G10338" t="s">
        <v>3040</v>
      </c>
      <c r="H10338" t="s">
        <v>12683</v>
      </c>
      <c r="I10338">
        <v>67</v>
      </c>
      <c r="J10338">
        <v>0</v>
      </c>
      <c r="K10338">
        <v>0</v>
      </c>
      <c r="L10338">
        <v>67</v>
      </c>
      <c r="M10338">
        <v>0</v>
      </c>
      <c r="N10338">
        <v>20</v>
      </c>
      <c r="O10338">
        <v>0</v>
      </c>
    </row>
    <row r="10339" spans="1:15" x14ac:dyDescent="0.25">
      <c r="A10339" t="s">
        <v>1211</v>
      </c>
      <c r="B10339" t="s">
        <v>2270</v>
      </c>
      <c r="C10339" t="s">
        <v>923</v>
      </c>
      <c r="D10339" t="s">
        <v>3063</v>
      </c>
      <c r="E10339" t="s">
        <v>3053</v>
      </c>
      <c r="F10339" t="s">
        <v>284</v>
      </c>
      <c r="G10339" t="s">
        <v>3040</v>
      </c>
      <c r="H10339" t="s">
        <v>12691</v>
      </c>
      <c r="I10339">
        <v>12</v>
      </c>
      <c r="J10339">
        <v>12</v>
      </c>
      <c r="K10339">
        <v>0</v>
      </c>
      <c r="L10339">
        <v>0</v>
      </c>
      <c r="M10339">
        <v>0</v>
      </c>
      <c r="N10339">
        <v>0</v>
      </c>
      <c r="O10339">
        <v>0</v>
      </c>
    </row>
    <row r="10340" spans="1:15" x14ac:dyDescent="0.25">
      <c r="A10340" t="s">
        <v>1094</v>
      </c>
      <c r="B10340" t="s">
        <v>2742</v>
      </c>
      <c r="C10340" t="s">
        <v>923</v>
      </c>
      <c r="D10340" t="s">
        <v>3063</v>
      </c>
      <c r="E10340" t="s">
        <v>3053</v>
      </c>
      <c r="F10340" t="s">
        <v>284</v>
      </c>
      <c r="G10340" t="s">
        <v>3040</v>
      </c>
      <c r="H10340" t="s">
        <v>12700</v>
      </c>
      <c r="I10340">
        <v>62</v>
      </c>
      <c r="J10340">
        <v>23</v>
      </c>
      <c r="K10340">
        <v>0</v>
      </c>
      <c r="L10340">
        <v>39</v>
      </c>
      <c r="M10340">
        <v>0</v>
      </c>
      <c r="N10340">
        <v>0</v>
      </c>
      <c r="O10340">
        <v>0</v>
      </c>
    </row>
    <row r="10341" spans="1:15" x14ac:dyDescent="0.25">
      <c r="A10341" t="s">
        <v>1212</v>
      </c>
      <c r="B10341" t="s">
        <v>2004</v>
      </c>
      <c r="C10341" t="s">
        <v>923</v>
      </c>
      <c r="D10341" t="s">
        <v>3063</v>
      </c>
      <c r="E10341" t="s">
        <v>3053</v>
      </c>
      <c r="F10341" t="s">
        <v>284</v>
      </c>
      <c r="G10341" t="s">
        <v>3040</v>
      </c>
      <c r="H10341" t="s">
        <v>12714</v>
      </c>
      <c r="I10341">
        <v>235</v>
      </c>
      <c r="J10341">
        <v>0</v>
      </c>
      <c r="K10341">
        <v>192</v>
      </c>
      <c r="L10341">
        <v>43</v>
      </c>
      <c r="M10341">
        <v>0</v>
      </c>
      <c r="N10341">
        <v>0</v>
      </c>
      <c r="O10341">
        <v>0</v>
      </c>
    </row>
    <row r="10342" spans="1:15" x14ac:dyDescent="0.25">
      <c r="A10342" t="s">
        <v>10582</v>
      </c>
      <c r="B10342" t="s">
        <v>2400</v>
      </c>
      <c r="C10342" t="s">
        <v>923</v>
      </c>
      <c r="D10342" t="s">
        <v>3063</v>
      </c>
      <c r="E10342" t="s">
        <v>3053</v>
      </c>
      <c r="F10342" t="s">
        <v>284</v>
      </c>
      <c r="G10342" t="s">
        <v>3040</v>
      </c>
      <c r="H10342" t="s">
        <v>12722</v>
      </c>
      <c r="I10342">
        <v>39</v>
      </c>
      <c r="J10342">
        <v>39</v>
      </c>
      <c r="K10342">
        <v>0</v>
      </c>
      <c r="L10342">
        <v>0</v>
      </c>
      <c r="M10342">
        <v>0</v>
      </c>
      <c r="N10342">
        <v>0</v>
      </c>
      <c r="O10342">
        <v>0</v>
      </c>
    </row>
    <row r="10343" spans="1:15" x14ac:dyDescent="0.25">
      <c r="A10343" t="s">
        <v>1213</v>
      </c>
      <c r="B10343" t="s">
        <v>2666</v>
      </c>
      <c r="C10343" t="s">
        <v>923</v>
      </c>
      <c r="D10343" t="s">
        <v>3063</v>
      </c>
      <c r="E10343" t="s">
        <v>3053</v>
      </c>
      <c r="F10343" t="s">
        <v>284</v>
      </c>
      <c r="G10343" t="s">
        <v>3040</v>
      </c>
      <c r="H10343" t="s">
        <v>12732</v>
      </c>
      <c r="I10343">
        <v>18</v>
      </c>
      <c r="J10343">
        <v>18</v>
      </c>
      <c r="K10343">
        <v>0</v>
      </c>
      <c r="L10343">
        <v>0</v>
      </c>
      <c r="M10343">
        <v>0</v>
      </c>
      <c r="N10343">
        <v>0</v>
      </c>
      <c r="O10343">
        <v>0</v>
      </c>
    </row>
    <row r="10344" spans="1:15" x14ac:dyDescent="0.25">
      <c r="A10344" t="s">
        <v>1214</v>
      </c>
      <c r="B10344" t="s">
        <v>2428</v>
      </c>
      <c r="C10344" t="s">
        <v>923</v>
      </c>
      <c r="D10344" t="s">
        <v>3063</v>
      </c>
      <c r="E10344" t="s">
        <v>3053</v>
      </c>
      <c r="F10344" t="s">
        <v>284</v>
      </c>
      <c r="G10344" t="s">
        <v>3040</v>
      </c>
      <c r="H10344" t="s">
        <v>12743</v>
      </c>
      <c r="I10344">
        <v>50</v>
      </c>
      <c r="J10344">
        <v>24</v>
      </c>
      <c r="K10344">
        <v>26</v>
      </c>
      <c r="L10344">
        <v>0</v>
      </c>
      <c r="M10344">
        <v>0</v>
      </c>
      <c r="N10344">
        <v>0</v>
      </c>
      <c r="O10344">
        <v>0</v>
      </c>
    </row>
    <row r="10345" spans="1:15" x14ac:dyDescent="0.25">
      <c r="A10345" t="s">
        <v>1098</v>
      </c>
      <c r="B10345" t="s">
        <v>2730</v>
      </c>
      <c r="C10345" t="s">
        <v>923</v>
      </c>
      <c r="D10345" t="s">
        <v>3063</v>
      </c>
      <c r="E10345" t="s">
        <v>3053</v>
      </c>
      <c r="F10345" t="s">
        <v>284</v>
      </c>
      <c r="G10345" t="s">
        <v>3040</v>
      </c>
      <c r="H10345" t="s">
        <v>12746</v>
      </c>
      <c r="I10345">
        <v>29</v>
      </c>
      <c r="J10345">
        <v>29</v>
      </c>
      <c r="K10345">
        <v>0</v>
      </c>
      <c r="L10345">
        <v>0</v>
      </c>
      <c r="M10345">
        <v>0</v>
      </c>
      <c r="N10345">
        <v>0</v>
      </c>
      <c r="O10345">
        <v>0</v>
      </c>
    </row>
    <row r="10346" spans="1:15" x14ac:dyDescent="0.25">
      <c r="A10346" t="s">
        <v>1215</v>
      </c>
      <c r="B10346" t="s">
        <v>2479</v>
      </c>
      <c r="C10346" t="s">
        <v>923</v>
      </c>
      <c r="D10346" t="s">
        <v>3063</v>
      </c>
      <c r="E10346" t="s">
        <v>3053</v>
      </c>
      <c r="F10346" t="s">
        <v>284</v>
      </c>
      <c r="G10346" t="s">
        <v>3040</v>
      </c>
      <c r="H10346" t="s">
        <v>12752</v>
      </c>
      <c r="I10346">
        <v>39</v>
      </c>
      <c r="J10346">
        <v>39</v>
      </c>
      <c r="K10346">
        <v>0</v>
      </c>
      <c r="L10346">
        <v>0</v>
      </c>
      <c r="M10346">
        <v>0</v>
      </c>
      <c r="N10346">
        <v>0</v>
      </c>
      <c r="O10346">
        <v>0</v>
      </c>
    </row>
    <row r="10347" spans="1:15" x14ac:dyDescent="0.25">
      <c r="A10347" t="s">
        <v>1216</v>
      </c>
      <c r="B10347" t="s">
        <v>2382</v>
      </c>
      <c r="C10347" t="s">
        <v>923</v>
      </c>
      <c r="D10347" t="s">
        <v>3063</v>
      </c>
      <c r="E10347" t="s">
        <v>3053</v>
      </c>
      <c r="F10347" t="s">
        <v>284</v>
      </c>
      <c r="G10347" t="s">
        <v>3040</v>
      </c>
      <c r="H10347" t="s">
        <v>12758</v>
      </c>
      <c r="I10347">
        <v>86</v>
      </c>
      <c r="J10347">
        <v>86</v>
      </c>
      <c r="K10347">
        <v>0</v>
      </c>
      <c r="L10347">
        <v>0</v>
      </c>
      <c r="M10347">
        <v>0</v>
      </c>
      <c r="N10347">
        <v>0</v>
      </c>
      <c r="O10347">
        <v>0</v>
      </c>
    </row>
    <row r="10348" spans="1:15" x14ac:dyDescent="0.25">
      <c r="A10348" t="s">
        <v>10594</v>
      </c>
      <c r="B10348" t="s">
        <v>10593</v>
      </c>
      <c r="C10348" t="s">
        <v>923</v>
      </c>
      <c r="D10348" t="s">
        <v>3063</v>
      </c>
      <c r="E10348" t="s">
        <v>3053</v>
      </c>
      <c r="F10348" t="s">
        <v>284</v>
      </c>
      <c r="G10348" t="s">
        <v>3040</v>
      </c>
      <c r="H10348" t="s">
        <v>12763</v>
      </c>
      <c r="I10348">
        <v>61</v>
      </c>
      <c r="J10348">
        <v>61</v>
      </c>
      <c r="K10348">
        <v>0</v>
      </c>
      <c r="L10348">
        <v>0</v>
      </c>
      <c r="M10348">
        <v>0</v>
      </c>
      <c r="N10348">
        <v>0</v>
      </c>
      <c r="O10348">
        <v>0</v>
      </c>
    </row>
    <row r="10349" spans="1:15" x14ac:dyDescent="0.25">
      <c r="A10349" t="s">
        <v>11674</v>
      </c>
      <c r="B10349" t="s">
        <v>11739</v>
      </c>
      <c r="C10349" t="s">
        <v>923</v>
      </c>
      <c r="D10349" t="s">
        <v>3063</v>
      </c>
      <c r="E10349" t="s">
        <v>3053</v>
      </c>
      <c r="F10349" t="s">
        <v>284</v>
      </c>
      <c r="G10349" t="s">
        <v>3040</v>
      </c>
      <c r="H10349" t="s">
        <v>12764</v>
      </c>
      <c r="I10349">
        <v>90</v>
      </c>
      <c r="J10349">
        <v>90</v>
      </c>
      <c r="K10349">
        <v>0</v>
      </c>
      <c r="L10349">
        <v>0</v>
      </c>
      <c r="M10349">
        <v>0</v>
      </c>
      <c r="N10349">
        <v>0</v>
      </c>
      <c r="O10349">
        <v>0</v>
      </c>
    </row>
    <row r="10350" spans="1:15" x14ac:dyDescent="0.25">
      <c r="A10350" t="s">
        <v>10598</v>
      </c>
      <c r="B10350" t="s">
        <v>10597</v>
      </c>
      <c r="C10350" t="s">
        <v>923</v>
      </c>
      <c r="D10350" t="s">
        <v>3063</v>
      </c>
      <c r="E10350" t="s">
        <v>3053</v>
      </c>
      <c r="F10350" t="s">
        <v>284</v>
      </c>
      <c r="G10350" t="s">
        <v>3040</v>
      </c>
      <c r="H10350" t="s">
        <v>12771</v>
      </c>
      <c r="I10350">
        <v>21</v>
      </c>
      <c r="J10350">
        <v>0</v>
      </c>
      <c r="K10350">
        <v>0</v>
      </c>
      <c r="L10350">
        <v>21</v>
      </c>
      <c r="M10350">
        <v>0</v>
      </c>
      <c r="N10350">
        <v>0</v>
      </c>
      <c r="O10350">
        <v>0</v>
      </c>
    </row>
    <row r="10351" spans="1:15" x14ac:dyDescent="0.25">
      <c r="A10351" t="s">
        <v>10600</v>
      </c>
      <c r="B10351" t="s">
        <v>10599</v>
      </c>
      <c r="C10351" t="s">
        <v>923</v>
      </c>
      <c r="D10351" t="s">
        <v>3063</v>
      </c>
      <c r="E10351" t="s">
        <v>3053</v>
      </c>
      <c r="F10351" t="s">
        <v>284</v>
      </c>
      <c r="G10351" t="s">
        <v>3040</v>
      </c>
      <c r="H10351" t="s">
        <v>12772</v>
      </c>
      <c r="I10351">
        <v>39</v>
      </c>
      <c r="J10351">
        <v>0</v>
      </c>
      <c r="K10351">
        <v>0</v>
      </c>
      <c r="L10351">
        <v>0</v>
      </c>
      <c r="M10351">
        <v>39</v>
      </c>
      <c r="N10351">
        <v>0</v>
      </c>
      <c r="O10351">
        <v>0</v>
      </c>
    </row>
    <row r="10352" spans="1:15" x14ac:dyDescent="0.25">
      <c r="A10352" t="s">
        <v>1217</v>
      </c>
      <c r="B10352" t="s">
        <v>2645</v>
      </c>
      <c r="C10352" t="s">
        <v>923</v>
      </c>
      <c r="D10352" t="s">
        <v>3063</v>
      </c>
      <c r="E10352" t="s">
        <v>3053</v>
      </c>
      <c r="F10352" t="s">
        <v>284</v>
      </c>
      <c r="G10352" t="s">
        <v>3040</v>
      </c>
      <c r="H10352" t="s">
        <v>12792</v>
      </c>
      <c r="I10352">
        <v>49</v>
      </c>
      <c r="J10352">
        <v>0</v>
      </c>
      <c r="K10352">
        <v>0</v>
      </c>
      <c r="L10352">
        <v>0</v>
      </c>
      <c r="M10352">
        <v>49</v>
      </c>
      <c r="N10352">
        <v>0</v>
      </c>
      <c r="O10352">
        <v>0</v>
      </c>
    </row>
    <row r="10353" spans="1:15" x14ac:dyDescent="0.25">
      <c r="A10353" t="s">
        <v>1218</v>
      </c>
      <c r="B10353" t="s">
        <v>2565</v>
      </c>
      <c r="C10353" t="s">
        <v>927</v>
      </c>
      <c r="D10353" t="s">
        <v>3052</v>
      </c>
      <c r="E10353" t="s">
        <v>3053</v>
      </c>
      <c r="F10353" t="s">
        <v>284</v>
      </c>
      <c r="G10353" t="s">
        <v>3040</v>
      </c>
      <c r="H10353" t="s">
        <v>12793</v>
      </c>
      <c r="I10353">
        <v>1764</v>
      </c>
      <c r="J10353">
        <v>419</v>
      </c>
      <c r="K10353">
        <v>0</v>
      </c>
      <c r="L10353">
        <v>165</v>
      </c>
      <c r="M10353">
        <v>1156</v>
      </c>
      <c r="N10353">
        <v>0</v>
      </c>
      <c r="O10353">
        <v>24</v>
      </c>
    </row>
    <row r="10354" spans="1:15" x14ac:dyDescent="0.25">
      <c r="A10354" t="s">
        <v>1219</v>
      </c>
      <c r="B10354" t="s">
        <v>2569</v>
      </c>
      <c r="C10354" t="s">
        <v>923</v>
      </c>
      <c r="D10354" t="s">
        <v>3063</v>
      </c>
      <c r="E10354" t="s">
        <v>3053</v>
      </c>
      <c r="F10354" t="s">
        <v>284</v>
      </c>
      <c r="G10354" t="s">
        <v>3040</v>
      </c>
      <c r="H10354" t="s">
        <v>12795</v>
      </c>
      <c r="I10354">
        <v>300</v>
      </c>
      <c r="J10354">
        <v>73</v>
      </c>
      <c r="K10354">
        <v>36</v>
      </c>
      <c r="L10354">
        <v>191</v>
      </c>
      <c r="M10354">
        <v>0</v>
      </c>
      <c r="N10354">
        <v>0</v>
      </c>
      <c r="O10354">
        <v>0</v>
      </c>
    </row>
    <row r="10355" spans="1:15" x14ac:dyDescent="0.25">
      <c r="A10355" t="s">
        <v>1220</v>
      </c>
      <c r="B10355" t="s">
        <v>1948</v>
      </c>
      <c r="C10355" t="s">
        <v>923</v>
      </c>
      <c r="D10355" t="s">
        <v>3063</v>
      </c>
      <c r="E10355" t="s">
        <v>3053</v>
      </c>
      <c r="F10355" t="s">
        <v>284</v>
      </c>
      <c r="G10355" t="s">
        <v>3040</v>
      </c>
      <c r="H10355" t="s">
        <v>12798</v>
      </c>
      <c r="I10355">
        <v>269</v>
      </c>
      <c r="J10355">
        <v>0</v>
      </c>
      <c r="K10355">
        <v>224</v>
      </c>
      <c r="L10355">
        <v>45</v>
      </c>
      <c r="M10355">
        <v>0</v>
      </c>
      <c r="N10355">
        <v>1</v>
      </c>
      <c r="O10355">
        <v>0</v>
      </c>
    </row>
    <row r="10356" spans="1:15" x14ac:dyDescent="0.25">
      <c r="A10356" t="s">
        <v>1221</v>
      </c>
      <c r="B10356" t="s">
        <v>2838</v>
      </c>
      <c r="C10356" t="s">
        <v>923</v>
      </c>
      <c r="D10356" t="s">
        <v>3063</v>
      </c>
      <c r="E10356" t="s">
        <v>3053</v>
      </c>
      <c r="F10356" t="s">
        <v>284</v>
      </c>
      <c r="G10356" t="s">
        <v>3040</v>
      </c>
      <c r="H10356" t="s">
        <v>12807</v>
      </c>
      <c r="I10356">
        <v>990</v>
      </c>
      <c r="J10356">
        <v>990</v>
      </c>
      <c r="K10356">
        <v>0</v>
      </c>
      <c r="L10356">
        <v>0</v>
      </c>
      <c r="M10356">
        <v>0</v>
      </c>
      <c r="N10356">
        <v>0</v>
      </c>
      <c r="O10356">
        <v>0</v>
      </c>
    </row>
    <row r="10357" spans="1:15" x14ac:dyDescent="0.25">
      <c r="A10357" t="s">
        <v>1222</v>
      </c>
      <c r="B10357" t="s">
        <v>2458</v>
      </c>
      <c r="C10357" t="s">
        <v>923</v>
      </c>
      <c r="D10357" t="s">
        <v>3063</v>
      </c>
      <c r="E10357" t="s">
        <v>3053</v>
      </c>
      <c r="F10357" t="s">
        <v>284</v>
      </c>
      <c r="G10357" t="s">
        <v>3040</v>
      </c>
      <c r="H10357" t="s">
        <v>12818</v>
      </c>
      <c r="I10357">
        <v>12</v>
      </c>
      <c r="J10357">
        <v>12</v>
      </c>
      <c r="K10357">
        <v>0</v>
      </c>
      <c r="L10357">
        <v>0</v>
      </c>
      <c r="M10357">
        <v>0</v>
      </c>
      <c r="N10357">
        <v>0</v>
      </c>
      <c r="O10357">
        <v>0</v>
      </c>
    </row>
    <row r="10358" spans="1:15" x14ac:dyDescent="0.25">
      <c r="A10358" t="s">
        <v>1102</v>
      </c>
      <c r="B10358" t="s">
        <v>2801</v>
      </c>
      <c r="C10358" t="s">
        <v>923</v>
      </c>
      <c r="D10358" t="s">
        <v>3063</v>
      </c>
      <c r="E10358" t="s">
        <v>3053</v>
      </c>
      <c r="F10358" t="s">
        <v>284</v>
      </c>
      <c r="G10358" t="s">
        <v>3040</v>
      </c>
      <c r="H10358" t="s">
        <v>12820</v>
      </c>
      <c r="I10358">
        <v>198</v>
      </c>
      <c r="J10358">
        <v>172</v>
      </c>
      <c r="K10358">
        <v>26</v>
      </c>
      <c r="L10358">
        <v>0</v>
      </c>
      <c r="M10358">
        <v>0</v>
      </c>
      <c r="N10358">
        <v>0</v>
      </c>
      <c r="O10358">
        <v>0</v>
      </c>
    </row>
    <row r="10359" spans="1:15" x14ac:dyDescent="0.25">
      <c r="A10359" t="s">
        <v>1223</v>
      </c>
      <c r="B10359" t="s">
        <v>2756</v>
      </c>
      <c r="C10359" t="s">
        <v>923</v>
      </c>
      <c r="D10359" t="s">
        <v>3063</v>
      </c>
      <c r="E10359" t="s">
        <v>3053</v>
      </c>
      <c r="F10359" t="s">
        <v>284</v>
      </c>
      <c r="G10359" t="s">
        <v>3040</v>
      </c>
      <c r="H10359" t="s">
        <v>12822</v>
      </c>
      <c r="I10359">
        <v>198</v>
      </c>
      <c r="J10359">
        <v>5</v>
      </c>
      <c r="K10359">
        <v>0</v>
      </c>
      <c r="L10359">
        <v>0</v>
      </c>
      <c r="M10359">
        <v>193</v>
      </c>
      <c r="N10359">
        <v>0</v>
      </c>
      <c r="O10359">
        <v>0</v>
      </c>
    </row>
    <row r="10360" spans="1:15" x14ac:dyDescent="0.25">
      <c r="A10360" t="s">
        <v>1224</v>
      </c>
      <c r="B10360" t="s">
        <v>2932</v>
      </c>
      <c r="C10360" t="s">
        <v>927</v>
      </c>
      <c r="D10360" t="s">
        <v>3052</v>
      </c>
      <c r="E10360" t="s">
        <v>3053</v>
      </c>
      <c r="F10360" t="s">
        <v>284</v>
      </c>
      <c r="G10360" t="s">
        <v>3040</v>
      </c>
      <c r="H10360" t="s">
        <v>12824</v>
      </c>
      <c r="I10360">
        <v>1403</v>
      </c>
      <c r="J10360">
        <v>964</v>
      </c>
      <c r="K10360">
        <v>0</v>
      </c>
      <c r="L10360">
        <v>186</v>
      </c>
      <c r="M10360">
        <v>236</v>
      </c>
      <c r="N10360">
        <v>84</v>
      </c>
      <c r="O10360">
        <v>17</v>
      </c>
    </row>
    <row r="10361" spans="1:15" x14ac:dyDescent="0.25">
      <c r="A10361" t="s">
        <v>989</v>
      </c>
      <c r="B10361" t="s">
        <v>2016</v>
      </c>
      <c r="C10361" t="s">
        <v>923</v>
      </c>
      <c r="D10361" t="s">
        <v>3063</v>
      </c>
      <c r="E10361" t="s">
        <v>3053</v>
      </c>
      <c r="F10361" t="s">
        <v>284</v>
      </c>
      <c r="G10361" t="s">
        <v>3040</v>
      </c>
      <c r="H10361" t="s">
        <v>12827</v>
      </c>
      <c r="I10361">
        <v>110</v>
      </c>
      <c r="J10361">
        <v>0</v>
      </c>
      <c r="K10361">
        <v>0</v>
      </c>
      <c r="L10361">
        <v>110</v>
      </c>
      <c r="M10361">
        <v>0</v>
      </c>
      <c r="N10361">
        <v>0</v>
      </c>
      <c r="O10361">
        <v>0</v>
      </c>
    </row>
    <row r="10362" spans="1:15" x14ac:dyDescent="0.25">
      <c r="A10362" t="s">
        <v>933</v>
      </c>
      <c r="B10362" t="s">
        <v>2106</v>
      </c>
      <c r="C10362" t="s">
        <v>927</v>
      </c>
      <c r="D10362" t="s">
        <v>3052</v>
      </c>
      <c r="E10362" t="s">
        <v>3053</v>
      </c>
      <c r="F10362" t="s">
        <v>284</v>
      </c>
      <c r="G10362" t="s">
        <v>3040</v>
      </c>
      <c r="H10362" t="s">
        <v>12843</v>
      </c>
      <c r="I10362">
        <v>42083</v>
      </c>
      <c r="J10362">
        <v>34877</v>
      </c>
      <c r="K10362">
        <v>412</v>
      </c>
      <c r="L10362">
        <v>721</v>
      </c>
      <c r="M10362">
        <v>2137</v>
      </c>
      <c r="N10362">
        <v>574</v>
      </c>
      <c r="O10362">
        <v>3936</v>
      </c>
    </row>
    <row r="10363" spans="1:15" x14ac:dyDescent="0.25">
      <c r="A10363" t="s">
        <v>1225</v>
      </c>
      <c r="B10363" t="s">
        <v>2415</v>
      </c>
      <c r="C10363" t="s">
        <v>923</v>
      </c>
      <c r="D10363" t="s">
        <v>3063</v>
      </c>
      <c r="E10363" t="s">
        <v>3053</v>
      </c>
      <c r="F10363" t="s">
        <v>284</v>
      </c>
      <c r="G10363" t="s">
        <v>3040</v>
      </c>
      <c r="H10363" t="s">
        <v>12850</v>
      </c>
      <c r="I10363">
        <v>24</v>
      </c>
      <c r="J10363">
        <v>24</v>
      </c>
      <c r="K10363">
        <v>0</v>
      </c>
      <c r="L10363">
        <v>0</v>
      </c>
      <c r="M10363">
        <v>0</v>
      </c>
      <c r="N10363">
        <v>0</v>
      </c>
      <c r="O10363">
        <v>0</v>
      </c>
    </row>
    <row r="10364" spans="1:15" x14ac:dyDescent="0.25">
      <c r="A10364" t="s">
        <v>1474</v>
      </c>
      <c r="B10364" t="s">
        <v>2038</v>
      </c>
      <c r="C10364" t="s">
        <v>923</v>
      </c>
      <c r="D10364" t="s">
        <v>3063</v>
      </c>
      <c r="E10364" t="s">
        <v>3053</v>
      </c>
      <c r="F10364" t="s">
        <v>284</v>
      </c>
      <c r="G10364" t="s">
        <v>3040</v>
      </c>
      <c r="H10364" t="s">
        <v>12858</v>
      </c>
      <c r="I10364">
        <v>66</v>
      </c>
      <c r="J10364">
        <v>0</v>
      </c>
      <c r="K10364">
        <v>66</v>
      </c>
      <c r="L10364">
        <v>0</v>
      </c>
      <c r="M10364">
        <v>0</v>
      </c>
      <c r="N10364">
        <v>66</v>
      </c>
      <c r="O10364">
        <v>0</v>
      </c>
    </row>
    <row r="10365" spans="1:15" x14ac:dyDescent="0.25">
      <c r="A10365" t="s">
        <v>1104</v>
      </c>
      <c r="B10365" t="s">
        <v>2483</v>
      </c>
      <c r="C10365" t="s">
        <v>923</v>
      </c>
      <c r="D10365" t="s">
        <v>3063</v>
      </c>
      <c r="E10365" t="s">
        <v>3053</v>
      </c>
      <c r="F10365" t="s">
        <v>284</v>
      </c>
      <c r="G10365" t="s">
        <v>3040</v>
      </c>
      <c r="H10365" t="s">
        <v>12866</v>
      </c>
      <c r="I10365">
        <v>213</v>
      </c>
      <c r="J10365">
        <v>213</v>
      </c>
      <c r="K10365">
        <v>0</v>
      </c>
      <c r="L10365">
        <v>0</v>
      </c>
      <c r="M10365">
        <v>0</v>
      </c>
      <c r="N10365">
        <v>0</v>
      </c>
      <c r="O10365">
        <v>0</v>
      </c>
    </row>
    <row r="10366" spans="1:15" x14ac:dyDescent="0.25">
      <c r="A10366" t="s">
        <v>1105</v>
      </c>
      <c r="B10366" t="s">
        <v>2918</v>
      </c>
      <c r="C10366" t="s">
        <v>923</v>
      </c>
      <c r="D10366" t="s">
        <v>3063</v>
      </c>
      <c r="E10366" t="s">
        <v>3053</v>
      </c>
      <c r="F10366" t="s">
        <v>284</v>
      </c>
      <c r="G10366" t="s">
        <v>3040</v>
      </c>
      <c r="H10366" t="s">
        <v>12869</v>
      </c>
      <c r="I10366">
        <v>189</v>
      </c>
      <c r="J10366">
        <v>189</v>
      </c>
      <c r="K10366">
        <v>0</v>
      </c>
      <c r="L10366">
        <v>0</v>
      </c>
      <c r="M10366">
        <v>0</v>
      </c>
      <c r="N10366">
        <v>4</v>
      </c>
      <c r="O10366">
        <v>0</v>
      </c>
    </row>
    <row r="10367" spans="1:15" x14ac:dyDescent="0.25">
      <c r="A10367" t="s">
        <v>1226</v>
      </c>
      <c r="B10367" t="s">
        <v>2420</v>
      </c>
      <c r="C10367" t="s">
        <v>923</v>
      </c>
      <c r="D10367" t="s">
        <v>3063</v>
      </c>
      <c r="E10367" t="s">
        <v>3053</v>
      </c>
      <c r="F10367" t="s">
        <v>284</v>
      </c>
      <c r="G10367" t="s">
        <v>3040</v>
      </c>
      <c r="H10367" t="s">
        <v>12886</v>
      </c>
      <c r="I10367">
        <v>90</v>
      </c>
      <c r="J10367">
        <v>90</v>
      </c>
      <c r="K10367">
        <v>0</v>
      </c>
      <c r="L10367">
        <v>0</v>
      </c>
      <c r="M10367">
        <v>0</v>
      </c>
      <c r="N10367">
        <v>0</v>
      </c>
      <c r="O10367">
        <v>0</v>
      </c>
    </row>
    <row r="10368" spans="1:15" x14ac:dyDescent="0.25">
      <c r="A10368" t="s">
        <v>1227</v>
      </c>
      <c r="B10368" t="s">
        <v>2023</v>
      </c>
      <c r="C10368" t="s">
        <v>923</v>
      </c>
      <c r="D10368" t="s">
        <v>3063</v>
      </c>
      <c r="E10368" t="s">
        <v>3053</v>
      </c>
      <c r="F10368" t="s">
        <v>284</v>
      </c>
      <c r="G10368" t="s">
        <v>3040</v>
      </c>
      <c r="H10368" t="s">
        <v>12895</v>
      </c>
      <c r="I10368">
        <v>338</v>
      </c>
      <c r="J10368">
        <v>322</v>
      </c>
      <c r="K10368">
        <v>16</v>
      </c>
      <c r="L10368">
        <v>0</v>
      </c>
      <c r="M10368">
        <v>0</v>
      </c>
      <c r="N10368">
        <v>0</v>
      </c>
      <c r="O10368">
        <v>0</v>
      </c>
    </row>
    <row r="10369" spans="1:15" x14ac:dyDescent="0.25">
      <c r="A10369" t="s">
        <v>1228</v>
      </c>
      <c r="B10369" t="s">
        <v>2442</v>
      </c>
      <c r="C10369" t="s">
        <v>923</v>
      </c>
      <c r="D10369" t="s">
        <v>3063</v>
      </c>
      <c r="E10369" t="s">
        <v>3053</v>
      </c>
      <c r="F10369" t="s">
        <v>284</v>
      </c>
      <c r="G10369" t="s">
        <v>3040</v>
      </c>
      <c r="H10369" t="s">
        <v>12901</v>
      </c>
      <c r="I10369">
        <v>23</v>
      </c>
      <c r="J10369">
        <v>23</v>
      </c>
      <c r="K10369">
        <v>0</v>
      </c>
      <c r="L10369">
        <v>0</v>
      </c>
      <c r="M10369">
        <v>0</v>
      </c>
      <c r="N10369">
        <v>0</v>
      </c>
      <c r="O10369">
        <v>0</v>
      </c>
    </row>
    <row r="10370" spans="1:15" x14ac:dyDescent="0.25">
      <c r="A10370" t="s">
        <v>1229</v>
      </c>
      <c r="B10370" t="s">
        <v>2929</v>
      </c>
      <c r="C10370" t="s">
        <v>927</v>
      </c>
      <c r="D10370" t="s">
        <v>3052</v>
      </c>
      <c r="E10370" t="s">
        <v>3053</v>
      </c>
      <c r="F10370" t="s">
        <v>284</v>
      </c>
      <c r="G10370" t="s">
        <v>3040</v>
      </c>
      <c r="H10370" t="s">
        <v>12902</v>
      </c>
      <c r="I10370">
        <v>1444</v>
      </c>
      <c r="J10370">
        <v>922</v>
      </c>
      <c r="K10370">
        <v>0</v>
      </c>
      <c r="L10370">
        <v>129</v>
      </c>
      <c r="M10370">
        <v>317</v>
      </c>
      <c r="N10370">
        <v>0</v>
      </c>
      <c r="O10370">
        <v>76</v>
      </c>
    </row>
    <row r="10371" spans="1:15" x14ac:dyDescent="0.25">
      <c r="A10371" t="s">
        <v>1230</v>
      </c>
      <c r="B10371" t="s">
        <v>2392</v>
      </c>
      <c r="C10371" t="s">
        <v>923</v>
      </c>
      <c r="D10371" t="s">
        <v>3063</v>
      </c>
      <c r="E10371" t="s">
        <v>3053</v>
      </c>
      <c r="F10371" t="s">
        <v>284</v>
      </c>
      <c r="G10371" t="s">
        <v>3040</v>
      </c>
      <c r="H10371" t="s">
        <v>12906</v>
      </c>
      <c r="I10371">
        <v>53</v>
      </c>
      <c r="J10371">
        <v>53</v>
      </c>
      <c r="K10371">
        <v>0</v>
      </c>
      <c r="L10371">
        <v>0</v>
      </c>
      <c r="M10371">
        <v>0</v>
      </c>
      <c r="N10371">
        <v>0</v>
      </c>
      <c r="O10371">
        <v>0</v>
      </c>
    </row>
    <row r="10372" spans="1:15" x14ac:dyDescent="0.25">
      <c r="A10372" t="s">
        <v>1231</v>
      </c>
      <c r="B10372" t="s">
        <v>2773</v>
      </c>
      <c r="C10372" t="s">
        <v>923</v>
      </c>
      <c r="D10372" t="s">
        <v>3063</v>
      </c>
      <c r="E10372" t="s">
        <v>3053</v>
      </c>
      <c r="F10372" t="s">
        <v>284</v>
      </c>
      <c r="G10372" t="s">
        <v>3040</v>
      </c>
      <c r="H10372" t="s">
        <v>12910</v>
      </c>
      <c r="I10372">
        <v>8</v>
      </c>
      <c r="J10372">
        <v>0</v>
      </c>
      <c r="K10372">
        <v>0</v>
      </c>
      <c r="L10372">
        <v>0</v>
      </c>
      <c r="M10372">
        <v>8</v>
      </c>
      <c r="N10372">
        <v>0</v>
      </c>
      <c r="O10372">
        <v>0</v>
      </c>
    </row>
    <row r="10373" spans="1:15" x14ac:dyDescent="0.25">
      <c r="A10373" t="s">
        <v>1232</v>
      </c>
      <c r="B10373" t="s">
        <v>2506</v>
      </c>
      <c r="C10373" t="s">
        <v>923</v>
      </c>
      <c r="D10373" t="s">
        <v>3063</v>
      </c>
      <c r="E10373" t="s">
        <v>3053</v>
      </c>
      <c r="F10373" t="s">
        <v>284</v>
      </c>
      <c r="G10373" t="s">
        <v>3040</v>
      </c>
      <c r="H10373" t="s">
        <v>12911</v>
      </c>
      <c r="I10373">
        <v>6</v>
      </c>
      <c r="J10373">
        <v>6</v>
      </c>
      <c r="K10373">
        <v>0</v>
      </c>
      <c r="L10373">
        <v>0</v>
      </c>
      <c r="M10373">
        <v>0</v>
      </c>
      <c r="N10373">
        <v>0</v>
      </c>
      <c r="O10373">
        <v>0</v>
      </c>
    </row>
    <row r="10374" spans="1:15" x14ac:dyDescent="0.25">
      <c r="A10374" t="s">
        <v>10615</v>
      </c>
      <c r="B10374" t="s">
        <v>2345</v>
      </c>
      <c r="C10374" t="s">
        <v>923</v>
      </c>
      <c r="D10374" t="s">
        <v>3063</v>
      </c>
      <c r="E10374" t="s">
        <v>3053</v>
      </c>
      <c r="F10374" t="s">
        <v>284</v>
      </c>
      <c r="G10374" t="s">
        <v>3040</v>
      </c>
      <c r="H10374" t="s">
        <v>12913</v>
      </c>
      <c r="I10374">
        <v>23</v>
      </c>
      <c r="J10374">
        <v>23</v>
      </c>
      <c r="K10374">
        <v>0</v>
      </c>
      <c r="L10374">
        <v>0</v>
      </c>
      <c r="M10374">
        <v>0</v>
      </c>
      <c r="N10374">
        <v>0</v>
      </c>
      <c r="O10374">
        <v>0</v>
      </c>
    </row>
    <row r="10375" spans="1:15" x14ac:dyDescent="0.25">
      <c r="A10375" t="s">
        <v>1233</v>
      </c>
      <c r="B10375" t="s">
        <v>2485</v>
      </c>
      <c r="C10375" t="s">
        <v>923</v>
      </c>
      <c r="D10375" t="s">
        <v>3063</v>
      </c>
      <c r="E10375" t="s">
        <v>3053</v>
      </c>
      <c r="F10375" t="s">
        <v>284</v>
      </c>
      <c r="G10375" t="s">
        <v>3040</v>
      </c>
      <c r="H10375" t="s">
        <v>12915</v>
      </c>
      <c r="I10375">
        <v>19</v>
      </c>
      <c r="J10375">
        <v>19</v>
      </c>
      <c r="K10375">
        <v>0</v>
      </c>
      <c r="L10375">
        <v>0</v>
      </c>
      <c r="M10375">
        <v>0</v>
      </c>
      <c r="N10375">
        <v>0</v>
      </c>
      <c r="O10375">
        <v>0</v>
      </c>
    </row>
    <row r="10376" spans="1:15" x14ac:dyDescent="0.25">
      <c r="A10376" t="s">
        <v>1413</v>
      </c>
      <c r="B10376" t="s">
        <v>2048</v>
      </c>
      <c r="C10376" t="s">
        <v>923</v>
      </c>
      <c r="D10376" t="s">
        <v>3063</v>
      </c>
      <c r="E10376" t="s">
        <v>3053</v>
      </c>
      <c r="F10376" t="s">
        <v>284</v>
      </c>
      <c r="G10376" t="s">
        <v>3040</v>
      </c>
      <c r="H10376" t="s">
        <v>12916</v>
      </c>
      <c r="I10376">
        <v>57</v>
      </c>
      <c r="J10376">
        <v>0</v>
      </c>
      <c r="K10376">
        <v>0</v>
      </c>
      <c r="L10376">
        <v>57</v>
      </c>
      <c r="M10376">
        <v>0</v>
      </c>
      <c r="N10376">
        <v>57</v>
      </c>
      <c r="O10376">
        <v>0</v>
      </c>
    </row>
    <row r="10377" spans="1:15" x14ac:dyDescent="0.25">
      <c r="A10377" t="s">
        <v>11675</v>
      </c>
      <c r="B10377" t="s">
        <v>11744</v>
      </c>
      <c r="C10377" t="s">
        <v>923</v>
      </c>
      <c r="D10377" t="s">
        <v>3063</v>
      </c>
      <c r="E10377" t="s">
        <v>3053</v>
      </c>
      <c r="F10377" t="s">
        <v>284</v>
      </c>
      <c r="G10377" t="s">
        <v>3040</v>
      </c>
      <c r="H10377" t="s">
        <v>12919</v>
      </c>
      <c r="I10377">
        <v>131</v>
      </c>
      <c r="J10377">
        <v>51</v>
      </c>
      <c r="K10377">
        <v>80</v>
      </c>
      <c r="L10377">
        <v>0</v>
      </c>
      <c r="M10377">
        <v>0</v>
      </c>
      <c r="N10377">
        <v>0</v>
      </c>
      <c r="O10377">
        <v>0</v>
      </c>
    </row>
    <row r="10378" spans="1:15" x14ac:dyDescent="0.25">
      <c r="A10378" t="s">
        <v>9803</v>
      </c>
      <c r="B10378" t="s">
        <v>9861</v>
      </c>
      <c r="C10378" t="s">
        <v>923</v>
      </c>
      <c r="D10378" t="s">
        <v>3063</v>
      </c>
      <c r="E10378" t="s">
        <v>3053</v>
      </c>
      <c r="F10378" t="s">
        <v>284</v>
      </c>
      <c r="G10378" t="s">
        <v>3040</v>
      </c>
      <c r="H10378" t="s">
        <v>12922</v>
      </c>
      <c r="I10378">
        <v>18</v>
      </c>
      <c r="J10378">
        <v>18</v>
      </c>
      <c r="K10378">
        <v>0</v>
      </c>
      <c r="L10378">
        <v>0</v>
      </c>
      <c r="M10378">
        <v>0</v>
      </c>
      <c r="N10378">
        <v>0</v>
      </c>
      <c r="O10378">
        <v>0</v>
      </c>
    </row>
    <row r="10379" spans="1:15" x14ac:dyDescent="0.25">
      <c r="A10379" t="s">
        <v>996</v>
      </c>
      <c r="B10379" t="s">
        <v>1952</v>
      </c>
      <c r="C10379" t="s">
        <v>923</v>
      </c>
      <c r="D10379" t="s">
        <v>3063</v>
      </c>
      <c r="E10379" t="s">
        <v>3053</v>
      </c>
      <c r="F10379" t="s">
        <v>284</v>
      </c>
      <c r="G10379" t="s">
        <v>3040</v>
      </c>
      <c r="H10379" t="s">
        <v>12925</v>
      </c>
      <c r="I10379">
        <v>39</v>
      </c>
      <c r="J10379">
        <v>0</v>
      </c>
      <c r="K10379">
        <v>0</v>
      </c>
      <c r="L10379">
        <v>39</v>
      </c>
      <c r="M10379">
        <v>0</v>
      </c>
      <c r="N10379">
        <v>0</v>
      </c>
      <c r="O10379">
        <v>0</v>
      </c>
    </row>
    <row r="10380" spans="1:15" x14ac:dyDescent="0.25">
      <c r="A10380" t="s">
        <v>9804</v>
      </c>
      <c r="B10380" t="s">
        <v>2043</v>
      </c>
      <c r="C10380" t="s">
        <v>923</v>
      </c>
      <c r="D10380" t="s">
        <v>3063</v>
      </c>
      <c r="E10380" t="s">
        <v>3053</v>
      </c>
      <c r="F10380" t="s">
        <v>284</v>
      </c>
      <c r="G10380" t="s">
        <v>3040</v>
      </c>
      <c r="H10380" t="s">
        <v>12933</v>
      </c>
      <c r="I10380">
        <v>122</v>
      </c>
      <c r="J10380">
        <v>122</v>
      </c>
      <c r="K10380">
        <v>0</v>
      </c>
      <c r="L10380">
        <v>0</v>
      </c>
      <c r="M10380">
        <v>0</v>
      </c>
      <c r="N10380">
        <v>0</v>
      </c>
      <c r="O10380">
        <v>0</v>
      </c>
    </row>
    <row r="10381" spans="1:15" x14ac:dyDescent="0.25">
      <c r="A10381" t="s">
        <v>14383</v>
      </c>
      <c r="B10381" t="s">
        <v>2065</v>
      </c>
      <c r="C10381" t="s">
        <v>923</v>
      </c>
      <c r="D10381" t="s">
        <v>3063</v>
      </c>
      <c r="E10381" t="s">
        <v>3053</v>
      </c>
      <c r="F10381" t="s">
        <v>284</v>
      </c>
      <c r="G10381" t="s">
        <v>3040</v>
      </c>
      <c r="H10381" t="s">
        <v>15531</v>
      </c>
      <c r="I10381">
        <v>139</v>
      </c>
      <c r="J10381">
        <v>139</v>
      </c>
      <c r="K10381">
        <v>0</v>
      </c>
      <c r="L10381">
        <v>0</v>
      </c>
      <c r="M10381">
        <v>0</v>
      </c>
      <c r="N10381">
        <v>0</v>
      </c>
      <c r="O10381">
        <v>0</v>
      </c>
    </row>
    <row r="10382" spans="1:15" x14ac:dyDescent="0.25">
      <c r="A10382" t="s">
        <v>1234</v>
      </c>
      <c r="B10382" t="s">
        <v>2093</v>
      </c>
      <c r="C10382" t="s">
        <v>923</v>
      </c>
      <c r="D10382" t="s">
        <v>3063</v>
      </c>
      <c r="E10382" t="s">
        <v>3053</v>
      </c>
      <c r="F10382" t="s">
        <v>284</v>
      </c>
      <c r="G10382" t="s">
        <v>3040</v>
      </c>
      <c r="H10382" t="s">
        <v>12939</v>
      </c>
      <c r="I10382">
        <v>80</v>
      </c>
      <c r="J10382">
        <v>80</v>
      </c>
      <c r="K10382">
        <v>0</v>
      </c>
      <c r="L10382">
        <v>0</v>
      </c>
      <c r="M10382">
        <v>0</v>
      </c>
      <c r="N10382">
        <v>0</v>
      </c>
      <c r="O10382">
        <v>0</v>
      </c>
    </row>
    <row r="10383" spans="1:15" x14ac:dyDescent="0.25">
      <c r="A10383" t="s">
        <v>1235</v>
      </c>
      <c r="B10383" t="s">
        <v>2868</v>
      </c>
      <c r="C10383" t="s">
        <v>927</v>
      </c>
      <c r="D10383" t="s">
        <v>3052</v>
      </c>
      <c r="E10383" t="s">
        <v>3053</v>
      </c>
      <c r="F10383" t="s">
        <v>284</v>
      </c>
      <c r="G10383" t="s">
        <v>3040</v>
      </c>
      <c r="H10383" t="s">
        <v>12949</v>
      </c>
      <c r="I10383">
        <v>2370</v>
      </c>
      <c r="J10383">
        <v>2325</v>
      </c>
      <c r="K10383">
        <v>0</v>
      </c>
      <c r="L10383">
        <v>0</v>
      </c>
      <c r="M10383">
        <v>0</v>
      </c>
      <c r="N10383">
        <v>111</v>
      </c>
      <c r="O10383">
        <v>45</v>
      </c>
    </row>
    <row r="10384" spans="1:15" x14ac:dyDescent="0.25">
      <c r="A10384" t="s">
        <v>1236</v>
      </c>
      <c r="B10384" t="s">
        <v>2983</v>
      </c>
      <c r="C10384" t="s">
        <v>923</v>
      </c>
      <c r="D10384" t="s">
        <v>3063</v>
      </c>
      <c r="E10384" t="s">
        <v>3053</v>
      </c>
      <c r="F10384" t="s">
        <v>284</v>
      </c>
      <c r="G10384" t="s">
        <v>3040</v>
      </c>
      <c r="H10384" t="s">
        <v>12952</v>
      </c>
      <c r="I10384">
        <v>25</v>
      </c>
      <c r="J10384">
        <v>0</v>
      </c>
      <c r="K10384">
        <v>25</v>
      </c>
      <c r="L10384">
        <v>0</v>
      </c>
      <c r="M10384">
        <v>0</v>
      </c>
      <c r="N10384">
        <v>0</v>
      </c>
      <c r="O10384">
        <v>0</v>
      </c>
    </row>
    <row r="10385" spans="1:15" x14ac:dyDescent="0.25">
      <c r="A10385" t="s">
        <v>1237</v>
      </c>
      <c r="B10385" t="s">
        <v>2395</v>
      </c>
      <c r="C10385" t="s">
        <v>923</v>
      </c>
      <c r="D10385" t="s">
        <v>3063</v>
      </c>
      <c r="E10385" t="s">
        <v>3053</v>
      </c>
      <c r="F10385" t="s">
        <v>284</v>
      </c>
      <c r="G10385" t="s">
        <v>3040</v>
      </c>
      <c r="H10385" t="s">
        <v>12954</v>
      </c>
      <c r="I10385">
        <v>69</v>
      </c>
      <c r="J10385">
        <v>69</v>
      </c>
      <c r="K10385">
        <v>0</v>
      </c>
      <c r="L10385">
        <v>0</v>
      </c>
      <c r="M10385">
        <v>0</v>
      </c>
      <c r="N10385">
        <v>0</v>
      </c>
      <c r="O10385">
        <v>0</v>
      </c>
    </row>
    <row r="10386" spans="1:15" x14ac:dyDescent="0.25">
      <c r="A10386" t="s">
        <v>1238</v>
      </c>
      <c r="B10386" t="s">
        <v>2419</v>
      </c>
      <c r="C10386" t="s">
        <v>923</v>
      </c>
      <c r="D10386" t="s">
        <v>3063</v>
      </c>
      <c r="E10386" t="s">
        <v>3053</v>
      </c>
      <c r="F10386" t="s">
        <v>284</v>
      </c>
      <c r="G10386" t="s">
        <v>3040</v>
      </c>
      <c r="H10386" t="s">
        <v>12955</v>
      </c>
      <c r="I10386">
        <v>56</v>
      </c>
      <c r="J10386">
        <v>56</v>
      </c>
      <c r="K10386">
        <v>0</v>
      </c>
      <c r="L10386">
        <v>0</v>
      </c>
      <c r="M10386">
        <v>0</v>
      </c>
      <c r="N10386">
        <v>0</v>
      </c>
      <c r="O10386">
        <v>0</v>
      </c>
    </row>
    <row r="10387" spans="1:15" x14ac:dyDescent="0.25">
      <c r="A10387" t="s">
        <v>1239</v>
      </c>
      <c r="B10387" t="s">
        <v>2990</v>
      </c>
      <c r="C10387" t="s">
        <v>923</v>
      </c>
      <c r="D10387" t="s">
        <v>3063</v>
      </c>
      <c r="E10387" t="s">
        <v>3053</v>
      </c>
      <c r="F10387" t="s">
        <v>284</v>
      </c>
      <c r="G10387" t="s">
        <v>3040</v>
      </c>
      <c r="H10387" t="s">
        <v>12956</v>
      </c>
      <c r="I10387">
        <v>491</v>
      </c>
      <c r="J10387">
        <v>437</v>
      </c>
      <c r="K10387">
        <v>0</v>
      </c>
      <c r="L10387">
        <v>54</v>
      </c>
      <c r="M10387">
        <v>0</v>
      </c>
      <c r="N10387">
        <v>8</v>
      </c>
      <c r="O10387">
        <v>0</v>
      </c>
    </row>
    <row r="10388" spans="1:15" x14ac:dyDescent="0.25">
      <c r="A10388" t="s">
        <v>1240</v>
      </c>
      <c r="B10388" t="s">
        <v>2792</v>
      </c>
      <c r="C10388" t="s">
        <v>923</v>
      </c>
      <c r="D10388" t="s">
        <v>3063</v>
      </c>
      <c r="E10388" t="s">
        <v>3053</v>
      </c>
      <c r="F10388" t="s">
        <v>284</v>
      </c>
      <c r="G10388" t="s">
        <v>3040</v>
      </c>
      <c r="H10388" t="s">
        <v>12957</v>
      </c>
      <c r="I10388">
        <v>210</v>
      </c>
      <c r="J10388">
        <v>17</v>
      </c>
      <c r="K10388">
        <v>0</v>
      </c>
      <c r="L10388">
        <v>14</v>
      </c>
      <c r="M10388">
        <v>179</v>
      </c>
      <c r="N10388">
        <v>0</v>
      </c>
      <c r="O10388">
        <v>0</v>
      </c>
    </row>
    <row r="10389" spans="1:15" x14ac:dyDescent="0.25">
      <c r="A10389" t="s">
        <v>1241</v>
      </c>
      <c r="B10389" t="s">
        <v>2193</v>
      </c>
      <c r="C10389" t="s">
        <v>923</v>
      </c>
      <c r="D10389" t="s">
        <v>3063</v>
      </c>
      <c r="E10389" t="s">
        <v>3053</v>
      </c>
      <c r="F10389" t="s">
        <v>284</v>
      </c>
      <c r="G10389" t="s">
        <v>3040</v>
      </c>
      <c r="H10389" t="s">
        <v>12960</v>
      </c>
      <c r="I10389">
        <v>78</v>
      </c>
      <c r="J10389">
        <v>0</v>
      </c>
      <c r="K10389">
        <v>0</v>
      </c>
      <c r="L10389">
        <v>0</v>
      </c>
      <c r="M10389">
        <v>78</v>
      </c>
      <c r="N10389">
        <v>0</v>
      </c>
      <c r="O10389">
        <v>0</v>
      </c>
    </row>
    <row r="10390" spans="1:15" x14ac:dyDescent="0.25">
      <c r="A10390" t="s">
        <v>935</v>
      </c>
      <c r="B10390" t="s">
        <v>1960</v>
      </c>
      <c r="C10390" t="s">
        <v>923</v>
      </c>
      <c r="D10390" t="s">
        <v>3063</v>
      </c>
      <c r="E10390" t="s">
        <v>3053</v>
      </c>
      <c r="F10390" t="s">
        <v>284</v>
      </c>
      <c r="G10390" t="s">
        <v>3040</v>
      </c>
      <c r="H10390" t="s">
        <v>12975</v>
      </c>
      <c r="I10390">
        <v>1</v>
      </c>
      <c r="J10390">
        <v>0</v>
      </c>
      <c r="K10390">
        <v>0</v>
      </c>
      <c r="L10390">
        <v>1</v>
      </c>
      <c r="M10390">
        <v>0</v>
      </c>
      <c r="N10390">
        <v>0</v>
      </c>
      <c r="O10390">
        <v>0</v>
      </c>
    </row>
    <row r="10391" spans="1:15" x14ac:dyDescent="0.25">
      <c r="A10391" t="s">
        <v>11660</v>
      </c>
      <c r="B10391" t="s">
        <v>2041</v>
      </c>
      <c r="C10391" t="s">
        <v>923</v>
      </c>
      <c r="D10391" t="s">
        <v>3063</v>
      </c>
      <c r="E10391" t="s">
        <v>3053</v>
      </c>
      <c r="F10391" t="s">
        <v>284</v>
      </c>
      <c r="G10391" t="s">
        <v>3040</v>
      </c>
      <c r="H10391" t="s">
        <v>12984</v>
      </c>
      <c r="I10391">
        <v>67</v>
      </c>
      <c r="J10391">
        <v>0</v>
      </c>
      <c r="K10391">
        <v>0</v>
      </c>
      <c r="L10391">
        <v>67</v>
      </c>
      <c r="M10391">
        <v>0</v>
      </c>
      <c r="N10391">
        <v>0</v>
      </c>
      <c r="O10391">
        <v>0</v>
      </c>
    </row>
    <row r="10392" spans="1:15" x14ac:dyDescent="0.25">
      <c r="A10392" t="s">
        <v>1111</v>
      </c>
      <c r="B10392" t="s">
        <v>2795</v>
      </c>
      <c r="C10392" t="s">
        <v>927</v>
      </c>
      <c r="D10392" t="s">
        <v>3052</v>
      </c>
      <c r="E10392" t="s">
        <v>3053</v>
      </c>
      <c r="F10392" t="s">
        <v>284</v>
      </c>
      <c r="G10392" t="s">
        <v>3040</v>
      </c>
      <c r="H10392" t="s">
        <v>12999</v>
      </c>
      <c r="I10392">
        <v>786</v>
      </c>
      <c r="J10392">
        <v>587</v>
      </c>
      <c r="K10392">
        <v>0</v>
      </c>
      <c r="L10392">
        <v>8</v>
      </c>
      <c r="M10392">
        <v>0</v>
      </c>
      <c r="N10392">
        <v>0</v>
      </c>
      <c r="O10392">
        <v>191</v>
      </c>
    </row>
    <row r="10393" spans="1:15" x14ac:dyDescent="0.25">
      <c r="A10393" t="s">
        <v>1242</v>
      </c>
      <c r="B10393" t="s">
        <v>2411</v>
      </c>
      <c r="C10393" t="s">
        <v>923</v>
      </c>
      <c r="D10393" t="s">
        <v>3063</v>
      </c>
      <c r="E10393" t="s">
        <v>3053</v>
      </c>
      <c r="F10393" t="s">
        <v>284</v>
      </c>
      <c r="G10393" t="s">
        <v>3040</v>
      </c>
      <c r="H10393" t="s">
        <v>13000</v>
      </c>
      <c r="I10393">
        <v>62</v>
      </c>
      <c r="J10393">
        <v>62</v>
      </c>
      <c r="K10393">
        <v>0</v>
      </c>
      <c r="L10393">
        <v>0</v>
      </c>
      <c r="M10393">
        <v>0</v>
      </c>
      <c r="N10393">
        <v>0</v>
      </c>
      <c r="O10393">
        <v>0</v>
      </c>
    </row>
    <row r="10394" spans="1:15" x14ac:dyDescent="0.25">
      <c r="A10394" t="s">
        <v>1243</v>
      </c>
      <c r="B10394" t="s">
        <v>2634</v>
      </c>
      <c r="C10394" t="s">
        <v>923</v>
      </c>
      <c r="D10394" t="s">
        <v>3063</v>
      </c>
      <c r="E10394" t="s">
        <v>3053</v>
      </c>
      <c r="F10394" t="s">
        <v>284</v>
      </c>
      <c r="G10394" t="s">
        <v>3040</v>
      </c>
      <c r="H10394" t="s">
        <v>13001</v>
      </c>
      <c r="I10394">
        <v>434</v>
      </c>
      <c r="J10394">
        <v>0</v>
      </c>
      <c r="K10394">
        <v>0</v>
      </c>
      <c r="L10394">
        <v>434</v>
      </c>
      <c r="M10394">
        <v>0</v>
      </c>
      <c r="N10394">
        <v>0</v>
      </c>
      <c r="O10394">
        <v>0</v>
      </c>
    </row>
    <row r="10395" spans="1:15" x14ac:dyDescent="0.25">
      <c r="A10395" t="s">
        <v>1244</v>
      </c>
      <c r="B10395" t="s">
        <v>2353</v>
      </c>
      <c r="C10395" t="s">
        <v>923</v>
      </c>
      <c r="D10395" t="s">
        <v>3063</v>
      </c>
      <c r="E10395" t="s">
        <v>3053</v>
      </c>
      <c r="F10395" t="s">
        <v>284</v>
      </c>
      <c r="G10395" t="s">
        <v>3040</v>
      </c>
      <c r="H10395" t="s">
        <v>13006</v>
      </c>
      <c r="I10395">
        <v>158</v>
      </c>
      <c r="J10395">
        <v>115</v>
      </c>
      <c r="K10395">
        <v>43</v>
      </c>
      <c r="L10395">
        <v>0</v>
      </c>
      <c r="M10395">
        <v>0</v>
      </c>
      <c r="N10395">
        <v>0</v>
      </c>
      <c r="O10395">
        <v>0</v>
      </c>
    </row>
    <row r="10396" spans="1:15" x14ac:dyDescent="0.25">
      <c r="A10396" t="s">
        <v>1416</v>
      </c>
      <c r="B10396" t="s">
        <v>2029</v>
      </c>
      <c r="C10396" t="s">
        <v>923</v>
      </c>
      <c r="D10396" t="s">
        <v>3063</v>
      </c>
      <c r="E10396" t="s">
        <v>3053</v>
      </c>
      <c r="F10396" t="s">
        <v>284</v>
      </c>
      <c r="G10396" t="s">
        <v>3040</v>
      </c>
      <c r="H10396" t="s">
        <v>13014</v>
      </c>
      <c r="I10396">
        <v>45</v>
      </c>
      <c r="J10396">
        <v>0</v>
      </c>
      <c r="K10396">
        <v>0</v>
      </c>
      <c r="L10396">
        <v>45</v>
      </c>
      <c r="M10396">
        <v>0</v>
      </c>
      <c r="N10396">
        <v>0</v>
      </c>
      <c r="O10396">
        <v>0</v>
      </c>
    </row>
    <row r="10397" spans="1:15" x14ac:dyDescent="0.25">
      <c r="A10397" t="s">
        <v>10626</v>
      </c>
      <c r="B10397" t="s">
        <v>10625</v>
      </c>
      <c r="C10397" t="s">
        <v>923</v>
      </c>
      <c r="D10397" t="s">
        <v>3063</v>
      </c>
      <c r="E10397" t="s">
        <v>3053</v>
      </c>
      <c r="F10397" t="s">
        <v>284</v>
      </c>
      <c r="G10397" t="s">
        <v>3040</v>
      </c>
      <c r="H10397" t="s">
        <v>13026</v>
      </c>
      <c r="I10397">
        <v>35</v>
      </c>
      <c r="J10397">
        <v>35</v>
      </c>
      <c r="K10397">
        <v>0</v>
      </c>
      <c r="L10397">
        <v>0</v>
      </c>
      <c r="M10397">
        <v>0</v>
      </c>
      <c r="N10397">
        <v>0</v>
      </c>
      <c r="O10397">
        <v>0</v>
      </c>
    </row>
    <row r="10398" spans="1:15" x14ac:dyDescent="0.25">
      <c r="A10398" t="s">
        <v>1245</v>
      </c>
      <c r="B10398" t="s">
        <v>1928</v>
      </c>
      <c r="C10398" t="s">
        <v>923</v>
      </c>
      <c r="D10398" t="s">
        <v>3063</v>
      </c>
      <c r="E10398" t="s">
        <v>3053</v>
      </c>
      <c r="F10398" t="s">
        <v>284</v>
      </c>
      <c r="G10398" t="s">
        <v>3040</v>
      </c>
      <c r="H10398" t="s">
        <v>13035</v>
      </c>
      <c r="I10398">
        <v>216</v>
      </c>
      <c r="J10398">
        <v>216</v>
      </c>
      <c r="K10398">
        <v>0</v>
      </c>
      <c r="L10398">
        <v>0</v>
      </c>
      <c r="M10398">
        <v>0</v>
      </c>
      <c r="N10398">
        <v>7</v>
      </c>
      <c r="O10398">
        <v>0</v>
      </c>
    </row>
    <row r="10399" spans="1:15" x14ac:dyDescent="0.25">
      <c r="A10399" t="s">
        <v>1246</v>
      </c>
      <c r="B10399" t="s">
        <v>2652</v>
      </c>
      <c r="C10399" t="s">
        <v>923</v>
      </c>
      <c r="D10399" t="s">
        <v>3063</v>
      </c>
      <c r="E10399" t="s">
        <v>3053</v>
      </c>
      <c r="F10399" t="s">
        <v>284</v>
      </c>
      <c r="G10399" t="s">
        <v>3040</v>
      </c>
      <c r="H10399" t="s">
        <v>13042</v>
      </c>
      <c r="I10399">
        <v>124</v>
      </c>
      <c r="J10399">
        <v>124</v>
      </c>
      <c r="K10399">
        <v>0</v>
      </c>
      <c r="L10399">
        <v>0</v>
      </c>
      <c r="M10399">
        <v>0</v>
      </c>
      <c r="N10399">
        <v>0</v>
      </c>
      <c r="O10399">
        <v>0</v>
      </c>
    </row>
    <row r="10400" spans="1:15" x14ac:dyDescent="0.25">
      <c r="A10400" t="s">
        <v>1115</v>
      </c>
      <c r="B10400" t="s">
        <v>2677</v>
      </c>
      <c r="C10400" t="s">
        <v>927</v>
      </c>
      <c r="D10400" t="s">
        <v>3052</v>
      </c>
      <c r="E10400" t="s">
        <v>3053</v>
      </c>
      <c r="F10400" t="s">
        <v>284</v>
      </c>
      <c r="G10400" t="s">
        <v>3040</v>
      </c>
      <c r="H10400" t="s">
        <v>13065</v>
      </c>
      <c r="I10400">
        <v>2869</v>
      </c>
      <c r="J10400">
        <v>1906</v>
      </c>
      <c r="K10400">
        <v>23</v>
      </c>
      <c r="L10400">
        <v>102</v>
      </c>
      <c r="M10400">
        <v>447</v>
      </c>
      <c r="N10400">
        <v>12</v>
      </c>
      <c r="O10400">
        <v>391</v>
      </c>
    </row>
    <row r="10401" spans="1:15" x14ac:dyDescent="0.25">
      <c r="A10401" t="s">
        <v>1247</v>
      </c>
      <c r="B10401" t="s">
        <v>10634</v>
      </c>
      <c r="C10401" t="s">
        <v>923</v>
      </c>
      <c r="D10401" t="s">
        <v>3063</v>
      </c>
      <c r="E10401" t="s">
        <v>3053</v>
      </c>
      <c r="F10401" t="s">
        <v>284</v>
      </c>
      <c r="G10401" t="s">
        <v>3040</v>
      </c>
      <c r="H10401" t="s">
        <v>13068</v>
      </c>
      <c r="I10401">
        <v>11</v>
      </c>
      <c r="J10401">
        <v>11</v>
      </c>
      <c r="K10401">
        <v>0</v>
      </c>
      <c r="L10401">
        <v>0</v>
      </c>
      <c r="M10401">
        <v>0</v>
      </c>
      <c r="N10401">
        <v>0</v>
      </c>
      <c r="O10401">
        <v>0</v>
      </c>
    </row>
    <row r="10402" spans="1:15" x14ac:dyDescent="0.25">
      <c r="A10402" t="s">
        <v>1248</v>
      </c>
      <c r="B10402" t="s">
        <v>2681</v>
      </c>
      <c r="C10402" t="s">
        <v>923</v>
      </c>
      <c r="D10402" t="s">
        <v>3063</v>
      </c>
      <c r="E10402" t="s">
        <v>3053</v>
      </c>
      <c r="F10402" t="s">
        <v>284</v>
      </c>
      <c r="G10402" t="s">
        <v>3040</v>
      </c>
      <c r="H10402" t="s">
        <v>13072</v>
      </c>
      <c r="I10402">
        <v>144</v>
      </c>
      <c r="J10402">
        <v>0</v>
      </c>
      <c r="K10402">
        <v>0</v>
      </c>
      <c r="L10402">
        <v>0</v>
      </c>
      <c r="M10402">
        <v>144</v>
      </c>
      <c r="N10402">
        <v>0</v>
      </c>
      <c r="O10402">
        <v>0</v>
      </c>
    </row>
    <row r="10403" spans="1:15" x14ac:dyDescent="0.25">
      <c r="A10403" t="s">
        <v>10638</v>
      </c>
      <c r="B10403" t="s">
        <v>2057</v>
      </c>
      <c r="C10403" t="s">
        <v>927</v>
      </c>
      <c r="D10403" t="s">
        <v>3052</v>
      </c>
      <c r="E10403" t="s">
        <v>3053</v>
      </c>
      <c r="F10403" t="s">
        <v>284</v>
      </c>
      <c r="G10403" t="s">
        <v>3040</v>
      </c>
      <c r="H10403" t="s">
        <v>13078</v>
      </c>
      <c r="I10403">
        <v>209</v>
      </c>
      <c r="J10403">
        <v>0</v>
      </c>
      <c r="K10403">
        <v>0</v>
      </c>
      <c r="L10403">
        <v>209</v>
      </c>
      <c r="M10403">
        <v>0</v>
      </c>
      <c r="N10403">
        <v>0</v>
      </c>
      <c r="O10403">
        <v>0</v>
      </c>
    </row>
    <row r="10404" spans="1:15" x14ac:dyDescent="0.25">
      <c r="A10404" t="s">
        <v>1249</v>
      </c>
      <c r="B10404" t="s">
        <v>3029</v>
      </c>
      <c r="C10404" t="s">
        <v>927</v>
      </c>
      <c r="D10404" t="s">
        <v>3052</v>
      </c>
      <c r="E10404" t="s">
        <v>3053</v>
      </c>
      <c r="F10404" t="s">
        <v>284</v>
      </c>
      <c r="G10404" t="s">
        <v>3040</v>
      </c>
      <c r="H10404" t="s">
        <v>13085</v>
      </c>
      <c r="I10404">
        <v>28</v>
      </c>
      <c r="J10404">
        <v>23</v>
      </c>
      <c r="K10404">
        <v>0</v>
      </c>
      <c r="L10404">
        <v>0</v>
      </c>
      <c r="M10404">
        <v>0</v>
      </c>
      <c r="N10404">
        <v>0</v>
      </c>
      <c r="O10404">
        <v>5</v>
      </c>
    </row>
    <row r="10405" spans="1:15" x14ac:dyDescent="0.25">
      <c r="A10405" t="s">
        <v>1250</v>
      </c>
      <c r="B10405" t="s">
        <v>2012</v>
      </c>
      <c r="C10405" t="s">
        <v>923</v>
      </c>
      <c r="D10405" t="s">
        <v>3063</v>
      </c>
      <c r="E10405" t="s">
        <v>3053</v>
      </c>
      <c r="F10405" t="s">
        <v>284</v>
      </c>
      <c r="G10405" t="s">
        <v>3040</v>
      </c>
      <c r="H10405" t="s">
        <v>13089</v>
      </c>
      <c r="I10405">
        <v>141</v>
      </c>
      <c r="J10405">
        <v>141</v>
      </c>
      <c r="K10405">
        <v>0</v>
      </c>
      <c r="L10405">
        <v>0</v>
      </c>
      <c r="M10405">
        <v>0</v>
      </c>
      <c r="N10405">
        <v>0</v>
      </c>
      <c r="O10405">
        <v>0</v>
      </c>
    </row>
    <row r="10406" spans="1:15" x14ac:dyDescent="0.25">
      <c r="A10406" t="s">
        <v>1251</v>
      </c>
      <c r="B10406" t="s">
        <v>2390</v>
      </c>
      <c r="C10406" t="s">
        <v>923</v>
      </c>
      <c r="D10406" t="s">
        <v>3063</v>
      </c>
      <c r="E10406" t="s">
        <v>3053</v>
      </c>
      <c r="F10406" t="s">
        <v>284</v>
      </c>
      <c r="G10406" t="s">
        <v>3040</v>
      </c>
      <c r="H10406" t="s">
        <v>13093</v>
      </c>
      <c r="I10406">
        <v>79</v>
      </c>
      <c r="J10406">
        <v>79</v>
      </c>
      <c r="K10406">
        <v>0</v>
      </c>
      <c r="L10406">
        <v>0</v>
      </c>
      <c r="M10406">
        <v>0</v>
      </c>
      <c r="N10406">
        <v>0</v>
      </c>
      <c r="O10406">
        <v>0</v>
      </c>
    </row>
    <row r="10407" spans="1:15" x14ac:dyDescent="0.25">
      <c r="A10407" t="s">
        <v>1252</v>
      </c>
      <c r="B10407" t="s">
        <v>2610</v>
      </c>
      <c r="C10407" t="s">
        <v>923</v>
      </c>
      <c r="D10407" t="s">
        <v>3063</v>
      </c>
      <c r="E10407" t="s">
        <v>3053</v>
      </c>
      <c r="F10407" t="s">
        <v>284</v>
      </c>
      <c r="G10407" t="s">
        <v>3040</v>
      </c>
      <c r="H10407" t="s">
        <v>13106</v>
      </c>
      <c r="I10407">
        <v>9</v>
      </c>
      <c r="J10407">
        <v>0</v>
      </c>
      <c r="K10407">
        <v>0</v>
      </c>
      <c r="L10407">
        <v>0</v>
      </c>
      <c r="M10407">
        <v>9</v>
      </c>
      <c r="N10407">
        <v>0</v>
      </c>
      <c r="O10407">
        <v>0</v>
      </c>
    </row>
    <row r="10408" spans="1:15" x14ac:dyDescent="0.25">
      <c r="A10408" t="s">
        <v>1253</v>
      </c>
      <c r="B10408" t="s">
        <v>2389</v>
      </c>
      <c r="C10408" t="s">
        <v>923</v>
      </c>
      <c r="D10408" t="s">
        <v>3063</v>
      </c>
      <c r="E10408" t="s">
        <v>3053</v>
      </c>
      <c r="F10408" t="s">
        <v>284</v>
      </c>
      <c r="G10408" t="s">
        <v>3040</v>
      </c>
      <c r="H10408" t="s">
        <v>13108</v>
      </c>
      <c r="I10408">
        <v>75</v>
      </c>
      <c r="J10408">
        <v>75</v>
      </c>
      <c r="K10408">
        <v>0</v>
      </c>
      <c r="L10408">
        <v>0</v>
      </c>
      <c r="M10408">
        <v>0</v>
      </c>
      <c r="N10408">
        <v>0</v>
      </c>
      <c r="O10408">
        <v>0</v>
      </c>
    </row>
    <row r="10409" spans="1:15" x14ac:dyDescent="0.25">
      <c r="A10409" t="s">
        <v>11676</v>
      </c>
      <c r="B10409" t="s">
        <v>2705</v>
      </c>
      <c r="C10409" t="s">
        <v>923</v>
      </c>
      <c r="D10409" t="s">
        <v>3063</v>
      </c>
      <c r="E10409" t="s">
        <v>3053</v>
      </c>
      <c r="F10409" t="s">
        <v>284</v>
      </c>
      <c r="G10409" t="s">
        <v>3040</v>
      </c>
      <c r="H10409" t="s">
        <v>13109</v>
      </c>
      <c r="I10409">
        <v>428</v>
      </c>
      <c r="J10409">
        <v>96</v>
      </c>
      <c r="K10409">
        <v>0</v>
      </c>
      <c r="L10409">
        <v>7</v>
      </c>
      <c r="M10409">
        <v>325</v>
      </c>
      <c r="N10409">
        <v>12</v>
      </c>
      <c r="O10409">
        <v>0</v>
      </c>
    </row>
    <row r="10410" spans="1:15" x14ac:dyDescent="0.25">
      <c r="A10410" t="s">
        <v>1254</v>
      </c>
      <c r="B10410" t="s">
        <v>2667</v>
      </c>
      <c r="C10410" t="s">
        <v>923</v>
      </c>
      <c r="D10410" t="s">
        <v>3063</v>
      </c>
      <c r="E10410" t="s">
        <v>3053</v>
      </c>
      <c r="F10410" t="s">
        <v>284</v>
      </c>
      <c r="G10410" t="s">
        <v>3040</v>
      </c>
      <c r="H10410" t="s">
        <v>13116</v>
      </c>
      <c r="I10410">
        <v>17</v>
      </c>
      <c r="J10410">
        <v>17</v>
      </c>
      <c r="K10410">
        <v>0</v>
      </c>
      <c r="L10410">
        <v>0</v>
      </c>
      <c r="M10410">
        <v>0</v>
      </c>
      <c r="N10410">
        <v>0</v>
      </c>
      <c r="O10410">
        <v>0</v>
      </c>
    </row>
    <row r="10411" spans="1:15" x14ac:dyDescent="0.25">
      <c r="A10411" t="s">
        <v>1008</v>
      </c>
      <c r="B10411" t="s">
        <v>2928</v>
      </c>
      <c r="C10411" t="s">
        <v>927</v>
      </c>
      <c r="D10411" t="s">
        <v>3052</v>
      </c>
      <c r="E10411" t="s">
        <v>3053</v>
      </c>
      <c r="F10411" t="s">
        <v>284</v>
      </c>
      <c r="G10411" t="s">
        <v>3040</v>
      </c>
      <c r="H10411" t="s">
        <v>13124</v>
      </c>
      <c r="I10411">
        <v>954</v>
      </c>
      <c r="J10411">
        <v>744</v>
      </c>
      <c r="K10411">
        <v>0</v>
      </c>
      <c r="L10411">
        <v>145</v>
      </c>
      <c r="M10411">
        <v>65</v>
      </c>
      <c r="N10411">
        <v>12</v>
      </c>
      <c r="O10411">
        <v>0</v>
      </c>
    </row>
    <row r="10412" spans="1:15" x14ac:dyDescent="0.25">
      <c r="A10412" t="s">
        <v>1255</v>
      </c>
      <c r="B10412" t="s">
        <v>2394</v>
      </c>
      <c r="C10412" t="s">
        <v>923</v>
      </c>
      <c r="D10412" t="s">
        <v>3063</v>
      </c>
      <c r="E10412" t="s">
        <v>3053</v>
      </c>
      <c r="F10412" t="s">
        <v>284</v>
      </c>
      <c r="G10412" t="s">
        <v>3040</v>
      </c>
      <c r="H10412" t="s">
        <v>13132</v>
      </c>
      <c r="I10412">
        <v>86</v>
      </c>
      <c r="J10412">
        <v>86</v>
      </c>
      <c r="K10412">
        <v>0</v>
      </c>
      <c r="L10412">
        <v>0</v>
      </c>
      <c r="M10412">
        <v>0</v>
      </c>
      <c r="N10412">
        <v>0</v>
      </c>
      <c r="O10412">
        <v>0</v>
      </c>
    </row>
    <row r="10413" spans="1:15" x14ac:dyDescent="0.25">
      <c r="A10413" t="s">
        <v>1256</v>
      </c>
      <c r="B10413" t="s">
        <v>1981</v>
      </c>
      <c r="C10413" t="s">
        <v>923</v>
      </c>
      <c r="D10413" t="s">
        <v>3063</v>
      </c>
      <c r="E10413" t="s">
        <v>3053</v>
      </c>
      <c r="F10413" t="s">
        <v>284</v>
      </c>
      <c r="G10413" t="s">
        <v>3040</v>
      </c>
      <c r="H10413" t="s">
        <v>13133</v>
      </c>
      <c r="I10413">
        <v>46</v>
      </c>
      <c r="J10413">
        <v>0</v>
      </c>
      <c r="K10413">
        <v>0</v>
      </c>
      <c r="L10413">
        <v>0</v>
      </c>
      <c r="M10413">
        <v>46</v>
      </c>
      <c r="N10413">
        <v>0</v>
      </c>
      <c r="O10413">
        <v>0</v>
      </c>
    </row>
    <row r="10414" spans="1:15" x14ac:dyDescent="0.25">
      <c r="A10414" t="s">
        <v>1009</v>
      </c>
      <c r="B10414" t="s">
        <v>1958</v>
      </c>
      <c r="C10414" t="s">
        <v>923</v>
      </c>
      <c r="D10414" t="s">
        <v>3063</v>
      </c>
      <c r="E10414" t="s">
        <v>3053</v>
      </c>
      <c r="F10414" t="s">
        <v>284</v>
      </c>
      <c r="G10414" t="s">
        <v>3040</v>
      </c>
      <c r="H10414" t="s">
        <v>13136</v>
      </c>
      <c r="I10414">
        <v>3</v>
      </c>
      <c r="J10414">
        <v>0</v>
      </c>
      <c r="K10414">
        <v>0</v>
      </c>
      <c r="L10414">
        <v>3</v>
      </c>
      <c r="M10414">
        <v>0</v>
      </c>
      <c r="N10414">
        <v>0</v>
      </c>
      <c r="O10414">
        <v>0</v>
      </c>
    </row>
    <row r="10415" spans="1:15" x14ac:dyDescent="0.25">
      <c r="A10415" t="s">
        <v>1257</v>
      </c>
      <c r="B10415" t="s">
        <v>2207</v>
      </c>
      <c r="C10415" t="s">
        <v>923</v>
      </c>
      <c r="D10415" t="s">
        <v>3063</v>
      </c>
      <c r="E10415" t="s">
        <v>3053</v>
      </c>
      <c r="F10415" t="s">
        <v>284</v>
      </c>
      <c r="G10415" t="s">
        <v>3040</v>
      </c>
      <c r="H10415" t="s">
        <v>13144</v>
      </c>
      <c r="I10415">
        <v>92</v>
      </c>
      <c r="J10415">
        <v>0</v>
      </c>
      <c r="K10415">
        <v>0</v>
      </c>
      <c r="L10415">
        <v>0</v>
      </c>
      <c r="M10415">
        <v>92</v>
      </c>
      <c r="N10415">
        <v>0</v>
      </c>
      <c r="O10415">
        <v>0</v>
      </c>
    </row>
    <row r="10416" spans="1:15" x14ac:dyDescent="0.25">
      <c r="A10416" t="s">
        <v>1258</v>
      </c>
      <c r="B10416" t="s">
        <v>2349</v>
      </c>
      <c r="C10416" t="s">
        <v>923</v>
      </c>
      <c r="D10416" t="s">
        <v>3063</v>
      </c>
      <c r="E10416" t="s">
        <v>3053</v>
      </c>
      <c r="F10416" t="s">
        <v>284</v>
      </c>
      <c r="G10416" t="s">
        <v>3040</v>
      </c>
      <c r="H10416" t="s">
        <v>13148</v>
      </c>
      <c r="I10416">
        <v>16</v>
      </c>
      <c r="J10416">
        <v>16</v>
      </c>
      <c r="K10416">
        <v>0</v>
      </c>
      <c r="L10416">
        <v>0</v>
      </c>
      <c r="M10416">
        <v>0</v>
      </c>
      <c r="N10416">
        <v>0</v>
      </c>
      <c r="O10416">
        <v>0</v>
      </c>
    </row>
    <row r="10417" spans="1:15" x14ac:dyDescent="0.25">
      <c r="A10417" t="s">
        <v>1259</v>
      </c>
      <c r="B10417" t="s">
        <v>2350</v>
      </c>
      <c r="C10417" t="s">
        <v>923</v>
      </c>
      <c r="D10417" t="s">
        <v>3063</v>
      </c>
      <c r="E10417" t="s">
        <v>3053</v>
      </c>
      <c r="F10417" t="s">
        <v>284</v>
      </c>
      <c r="G10417" t="s">
        <v>3040</v>
      </c>
      <c r="H10417" t="s">
        <v>13153</v>
      </c>
      <c r="I10417">
        <v>112</v>
      </c>
      <c r="J10417">
        <v>37</v>
      </c>
      <c r="K10417">
        <v>0</v>
      </c>
      <c r="L10417">
        <v>0</v>
      </c>
      <c r="M10417">
        <v>75</v>
      </c>
      <c r="N10417">
        <v>0</v>
      </c>
      <c r="O10417">
        <v>0</v>
      </c>
    </row>
    <row r="10418" spans="1:15" x14ac:dyDescent="0.25">
      <c r="A10418" t="s">
        <v>1010</v>
      </c>
      <c r="B10418" t="s">
        <v>2639</v>
      </c>
      <c r="C10418" t="s">
        <v>927</v>
      </c>
      <c r="D10418" t="s">
        <v>3052</v>
      </c>
      <c r="E10418" t="s">
        <v>3053</v>
      </c>
      <c r="F10418" t="s">
        <v>284</v>
      </c>
      <c r="G10418" t="s">
        <v>3040</v>
      </c>
      <c r="H10418" t="s">
        <v>13159</v>
      </c>
      <c r="I10418">
        <v>259</v>
      </c>
      <c r="J10418">
        <v>257</v>
      </c>
      <c r="K10418">
        <v>0</v>
      </c>
      <c r="L10418">
        <v>0</v>
      </c>
      <c r="M10418">
        <v>0</v>
      </c>
      <c r="N10418">
        <v>4</v>
      </c>
      <c r="O10418">
        <v>2</v>
      </c>
    </row>
    <row r="10419" spans="1:15" x14ac:dyDescent="0.25">
      <c r="A10419" t="s">
        <v>9805</v>
      </c>
      <c r="B10419" t="s">
        <v>2364</v>
      </c>
      <c r="C10419" t="s">
        <v>923</v>
      </c>
      <c r="D10419" t="s">
        <v>3063</v>
      </c>
      <c r="E10419" t="s">
        <v>3053</v>
      </c>
      <c r="F10419" t="s">
        <v>284</v>
      </c>
      <c r="G10419" t="s">
        <v>3040</v>
      </c>
      <c r="H10419" t="s">
        <v>13162</v>
      </c>
      <c r="I10419">
        <v>19</v>
      </c>
      <c r="J10419">
        <v>19</v>
      </c>
      <c r="K10419">
        <v>0</v>
      </c>
      <c r="L10419">
        <v>0</v>
      </c>
      <c r="M10419">
        <v>0</v>
      </c>
      <c r="N10419">
        <v>0</v>
      </c>
      <c r="O10419">
        <v>0</v>
      </c>
    </row>
    <row r="10420" spans="1:15" x14ac:dyDescent="0.25">
      <c r="A10420" t="s">
        <v>1260</v>
      </c>
      <c r="B10420" t="s">
        <v>2509</v>
      </c>
      <c r="C10420" t="s">
        <v>923</v>
      </c>
      <c r="D10420" t="s">
        <v>3063</v>
      </c>
      <c r="E10420" t="s">
        <v>3053</v>
      </c>
      <c r="F10420" t="s">
        <v>284</v>
      </c>
      <c r="G10420" t="s">
        <v>3040</v>
      </c>
      <c r="H10420" t="s">
        <v>13166</v>
      </c>
      <c r="I10420">
        <v>76</v>
      </c>
      <c r="J10420">
        <v>76</v>
      </c>
      <c r="K10420">
        <v>0</v>
      </c>
      <c r="L10420">
        <v>0</v>
      </c>
      <c r="M10420">
        <v>0</v>
      </c>
      <c r="N10420">
        <v>0</v>
      </c>
      <c r="O10420">
        <v>0</v>
      </c>
    </row>
    <row r="10421" spans="1:15" x14ac:dyDescent="0.25">
      <c r="A10421" t="s">
        <v>1261</v>
      </c>
      <c r="B10421" t="s">
        <v>2366</v>
      </c>
      <c r="C10421" t="s">
        <v>923</v>
      </c>
      <c r="D10421" t="s">
        <v>3063</v>
      </c>
      <c r="E10421" t="s">
        <v>3053</v>
      </c>
      <c r="F10421" t="s">
        <v>284</v>
      </c>
      <c r="G10421" t="s">
        <v>3040</v>
      </c>
      <c r="H10421" t="s">
        <v>13170</v>
      </c>
      <c r="I10421">
        <v>58</v>
      </c>
      <c r="J10421">
        <v>58</v>
      </c>
      <c r="K10421">
        <v>0</v>
      </c>
      <c r="L10421">
        <v>0</v>
      </c>
      <c r="M10421">
        <v>0</v>
      </c>
      <c r="N10421">
        <v>0</v>
      </c>
      <c r="O10421">
        <v>0</v>
      </c>
    </row>
    <row r="10422" spans="1:15" x14ac:dyDescent="0.25">
      <c r="A10422" t="s">
        <v>1262</v>
      </c>
      <c r="B10422" t="s">
        <v>2160</v>
      </c>
      <c r="C10422" t="s">
        <v>923</v>
      </c>
      <c r="D10422" t="s">
        <v>3063</v>
      </c>
      <c r="E10422" t="s">
        <v>3053</v>
      </c>
      <c r="F10422" t="s">
        <v>284</v>
      </c>
      <c r="G10422" t="s">
        <v>3040</v>
      </c>
      <c r="H10422" t="s">
        <v>13171</v>
      </c>
      <c r="I10422">
        <v>7</v>
      </c>
      <c r="J10422">
        <v>0</v>
      </c>
      <c r="K10422">
        <v>0</v>
      </c>
      <c r="L10422">
        <v>0</v>
      </c>
      <c r="M10422">
        <v>7</v>
      </c>
      <c r="N10422">
        <v>0</v>
      </c>
      <c r="O10422">
        <v>0</v>
      </c>
    </row>
    <row r="10423" spans="1:15" x14ac:dyDescent="0.25">
      <c r="A10423" t="s">
        <v>1263</v>
      </c>
      <c r="B10423" t="s">
        <v>2744</v>
      </c>
      <c r="C10423" t="s">
        <v>923</v>
      </c>
      <c r="D10423" t="s">
        <v>3063</v>
      </c>
      <c r="E10423" t="s">
        <v>3053</v>
      </c>
      <c r="F10423" t="s">
        <v>284</v>
      </c>
      <c r="G10423" t="s">
        <v>3040</v>
      </c>
      <c r="H10423" t="s">
        <v>13174</v>
      </c>
      <c r="I10423">
        <v>138</v>
      </c>
      <c r="J10423">
        <v>115</v>
      </c>
      <c r="K10423">
        <v>6</v>
      </c>
      <c r="L10423">
        <v>0</v>
      </c>
      <c r="M10423">
        <v>17</v>
      </c>
      <c r="N10423">
        <v>0</v>
      </c>
      <c r="O10423">
        <v>0</v>
      </c>
    </row>
    <row r="10424" spans="1:15" x14ac:dyDescent="0.25">
      <c r="A10424" t="s">
        <v>1264</v>
      </c>
      <c r="B10424" t="s">
        <v>2749</v>
      </c>
      <c r="C10424" t="s">
        <v>927</v>
      </c>
      <c r="D10424" t="s">
        <v>3052</v>
      </c>
      <c r="E10424" t="s">
        <v>3053</v>
      </c>
      <c r="F10424" t="s">
        <v>284</v>
      </c>
      <c r="G10424" t="s">
        <v>3040</v>
      </c>
      <c r="H10424" t="s">
        <v>13180</v>
      </c>
      <c r="I10424">
        <v>4269</v>
      </c>
      <c r="J10424">
        <v>3648</v>
      </c>
      <c r="K10424">
        <v>28</v>
      </c>
      <c r="L10424">
        <v>253</v>
      </c>
      <c r="M10424">
        <v>0</v>
      </c>
      <c r="N10424">
        <v>0</v>
      </c>
      <c r="O10424">
        <v>340</v>
      </c>
    </row>
    <row r="10425" spans="1:15" x14ac:dyDescent="0.25">
      <c r="A10425" t="s">
        <v>937</v>
      </c>
      <c r="B10425" t="s">
        <v>1962</v>
      </c>
      <c r="C10425" t="s">
        <v>927</v>
      </c>
      <c r="D10425" t="s">
        <v>3052</v>
      </c>
      <c r="E10425" t="s">
        <v>3053</v>
      </c>
      <c r="F10425" t="s">
        <v>284</v>
      </c>
      <c r="G10425" t="s">
        <v>3040</v>
      </c>
      <c r="H10425" t="s">
        <v>13184</v>
      </c>
      <c r="I10425">
        <v>82</v>
      </c>
      <c r="J10425">
        <v>0</v>
      </c>
      <c r="K10425">
        <v>0</v>
      </c>
      <c r="L10425">
        <v>0</v>
      </c>
      <c r="M10425">
        <v>0</v>
      </c>
      <c r="N10425">
        <v>0</v>
      </c>
      <c r="O10425">
        <v>82</v>
      </c>
    </row>
    <row r="10426" spans="1:15" x14ac:dyDescent="0.25">
      <c r="A10426" t="s">
        <v>1265</v>
      </c>
      <c r="B10426" t="s">
        <v>2131</v>
      </c>
      <c r="C10426" t="s">
        <v>923</v>
      </c>
      <c r="D10426" t="s">
        <v>3063</v>
      </c>
      <c r="E10426" t="s">
        <v>3053</v>
      </c>
      <c r="F10426" t="s">
        <v>284</v>
      </c>
      <c r="G10426" t="s">
        <v>3040</v>
      </c>
      <c r="H10426" t="s">
        <v>13191</v>
      </c>
      <c r="I10426">
        <v>175</v>
      </c>
      <c r="J10426">
        <v>175</v>
      </c>
      <c r="K10426">
        <v>0</v>
      </c>
      <c r="L10426">
        <v>0</v>
      </c>
      <c r="M10426">
        <v>0</v>
      </c>
      <c r="N10426">
        <v>0</v>
      </c>
      <c r="O10426">
        <v>0</v>
      </c>
    </row>
    <row r="10427" spans="1:15" x14ac:dyDescent="0.25">
      <c r="A10427" t="s">
        <v>1266</v>
      </c>
      <c r="B10427" t="s">
        <v>2238</v>
      </c>
      <c r="C10427" t="s">
        <v>923</v>
      </c>
      <c r="D10427" t="s">
        <v>3063</v>
      </c>
      <c r="E10427" t="s">
        <v>3053</v>
      </c>
      <c r="F10427" t="s">
        <v>284</v>
      </c>
      <c r="G10427" t="s">
        <v>3040</v>
      </c>
      <c r="H10427" t="s">
        <v>13192</v>
      </c>
      <c r="I10427">
        <v>8</v>
      </c>
      <c r="J10427">
        <v>0</v>
      </c>
      <c r="K10427">
        <v>0</v>
      </c>
      <c r="L10427">
        <v>0</v>
      </c>
      <c r="M10427">
        <v>8</v>
      </c>
      <c r="N10427">
        <v>0</v>
      </c>
      <c r="O10427">
        <v>0</v>
      </c>
    </row>
    <row r="10428" spans="1:15" x14ac:dyDescent="0.25">
      <c r="A10428" t="s">
        <v>1267</v>
      </c>
      <c r="B10428" t="s">
        <v>2947</v>
      </c>
      <c r="C10428" t="s">
        <v>923</v>
      </c>
      <c r="D10428" t="s">
        <v>3063</v>
      </c>
      <c r="E10428" t="s">
        <v>3053</v>
      </c>
      <c r="F10428" t="s">
        <v>284</v>
      </c>
      <c r="G10428" t="s">
        <v>3040</v>
      </c>
      <c r="H10428" t="s">
        <v>13197</v>
      </c>
      <c r="I10428">
        <v>66</v>
      </c>
      <c r="J10428">
        <v>1</v>
      </c>
      <c r="K10428">
        <v>0</v>
      </c>
      <c r="L10428">
        <v>0</v>
      </c>
      <c r="M10428">
        <v>65</v>
      </c>
      <c r="N10428">
        <v>0</v>
      </c>
      <c r="O10428">
        <v>0</v>
      </c>
    </row>
    <row r="10429" spans="1:15" x14ac:dyDescent="0.25">
      <c r="A10429" t="s">
        <v>1011</v>
      </c>
      <c r="B10429" t="s">
        <v>2020</v>
      </c>
      <c r="C10429" t="s">
        <v>927</v>
      </c>
      <c r="D10429" t="s">
        <v>3052</v>
      </c>
      <c r="E10429" t="s">
        <v>3053</v>
      </c>
      <c r="F10429" t="s">
        <v>284</v>
      </c>
      <c r="G10429" t="s">
        <v>3040</v>
      </c>
      <c r="H10429" t="s">
        <v>13200</v>
      </c>
      <c r="I10429">
        <v>42</v>
      </c>
      <c r="J10429">
        <v>0</v>
      </c>
      <c r="K10429">
        <v>0</v>
      </c>
      <c r="L10429">
        <v>42</v>
      </c>
      <c r="M10429">
        <v>0</v>
      </c>
      <c r="N10429">
        <v>0</v>
      </c>
      <c r="O10429">
        <v>0</v>
      </c>
    </row>
    <row r="10430" spans="1:15" x14ac:dyDescent="0.25">
      <c r="A10430" t="s">
        <v>1268</v>
      </c>
      <c r="B10430" t="s">
        <v>2873</v>
      </c>
      <c r="C10430" t="s">
        <v>923</v>
      </c>
      <c r="D10430" t="s">
        <v>3063</v>
      </c>
      <c r="E10430" t="s">
        <v>3053</v>
      </c>
      <c r="F10430" t="s">
        <v>284</v>
      </c>
      <c r="G10430" t="s">
        <v>3040</v>
      </c>
      <c r="H10430" t="s">
        <v>13206</v>
      </c>
      <c r="I10430">
        <v>724</v>
      </c>
      <c r="J10430">
        <v>721</v>
      </c>
      <c r="K10430">
        <v>0</v>
      </c>
      <c r="L10430">
        <v>0</v>
      </c>
      <c r="M10430">
        <v>3</v>
      </c>
      <c r="N10430">
        <v>11</v>
      </c>
      <c r="O10430">
        <v>0</v>
      </c>
    </row>
    <row r="10431" spans="1:15" x14ac:dyDescent="0.25">
      <c r="A10431" t="s">
        <v>1269</v>
      </c>
      <c r="B10431" t="s">
        <v>2499</v>
      </c>
      <c r="C10431" t="s">
        <v>923</v>
      </c>
      <c r="D10431" t="s">
        <v>3063</v>
      </c>
      <c r="E10431" t="s">
        <v>3053</v>
      </c>
      <c r="F10431" t="s">
        <v>284</v>
      </c>
      <c r="G10431" t="s">
        <v>3040</v>
      </c>
      <c r="H10431" t="s">
        <v>13212</v>
      </c>
      <c r="I10431">
        <v>40</v>
      </c>
      <c r="J10431">
        <v>25</v>
      </c>
      <c r="K10431">
        <v>0</v>
      </c>
      <c r="L10431">
        <v>15</v>
      </c>
      <c r="M10431">
        <v>0</v>
      </c>
      <c r="N10431">
        <v>0</v>
      </c>
      <c r="O10431">
        <v>0</v>
      </c>
    </row>
    <row r="10432" spans="1:15" x14ac:dyDescent="0.25">
      <c r="A10432" t="s">
        <v>938</v>
      </c>
      <c r="B10432" t="s">
        <v>2791</v>
      </c>
      <c r="C10432" t="s">
        <v>927</v>
      </c>
      <c r="D10432" t="s">
        <v>3052</v>
      </c>
      <c r="E10432" t="s">
        <v>3053</v>
      </c>
      <c r="F10432" t="s">
        <v>284</v>
      </c>
      <c r="G10432" t="s">
        <v>3040</v>
      </c>
      <c r="H10432" t="s">
        <v>13215</v>
      </c>
      <c r="I10432">
        <v>3736</v>
      </c>
      <c r="J10432">
        <v>2991</v>
      </c>
      <c r="K10432">
        <v>0</v>
      </c>
      <c r="L10432">
        <v>240</v>
      </c>
      <c r="M10432">
        <v>67</v>
      </c>
      <c r="N10432">
        <v>9</v>
      </c>
      <c r="O10432">
        <v>438</v>
      </c>
    </row>
    <row r="10433" spans="1:15" x14ac:dyDescent="0.25">
      <c r="A10433" t="s">
        <v>1270</v>
      </c>
      <c r="B10433" t="s">
        <v>2961</v>
      </c>
      <c r="C10433" t="s">
        <v>923</v>
      </c>
      <c r="D10433" t="s">
        <v>3063</v>
      </c>
      <c r="E10433" t="s">
        <v>3053</v>
      </c>
      <c r="F10433" t="s">
        <v>284</v>
      </c>
      <c r="G10433" t="s">
        <v>3040</v>
      </c>
      <c r="H10433" t="s">
        <v>13226</v>
      </c>
      <c r="I10433">
        <v>70</v>
      </c>
      <c r="J10433">
        <v>0</v>
      </c>
      <c r="K10433">
        <v>0</v>
      </c>
      <c r="L10433">
        <v>0</v>
      </c>
      <c r="M10433">
        <v>70</v>
      </c>
      <c r="N10433">
        <v>0</v>
      </c>
      <c r="O10433">
        <v>0</v>
      </c>
    </row>
    <row r="10434" spans="1:15" x14ac:dyDescent="0.25">
      <c r="A10434" t="s">
        <v>1271</v>
      </c>
      <c r="B10434" t="s">
        <v>2258</v>
      </c>
      <c r="C10434" t="s">
        <v>923</v>
      </c>
      <c r="D10434" t="s">
        <v>3063</v>
      </c>
      <c r="E10434" t="s">
        <v>3053</v>
      </c>
      <c r="F10434" t="s">
        <v>284</v>
      </c>
      <c r="G10434" t="s">
        <v>3040</v>
      </c>
      <c r="H10434" t="s">
        <v>13229</v>
      </c>
      <c r="I10434">
        <v>20</v>
      </c>
      <c r="J10434">
        <v>0</v>
      </c>
      <c r="K10434">
        <v>0</v>
      </c>
      <c r="L10434">
        <v>0</v>
      </c>
      <c r="M10434">
        <v>20</v>
      </c>
      <c r="N10434">
        <v>0</v>
      </c>
      <c r="O10434">
        <v>0</v>
      </c>
    </row>
    <row r="10435" spans="1:15" x14ac:dyDescent="0.25">
      <c r="A10435" t="s">
        <v>1272</v>
      </c>
      <c r="B10435" t="s">
        <v>2692</v>
      </c>
      <c r="C10435" t="s">
        <v>923</v>
      </c>
      <c r="D10435" t="s">
        <v>3063</v>
      </c>
      <c r="E10435" t="s">
        <v>3053</v>
      </c>
      <c r="F10435" t="s">
        <v>284</v>
      </c>
      <c r="G10435" t="s">
        <v>3040</v>
      </c>
      <c r="H10435" t="s">
        <v>13230</v>
      </c>
      <c r="I10435">
        <v>390</v>
      </c>
      <c r="J10435">
        <v>222</v>
      </c>
      <c r="K10435">
        <v>0</v>
      </c>
      <c r="L10435">
        <v>168</v>
      </c>
      <c r="M10435">
        <v>0</v>
      </c>
      <c r="N10435">
        <v>0</v>
      </c>
      <c r="O10435">
        <v>0</v>
      </c>
    </row>
    <row r="10436" spans="1:15" x14ac:dyDescent="0.25">
      <c r="A10436" t="s">
        <v>14384</v>
      </c>
      <c r="B10436" t="s">
        <v>2417</v>
      </c>
      <c r="C10436" t="s">
        <v>923</v>
      </c>
      <c r="D10436" t="s">
        <v>3063</v>
      </c>
      <c r="E10436" t="s">
        <v>3053</v>
      </c>
      <c r="F10436" t="s">
        <v>284</v>
      </c>
      <c r="G10436" t="s">
        <v>3040</v>
      </c>
      <c r="H10436" t="s">
        <v>15532</v>
      </c>
      <c r="I10436">
        <v>15</v>
      </c>
      <c r="J10436">
        <v>15</v>
      </c>
      <c r="K10436">
        <v>0</v>
      </c>
      <c r="L10436">
        <v>0</v>
      </c>
      <c r="M10436">
        <v>0</v>
      </c>
      <c r="N10436">
        <v>0</v>
      </c>
      <c r="O10436">
        <v>0</v>
      </c>
    </row>
    <row r="10437" spans="1:15" x14ac:dyDescent="0.25">
      <c r="A10437" t="s">
        <v>940</v>
      </c>
      <c r="B10437" t="s">
        <v>2647</v>
      </c>
      <c r="C10437" t="s">
        <v>927</v>
      </c>
      <c r="D10437" t="s">
        <v>3052</v>
      </c>
      <c r="E10437" t="s">
        <v>3053</v>
      </c>
      <c r="F10437" t="s">
        <v>284</v>
      </c>
      <c r="G10437" t="s">
        <v>3040</v>
      </c>
      <c r="H10437" t="s">
        <v>13234</v>
      </c>
      <c r="I10437">
        <v>1729</v>
      </c>
      <c r="J10437">
        <v>0</v>
      </c>
      <c r="K10437">
        <v>0</v>
      </c>
      <c r="L10437">
        <v>78</v>
      </c>
      <c r="M10437">
        <v>1579</v>
      </c>
      <c r="N10437">
        <v>0</v>
      </c>
      <c r="O10437">
        <v>72</v>
      </c>
    </row>
    <row r="10438" spans="1:15" x14ac:dyDescent="0.25">
      <c r="A10438" t="s">
        <v>1273</v>
      </c>
      <c r="B10438" t="s">
        <v>2709</v>
      </c>
      <c r="C10438" t="s">
        <v>923</v>
      </c>
      <c r="D10438" t="s">
        <v>3063</v>
      </c>
      <c r="E10438" t="s">
        <v>3053</v>
      </c>
      <c r="F10438" t="s">
        <v>284</v>
      </c>
      <c r="G10438" t="s">
        <v>3040</v>
      </c>
      <c r="H10438" t="s">
        <v>13241</v>
      </c>
      <c r="I10438">
        <v>837</v>
      </c>
      <c r="J10438">
        <v>820</v>
      </c>
      <c r="K10438">
        <v>2</v>
      </c>
      <c r="L10438">
        <v>15</v>
      </c>
      <c r="M10438">
        <v>0</v>
      </c>
      <c r="N10438">
        <v>125</v>
      </c>
      <c r="O10438">
        <v>0</v>
      </c>
    </row>
    <row r="10439" spans="1:15" x14ac:dyDescent="0.25">
      <c r="A10439" t="s">
        <v>1274</v>
      </c>
      <c r="B10439" t="s">
        <v>2159</v>
      </c>
      <c r="C10439" t="s">
        <v>923</v>
      </c>
      <c r="D10439" t="s">
        <v>3063</v>
      </c>
      <c r="E10439" t="s">
        <v>3053</v>
      </c>
      <c r="F10439" t="s">
        <v>284</v>
      </c>
      <c r="G10439" t="s">
        <v>3040</v>
      </c>
      <c r="H10439" t="s">
        <v>13242</v>
      </c>
      <c r="I10439">
        <v>242</v>
      </c>
      <c r="J10439">
        <v>8</v>
      </c>
      <c r="K10439">
        <v>0</v>
      </c>
      <c r="L10439">
        <v>0</v>
      </c>
      <c r="M10439">
        <v>234</v>
      </c>
      <c r="N10439">
        <v>0</v>
      </c>
      <c r="O10439">
        <v>0</v>
      </c>
    </row>
    <row r="10440" spans="1:15" x14ac:dyDescent="0.25">
      <c r="A10440" t="s">
        <v>1012</v>
      </c>
      <c r="B10440" t="s">
        <v>2911</v>
      </c>
      <c r="C10440" t="s">
        <v>927</v>
      </c>
      <c r="D10440" t="s">
        <v>3052</v>
      </c>
      <c r="E10440" t="s">
        <v>3053</v>
      </c>
      <c r="F10440" t="s">
        <v>284</v>
      </c>
      <c r="G10440" t="s">
        <v>3040</v>
      </c>
      <c r="H10440" t="s">
        <v>13261</v>
      </c>
      <c r="I10440">
        <v>13072</v>
      </c>
      <c r="J10440">
        <v>10697</v>
      </c>
      <c r="K10440">
        <v>69</v>
      </c>
      <c r="L10440">
        <v>647</v>
      </c>
      <c r="M10440">
        <v>358</v>
      </c>
      <c r="N10440">
        <v>283</v>
      </c>
      <c r="O10440">
        <v>1301</v>
      </c>
    </row>
    <row r="10441" spans="1:15" x14ac:dyDescent="0.25">
      <c r="A10441" t="s">
        <v>1275</v>
      </c>
      <c r="B10441" t="s">
        <v>2841</v>
      </c>
      <c r="C10441" t="s">
        <v>927</v>
      </c>
      <c r="D10441" t="s">
        <v>3052</v>
      </c>
      <c r="E10441" t="s">
        <v>3053</v>
      </c>
      <c r="F10441" t="s">
        <v>284</v>
      </c>
      <c r="G10441" t="s">
        <v>3040</v>
      </c>
      <c r="H10441" t="s">
        <v>13263</v>
      </c>
      <c r="I10441">
        <v>2258</v>
      </c>
      <c r="J10441">
        <v>2187</v>
      </c>
      <c r="K10441">
        <v>0</v>
      </c>
      <c r="L10441">
        <v>0</v>
      </c>
      <c r="M10441">
        <v>42</v>
      </c>
      <c r="N10441">
        <v>106</v>
      </c>
      <c r="O10441">
        <v>29</v>
      </c>
    </row>
    <row r="10442" spans="1:15" x14ac:dyDescent="0.25">
      <c r="A10442" t="s">
        <v>1276</v>
      </c>
      <c r="B10442" t="s">
        <v>2537</v>
      </c>
      <c r="C10442" t="s">
        <v>923</v>
      </c>
      <c r="D10442" t="s">
        <v>3063</v>
      </c>
      <c r="E10442" t="s">
        <v>3053</v>
      </c>
      <c r="F10442" t="s">
        <v>284</v>
      </c>
      <c r="G10442" t="s">
        <v>3040</v>
      </c>
      <c r="H10442" t="s">
        <v>13264</v>
      </c>
      <c r="I10442">
        <v>74</v>
      </c>
      <c r="J10442">
        <v>4</v>
      </c>
      <c r="K10442">
        <v>70</v>
      </c>
      <c r="L10442">
        <v>0</v>
      </c>
      <c r="M10442">
        <v>0</v>
      </c>
      <c r="N10442">
        <v>0</v>
      </c>
      <c r="O10442">
        <v>0</v>
      </c>
    </row>
    <row r="10443" spans="1:15" x14ac:dyDescent="0.25">
      <c r="A10443" t="s">
        <v>1277</v>
      </c>
      <c r="B10443" t="s">
        <v>2497</v>
      </c>
      <c r="C10443" t="s">
        <v>923</v>
      </c>
      <c r="D10443" t="s">
        <v>3063</v>
      </c>
      <c r="E10443" t="s">
        <v>3053</v>
      </c>
      <c r="F10443" t="s">
        <v>284</v>
      </c>
      <c r="G10443" t="s">
        <v>3040</v>
      </c>
      <c r="H10443" t="s">
        <v>13268</v>
      </c>
      <c r="I10443">
        <v>54</v>
      </c>
      <c r="J10443">
        <v>54</v>
      </c>
      <c r="K10443">
        <v>0</v>
      </c>
      <c r="L10443">
        <v>0</v>
      </c>
      <c r="M10443">
        <v>0</v>
      </c>
      <c r="N10443">
        <v>0</v>
      </c>
      <c r="O10443">
        <v>0</v>
      </c>
    </row>
    <row r="10444" spans="1:15" x14ac:dyDescent="0.25">
      <c r="A10444" t="s">
        <v>1013</v>
      </c>
      <c r="B10444" t="s">
        <v>1959</v>
      </c>
      <c r="C10444" t="s">
        <v>927</v>
      </c>
      <c r="D10444" t="s">
        <v>3052</v>
      </c>
      <c r="E10444" t="s">
        <v>3053</v>
      </c>
      <c r="F10444" t="s">
        <v>284</v>
      </c>
      <c r="G10444" t="s">
        <v>3040</v>
      </c>
      <c r="H10444" t="s">
        <v>13272</v>
      </c>
      <c r="I10444">
        <v>93</v>
      </c>
      <c r="J10444">
        <v>0</v>
      </c>
      <c r="K10444">
        <v>0</v>
      </c>
      <c r="L10444">
        <v>93</v>
      </c>
      <c r="M10444">
        <v>0</v>
      </c>
      <c r="N10444">
        <v>0</v>
      </c>
      <c r="O10444">
        <v>0</v>
      </c>
    </row>
    <row r="10445" spans="1:15" x14ac:dyDescent="0.25">
      <c r="A10445" t="s">
        <v>1124</v>
      </c>
      <c r="B10445" t="s">
        <v>2981</v>
      </c>
      <c r="C10445" t="s">
        <v>923</v>
      </c>
      <c r="D10445" t="s">
        <v>3063</v>
      </c>
      <c r="E10445" t="s">
        <v>3053</v>
      </c>
      <c r="F10445" t="s">
        <v>284</v>
      </c>
      <c r="G10445" t="s">
        <v>3040</v>
      </c>
      <c r="H10445" t="s">
        <v>13282</v>
      </c>
      <c r="I10445">
        <v>591</v>
      </c>
      <c r="J10445">
        <v>528</v>
      </c>
      <c r="K10445">
        <v>0</v>
      </c>
      <c r="L10445">
        <v>38</v>
      </c>
      <c r="M10445">
        <v>25</v>
      </c>
      <c r="N10445">
        <v>0</v>
      </c>
      <c r="O10445">
        <v>0</v>
      </c>
    </row>
    <row r="10446" spans="1:15" x14ac:dyDescent="0.25">
      <c r="A10446" t="s">
        <v>10659</v>
      </c>
      <c r="B10446" t="s">
        <v>10658</v>
      </c>
      <c r="C10446" t="s">
        <v>923</v>
      </c>
      <c r="D10446" t="s">
        <v>3063</v>
      </c>
      <c r="E10446" t="s">
        <v>3053</v>
      </c>
      <c r="F10446" t="s">
        <v>284</v>
      </c>
      <c r="G10446" t="s">
        <v>3040</v>
      </c>
      <c r="H10446" t="s">
        <v>13283</v>
      </c>
      <c r="I10446">
        <v>59</v>
      </c>
      <c r="J10446">
        <v>59</v>
      </c>
      <c r="K10446">
        <v>0</v>
      </c>
      <c r="L10446">
        <v>0</v>
      </c>
      <c r="M10446">
        <v>0</v>
      </c>
      <c r="N10446">
        <v>0</v>
      </c>
      <c r="O10446">
        <v>0</v>
      </c>
    </row>
    <row r="10447" spans="1:15" x14ac:dyDescent="0.25">
      <c r="A10447" t="s">
        <v>11677</v>
      </c>
      <c r="B10447" t="s">
        <v>1965</v>
      </c>
      <c r="C10447" t="s">
        <v>923</v>
      </c>
      <c r="D10447" t="s">
        <v>3063</v>
      </c>
      <c r="E10447" t="s">
        <v>3053</v>
      </c>
      <c r="F10447" t="s">
        <v>284</v>
      </c>
      <c r="G10447" t="s">
        <v>3040</v>
      </c>
      <c r="H10447" t="s">
        <v>13286</v>
      </c>
      <c r="I10447">
        <v>111</v>
      </c>
      <c r="J10447">
        <v>99</v>
      </c>
      <c r="K10447">
        <v>0</v>
      </c>
      <c r="L10447">
        <v>12</v>
      </c>
      <c r="M10447">
        <v>0</v>
      </c>
      <c r="N10447">
        <v>0</v>
      </c>
      <c r="O10447">
        <v>0</v>
      </c>
    </row>
    <row r="10448" spans="1:15" x14ac:dyDescent="0.25">
      <c r="A10448" t="s">
        <v>1278</v>
      </c>
      <c r="B10448" t="s">
        <v>2674</v>
      </c>
      <c r="C10448" t="s">
        <v>927</v>
      </c>
      <c r="D10448" t="s">
        <v>3052</v>
      </c>
      <c r="E10448" t="s">
        <v>3053</v>
      </c>
      <c r="F10448" t="s">
        <v>284</v>
      </c>
      <c r="G10448" t="s">
        <v>3040</v>
      </c>
      <c r="H10448" t="s">
        <v>13287</v>
      </c>
      <c r="I10448">
        <v>2361</v>
      </c>
      <c r="J10448">
        <v>1818</v>
      </c>
      <c r="K10448">
        <v>42</v>
      </c>
      <c r="L10448">
        <v>61</v>
      </c>
      <c r="M10448">
        <v>42</v>
      </c>
      <c r="N10448">
        <v>0</v>
      </c>
      <c r="O10448">
        <v>398</v>
      </c>
    </row>
    <row r="10449" spans="1:15" x14ac:dyDescent="0.25">
      <c r="A10449" t="s">
        <v>1279</v>
      </c>
      <c r="B10449" t="s">
        <v>2384</v>
      </c>
      <c r="C10449" t="s">
        <v>923</v>
      </c>
      <c r="D10449" t="s">
        <v>3063</v>
      </c>
      <c r="E10449" t="s">
        <v>3053</v>
      </c>
      <c r="F10449" t="s">
        <v>284</v>
      </c>
      <c r="G10449" t="s">
        <v>3040</v>
      </c>
      <c r="H10449" t="s">
        <v>13288</v>
      </c>
      <c r="I10449">
        <v>104</v>
      </c>
      <c r="J10449">
        <v>104</v>
      </c>
      <c r="K10449">
        <v>0</v>
      </c>
      <c r="L10449">
        <v>0</v>
      </c>
      <c r="M10449">
        <v>0</v>
      </c>
      <c r="N10449">
        <v>0</v>
      </c>
      <c r="O10449">
        <v>0</v>
      </c>
    </row>
    <row r="10450" spans="1:15" x14ac:dyDescent="0.25">
      <c r="A10450" t="s">
        <v>1125</v>
      </c>
      <c r="B10450" t="s">
        <v>2938</v>
      </c>
      <c r="C10450" t="s">
        <v>923</v>
      </c>
      <c r="D10450" t="s">
        <v>3063</v>
      </c>
      <c r="E10450" t="s">
        <v>3053</v>
      </c>
      <c r="F10450" t="s">
        <v>284</v>
      </c>
      <c r="G10450" t="s">
        <v>3040</v>
      </c>
      <c r="H10450" t="s">
        <v>13296</v>
      </c>
      <c r="I10450">
        <v>373</v>
      </c>
      <c r="J10450">
        <v>5</v>
      </c>
      <c r="K10450">
        <v>0</v>
      </c>
      <c r="L10450">
        <v>1</v>
      </c>
      <c r="M10450">
        <v>367</v>
      </c>
      <c r="N10450">
        <v>0</v>
      </c>
      <c r="O10450">
        <v>0</v>
      </c>
    </row>
    <row r="10451" spans="1:15" x14ac:dyDescent="0.25">
      <c r="A10451" t="s">
        <v>1280</v>
      </c>
      <c r="B10451" t="s">
        <v>2245</v>
      </c>
      <c r="C10451" t="s">
        <v>923</v>
      </c>
      <c r="D10451" t="s">
        <v>3063</v>
      </c>
      <c r="E10451" t="s">
        <v>3053</v>
      </c>
      <c r="F10451" t="s">
        <v>284</v>
      </c>
      <c r="G10451" t="s">
        <v>3040</v>
      </c>
      <c r="H10451" t="s">
        <v>13305</v>
      </c>
      <c r="I10451">
        <v>10</v>
      </c>
      <c r="J10451">
        <v>0</v>
      </c>
      <c r="K10451">
        <v>0</v>
      </c>
      <c r="L10451">
        <v>0</v>
      </c>
      <c r="M10451">
        <v>10</v>
      </c>
      <c r="N10451">
        <v>0</v>
      </c>
      <c r="O10451">
        <v>0</v>
      </c>
    </row>
    <row r="10452" spans="1:15" x14ac:dyDescent="0.25">
      <c r="A10452" t="s">
        <v>14385</v>
      </c>
      <c r="B10452" t="s">
        <v>3027</v>
      </c>
      <c r="C10452" t="s">
        <v>923</v>
      </c>
      <c r="D10452" t="s">
        <v>3063</v>
      </c>
      <c r="E10452" t="s">
        <v>3053</v>
      </c>
      <c r="F10452" t="s">
        <v>284</v>
      </c>
      <c r="G10452" t="s">
        <v>3040</v>
      </c>
      <c r="H10452" t="s">
        <v>15533</v>
      </c>
      <c r="I10452">
        <v>92</v>
      </c>
      <c r="J10452">
        <v>0</v>
      </c>
      <c r="K10452">
        <v>0</v>
      </c>
      <c r="L10452">
        <v>92</v>
      </c>
      <c r="M10452">
        <v>0</v>
      </c>
      <c r="N10452">
        <v>0</v>
      </c>
      <c r="O10452">
        <v>0</v>
      </c>
    </row>
    <row r="10453" spans="1:15" x14ac:dyDescent="0.25">
      <c r="A10453" t="s">
        <v>1281</v>
      </c>
      <c r="B10453" t="s">
        <v>2915</v>
      </c>
      <c r="C10453" t="s">
        <v>923</v>
      </c>
      <c r="D10453" t="s">
        <v>3063</v>
      </c>
      <c r="E10453" t="s">
        <v>3053</v>
      </c>
      <c r="F10453" t="s">
        <v>284</v>
      </c>
      <c r="G10453" t="s">
        <v>3040</v>
      </c>
      <c r="H10453" t="s">
        <v>13321</v>
      </c>
      <c r="I10453">
        <v>16</v>
      </c>
      <c r="J10453">
        <v>0</v>
      </c>
      <c r="K10453">
        <v>0</v>
      </c>
      <c r="L10453">
        <v>16</v>
      </c>
      <c r="M10453">
        <v>0</v>
      </c>
      <c r="N10453">
        <v>0</v>
      </c>
      <c r="O10453">
        <v>0</v>
      </c>
    </row>
    <row r="10454" spans="1:15" x14ac:dyDescent="0.25">
      <c r="A10454" t="s">
        <v>14386</v>
      </c>
      <c r="B10454" t="s">
        <v>2975</v>
      </c>
      <c r="C10454" t="s">
        <v>927</v>
      </c>
      <c r="D10454" t="s">
        <v>3052</v>
      </c>
      <c r="E10454" t="s">
        <v>3053</v>
      </c>
      <c r="F10454" t="s">
        <v>284</v>
      </c>
      <c r="G10454" t="s">
        <v>3040</v>
      </c>
      <c r="H10454" t="s">
        <v>15534</v>
      </c>
      <c r="I10454">
        <v>1231</v>
      </c>
      <c r="J10454">
        <v>1171</v>
      </c>
      <c r="K10454">
        <v>0</v>
      </c>
      <c r="L10454">
        <v>0</v>
      </c>
      <c r="M10454">
        <v>0</v>
      </c>
      <c r="N10454">
        <v>0</v>
      </c>
      <c r="O10454">
        <v>60</v>
      </c>
    </row>
    <row r="10455" spans="1:15" x14ac:dyDescent="0.25">
      <c r="A10455" t="s">
        <v>1282</v>
      </c>
      <c r="B10455" t="s">
        <v>2028</v>
      </c>
      <c r="C10455" t="s">
        <v>923</v>
      </c>
      <c r="D10455" t="s">
        <v>3063</v>
      </c>
      <c r="E10455" t="s">
        <v>3053</v>
      </c>
      <c r="F10455" t="s">
        <v>284</v>
      </c>
      <c r="G10455" t="s">
        <v>3040</v>
      </c>
      <c r="H10455" t="s">
        <v>13324</v>
      </c>
      <c r="I10455">
        <v>37</v>
      </c>
      <c r="J10455">
        <v>37</v>
      </c>
      <c r="K10455">
        <v>0</v>
      </c>
      <c r="L10455">
        <v>0</v>
      </c>
      <c r="M10455">
        <v>0</v>
      </c>
      <c r="N10455">
        <v>0</v>
      </c>
      <c r="O10455">
        <v>0</v>
      </c>
    </row>
    <row r="10456" spans="1:15" x14ac:dyDescent="0.25">
      <c r="A10456" t="s">
        <v>1283</v>
      </c>
      <c r="B10456" t="s">
        <v>2768</v>
      </c>
      <c r="C10456" t="s">
        <v>923</v>
      </c>
      <c r="D10456" t="s">
        <v>3063</v>
      </c>
      <c r="E10456" t="s">
        <v>3053</v>
      </c>
      <c r="F10456" t="s">
        <v>284</v>
      </c>
      <c r="G10456" t="s">
        <v>3040</v>
      </c>
      <c r="H10456" t="s">
        <v>13327</v>
      </c>
      <c r="I10456">
        <v>780</v>
      </c>
      <c r="J10456">
        <v>599</v>
      </c>
      <c r="K10456">
        <v>0</v>
      </c>
      <c r="L10456">
        <v>35</v>
      </c>
      <c r="M10456">
        <v>146</v>
      </c>
      <c r="N10456">
        <v>0</v>
      </c>
      <c r="O10456">
        <v>0</v>
      </c>
    </row>
    <row r="10457" spans="1:15" x14ac:dyDescent="0.25">
      <c r="A10457" t="s">
        <v>14387</v>
      </c>
      <c r="B10457" t="s">
        <v>14511</v>
      </c>
      <c r="C10457" t="s">
        <v>923</v>
      </c>
      <c r="D10457" t="s">
        <v>3063</v>
      </c>
      <c r="E10457" t="s">
        <v>3053</v>
      </c>
      <c r="F10457" t="s">
        <v>284</v>
      </c>
      <c r="G10457" t="s">
        <v>3040</v>
      </c>
      <c r="H10457" t="s">
        <v>15535</v>
      </c>
      <c r="I10457">
        <v>37</v>
      </c>
      <c r="J10457">
        <v>37</v>
      </c>
      <c r="K10457">
        <v>0</v>
      </c>
      <c r="L10457">
        <v>0</v>
      </c>
      <c r="M10457">
        <v>0</v>
      </c>
      <c r="N10457">
        <v>0</v>
      </c>
      <c r="O10457">
        <v>0</v>
      </c>
    </row>
    <row r="10458" spans="1:15" x14ac:dyDescent="0.25">
      <c r="A10458" t="s">
        <v>1284</v>
      </c>
      <c r="B10458" t="s">
        <v>2700</v>
      </c>
      <c r="C10458" t="s">
        <v>923</v>
      </c>
      <c r="D10458" t="s">
        <v>3063</v>
      </c>
      <c r="E10458" t="s">
        <v>3053</v>
      </c>
      <c r="F10458" t="s">
        <v>284</v>
      </c>
      <c r="G10458" t="s">
        <v>3040</v>
      </c>
      <c r="H10458" t="s">
        <v>13335</v>
      </c>
      <c r="I10458">
        <v>264</v>
      </c>
      <c r="J10458">
        <v>187</v>
      </c>
      <c r="K10458">
        <v>0</v>
      </c>
      <c r="L10458">
        <v>0</v>
      </c>
      <c r="M10458">
        <v>77</v>
      </c>
      <c r="N10458">
        <v>0</v>
      </c>
      <c r="O10458">
        <v>0</v>
      </c>
    </row>
    <row r="10459" spans="1:15" x14ac:dyDescent="0.25">
      <c r="A10459" t="s">
        <v>1285</v>
      </c>
      <c r="B10459" t="s">
        <v>2445</v>
      </c>
      <c r="C10459" t="s">
        <v>923</v>
      </c>
      <c r="D10459" t="s">
        <v>3063</v>
      </c>
      <c r="E10459" t="s">
        <v>3053</v>
      </c>
      <c r="F10459" t="s">
        <v>284</v>
      </c>
      <c r="G10459" t="s">
        <v>3040</v>
      </c>
      <c r="H10459" t="s">
        <v>13336</v>
      </c>
      <c r="I10459">
        <v>38</v>
      </c>
      <c r="J10459">
        <v>28</v>
      </c>
      <c r="K10459">
        <v>10</v>
      </c>
      <c r="L10459">
        <v>0</v>
      </c>
      <c r="M10459">
        <v>0</v>
      </c>
      <c r="N10459">
        <v>0</v>
      </c>
      <c r="O10459">
        <v>0</v>
      </c>
    </row>
    <row r="10460" spans="1:15" x14ac:dyDescent="0.25">
      <c r="A10460" t="s">
        <v>1286</v>
      </c>
      <c r="B10460" t="s">
        <v>2355</v>
      </c>
      <c r="C10460" t="s">
        <v>923</v>
      </c>
      <c r="D10460" t="s">
        <v>3063</v>
      </c>
      <c r="E10460" t="s">
        <v>3053</v>
      </c>
      <c r="F10460" t="s">
        <v>284</v>
      </c>
      <c r="G10460" t="s">
        <v>3040</v>
      </c>
      <c r="H10460" t="s">
        <v>13341</v>
      </c>
      <c r="I10460">
        <v>158</v>
      </c>
      <c r="J10460">
        <v>158</v>
      </c>
      <c r="K10460">
        <v>0</v>
      </c>
      <c r="L10460">
        <v>0</v>
      </c>
      <c r="M10460">
        <v>0</v>
      </c>
      <c r="N10460">
        <v>0</v>
      </c>
      <c r="O10460">
        <v>0</v>
      </c>
    </row>
    <row r="10461" spans="1:15" x14ac:dyDescent="0.25">
      <c r="A10461" t="s">
        <v>11678</v>
      </c>
      <c r="B10461" t="s">
        <v>2706</v>
      </c>
      <c r="C10461" t="s">
        <v>923</v>
      </c>
      <c r="D10461" t="s">
        <v>3063</v>
      </c>
      <c r="E10461" t="s">
        <v>3053</v>
      </c>
      <c r="F10461" t="s">
        <v>284</v>
      </c>
      <c r="G10461" t="s">
        <v>3040</v>
      </c>
      <c r="H10461" t="s">
        <v>13342</v>
      </c>
      <c r="I10461">
        <v>323</v>
      </c>
      <c r="J10461">
        <v>323</v>
      </c>
      <c r="K10461">
        <v>0</v>
      </c>
      <c r="L10461">
        <v>0</v>
      </c>
      <c r="M10461">
        <v>0</v>
      </c>
      <c r="N10461">
        <v>1</v>
      </c>
      <c r="O10461">
        <v>0</v>
      </c>
    </row>
    <row r="10462" spans="1:15" x14ac:dyDescent="0.25">
      <c r="A10462" t="s">
        <v>1287</v>
      </c>
      <c r="B10462" t="s">
        <v>2858</v>
      </c>
      <c r="C10462" t="s">
        <v>923</v>
      </c>
      <c r="D10462" t="s">
        <v>3063</v>
      </c>
      <c r="E10462" t="s">
        <v>3053</v>
      </c>
      <c r="F10462" t="s">
        <v>284</v>
      </c>
      <c r="G10462" t="s">
        <v>3040</v>
      </c>
      <c r="H10462" t="s">
        <v>13343</v>
      </c>
      <c r="I10462">
        <v>51</v>
      </c>
      <c r="J10462">
        <v>51</v>
      </c>
      <c r="K10462">
        <v>0</v>
      </c>
      <c r="L10462">
        <v>0</v>
      </c>
      <c r="M10462">
        <v>0</v>
      </c>
      <c r="N10462">
        <v>4</v>
      </c>
      <c r="O10462">
        <v>0</v>
      </c>
    </row>
    <row r="10463" spans="1:15" x14ac:dyDescent="0.25">
      <c r="A10463" t="s">
        <v>11679</v>
      </c>
      <c r="B10463" t="s">
        <v>11753</v>
      </c>
      <c r="C10463" t="s">
        <v>923</v>
      </c>
      <c r="D10463" t="s">
        <v>3063</v>
      </c>
      <c r="E10463" t="s">
        <v>3053</v>
      </c>
      <c r="F10463" t="s">
        <v>284</v>
      </c>
      <c r="G10463" t="s">
        <v>3040</v>
      </c>
      <c r="H10463" t="s">
        <v>13344</v>
      </c>
      <c r="I10463">
        <v>15</v>
      </c>
      <c r="J10463">
        <v>15</v>
      </c>
      <c r="K10463">
        <v>0</v>
      </c>
      <c r="L10463">
        <v>0</v>
      </c>
      <c r="M10463">
        <v>0</v>
      </c>
      <c r="N10463">
        <v>0</v>
      </c>
      <c r="O10463">
        <v>0</v>
      </c>
    </row>
    <row r="10464" spans="1:15" x14ac:dyDescent="0.25">
      <c r="A10464" t="s">
        <v>1018</v>
      </c>
      <c r="B10464" t="s">
        <v>1980</v>
      </c>
      <c r="C10464" t="s">
        <v>923</v>
      </c>
      <c r="D10464" t="s">
        <v>3063</v>
      </c>
      <c r="E10464" t="s">
        <v>3053</v>
      </c>
      <c r="F10464" t="s">
        <v>284</v>
      </c>
      <c r="G10464" t="s">
        <v>3040</v>
      </c>
      <c r="H10464" t="s">
        <v>13347</v>
      </c>
      <c r="I10464">
        <v>77</v>
      </c>
      <c r="J10464">
        <v>0</v>
      </c>
      <c r="K10464">
        <v>0</v>
      </c>
      <c r="L10464">
        <v>77</v>
      </c>
      <c r="M10464">
        <v>0</v>
      </c>
      <c r="N10464">
        <v>0</v>
      </c>
      <c r="O10464">
        <v>0</v>
      </c>
    </row>
    <row r="10465" spans="1:15" x14ac:dyDescent="0.25">
      <c r="A10465" t="s">
        <v>1288</v>
      </c>
      <c r="B10465" t="s">
        <v>2555</v>
      </c>
      <c r="C10465" t="s">
        <v>923</v>
      </c>
      <c r="D10465" t="s">
        <v>3063</v>
      </c>
      <c r="E10465" t="s">
        <v>3053</v>
      </c>
      <c r="F10465" t="s">
        <v>284</v>
      </c>
      <c r="G10465" t="s">
        <v>3040</v>
      </c>
      <c r="H10465" t="s">
        <v>13354</v>
      </c>
      <c r="I10465">
        <v>8</v>
      </c>
      <c r="J10465">
        <v>0</v>
      </c>
      <c r="K10465">
        <v>8</v>
      </c>
      <c r="L10465">
        <v>0</v>
      </c>
      <c r="M10465">
        <v>0</v>
      </c>
      <c r="N10465">
        <v>0</v>
      </c>
      <c r="O10465">
        <v>0</v>
      </c>
    </row>
    <row r="10466" spans="1:15" x14ac:dyDescent="0.25">
      <c r="A10466" t="s">
        <v>1289</v>
      </c>
      <c r="B10466" t="s">
        <v>2213</v>
      </c>
      <c r="C10466" t="s">
        <v>923</v>
      </c>
      <c r="D10466" t="s">
        <v>3063</v>
      </c>
      <c r="E10466" t="s">
        <v>3053</v>
      </c>
      <c r="F10466" t="s">
        <v>284</v>
      </c>
      <c r="G10466" t="s">
        <v>3040</v>
      </c>
      <c r="H10466" t="s">
        <v>13356</v>
      </c>
      <c r="I10466">
        <v>19</v>
      </c>
      <c r="J10466">
        <v>0</v>
      </c>
      <c r="K10466">
        <v>0</v>
      </c>
      <c r="L10466">
        <v>0</v>
      </c>
      <c r="M10466">
        <v>19</v>
      </c>
      <c r="N10466">
        <v>0</v>
      </c>
      <c r="O10466">
        <v>0</v>
      </c>
    </row>
    <row r="10467" spans="1:15" x14ac:dyDescent="0.25">
      <c r="A10467" t="s">
        <v>10667</v>
      </c>
      <c r="B10467" t="s">
        <v>10666</v>
      </c>
      <c r="C10467" t="s">
        <v>927</v>
      </c>
      <c r="D10467" t="s">
        <v>3052</v>
      </c>
      <c r="E10467" t="s">
        <v>3053</v>
      </c>
      <c r="F10467" t="s">
        <v>284</v>
      </c>
      <c r="G10467" t="s">
        <v>3040</v>
      </c>
      <c r="H10467" t="s">
        <v>13363</v>
      </c>
      <c r="I10467">
        <v>307</v>
      </c>
      <c r="J10467">
        <v>307</v>
      </c>
      <c r="K10467">
        <v>0</v>
      </c>
      <c r="L10467">
        <v>0</v>
      </c>
      <c r="M10467">
        <v>0</v>
      </c>
      <c r="N10467">
        <v>0</v>
      </c>
      <c r="O10467">
        <v>0</v>
      </c>
    </row>
    <row r="10468" spans="1:15" x14ac:dyDescent="0.25">
      <c r="A10468" t="s">
        <v>1126</v>
      </c>
      <c r="B10468" t="s">
        <v>2130</v>
      </c>
      <c r="C10468" t="s">
        <v>927</v>
      </c>
      <c r="D10468" t="s">
        <v>3052</v>
      </c>
      <c r="E10468" t="s">
        <v>3053</v>
      </c>
      <c r="F10468" t="s">
        <v>284</v>
      </c>
      <c r="G10468" t="s">
        <v>3040</v>
      </c>
      <c r="H10468" t="s">
        <v>13371</v>
      </c>
      <c r="I10468">
        <v>668</v>
      </c>
      <c r="J10468">
        <v>219</v>
      </c>
      <c r="K10468">
        <v>0</v>
      </c>
      <c r="L10468">
        <v>0</v>
      </c>
      <c r="M10468">
        <v>0</v>
      </c>
      <c r="N10468">
        <v>0</v>
      </c>
      <c r="O10468">
        <v>449</v>
      </c>
    </row>
    <row r="10469" spans="1:15" x14ac:dyDescent="0.25">
      <c r="A10469" t="s">
        <v>1290</v>
      </c>
      <c r="B10469" t="s">
        <v>2365</v>
      </c>
      <c r="C10469" t="s">
        <v>923</v>
      </c>
      <c r="D10469" t="s">
        <v>3063</v>
      </c>
      <c r="E10469" t="s">
        <v>3053</v>
      </c>
      <c r="F10469" t="s">
        <v>284</v>
      </c>
      <c r="G10469" t="s">
        <v>3040</v>
      </c>
      <c r="H10469" t="s">
        <v>13385</v>
      </c>
      <c r="I10469">
        <v>47</v>
      </c>
      <c r="J10469">
        <v>46</v>
      </c>
      <c r="K10469">
        <v>1</v>
      </c>
      <c r="L10469">
        <v>0</v>
      </c>
      <c r="M10469">
        <v>0</v>
      </c>
      <c r="N10469">
        <v>0</v>
      </c>
      <c r="O10469">
        <v>0</v>
      </c>
    </row>
    <row r="10470" spans="1:15" x14ac:dyDescent="0.25">
      <c r="A10470" t="s">
        <v>1291</v>
      </c>
      <c r="B10470" t="s">
        <v>2482</v>
      </c>
      <c r="C10470" t="s">
        <v>923</v>
      </c>
      <c r="D10470" t="s">
        <v>3063</v>
      </c>
      <c r="E10470" t="s">
        <v>3053</v>
      </c>
      <c r="F10470" t="s">
        <v>284</v>
      </c>
      <c r="G10470" t="s">
        <v>3040</v>
      </c>
      <c r="H10470" t="s">
        <v>13386</v>
      </c>
      <c r="I10470">
        <v>12</v>
      </c>
      <c r="J10470">
        <v>12</v>
      </c>
      <c r="K10470">
        <v>0</v>
      </c>
      <c r="L10470">
        <v>0</v>
      </c>
      <c r="M10470">
        <v>0</v>
      </c>
      <c r="N10470">
        <v>0</v>
      </c>
      <c r="O10470">
        <v>0</v>
      </c>
    </row>
    <row r="10471" spans="1:15" x14ac:dyDescent="0.25">
      <c r="A10471" t="s">
        <v>1127</v>
      </c>
      <c r="B10471" t="s">
        <v>3034</v>
      </c>
      <c r="C10471" t="s">
        <v>927</v>
      </c>
      <c r="D10471" t="s">
        <v>3052</v>
      </c>
      <c r="E10471" t="s">
        <v>3053</v>
      </c>
      <c r="F10471" t="s">
        <v>284</v>
      </c>
      <c r="G10471" t="s">
        <v>3040</v>
      </c>
      <c r="H10471" t="s">
        <v>13404</v>
      </c>
      <c r="I10471">
        <v>1370</v>
      </c>
      <c r="J10471">
        <v>1340</v>
      </c>
      <c r="K10471">
        <v>0</v>
      </c>
      <c r="L10471">
        <v>30</v>
      </c>
      <c r="M10471">
        <v>0</v>
      </c>
      <c r="N10471">
        <v>2</v>
      </c>
      <c r="O10471">
        <v>0</v>
      </c>
    </row>
    <row r="10472" spans="1:15" x14ac:dyDescent="0.25">
      <c r="A10472" t="s">
        <v>1025</v>
      </c>
      <c r="B10472" t="s">
        <v>2893</v>
      </c>
      <c r="C10472" t="s">
        <v>927</v>
      </c>
      <c r="D10472" t="s">
        <v>3052</v>
      </c>
      <c r="E10472" t="s">
        <v>3053</v>
      </c>
      <c r="F10472" t="s">
        <v>284</v>
      </c>
      <c r="G10472" t="s">
        <v>3040</v>
      </c>
      <c r="H10472" t="s">
        <v>13411</v>
      </c>
      <c r="I10472">
        <v>68651</v>
      </c>
      <c r="J10472">
        <v>52978</v>
      </c>
      <c r="K10472">
        <v>14</v>
      </c>
      <c r="L10472">
        <v>2137</v>
      </c>
      <c r="M10472">
        <v>2118</v>
      </c>
      <c r="N10472">
        <v>1124</v>
      </c>
      <c r="O10472">
        <v>11404</v>
      </c>
    </row>
    <row r="10473" spans="1:15" x14ac:dyDescent="0.25">
      <c r="A10473" t="s">
        <v>1026</v>
      </c>
      <c r="B10473" t="s">
        <v>2848</v>
      </c>
      <c r="C10473" t="s">
        <v>927</v>
      </c>
      <c r="D10473" t="s">
        <v>3052</v>
      </c>
      <c r="E10473" t="s">
        <v>3053</v>
      </c>
      <c r="F10473" t="s">
        <v>284</v>
      </c>
      <c r="G10473" t="s">
        <v>3040</v>
      </c>
      <c r="H10473" t="s">
        <v>13420</v>
      </c>
      <c r="I10473">
        <v>1</v>
      </c>
      <c r="J10473">
        <v>0</v>
      </c>
      <c r="K10473">
        <v>0</v>
      </c>
      <c r="L10473">
        <v>0</v>
      </c>
      <c r="M10473">
        <v>0</v>
      </c>
      <c r="N10473">
        <v>0</v>
      </c>
      <c r="O10473">
        <v>1</v>
      </c>
    </row>
    <row r="10474" spans="1:15" x14ac:dyDescent="0.25">
      <c r="A10474" t="s">
        <v>1292</v>
      </c>
      <c r="B10474" t="s">
        <v>2434</v>
      </c>
      <c r="C10474" t="s">
        <v>923</v>
      </c>
      <c r="D10474" t="s">
        <v>3063</v>
      </c>
      <c r="E10474" t="s">
        <v>3053</v>
      </c>
      <c r="F10474" t="s">
        <v>284</v>
      </c>
      <c r="G10474" t="s">
        <v>3040</v>
      </c>
      <c r="H10474" t="s">
        <v>13423</v>
      </c>
      <c r="I10474">
        <v>64</v>
      </c>
      <c r="J10474">
        <v>64</v>
      </c>
      <c r="K10474">
        <v>0</v>
      </c>
      <c r="L10474">
        <v>0</v>
      </c>
      <c r="M10474">
        <v>0</v>
      </c>
      <c r="N10474">
        <v>0</v>
      </c>
      <c r="O10474">
        <v>0</v>
      </c>
    </row>
    <row r="10475" spans="1:15" x14ac:dyDescent="0.25">
      <c r="A10475" t="s">
        <v>1293</v>
      </c>
      <c r="B10475" t="s">
        <v>2910</v>
      </c>
      <c r="C10475" t="s">
        <v>927</v>
      </c>
      <c r="D10475" t="s">
        <v>3052</v>
      </c>
      <c r="E10475" t="s">
        <v>3053</v>
      </c>
      <c r="F10475" t="s">
        <v>284</v>
      </c>
      <c r="G10475" t="s">
        <v>3040</v>
      </c>
      <c r="H10475" t="s">
        <v>13424</v>
      </c>
      <c r="I10475">
        <v>941</v>
      </c>
      <c r="J10475">
        <v>26</v>
      </c>
      <c r="K10475">
        <v>0</v>
      </c>
      <c r="L10475">
        <v>915</v>
      </c>
      <c r="M10475">
        <v>0</v>
      </c>
      <c r="N10475">
        <v>13</v>
      </c>
      <c r="O10475">
        <v>0</v>
      </c>
    </row>
    <row r="10476" spans="1:15" x14ac:dyDescent="0.25">
      <c r="A10476" t="s">
        <v>10681</v>
      </c>
      <c r="B10476" t="s">
        <v>10680</v>
      </c>
      <c r="C10476" t="s">
        <v>927</v>
      </c>
      <c r="D10476" t="s">
        <v>3052</v>
      </c>
      <c r="E10476" t="s">
        <v>3053</v>
      </c>
      <c r="F10476" t="s">
        <v>284</v>
      </c>
      <c r="G10476" t="s">
        <v>3040</v>
      </c>
      <c r="H10476" t="s">
        <v>15536</v>
      </c>
      <c r="I10476">
        <v>334</v>
      </c>
      <c r="J10476">
        <v>0</v>
      </c>
      <c r="K10476">
        <v>0</v>
      </c>
      <c r="L10476">
        <v>0</v>
      </c>
      <c r="M10476">
        <v>0</v>
      </c>
      <c r="N10476">
        <v>0</v>
      </c>
      <c r="O10476">
        <v>334</v>
      </c>
    </row>
    <row r="10477" spans="1:15" x14ac:dyDescent="0.25">
      <c r="A10477" t="s">
        <v>1294</v>
      </c>
      <c r="B10477" t="s">
        <v>1944</v>
      </c>
      <c r="C10477" t="s">
        <v>923</v>
      </c>
      <c r="D10477" t="s">
        <v>3063</v>
      </c>
      <c r="E10477" t="s">
        <v>3053</v>
      </c>
      <c r="F10477" t="s">
        <v>284</v>
      </c>
      <c r="G10477" t="s">
        <v>3040</v>
      </c>
      <c r="H10477" t="s">
        <v>13436</v>
      </c>
      <c r="I10477">
        <v>7</v>
      </c>
      <c r="J10477">
        <v>7</v>
      </c>
      <c r="K10477">
        <v>0</v>
      </c>
      <c r="L10477">
        <v>0</v>
      </c>
      <c r="M10477">
        <v>0</v>
      </c>
      <c r="N10477">
        <v>0</v>
      </c>
      <c r="O10477">
        <v>0</v>
      </c>
    </row>
    <row r="10478" spans="1:15" x14ac:dyDescent="0.25">
      <c r="A10478" t="s">
        <v>1295</v>
      </c>
      <c r="B10478" t="s">
        <v>2467</v>
      </c>
      <c r="C10478" t="s">
        <v>923</v>
      </c>
      <c r="D10478" t="s">
        <v>3063</v>
      </c>
      <c r="E10478" t="s">
        <v>3053</v>
      </c>
      <c r="F10478" t="s">
        <v>284</v>
      </c>
      <c r="G10478" t="s">
        <v>3040</v>
      </c>
      <c r="H10478" t="s">
        <v>13453</v>
      </c>
      <c r="I10478">
        <v>18</v>
      </c>
      <c r="J10478">
        <v>18</v>
      </c>
      <c r="K10478">
        <v>0</v>
      </c>
      <c r="L10478">
        <v>0</v>
      </c>
      <c r="M10478">
        <v>0</v>
      </c>
      <c r="N10478">
        <v>0</v>
      </c>
      <c r="O10478">
        <v>0</v>
      </c>
    </row>
    <row r="10479" spans="1:15" x14ac:dyDescent="0.25">
      <c r="A10479" t="s">
        <v>1296</v>
      </c>
      <c r="B10479" t="s">
        <v>2965</v>
      </c>
      <c r="C10479" t="s">
        <v>923</v>
      </c>
      <c r="D10479" t="s">
        <v>3063</v>
      </c>
      <c r="E10479" t="s">
        <v>3053</v>
      </c>
      <c r="F10479" t="s">
        <v>284</v>
      </c>
      <c r="G10479" t="s">
        <v>3040</v>
      </c>
      <c r="H10479" t="s">
        <v>13458</v>
      </c>
      <c r="I10479">
        <v>60</v>
      </c>
      <c r="J10479">
        <v>0</v>
      </c>
      <c r="K10479">
        <v>0</v>
      </c>
      <c r="L10479">
        <v>0</v>
      </c>
      <c r="M10479">
        <v>60</v>
      </c>
      <c r="N10479">
        <v>0</v>
      </c>
      <c r="O10479">
        <v>0</v>
      </c>
    </row>
    <row r="10480" spans="1:15" x14ac:dyDescent="0.25">
      <c r="A10480" t="s">
        <v>11680</v>
      </c>
      <c r="B10480" t="s">
        <v>11757</v>
      </c>
      <c r="C10480" t="s">
        <v>923</v>
      </c>
      <c r="D10480" t="s">
        <v>3063</v>
      </c>
      <c r="E10480" t="s">
        <v>3053</v>
      </c>
      <c r="F10480" t="s">
        <v>284</v>
      </c>
      <c r="G10480" t="s">
        <v>3040</v>
      </c>
      <c r="H10480" t="s">
        <v>13465</v>
      </c>
      <c r="I10480">
        <v>28</v>
      </c>
      <c r="J10480">
        <v>0</v>
      </c>
      <c r="K10480">
        <v>0</v>
      </c>
      <c r="L10480">
        <v>0</v>
      </c>
      <c r="M10480">
        <v>28</v>
      </c>
      <c r="N10480">
        <v>0</v>
      </c>
      <c r="O10480">
        <v>0</v>
      </c>
    </row>
    <row r="10481" spans="1:15" x14ac:dyDescent="0.25">
      <c r="A10481" t="s">
        <v>943</v>
      </c>
      <c r="B10481" t="s">
        <v>2694</v>
      </c>
      <c r="C10481" t="s">
        <v>927</v>
      </c>
      <c r="D10481" t="s">
        <v>3052</v>
      </c>
      <c r="E10481" t="s">
        <v>3053</v>
      </c>
      <c r="F10481" t="s">
        <v>284</v>
      </c>
      <c r="G10481" t="s">
        <v>3040</v>
      </c>
      <c r="H10481" t="s">
        <v>13468</v>
      </c>
      <c r="I10481">
        <v>20428</v>
      </c>
      <c r="J10481">
        <v>15181</v>
      </c>
      <c r="K10481">
        <v>7</v>
      </c>
      <c r="L10481">
        <v>1327</v>
      </c>
      <c r="M10481">
        <v>777</v>
      </c>
      <c r="N10481">
        <v>31</v>
      </c>
      <c r="O10481">
        <v>3136</v>
      </c>
    </row>
    <row r="10482" spans="1:15" x14ac:dyDescent="0.25">
      <c r="A10482" t="s">
        <v>1297</v>
      </c>
      <c r="B10482" t="s">
        <v>2818</v>
      </c>
      <c r="C10482" t="s">
        <v>923</v>
      </c>
      <c r="D10482" t="s">
        <v>3063</v>
      </c>
      <c r="E10482" t="s">
        <v>3053</v>
      </c>
      <c r="F10482" t="s">
        <v>284</v>
      </c>
      <c r="G10482" t="s">
        <v>3040</v>
      </c>
      <c r="H10482" t="s">
        <v>13479</v>
      </c>
      <c r="I10482">
        <v>57</v>
      </c>
      <c r="J10482">
        <v>41</v>
      </c>
      <c r="K10482">
        <v>0</v>
      </c>
      <c r="L10482">
        <v>0</v>
      </c>
      <c r="M10482">
        <v>16</v>
      </c>
      <c r="N10482">
        <v>0</v>
      </c>
      <c r="O10482">
        <v>0</v>
      </c>
    </row>
    <row r="10483" spans="1:15" x14ac:dyDescent="0.25">
      <c r="A10483" t="s">
        <v>1298</v>
      </c>
      <c r="B10483" t="s">
        <v>2478</v>
      </c>
      <c r="C10483" t="s">
        <v>923</v>
      </c>
      <c r="D10483" t="s">
        <v>3063</v>
      </c>
      <c r="E10483" t="s">
        <v>3053</v>
      </c>
      <c r="F10483" t="s">
        <v>284</v>
      </c>
      <c r="G10483" t="s">
        <v>3040</v>
      </c>
      <c r="H10483" t="s">
        <v>13481</v>
      </c>
      <c r="I10483">
        <v>13</v>
      </c>
      <c r="J10483">
        <v>13</v>
      </c>
      <c r="K10483">
        <v>0</v>
      </c>
      <c r="L10483">
        <v>0</v>
      </c>
      <c r="M10483">
        <v>0</v>
      </c>
      <c r="N10483">
        <v>0</v>
      </c>
      <c r="O10483">
        <v>0</v>
      </c>
    </row>
    <row r="10484" spans="1:15" x14ac:dyDescent="0.25">
      <c r="A10484" t="s">
        <v>945</v>
      </c>
      <c r="B10484" t="s">
        <v>2668</v>
      </c>
      <c r="C10484" t="s">
        <v>927</v>
      </c>
      <c r="D10484" t="s">
        <v>3052</v>
      </c>
      <c r="E10484" t="s">
        <v>3053</v>
      </c>
      <c r="F10484" t="s">
        <v>284</v>
      </c>
      <c r="G10484" t="s">
        <v>3040</v>
      </c>
      <c r="H10484" t="s">
        <v>13487</v>
      </c>
      <c r="I10484">
        <v>3758</v>
      </c>
      <c r="J10484">
        <v>2506</v>
      </c>
      <c r="K10484">
        <v>0</v>
      </c>
      <c r="L10484">
        <v>28</v>
      </c>
      <c r="M10484">
        <v>420</v>
      </c>
      <c r="N10484">
        <v>0</v>
      </c>
      <c r="O10484">
        <v>804</v>
      </c>
    </row>
    <row r="10485" spans="1:15" x14ac:dyDescent="0.25">
      <c r="A10485" t="s">
        <v>1299</v>
      </c>
      <c r="B10485" t="s">
        <v>2404</v>
      </c>
      <c r="C10485" t="s">
        <v>923</v>
      </c>
      <c r="D10485" t="s">
        <v>3063</v>
      </c>
      <c r="E10485" t="s">
        <v>3053</v>
      </c>
      <c r="F10485" t="s">
        <v>284</v>
      </c>
      <c r="G10485" t="s">
        <v>3040</v>
      </c>
      <c r="H10485" t="s">
        <v>13491</v>
      </c>
      <c r="I10485">
        <v>5</v>
      </c>
      <c r="J10485">
        <v>5</v>
      </c>
      <c r="K10485">
        <v>0</v>
      </c>
      <c r="L10485">
        <v>0</v>
      </c>
      <c r="M10485">
        <v>0</v>
      </c>
      <c r="N10485">
        <v>0</v>
      </c>
      <c r="O10485">
        <v>0</v>
      </c>
    </row>
    <row r="10486" spans="1:15" x14ac:dyDescent="0.25">
      <c r="A10486" t="s">
        <v>1300</v>
      </c>
      <c r="B10486" t="s">
        <v>2644</v>
      </c>
      <c r="C10486" t="s">
        <v>927</v>
      </c>
      <c r="D10486" t="s">
        <v>3052</v>
      </c>
      <c r="E10486" t="s">
        <v>3053</v>
      </c>
      <c r="F10486" t="s">
        <v>284</v>
      </c>
      <c r="G10486" t="s">
        <v>3040</v>
      </c>
      <c r="H10486" t="s">
        <v>13495</v>
      </c>
      <c r="I10486">
        <v>29</v>
      </c>
      <c r="J10486">
        <v>29</v>
      </c>
      <c r="K10486">
        <v>0</v>
      </c>
      <c r="L10486">
        <v>0</v>
      </c>
      <c r="M10486">
        <v>0</v>
      </c>
      <c r="N10486">
        <v>0</v>
      </c>
      <c r="O10486">
        <v>0</v>
      </c>
    </row>
    <row r="10487" spans="1:15" x14ac:dyDescent="0.25">
      <c r="A10487" t="s">
        <v>10685</v>
      </c>
      <c r="B10487" t="s">
        <v>10684</v>
      </c>
      <c r="C10487" t="s">
        <v>923</v>
      </c>
      <c r="D10487" t="s">
        <v>3063</v>
      </c>
      <c r="E10487" t="s">
        <v>3053</v>
      </c>
      <c r="F10487" t="s">
        <v>284</v>
      </c>
      <c r="G10487" t="s">
        <v>3040</v>
      </c>
      <c r="H10487" t="s">
        <v>13497</v>
      </c>
      <c r="I10487">
        <v>28</v>
      </c>
      <c r="J10487">
        <v>28</v>
      </c>
      <c r="K10487">
        <v>0</v>
      </c>
      <c r="L10487">
        <v>0</v>
      </c>
      <c r="M10487">
        <v>0</v>
      </c>
      <c r="N10487">
        <v>0</v>
      </c>
      <c r="O10487">
        <v>0</v>
      </c>
    </row>
    <row r="10488" spans="1:15" x14ac:dyDescent="0.25">
      <c r="A10488" t="s">
        <v>10687</v>
      </c>
      <c r="B10488" t="s">
        <v>10686</v>
      </c>
      <c r="C10488" t="s">
        <v>923</v>
      </c>
      <c r="D10488" t="s">
        <v>3063</v>
      </c>
      <c r="E10488" t="s">
        <v>3053</v>
      </c>
      <c r="F10488" t="s">
        <v>284</v>
      </c>
      <c r="G10488" t="s">
        <v>3040</v>
      </c>
      <c r="H10488" t="s">
        <v>15537</v>
      </c>
      <c r="I10488">
        <v>358</v>
      </c>
      <c r="J10488">
        <v>358</v>
      </c>
      <c r="K10488">
        <v>0</v>
      </c>
      <c r="L10488">
        <v>0</v>
      </c>
      <c r="M10488">
        <v>0</v>
      </c>
      <c r="N10488">
        <v>0</v>
      </c>
      <c r="O10488">
        <v>0</v>
      </c>
    </row>
    <row r="10489" spans="1:15" x14ac:dyDescent="0.25">
      <c r="A10489" t="s">
        <v>1301</v>
      </c>
      <c r="B10489" t="s">
        <v>2476</v>
      </c>
      <c r="C10489" t="s">
        <v>923</v>
      </c>
      <c r="D10489" t="s">
        <v>3063</v>
      </c>
      <c r="E10489" t="s">
        <v>3053</v>
      </c>
      <c r="F10489" t="s">
        <v>284</v>
      </c>
      <c r="G10489" t="s">
        <v>3040</v>
      </c>
      <c r="H10489" t="s">
        <v>13505</v>
      </c>
      <c r="I10489">
        <v>56</v>
      </c>
      <c r="J10489">
        <v>56</v>
      </c>
      <c r="K10489">
        <v>0</v>
      </c>
      <c r="L10489">
        <v>0</v>
      </c>
      <c r="M10489">
        <v>0</v>
      </c>
      <c r="N10489">
        <v>0</v>
      </c>
      <c r="O10489">
        <v>0</v>
      </c>
    </row>
    <row r="10490" spans="1:15" x14ac:dyDescent="0.25">
      <c r="A10490" t="s">
        <v>1033</v>
      </c>
      <c r="B10490" t="s">
        <v>2039</v>
      </c>
      <c r="C10490" t="s">
        <v>923</v>
      </c>
      <c r="D10490" t="s">
        <v>3063</v>
      </c>
      <c r="E10490" t="s">
        <v>3053</v>
      </c>
      <c r="F10490" t="s">
        <v>284</v>
      </c>
      <c r="G10490" t="s">
        <v>3040</v>
      </c>
      <c r="H10490" t="s">
        <v>13513</v>
      </c>
      <c r="I10490">
        <v>39</v>
      </c>
      <c r="J10490">
        <v>0</v>
      </c>
      <c r="K10490">
        <v>0</v>
      </c>
      <c r="L10490">
        <v>39</v>
      </c>
      <c r="M10490">
        <v>0</v>
      </c>
      <c r="N10490">
        <v>0</v>
      </c>
      <c r="O10490">
        <v>0</v>
      </c>
    </row>
    <row r="10491" spans="1:15" x14ac:dyDescent="0.25">
      <c r="A10491" t="s">
        <v>1302</v>
      </c>
      <c r="B10491" t="s">
        <v>1961</v>
      </c>
      <c r="C10491" t="s">
        <v>923</v>
      </c>
      <c r="D10491" t="s">
        <v>3063</v>
      </c>
      <c r="E10491" t="s">
        <v>3053</v>
      </c>
      <c r="F10491" t="s">
        <v>284</v>
      </c>
      <c r="G10491" t="s">
        <v>3040</v>
      </c>
      <c r="H10491" t="s">
        <v>13518</v>
      </c>
      <c r="I10491">
        <v>9</v>
      </c>
      <c r="J10491">
        <v>0</v>
      </c>
      <c r="K10491">
        <v>0</v>
      </c>
      <c r="L10491">
        <v>9</v>
      </c>
      <c r="M10491">
        <v>0</v>
      </c>
      <c r="N10491">
        <v>0</v>
      </c>
      <c r="O10491">
        <v>0</v>
      </c>
    </row>
    <row r="10492" spans="1:15" x14ac:dyDescent="0.25">
      <c r="A10492" t="s">
        <v>1303</v>
      </c>
      <c r="B10492" t="s">
        <v>2381</v>
      </c>
      <c r="C10492" t="s">
        <v>923</v>
      </c>
      <c r="D10492" t="s">
        <v>3063</v>
      </c>
      <c r="E10492" t="s">
        <v>3053</v>
      </c>
      <c r="F10492" t="s">
        <v>284</v>
      </c>
      <c r="G10492" t="s">
        <v>3040</v>
      </c>
      <c r="H10492" t="s">
        <v>13527</v>
      </c>
      <c r="I10492">
        <v>82</v>
      </c>
      <c r="J10492">
        <v>82</v>
      </c>
      <c r="K10492">
        <v>0</v>
      </c>
      <c r="L10492">
        <v>0</v>
      </c>
      <c r="M10492">
        <v>0</v>
      </c>
      <c r="N10492">
        <v>0</v>
      </c>
      <c r="O10492">
        <v>0</v>
      </c>
    </row>
    <row r="10493" spans="1:15" x14ac:dyDescent="0.25">
      <c r="A10493" t="s">
        <v>1304</v>
      </c>
      <c r="B10493" t="s">
        <v>2451</v>
      </c>
      <c r="C10493" t="s">
        <v>923</v>
      </c>
      <c r="D10493" t="s">
        <v>3063</v>
      </c>
      <c r="E10493" t="s">
        <v>3053</v>
      </c>
      <c r="F10493" t="s">
        <v>284</v>
      </c>
      <c r="G10493" t="s">
        <v>3040</v>
      </c>
      <c r="H10493" t="s">
        <v>13528</v>
      </c>
      <c r="I10493">
        <v>27</v>
      </c>
      <c r="J10493">
        <v>0</v>
      </c>
      <c r="K10493">
        <v>0</v>
      </c>
      <c r="L10493">
        <v>0</v>
      </c>
      <c r="M10493">
        <v>27</v>
      </c>
      <c r="N10493">
        <v>0</v>
      </c>
      <c r="O10493">
        <v>0</v>
      </c>
    </row>
    <row r="10494" spans="1:15" x14ac:dyDescent="0.25">
      <c r="A10494" t="s">
        <v>1305</v>
      </c>
      <c r="B10494" t="s">
        <v>2992</v>
      </c>
      <c r="C10494" t="s">
        <v>923</v>
      </c>
      <c r="D10494" t="s">
        <v>3063</v>
      </c>
      <c r="E10494" t="s">
        <v>3053</v>
      </c>
      <c r="F10494" t="s">
        <v>284</v>
      </c>
      <c r="G10494" t="s">
        <v>3040</v>
      </c>
      <c r="H10494" t="s">
        <v>13530</v>
      </c>
      <c r="I10494">
        <v>496</v>
      </c>
      <c r="J10494">
        <v>443</v>
      </c>
      <c r="K10494">
        <v>0</v>
      </c>
      <c r="L10494">
        <v>0</v>
      </c>
      <c r="M10494">
        <v>53</v>
      </c>
      <c r="N10494">
        <v>5</v>
      </c>
      <c r="O10494">
        <v>0</v>
      </c>
    </row>
    <row r="10495" spans="1:15" x14ac:dyDescent="0.25">
      <c r="A10495" t="s">
        <v>1131</v>
      </c>
      <c r="B10495" t="s">
        <v>2637</v>
      </c>
      <c r="C10495" t="s">
        <v>927</v>
      </c>
      <c r="D10495" t="s">
        <v>3052</v>
      </c>
      <c r="E10495" t="s">
        <v>3053</v>
      </c>
      <c r="F10495" t="s">
        <v>284</v>
      </c>
      <c r="G10495" t="s">
        <v>3040</v>
      </c>
      <c r="H10495" t="s">
        <v>13534</v>
      </c>
      <c r="I10495">
        <v>7267</v>
      </c>
      <c r="J10495">
        <v>5192</v>
      </c>
      <c r="K10495">
        <v>268</v>
      </c>
      <c r="L10495">
        <v>387</v>
      </c>
      <c r="M10495">
        <v>193</v>
      </c>
      <c r="N10495">
        <v>2</v>
      </c>
      <c r="O10495">
        <v>1227</v>
      </c>
    </row>
    <row r="10496" spans="1:15" x14ac:dyDescent="0.25">
      <c r="A10496" t="s">
        <v>1306</v>
      </c>
      <c r="B10496" t="s">
        <v>2412</v>
      </c>
      <c r="C10496" t="s">
        <v>923</v>
      </c>
      <c r="D10496" t="s">
        <v>3063</v>
      </c>
      <c r="E10496" t="s">
        <v>3053</v>
      </c>
      <c r="F10496" t="s">
        <v>284</v>
      </c>
      <c r="G10496" t="s">
        <v>3040</v>
      </c>
      <c r="H10496" t="s">
        <v>13536</v>
      </c>
      <c r="I10496">
        <v>106</v>
      </c>
      <c r="J10496">
        <v>106</v>
      </c>
      <c r="K10496">
        <v>0</v>
      </c>
      <c r="L10496">
        <v>0</v>
      </c>
      <c r="M10496">
        <v>0</v>
      </c>
      <c r="N10496">
        <v>0</v>
      </c>
      <c r="O10496">
        <v>0</v>
      </c>
    </row>
    <row r="10497" spans="1:15" x14ac:dyDescent="0.25">
      <c r="A10497" t="s">
        <v>1307</v>
      </c>
      <c r="B10497" t="s">
        <v>2982</v>
      </c>
      <c r="C10497" t="s">
        <v>927</v>
      </c>
      <c r="D10497" t="s">
        <v>3052</v>
      </c>
      <c r="E10497" t="s">
        <v>3053</v>
      </c>
      <c r="F10497" t="s">
        <v>284</v>
      </c>
      <c r="G10497" t="s">
        <v>3040</v>
      </c>
      <c r="H10497" t="s">
        <v>13539</v>
      </c>
      <c r="I10497">
        <v>1067</v>
      </c>
      <c r="J10497">
        <v>986</v>
      </c>
      <c r="K10497">
        <v>0</v>
      </c>
      <c r="L10497">
        <v>0</v>
      </c>
      <c r="M10497">
        <v>0</v>
      </c>
      <c r="N10497">
        <v>0</v>
      </c>
      <c r="O10497">
        <v>81</v>
      </c>
    </row>
    <row r="10498" spans="1:15" x14ac:dyDescent="0.25">
      <c r="A10498" t="s">
        <v>1308</v>
      </c>
      <c r="B10498" t="s">
        <v>2462</v>
      </c>
      <c r="C10498" t="s">
        <v>923</v>
      </c>
      <c r="D10498" t="s">
        <v>3063</v>
      </c>
      <c r="E10498" t="s">
        <v>3053</v>
      </c>
      <c r="F10498" t="s">
        <v>284</v>
      </c>
      <c r="G10498" t="s">
        <v>3040</v>
      </c>
      <c r="H10498" t="s">
        <v>13548</v>
      </c>
      <c r="I10498">
        <v>17</v>
      </c>
      <c r="J10498">
        <v>17</v>
      </c>
      <c r="K10498">
        <v>0</v>
      </c>
      <c r="L10498">
        <v>0</v>
      </c>
      <c r="M10498">
        <v>0</v>
      </c>
      <c r="N10498">
        <v>0</v>
      </c>
      <c r="O10498">
        <v>0</v>
      </c>
    </row>
    <row r="10499" spans="1:15" x14ac:dyDescent="0.25">
      <c r="A10499" t="s">
        <v>1134</v>
      </c>
      <c r="B10499" t="s">
        <v>2118</v>
      </c>
      <c r="C10499" t="s">
        <v>927</v>
      </c>
      <c r="D10499" t="s">
        <v>3052</v>
      </c>
      <c r="E10499" t="s">
        <v>3053</v>
      </c>
      <c r="F10499" t="s">
        <v>284</v>
      </c>
      <c r="G10499" t="s">
        <v>3040</v>
      </c>
      <c r="H10499" t="s">
        <v>13550</v>
      </c>
      <c r="I10499">
        <v>39413</v>
      </c>
      <c r="J10499">
        <v>33488</v>
      </c>
      <c r="K10499">
        <v>6</v>
      </c>
      <c r="L10499">
        <v>2210</v>
      </c>
      <c r="M10499">
        <v>1128</v>
      </c>
      <c r="N10499">
        <v>182</v>
      </c>
      <c r="O10499">
        <v>2581</v>
      </c>
    </row>
    <row r="10500" spans="1:15" x14ac:dyDescent="0.25">
      <c r="A10500" t="s">
        <v>949</v>
      </c>
      <c r="B10500" t="s">
        <v>3035</v>
      </c>
      <c r="C10500" t="s">
        <v>927</v>
      </c>
      <c r="D10500" t="s">
        <v>3052</v>
      </c>
      <c r="E10500" t="s">
        <v>3053</v>
      </c>
      <c r="F10500" t="s">
        <v>284</v>
      </c>
      <c r="G10500" t="s">
        <v>3040</v>
      </c>
      <c r="H10500" t="s">
        <v>13553</v>
      </c>
      <c r="I10500">
        <v>4999</v>
      </c>
      <c r="J10500">
        <v>21</v>
      </c>
      <c r="K10500">
        <v>0</v>
      </c>
      <c r="L10500">
        <v>0</v>
      </c>
      <c r="M10500">
        <v>0</v>
      </c>
      <c r="N10500">
        <v>0</v>
      </c>
      <c r="O10500">
        <v>4978</v>
      </c>
    </row>
    <row r="10501" spans="1:15" x14ac:dyDescent="0.25">
      <c r="A10501" t="s">
        <v>1135</v>
      </c>
      <c r="B10501" t="s">
        <v>1996</v>
      </c>
      <c r="C10501" t="s">
        <v>923</v>
      </c>
      <c r="D10501" t="s">
        <v>3063</v>
      </c>
      <c r="E10501" t="s">
        <v>3053</v>
      </c>
      <c r="F10501" t="s">
        <v>284</v>
      </c>
      <c r="G10501" t="s">
        <v>3040</v>
      </c>
      <c r="H10501" t="s">
        <v>13562</v>
      </c>
      <c r="I10501">
        <v>122</v>
      </c>
      <c r="J10501">
        <v>101</v>
      </c>
      <c r="K10501">
        <v>0</v>
      </c>
      <c r="L10501">
        <v>0</v>
      </c>
      <c r="M10501">
        <v>21</v>
      </c>
      <c r="N10501">
        <v>0</v>
      </c>
      <c r="O10501">
        <v>0</v>
      </c>
    </row>
    <row r="10502" spans="1:15" x14ac:dyDescent="0.25">
      <c r="A10502" t="s">
        <v>1309</v>
      </c>
      <c r="B10502" t="s">
        <v>2690</v>
      </c>
      <c r="C10502" t="s">
        <v>927</v>
      </c>
      <c r="D10502" t="s">
        <v>3052</v>
      </c>
      <c r="E10502" t="s">
        <v>3053</v>
      </c>
      <c r="F10502" t="s">
        <v>284</v>
      </c>
      <c r="G10502" t="s">
        <v>3040</v>
      </c>
      <c r="H10502" t="s">
        <v>13569</v>
      </c>
      <c r="I10502">
        <v>4966</v>
      </c>
      <c r="J10502">
        <v>3835</v>
      </c>
      <c r="K10502">
        <v>165</v>
      </c>
      <c r="L10502">
        <v>246</v>
      </c>
      <c r="M10502">
        <v>207</v>
      </c>
      <c r="N10502">
        <v>38</v>
      </c>
      <c r="O10502">
        <v>513</v>
      </c>
    </row>
    <row r="10503" spans="1:15" x14ac:dyDescent="0.25">
      <c r="A10503" t="s">
        <v>1310</v>
      </c>
      <c r="B10503" t="s">
        <v>2807</v>
      </c>
      <c r="C10503" t="s">
        <v>923</v>
      </c>
      <c r="D10503" t="s">
        <v>3063</v>
      </c>
      <c r="E10503" t="s">
        <v>3053</v>
      </c>
      <c r="F10503" t="s">
        <v>284</v>
      </c>
      <c r="G10503" t="s">
        <v>3040</v>
      </c>
      <c r="H10503" t="s">
        <v>13570</v>
      </c>
      <c r="I10503">
        <v>165</v>
      </c>
      <c r="J10503">
        <v>165</v>
      </c>
      <c r="K10503">
        <v>0</v>
      </c>
      <c r="L10503">
        <v>0</v>
      </c>
      <c r="M10503">
        <v>0</v>
      </c>
      <c r="N10503">
        <v>0</v>
      </c>
      <c r="O10503">
        <v>0</v>
      </c>
    </row>
    <row r="10504" spans="1:15" x14ac:dyDescent="0.25">
      <c r="A10504" t="s">
        <v>9806</v>
      </c>
      <c r="B10504" t="s">
        <v>2772</v>
      </c>
      <c r="C10504" t="s">
        <v>923</v>
      </c>
      <c r="D10504" t="s">
        <v>3063</v>
      </c>
      <c r="E10504" t="s">
        <v>3053</v>
      </c>
      <c r="F10504" t="s">
        <v>284</v>
      </c>
      <c r="G10504" t="s">
        <v>3040</v>
      </c>
      <c r="H10504" t="s">
        <v>13574</v>
      </c>
      <c r="I10504">
        <v>53</v>
      </c>
      <c r="J10504">
        <v>53</v>
      </c>
      <c r="K10504">
        <v>0</v>
      </c>
      <c r="L10504">
        <v>0</v>
      </c>
      <c r="M10504">
        <v>0</v>
      </c>
      <c r="N10504">
        <v>0</v>
      </c>
      <c r="O10504">
        <v>0</v>
      </c>
    </row>
    <row r="10505" spans="1:15" x14ac:dyDescent="0.25">
      <c r="A10505" t="s">
        <v>1311</v>
      </c>
      <c r="B10505" t="s">
        <v>2493</v>
      </c>
      <c r="C10505" t="s">
        <v>923</v>
      </c>
      <c r="D10505" t="s">
        <v>3063</v>
      </c>
      <c r="E10505" t="s">
        <v>3053</v>
      </c>
      <c r="F10505" t="s">
        <v>284</v>
      </c>
      <c r="G10505" t="s">
        <v>3040</v>
      </c>
      <c r="H10505" t="s">
        <v>13577</v>
      </c>
      <c r="I10505">
        <v>20</v>
      </c>
      <c r="J10505">
        <v>20</v>
      </c>
      <c r="K10505">
        <v>0</v>
      </c>
      <c r="L10505">
        <v>0</v>
      </c>
      <c r="M10505">
        <v>0</v>
      </c>
      <c r="N10505">
        <v>0</v>
      </c>
      <c r="O10505">
        <v>0</v>
      </c>
    </row>
    <row r="10506" spans="1:15" x14ac:dyDescent="0.25">
      <c r="A10506" t="s">
        <v>1136</v>
      </c>
      <c r="B10506" t="s">
        <v>1942</v>
      </c>
      <c r="C10506" t="s">
        <v>923</v>
      </c>
      <c r="D10506" t="s">
        <v>3063</v>
      </c>
      <c r="E10506" t="s">
        <v>3053</v>
      </c>
      <c r="F10506" t="s">
        <v>284</v>
      </c>
      <c r="G10506" t="s">
        <v>3040</v>
      </c>
      <c r="H10506" t="s">
        <v>13579</v>
      </c>
      <c r="I10506">
        <v>135</v>
      </c>
      <c r="J10506">
        <v>135</v>
      </c>
      <c r="K10506">
        <v>0</v>
      </c>
      <c r="L10506">
        <v>0</v>
      </c>
      <c r="M10506">
        <v>0</v>
      </c>
      <c r="N10506">
        <v>0</v>
      </c>
      <c r="O10506">
        <v>0</v>
      </c>
    </row>
    <row r="10507" spans="1:15" x14ac:dyDescent="0.25">
      <c r="A10507" t="s">
        <v>1041</v>
      </c>
      <c r="B10507" t="s">
        <v>2826</v>
      </c>
      <c r="C10507" t="s">
        <v>927</v>
      </c>
      <c r="D10507" t="s">
        <v>3052</v>
      </c>
      <c r="E10507" t="s">
        <v>3053</v>
      </c>
      <c r="F10507" t="s">
        <v>284</v>
      </c>
      <c r="G10507" t="s">
        <v>3040</v>
      </c>
      <c r="H10507" t="s">
        <v>13592</v>
      </c>
      <c r="I10507">
        <v>525</v>
      </c>
      <c r="J10507">
        <v>0</v>
      </c>
      <c r="K10507">
        <v>0</v>
      </c>
      <c r="L10507">
        <v>0</v>
      </c>
      <c r="M10507">
        <v>0</v>
      </c>
      <c r="N10507">
        <v>0</v>
      </c>
      <c r="O10507">
        <v>525</v>
      </c>
    </row>
    <row r="10508" spans="1:15" x14ac:dyDescent="0.25">
      <c r="A10508" t="s">
        <v>9787</v>
      </c>
      <c r="B10508" t="s">
        <v>2822</v>
      </c>
      <c r="C10508" t="s">
        <v>927</v>
      </c>
      <c r="D10508" t="s">
        <v>3052</v>
      </c>
      <c r="E10508" t="s">
        <v>3053</v>
      </c>
      <c r="F10508" t="s">
        <v>284</v>
      </c>
      <c r="G10508" t="s">
        <v>3040</v>
      </c>
      <c r="H10508" t="s">
        <v>13597</v>
      </c>
      <c r="I10508">
        <v>4553</v>
      </c>
      <c r="J10508">
        <v>4299</v>
      </c>
      <c r="K10508">
        <v>0</v>
      </c>
      <c r="L10508">
        <v>19</v>
      </c>
      <c r="M10508">
        <v>231</v>
      </c>
      <c r="N10508">
        <v>8</v>
      </c>
      <c r="O10508">
        <v>4</v>
      </c>
    </row>
    <row r="10509" spans="1:15" x14ac:dyDescent="0.25">
      <c r="A10509" t="s">
        <v>1312</v>
      </c>
      <c r="B10509" t="s">
        <v>2734</v>
      </c>
      <c r="C10509" t="s">
        <v>923</v>
      </c>
      <c r="D10509" t="s">
        <v>3063</v>
      </c>
      <c r="E10509" t="s">
        <v>3053</v>
      </c>
      <c r="F10509" t="s">
        <v>284</v>
      </c>
      <c r="G10509" t="s">
        <v>3040</v>
      </c>
      <c r="H10509" t="s">
        <v>13601</v>
      </c>
      <c r="I10509">
        <v>61</v>
      </c>
      <c r="J10509">
        <v>0</v>
      </c>
      <c r="K10509">
        <v>0</v>
      </c>
      <c r="L10509">
        <v>61</v>
      </c>
      <c r="M10509">
        <v>0</v>
      </c>
      <c r="N10509">
        <v>0</v>
      </c>
      <c r="O10509">
        <v>0</v>
      </c>
    </row>
    <row r="10510" spans="1:15" x14ac:dyDescent="0.25">
      <c r="A10510" t="s">
        <v>1139</v>
      </c>
      <c r="B10510" t="s">
        <v>2025</v>
      </c>
      <c r="C10510" t="s">
        <v>923</v>
      </c>
      <c r="D10510" t="s">
        <v>3063</v>
      </c>
      <c r="E10510" t="s">
        <v>3053</v>
      </c>
      <c r="F10510" t="s">
        <v>284</v>
      </c>
      <c r="G10510" t="s">
        <v>3040</v>
      </c>
      <c r="H10510" t="s">
        <v>13603</v>
      </c>
      <c r="I10510">
        <v>493</v>
      </c>
      <c r="J10510">
        <v>478</v>
      </c>
      <c r="K10510">
        <v>0</v>
      </c>
      <c r="L10510">
        <v>15</v>
      </c>
      <c r="M10510">
        <v>0</v>
      </c>
      <c r="N10510">
        <v>19</v>
      </c>
      <c r="O10510">
        <v>0</v>
      </c>
    </row>
    <row r="10511" spans="1:15" x14ac:dyDescent="0.25">
      <c r="A10511" t="s">
        <v>1140</v>
      </c>
      <c r="B10511" t="s">
        <v>2697</v>
      </c>
      <c r="C10511" t="s">
        <v>927</v>
      </c>
      <c r="D10511" t="s">
        <v>3052</v>
      </c>
      <c r="E10511" t="s">
        <v>3053</v>
      </c>
      <c r="F10511" t="s">
        <v>284</v>
      </c>
      <c r="G10511" t="s">
        <v>3040</v>
      </c>
      <c r="H10511" t="s">
        <v>13605</v>
      </c>
      <c r="I10511">
        <v>4456</v>
      </c>
      <c r="J10511">
        <v>3150</v>
      </c>
      <c r="K10511">
        <v>362</v>
      </c>
      <c r="L10511">
        <v>188</v>
      </c>
      <c r="M10511">
        <v>233</v>
      </c>
      <c r="N10511">
        <v>128</v>
      </c>
      <c r="O10511">
        <v>523</v>
      </c>
    </row>
    <row r="10512" spans="1:15" x14ac:dyDescent="0.25">
      <c r="A10512" t="s">
        <v>1313</v>
      </c>
      <c r="B10512" t="s">
        <v>2959</v>
      </c>
      <c r="C10512" t="s">
        <v>923</v>
      </c>
      <c r="D10512" t="s">
        <v>3063</v>
      </c>
      <c r="E10512" t="s">
        <v>3053</v>
      </c>
      <c r="F10512" t="s">
        <v>284</v>
      </c>
      <c r="G10512" t="s">
        <v>3040</v>
      </c>
      <c r="H10512" t="s">
        <v>13609</v>
      </c>
      <c r="I10512">
        <v>11</v>
      </c>
      <c r="J10512">
        <v>0</v>
      </c>
      <c r="K10512">
        <v>0</v>
      </c>
      <c r="L10512">
        <v>3</v>
      </c>
      <c r="M10512">
        <v>8</v>
      </c>
      <c r="N10512">
        <v>0</v>
      </c>
      <c r="O10512">
        <v>0</v>
      </c>
    </row>
    <row r="10513" spans="1:15" x14ac:dyDescent="0.25">
      <c r="A10513" t="s">
        <v>9807</v>
      </c>
      <c r="B10513" t="s">
        <v>9867</v>
      </c>
      <c r="C10513" t="s">
        <v>923</v>
      </c>
      <c r="D10513" t="s">
        <v>3063</v>
      </c>
      <c r="E10513" t="s">
        <v>3053</v>
      </c>
      <c r="F10513" t="s">
        <v>284</v>
      </c>
      <c r="G10513" t="s">
        <v>3040</v>
      </c>
      <c r="H10513" t="s">
        <v>13610</v>
      </c>
      <c r="I10513">
        <v>1</v>
      </c>
      <c r="J10513">
        <v>1</v>
      </c>
      <c r="K10513">
        <v>0</v>
      </c>
      <c r="L10513">
        <v>0</v>
      </c>
      <c r="M10513">
        <v>0</v>
      </c>
      <c r="N10513">
        <v>0</v>
      </c>
      <c r="O10513">
        <v>0</v>
      </c>
    </row>
    <row r="10514" spans="1:15" x14ac:dyDescent="0.25">
      <c r="A10514" t="s">
        <v>1042</v>
      </c>
      <c r="B10514" t="s">
        <v>2115</v>
      </c>
      <c r="C10514" t="s">
        <v>923</v>
      </c>
      <c r="D10514" t="s">
        <v>3063</v>
      </c>
      <c r="E10514" t="s">
        <v>3053</v>
      </c>
      <c r="F10514" t="s">
        <v>284</v>
      </c>
      <c r="G10514" t="s">
        <v>3040</v>
      </c>
      <c r="H10514" t="s">
        <v>15538</v>
      </c>
      <c r="I10514">
        <v>6</v>
      </c>
      <c r="J10514">
        <v>0</v>
      </c>
      <c r="K10514">
        <v>0</v>
      </c>
      <c r="L10514">
        <v>6</v>
      </c>
      <c r="M10514">
        <v>0</v>
      </c>
      <c r="N10514">
        <v>0</v>
      </c>
      <c r="O10514">
        <v>0</v>
      </c>
    </row>
    <row r="10515" spans="1:15" x14ac:dyDescent="0.25">
      <c r="A10515" t="s">
        <v>1314</v>
      </c>
      <c r="B10515" t="s">
        <v>2516</v>
      </c>
      <c r="C10515" t="s">
        <v>923</v>
      </c>
      <c r="D10515" t="s">
        <v>3063</v>
      </c>
      <c r="E10515" t="s">
        <v>3053</v>
      </c>
      <c r="F10515" t="s">
        <v>284</v>
      </c>
      <c r="G10515" t="s">
        <v>3040</v>
      </c>
      <c r="H10515" t="s">
        <v>13616</v>
      </c>
      <c r="I10515">
        <v>27</v>
      </c>
      <c r="J10515">
        <v>27</v>
      </c>
      <c r="K10515">
        <v>0</v>
      </c>
      <c r="L10515">
        <v>0</v>
      </c>
      <c r="M10515">
        <v>0</v>
      </c>
      <c r="N10515">
        <v>0</v>
      </c>
      <c r="O10515">
        <v>0</v>
      </c>
    </row>
    <row r="10516" spans="1:15" x14ac:dyDescent="0.25">
      <c r="A10516" t="s">
        <v>1315</v>
      </c>
      <c r="B10516" t="s">
        <v>2481</v>
      </c>
      <c r="C10516" t="s">
        <v>923</v>
      </c>
      <c r="D10516" t="s">
        <v>3063</v>
      </c>
      <c r="E10516" t="s">
        <v>3053</v>
      </c>
      <c r="F10516" t="s">
        <v>284</v>
      </c>
      <c r="G10516" t="s">
        <v>3040</v>
      </c>
      <c r="H10516" t="s">
        <v>13617</v>
      </c>
      <c r="I10516">
        <v>49</v>
      </c>
      <c r="J10516">
        <v>49</v>
      </c>
      <c r="K10516">
        <v>0</v>
      </c>
      <c r="L10516">
        <v>0</v>
      </c>
      <c r="M10516">
        <v>0</v>
      </c>
      <c r="N10516">
        <v>0</v>
      </c>
      <c r="O10516">
        <v>0</v>
      </c>
    </row>
    <row r="10517" spans="1:15" x14ac:dyDescent="0.25">
      <c r="A10517" t="s">
        <v>1142</v>
      </c>
      <c r="B10517" t="s">
        <v>3003</v>
      </c>
      <c r="C10517" t="s">
        <v>927</v>
      </c>
      <c r="D10517" t="s">
        <v>3052</v>
      </c>
      <c r="E10517" t="s">
        <v>3053</v>
      </c>
      <c r="F10517" t="s">
        <v>284</v>
      </c>
      <c r="G10517" t="s">
        <v>3040</v>
      </c>
      <c r="H10517" t="s">
        <v>13619</v>
      </c>
      <c r="I10517">
        <v>826</v>
      </c>
      <c r="J10517">
        <v>723</v>
      </c>
      <c r="K10517">
        <v>0</v>
      </c>
      <c r="L10517">
        <v>0</v>
      </c>
      <c r="M10517">
        <v>0</v>
      </c>
      <c r="N10517">
        <v>7</v>
      </c>
      <c r="O10517">
        <v>103</v>
      </c>
    </row>
    <row r="10518" spans="1:15" x14ac:dyDescent="0.25">
      <c r="A10518" t="s">
        <v>1043</v>
      </c>
      <c r="B10518" t="s">
        <v>2090</v>
      </c>
      <c r="C10518" t="s">
        <v>927</v>
      </c>
      <c r="D10518" t="s">
        <v>3052</v>
      </c>
      <c r="E10518" t="s">
        <v>3053</v>
      </c>
      <c r="F10518" t="s">
        <v>284</v>
      </c>
      <c r="G10518" t="s">
        <v>3040</v>
      </c>
      <c r="H10518" t="s">
        <v>13624</v>
      </c>
      <c r="I10518">
        <v>7902</v>
      </c>
      <c r="J10518">
        <v>5673</v>
      </c>
      <c r="K10518">
        <v>0</v>
      </c>
      <c r="L10518">
        <v>247</v>
      </c>
      <c r="M10518">
        <v>887</v>
      </c>
      <c r="N10518">
        <v>0</v>
      </c>
      <c r="O10518">
        <v>1095</v>
      </c>
    </row>
    <row r="10519" spans="1:15" x14ac:dyDescent="0.25">
      <c r="A10519" t="s">
        <v>1044</v>
      </c>
      <c r="B10519" t="s">
        <v>2000</v>
      </c>
      <c r="C10519" t="s">
        <v>923</v>
      </c>
      <c r="D10519" t="s">
        <v>3063</v>
      </c>
      <c r="E10519" t="s">
        <v>3053</v>
      </c>
      <c r="F10519" t="s">
        <v>284</v>
      </c>
      <c r="G10519" t="s">
        <v>3040</v>
      </c>
      <c r="H10519" t="s">
        <v>13630</v>
      </c>
      <c r="I10519">
        <v>139</v>
      </c>
      <c r="J10519">
        <v>0</v>
      </c>
      <c r="K10519">
        <v>0</v>
      </c>
      <c r="L10519">
        <v>139</v>
      </c>
      <c r="M10519">
        <v>0</v>
      </c>
      <c r="N10519">
        <v>0</v>
      </c>
      <c r="O10519">
        <v>0</v>
      </c>
    </row>
    <row r="10520" spans="1:15" x14ac:dyDescent="0.25">
      <c r="A10520" t="s">
        <v>1316</v>
      </c>
      <c r="B10520" t="s">
        <v>2477</v>
      </c>
      <c r="C10520" t="s">
        <v>923</v>
      </c>
      <c r="D10520" t="s">
        <v>3063</v>
      </c>
      <c r="E10520" t="s">
        <v>3053</v>
      </c>
      <c r="F10520" t="s">
        <v>284</v>
      </c>
      <c r="G10520" t="s">
        <v>3040</v>
      </c>
      <c r="H10520" t="s">
        <v>13635</v>
      </c>
      <c r="I10520">
        <v>25</v>
      </c>
      <c r="J10520">
        <v>25</v>
      </c>
      <c r="K10520">
        <v>0</v>
      </c>
      <c r="L10520">
        <v>0</v>
      </c>
      <c r="M10520">
        <v>0</v>
      </c>
      <c r="N10520">
        <v>0</v>
      </c>
      <c r="O10520">
        <v>0</v>
      </c>
    </row>
    <row r="10521" spans="1:15" x14ac:dyDescent="0.25">
      <c r="A10521" t="s">
        <v>1144</v>
      </c>
      <c r="B10521" t="s">
        <v>2124</v>
      </c>
      <c r="C10521" t="s">
        <v>923</v>
      </c>
      <c r="D10521" t="s">
        <v>3063</v>
      </c>
      <c r="E10521" t="s">
        <v>3053</v>
      </c>
      <c r="F10521" t="s">
        <v>284</v>
      </c>
      <c r="G10521" t="s">
        <v>3040</v>
      </c>
      <c r="H10521" t="s">
        <v>13638</v>
      </c>
      <c r="I10521">
        <v>22</v>
      </c>
      <c r="J10521">
        <v>22</v>
      </c>
      <c r="K10521">
        <v>0</v>
      </c>
      <c r="L10521">
        <v>0</v>
      </c>
      <c r="M10521">
        <v>0</v>
      </c>
      <c r="N10521">
        <v>0</v>
      </c>
      <c r="O10521">
        <v>0</v>
      </c>
    </row>
    <row r="10522" spans="1:15" x14ac:dyDescent="0.25">
      <c r="A10522" t="s">
        <v>9808</v>
      </c>
      <c r="B10522" t="s">
        <v>9868</v>
      </c>
      <c r="C10522" t="s">
        <v>923</v>
      </c>
      <c r="D10522" t="s">
        <v>3063</v>
      </c>
      <c r="E10522" t="s">
        <v>3053</v>
      </c>
      <c r="F10522" t="s">
        <v>284</v>
      </c>
      <c r="G10522" t="s">
        <v>3040</v>
      </c>
      <c r="H10522" t="s">
        <v>13647</v>
      </c>
      <c r="I10522">
        <v>57</v>
      </c>
      <c r="J10522">
        <v>1</v>
      </c>
      <c r="K10522">
        <v>0</v>
      </c>
      <c r="L10522">
        <v>56</v>
      </c>
      <c r="M10522">
        <v>0</v>
      </c>
      <c r="N10522">
        <v>0</v>
      </c>
      <c r="O10522">
        <v>0</v>
      </c>
    </row>
    <row r="10523" spans="1:15" x14ac:dyDescent="0.25">
      <c r="A10523" t="s">
        <v>1145</v>
      </c>
      <c r="B10523" t="s">
        <v>2814</v>
      </c>
      <c r="C10523" t="s">
        <v>923</v>
      </c>
      <c r="D10523" t="s">
        <v>3063</v>
      </c>
      <c r="E10523" t="s">
        <v>3053</v>
      </c>
      <c r="F10523" t="s">
        <v>284</v>
      </c>
      <c r="G10523" t="s">
        <v>3040</v>
      </c>
      <c r="H10523" t="s">
        <v>13649</v>
      </c>
      <c r="I10523">
        <v>148</v>
      </c>
      <c r="J10523">
        <v>148</v>
      </c>
      <c r="K10523">
        <v>0</v>
      </c>
      <c r="L10523">
        <v>0</v>
      </c>
      <c r="M10523">
        <v>0</v>
      </c>
      <c r="N10523">
        <v>0</v>
      </c>
      <c r="O10523">
        <v>0</v>
      </c>
    </row>
    <row r="10524" spans="1:15" x14ac:dyDescent="0.25">
      <c r="A10524" t="s">
        <v>1146</v>
      </c>
      <c r="B10524" t="s">
        <v>2117</v>
      </c>
      <c r="C10524" t="s">
        <v>927</v>
      </c>
      <c r="D10524" t="s">
        <v>3052</v>
      </c>
      <c r="E10524" t="s">
        <v>3053</v>
      </c>
      <c r="F10524" t="s">
        <v>284</v>
      </c>
      <c r="G10524" t="s">
        <v>3040</v>
      </c>
      <c r="H10524" t="s">
        <v>13651</v>
      </c>
      <c r="I10524">
        <v>61727</v>
      </c>
      <c r="J10524">
        <v>50839</v>
      </c>
      <c r="K10524">
        <v>536</v>
      </c>
      <c r="L10524">
        <v>2453</v>
      </c>
      <c r="M10524">
        <v>1474</v>
      </c>
      <c r="N10524">
        <v>123</v>
      </c>
      <c r="O10524">
        <v>6425</v>
      </c>
    </row>
    <row r="10525" spans="1:15" x14ac:dyDescent="0.25">
      <c r="A10525" t="s">
        <v>1317</v>
      </c>
      <c r="B10525" t="s">
        <v>2367</v>
      </c>
      <c r="C10525" t="s">
        <v>923</v>
      </c>
      <c r="D10525" t="s">
        <v>3063</v>
      </c>
      <c r="E10525" t="s">
        <v>3053</v>
      </c>
      <c r="F10525" t="s">
        <v>284</v>
      </c>
      <c r="G10525" t="s">
        <v>3040</v>
      </c>
      <c r="H10525" t="s">
        <v>13659</v>
      </c>
      <c r="I10525">
        <v>27</v>
      </c>
      <c r="J10525">
        <v>27</v>
      </c>
      <c r="K10525">
        <v>0</v>
      </c>
      <c r="L10525">
        <v>0</v>
      </c>
      <c r="M10525">
        <v>0</v>
      </c>
      <c r="N10525">
        <v>0</v>
      </c>
      <c r="O10525">
        <v>0</v>
      </c>
    </row>
    <row r="10526" spans="1:15" x14ac:dyDescent="0.25">
      <c r="A10526" t="s">
        <v>1318</v>
      </c>
      <c r="B10526" t="s">
        <v>2727</v>
      </c>
      <c r="C10526" t="s">
        <v>923</v>
      </c>
      <c r="D10526" t="s">
        <v>3063</v>
      </c>
      <c r="E10526" t="s">
        <v>3053</v>
      </c>
      <c r="F10526" t="s">
        <v>284</v>
      </c>
      <c r="G10526" t="s">
        <v>3040</v>
      </c>
      <c r="H10526" t="s">
        <v>13662</v>
      </c>
      <c r="I10526">
        <v>407</v>
      </c>
      <c r="J10526">
        <v>389</v>
      </c>
      <c r="K10526">
        <v>0</v>
      </c>
      <c r="L10526">
        <v>18</v>
      </c>
      <c r="M10526">
        <v>0</v>
      </c>
      <c r="N10526">
        <v>1</v>
      </c>
      <c r="O10526">
        <v>0</v>
      </c>
    </row>
    <row r="10527" spans="1:15" x14ac:dyDescent="0.25">
      <c r="A10527" t="s">
        <v>1319</v>
      </c>
      <c r="B10527" t="s">
        <v>2228</v>
      </c>
      <c r="C10527" t="s">
        <v>923</v>
      </c>
      <c r="D10527" t="s">
        <v>3063</v>
      </c>
      <c r="E10527" t="s">
        <v>3053</v>
      </c>
      <c r="F10527" t="s">
        <v>284</v>
      </c>
      <c r="G10527" t="s">
        <v>3040</v>
      </c>
      <c r="H10527" t="s">
        <v>13663</v>
      </c>
      <c r="I10527">
        <v>10</v>
      </c>
      <c r="J10527">
        <v>0</v>
      </c>
      <c r="K10527">
        <v>0</v>
      </c>
      <c r="L10527">
        <v>0</v>
      </c>
      <c r="M10527">
        <v>10</v>
      </c>
      <c r="N10527">
        <v>0</v>
      </c>
      <c r="O10527">
        <v>0</v>
      </c>
    </row>
    <row r="10528" spans="1:15" x14ac:dyDescent="0.25">
      <c r="A10528" t="s">
        <v>14388</v>
      </c>
      <c r="B10528" t="s">
        <v>2495</v>
      </c>
      <c r="C10528" t="s">
        <v>923</v>
      </c>
      <c r="D10528" t="s">
        <v>3063</v>
      </c>
      <c r="E10528" t="s">
        <v>3053</v>
      </c>
      <c r="F10528" t="s">
        <v>284</v>
      </c>
      <c r="G10528" t="s">
        <v>3040</v>
      </c>
      <c r="H10528" t="s">
        <v>15539</v>
      </c>
      <c r="I10528">
        <v>24</v>
      </c>
      <c r="J10528">
        <v>24</v>
      </c>
      <c r="K10528">
        <v>0</v>
      </c>
      <c r="L10528">
        <v>0</v>
      </c>
      <c r="M10528">
        <v>0</v>
      </c>
      <c r="N10528">
        <v>0</v>
      </c>
      <c r="O10528">
        <v>0</v>
      </c>
    </row>
    <row r="10529" spans="1:15" x14ac:dyDescent="0.25">
      <c r="A10529" t="s">
        <v>1320</v>
      </c>
      <c r="B10529" t="s">
        <v>2937</v>
      </c>
      <c r="C10529" t="s">
        <v>923</v>
      </c>
      <c r="D10529" t="s">
        <v>3063</v>
      </c>
      <c r="E10529" t="s">
        <v>3053</v>
      </c>
      <c r="F10529" t="s">
        <v>284</v>
      </c>
      <c r="G10529" t="s">
        <v>3040</v>
      </c>
      <c r="H10529" t="s">
        <v>13665</v>
      </c>
      <c r="I10529">
        <v>292</v>
      </c>
      <c r="J10529">
        <v>57</v>
      </c>
      <c r="K10529">
        <v>38</v>
      </c>
      <c r="L10529">
        <v>191</v>
      </c>
      <c r="M10529">
        <v>6</v>
      </c>
      <c r="N10529">
        <v>2</v>
      </c>
      <c r="O10529">
        <v>0</v>
      </c>
    </row>
    <row r="10530" spans="1:15" x14ac:dyDescent="0.25">
      <c r="A10530" t="s">
        <v>1321</v>
      </c>
      <c r="B10530" t="s">
        <v>2889</v>
      </c>
      <c r="C10530" t="s">
        <v>927</v>
      </c>
      <c r="D10530" t="s">
        <v>3052</v>
      </c>
      <c r="E10530" t="s">
        <v>3053</v>
      </c>
      <c r="F10530" t="s">
        <v>284</v>
      </c>
      <c r="G10530" t="s">
        <v>3040</v>
      </c>
      <c r="H10530" t="s">
        <v>13668</v>
      </c>
      <c r="I10530">
        <v>6467</v>
      </c>
      <c r="J10530">
        <v>6376</v>
      </c>
      <c r="K10530">
        <v>0</v>
      </c>
      <c r="L10530">
        <v>0</v>
      </c>
      <c r="M10530">
        <v>60</v>
      </c>
      <c r="N10530">
        <v>33</v>
      </c>
      <c r="O10530">
        <v>31</v>
      </c>
    </row>
    <row r="10531" spans="1:15" x14ac:dyDescent="0.25">
      <c r="A10531" t="s">
        <v>1322</v>
      </c>
      <c r="B10531" t="s">
        <v>2466</v>
      </c>
      <c r="C10531" t="s">
        <v>923</v>
      </c>
      <c r="D10531" t="s">
        <v>3063</v>
      </c>
      <c r="E10531" t="s">
        <v>3053</v>
      </c>
      <c r="F10531" t="s">
        <v>284</v>
      </c>
      <c r="G10531" t="s">
        <v>3040</v>
      </c>
      <c r="H10531" t="s">
        <v>13669</v>
      </c>
      <c r="I10531">
        <v>62</v>
      </c>
      <c r="J10531">
        <v>3</v>
      </c>
      <c r="K10531">
        <v>59</v>
      </c>
      <c r="L10531">
        <v>0</v>
      </c>
      <c r="M10531">
        <v>0</v>
      </c>
      <c r="N10531">
        <v>0</v>
      </c>
      <c r="O10531">
        <v>0</v>
      </c>
    </row>
    <row r="10532" spans="1:15" x14ac:dyDescent="0.25">
      <c r="A10532" t="s">
        <v>1323</v>
      </c>
      <c r="B10532" t="s">
        <v>2612</v>
      </c>
      <c r="C10532" t="s">
        <v>923</v>
      </c>
      <c r="D10532" t="s">
        <v>3063</v>
      </c>
      <c r="E10532" t="s">
        <v>3053</v>
      </c>
      <c r="F10532" t="s">
        <v>284</v>
      </c>
      <c r="G10532" t="s">
        <v>3040</v>
      </c>
      <c r="H10532" t="s">
        <v>13670</v>
      </c>
      <c r="I10532">
        <v>51</v>
      </c>
      <c r="J10532">
        <v>0</v>
      </c>
      <c r="K10532">
        <v>0</v>
      </c>
      <c r="L10532">
        <v>51</v>
      </c>
      <c r="M10532">
        <v>0</v>
      </c>
      <c r="N10532">
        <v>0</v>
      </c>
      <c r="O10532">
        <v>0</v>
      </c>
    </row>
    <row r="10533" spans="1:15" x14ac:dyDescent="0.25">
      <c r="A10533" t="s">
        <v>11681</v>
      </c>
      <c r="B10533" t="s">
        <v>10690</v>
      </c>
      <c r="C10533" t="s">
        <v>923</v>
      </c>
      <c r="D10533" t="s">
        <v>3063</v>
      </c>
      <c r="E10533" t="s">
        <v>3053</v>
      </c>
      <c r="F10533" t="s">
        <v>284</v>
      </c>
      <c r="G10533" t="s">
        <v>3040</v>
      </c>
      <c r="H10533" t="s">
        <v>13677</v>
      </c>
      <c r="I10533">
        <v>329</v>
      </c>
      <c r="J10533">
        <v>329</v>
      </c>
      <c r="K10533">
        <v>0</v>
      </c>
      <c r="L10533">
        <v>0</v>
      </c>
      <c r="M10533">
        <v>0</v>
      </c>
      <c r="N10533">
        <v>0</v>
      </c>
      <c r="O10533">
        <v>0</v>
      </c>
    </row>
    <row r="10534" spans="1:15" x14ac:dyDescent="0.25">
      <c r="A10534" t="s">
        <v>1906</v>
      </c>
      <c r="B10534" t="s">
        <v>1983</v>
      </c>
      <c r="C10534" t="s">
        <v>923</v>
      </c>
      <c r="D10534" t="s">
        <v>3063</v>
      </c>
      <c r="E10534" t="s">
        <v>3053</v>
      </c>
      <c r="F10534" t="s">
        <v>284</v>
      </c>
      <c r="G10534" t="s">
        <v>3040</v>
      </c>
      <c r="H10534" t="s">
        <v>13679</v>
      </c>
      <c r="I10534">
        <v>283</v>
      </c>
      <c r="J10534">
        <v>283</v>
      </c>
      <c r="K10534">
        <v>0</v>
      </c>
      <c r="L10534">
        <v>0</v>
      </c>
      <c r="M10534">
        <v>0</v>
      </c>
      <c r="N10534">
        <v>0</v>
      </c>
      <c r="O10534">
        <v>0</v>
      </c>
    </row>
    <row r="10535" spans="1:15" x14ac:dyDescent="0.25">
      <c r="A10535" t="s">
        <v>1324</v>
      </c>
      <c r="B10535" t="s">
        <v>2747</v>
      </c>
      <c r="C10535" t="s">
        <v>923</v>
      </c>
      <c r="D10535" t="s">
        <v>3063</v>
      </c>
      <c r="E10535" t="s">
        <v>3053</v>
      </c>
      <c r="F10535" t="s">
        <v>284</v>
      </c>
      <c r="G10535" t="s">
        <v>3040</v>
      </c>
      <c r="H10535" t="s">
        <v>13682</v>
      </c>
      <c r="I10535">
        <v>30</v>
      </c>
      <c r="J10535">
        <v>0</v>
      </c>
      <c r="K10535">
        <v>0</v>
      </c>
      <c r="L10535">
        <v>0</v>
      </c>
      <c r="M10535">
        <v>30</v>
      </c>
      <c r="N10535">
        <v>0</v>
      </c>
      <c r="O10535">
        <v>0</v>
      </c>
    </row>
    <row r="10536" spans="1:15" x14ac:dyDescent="0.25">
      <c r="A10536" t="s">
        <v>951</v>
      </c>
      <c r="B10536" t="s">
        <v>2680</v>
      </c>
      <c r="C10536" t="s">
        <v>927</v>
      </c>
      <c r="D10536" t="s">
        <v>3052</v>
      </c>
      <c r="E10536" t="s">
        <v>3053</v>
      </c>
      <c r="F10536" t="s">
        <v>284</v>
      </c>
      <c r="G10536" t="s">
        <v>3040</v>
      </c>
      <c r="H10536" t="s">
        <v>13685</v>
      </c>
      <c r="I10536">
        <v>1754</v>
      </c>
      <c r="J10536">
        <v>1535</v>
      </c>
      <c r="K10536">
        <v>0</v>
      </c>
      <c r="L10536">
        <v>6</v>
      </c>
      <c r="M10536">
        <v>0</v>
      </c>
      <c r="N10536">
        <v>0</v>
      </c>
      <c r="O10536">
        <v>213</v>
      </c>
    </row>
    <row r="10537" spans="1:15" x14ac:dyDescent="0.25">
      <c r="A10537" t="s">
        <v>1048</v>
      </c>
      <c r="B10537" t="s">
        <v>2989</v>
      </c>
      <c r="C10537" t="s">
        <v>927</v>
      </c>
      <c r="D10537" t="s">
        <v>3052</v>
      </c>
      <c r="E10537" t="s">
        <v>3053</v>
      </c>
      <c r="F10537" t="s">
        <v>284</v>
      </c>
      <c r="G10537" t="s">
        <v>3040</v>
      </c>
      <c r="H10537" t="s">
        <v>13694</v>
      </c>
      <c r="I10537">
        <v>762</v>
      </c>
      <c r="J10537">
        <v>716</v>
      </c>
      <c r="K10537">
        <v>0</v>
      </c>
      <c r="L10537">
        <v>42</v>
      </c>
      <c r="M10537">
        <v>0</v>
      </c>
      <c r="N10537">
        <v>0</v>
      </c>
      <c r="O10537">
        <v>4</v>
      </c>
    </row>
    <row r="10538" spans="1:15" x14ac:dyDescent="0.25">
      <c r="A10538" t="s">
        <v>1325</v>
      </c>
      <c r="B10538" t="s">
        <v>2832</v>
      </c>
      <c r="C10538" t="s">
        <v>927</v>
      </c>
      <c r="D10538" t="s">
        <v>3052</v>
      </c>
      <c r="E10538" t="s">
        <v>3053</v>
      </c>
      <c r="F10538" t="s">
        <v>284</v>
      </c>
      <c r="G10538" t="s">
        <v>3040</v>
      </c>
      <c r="H10538" t="s">
        <v>13717</v>
      </c>
      <c r="I10538">
        <v>5440</v>
      </c>
      <c r="J10538">
        <v>5176</v>
      </c>
      <c r="K10538">
        <v>0</v>
      </c>
      <c r="L10538">
        <v>0</v>
      </c>
      <c r="M10538">
        <v>0</v>
      </c>
      <c r="N10538">
        <v>0</v>
      </c>
      <c r="O10538">
        <v>264</v>
      </c>
    </row>
    <row r="10539" spans="1:15" x14ac:dyDescent="0.25">
      <c r="A10539" t="s">
        <v>9809</v>
      </c>
      <c r="B10539" t="s">
        <v>9869</v>
      </c>
      <c r="C10539" t="s">
        <v>923</v>
      </c>
      <c r="D10539" t="s">
        <v>3063</v>
      </c>
      <c r="E10539" t="s">
        <v>3053</v>
      </c>
      <c r="F10539" t="s">
        <v>284</v>
      </c>
      <c r="G10539" t="s">
        <v>3040</v>
      </c>
      <c r="H10539" t="s">
        <v>13718</v>
      </c>
      <c r="I10539">
        <v>235</v>
      </c>
      <c r="J10539">
        <v>235</v>
      </c>
      <c r="K10539">
        <v>0</v>
      </c>
      <c r="L10539">
        <v>0</v>
      </c>
      <c r="M10539">
        <v>0</v>
      </c>
      <c r="N10539">
        <v>0</v>
      </c>
      <c r="O10539">
        <v>0</v>
      </c>
    </row>
    <row r="10540" spans="1:15" x14ac:dyDescent="0.25">
      <c r="A10540" t="s">
        <v>1326</v>
      </c>
      <c r="B10540" t="s">
        <v>2566</v>
      </c>
      <c r="C10540" t="s">
        <v>923</v>
      </c>
      <c r="D10540" t="s">
        <v>3063</v>
      </c>
      <c r="E10540" t="s">
        <v>3053</v>
      </c>
      <c r="F10540" t="s">
        <v>284</v>
      </c>
      <c r="G10540" t="s">
        <v>3040</v>
      </c>
      <c r="H10540" t="s">
        <v>13720</v>
      </c>
      <c r="I10540">
        <v>112</v>
      </c>
      <c r="J10540">
        <v>0</v>
      </c>
      <c r="K10540">
        <v>0</v>
      </c>
      <c r="L10540">
        <v>112</v>
      </c>
      <c r="M10540">
        <v>0</v>
      </c>
      <c r="N10540">
        <v>0</v>
      </c>
      <c r="O10540">
        <v>0</v>
      </c>
    </row>
    <row r="10541" spans="1:15" x14ac:dyDescent="0.25">
      <c r="A10541" t="s">
        <v>1051</v>
      </c>
      <c r="B10541" t="s">
        <v>2995</v>
      </c>
      <c r="C10541" t="s">
        <v>927</v>
      </c>
      <c r="D10541" t="s">
        <v>3052</v>
      </c>
      <c r="E10541" t="s">
        <v>3053</v>
      </c>
      <c r="F10541" t="s">
        <v>284</v>
      </c>
      <c r="G10541" t="s">
        <v>3040</v>
      </c>
      <c r="H10541" t="s">
        <v>13729</v>
      </c>
      <c r="I10541">
        <v>38</v>
      </c>
      <c r="J10541">
        <v>0</v>
      </c>
      <c r="K10541">
        <v>0</v>
      </c>
      <c r="L10541">
        <v>38</v>
      </c>
      <c r="M10541">
        <v>0</v>
      </c>
      <c r="N10541">
        <v>0</v>
      </c>
      <c r="O10541">
        <v>0</v>
      </c>
    </row>
    <row r="10542" spans="1:15" x14ac:dyDescent="0.25">
      <c r="A10542" t="s">
        <v>1327</v>
      </c>
      <c r="B10542" t="s">
        <v>2686</v>
      </c>
      <c r="C10542" t="s">
        <v>923</v>
      </c>
      <c r="D10542" t="s">
        <v>3063</v>
      </c>
      <c r="E10542" t="s">
        <v>3053</v>
      </c>
      <c r="F10542" t="s">
        <v>284</v>
      </c>
      <c r="G10542" t="s">
        <v>3040</v>
      </c>
      <c r="H10542" t="s">
        <v>13737</v>
      </c>
      <c r="I10542">
        <v>458</v>
      </c>
      <c r="J10542">
        <v>88</v>
      </c>
      <c r="K10542">
        <v>0</v>
      </c>
      <c r="L10542">
        <v>337</v>
      </c>
      <c r="M10542">
        <v>33</v>
      </c>
      <c r="N10542">
        <v>0</v>
      </c>
      <c r="O10542">
        <v>0</v>
      </c>
    </row>
    <row r="10543" spans="1:15" x14ac:dyDescent="0.25">
      <c r="A10543" t="s">
        <v>1328</v>
      </c>
      <c r="B10543" t="s">
        <v>2360</v>
      </c>
      <c r="C10543" t="s">
        <v>923</v>
      </c>
      <c r="D10543" t="s">
        <v>3063</v>
      </c>
      <c r="E10543" t="s">
        <v>3053</v>
      </c>
      <c r="F10543" t="s">
        <v>284</v>
      </c>
      <c r="G10543" t="s">
        <v>3040</v>
      </c>
      <c r="H10543" t="s">
        <v>13739</v>
      </c>
      <c r="I10543">
        <v>136</v>
      </c>
      <c r="J10543">
        <v>136</v>
      </c>
      <c r="K10543">
        <v>0</v>
      </c>
      <c r="L10543">
        <v>0</v>
      </c>
      <c r="M10543">
        <v>0</v>
      </c>
      <c r="N10543">
        <v>0</v>
      </c>
      <c r="O10543">
        <v>0</v>
      </c>
    </row>
    <row r="10544" spans="1:15" x14ac:dyDescent="0.25">
      <c r="A10544" t="s">
        <v>1329</v>
      </c>
      <c r="B10544" t="s">
        <v>1985</v>
      </c>
      <c r="C10544" t="s">
        <v>923</v>
      </c>
      <c r="D10544" t="s">
        <v>3063</v>
      </c>
      <c r="E10544" t="s">
        <v>3053</v>
      </c>
      <c r="F10544" t="s">
        <v>284</v>
      </c>
      <c r="G10544" t="s">
        <v>3040</v>
      </c>
      <c r="H10544" t="s">
        <v>13740</v>
      </c>
      <c r="I10544">
        <v>705</v>
      </c>
      <c r="J10544">
        <v>0</v>
      </c>
      <c r="K10544">
        <v>0</v>
      </c>
      <c r="L10544">
        <v>705</v>
      </c>
      <c r="M10544">
        <v>0</v>
      </c>
      <c r="N10544">
        <v>0</v>
      </c>
      <c r="O10544">
        <v>0</v>
      </c>
    </row>
    <row r="10545" spans="1:15" x14ac:dyDescent="0.25">
      <c r="A10545" t="s">
        <v>1330</v>
      </c>
      <c r="B10545" t="s">
        <v>2776</v>
      </c>
      <c r="C10545" t="s">
        <v>923</v>
      </c>
      <c r="D10545" t="s">
        <v>3063</v>
      </c>
      <c r="E10545" t="s">
        <v>3053</v>
      </c>
      <c r="F10545" t="s">
        <v>284</v>
      </c>
      <c r="G10545" t="s">
        <v>3040</v>
      </c>
      <c r="H10545" t="s">
        <v>13741</v>
      </c>
      <c r="I10545">
        <v>316</v>
      </c>
      <c r="J10545">
        <v>255</v>
      </c>
      <c r="K10545">
        <v>0</v>
      </c>
      <c r="L10545">
        <v>0</v>
      </c>
      <c r="M10545">
        <v>61</v>
      </c>
      <c r="N10545">
        <v>0</v>
      </c>
      <c r="O10545">
        <v>0</v>
      </c>
    </row>
    <row r="10546" spans="1:15" x14ac:dyDescent="0.25">
      <c r="A10546" t="s">
        <v>1331</v>
      </c>
      <c r="B10546" t="s">
        <v>2856</v>
      </c>
      <c r="C10546" t="s">
        <v>927</v>
      </c>
      <c r="D10546" t="s">
        <v>3052</v>
      </c>
      <c r="E10546" t="s">
        <v>3053</v>
      </c>
      <c r="F10546" t="s">
        <v>284</v>
      </c>
      <c r="G10546" t="s">
        <v>3040</v>
      </c>
      <c r="H10546" t="s">
        <v>13748</v>
      </c>
      <c r="I10546">
        <v>8</v>
      </c>
      <c r="J10546">
        <v>8</v>
      </c>
      <c r="K10546">
        <v>0</v>
      </c>
      <c r="L10546">
        <v>0</v>
      </c>
      <c r="M10546">
        <v>0</v>
      </c>
      <c r="N10546">
        <v>0</v>
      </c>
      <c r="O10546">
        <v>0</v>
      </c>
    </row>
    <row r="10547" spans="1:15" x14ac:dyDescent="0.25">
      <c r="A10547" t="s">
        <v>1332</v>
      </c>
      <c r="B10547" t="s">
        <v>2484</v>
      </c>
      <c r="C10547" t="s">
        <v>923</v>
      </c>
      <c r="D10547" t="s">
        <v>3063</v>
      </c>
      <c r="E10547" t="s">
        <v>3053</v>
      </c>
      <c r="F10547" t="s">
        <v>284</v>
      </c>
      <c r="G10547" t="s">
        <v>3040</v>
      </c>
      <c r="H10547" t="s">
        <v>13757</v>
      </c>
      <c r="I10547">
        <v>78</v>
      </c>
      <c r="J10547">
        <v>78</v>
      </c>
      <c r="K10547">
        <v>0</v>
      </c>
      <c r="L10547">
        <v>0</v>
      </c>
      <c r="M10547">
        <v>0</v>
      </c>
      <c r="N10547">
        <v>0</v>
      </c>
      <c r="O10547">
        <v>0</v>
      </c>
    </row>
    <row r="10548" spans="1:15" x14ac:dyDescent="0.25">
      <c r="A10548" t="s">
        <v>1052</v>
      </c>
      <c r="B10548" t="s">
        <v>2002</v>
      </c>
      <c r="C10548" t="s">
        <v>923</v>
      </c>
      <c r="D10548" t="s">
        <v>3063</v>
      </c>
      <c r="E10548" t="s">
        <v>3053</v>
      </c>
      <c r="F10548" t="s">
        <v>284</v>
      </c>
      <c r="G10548" t="s">
        <v>3040</v>
      </c>
      <c r="H10548" t="s">
        <v>13758</v>
      </c>
      <c r="I10548">
        <v>8</v>
      </c>
      <c r="J10548">
        <v>0</v>
      </c>
      <c r="K10548">
        <v>0</v>
      </c>
      <c r="L10548">
        <v>8</v>
      </c>
      <c r="M10548">
        <v>0</v>
      </c>
      <c r="N10548">
        <v>0</v>
      </c>
      <c r="O10548">
        <v>0</v>
      </c>
    </row>
    <row r="10549" spans="1:15" x14ac:dyDescent="0.25">
      <c r="A10549" t="s">
        <v>953</v>
      </c>
      <c r="B10549" t="s">
        <v>2014</v>
      </c>
      <c r="C10549" t="s">
        <v>927</v>
      </c>
      <c r="D10549" t="s">
        <v>3052</v>
      </c>
      <c r="E10549" t="s">
        <v>3053</v>
      </c>
      <c r="F10549" t="s">
        <v>284</v>
      </c>
      <c r="G10549" t="s">
        <v>3040</v>
      </c>
      <c r="H10549" t="s">
        <v>13763</v>
      </c>
      <c r="I10549">
        <v>144</v>
      </c>
      <c r="J10549">
        <v>0</v>
      </c>
      <c r="K10549">
        <v>0</v>
      </c>
      <c r="L10549">
        <v>144</v>
      </c>
      <c r="M10549">
        <v>0</v>
      </c>
      <c r="N10549">
        <v>0</v>
      </c>
      <c r="O10549">
        <v>0</v>
      </c>
    </row>
    <row r="10550" spans="1:15" x14ac:dyDescent="0.25">
      <c r="A10550" t="s">
        <v>1053</v>
      </c>
      <c r="B10550" t="s">
        <v>2860</v>
      </c>
      <c r="C10550" t="s">
        <v>923</v>
      </c>
      <c r="D10550" t="s">
        <v>3063</v>
      </c>
      <c r="E10550" t="s">
        <v>3053</v>
      </c>
      <c r="F10550" t="s">
        <v>284</v>
      </c>
      <c r="G10550" t="s">
        <v>3040</v>
      </c>
      <c r="H10550" t="s">
        <v>13772</v>
      </c>
      <c r="I10550">
        <v>82</v>
      </c>
      <c r="J10550">
        <v>0</v>
      </c>
      <c r="K10550">
        <v>0</v>
      </c>
      <c r="L10550">
        <v>0</v>
      </c>
      <c r="M10550">
        <v>82</v>
      </c>
      <c r="N10550">
        <v>0</v>
      </c>
      <c r="O10550">
        <v>0</v>
      </c>
    </row>
    <row r="10551" spans="1:15" x14ac:dyDescent="0.25">
      <c r="A10551" t="s">
        <v>10809</v>
      </c>
      <c r="B10551" t="s">
        <v>10808</v>
      </c>
      <c r="C10551" t="s">
        <v>923</v>
      </c>
      <c r="D10551" t="s">
        <v>3063</v>
      </c>
      <c r="E10551" t="s">
        <v>3053</v>
      </c>
      <c r="F10551" t="s">
        <v>284</v>
      </c>
      <c r="G10551" t="s">
        <v>3040</v>
      </c>
      <c r="H10551" t="s">
        <v>15540</v>
      </c>
      <c r="I10551">
        <v>5</v>
      </c>
      <c r="J10551">
        <v>1</v>
      </c>
      <c r="K10551">
        <v>0</v>
      </c>
      <c r="L10551">
        <v>0</v>
      </c>
      <c r="M10551">
        <v>4</v>
      </c>
      <c r="N10551">
        <v>0</v>
      </c>
      <c r="O10551">
        <v>0</v>
      </c>
    </row>
    <row r="10552" spans="1:15" x14ac:dyDescent="0.25">
      <c r="A10552" t="s">
        <v>1333</v>
      </c>
      <c r="B10552" t="s">
        <v>2416</v>
      </c>
      <c r="C10552" t="s">
        <v>923</v>
      </c>
      <c r="D10552" t="s">
        <v>3063</v>
      </c>
      <c r="E10552" t="s">
        <v>3053</v>
      </c>
      <c r="F10552" t="s">
        <v>284</v>
      </c>
      <c r="G10552" t="s">
        <v>3040</v>
      </c>
      <c r="H10552" t="s">
        <v>13774</v>
      </c>
      <c r="I10552">
        <v>26</v>
      </c>
      <c r="J10552">
        <v>0</v>
      </c>
      <c r="K10552">
        <v>26</v>
      </c>
      <c r="L10552">
        <v>0</v>
      </c>
      <c r="M10552">
        <v>0</v>
      </c>
      <c r="N10552">
        <v>0</v>
      </c>
      <c r="O10552">
        <v>0</v>
      </c>
    </row>
    <row r="10553" spans="1:15" x14ac:dyDescent="0.25">
      <c r="A10553" t="s">
        <v>9810</v>
      </c>
      <c r="B10553" t="s">
        <v>9870</v>
      </c>
      <c r="C10553" t="s">
        <v>923</v>
      </c>
      <c r="D10553" t="s">
        <v>3063</v>
      </c>
      <c r="E10553" t="s">
        <v>3053</v>
      </c>
      <c r="F10553" t="s">
        <v>284</v>
      </c>
      <c r="G10553" t="s">
        <v>3040</v>
      </c>
      <c r="H10553" t="s">
        <v>13775</v>
      </c>
      <c r="I10553">
        <v>25</v>
      </c>
      <c r="J10553">
        <v>25</v>
      </c>
      <c r="K10553">
        <v>0</v>
      </c>
      <c r="L10553">
        <v>0</v>
      </c>
      <c r="M10553">
        <v>0</v>
      </c>
      <c r="N10553">
        <v>0</v>
      </c>
      <c r="O10553">
        <v>0</v>
      </c>
    </row>
    <row r="10554" spans="1:15" x14ac:dyDescent="0.25">
      <c r="A10554" t="s">
        <v>1334</v>
      </c>
      <c r="B10554" t="s">
        <v>2849</v>
      </c>
      <c r="C10554" t="s">
        <v>927</v>
      </c>
      <c r="D10554" t="s">
        <v>3052</v>
      </c>
      <c r="E10554" t="s">
        <v>3053</v>
      </c>
      <c r="F10554" t="s">
        <v>284</v>
      </c>
      <c r="G10554" t="s">
        <v>3040</v>
      </c>
      <c r="H10554" t="s">
        <v>13776</v>
      </c>
      <c r="I10554">
        <v>7353</v>
      </c>
      <c r="J10554">
        <v>6755</v>
      </c>
      <c r="K10554">
        <v>0</v>
      </c>
      <c r="L10554">
        <v>0</v>
      </c>
      <c r="M10554">
        <v>390</v>
      </c>
      <c r="N10554">
        <v>19</v>
      </c>
      <c r="O10554">
        <v>208</v>
      </c>
    </row>
    <row r="10555" spans="1:15" x14ac:dyDescent="0.25">
      <c r="A10555" t="s">
        <v>1336</v>
      </c>
      <c r="B10555" t="s">
        <v>2609</v>
      </c>
      <c r="C10555" t="s">
        <v>923</v>
      </c>
      <c r="D10555" t="s">
        <v>3063</v>
      </c>
      <c r="E10555" t="s">
        <v>3053</v>
      </c>
      <c r="F10555" t="s">
        <v>284</v>
      </c>
      <c r="G10555" t="s">
        <v>3040</v>
      </c>
      <c r="H10555" t="s">
        <v>13789</v>
      </c>
      <c r="I10555">
        <v>16</v>
      </c>
      <c r="J10555">
        <v>0</v>
      </c>
      <c r="K10555">
        <v>0</v>
      </c>
      <c r="L10555">
        <v>0</v>
      </c>
      <c r="M10555">
        <v>16</v>
      </c>
      <c r="N10555">
        <v>0</v>
      </c>
      <c r="O10555">
        <v>0</v>
      </c>
    </row>
    <row r="10556" spans="1:15" x14ac:dyDescent="0.25">
      <c r="A10556" t="s">
        <v>11720</v>
      </c>
      <c r="B10556" t="s">
        <v>10718</v>
      </c>
      <c r="C10556" t="s">
        <v>927</v>
      </c>
      <c r="D10556" t="s">
        <v>3052</v>
      </c>
      <c r="E10556" t="s">
        <v>3053</v>
      </c>
      <c r="F10556" t="s">
        <v>284</v>
      </c>
      <c r="G10556" t="s">
        <v>3040</v>
      </c>
      <c r="H10556" t="s">
        <v>15541</v>
      </c>
      <c r="I10556">
        <v>276</v>
      </c>
      <c r="J10556">
        <v>54</v>
      </c>
      <c r="K10556">
        <v>0</v>
      </c>
      <c r="L10556">
        <v>0</v>
      </c>
      <c r="M10556">
        <v>0</v>
      </c>
      <c r="N10556">
        <v>0</v>
      </c>
      <c r="O10556">
        <v>222</v>
      </c>
    </row>
    <row r="10557" spans="1:15" x14ac:dyDescent="0.25">
      <c r="A10557" t="s">
        <v>9788</v>
      </c>
      <c r="B10557" t="s">
        <v>9871</v>
      </c>
      <c r="C10557" t="s">
        <v>927</v>
      </c>
      <c r="D10557" t="s">
        <v>3052</v>
      </c>
      <c r="E10557" t="s">
        <v>3053</v>
      </c>
      <c r="F10557" t="s">
        <v>284</v>
      </c>
      <c r="G10557" t="s">
        <v>3040</v>
      </c>
      <c r="H10557" t="s">
        <v>13798</v>
      </c>
      <c r="I10557">
        <v>250</v>
      </c>
      <c r="J10557">
        <v>250</v>
      </c>
      <c r="K10557">
        <v>0</v>
      </c>
      <c r="L10557">
        <v>0</v>
      </c>
      <c r="M10557">
        <v>0</v>
      </c>
      <c r="N10557">
        <v>0</v>
      </c>
      <c r="O10557">
        <v>0</v>
      </c>
    </row>
    <row r="10558" spans="1:15" x14ac:dyDescent="0.25">
      <c r="A10558" t="s">
        <v>1056</v>
      </c>
      <c r="B10558" t="s">
        <v>2966</v>
      </c>
      <c r="C10558" t="s">
        <v>927</v>
      </c>
      <c r="D10558" t="s">
        <v>3052</v>
      </c>
      <c r="E10558" t="s">
        <v>3053</v>
      </c>
      <c r="F10558" t="s">
        <v>284</v>
      </c>
      <c r="G10558" t="s">
        <v>3040</v>
      </c>
      <c r="H10558" t="s">
        <v>13808</v>
      </c>
      <c r="I10558">
        <v>688</v>
      </c>
      <c r="J10558">
        <v>78</v>
      </c>
      <c r="K10558">
        <v>0</v>
      </c>
      <c r="L10558">
        <v>512</v>
      </c>
      <c r="M10558">
        <v>98</v>
      </c>
      <c r="N10558">
        <v>43</v>
      </c>
      <c r="O10558">
        <v>0</v>
      </c>
    </row>
    <row r="10559" spans="1:15" x14ac:dyDescent="0.25">
      <c r="A10559" t="s">
        <v>1057</v>
      </c>
      <c r="B10559" t="s">
        <v>1972</v>
      </c>
      <c r="C10559" t="s">
        <v>927</v>
      </c>
      <c r="D10559" t="s">
        <v>3052</v>
      </c>
      <c r="E10559" t="s">
        <v>3053</v>
      </c>
      <c r="F10559" t="s">
        <v>284</v>
      </c>
      <c r="G10559" t="s">
        <v>3040</v>
      </c>
      <c r="H10559" t="s">
        <v>13818</v>
      </c>
      <c r="I10559">
        <v>542</v>
      </c>
      <c r="J10559">
        <v>341</v>
      </c>
      <c r="K10559">
        <v>0</v>
      </c>
      <c r="L10559">
        <v>0</v>
      </c>
      <c r="M10559">
        <v>0</v>
      </c>
      <c r="N10559">
        <v>0</v>
      </c>
      <c r="O10559">
        <v>201</v>
      </c>
    </row>
    <row r="10560" spans="1:15" x14ac:dyDescent="0.25">
      <c r="A10560" t="s">
        <v>955</v>
      </c>
      <c r="B10560" t="s">
        <v>2660</v>
      </c>
      <c r="C10560" t="s">
        <v>927</v>
      </c>
      <c r="D10560" t="s">
        <v>3052</v>
      </c>
      <c r="E10560" t="s">
        <v>3053</v>
      </c>
      <c r="F10560" t="s">
        <v>284</v>
      </c>
      <c r="G10560" t="s">
        <v>3040</v>
      </c>
      <c r="H10560" t="s">
        <v>13827</v>
      </c>
      <c r="I10560">
        <v>6823</v>
      </c>
      <c r="J10560">
        <v>4885</v>
      </c>
      <c r="K10560">
        <v>5</v>
      </c>
      <c r="L10560">
        <v>669</v>
      </c>
      <c r="M10560">
        <v>1159</v>
      </c>
      <c r="N10560">
        <v>25</v>
      </c>
      <c r="O10560">
        <v>105</v>
      </c>
    </row>
    <row r="10561" spans="1:15" x14ac:dyDescent="0.25">
      <c r="A10561" t="s">
        <v>1153</v>
      </c>
      <c r="B10561" t="s">
        <v>2560</v>
      </c>
      <c r="C10561" t="s">
        <v>923</v>
      </c>
      <c r="D10561" t="s">
        <v>3063</v>
      </c>
      <c r="E10561" t="s">
        <v>3053</v>
      </c>
      <c r="F10561" t="s">
        <v>284</v>
      </c>
      <c r="G10561" t="s">
        <v>3040</v>
      </c>
      <c r="H10561" t="s">
        <v>13838</v>
      </c>
      <c r="I10561">
        <v>254</v>
      </c>
      <c r="J10561">
        <v>93</v>
      </c>
      <c r="K10561">
        <v>41</v>
      </c>
      <c r="L10561">
        <v>120</v>
      </c>
      <c r="M10561">
        <v>0</v>
      </c>
      <c r="N10561">
        <v>0</v>
      </c>
      <c r="O10561">
        <v>0</v>
      </c>
    </row>
    <row r="10562" spans="1:15" x14ac:dyDescent="0.25">
      <c r="A10562" t="s">
        <v>9811</v>
      </c>
      <c r="B10562" t="s">
        <v>9872</v>
      </c>
      <c r="C10562" t="s">
        <v>923</v>
      </c>
      <c r="D10562" t="s">
        <v>3063</v>
      </c>
      <c r="E10562" t="s">
        <v>3053</v>
      </c>
      <c r="F10562" t="s">
        <v>284</v>
      </c>
      <c r="G10562" t="s">
        <v>3040</v>
      </c>
      <c r="H10562" t="s">
        <v>13846</v>
      </c>
      <c r="I10562">
        <v>3</v>
      </c>
      <c r="J10562">
        <v>3</v>
      </c>
      <c r="K10562">
        <v>0</v>
      </c>
      <c r="L10562">
        <v>0</v>
      </c>
      <c r="M10562">
        <v>0</v>
      </c>
      <c r="N10562">
        <v>0</v>
      </c>
      <c r="O10562">
        <v>0</v>
      </c>
    </row>
    <row r="10563" spans="1:15" x14ac:dyDescent="0.25">
      <c r="A10563" t="s">
        <v>10724</v>
      </c>
      <c r="B10563" t="s">
        <v>10723</v>
      </c>
      <c r="C10563" t="s">
        <v>923</v>
      </c>
      <c r="D10563" t="s">
        <v>3063</v>
      </c>
      <c r="E10563" t="s">
        <v>3053</v>
      </c>
      <c r="F10563" t="s">
        <v>284</v>
      </c>
      <c r="G10563" t="s">
        <v>3040</v>
      </c>
      <c r="H10563" t="s">
        <v>13848</v>
      </c>
      <c r="I10563">
        <v>88</v>
      </c>
      <c r="J10563">
        <v>88</v>
      </c>
      <c r="K10563">
        <v>0</v>
      </c>
      <c r="L10563">
        <v>0</v>
      </c>
      <c r="M10563">
        <v>0</v>
      </c>
      <c r="N10563">
        <v>0</v>
      </c>
      <c r="O10563">
        <v>0</v>
      </c>
    </row>
    <row r="10564" spans="1:15" x14ac:dyDescent="0.25">
      <c r="A10564" t="s">
        <v>1337</v>
      </c>
      <c r="B10564" t="s">
        <v>2089</v>
      </c>
      <c r="C10564" t="s">
        <v>923</v>
      </c>
      <c r="D10564" t="s">
        <v>3063</v>
      </c>
      <c r="E10564" t="s">
        <v>3053</v>
      </c>
      <c r="F10564" t="s">
        <v>284</v>
      </c>
      <c r="G10564" t="s">
        <v>3040</v>
      </c>
      <c r="H10564" t="s">
        <v>13849</v>
      </c>
      <c r="I10564">
        <v>11</v>
      </c>
      <c r="J10564">
        <v>11</v>
      </c>
      <c r="K10564">
        <v>0</v>
      </c>
      <c r="L10564">
        <v>0</v>
      </c>
      <c r="M10564">
        <v>0</v>
      </c>
      <c r="N10564">
        <v>0</v>
      </c>
      <c r="O10564">
        <v>0</v>
      </c>
    </row>
    <row r="10565" spans="1:15" x14ac:dyDescent="0.25">
      <c r="A10565" t="s">
        <v>10728</v>
      </c>
      <c r="B10565" t="s">
        <v>10727</v>
      </c>
      <c r="C10565" t="s">
        <v>923</v>
      </c>
      <c r="D10565" t="s">
        <v>3063</v>
      </c>
      <c r="E10565" t="s">
        <v>3053</v>
      </c>
      <c r="F10565" t="s">
        <v>284</v>
      </c>
      <c r="G10565" t="s">
        <v>3040</v>
      </c>
      <c r="H10565" t="s">
        <v>13852</v>
      </c>
      <c r="I10565">
        <v>111</v>
      </c>
      <c r="J10565">
        <v>111</v>
      </c>
      <c r="K10565">
        <v>0</v>
      </c>
      <c r="L10565">
        <v>0</v>
      </c>
      <c r="M10565">
        <v>0</v>
      </c>
      <c r="N10565">
        <v>0</v>
      </c>
      <c r="O10565">
        <v>0</v>
      </c>
    </row>
    <row r="10566" spans="1:15" x14ac:dyDescent="0.25">
      <c r="A10566" t="s">
        <v>1155</v>
      </c>
      <c r="B10566" t="s">
        <v>2912</v>
      </c>
      <c r="C10566" t="s">
        <v>927</v>
      </c>
      <c r="D10566" t="s">
        <v>3052</v>
      </c>
      <c r="E10566" t="s">
        <v>3053</v>
      </c>
      <c r="F10566" t="s">
        <v>284</v>
      </c>
      <c r="G10566" t="s">
        <v>3040</v>
      </c>
      <c r="H10566" t="s">
        <v>13854</v>
      </c>
      <c r="I10566">
        <v>4175</v>
      </c>
      <c r="J10566">
        <v>3314</v>
      </c>
      <c r="K10566">
        <v>0</v>
      </c>
      <c r="L10566">
        <v>112</v>
      </c>
      <c r="M10566">
        <v>73</v>
      </c>
      <c r="N10566">
        <v>55</v>
      </c>
      <c r="O10566">
        <v>676</v>
      </c>
    </row>
    <row r="10567" spans="1:15" x14ac:dyDescent="0.25">
      <c r="A10567" t="s">
        <v>1338</v>
      </c>
      <c r="B10567" t="s">
        <v>2984</v>
      </c>
      <c r="C10567" t="s">
        <v>923</v>
      </c>
      <c r="D10567" t="s">
        <v>3063</v>
      </c>
      <c r="E10567" t="s">
        <v>3053</v>
      </c>
      <c r="F10567" t="s">
        <v>284</v>
      </c>
      <c r="G10567" t="s">
        <v>3040</v>
      </c>
      <c r="H10567" t="s">
        <v>13860</v>
      </c>
      <c r="I10567">
        <v>485</v>
      </c>
      <c r="J10567">
        <v>471</v>
      </c>
      <c r="K10567">
        <v>0</v>
      </c>
      <c r="L10567">
        <v>14</v>
      </c>
      <c r="M10567">
        <v>0</v>
      </c>
      <c r="N10567">
        <v>0</v>
      </c>
      <c r="O10567">
        <v>0</v>
      </c>
    </row>
    <row r="10568" spans="1:15" x14ac:dyDescent="0.25">
      <c r="A10568" t="s">
        <v>1339</v>
      </c>
      <c r="B10568" t="s">
        <v>2948</v>
      </c>
      <c r="C10568" t="s">
        <v>923</v>
      </c>
      <c r="D10568" t="s">
        <v>3063</v>
      </c>
      <c r="E10568" t="s">
        <v>3053</v>
      </c>
      <c r="F10568" t="s">
        <v>284</v>
      </c>
      <c r="G10568" t="s">
        <v>3040</v>
      </c>
      <c r="H10568" t="s">
        <v>13880</v>
      </c>
      <c r="I10568">
        <v>737</v>
      </c>
      <c r="J10568">
        <v>718</v>
      </c>
      <c r="K10568">
        <v>0</v>
      </c>
      <c r="L10568">
        <v>0</v>
      </c>
      <c r="M10568">
        <v>19</v>
      </c>
      <c r="N10568">
        <v>0</v>
      </c>
      <c r="O10568">
        <v>0</v>
      </c>
    </row>
    <row r="10569" spans="1:15" x14ac:dyDescent="0.25">
      <c r="A10569" t="s">
        <v>1340</v>
      </c>
      <c r="B10569" t="s">
        <v>2435</v>
      </c>
      <c r="C10569" t="s">
        <v>923</v>
      </c>
      <c r="D10569" t="s">
        <v>3063</v>
      </c>
      <c r="E10569" t="s">
        <v>3053</v>
      </c>
      <c r="F10569" t="s">
        <v>284</v>
      </c>
      <c r="G10569" t="s">
        <v>3040</v>
      </c>
      <c r="H10569" t="s">
        <v>13884</v>
      </c>
      <c r="I10569">
        <v>29</v>
      </c>
      <c r="J10569">
        <v>26</v>
      </c>
      <c r="K10569">
        <v>0</v>
      </c>
      <c r="L10569">
        <v>3</v>
      </c>
      <c r="M10569">
        <v>0</v>
      </c>
      <c r="N10569">
        <v>0</v>
      </c>
      <c r="O10569">
        <v>0</v>
      </c>
    </row>
    <row r="10570" spans="1:15" x14ac:dyDescent="0.25">
      <c r="A10570" t="s">
        <v>1341</v>
      </c>
      <c r="B10570" t="s">
        <v>2954</v>
      </c>
      <c r="C10570" t="s">
        <v>923</v>
      </c>
      <c r="D10570" t="s">
        <v>3063</v>
      </c>
      <c r="E10570" t="s">
        <v>3053</v>
      </c>
      <c r="F10570" t="s">
        <v>284</v>
      </c>
      <c r="G10570" t="s">
        <v>3040</v>
      </c>
      <c r="H10570" t="s">
        <v>13896</v>
      </c>
      <c r="I10570">
        <v>43</v>
      </c>
      <c r="J10570">
        <v>43</v>
      </c>
      <c r="K10570">
        <v>0</v>
      </c>
      <c r="L10570">
        <v>0</v>
      </c>
      <c r="M10570">
        <v>0</v>
      </c>
      <c r="N10570">
        <v>0</v>
      </c>
      <c r="O10570">
        <v>0</v>
      </c>
    </row>
    <row r="10571" spans="1:15" x14ac:dyDescent="0.25">
      <c r="A10571" t="s">
        <v>11663</v>
      </c>
      <c r="B10571" t="s">
        <v>11768</v>
      </c>
      <c r="C10571" t="s">
        <v>927</v>
      </c>
      <c r="D10571" t="s">
        <v>3052</v>
      </c>
      <c r="E10571" t="s">
        <v>3053</v>
      </c>
      <c r="F10571" t="s">
        <v>284</v>
      </c>
      <c r="G10571" t="s">
        <v>3040</v>
      </c>
      <c r="H10571" t="s">
        <v>13900</v>
      </c>
      <c r="I10571">
        <v>28590</v>
      </c>
      <c r="J10571">
        <v>21528</v>
      </c>
      <c r="K10571">
        <v>238</v>
      </c>
      <c r="L10571">
        <v>763</v>
      </c>
      <c r="M10571">
        <v>1803</v>
      </c>
      <c r="N10571">
        <v>103</v>
      </c>
      <c r="O10571">
        <v>4258</v>
      </c>
    </row>
    <row r="10572" spans="1:15" x14ac:dyDescent="0.25">
      <c r="A10572" t="s">
        <v>1342</v>
      </c>
      <c r="B10572" t="s">
        <v>2385</v>
      </c>
      <c r="C10572" t="s">
        <v>923</v>
      </c>
      <c r="D10572" t="s">
        <v>3063</v>
      </c>
      <c r="E10572" t="s">
        <v>3053</v>
      </c>
      <c r="F10572" t="s">
        <v>284</v>
      </c>
      <c r="G10572" t="s">
        <v>3040</v>
      </c>
      <c r="H10572" t="s">
        <v>13906</v>
      </c>
      <c r="I10572">
        <v>36</v>
      </c>
      <c r="J10572">
        <v>36</v>
      </c>
      <c r="K10572">
        <v>0</v>
      </c>
      <c r="L10572">
        <v>0</v>
      </c>
      <c r="M10572">
        <v>0</v>
      </c>
      <c r="N10572">
        <v>0</v>
      </c>
      <c r="O10572">
        <v>0</v>
      </c>
    </row>
    <row r="10573" spans="1:15" x14ac:dyDescent="0.25">
      <c r="A10573" t="s">
        <v>14380</v>
      </c>
      <c r="B10573" t="s">
        <v>2074</v>
      </c>
      <c r="C10573" t="s">
        <v>927</v>
      </c>
      <c r="D10573" t="s">
        <v>3052</v>
      </c>
      <c r="E10573" t="s">
        <v>3053</v>
      </c>
      <c r="F10573" t="s">
        <v>284</v>
      </c>
      <c r="G10573" t="s">
        <v>3040</v>
      </c>
      <c r="H10573" t="s">
        <v>15542</v>
      </c>
      <c r="I10573">
        <v>13160</v>
      </c>
      <c r="J10573">
        <v>9368</v>
      </c>
      <c r="K10573">
        <v>1080</v>
      </c>
      <c r="L10573">
        <v>350</v>
      </c>
      <c r="M10573">
        <v>1039</v>
      </c>
      <c r="N10573">
        <v>161</v>
      </c>
      <c r="O10573">
        <v>1323</v>
      </c>
    </row>
    <row r="10574" spans="1:15" x14ac:dyDescent="0.25">
      <c r="A10574" t="s">
        <v>14374</v>
      </c>
      <c r="B10574" t="s">
        <v>1943</v>
      </c>
      <c r="C10574" t="s">
        <v>927</v>
      </c>
      <c r="D10574" t="s">
        <v>3052</v>
      </c>
      <c r="E10574" t="s">
        <v>3053</v>
      </c>
      <c r="F10574" t="s">
        <v>284</v>
      </c>
      <c r="G10574" t="s">
        <v>3040</v>
      </c>
      <c r="H10574" t="s">
        <v>15543</v>
      </c>
      <c r="I10574">
        <v>200</v>
      </c>
      <c r="J10574">
        <v>0</v>
      </c>
      <c r="K10574">
        <v>0</v>
      </c>
      <c r="L10574">
        <v>0</v>
      </c>
      <c r="M10574">
        <v>0</v>
      </c>
      <c r="N10574">
        <v>0</v>
      </c>
      <c r="O10574">
        <v>200</v>
      </c>
    </row>
    <row r="10575" spans="1:15" x14ac:dyDescent="0.25">
      <c r="A10575" t="s">
        <v>1343</v>
      </c>
      <c r="B10575" t="s">
        <v>2410</v>
      </c>
      <c r="C10575" t="s">
        <v>923</v>
      </c>
      <c r="D10575" t="s">
        <v>3063</v>
      </c>
      <c r="E10575" t="s">
        <v>3053</v>
      </c>
      <c r="F10575" t="s">
        <v>284</v>
      </c>
      <c r="G10575" t="s">
        <v>3040</v>
      </c>
      <c r="H10575" t="s">
        <v>13913</v>
      </c>
      <c r="I10575">
        <v>678</v>
      </c>
      <c r="J10575">
        <v>678</v>
      </c>
      <c r="K10575">
        <v>0</v>
      </c>
      <c r="L10575">
        <v>0</v>
      </c>
      <c r="M10575">
        <v>0</v>
      </c>
      <c r="N10575">
        <v>0</v>
      </c>
      <c r="O10575">
        <v>0</v>
      </c>
    </row>
    <row r="10576" spans="1:15" x14ac:dyDescent="0.25">
      <c r="A10576" t="s">
        <v>10731</v>
      </c>
      <c r="B10576" t="s">
        <v>10730</v>
      </c>
      <c r="C10576" t="s">
        <v>923</v>
      </c>
      <c r="D10576" t="s">
        <v>3063</v>
      </c>
      <c r="E10576" t="s">
        <v>3053</v>
      </c>
      <c r="F10576" t="s">
        <v>284</v>
      </c>
      <c r="G10576" t="s">
        <v>3040</v>
      </c>
      <c r="H10576" t="s">
        <v>15544</v>
      </c>
      <c r="I10576">
        <v>94</v>
      </c>
      <c r="J10576">
        <v>94</v>
      </c>
      <c r="K10576">
        <v>0</v>
      </c>
      <c r="L10576">
        <v>0</v>
      </c>
      <c r="M10576">
        <v>0</v>
      </c>
      <c r="N10576">
        <v>1</v>
      </c>
      <c r="O10576">
        <v>0</v>
      </c>
    </row>
    <row r="10577" spans="1:15" x14ac:dyDescent="0.25">
      <c r="A10577" t="s">
        <v>11770</v>
      </c>
      <c r="B10577" t="s">
        <v>11769</v>
      </c>
      <c r="C10577" t="s">
        <v>923</v>
      </c>
      <c r="D10577" t="s">
        <v>3063</v>
      </c>
      <c r="E10577" t="s">
        <v>3053</v>
      </c>
      <c r="F10577" t="s">
        <v>284</v>
      </c>
      <c r="G10577" t="s">
        <v>3040</v>
      </c>
      <c r="H10577" t="s">
        <v>15545</v>
      </c>
      <c r="I10577">
        <v>11</v>
      </c>
      <c r="J10577">
        <v>11</v>
      </c>
      <c r="K10577">
        <v>0</v>
      </c>
      <c r="L10577">
        <v>0</v>
      </c>
      <c r="M10577">
        <v>0</v>
      </c>
      <c r="N10577">
        <v>0</v>
      </c>
      <c r="O10577">
        <v>0</v>
      </c>
    </row>
    <row r="10578" spans="1:15" x14ac:dyDescent="0.25">
      <c r="A10578" t="s">
        <v>1344</v>
      </c>
      <c r="B10578" t="s">
        <v>2957</v>
      </c>
      <c r="C10578" t="s">
        <v>923</v>
      </c>
      <c r="D10578" t="s">
        <v>3063</v>
      </c>
      <c r="E10578" t="s">
        <v>3053</v>
      </c>
      <c r="F10578" t="s">
        <v>284</v>
      </c>
      <c r="G10578" t="s">
        <v>3040</v>
      </c>
      <c r="H10578" t="s">
        <v>13921</v>
      </c>
      <c r="I10578">
        <v>66</v>
      </c>
      <c r="J10578">
        <v>4</v>
      </c>
      <c r="K10578">
        <v>0</v>
      </c>
      <c r="L10578">
        <v>62</v>
      </c>
      <c r="M10578">
        <v>0</v>
      </c>
      <c r="N10578">
        <v>0</v>
      </c>
      <c r="O10578">
        <v>0</v>
      </c>
    </row>
    <row r="10579" spans="1:15" x14ac:dyDescent="0.25">
      <c r="A10579" t="s">
        <v>1345</v>
      </c>
      <c r="B10579" t="s">
        <v>2517</v>
      </c>
      <c r="C10579" t="s">
        <v>923</v>
      </c>
      <c r="D10579" t="s">
        <v>3063</v>
      </c>
      <c r="E10579" t="s">
        <v>3053</v>
      </c>
      <c r="F10579" t="s">
        <v>284</v>
      </c>
      <c r="G10579" t="s">
        <v>3040</v>
      </c>
      <c r="H10579" t="s">
        <v>13922</v>
      </c>
      <c r="I10579">
        <v>30</v>
      </c>
      <c r="J10579">
        <v>30</v>
      </c>
      <c r="K10579">
        <v>0</v>
      </c>
      <c r="L10579">
        <v>0</v>
      </c>
      <c r="M10579">
        <v>0</v>
      </c>
      <c r="N10579">
        <v>0</v>
      </c>
      <c r="O10579">
        <v>0</v>
      </c>
    </row>
    <row r="10580" spans="1:15" x14ac:dyDescent="0.25">
      <c r="A10580" t="s">
        <v>1346</v>
      </c>
      <c r="B10580" t="s">
        <v>2283</v>
      </c>
      <c r="C10580" t="s">
        <v>923</v>
      </c>
      <c r="D10580" t="s">
        <v>3063</v>
      </c>
      <c r="E10580" t="s">
        <v>3053</v>
      </c>
      <c r="F10580" t="s">
        <v>284</v>
      </c>
      <c r="G10580" t="s">
        <v>3040</v>
      </c>
      <c r="H10580" t="s">
        <v>13924</v>
      </c>
      <c r="I10580">
        <v>10</v>
      </c>
      <c r="J10580">
        <v>0</v>
      </c>
      <c r="K10580">
        <v>0</v>
      </c>
      <c r="L10580">
        <v>0</v>
      </c>
      <c r="M10580">
        <v>10</v>
      </c>
      <c r="N10580">
        <v>0</v>
      </c>
      <c r="O10580">
        <v>0</v>
      </c>
    </row>
    <row r="10581" spans="1:15" x14ac:dyDescent="0.25">
      <c r="A10581" t="s">
        <v>1347</v>
      </c>
      <c r="B10581" t="s">
        <v>2594</v>
      </c>
      <c r="C10581" t="s">
        <v>923</v>
      </c>
      <c r="D10581" t="s">
        <v>3063</v>
      </c>
      <c r="E10581" t="s">
        <v>3053</v>
      </c>
      <c r="F10581" t="s">
        <v>284</v>
      </c>
      <c r="G10581" t="s">
        <v>3040</v>
      </c>
      <c r="H10581" t="s">
        <v>13927</v>
      </c>
      <c r="I10581">
        <v>55</v>
      </c>
      <c r="J10581">
        <v>0</v>
      </c>
      <c r="K10581">
        <v>0</v>
      </c>
      <c r="L10581">
        <v>55</v>
      </c>
      <c r="M10581">
        <v>0</v>
      </c>
      <c r="N10581">
        <v>0</v>
      </c>
      <c r="O10581">
        <v>0</v>
      </c>
    </row>
    <row r="10582" spans="1:15" x14ac:dyDescent="0.25">
      <c r="A10582" t="s">
        <v>1158</v>
      </c>
      <c r="B10582" t="s">
        <v>2922</v>
      </c>
      <c r="C10582" t="s">
        <v>927</v>
      </c>
      <c r="D10582" t="s">
        <v>3052</v>
      </c>
      <c r="E10582" t="s">
        <v>3053</v>
      </c>
      <c r="F10582" t="s">
        <v>284</v>
      </c>
      <c r="G10582" t="s">
        <v>3040</v>
      </c>
      <c r="H10582" t="s">
        <v>13929</v>
      </c>
      <c r="I10582">
        <v>1431</v>
      </c>
      <c r="J10582">
        <v>21</v>
      </c>
      <c r="K10582">
        <v>93</v>
      </c>
      <c r="L10582">
        <v>1317</v>
      </c>
      <c r="M10582">
        <v>0</v>
      </c>
      <c r="N10582">
        <v>58</v>
      </c>
      <c r="O10582">
        <v>0</v>
      </c>
    </row>
    <row r="10583" spans="1:15" x14ac:dyDescent="0.25">
      <c r="A10583" t="s">
        <v>962</v>
      </c>
      <c r="B10583" t="s">
        <v>2752</v>
      </c>
      <c r="C10583" t="s">
        <v>927</v>
      </c>
      <c r="D10583" t="s">
        <v>3052</v>
      </c>
      <c r="E10583" t="s">
        <v>3053</v>
      </c>
      <c r="F10583" t="s">
        <v>284</v>
      </c>
      <c r="G10583" t="s">
        <v>3040</v>
      </c>
      <c r="H10583" t="s">
        <v>13947</v>
      </c>
      <c r="I10583">
        <v>1</v>
      </c>
      <c r="J10583">
        <v>1</v>
      </c>
      <c r="K10583">
        <v>0</v>
      </c>
      <c r="L10583">
        <v>0</v>
      </c>
      <c r="M10583">
        <v>0</v>
      </c>
      <c r="N10583">
        <v>0</v>
      </c>
      <c r="O10583">
        <v>0</v>
      </c>
    </row>
    <row r="10584" spans="1:15" x14ac:dyDescent="0.25">
      <c r="A10584" t="s">
        <v>1348</v>
      </c>
      <c r="B10584" t="s">
        <v>2373</v>
      </c>
      <c r="C10584" t="s">
        <v>923</v>
      </c>
      <c r="D10584" t="s">
        <v>3063</v>
      </c>
      <c r="E10584" t="s">
        <v>3053</v>
      </c>
      <c r="F10584" t="s">
        <v>284</v>
      </c>
      <c r="G10584" t="s">
        <v>3040</v>
      </c>
      <c r="H10584" t="s">
        <v>13953</v>
      </c>
      <c r="I10584">
        <v>63</v>
      </c>
      <c r="J10584">
        <v>63</v>
      </c>
      <c r="K10584">
        <v>0</v>
      </c>
      <c r="L10584">
        <v>0</v>
      </c>
      <c r="M10584">
        <v>0</v>
      </c>
      <c r="N10584">
        <v>8</v>
      </c>
      <c r="O10584">
        <v>0</v>
      </c>
    </row>
    <row r="10585" spans="1:15" x14ac:dyDescent="0.25">
      <c r="A10585" t="s">
        <v>1349</v>
      </c>
      <c r="B10585" t="s">
        <v>2693</v>
      </c>
      <c r="C10585" t="s">
        <v>923</v>
      </c>
      <c r="D10585" t="s">
        <v>3063</v>
      </c>
      <c r="E10585" t="s">
        <v>3053</v>
      </c>
      <c r="F10585" t="s">
        <v>284</v>
      </c>
      <c r="G10585" t="s">
        <v>3040</v>
      </c>
      <c r="H10585" t="s">
        <v>13964</v>
      </c>
      <c r="I10585">
        <v>500</v>
      </c>
      <c r="J10585">
        <v>107</v>
      </c>
      <c r="K10585">
        <v>0</v>
      </c>
      <c r="L10585">
        <v>6</v>
      </c>
      <c r="M10585">
        <v>387</v>
      </c>
      <c r="N10585">
        <v>0</v>
      </c>
      <c r="O10585">
        <v>0</v>
      </c>
    </row>
    <row r="10586" spans="1:15" x14ac:dyDescent="0.25">
      <c r="A10586" t="s">
        <v>1159</v>
      </c>
      <c r="B10586" t="s">
        <v>2829</v>
      </c>
      <c r="C10586" t="s">
        <v>927</v>
      </c>
      <c r="D10586" t="s">
        <v>3052</v>
      </c>
      <c r="E10586" t="s">
        <v>3053</v>
      </c>
      <c r="F10586" t="s">
        <v>284</v>
      </c>
      <c r="G10586" t="s">
        <v>3040</v>
      </c>
      <c r="H10586" t="s">
        <v>13966</v>
      </c>
      <c r="I10586">
        <v>3256</v>
      </c>
      <c r="J10586">
        <v>2721</v>
      </c>
      <c r="K10586">
        <v>290</v>
      </c>
      <c r="L10586">
        <v>30</v>
      </c>
      <c r="M10586">
        <v>0</v>
      </c>
      <c r="N10586">
        <v>19</v>
      </c>
      <c r="O10586">
        <v>215</v>
      </c>
    </row>
    <row r="10587" spans="1:15" x14ac:dyDescent="0.25">
      <c r="A10587" t="s">
        <v>1350</v>
      </c>
      <c r="B10587" t="s">
        <v>2494</v>
      </c>
      <c r="C10587" t="s">
        <v>923</v>
      </c>
      <c r="D10587" t="s">
        <v>3063</v>
      </c>
      <c r="E10587" t="s">
        <v>3053</v>
      </c>
      <c r="F10587" t="s">
        <v>284</v>
      </c>
      <c r="G10587" t="s">
        <v>3040</v>
      </c>
      <c r="H10587" t="s">
        <v>13969</v>
      </c>
      <c r="I10587">
        <v>44</v>
      </c>
      <c r="J10587">
        <v>44</v>
      </c>
      <c r="K10587">
        <v>0</v>
      </c>
      <c r="L10587">
        <v>0</v>
      </c>
      <c r="M10587">
        <v>0</v>
      </c>
      <c r="N10587">
        <v>0</v>
      </c>
      <c r="O10587">
        <v>0</v>
      </c>
    </row>
    <row r="10588" spans="1:15" x14ac:dyDescent="0.25">
      <c r="A10588" t="s">
        <v>1351</v>
      </c>
      <c r="B10588" t="s">
        <v>2426</v>
      </c>
      <c r="C10588" t="s">
        <v>923</v>
      </c>
      <c r="D10588" t="s">
        <v>3063</v>
      </c>
      <c r="E10588" t="s">
        <v>3053</v>
      </c>
      <c r="F10588" t="s">
        <v>284</v>
      </c>
      <c r="G10588" t="s">
        <v>3040</v>
      </c>
      <c r="H10588" t="s">
        <v>13971</v>
      </c>
      <c r="I10588">
        <v>23</v>
      </c>
      <c r="J10588">
        <v>23</v>
      </c>
      <c r="K10588">
        <v>0</v>
      </c>
      <c r="L10588">
        <v>0</v>
      </c>
      <c r="M10588">
        <v>0</v>
      </c>
      <c r="N10588">
        <v>0</v>
      </c>
      <c r="O10588">
        <v>0</v>
      </c>
    </row>
    <row r="10589" spans="1:15" x14ac:dyDescent="0.25">
      <c r="A10589" t="s">
        <v>11682</v>
      </c>
      <c r="B10589" t="s">
        <v>11776</v>
      </c>
      <c r="C10589" t="s">
        <v>923</v>
      </c>
      <c r="D10589" t="s">
        <v>3063</v>
      </c>
      <c r="E10589" t="s">
        <v>3053</v>
      </c>
      <c r="F10589" t="s">
        <v>284</v>
      </c>
      <c r="G10589" t="s">
        <v>3040</v>
      </c>
      <c r="H10589" t="s">
        <v>13974</v>
      </c>
      <c r="I10589">
        <v>38</v>
      </c>
      <c r="J10589">
        <v>38</v>
      </c>
      <c r="K10589">
        <v>0</v>
      </c>
      <c r="L10589">
        <v>0</v>
      </c>
      <c r="M10589">
        <v>0</v>
      </c>
      <c r="N10589">
        <v>0</v>
      </c>
      <c r="O10589">
        <v>0</v>
      </c>
    </row>
    <row r="10590" spans="1:15" x14ac:dyDescent="0.25">
      <c r="A10590" t="s">
        <v>1160</v>
      </c>
      <c r="B10590" t="s">
        <v>2863</v>
      </c>
      <c r="C10590" t="s">
        <v>923</v>
      </c>
      <c r="D10590" t="s">
        <v>3063</v>
      </c>
      <c r="E10590" t="s">
        <v>3053</v>
      </c>
      <c r="F10590" t="s">
        <v>284</v>
      </c>
      <c r="G10590" t="s">
        <v>3040</v>
      </c>
      <c r="H10590" t="s">
        <v>13976</v>
      </c>
      <c r="I10590">
        <v>272</v>
      </c>
      <c r="J10590">
        <v>272</v>
      </c>
      <c r="K10590">
        <v>0</v>
      </c>
      <c r="L10590">
        <v>0</v>
      </c>
      <c r="M10590">
        <v>0</v>
      </c>
      <c r="N10590">
        <v>0</v>
      </c>
      <c r="O10590">
        <v>0</v>
      </c>
    </row>
    <row r="10591" spans="1:15" x14ac:dyDescent="0.25">
      <c r="A10591" t="s">
        <v>1352</v>
      </c>
      <c r="B10591" t="s">
        <v>2085</v>
      </c>
      <c r="C10591" t="s">
        <v>923</v>
      </c>
      <c r="D10591" t="s">
        <v>3063</v>
      </c>
      <c r="E10591" t="s">
        <v>3053</v>
      </c>
      <c r="F10591" t="s">
        <v>284</v>
      </c>
      <c r="G10591" t="s">
        <v>3040</v>
      </c>
      <c r="H10591" t="s">
        <v>13982</v>
      </c>
      <c r="I10591">
        <v>603</v>
      </c>
      <c r="J10591">
        <v>603</v>
      </c>
      <c r="K10591">
        <v>0</v>
      </c>
      <c r="L10591">
        <v>0</v>
      </c>
      <c r="M10591">
        <v>0</v>
      </c>
      <c r="N10591">
        <v>0</v>
      </c>
      <c r="O10591">
        <v>0</v>
      </c>
    </row>
    <row r="10592" spans="1:15" x14ac:dyDescent="0.25">
      <c r="A10592" t="s">
        <v>1353</v>
      </c>
      <c r="B10592" t="s">
        <v>2927</v>
      </c>
      <c r="C10592" t="s">
        <v>923</v>
      </c>
      <c r="D10592" t="s">
        <v>3063</v>
      </c>
      <c r="E10592" t="s">
        <v>3053</v>
      </c>
      <c r="F10592" t="s">
        <v>284</v>
      </c>
      <c r="G10592" t="s">
        <v>3040</v>
      </c>
      <c r="H10592" t="s">
        <v>13985</v>
      </c>
      <c r="I10592">
        <v>370</v>
      </c>
      <c r="J10592">
        <v>293</v>
      </c>
      <c r="K10592">
        <v>15</v>
      </c>
      <c r="L10592">
        <v>0</v>
      </c>
      <c r="M10592">
        <v>62</v>
      </c>
      <c r="N10592">
        <v>0</v>
      </c>
      <c r="O10592">
        <v>0</v>
      </c>
    </row>
    <row r="10593" spans="1:15" x14ac:dyDescent="0.25">
      <c r="A10593" t="s">
        <v>1354</v>
      </c>
      <c r="B10593" t="s">
        <v>2676</v>
      </c>
      <c r="C10593" t="s">
        <v>927</v>
      </c>
      <c r="D10593" t="s">
        <v>3052</v>
      </c>
      <c r="E10593" t="s">
        <v>3053</v>
      </c>
      <c r="F10593" t="s">
        <v>284</v>
      </c>
      <c r="G10593" t="s">
        <v>3040</v>
      </c>
      <c r="H10593" t="s">
        <v>13993</v>
      </c>
      <c r="I10593">
        <v>1199</v>
      </c>
      <c r="J10593">
        <v>946</v>
      </c>
      <c r="K10593">
        <v>0</v>
      </c>
      <c r="L10593">
        <v>0</v>
      </c>
      <c r="M10593">
        <v>0</v>
      </c>
      <c r="N10593">
        <v>0</v>
      </c>
      <c r="O10593">
        <v>253</v>
      </c>
    </row>
    <row r="10594" spans="1:15" x14ac:dyDescent="0.25">
      <c r="A10594" t="s">
        <v>11683</v>
      </c>
      <c r="B10594" t="s">
        <v>11779</v>
      </c>
      <c r="C10594" t="s">
        <v>923</v>
      </c>
      <c r="D10594" t="s">
        <v>3063</v>
      </c>
      <c r="E10594" t="s">
        <v>3053</v>
      </c>
      <c r="F10594" t="s">
        <v>284</v>
      </c>
      <c r="G10594" t="s">
        <v>3040</v>
      </c>
      <c r="H10594" t="s">
        <v>13998</v>
      </c>
      <c r="I10594">
        <v>7</v>
      </c>
      <c r="J10594">
        <v>0</v>
      </c>
      <c r="K10594">
        <v>0</v>
      </c>
      <c r="L10594">
        <v>0</v>
      </c>
      <c r="M10594">
        <v>7</v>
      </c>
      <c r="N10594">
        <v>0</v>
      </c>
      <c r="O10594">
        <v>0</v>
      </c>
    </row>
    <row r="10595" spans="1:15" x14ac:dyDescent="0.25">
      <c r="A10595" t="s">
        <v>9812</v>
      </c>
      <c r="B10595" t="s">
        <v>2575</v>
      </c>
      <c r="C10595" t="s">
        <v>923</v>
      </c>
      <c r="D10595" t="s">
        <v>3063</v>
      </c>
      <c r="E10595" t="s">
        <v>3053</v>
      </c>
      <c r="F10595" t="s">
        <v>284</v>
      </c>
      <c r="G10595" t="s">
        <v>3040</v>
      </c>
      <c r="H10595" t="s">
        <v>14013</v>
      </c>
      <c r="I10595">
        <v>8</v>
      </c>
      <c r="J10595">
        <v>0</v>
      </c>
      <c r="K10595">
        <v>0</v>
      </c>
      <c r="L10595">
        <v>0</v>
      </c>
      <c r="M10595">
        <v>8</v>
      </c>
      <c r="N10595">
        <v>0</v>
      </c>
      <c r="O10595">
        <v>0</v>
      </c>
    </row>
    <row r="10596" spans="1:15" x14ac:dyDescent="0.25">
      <c r="A10596" t="s">
        <v>1355</v>
      </c>
      <c r="B10596" t="s">
        <v>2589</v>
      </c>
      <c r="C10596" t="s">
        <v>923</v>
      </c>
      <c r="D10596" t="s">
        <v>3063</v>
      </c>
      <c r="E10596" t="s">
        <v>3053</v>
      </c>
      <c r="F10596" t="s">
        <v>284</v>
      </c>
      <c r="G10596" t="s">
        <v>3040</v>
      </c>
      <c r="H10596" t="s">
        <v>14016</v>
      </c>
      <c r="I10596">
        <v>5</v>
      </c>
      <c r="J10596">
        <v>0</v>
      </c>
      <c r="K10596">
        <v>0</v>
      </c>
      <c r="L10596">
        <v>0</v>
      </c>
      <c r="M10596">
        <v>5</v>
      </c>
      <c r="N10596">
        <v>0</v>
      </c>
      <c r="O10596">
        <v>0</v>
      </c>
    </row>
    <row r="10597" spans="1:15" x14ac:dyDescent="0.25">
      <c r="A10597" t="s">
        <v>1356</v>
      </c>
      <c r="B10597" t="s">
        <v>2531</v>
      </c>
      <c r="C10597" t="s">
        <v>923</v>
      </c>
      <c r="D10597" t="s">
        <v>3063</v>
      </c>
      <c r="E10597" t="s">
        <v>3053</v>
      </c>
      <c r="F10597" t="s">
        <v>284</v>
      </c>
      <c r="G10597" t="s">
        <v>3040</v>
      </c>
      <c r="H10597" t="s">
        <v>14017</v>
      </c>
      <c r="I10597">
        <v>7</v>
      </c>
      <c r="J10597">
        <v>0</v>
      </c>
      <c r="K10597">
        <v>0</v>
      </c>
      <c r="L10597">
        <v>0</v>
      </c>
      <c r="M10597">
        <v>7</v>
      </c>
      <c r="N10597">
        <v>0</v>
      </c>
      <c r="O10597">
        <v>0</v>
      </c>
    </row>
    <row r="10598" spans="1:15" x14ac:dyDescent="0.25">
      <c r="A10598" t="s">
        <v>1357</v>
      </c>
      <c r="B10598" t="s">
        <v>2606</v>
      </c>
      <c r="C10598" t="s">
        <v>923</v>
      </c>
      <c r="D10598" t="s">
        <v>3063</v>
      </c>
      <c r="E10598" t="s">
        <v>3053</v>
      </c>
      <c r="F10598" t="s">
        <v>284</v>
      </c>
      <c r="G10598" t="s">
        <v>3040</v>
      </c>
      <c r="H10598" t="s">
        <v>14022</v>
      </c>
      <c r="I10598">
        <v>22</v>
      </c>
      <c r="J10598">
        <v>0</v>
      </c>
      <c r="K10598">
        <v>0</v>
      </c>
      <c r="L10598">
        <v>22</v>
      </c>
      <c r="M10598">
        <v>0</v>
      </c>
      <c r="N10598">
        <v>0</v>
      </c>
      <c r="O10598">
        <v>0</v>
      </c>
    </row>
    <row r="10599" spans="1:15" x14ac:dyDescent="0.25">
      <c r="A10599" t="s">
        <v>1358</v>
      </c>
      <c r="B10599" t="s">
        <v>2551</v>
      </c>
      <c r="C10599" t="s">
        <v>923</v>
      </c>
      <c r="D10599" t="s">
        <v>3063</v>
      </c>
      <c r="E10599" t="s">
        <v>3053</v>
      </c>
      <c r="F10599" t="s">
        <v>284</v>
      </c>
      <c r="G10599" t="s">
        <v>3040</v>
      </c>
      <c r="H10599" t="s">
        <v>14027</v>
      </c>
      <c r="I10599">
        <v>9</v>
      </c>
      <c r="J10599">
        <v>0</v>
      </c>
      <c r="K10599">
        <v>0</v>
      </c>
      <c r="L10599">
        <v>0</v>
      </c>
      <c r="M10599">
        <v>9</v>
      </c>
      <c r="N10599">
        <v>0</v>
      </c>
      <c r="O10599">
        <v>0</v>
      </c>
    </row>
    <row r="10600" spans="1:15" x14ac:dyDescent="0.25">
      <c r="A10600" t="s">
        <v>1066</v>
      </c>
      <c r="B10600" t="s">
        <v>2557</v>
      </c>
      <c r="C10600" t="s">
        <v>927</v>
      </c>
      <c r="D10600" t="s">
        <v>3052</v>
      </c>
      <c r="E10600" t="s">
        <v>3053</v>
      </c>
      <c r="F10600" t="s">
        <v>284</v>
      </c>
      <c r="G10600" t="s">
        <v>3040</v>
      </c>
      <c r="H10600" t="s">
        <v>14030</v>
      </c>
      <c r="I10600">
        <v>43</v>
      </c>
      <c r="J10600">
        <v>0</v>
      </c>
      <c r="K10600">
        <v>0</v>
      </c>
      <c r="L10600">
        <v>0</v>
      </c>
      <c r="M10600">
        <v>43</v>
      </c>
      <c r="N10600">
        <v>0</v>
      </c>
      <c r="O10600">
        <v>0</v>
      </c>
    </row>
    <row r="10601" spans="1:15" x14ac:dyDescent="0.25">
      <c r="A10601" t="s">
        <v>1359</v>
      </c>
      <c r="B10601" t="s">
        <v>2546</v>
      </c>
      <c r="C10601" t="s">
        <v>923</v>
      </c>
      <c r="D10601" t="s">
        <v>3063</v>
      </c>
      <c r="E10601" t="s">
        <v>3053</v>
      </c>
      <c r="F10601" t="s">
        <v>284</v>
      </c>
      <c r="G10601" t="s">
        <v>3040</v>
      </c>
      <c r="H10601" t="s">
        <v>14041</v>
      </c>
      <c r="I10601">
        <v>30</v>
      </c>
      <c r="J10601">
        <v>0</v>
      </c>
      <c r="K10601">
        <v>0</v>
      </c>
      <c r="L10601">
        <v>0</v>
      </c>
      <c r="M10601">
        <v>30</v>
      </c>
      <c r="N10601">
        <v>0</v>
      </c>
      <c r="O10601">
        <v>0</v>
      </c>
    </row>
    <row r="10602" spans="1:15" x14ac:dyDescent="0.25">
      <c r="A10602" t="s">
        <v>1360</v>
      </c>
      <c r="B10602" t="s">
        <v>2216</v>
      </c>
      <c r="C10602" t="s">
        <v>923</v>
      </c>
      <c r="D10602" t="s">
        <v>3063</v>
      </c>
      <c r="E10602" t="s">
        <v>3053</v>
      </c>
      <c r="F10602" t="s">
        <v>284</v>
      </c>
      <c r="G10602" t="s">
        <v>3040</v>
      </c>
      <c r="H10602" t="s">
        <v>14052</v>
      </c>
      <c r="I10602">
        <v>33</v>
      </c>
      <c r="J10602">
        <v>0</v>
      </c>
      <c r="K10602">
        <v>0</v>
      </c>
      <c r="L10602">
        <v>0</v>
      </c>
      <c r="M10602">
        <v>33</v>
      </c>
      <c r="N10602">
        <v>0</v>
      </c>
      <c r="O10602">
        <v>0</v>
      </c>
    </row>
    <row r="10603" spans="1:15" x14ac:dyDescent="0.25">
      <c r="A10603" t="s">
        <v>1361</v>
      </c>
      <c r="B10603" t="s">
        <v>2305</v>
      </c>
      <c r="C10603" t="s">
        <v>923</v>
      </c>
      <c r="D10603" t="s">
        <v>3063</v>
      </c>
      <c r="E10603" t="s">
        <v>3053</v>
      </c>
      <c r="F10603" t="s">
        <v>284</v>
      </c>
      <c r="G10603" t="s">
        <v>3040</v>
      </c>
      <c r="H10603" t="s">
        <v>14061</v>
      </c>
      <c r="I10603">
        <v>8</v>
      </c>
      <c r="J10603">
        <v>8</v>
      </c>
      <c r="K10603">
        <v>0</v>
      </c>
      <c r="L10603">
        <v>0</v>
      </c>
      <c r="M10603">
        <v>0</v>
      </c>
      <c r="N10603">
        <v>0</v>
      </c>
      <c r="O10603">
        <v>0</v>
      </c>
    </row>
    <row r="10604" spans="1:15" x14ac:dyDescent="0.25">
      <c r="A10604" t="s">
        <v>1362</v>
      </c>
      <c r="B10604" t="s">
        <v>2298</v>
      </c>
      <c r="C10604" t="s">
        <v>923</v>
      </c>
      <c r="D10604" t="s">
        <v>3063</v>
      </c>
      <c r="E10604" t="s">
        <v>3053</v>
      </c>
      <c r="F10604" t="s">
        <v>284</v>
      </c>
      <c r="G10604" t="s">
        <v>3040</v>
      </c>
      <c r="H10604" t="s">
        <v>14064</v>
      </c>
      <c r="I10604">
        <v>172</v>
      </c>
      <c r="J10604">
        <v>0</v>
      </c>
      <c r="K10604">
        <v>0</v>
      </c>
      <c r="L10604">
        <v>0</v>
      </c>
      <c r="M10604">
        <v>172</v>
      </c>
      <c r="N10604">
        <v>48</v>
      </c>
      <c r="O10604">
        <v>0</v>
      </c>
    </row>
    <row r="10605" spans="1:15" x14ac:dyDescent="0.25">
      <c r="A10605" t="s">
        <v>1170</v>
      </c>
      <c r="B10605" t="s">
        <v>2968</v>
      </c>
      <c r="C10605" t="s">
        <v>923</v>
      </c>
      <c r="D10605" t="s">
        <v>3063</v>
      </c>
      <c r="E10605" t="s">
        <v>3053</v>
      </c>
      <c r="F10605" t="s">
        <v>284</v>
      </c>
      <c r="G10605" t="s">
        <v>3040</v>
      </c>
      <c r="H10605" t="s">
        <v>14080</v>
      </c>
      <c r="I10605">
        <v>19</v>
      </c>
      <c r="J10605">
        <v>0</v>
      </c>
      <c r="K10605">
        <v>0</v>
      </c>
      <c r="L10605">
        <v>19</v>
      </c>
      <c r="M10605">
        <v>0</v>
      </c>
      <c r="N10605">
        <v>0</v>
      </c>
      <c r="O10605">
        <v>0</v>
      </c>
    </row>
    <row r="10606" spans="1:15" x14ac:dyDescent="0.25">
      <c r="A10606" t="s">
        <v>1363</v>
      </c>
      <c r="B10606" t="s">
        <v>2150</v>
      </c>
      <c r="C10606" t="s">
        <v>923</v>
      </c>
      <c r="D10606" t="s">
        <v>3063</v>
      </c>
      <c r="E10606" t="s">
        <v>3053</v>
      </c>
      <c r="F10606" t="s">
        <v>284</v>
      </c>
      <c r="G10606" t="s">
        <v>3040</v>
      </c>
      <c r="H10606" t="s">
        <v>14082</v>
      </c>
      <c r="I10606">
        <v>172</v>
      </c>
      <c r="J10606">
        <v>0</v>
      </c>
      <c r="K10606">
        <v>0</v>
      </c>
      <c r="L10606">
        <v>0</v>
      </c>
      <c r="M10606">
        <v>172</v>
      </c>
      <c r="N10606">
        <v>0</v>
      </c>
      <c r="O10606">
        <v>0</v>
      </c>
    </row>
    <row r="10607" spans="1:15" x14ac:dyDescent="0.25">
      <c r="A10607" t="s">
        <v>1069</v>
      </c>
      <c r="B10607" t="s">
        <v>2001</v>
      </c>
      <c r="C10607" t="s">
        <v>927</v>
      </c>
      <c r="D10607" t="s">
        <v>3052</v>
      </c>
      <c r="E10607" t="s">
        <v>3053</v>
      </c>
      <c r="F10607" t="s">
        <v>284</v>
      </c>
      <c r="G10607" t="s">
        <v>3040</v>
      </c>
      <c r="H10607" t="s">
        <v>14090</v>
      </c>
      <c r="I10607">
        <v>6968</v>
      </c>
      <c r="J10607">
        <v>5914</v>
      </c>
      <c r="K10607">
        <v>0</v>
      </c>
      <c r="L10607">
        <v>68</v>
      </c>
      <c r="M10607">
        <v>265</v>
      </c>
      <c r="N10607">
        <v>0</v>
      </c>
      <c r="O10607">
        <v>721</v>
      </c>
    </row>
    <row r="10608" spans="1:15" x14ac:dyDescent="0.25">
      <c r="A10608" t="s">
        <v>1364</v>
      </c>
      <c r="B10608" t="s">
        <v>2204</v>
      </c>
      <c r="C10608" t="s">
        <v>923</v>
      </c>
      <c r="D10608" t="s">
        <v>3063</v>
      </c>
      <c r="E10608" t="s">
        <v>3053</v>
      </c>
      <c r="F10608" t="s">
        <v>284</v>
      </c>
      <c r="G10608" t="s">
        <v>3040</v>
      </c>
      <c r="H10608" t="s">
        <v>14097</v>
      </c>
      <c r="I10608">
        <v>12</v>
      </c>
      <c r="J10608">
        <v>0</v>
      </c>
      <c r="K10608">
        <v>0</v>
      </c>
      <c r="L10608">
        <v>0</v>
      </c>
      <c r="M10608">
        <v>12</v>
      </c>
      <c r="N10608">
        <v>0</v>
      </c>
      <c r="O10608">
        <v>0</v>
      </c>
    </row>
    <row r="10609" spans="1:15" x14ac:dyDescent="0.25">
      <c r="A10609" t="s">
        <v>1174</v>
      </c>
      <c r="B10609" t="s">
        <v>2663</v>
      </c>
      <c r="C10609" t="s">
        <v>927</v>
      </c>
      <c r="D10609" t="s">
        <v>3052</v>
      </c>
      <c r="E10609" t="s">
        <v>3053</v>
      </c>
      <c r="F10609" t="s">
        <v>284</v>
      </c>
      <c r="G10609" t="s">
        <v>3040</v>
      </c>
      <c r="H10609" t="s">
        <v>14115</v>
      </c>
      <c r="I10609">
        <v>1444</v>
      </c>
      <c r="J10609">
        <v>1201</v>
      </c>
      <c r="K10609">
        <v>0</v>
      </c>
      <c r="L10609">
        <v>0</v>
      </c>
      <c r="M10609">
        <v>196</v>
      </c>
      <c r="N10609">
        <v>169</v>
      </c>
      <c r="O10609">
        <v>47</v>
      </c>
    </row>
    <row r="10610" spans="1:15" x14ac:dyDescent="0.25">
      <c r="A10610" t="s">
        <v>9813</v>
      </c>
      <c r="B10610" t="s">
        <v>9878</v>
      </c>
      <c r="C10610" t="s">
        <v>923</v>
      </c>
      <c r="D10610" t="s">
        <v>3063</v>
      </c>
      <c r="E10610" t="s">
        <v>3053</v>
      </c>
      <c r="F10610" t="s">
        <v>284</v>
      </c>
      <c r="G10610" t="s">
        <v>3040</v>
      </c>
      <c r="H10610" t="s">
        <v>14121</v>
      </c>
      <c r="I10610">
        <v>40</v>
      </c>
      <c r="J10610">
        <v>40</v>
      </c>
      <c r="K10610">
        <v>0</v>
      </c>
      <c r="L10610">
        <v>0</v>
      </c>
      <c r="M10610">
        <v>0</v>
      </c>
      <c r="N10610">
        <v>0</v>
      </c>
      <c r="O10610">
        <v>0</v>
      </c>
    </row>
    <row r="10611" spans="1:15" x14ac:dyDescent="0.25">
      <c r="A10611" t="s">
        <v>1365</v>
      </c>
      <c r="B10611" t="s">
        <v>2223</v>
      </c>
      <c r="C10611" t="s">
        <v>923</v>
      </c>
      <c r="D10611" t="s">
        <v>3063</v>
      </c>
      <c r="E10611" t="s">
        <v>3053</v>
      </c>
      <c r="F10611" t="s">
        <v>284</v>
      </c>
      <c r="G10611" t="s">
        <v>3040</v>
      </c>
      <c r="H10611" t="s">
        <v>14124</v>
      </c>
      <c r="I10611">
        <v>75</v>
      </c>
      <c r="J10611">
        <v>75</v>
      </c>
      <c r="K10611">
        <v>0</v>
      </c>
      <c r="L10611">
        <v>0</v>
      </c>
      <c r="M10611">
        <v>0</v>
      </c>
      <c r="N10611">
        <v>0</v>
      </c>
      <c r="O10611">
        <v>0</v>
      </c>
    </row>
    <row r="10612" spans="1:15" x14ac:dyDescent="0.25">
      <c r="A10612" t="s">
        <v>10764</v>
      </c>
      <c r="B10612" t="s">
        <v>10763</v>
      </c>
      <c r="C10612" t="s">
        <v>923</v>
      </c>
      <c r="D10612" t="s">
        <v>3063</v>
      </c>
      <c r="E10612" t="s">
        <v>3053</v>
      </c>
      <c r="F10612" t="s">
        <v>284</v>
      </c>
      <c r="G10612" t="s">
        <v>3040</v>
      </c>
      <c r="H10612" t="s">
        <v>14125</v>
      </c>
      <c r="I10612">
        <v>25</v>
      </c>
      <c r="J10612">
        <v>25</v>
      </c>
      <c r="K10612">
        <v>0</v>
      </c>
      <c r="L10612">
        <v>0</v>
      </c>
      <c r="M10612">
        <v>0</v>
      </c>
      <c r="N10612">
        <v>0</v>
      </c>
      <c r="O10612">
        <v>0</v>
      </c>
    </row>
    <row r="10613" spans="1:15" x14ac:dyDescent="0.25">
      <c r="A10613" t="s">
        <v>1366</v>
      </c>
      <c r="B10613" t="s">
        <v>2480</v>
      </c>
      <c r="C10613" t="s">
        <v>923</v>
      </c>
      <c r="D10613" t="s">
        <v>3063</v>
      </c>
      <c r="E10613" t="s">
        <v>3053</v>
      </c>
      <c r="F10613" t="s">
        <v>284</v>
      </c>
      <c r="G10613" t="s">
        <v>3040</v>
      </c>
      <c r="H10613" t="s">
        <v>14129</v>
      </c>
      <c r="I10613">
        <v>41</v>
      </c>
      <c r="J10613">
        <v>41</v>
      </c>
      <c r="K10613">
        <v>0</v>
      </c>
      <c r="L10613">
        <v>0</v>
      </c>
      <c r="M10613">
        <v>0</v>
      </c>
      <c r="N10613">
        <v>0</v>
      </c>
      <c r="O10613">
        <v>0</v>
      </c>
    </row>
    <row r="10614" spans="1:15" x14ac:dyDescent="0.25">
      <c r="A10614" t="s">
        <v>1071</v>
      </c>
      <c r="B10614" t="s">
        <v>2571</v>
      </c>
      <c r="C10614" t="s">
        <v>923</v>
      </c>
      <c r="D10614" t="s">
        <v>3063</v>
      </c>
      <c r="E10614" t="s">
        <v>3053</v>
      </c>
      <c r="F10614" t="s">
        <v>284</v>
      </c>
      <c r="G10614" t="s">
        <v>3040</v>
      </c>
      <c r="H10614" t="s">
        <v>14140</v>
      </c>
      <c r="I10614">
        <v>65</v>
      </c>
      <c r="J10614">
        <v>0</v>
      </c>
      <c r="K10614">
        <v>0</v>
      </c>
      <c r="L10614">
        <v>65</v>
      </c>
      <c r="M10614">
        <v>0</v>
      </c>
      <c r="N10614">
        <v>0</v>
      </c>
      <c r="O10614">
        <v>0</v>
      </c>
    </row>
    <row r="10615" spans="1:15" x14ac:dyDescent="0.25">
      <c r="A10615" t="s">
        <v>1072</v>
      </c>
      <c r="B10615" t="s">
        <v>2907</v>
      </c>
      <c r="C10615" t="s">
        <v>927</v>
      </c>
      <c r="D10615" t="s">
        <v>3052</v>
      </c>
      <c r="E10615" t="s">
        <v>3053</v>
      </c>
      <c r="F10615" t="s">
        <v>284</v>
      </c>
      <c r="G10615" t="s">
        <v>3040</v>
      </c>
      <c r="H10615" t="s">
        <v>14147</v>
      </c>
      <c r="I10615">
        <v>14366</v>
      </c>
      <c r="J10615">
        <v>9612</v>
      </c>
      <c r="K10615">
        <v>13</v>
      </c>
      <c r="L10615">
        <v>1693</v>
      </c>
      <c r="M10615">
        <v>878</v>
      </c>
      <c r="N10615">
        <v>25</v>
      </c>
      <c r="O10615">
        <v>2170</v>
      </c>
    </row>
    <row r="10616" spans="1:15" x14ac:dyDescent="0.25">
      <c r="A10616" t="s">
        <v>10765</v>
      </c>
      <c r="B10616" t="s">
        <v>2281</v>
      </c>
      <c r="C10616" t="s">
        <v>923</v>
      </c>
      <c r="D10616" t="s">
        <v>3063</v>
      </c>
      <c r="E10616" t="s">
        <v>3053</v>
      </c>
      <c r="F10616" t="s">
        <v>284</v>
      </c>
      <c r="G10616" t="s">
        <v>3040</v>
      </c>
      <c r="H10616" t="s">
        <v>14156</v>
      </c>
      <c r="I10616">
        <v>253</v>
      </c>
      <c r="J10616">
        <v>4</v>
      </c>
      <c r="K10616">
        <v>0</v>
      </c>
      <c r="L10616">
        <v>249</v>
      </c>
      <c r="M10616">
        <v>0</v>
      </c>
      <c r="N10616">
        <v>31</v>
      </c>
      <c r="O10616">
        <v>0</v>
      </c>
    </row>
    <row r="10617" spans="1:15" x14ac:dyDescent="0.25">
      <c r="A10617" t="s">
        <v>1367</v>
      </c>
      <c r="B10617" t="s">
        <v>2263</v>
      </c>
      <c r="C10617" t="s">
        <v>923</v>
      </c>
      <c r="D10617" t="s">
        <v>3063</v>
      </c>
      <c r="E10617" t="s">
        <v>3053</v>
      </c>
      <c r="F10617" t="s">
        <v>284</v>
      </c>
      <c r="G10617" t="s">
        <v>3040</v>
      </c>
      <c r="H10617" t="s">
        <v>14158</v>
      </c>
      <c r="I10617">
        <v>88</v>
      </c>
      <c r="J10617">
        <v>0</v>
      </c>
      <c r="K10617">
        <v>0</v>
      </c>
      <c r="L10617">
        <v>0</v>
      </c>
      <c r="M10617">
        <v>88</v>
      </c>
      <c r="N10617">
        <v>0</v>
      </c>
      <c r="O10617">
        <v>0</v>
      </c>
    </row>
    <row r="10618" spans="1:15" x14ac:dyDescent="0.25">
      <c r="A10618" t="s">
        <v>1368</v>
      </c>
      <c r="B10618" t="s">
        <v>3022</v>
      </c>
      <c r="C10618" t="s">
        <v>923</v>
      </c>
      <c r="D10618" t="s">
        <v>3063</v>
      </c>
      <c r="E10618" t="s">
        <v>3053</v>
      </c>
      <c r="F10618" t="s">
        <v>284</v>
      </c>
      <c r="G10618" t="s">
        <v>3040</v>
      </c>
      <c r="H10618" t="s">
        <v>14161</v>
      </c>
      <c r="I10618">
        <v>47</v>
      </c>
      <c r="J10618">
        <v>21</v>
      </c>
      <c r="K10618">
        <v>10</v>
      </c>
      <c r="L10618">
        <v>16</v>
      </c>
      <c r="M10618">
        <v>0</v>
      </c>
      <c r="N10618">
        <v>2</v>
      </c>
      <c r="O10618">
        <v>0</v>
      </c>
    </row>
    <row r="10619" spans="1:15" x14ac:dyDescent="0.25">
      <c r="A10619" t="s">
        <v>1369</v>
      </c>
      <c r="B10619" t="s">
        <v>10767</v>
      </c>
      <c r="C10619" t="s">
        <v>923</v>
      </c>
      <c r="D10619" t="s">
        <v>3063</v>
      </c>
      <c r="E10619" t="s">
        <v>3053</v>
      </c>
      <c r="F10619" t="s">
        <v>284</v>
      </c>
      <c r="G10619" t="s">
        <v>3040</v>
      </c>
      <c r="H10619" t="s">
        <v>14174</v>
      </c>
      <c r="I10619">
        <v>9</v>
      </c>
      <c r="J10619">
        <v>9</v>
      </c>
      <c r="K10619">
        <v>0</v>
      </c>
      <c r="L10619">
        <v>0</v>
      </c>
      <c r="M10619">
        <v>0</v>
      </c>
      <c r="N10619">
        <v>0</v>
      </c>
      <c r="O10619">
        <v>0</v>
      </c>
    </row>
    <row r="10620" spans="1:15" x14ac:dyDescent="0.25">
      <c r="A10620" t="s">
        <v>1370</v>
      </c>
      <c r="B10620" t="s">
        <v>2066</v>
      </c>
      <c r="C10620" t="s">
        <v>923</v>
      </c>
      <c r="D10620" t="s">
        <v>3063</v>
      </c>
      <c r="E10620" t="s">
        <v>3053</v>
      </c>
      <c r="F10620" t="s">
        <v>284</v>
      </c>
      <c r="G10620" t="s">
        <v>3040</v>
      </c>
      <c r="H10620" t="s">
        <v>14184</v>
      </c>
      <c r="I10620">
        <v>17</v>
      </c>
      <c r="J10620">
        <v>17</v>
      </c>
      <c r="K10620">
        <v>0</v>
      </c>
      <c r="L10620">
        <v>0</v>
      </c>
      <c r="M10620">
        <v>0</v>
      </c>
      <c r="N10620">
        <v>0</v>
      </c>
      <c r="O10620">
        <v>0</v>
      </c>
    </row>
    <row r="10621" spans="1:15" x14ac:dyDescent="0.25">
      <c r="A10621" t="s">
        <v>1371</v>
      </c>
      <c r="B10621" t="s">
        <v>2388</v>
      </c>
      <c r="C10621" t="s">
        <v>923</v>
      </c>
      <c r="D10621" t="s">
        <v>3063</v>
      </c>
      <c r="E10621" t="s">
        <v>3053</v>
      </c>
      <c r="F10621" t="s">
        <v>284</v>
      </c>
      <c r="G10621" t="s">
        <v>3040</v>
      </c>
      <c r="H10621" t="s">
        <v>14193</v>
      </c>
      <c r="I10621">
        <v>70</v>
      </c>
      <c r="J10621">
        <v>70</v>
      </c>
      <c r="K10621">
        <v>0</v>
      </c>
      <c r="L10621">
        <v>0</v>
      </c>
      <c r="M10621">
        <v>0</v>
      </c>
      <c r="N10621">
        <v>0</v>
      </c>
      <c r="O10621">
        <v>0</v>
      </c>
    </row>
    <row r="10622" spans="1:15" x14ac:dyDescent="0.25">
      <c r="A10622" t="s">
        <v>1372</v>
      </c>
      <c r="B10622" t="s">
        <v>2847</v>
      </c>
      <c r="C10622" t="s">
        <v>927</v>
      </c>
      <c r="D10622" t="s">
        <v>3052</v>
      </c>
      <c r="E10622" t="s">
        <v>3053</v>
      </c>
      <c r="F10622" t="s">
        <v>284</v>
      </c>
      <c r="G10622" t="s">
        <v>3040</v>
      </c>
      <c r="H10622" t="s">
        <v>14196</v>
      </c>
      <c r="I10622">
        <v>2053</v>
      </c>
      <c r="J10622">
        <v>1999</v>
      </c>
      <c r="K10622">
        <v>0</v>
      </c>
      <c r="L10622">
        <v>0</v>
      </c>
      <c r="M10622">
        <v>0</v>
      </c>
      <c r="N10622">
        <v>179</v>
      </c>
      <c r="O10622">
        <v>54</v>
      </c>
    </row>
    <row r="10623" spans="1:15" x14ac:dyDescent="0.25">
      <c r="A10623" t="s">
        <v>1373</v>
      </c>
      <c r="B10623" t="s">
        <v>2510</v>
      </c>
      <c r="C10623" t="s">
        <v>923</v>
      </c>
      <c r="D10623" t="s">
        <v>3063</v>
      </c>
      <c r="E10623" t="s">
        <v>3053</v>
      </c>
      <c r="F10623" t="s">
        <v>284</v>
      </c>
      <c r="G10623" t="s">
        <v>3040</v>
      </c>
      <c r="H10623" t="s">
        <v>14201</v>
      </c>
      <c r="I10623">
        <v>32</v>
      </c>
      <c r="J10623">
        <v>32</v>
      </c>
      <c r="K10623">
        <v>0</v>
      </c>
      <c r="L10623">
        <v>0</v>
      </c>
      <c r="M10623">
        <v>0</v>
      </c>
      <c r="N10623">
        <v>0</v>
      </c>
      <c r="O10623">
        <v>0</v>
      </c>
    </row>
    <row r="10624" spans="1:15" x14ac:dyDescent="0.25">
      <c r="A10624" t="s">
        <v>1374</v>
      </c>
      <c r="B10624" t="s">
        <v>2580</v>
      </c>
      <c r="C10624" t="s">
        <v>923</v>
      </c>
      <c r="D10624" t="s">
        <v>3063</v>
      </c>
      <c r="E10624" t="s">
        <v>3053</v>
      </c>
      <c r="F10624" t="s">
        <v>284</v>
      </c>
      <c r="G10624" t="s">
        <v>3040</v>
      </c>
      <c r="H10624" t="s">
        <v>14202</v>
      </c>
      <c r="I10624">
        <v>73</v>
      </c>
      <c r="J10624">
        <v>0</v>
      </c>
      <c r="K10624">
        <v>0</v>
      </c>
      <c r="L10624">
        <v>73</v>
      </c>
      <c r="M10624">
        <v>0</v>
      </c>
      <c r="N10624">
        <v>0</v>
      </c>
      <c r="O10624">
        <v>0</v>
      </c>
    </row>
    <row r="10625" spans="1:15" x14ac:dyDescent="0.25">
      <c r="A10625" t="s">
        <v>1375</v>
      </c>
      <c r="B10625" t="s">
        <v>2235</v>
      </c>
      <c r="C10625" t="s">
        <v>923</v>
      </c>
      <c r="D10625" t="s">
        <v>3063</v>
      </c>
      <c r="E10625" t="s">
        <v>3053</v>
      </c>
      <c r="F10625" t="s">
        <v>284</v>
      </c>
      <c r="G10625" t="s">
        <v>3040</v>
      </c>
      <c r="H10625" t="s">
        <v>14210</v>
      </c>
      <c r="I10625">
        <v>16</v>
      </c>
      <c r="J10625">
        <v>0</v>
      </c>
      <c r="K10625">
        <v>0</v>
      </c>
      <c r="L10625">
        <v>0</v>
      </c>
      <c r="M10625">
        <v>16</v>
      </c>
      <c r="N10625">
        <v>0</v>
      </c>
      <c r="O10625">
        <v>0</v>
      </c>
    </row>
    <row r="10626" spans="1:15" x14ac:dyDescent="0.25">
      <c r="A10626" t="s">
        <v>1078</v>
      </c>
      <c r="B10626" t="s">
        <v>1950</v>
      </c>
      <c r="C10626" t="s">
        <v>923</v>
      </c>
      <c r="D10626" t="s">
        <v>3063</v>
      </c>
      <c r="E10626" t="s">
        <v>3053</v>
      </c>
      <c r="F10626" t="s">
        <v>284</v>
      </c>
      <c r="G10626" t="s">
        <v>3040</v>
      </c>
      <c r="H10626" t="s">
        <v>14213</v>
      </c>
      <c r="I10626">
        <v>28</v>
      </c>
      <c r="J10626">
        <v>0</v>
      </c>
      <c r="K10626">
        <v>0</v>
      </c>
      <c r="L10626">
        <v>28</v>
      </c>
      <c r="M10626">
        <v>0</v>
      </c>
      <c r="N10626">
        <v>0</v>
      </c>
      <c r="O10626">
        <v>0</v>
      </c>
    </row>
    <row r="10627" spans="1:15" x14ac:dyDescent="0.25">
      <c r="A10627" t="s">
        <v>1182</v>
      </c>
      <c r="B10627" t="s">
        <v>2583</v>
      </c>
      <c r="C10627" t="s">
        <v>923</v>
      </c>
      <c r="D10627" t="s">
        <v>3063</v>
      </c>
      <c r="E10627" t="s">
        <v>3053</v>
      </c>
      <c r="F10627" t="s">
        <v>284</v>
      </c>
      <c r="G10627" t="s">
        <v>3040</v>
      </c>
      <c r="H10627" t="s">
        <v>14221</v>
      </c>
      <c r="I10627">
        <v>36</v>
      </c>
      <c r="J10627">
        <v>0</v>
      </c>
      <c r="K10627">
        <v>0</v>
      </c>
      <c r="L10627">
        <v>36</v>
      </c>
      <c r="M10627">
        <v>0</v>
      </c>
      <c r="N10627">
        <v>0</v>
      </c>
      <c r="O10627">
        <v>0</v>
      </c>
    </row>
    <row r="10628" spans="1:15" x14ac:dyDescent="0.25">
      <c r="A10628" t="s">
        <v>14389</v>
      </c>
      <c r="B10628" t="s">
        <v>14472</v>
      </c>
      <c r="C10628" t="s">
        <v>923</v>
      </c>
      <c r="D10628" t="s">
        <v>3063</v>
      </c>
      <c r="E10628" t="s">
        <v>3053</v>
      </c>
      <c r="F10628" t="s">
        <v>284</v>
      </c>
      <c r="G10628" t="s">
        <v>3040</v>
      </c>
      <c r="H10628" t="s">
        <v>15546</v>
      </c>
      <c r="I10628">
        <v>166</v>
      </c>
      <c r="J10628">
        <v>0</v>
      </c>
      <c r="K10628">
        <v>0</v>
      </c>
      <c r="L10628">
        <v>166</v>
      </c>
      <c r="M10628">
        <v>0</v>
      </c>
      <c r="N10628">
        <v>0</v>
      </c>
      <c r="O10628">
        <v>0</v>
      </c>
    </row>
    <row r="10629" spans="1:15" x14ac:dyDescent="0.25">
      <c r="A10629" t="s">
        <v>1376</v>
      </c>
      <c r="B10629" t="s">
        <v>2931</v>
      </c>
      <c r="C10629" t="s">
        <v>923</v>
      </c>
      <c r="D10629" t="s">
        <v>3063</v>
      </c>
      <c r="E10629" t="s">
        <v>3053</v>
      </c>
      <c r="F10629" t="s">
        <v>284</v>
      </c>
      <c r="G10629" t="s">
        <v>3040</v>
      </c>
      <c r="H10629" t="s">
        <v>14235</v>
      </c>
      <c r="I10629">
        <v>66</v>
      </c>
      <c r="J10629">
        <v>0</v>
      </c>
      <c r="K10629">
        <v>66</v>
      </c>
      <c r="L10629">
        <v>0</v>
      </c>
      <c r="M10629">
        <v>0</v>
      </c>
      <c r="N10629">
        <v>0</v>
      </c>
      <c r="O10629">
        <v>0</v>
      </c>
    </row>
    <row r="10630" spans="1:15" x14ac:dyDescent="0.25">
      <c r="A10630" t="s">
        <v>1377</v>
      </c>
      <c r="B10630" t="s">
        <v>2459</v>
      </c>
      <c r="C10630" t="s">
        <v>923</v>
      </c>
      <c r="D10630" t="s">
        <v>3063</v>
      </c>
      <c r="E10630" t="s">
        <v>3053</v>
      </c>
      <c r="F10630" t="s">
        <v>284</v>
      </c>
      <c r="G10630" t="s">
        <v>3040</v>
      </c>
      <c r="H10630" t="s">
        <v>14238</v>
      </c>
      <c r="I10630">
        <v>50</v>
      </c>
      <c r="J10630">
        <v>50</v>
      </c>
      <c r="K10630">
        <v>0</v>
      </c>
      <c r="L10630">
        <v>0</v>
      </c>
      <c r="M10630">
        <v>0</v>
      </c>
      <c r="N10630">
        <v>0</v>
      </c>
      <c r="O10630">
        <v>0</v>
      </c>
    </row>
    <row r="10631" spans="1:15" x14ac:dyDescent="0.25">
      <c r="A10631" t="s">
        <v>1378</v>
      </c>
      <c r="B10631" t="s">
        <v>2817</v>
      </c>
      <c r="C10631" t="s">
        <v>923</v>
      </c>
      <c r="D10631" t="s">
        <v>3063</v>
      </c>
      <c r="E10631" t="s">
        <v>3053</v>
      </c>
      <c r="F10631" t="s">
        <v>284</v>
      </c>
      <c r="G10631" t="s">
        <v>3040</v>
      </c>
      <c r="H10631" t="s">
        <v>14246</v>
      </c>
      <c r="I10631">
        <v>498</v>
      </c>
      <c r="J10631">
        <v>498</v>
      </c>
      <c r="K10631">
        <v>0</v>
      </c>
      <c r="L10631">
        <v>0</v>
      </c>
      <c r="M10631">
        <v>0</v>
      </c>
      <c r="N10631">
        <v>0</v>
      </c>
      <c r="O10631">
        <v>0</v>
      </c>
    </row>
    <row r="10632" spans="1:15" x14ac:dyDescent="0.25">
      <c r="A10632" t="s">
        <v>1379</v>
      </c>
      <c r="B10632" t="s">
        <v>2675</v>
      </c>
      <c r="C10632" t="s">
        <v>923</v>
      </c>
      <c r="D10632" t="s">
        <v>3063</v>
      </c>
      <c r="E10632" t="s">
        <v>3053</v>
      </c>
      <c r="F10632" t="s">
        <v>284</v>
      </c>
      <c r="G10632" t="s">
        <v>3040</v>
      </c>
      <c r="H10632" t="s">
        <v>14247</v>
      </c>
      <c r="I10632">
        <v>329</v>
      </c>
      <c r="J10632">
        <v>156</v>
      </c>
      <c r="K10632">
        <v>0</v>
      </c>
      <c r="L10632">
        <v>21</v>
      </c>
      <c r="M10632">
        <v>152</v>
      </c>
      <c r="N10632">
        <v>0</v>
      </c>
      <c r="O10632">
        <v>0</v>
      </c>
    </row>
    <row r="10633" spans="1:15" x14ac:dyDescent="0.25">
      <c r="A10633" t="s">
        <v>1380</v>
      </c>
      <c r="B10633" t="s">
        <v>2664</v>
      </c>
      <c r="C10633" t="s">
        <v>927</v>
      </c>
      <c r="D10633" t="s">
        <v>3052</v>
      </c>
      <c r="E10633" t="s">
        <v>3053</v>
      </c>
      <c r="F10633" t="s">
        <v>284</v>
      </c>
      <c r="G10633" t="s">
        <v>3040</v>
      </c>
      <c r="H10633" t="s">
        <v>14249</v>
      </c>
      <c r="I10633">
        <v>6812</v>
      </c>
      <c r="J10633">
        <v>5823</v>
      </c>
      <c r="K10633">
        <v>5</v>
      </c>
      <c r="L10633">
        <v>166</v>
      </c>
      <c r="M10633">
        <v>45</v>
      </c>
      <c r="N10633">
        <v>130</v>
      </c>
      <c r="O10633">
        <v>773</v>
      </c>
    </row>
    <row r="10634" spans="1:15" x14ac:dyDescent="0.25">
      <c r="A10634" t="s">
        <v>1381</v>
      </c>
      <c r="B10634" t="s">
        <v>2397</v>
      </c>
      <c r="C10634" t="s">
        <v>923</v>
      </c>
      <c r="D10634" t="s">
        <v>3063</v>
      </c>
      <c r="E10634" t="s">
        <v>3053</v>
      </c>
      <c r="F10634" t="s">
        <v>284</v>
      </c>
      <c r="G10634" t="s">
        <v>3040</v>
      </c>
      <c r="H10634" t="s">
        <v>14255</v>
      </c>
      <c r="I10634">
        <v>41</v>
      </c>
      <c r="J10634">
        <v>41</v>
      </c>
      <c r="K10634">
        <v>0</v>
      </c>
      <c r="L10634">
        <v>0</v>
      </c>
      <c r="M10634">
        <v>0</v>
      </c>
      <c r="N10634">
        <v>0</v>
      </c>
      <c r="O10634">
        <v>0</v>
      </c>
    </row>
    <row r="10635" spans="1:15" x14ac:dyDescent="0.25">
      <c r="A10635" t="s">
        <v>14390</v>
      </c>
      <c r="B10635" t="s">
        <v>14829</v>
      </c>
      <c r="C10635" t="s">
        <v>923</v>
      </c>
      <c r="D10635" t="s">
        <v>3063</v>
      </c>
      <c r="E10635" t="s">
        <v>3053</v>
      </c>
      <c r="F10635" t="s">
        <v>284</v>
      </c>
      <c r="G10635" t="s">
        <v>3040</v>
      </c>
      <c r="H10635" t="s">
        <v>15547</v>
      </c>
      <c r="I10635">
        <v>92</v>
      </c>
      <c r="J10635">
        <v>92</v>
      </c>
      <c r="K10635">
        <v>0</v>
      </c>
      <c r="L10635">
        <v>0</v>
      </c>
      <c r="M10635">
        <v>0</v>
      </c>
      <c r="N10635">
        <v>0</v>
      </c>
      <c r="O10635">
        <v>0</v>
      </c>
    </row>
    <row r="10636" spans="1:15" x14ac:dyDescent="0.25">
      <c r="A10636" t="s">
        <v>1185</v>
      </c>
      <c r="B10636" t="s">
        <v>2886</v>
      </c>
      <c r="C10636" t="s">
        <v>927</v>
      </c>
      <c r="D10636" t="s">
        <v>3052</v>
      </c>
      <c r="E10636" t="s">
        <v>3053</v>
      </c>
      <c r="F10636" t="s">
        <v>284</v>
      </c>
      <c r="G10636" t="s">
        <v>3040</v>
      </c>
      <c r="H10636" t="s">
        <v>15548</v>
      </c>
      <c r="I10636">
        <v>7</v>
      </c>
      <c r="J10636">
        <v>2</v>
      </c>
      <c r="K10636">
        <v>5</v>
      </c>
      <c r="L10636">
        <v>0</v>
      </c>
      <c r="M10636">
        <v>0</v>
      </c>
      <c r="N10636">
        <v>0</v>
      </c>
      <c r="O10636">
        <v>0</v>
      </c>
    </row>
    <row r="10637" spans="1:15" x14ac:dyDescent="0.25">
      <c r="A10637" t="s">
        <v>11684</v>
      </c>
      <c r="B10637" t="s">
        <v>2864</v>
      </c>
      <c r="C10637" t="s">
        <v>927</v>
      </c>
      <c r="D10637" t="s">
        <v>3052</v>
      </c>
      <c r="E10637" t="s">
        <v>3053</v>
      </c>
      <c r="F10637" t="s">
        <v>284</v>
      </c>
      <c r="G10637" t="s">
        <v>3040</v>
      </c>
      <c r="H10637" t="s">
        <v>14258</v>
      </c>
      <c r="I10637">
        <v>923</v>
      </c>
      <c r="J10637">
        <v>837</v>
      </c>
      <c r="K10637">
        <v>0</v>
      </c>
      <c r="L10637">
        <v>0</v>
      </c>
      <c r="M10637">
        <v>86</v>
      </c>
      <c r="N10637">
        <v>9</v>
      </c>
      <c r="O10637">
        <v>0</v>
      </c>
    </row>
    <row r="10638" spans="1:15" x14ac:dyDescent="0.25">
      <c r="A10638" t="s">
        <v>1382</v>
      </c>
      <c r="B10638" t="s">
        <v>2387</v>
      </c>
      <c r="C10638" t="s">
        <v>923</v>
      </c>
      <c r="D10638" t="s">
        <v>3063</v>
      </c>
      <c r="E10638" t="s">
        <v>3053</v>
      </c>
      <c r="F10638" t="s">
        <v>284</v>
      </c>
      <c r="G10638" t="s">
        <v>3040</v>
      </c>
      <c r="H10638" t="s">
        <v>14260</v>
      </c>
      <c r="I10638">
        <v>26</v>
      </c>
      <c r="J10638">
        <v>26</v>
      </c>
      <c r="K10638">
        <v>0</v>
      </c>
      <c r="L10638">
        <v>0</v>
      </c>
      <c r="M10638">
        <v>0</v>
      </c>
      <c r="N10638">
        <v>0</v>
      </c>
      <c r="O10638">
        <v>0</v>
      </c>
    </row>
    <row r="10639" spans="1:15" x14ac:dyDescent="0.25">
      <c r="A10639" t="s">
        <v>1383</v>
      </c>
      <c r="B10639" t="s">
        <v>2156</v>
      </c>
      <c r="C10639" t="s">
        <v>923</v>
      </c>
      <c r="D10639" t="s">
        <v>3063</v>
      </c>
      <c r="E10639" t="s">
        <v>3053</v>
      </c>
      <c r="F10639" t="s">
        <v>284</v>
      </c>
      <c r="G10639" t="s">
        <v>3040</v>
      </c>
      <c r="H10639" t="s">
        <v>14263</v>
      </c>
      <c r="I10639">
        <v>39</v>
      </c>
      <c r="J10639">
        <v>0</v>
      </c>
      <c r="K10639">
        <v>0</v>
      </c>
      <c r="L10639">
        <v>0</v>
      </c>
      <c r="M10639">
        <v>39</v>
      </c>
      <c r="N10639">
        <v>0</v>
      </c>
      <c r="O10639">
        <v>0</v>
      </c>
    </row>
    <row r="10640" spans="1:15" x14ac:dyDescent="0.25">
      <c r="A10640" t="s">
        <v>1384</v>
      </c>
      <c r="B10640" t="s">
        <v>2503</v>
      </c>
      <c r="C10640" t="s">
        <v>923</v>
      </c>
      <c r="D10640" t="s">
        <v>3063</v>
      </c>
      <c r="E10640" t="s">
        <v>3053</v>
      </c>
      <c r="F10640" t="s">
        <v>284</v>
      </c>
      <c r="G10640" t="s">
        <v>3040</v>
      </c>
      <c r="H10640" t="s">
        <v>14266</v>
      </c>
      <c r="I10640">
        <v>24</v>
      </c>
      <c r="J10640">
        <v>24</v>
      </c>
      <c r="K10640">
        <v>0</v>
      </c>
      <c r="L10640">
        <v>0</v>
      </c>
      <c r="M10640">
        <v>0</v>
      </c>
      <c r="N10640">
        <v>0</v>
      </c>
      <c r="O10640">
        <v>0</v>
      </c>
    </row>
    <row r="10641" spans="1:15" x14ac:dyDescent="0.25">
      <c r="A10641" t="s">
        <v>1385</v>
      </c>
      <c r="B10641" t="s">
        <v>2276</v>
      </c>
      <c r="C10641" t="s">
        <v>923</v>
      </c>
      <c r="D10641" t="s">
        <v>3063</v>
      </c>
      <c r="E10641" t="s">
        <v>3053</v>
      </c>
      <c r="F10641" t="s">
        <v>284</v>
      </c>
      <c r="G10641" t="s">
        <v>3040</v>
      </c>
      <c r="H10641" t="s">
        <v>14268</v>
      </c>
      <c r="I10641">
        <v>18</v>
      </c>
      <c r="J10641">
        <v>18</v>
      </c>
      <c r="K10641">
        <v>0</v>
      </c>
      <c r="L10641">
        <v>0</v>
      </c>
      <c r="M10641">
        <v>0</v>
      </c>
      <c r="N10641">
        <v>0</v>
      </c>
      <c r="O10641">
        <v>0</v>
      </c>
    </row>
    <row r="10642" spans="1:15" x14ac:dyDescent="0.25">
      <c r="A10642" t="s">
        <v>1386</v>
      </c>
      <c r="B10642" t="s">
        <v>2370</v>
      </c>
      <c r="C10642" t="s">
        <v>923</v>
      </c>
      <c r="D10642" t="s">
        <v>3063</v>
      </c>
      <c r="E10642" t="s">
        <v>3053</v>
      </c>
      <c r="F10642" t="s">
        <v>284</v>
      </c>
      <c r="G10642" t="s">
        <v>3040</v>
      </c>
      <c r="H10642" t="s">
        <v>14269</v>
      </c>
      <c r="I10642">
        <v>91</v>
      </c>
      <c r="J10642">
        <v>91</v>
      </c>
      <c r="K10642">
        <v>0</v>
      </c>
      <c r="L10642">
        <v>0</v>
      </c>
      <c r="M10642">
        <v>0</v>
      </c>
      <c r="N10642">
        <v>0</v>
      </c>
      <c r="O10642">
        <v>0</v>
      </c>
    </row>
    <row r="10643" spans="1:15" x14ac:dyDescent="0.25">
      <c r="A10643" t="s">
        <v>11685</v>
      </c>
      <c r="B10643" t="s">
        <v>11782</v>
      </c>
      <c r="C10643" t="s">
        <v>923</v>
      </c>
      <c r="D10643" t="s">
        <v>3063</v>
      </c>
      <c r="E10643" t="s">
        <v>3053</v>
      </c>
      <c r="F10643" t="s">
        <v>284</v>
      </c>
      <c r="G10643" t="s">
        <v>3040</v>
      </c>
      <c r="H10643" t="s">
        <v>14271</v>
      </c>
      <c r="I10643">
        <v>44</v>
      </c>
      <c r="J10643">
        <v>27</v>
      </c>
      <c r="K10643">
        <v>0</v>
      </c>
      <c r="L10643">
        <v>17</v>
      </c>
      <c r="M10643">
        <v>0</v>
      </c>
      <c r="N10643">
        <v>0</v>
      </c>
      <c r="O10643">
        <v>0</v>
      </c>
    </row>
    <row r="10644" spans="1:15" x14ac:dyDescent="0.25">
      <c r="A10644" t="s">
        <v>1388</v>
      </c>
      <c r="B10644" t="s">
        <v>2926</v>
      </c>
      <c r="C10644" t="s">
        <v>923</v>
      </c>
      <c r="D10644" t="s">
        <v>3063</v>
      </c>
      <c r="E10644" t="s">
        <v>3053</v>
      </c>
      <c r="F10644" t="s">
        <v>284</v>
      </c>
      <c r="G10644" t="s">
        <v>3040</v>
      </c>
      <c r="H10644" t="s">
        <v>14275</v>
      </c>
      <c r="I10644">
        <v>91</v>
      </c>
      <c r="J10644">
        <v>0</v>
      </c>
      <c r="K10644">
        <v>0</v>
      </c>
      <c r="L10644">
        <v>0</v>
      </c>
      <c r="M10644">
        <v>91</v>
      </c>
      <c r="N10644">
        <v>0</v>
      </c>
      <c r="O10644">
        <v>0</v>
      </c>
    </row>
    <row r="10645" spans="1:15" x14ac:dyDescent="0.25">
      <c r="A10645" t="s">
        <v>1389</v>
      </c>
      <c r="B10645" t="s">
        <v>1945</v>
      </c>
      <c r="C10645" t="s">
        <v>923</v>
      </c>
      <c r="D10645" t="s">
        <v>3063</v>
      </c>
      <c r="E10645" t="s">
        <v>3053</v>
      </c>
      <c r="F10645" t="s">
        <v>284</v>
      </c>
      <c r="G10645" t="s">
        <v>3040</v>
      </c>
      <c r="H10645" t="s">
        <v>14276</v>
      </c>
      <c r="I10645">
        <v>439</v>
      </c>
      <c r="J10645">
        <v>439</v>
      </c>
      <c r="K10645">
        <v>0</v>
      </c>
      <c r="L10645">
        <v>0</v>
      </c>
      <c r="M10645">
        <v>0</v>
      </c>
      <c r="N10645">
        <v>0</v>
      </c>
      <c r="O10645">
        <v>0</v>
      </c>
    </row>
    <row r="10646" spans="1:15" x14ac:dyDescent="0.25">
      <c r="A10646" t="s">
        <v>1080</v>
      </c>
      <c r="B10646" t="s">
        <v>2030</v>
      </c>
      <c r="C10646" t="s">
        <v>923</v>
      </c>
      <c r="D10646" t="s">
        <v>3063</v>
      </c>
      <c r="E10646" t="s">
        <v>3053</v>
      </c>
      <c r="F10646" t="s">
        <v>284</v>
      </c>
      <c r="G10646" t="s">
        <v>3040</v>
      </c>
      <c r="H10646" t="s">
        <v>14279</v>
      </c>
      <c r="I10646">
        <v>97</v>
      </c>
      <c r="J10646">
        <v>0</v>
      </c>
      <c r="K10646">
        <v>0</v>
      </c>
      <c r="L10646">
        <v>97</v>
      </c>
      <c r="M10646">
        <v>0</v>
      </c>
      <c r="N10646">
        <v>0</v>
      </c>
      <c r="O10646">
        <v>0</v>
      </c>
    </row>
    <row r="10647" spans="1:15" x14ac:dyDescent="0.25">
      <c r="A10647" t="s">
        <v>1390</v>
      </c>
      <c r="B10647" t="s">
        <v>2978</v>
      </c>
      <c r="C10647" t="s">
        <v>923</v>
      </c>
      <c r="D10647" t="s">
        <v>3063</v>
      </c>
      <c r="E10647" t="s">
        <v>3053</v>
      </c>
      <c r="F10647" t="s">
        <v>284</v>
      </c>
      <c r="G10647" t="s">
        <v>3040</v>
      </c>
      <c r="H10647" t="s">
        <v>14289</v>
      </c>
      <c r="I10647">
        <v>519</v>
      </c>
      <c r="J10647">
        <v>479</v>
      </c>
      <c r="K10647">
        <v>0</v>
      </c>
      <c r="L10647">
        <v>40</v>
      </c>
      <c r="M10647">
        <v>0</v>
      </c>
      <c r="N10647">
        <v>0</v>
      </c>
      <c r="O10647">
        <v>0</v>
      </c>
    </row>
    <row r="10648" spans="1:15" x14ac:dyDescent="0.25">
      <c r="A10648" t="s">
        <v>1391</v>
      </c>
      <c r="B10648" t="s">
        <v>2421</v>
      </c>
      <c r="C10648" t="s">
        <v>923</v>
      </c>
      <c r="D10648" t="s">
        <v>3063</v>
      </c>
      <c r="E10648" t="s">
        <v>3053</v>
      </c>
      <c r="F10648" t="s">
        <v>284</v>
      </c>
      <c r="G10648" t="s">
        <v>3040</v>
      </c>
      <c r="H10648" t="s">
        <v>14294</v>
      </c>
      <c r="I10648">
        <v>83</v>
      </c>
      <c r="J10648">
        <v>83</v>
      </c>
      <c r="K10648">
        <v>0</v>
      </c>
      <c r="L10648">
        <v>0</v>
      </c>
      <c r="M10648">
        <v>0</v>
      </c>
      <c r="N10648">
        <v>0</v>
      </c>
      <c r="O10648">
        <v>0</v>
      </c>
    </row>
    <row r="10649" spans="1:15" x14ac:dyDescent="0.25">
      <c r="A10649" t="s">
        <v>9814</v>
      </c>
      <c r="B10649" t="s">
        <v>9885</v>
      </c>
      <c r="C10649" t="s">
        <v>923</v>
      </c>
      <c r="D10649" t="s">
        <v>3063</v>
      </c>
      <c r="E10649" t="s">
        <v>3053</v>
      </c>
      <c r="F10649" t="s">
        <v>284</v>
      </c>
      <c r="G10649" t="s">
        <v>3040</v>
      </c>
      <c r="H10649" t="s">
        <v>14296</v>
      </c>
      <c r="I10649">
        <v>66</v>
      </c>
      <c r="J10649">
        <v>66</v>
      </c>
      <c r="K10649">
        <v>0</v>
      </c>
      <c r="L10649">
        <v>0</v>
      </c>
      <c r="M10649">
        <v>0</v>
      </c>
      <c r="N10649">
        <v>0</v>
      </c>
      <c r="O10649">
        <v>0</v>
      </c>
    </row>
    <row r="10650" spans="1:15" x14ac:dyDescent="0.25">
      <c r="A10650" t="s">
        <v>1392</v>
      </c>
      <c r="B10650" t="s">
        <v>2449</v>
      </c>
      <c r="C10650" t="s">
        <v>923</v>
      </c>
      <c r="D10650" t="s">
        <v>3063</v>
      </c>
      <c r="E10650" t="s">
        <v>3053</v>
      </c>
      <c r="F10650" t="s">
        <v>284</v>
      </c>
      <c r="G10650" t="s">
        <v>3040</v>
      </c>
      <c r="H10650" t="s">
        <v>14297</v>
      </c>
      <c r="I10650">
        <v>18</v>
      </c>
      <c r="J10650">
        <v>18</v>
      </c>
      <c r="K10650">
        <v>0</v>
      </c>
      <c r="L10650">
        <v>0</v>
      </c>
      <c r="M10650">
        <v>0</v>
      </c>
      <c r="N10650">
        <v>0</v>
      </c>
      <c r="O10650">
        <v>0</v>
      </c>
    </row>
    <row r="10651" spans="1:15" x14ac:dyDescent="0.25">
      <c r="A10651" t="s">
        <v>14377</v>
      </c>
      <c r="B10651" t="s">
        <v>14444</v>
      </c>
      <c r="C10651" t="s">
        <v>923</v>
      </c>
      <c r="D10651" t="s">
        <v>3063</v>
      </c>
      <c r="E10651" t="s">
        <v>3053</v>
      </c>
      <c r="F10651" t="s">
        <v>284</v>
      </c>
      <c r="G10651" t="s">
        <v>3040</v>
      </c>
      <c r="H10651" t="s">
        <v>15549</v>
      </c>
      <c r="I10651">
        <v>63</v>
      </c>
      <c r="J10651">
        <v>21</v>
      </c>
      <c r="K10651">
        <v>0</v>
      </c>
      <c r="L10651">
        <v>42</v>
      </c>
      <c r="M10651">
        <v>0</v>
      </c>
      <c r="N10651">
        <v>0</v>
      </c>
      <c r="O10651">
        <v>0</v>
      </c>
    </row>
    <row r="10652" spans="1:15" x14ac:dyDescent="0.25">
      <c r="A10652" t="s">
        <v>1393</v>
      </c>
      <c r="B10652" t="s">
        <v>2753</v>
      </c>
      <c r="C10652" t="s">
        <v>923</v>
      </c>
      <c r="D10652" t="s">
        <v>3063</v>
      </c>
      <c r="E10652" t="s">
        <v>3053</v>
      </c>
      <c r="F10652" t="s">
        <v>284</v>
      </c>
      <c r="G10652" t="s">
        <v>3040</v>
      </c>
      <c r="H10652" t="s">
        <v>14303</v>
      </c>
      <c r="I10652">
        <v>22</v>
      </c>
      <c r="J10652">
        <v>0</v>
      </c>
      <c r="K10652">
        <v>0</v>
      </c>
      <c r="L10652">
        <v>22</v>
      </c>
      <c r="M10652">
        <v>0</v>
      </c>
      <c r="N10652">
        <v>0</v>
      </c>
      <c r="O10652">
        <v>0</v>
      </c>
    </row>
    <row r="10653" spans="1:15" x14ac:dyDescent="0.25">
      <c r="A10653" t="s">
        <v>1394</v>
      </c>
      <c r="B10653" t="s">
        <v>2488</v>
      </c>
      <c r="C10653" t="s">
        <v>923</v>
      </c>
      <c r="D10653" t="s">
        <v>3063</v>
      </c>
      <c r="E10653" t="s">
        <v>3053</v>
      </c>
      <c r="F10653" t="s">
        <v>284</v>
      </c>
      <c r="G10653" t="s">
        <v>3040</v>
      </c>
      <c r="H10653" t="s">
        <v>14306</v>
      </c>
      <c r="I10653">
        <v>24</v>
      </c>
      <c r="J10653">
        <v>24</v>
      </c>
      <c r="K10653">
        <v>0</v>
      </c>
      <c r="L10653">
        <v>0</v>
      </c>
      <c r="M10653">
        <v>0</v>
      </c>
      <c r="N10653">
        <v>0</v>
      </c>
      <c r="O10653">
        <v>0</v>
      </c>
    </row>
    <row r="10654" spans="1:15" x14ac:dyDescent="0.25">
      <c r="A10654" t="s">
        <v>1395</v>
      </c>
      <c r="B10654" t="s">
        <v>2288</v>
      </c>
      <c r="C10654" t="s">
        <v>923</v>
      </c>
      <c r="D10654" t="s">
        <v>3063</v>
      </c>
      <c r="E10654" t="s">
        <v>3053</v>
      </c>
      <c r="F10654" t="s">
        <v>284</v>
      </c>
      <c r="G10654" t="s">
        <v>3040</v>
      </c>
      <c r="H10654" t="s">
        <v>14313</v>
      </c>
      <c r="I10654">
        <v>6</v>
      </c>
      <c r="J10654">
        <v>0</v>
      </c>
      <c r="K10654">
        <v>0</v>
      </c>
      <c r="L10654">
        <v>0</v>
      </c>
      <c r="M10654">
        <v>6</v>
      </c>
      <c r="N10654">
        <v>0</v>
      </c>
      <c r="O10654">
        <v>0</v>
      </c>
    </row>
    <row r="10655" spans="1:15" x14ac:dyDescent="0.25">
      <c r="A10655" t="s">
        <v>1396</v>
      </c>
      <c r="B10655" t="s">
        <v>2750</v>
      </c>
      <c r="C10655" t="s">
        <v>923</v>
      </c>
      <c r="D10655" t="s">
        <v>3063</v>
      </c>
      <c r="E10655" t="s">
        <v>3053</v>
      </c>
      <c r="F10655" t="s">
        <v>284</v>
      </c>
      <c r="G10655" t="s">
        <v>3040</v>
      </c>
      <c r="H10655" t="s">
        <v>14314</v>
      </c>
      <c r="I10655">
        <v>941</v>
      </c>
      <c r="J10655">
        <v>739</v>
      </c>
      <c r="K10655">
        <v>20</v>
      </c>
      <c r="L10655">
        <v>0</v>
      </c>
      <c r="M10655">
        <v>182</v>
      </c>
      <c r="N10655">
        <v>3</v>
      </c>
      <c r="O10655">
        <v>0</v>
      </c>
    </row>
    <row r="10656" spans="1:15" x14ac:dyDescent="0.25">
      <c r="A10656" t="s">
        <v>1397</v>
      </c>
      <c r="B10656" t="s">
        <v>2460</v>
      </c>
      <c r="C10656" t="s">
        <v>923</v>
      </c>
      <c r="D10656" t="s">
        <v>3063</v>
      </c>
      <c r="E10656" t="s">
        <v>3053</v>
      </c>
      <c r="F10656" t="s">
        <v>284</v>
      </c>
      <c r="G10656" t="s">
        <v>3040</v>
      </c>
      <c r="H10656" t="s">
        <v>14317</v>
      </c>
      <c r="I10656">
        <v>4</v>
      </c>
      <c r="J10656">
        <v>2</v>
      </c>
      <c r="K10656">
        <v>2</v>
      </c>
      <c r="L10656">
        <v>0</v>
      </c>
      <c r="M10656">
        <v>0</v>
      </c>
      <c r="N10656">
        <v>0</v>
      </c>
      <c r="O10656">
        <v>0</v>
      </c>
    </row>
    <row r="10657" spans="1:15" x14ac:dyDescent="0.25">
      <c r="A10657" t="s">
        <v>9886</v>
      </c>
      <c r="B10657" t="s">
        <v>2623</v>
      </c>
      <c r="C10657" t="s">
        <v>923</v>
      </c>
      <c r="D10657" t="s">
        <v>3063</v>
      </c>
      <c r="E10657" t="s">
        <v>3053</v>
      </c>
      <c r="F10657" t="s">
        <v>284</v>
      </c>
      <c r="G10657" t="s">
        <v>3040</v>
      </c>
      <c r="H10657" t="s">
        <v>14333</v>
      </c>
      <c r="I10657">
        <v>396</v>
      </c>
      <c r="J10657">
        <v>0</v>
      </c>
      <c r="K10657">
        <v>8</v>
      </c>
      <c r="L10657">
        <v>388</v>
      </c>
      <c r="M10657">
        <v>0</v>
      </c>
      <c r="N10657">
        <v>0</v>
      </c>
      <c r="O10657">
        <v>0</v>
      </c>
    </row>
    <row r="10658" spans="1:15" x14ac:dyDescent="0.25">
      <c r="A10658" t="s">
        <v>1398</v>
      </c>
      <c r="B10658" t="s">
        <v>2998</v>
      </c>
      <c r="C10658" t="s">
        <v>927</v>
      </c>
      <c r="D10658" t="s">
        <v>3052</v>
      </c>
      <c r="E10658" t="s">
        <v>3053</v>
      </c>
      <c r="F10658" t="s">
        <v>284</v>
      </c>
      <c r="G10658" t="s">
        <v>3040</v>
      </c>
      <c r="H10658" t="s">
        <v>14340</v>
      </c>
      <c r="I10658">
        <v>1092</v>
      </c>
      <c r="J10658">
        <v>56</v>
      </c>
      <c r="K10658">
        <v>0</v>
      </c>
      <c r="L10658">
        <v>1036</v>
      </c>
      <c r="M10658">
        <v>0</v>
      </c>
      <c r="N10658">
        <v>1</v>
      </c>
      <c r="O10658">
        <v>0</v>
      </c>
    </row>
    <row r="10659" spans="1:15" x14ac:dyDescent="0.25">
      <c r="A10659" t="s">
        <v>1399</v>
      </c>
      <c r="B10659" t="s">
        <v>2903</v>
      </c>
      <c r="C10659" t="s">
        <v>923</v>
      </c>
      <c r="D10659" t="s">
        <v>3063</v>
      </c>
      <c r="E10659" t="s">
        <v>3053</v>
      </c>
      <c r="F10659" t="s">
        <v>284</v>
      </c>
      <c r="G10659" t="s">
        <v>3040</v>
      </c>
      <c r="H10659" t="s">
        <v>14343</v>
      </c>
      <c r="I10659">
        <v>293</v>
      </c>
      <c r="J10659">
        <v>125</v>
      </c>
      <c r="K10659">
        <v>0</v>
      </c>
      <c r="L10659">
        <v>168</v>
      </c>
      <c r="M10659">
        <v>0</v>
      </c>
      <c r="N10659">
        <v>0</v>
      </c>
      <c r="O10659">
        <v>0</v>
      </c>
    </row>
    <row r="10660" spans="1:15" x14ac:dyDescent="0.25">
      <c r="A10660" t="s">
        <v>1083</v>
      </c>
      <c r="B10660" t="s">
        <v>2757</v>
      </c>
      <c r="C10660" t="s">
        <v>927</v>
      </c>
      <c r="D10660" t="s">
        <v>3052</v>
      </c>
      <c r="E10660" t="s">
        <v>3053</v>
      </c>
      <c r="F10660" t="s">
        <v>284</v>
      </c>
      <c r="G10660" t="s">
        <v>3040</v>
      </c>
      <c r="H10660" t="s">
        <v>14350</v>
      </c>
      <c r="I10660">
        <v>1</v>
      </c>
      <c r="J10660">
        <v>0</v>
      </c>
      <c r="K10660">
        <v>0</v>
      </c>
      <c r="L10660">
        <v>0</v>
      </c>
      <c r="M10660">
        <v>0</v>
      </c>
      <c r="N10660">
        <v>0</v>
      </c>
      <c r="O10660">
        <v>1</v>
      </c>
    </row>
    <row r="10661" spans="1:15" x14ac:dyDescent="0.25">
      <c r="A10661" t="s">
        <v>11686</v>
      </c>
      <c r="B10661" t="s">
        <v>2084</v>
      </c>
      <c r="C10661" t="s">
        <v>923</v>
      </c>
      <c r="D10661" t="s">
        <v>3063</v>
      </c>
      <c r="E10661" t="s">
        <v>3053</v>
      </c>
      <c r="F10661" t="s">
        <v>284</v>
      </c>
      <c r="G10661" t="s">
        <v>3040</v>
      </c>
      <c r="H10661" t="s">
        <v>14354</v>
      </c>
      <c r="I10661">
        <v>155</v>
      </c>
      <c r="J10661">
        <v>0</v>
      </c>
      <c r="K10661">
        <v>0</v>
      </c>
      <c r="L10661">
        <v>155</v>
      </c>
      <c r="M10661">
        <v>0</v>
      </c>
      <c r="N10661">
        <v>0</v>
      </c>
      <c r="O10661">
        <v>0</v>
      </c>
    </row>
    <row r="10662" spans="1:15" x14ac:dyDescent="0.25">
      <c r="A10662" t="s">
        <v>1401</v>
      </c>
      <c r="B10662" t="s">
        <v>2063</v>
      </c>
      <c r="C10662" t="s">
        <v>923</v>
      </c>
      <c r="D10662" t="s">
        <v>3063</v>
      </c>
      <c r="E10662" t="s">
        <v>3053</v>
      </c>
      <c r="F10662" t="s">
        <v>285</v>
      </c>
      <c r="G10662" t="s">
        <v>3040</v>
      </c>
      <c r="H10662" t="s">
        <v>12530</v>
      </c>
      <c r="I10662">
        <v>47</v>
      </c>
      <c r="J10662">
        <v>0</v>
      </c>
      <c r="K10662">
        <v>0</v>
      </c>
      <c r="L10662">
        <v>47</v>
      </c>
      <c r="M10662">
        <v>0</v>
      </c>
      <c r="N10662">
        <v>0</v>
      </c>
      <c r="O10662">
        <v>0</v>
      </c>
    </row>
    <row r="10663" spans="1:15" x14ac:dyDescent="0.25">
      <c r="A10663" t="s">
        <v>14391</v>
      </c>
      <c r="B10663" t="s">
        <v>10750</v>
      </c>
      <c r="C10663" t="s">
        <v>923</v>
      </c>
      <c r="D10663" t="s">
        <v>3063</v>
      </c>
      <c r="E10663" t="s">
        <v>3053</v>
      </c>
      <c r="F10663" t="s">
        <v>285</v>
      </c>
      <c r="G10663" t="s">
        <v>3040</v>
      </c>
      <c r="H10663" t="s">
        <v>15550</v>
      </c>
      <c r="I10663">
        <v>19</v>
      </c>
      <c r="J10663">
        <v>0</v>
      </c>
      <c r="K10663">
        <v>0</v>
      </c>
      <c r="L10663">
        <v>0</v>
      </c>
      <c r="M10663">
        <v>19</v>
      </c>
      <c r="N10663">
        <v>0</v>
      </c>
      <c r="O10663">
        <v>0</v>
      </c>
    </row>
    <row r="10664" spans="1:15" x14ac:dyDescent="0.25">
      <c r="A10664" t="s">
        <v>971</v>
      </c>
      <c r="B10664" t="s">
        <v>2956</v>
      </c>
      <c r="C10664" t="s">
        <v>927</v>
      </c>
      <c r="D10664" t="s">
        <v>3052</v>
      </c>
      <c r="E10664" t="s">
        <v>3053</v>
      </c>
      <c r="F10664" t="s">
        <v>285</v>
      </c>
      <c r="G10664" t="s">
        <v>3040</v>
      </c>
      <c r="H10664" t="s">
        <v>12560</v>
      </c>
      <c r="I10664">
        <v>2581</v>
      </c>
      <c r="J10664">
        <v>2236</v>
      </c>
      <c r="K10664">
        <v>0</v>
      </c>
      <c r="L10664">
        <v>0</v>
      </c>
      <c r="M10664">
        <v>313</v>
      </c>
      <c r="N10664">
        <v>0</v>
      </c>
      <c r="O10664">
        <v>32</v>
      </c>
    </row>
    <row r="10665" spans="1:15" x14ac:dyDescent="0.25">
      <c r="A10665" t="s">
        <v>1402</v>
      </c>
      <c r="B10665" t="s">
        <v>2044</v>
      </c>
      <c r="C10665" t="s">
        <v>923</v>
      </c>
      <c r="D10665" t="s">
        <v>3063</v>
      </c>
      <c r="E10665" t="s">
        <v>3053</v>
      </c>
      <c r="F10665" t="s">
        <v>285</v>
      </c>
      <c r="G10665" t="s">
        <v>3040</v>
      </c>
      <c r="H10665" t="s">
        <v>12571</v>
      </c>
      <c r="I10665">
        <v>12</v>
      </c>
      <c r="J10665">
        <v>12</v>
      </c>
      <c r="K10665">
        <v>0</v>
      </c>
      <c r="L10665">
        <v>0</v>
      </c>
      <c r="M10665">
        <v>0</v>
      </c>
      <c r="N10665">
        <v>0</v>
      </c>
      <c r="O10665">
        <v>0</v>
      </c>
    </row>
    <row r="10666" spans="1:15" x14ac:dyDescent="0.25">
      <c r="A10666" t="s">
        <v>926</v>
      </c>
      <c r="B10666" t="s">
        <v>2923</v>
      </c>
      <c r="C10666" t="s">
        <v>927</v>
      </c>
      <c r="D10666" t="s">
        <v>3052</v>
      </c>
      <c r="E10666" t="s">
        <v>3053</v>
      </c>
      <c r="F10666" t="s">
        <v>285</v>
      </c>
      <c r="G10666" t="s">
        <v>3040</v>
      </c>
      <c r="H10666" t="s">
        <v>12578</v>
      </c>
      <c r="I10666">
        <v>1</v>
      </c>
      <c r="J10666">
        <v>0</v>
      </c>
      <c r="K10666">
        <v>0</v>
      </c>
      <c r="L10666">
        <v>0</v>
      </c>
      <c r="M10666">
        <v>0</v>
      </c>
      <c r="N10666">
        <v>0</v>
      </c>
      <c r="O10666">
        <v>1</v>
      </c>
    </row>
    <row r="10667" spans="1:15" x14ac:dyDescent="0.25">
      <c r="A10667" t="s">
        <v>1403</v>
      </c>
      <c r="B10667" t="s">
        <v>2206</v>
      </c>
      <c r="C10667" t="s">
        <v>923</v>
      </c>
      <c r="D10667" t="s">
        <v>3063</v>
      </c>
      <c r="E10667" t="s">
        <v>3053</v>
      </c>
      <c r="F10667" t="s">
        <v>285</v>
      </c>
      <c r="G10667" t="s">
        <v>3040</v>
      </c>
      <c r="H10667" t="s">
        <v>12585</v>
      </c>
      <c r="I10667">
        <v>31</v>
      </c>
      <c r="J10667">
        <v>31</v>
      </c>
      <c r="K10667">
        <v>0</v>
      </c>
      <c r="L10667">
        <v>0</v>
      </c>
      <c r="M10667">
        <v>0</v>
      </c>
      <c r="N10667">
        <v>3</v>
      </c>
      <c r="O10667">
        <v>0</v>
      </c>
    </row>
    <row r="10668" spans="1:15" x14ac:dyDescent="0.25">
      <c r="A10668" t="s">
        <v>1404</v>
      </c>
      <c r="B10668" t="s">
        <v>2490</v>
      </c>
      <c r="C10668" t="s">
        <v>923</v>
      </c>
      <c r="D10668" t="s">
        <v>3063</v>
      </c>
      <c r="E10668" t="s">
        <v>3053</v>
      </c>
      <c r="F10668" t="s">
        <v>285</v>
      </c>
      <c r="G10668" t="s">
        <v>3040</v>
      </c>
      <c r="H10668" t="s">
        <v>12588</v>
      </c>
      <c r="I10668">
        <v>12</v>
      </c>
      <c r="J10668">
        <v>12</v>
      </c>
      <c r="K10668">
        <v>0</v>
      </c>
      <c r="L10668">
        <v>0</v>
      </c>
      <c r="M10668">
        <v>0</v>
      </c>
      <c r="N10668">
        <v>0</v>
      </c>
      <c r="O10668">
        <v>0</v>
      </c>
    </row>
    <row r="10669" spans="1:15" x14ac:dyDescent="0.25">
      <c r="A10669" t="s">
        <v>929</v>
      </c>
      <c r="B10669" t="s">
        <v>2999</v>
      </c>
      <c r="C10669" t="s">
        <v>927</v>
      </c>
      <c r="D10669" t="s">
        <v>3052</v>
      </c>
      <c r="E10669" t="s">
        <v>3053</v>
      </c>
      <c r="F10669" t="s">
        <v>285</v>
      </c>
      <c r="G10669" t="s">
        <v>3040</v>
      </c>
      <c r="H10669" t="s">
        <v>12605</v>
      </c>
      <c r="I10669">
        <v>4679</v>
      </c>
      <c r="J10669">
        <v>0</v>
      </c>
      <c r="K10669">
        <v>0</v>
      </c>
      <c r="L10669">
        <v>0</v>
      </c>
      <c r="M10669">
        <v>4559</v>
      </c>
      <c r="N10669">
        <v>0</v>
      </c>
      <c r="O10669">
        <v>120</v>
      </c>
    </row>
    <row r="10670" spans="1:15" x14ac:dyDescent="0.25">
      <c r="A10670" t="s">
        <v>978</v>
      </c>
      <c r="B10670" t="s">
        <v>1999</v>
      </c>
      <c r="C10670" t="s">
        <v>923</v>
      </c>
      <c r="D10670" t="s">
        <v>3063</v>
      </c>
      <c r="E10670" t="s">
        <v>3053</v>
      </c>
      <c r="F10670" t="s">
        <v>285</v>
      </c>
      <c r="G10670" t="s">
        <v>3040</v>
      </c>
      <c r="H10670" t="s">
        <v>12625</v>
      </c>
      <c r="I10670">
        <v>8</v>
      </c>
      <c r="J10670">
        <v>8</v>
      </c>
      <c r="K10670">
        <v>0</v>
      </c>
      <c r="L10670">
        <v>0</v>
      </c>
      <c r="M10670">
        <v>0</v>
      </c>
      <c r="N10670">
        <v>0</v>
      </c>
      <c r="O10670">
        <v>0</v>
      </c>
    </row>
    <row r="10671" spans="1:15" x14ac:dyDescent="0.25">
      <c r="A10671" t="s">
        <v>1405</v>
      </c>
      <c r="B10671" t="s">
        <v>2439</v>
      </c>
      <c r="C10671" t="s">
        <v>923</v>
      </c>
      <c r="D10671" t="s">
        <v>3063</v>
      </c>
      <c r="E10671" t="s">
        <v>3053</v>
      </c>
      <c r="F10671" t="s">
        <v>285</v>
      </c>
      <c r="G10671" t="s">
        <v>3040</v>
      </c>
      <c r="H10671" t="s">
        <v>12647</v>
      </c>
      <c r="I10671">
        <v>31</v>
      </c>
      <c r="J10671">
        <v>31</v>
      </c>
      <c r="K10671">
        <v>0</v>
      </c>
      <c r="L10671">
        <v>0</v>
      </c>
      <c r="M10671">
        <v>0</v>
      </c>
      <c r="N10671">
        <v>0</v>
      </c>
      <c r="O10671">
        <v>0</v>
      </c>
    </row>
    <row r="10672" spans="1:15" x14ac:dyDescent="0.25">
      <c r="A10672" t="s">
        <v>9790</v>
      </c>
      <c r="B10672" t="s">
        <v>1977</v>
      </c>
      <c r="C10672" t="s">
        <v>923</v>
      </c>
      <c r="D10672" t="s">
        <v>3063</v>
      </c>
      <c r="E10672" t="s">
        <v>3053</v>
      </c>
      <c r="F10672" t="s">
        <v>285</v>
      </c>
      <c r="G10672" t="s">
        <v>3040</v>
      </c>
      <c r="H10672" t="s">
        <v>12651</v>
      </c>
      <c r="I10672">
        <v>191</v>
      </c>
      <c r="J10672">
        <v>0</v>
      </c>
      <c r="K10672">
        <v>0</v>
      </c>
      <c r="L10672">
        <v>191</v>
      </c>
      <c r="M10672">
        <v>0</v>
      </c>
      <c r="N10672">
        <v>0</v>
      </c>
      <c r="O10672">
        <v>0</v>
      </c>
    </row>
    <row r="10673" spans="1:15" x14ac:dyDescent="0.25">
      <c r="A10673" t="s">
        <v>1406</v>
      </c>
      <c r="B10673" t="s">
        <v>2134</v>
      </c>
      <c r="C10673" t="s">
        <v>927</v>
      </c>
      <c r="D10673" t="s">
        <v>3052</v>
      </c>
      <c r="E10673" t="s">
        <v>3053</v>
      </c>
      <c r="F10673" t="s">
        <v>285</v>
      </c>
      <c r="G10673" t="s">
        <v>3040</v>
      </c>
      <c r="H10673" t="s">
        <v>12676</v>
      </c>
      <c r="I10673">
        <v>18171</v>
      </c>
      <c r="J10673">
        <v>18155</v>
      </c>
      <c r="K10673">
        <v>0</v>
      </c>
      <c r="L10673">
        <v>0</v>
      </c>
      <c r="M10673">
        <v>0</v>
      </c>
      <c r="N10673">
        <v>40</v>
      </c>
      <c r="O10673">
        <v>16</v>
      </c>
    </row>
    <row r="10674" spans="1:15" x14ac:dyDescent="0.25">
      <c r="A10674" t="s">
        <v>11687</v>
      </c>
      <c r="B10674" t="s">
        <v>2977</v>
      </c>
      <c r="C10674" t="s">
        <v>923</v>
      </c>
      <c r="D10674" t="s">
        <v>3063</v>
      </c>
      <c r="E10674" t="s">
        <v>3053</v>
      </c>
      <c r="F10674" t="s">
        <v>285</v>
      </c>
      <c r="G10674" t="s">
        <v>3040</v>
      </c>
      <c r="H10674" t="s">
        <v>12678</v>
      </c>
      <c r="I10674">
        <v>9</v>
      </c>
      <c r="J10674">
        <v>0</v>
      </c>
      <c r="K10674">
        <v>0</v>
      </c>
      <c r="L10674">
        <v>0</v>
      </c>
      <c r="M10674">
        <v>9</v>
      </c>
      <c r="N10674">
        <v>0</v>
      </c>
      <c r="O10674">
        <v>0</v>
      </c>
    </row>
    <row r="10675" spans="1:15" x14ac:dyDescent="0.25">
      <c r="A10675" t="s">
        <v>1407</v>
      </c>
      <c r="B10675" t="s">
        <v>2109</v>
      </c>
      <c r="C10675" t="s">
        <v>927</v>
      </c>
      <c r="D10675" t="s">
        <v>3052</v>
      </c>
      <c r="E10675" t="s">
        <v>3053</v>
      </c>
      <c r="F10675" t="s">
        <v>285</v>
      </c>
      <c r="G10675" t="s">
        <v>3040</v>
      </c>
      <c r="H10675" t="s">
        <v>12680</v>
      </c>
      <c r="I10675">
        <v>13707</v>
      </c>
      <c r="J10675">
        <v>9562</v>
      </c>
      <c r="K10675">
        <v>0</v>
      </c>
      <c r="L10675">
        <v>623</v>
      </c>
      <c r="M10675">
        <v>3142</v>
      </c>
      <c r="N10675">
        <v>0</v>
      </c>
      <c r="O10675">
        <v>380</v>
      </c>
    </row>
    <row r="10676" spans="1:15" x14ac:dyDescent="0.25">
      <c r="A10676" t="s">
        <v>9784</v>
      </c>
      <c r="B10676" t="s">
        <v>1994</v>
      </c>
      <c r="C10676" t="s">
        <v>927</v>
      </c>
      <c r="D10676" t="s">
        <v>3052</v>
      </c>
      <c r="E10676" t="s">
        <v>3053</v>
      </c>
      <c r="F10676" t="s">
        <v>285</v>
      </c>
      <c r="G10676" t="s">
        <v>3040</v>
      </c>
      <c r="H10676" t="s">
        <v>12684</v>
      </c>
      <c r="I10676">
        <v>94</v>
      </c>
      <c r="J10676">
        <v>0</v>
      </c>
      <c r="K10676">
        <v>0</v>
      </c>
      <c r="L10676">
        <v>94</v>
      </c>
      <c r="M10676">
        <v>0</v>
      </c>
      <c r="N10676">
        <v>0</v>
      </c>
      <c r="O10676">
        <v>0</v>
      </c>
    </row>
    <row r="10677" spans="1:15" x14ac:dyDescent="0.25">
      <c r="A10677" t="s">
        <v>1408</v>
      </c>
      <c r="B10677" t="s">
        <v>3028</v>
      </c>
      <c r="C10677" t="s">
        <v>927</v>
      </c>
      <c r="D10677" t="s">
        <v>3052</v>
      </c>
      <c r="E10677" t="s">
        <v>3053</v>
      </c>
      <c r="F10677" t="s">
        <v>285</v>
      </c>
      <c r="G10677" t="s">
        <v>3040</v>
      </c>
      <c r="H10677" t="s">
        <v>12692</v>
      </c>
      <c r="I10677">
        <v>10589</v>
      </c>
      <c r="J10677">
        <v>10210</v>
      </c>
      <c r="K10677">
        <v>0</v>
      </c>
      <c r="L10677">
        <v>120</v>
      </c>
      <c r="M10677">
        <v>70</v>
      </c>
      <c r="N10677">
        <v>0</v>
      </c>
      <c r="O10677">
        <v>189</v>
      </c>
    </row>
    <row r="10678" spans="1:15" x14ac:dyDescent="0.25">
      <c r="A10678" t="s">
        <v>1095</v>
      </c>
      <c r="B10678" t="s">
        <v>1946</v>
      </c>
      <c r="C10678" t="s">
        <v>923</v>
      </c>
      <c r="D10678" t="s">
        <v>3063</v>
      </c>
      <c r="E10678" t="s">
        <v>3053</v>
      </c>
      <c r="F10678" t="s">
        <v>285</v>
      </c>
      <c r="G10678" t="s">
        <v>3040</v>
      </c>
      <c r="H10678" t="s">
        <v>12706</v>
      </c>
      <c r="I10678">
        <v>25</v>
      </c>
      <c r="J10678">
        <v>0</v>
      </c>
      <c r="K10678">
        <v>0</v>
      </c>
      <c r="L10678">
        <v>25</v>
      </c>
      <c r="M10678">
        <v>0</v>
      </c>
      <c r="N10678">
        <v>0</v>
      </c>
      <c r="O10678">
        <v>0</v>
      </c>
    </row>
    <row r="10679" spans="1:15" x14ac:dyDescent="0.25">
      <c r="A10679" t="s">
        <v>1409</v>
      </c>
      <c r="B10679" t="s">
        <v>2496</v>
      </c>
      <c r="C10679" t="s">
        <v>923</v>
      </c>
      <c r="D10679" t="s">
        <v>3063</v>
      </c>
      <c r="E10679" t="s">
        <v>3053</v>
      </c>
      <c r="F10679" t="s">
        <v>285</v>
      </c>
      <c r="G10679" t="s">
        <v>3040</v>
      </c>
      <c r="H10679" t="s">
        <v>12721</v>
      </c>
      <c r="I10679">
        <v>174</v>
      </c>
      <c r="J10679">
        <v>174</v>
      </c>
      <c r="K10679">
        <v>0</v>
      </c>
      <c r="L10679">
        <v>0</v>
      </c>
      <c r="M10679">
        <v>0</v>
      </c>
      <c r="N10679">
        <v>0</v>
      </c>
      <c r="O10679">
        <v>0</v>
      </c>
    </row>
    <row r="10680" spans="1:15" x14ac:dyDescent="0.25">
      <c r="A10680" t="s">
        <v>1410</v>
      </c>
      <c r="B10680" t="s">
        <v>2312</v>
      </c>
      <c r="C10680" t="s">
        <v>923</v>
      </c>
      <c r="D10680" t="s">
        <v>3063</v>
      </c>
      <c r="E10680" t="s">
        <v>3053</v>
      </c>
      <c r="F10680" t="s">
        <v>285</v>
      </c>
      <c r="G10680" t="s">
        <v>3040</v>
      </c>
      <c r="H10680" t="s">
        <v>12741</v>
      </c>
      <c r="I10680">
        <v>12</v>
      </c>
      <c r="J10680">
        <v>12</v>
      </c>
      <c r="K10680">
        <v>0</v>
      </c>
      <c r="L10680">
        <v>0</v>
      </c>
      <c r="M10680">
        <v>0</v>
      </c>
      <c r="N10680">
        <v>0</v>
      </c>
      <c r="O10680">
        <v>0</v>
      </c>
    </row>
    <row r="10681" spans="1:15" x14ac:dyDescent="0.25">
      <c r="A10681" t="s">
        <v>1411</v>
      </c>
      <c r="B10681" t="s">
        <v>2993</v>
      </c>
      <c r="C10681" t="s">
        <v>927</v>
      </c>
      <c r="D10681" t="s">
        <v>3052</v>
      </c>
      <c r="E10681" t="s">
        <v>3053</v>
      </c>
      <c r="F10681" t="s">
        <v>285</v>
      </c>
      <c r="G10681" t="s">
        <v>3040</v>
      </c>
      <c r="H10681" t="s">
        <v>12759</v>
      </c>
      <c r="I10681">
        <v>60</v>
      </c>
      <c r="J10681">
        <v>30</v>
      </c>
      <c r="K10681">
        <v>0</v>
      </c>
      <c r="L10681">
        <v>0</v>
      </c>
      <c r="M10681">
        <v>0</v>
      </c>
      <c r="N10681">
        <v>0</v>
      </c>
      <c r="O10681">
        <v>30</v>
      </c>
    </row>
    <row r="10682" spans="1:15" x14ac:dyDescent="0.25">
      <c r="A10682" t="s">
        <v>985</v>
      </c>
      <c r="B10682" t="s">
        <v>1964</v>
      </c>
      <c r="C10682" t="s">
        <v>923</v>
      </c>
      <c r="D10682" t="s">
        <v>3063</v>
      </c>
      <c r="E10682" t="s">
        <v>3053</v>
      </c>
      <c r="F10682" t="s">
        <v>285</v>
      </c>
      <c r="G10682" t="s">
        <v>3040</v>
      </c>
      <c r="H10682" t="s">
        <v>12784</v>
      </c>
      <c r="I10682">
        <v>53</v>
      </c>
      <c r="J10682">
        <v>0</v>
      </c>
      <c r="K10682">
        <v>0</v>
      </c>
      <c r="L10682">
        <v>53</v>
      </c>
      <c r="M10682">
        <v>0</v>
      </c>
      <c r="N10682">
        <v>0</v>
      </c>
      <c r="O10682">
        <v>0</v>
      </c>
    </row>
    <row r="10683" spans="1:15" x14ac:dyDescent="0.25">
      <c r="A10683" t="s">
        <v>1412</v>
      </c>
      <c r="B10683" t="s">
        <v>2099</v>
      </c>
      <c r="C10683" t="s">
        <v>927</v>
      </c>
      <c r="D10683" t="s">
        <v>3052</v>
      </c>
      <c r="E10683" t="s">
        <v>3053</v>
      </c>
      <c r="F10683" t="s">
        <v>285</v>
      </c>
      <c r="G10683" t="s">
        <v>3040</v>
      </c>
      <c r="H10683" t="s">
        <v>12788</v>
      </c>
      <c r="I10683">
        <v>1432</v>
      </c>
      <c r="J10683">
        <v>904</v>
      </c>
      <c r="K10683">
        <v>0</v>
      </c>
      <c r="L10683">
        <v>23</v>
      </c>
      <c r="M10683">
        <v>371</v>
      </c>
      <c r="N10683">
        <v>1</v>
      </c>
      <c r="O10683">
        <v>134</v>
      </c>
    </row>
    <row r="10684" spans="1:15" x14ac:dyDescent="0.25">
      <c r="A10684" t="s">
        <v>991</v>
      </c>
      <c r="B10684" t="s">
        <v>1976</v>
      </c>
      <c r="C10684" t="s">
        <v>923</v>
      </c>
      <c r="D10684" t="s">
        <v>3063</v>
      </c>
      <c r="E10684" t="s">
        <v>3053</v>
      </c>
      <c r="F10684" t="s">
        <v>285</v>
      </c>
      <c r="G10684" t="s">
        <v>3040</v>
      </c>
      <c r="H10684" t="s">
        <v>12888</v>
      </c>
      <c r="I10684">
        <v>50</v>
      </c>
      <c r="J10684">
        <v>0</v>
      </c>
      <c r="K10684">
        <v>0</v>
      </c>
      <c r="L10684">
        <v>50</v>
      </c>
      <c r="M10684">
        <v>0</v>
      </c>
      <c r="N10684">
        <v>0</v>
      </c>
      <c r="O10684">
        <v>0</v>
      </c>
    </row>
    <row r="10685" spans="1:15" x14ac:dyDescent="0.25">
      <c r="A10685" t="s">
        <v>1413</v>
      </c>
      <c r="B10685" t="s">
        <v>2048</v>
      </c>
      <c r="C10685" t="s">
        <v>923</v>
      </c>
      <c r="D10685" t="s">
        <v>3063</v>
      </c>
      <c r="E10685" t="s">
        <v>3053</v>
      </c>
      <c r="F10685" t="s">
        <v>285</v>
      </c>
      <c r="G10685" t="s">
        <v>3040</v>
      </c>
      <c r="H10685" t="s">
        <v>12917</v>
      </c>
      <c r="I10685">
        <v>23</v>
      </c>
      <c r="J10685">
        <v>0</v>
      </c>
      <c r="K10685">
        <v>0</v>
      </c>
      <c r="L10685">
        <v>23</v>
      </c>
      <c r="M10685">
        <v>0</v>
      </c>
      <c r="N10685">
        <v>23</v>
      </c>
      <c r="O10685">
        <v>0</v>
      </c>
    </row>
    <row r="10686" spans="1:15" x14ac:dyDescent="0.25">
      <c r="A10686" t="s">
        <v>996</v>
      </c>
      <c r="B10686" t="s">
        <v>1952</v>
      </c>
      <c r="C10686" t="s">
        <v>923</v>
      </c>
      <c r="D10686" t="s">
        <v>3063</v>
      </c>
      <c r="E10686" t="s">
        <v>3053</v>
      </c>
      <c r="F10686" t="s">
        <v>285</v>
      </c>
      <c r="G10686" t="s">
        <v>3040</v>
      </c>
      <c r="H10686" t="s">
        <v>12926</v>
      </c>
      <c r="I10686">
        <v>58</v>
      </c>
      <c r="J10686">
        <v>0</v>
      </c>
      <c r="K10686">
        <v>0</v>
      </c>
      <c r="L10686">
        <v>58</v>
      </c>
      <c r="M10686">
        <v>0</v>
      </c>
      <c r="N10686">
        <v>0</v>
      </c>
      <c r="O10686">
        <v>0</v>
      </c>
    </row>
    <row r="10687" spans="1:15" x14ac:dyDescent="0.25">
      <c r="A10687" t="s">
        <v>1414</v>
      </c>
      <c r="B10687" t="s">
        <v>2140</v>
      </c>
      <c r="C10687" t="s">
        <v>923</v>
      </c>
      <c r="D10687" t="s">
        <v>3063</v>
      </c>
      <c r="E10687" t="s">
        <v>3053</v>
      </c>
      <c r="F10687" t="s">
        <v>285</v>
      </c>
      <c r="G10687" t="s">
        <v>3040</v>
      </c>
      <c r="H10687" t="s">
        <v>12943</v>
      </c>
      <c r="I10687">
        <v>18</v>
      </c>
      <c r="J10687">
        <v>6</v>
      </c>
      <c r="K10687">
        <v>0</v>
      </c>
      <c r="L10687">
        <v>12</v>
      </c>
      <c r="M10687">
        <v>0</v>
      </c>
      <c r="N10687">
        <v>0</v>
      </c>
      <c r="O10687">
        <v>0</v>
      </c>
    </row>
    <row r="10688" spans="1:15" x14ac:dyDescent="0.25">
      <c r="A10688" t="s">
        <v>1415</v>
      </c>
      <c r="B10688" t="s">
        <v>10618</v>
      </c>
      <c r="C10688" t="s">
        <v>927</v>
      </c>
      <c r="D10688" t="s">
        <v>3052</v>
      </c>
      <c r="E10688" t="s">
        <v>3053</v>
      </c>
      <c r="F10688" t="s">
        <v>285</v>
      </c>
      <c r="G10688" t="s">
        <v>3040</v>
      </c>
      <c r="H10688" t="s">
        <v>12944</v>
      </c>
      <c r="I10688">
        <v>1760</v>
      </c>
      <c r="J10688">
        <v>1695</v>
      </c>
      <c r="K10688">
        <v>0</v>
      </c>
      <c r="L10688">
        <v>0</v>
      </c>
      <c r="M10688">
        <v>62</v>
      </c>
      <c r="N10688">
        <v>0</v>
      </c>
      <c r="O10688">
        <v>3</v>
      </c>
    </row>
    <row r="10689" spans="1:15" x14ac:dyDescent="0.25">
      <c r="A10689" t="s">
        <v>10620</v>
      </c>
      <c r="B10689" t="s">
        <v>10619</v>
      </c>
      <c r="C10689" t="s">
        <v>923</v>
      </c>
      <c r="D10689" t="s">
        <v>3063</v>
      </c>
      <c r="E10689" t="s">
        <v>3053</v>
      </c>
      <c r="F10689" t="s">
        <v>285</v>
      </c>
      <c r="G10689" t="s">
        <v>3040</v>
      </c>
      <c r="H10689" t="s">
        <v>12947</v>
      </c>
      <c r="I10689">
        <v>12</v>
      </c>
      <c r="J10689">
        <v>0</v>
      </c>
      <c r="K10689">
        <v>0</v>
      </c>
      <c r="L10689">
        <v>0</v>
      </c>
      <c r="M10689">
        <v>12</v>
      </c>
      <c r="N10689">
        <v>0</v>
      </c>
      <c r="O10689">
        <v>0</v>
      </c>
    </row>
    <row r="10690" spans="1:15" x14ac:dyDescent="0.25">
      <c r="A10690" t="s">
        <v>935</v>
      </c>
      <c r="B10690" t="s">
        <v>1960</v>
      </c>
      <c r="C10690" t="s">
        <v>923</v>
      </c>
      <c r="D10690" t="s">
        <v>3063</v>
      </c>
      <c r="E10690" t="s">
        <v>3053</v>
      </c>
      <c r="F10690" t="s">
        <v>285</v>
      </c>
      <c r="G10690" t="s">
        <v>3040</v>
      </c>
      <c r="H10690" t="s">
        <v>12976</v>
      </c>
      <c r="I10690">
        <v>2</v>
      </c>
      <c r="J10690">
        <v>0</v>
      </c>
      <c r="K10690">
        <v>0</v>
      </c>
      <c r="L10690">
        <v>2</v>
      </c>
      <c r="M10690">
        <v>0</v>
      </c>
      <c r="N10690">
        <v>0</v>
      </c>
      <c r="O10690">
        <v>0</v>
      </c>
    </row>
    <row r="10691" spans="1:15" x14ac:dyDescent="0.25">
      <c r="A10691" t="s">
        <v>11660</v>
      </c>
      <c r="B10691" t="s">
        <v>2041</v>
      </c>
      <c r="C10691" t="s">
        <v>923</v>
      </c>
      <c r="D10691" t="s">
        <v>3063</v>
      </c>
      <c r="E10691" t="s">
        <v>3053</v>
      </c>
      <c r="F10691" t="s">
        <v>285</v>
      </c>
      <c r="G10691" t="s">
        <v>3040</v>
      </c>
      <c r="H10691" t="s">
        <v>12985</v>
      </c>
      <c r="I10691">
        <v>53</v>
      </c>
      <c r="J10691">
        <v>0</v>
      </c>
      <c r="K10691">
        <v>0</v>
      </c>
      <c r="L10691">
        <v>53</v>
      </c>
      <c r="M10691">
        <v>0</v>
      </c>
      <c r="N10691">
        <v>0</v>
      </c>
      <c r="O10691">
        <v>0</v>
      </c>
    </row>
    <row r="10692" spans="1:15" x14ac:dyDescent="0.25">
      <c r="A10692" t="s">
        <v>1416</v>
      </c>
      <c r="B10692" t="s">
        <v>2029</v>
      </c>
      <c r="C10692" t="s">
        <v>923</v>
      </c>
      <c r="D10692" t="s">
        <v>3063</v>
      </c>
      <c r="E10692" t="s">
        <v>3053</v>
      </c>
      <c r="F10692" t="s">
        <v>285</v>
      </c>
      <c r="G10692" t="s">
        <v>3040</v>
      </c>
      <c r="H10692" t="s">
        <v>13015</v>
      </c>
      <c r="I10692">
        <v>187</v>
      </c>
      <c r="J10692">
        <v>0</v>
      </c>
      <c r="K10692">
        <v>0</v>
      </c>
      <c r="L10692">
        <v>187</v>
      </c>
      <c r="M10692">
        <v>0</v>
      </c>
      <c r="N10692">
        <v>0</v>
      </c>
      <c r="O10692">
        <v>0</v>
      </c>
    </row>
    <row r="10693" spans="1:15" x14ac:dyDescent="0.25">
      <c r="A10693" t="s">
        <v>1417</v>
      </c>
      <c r="B10693" t="s">
        <v>2396</v>
      </c>
      <c r="C10693" t="s">
        <v>923</v>
      </c>
      <c r="D10693" t="s">
        <v>3063</v>
      </c>
      <c r="E10693" t="s">
        <v>3053</v>
      </c>
      <c r="F10693" t="s">
        <v>285</v>
      </c>
      <c r="G10693" t="s">
        <v>3040</v>
      </c>
      <c r="H10693" t="s">
        <v>13022</v>
      </c>
      <c r="I10693">
        <v>29</v>
      </c>
      <c r="J10693">
        <v>29</v>
      </c>
      <c r="K10693">
        <v>0</v>
      </c>
      <c r="L10693">
        <v>0</v>
      </c>
      <c r="M10693">
        <v>0</v>
      </c>
      <c r="N10693">
        <v>0</v>
      </c>
      <c r="O10693">
        <v>0</v>
      </c>
    </row>
    <row r="10694" spans="1:15" x14ac:dyDescent="0.25">
      <c r="A10694" t="s">
        <v>1418</v>
      </c>
      <c r="B10694" t="s">
        <v>2854</v>
      </c>
      <c r="C10694" t="s">
        <v>927</v>
      </c>
      <c r="D10694" t="s">
        <v>3052</v>
      </c>
      <c r="E10694" t="s">
        <v>3053</v>
      </c>
      <c r="F10694" t="s">
        <v>285</v>
      </c>
      <c r="G10694" t="s">
        <v>3040</v>
      </c>
      <c r="H10694" t="s">
        <v>13067</v>
      </c>
      <c r="I10694">
        <v>28674</v>
      </c>
      <c r="J10694">
        <v>28148</v>
      </c>
      <c r="K10694">
        <v>0</v>
      </c>
      <c r="L10694">
        <v>130</v>
      </c>
      <c r="M10694">
        <v>233</v>
      </c>
      <c r="N10694">
        <v>21</v>
      </c>
      <c r="O10694">
        <v>163</v>
      </c>
    </row>
    <row r="10695" spans="1:15" x14ac:dyDescent="0.25">
      <c r="A10695" t="s">
        <v>10638</v>
      </c>
      <c r="B10695" t="s">
        <v>2057</v>
      </c>
      <c r="C10695" t="s">
        <v>927</v>
      </c>
      <c r="D10695" t="s">
        <v>3052</v>
      </c>
      <c r="E10695" t="s">
        <v>3053</v>
      </c>
      <c r="F10695" t="s">
        <v>285</v>
      </c>
      <c r="G10695" t="s">
        <v>3040</v>
      </c>
      <c r="H10695" t="s">
        <v>13079</v>
      </c>
      <c r="I10695">
        <v>118</v>
      </c>
      <c r="J10695">
        <v>0</v>
      </c>
      <c r="K10695">
        <v>0</v>
      </c>
      <c r="L10695">
        <v>118</v>
      </c>
      <c r="M10695">
        <v>0</v>
      </c>
      <c r="N10695">
        <v>0</v>
      </c>
      <c r="O10695">
        <v>0</v>
      </c>
    </row>
    <row r="10696" spans="1:15" x14ac:dyDescent="0.25">
      <c r="A10696" t="s">
        <v>1008</v>
      </c>
      <c r="B10696" t="s">
        <v>2928</v>
      </c>
      <c r="C10696" t="s">
        <v>927</v>
      </c>
      <c r="D10696" t="s">
        <v>3052</v>
      </c>
      <c r="E10696" t="s">
        <v>3053</v>
      </c>
      <c r="F10696" t="s">
        <v>285</v>
      </c>
      <c r="G10696" t="s">
        <v>3040</v>
      </c>
      <c r="H10696" t="s">
        <v>13125</v>
      </c>
      <c r="I10696">
        <v>432</v>
      </c>
      <c r="J10696">
        <v>342</v>
      </c>
      <c r="K10696">
        <v>0</v>
      </c>
      <c r="L10696">
        <v>63</v>
      </c>
      <c r="M10696">
        <v>27</v>
      </c>
      <c r="N10696">
        <v>3</v>
      </c>
      <c r="O10696">
        <v>0</v>
      </c>
    </row>
    <row r="10697" spans="1:15" x14ac:dyDescent="0.25">
      <c r="A10697" t="s">
        <v>1009</v>
      </c>
      <c r="B10697" t="s">
        <v>1958</v>
      </c>
      <c r="C10697" t="s">
        <v>923</v>
      </c>
      <c r="D10697" t="s">
        <v>3063</v>
      </c>
      <c r="E10697" t="s">
        <v>3053</v>
      </c>
      <c r="F10697" t="s">
        <v>285</v>
      </c>
      <c r="G10697" t="s">
        <v>3040</v>
      </c>
      <c r="H10697" t="s">
        <v>13137</v>
      </c>
      <c r="I10697">
        <v>22</v>
      </c>
      <c r="J10697">
        <v>0</v>
      </c>
      <c r="K10697">
        <v>0</v>
      </c>
      <c r="L10697">
        <v>22</v>
      </c>
      <c r="M10697">
        <v>0</v>
      </c>
      <c r="N10697">
        <v>0</v>
      </c>
      <c r="O10697">
        <v>0</v>
      </c>
    </row>
    <row r="10698" spans="1:15" x14ac:dyDescent="0.25">
      <c r="A10698" t="s">
        <v>1419</v>
      </c>
      <c r="B10698" t="s">
        <v>2013</v>
      </c>
      <c r="C10698" t="s">
        <v>923</v>
      </c>
      <c r="D10698" t="s">
        <v>3063</v>
      </c>
      <c r="E10698" t="s">
        <v>3053</v>
      </c>
      <c r="F10698" t="s">
        <v>285</v>
      </c>
      <c r="G10698" t="s">
        <v>3040</v>
      </c>
      <c r="H10698" t="s">
        <v>13172</v>
      </c>
      <c r="I10698">
        <v>249</v>
      </c>
      <c r="J10698">
        <v>249</v>
      </c>
      <c r="K10698">
        <v>0</v>
      </c>
      <c r="L10698">
        <v>0</v>
      </c>
      <c r="M10698">
        <v>0</v>
      </c>
      <c r="N10698">
        <v>0</v>
      </c>
      <c r="O10698">
        <v>0</v>
      </c>
    </row>
    <row r="10699" spans="1:15" x14ac:dyDescent="0.25">
      <c r="A10699" t="s">
        <v>937</v>
      </c>
      <c r="B10699" t="s">
        <v>1962</v>
      </c>
      <c r="C10699" t="s">
        <v>927</v>
      </c>
      <c r="D10699" t="s">
        <v>3052</v>
      </c>
      <c r="E10699" t="s">
        <v>3053</v>
      </c>
      <c r="F10699" t="s">
        <v>285</v>
      </c>
      <c r="G10699" t="s">
        <v>3040</v>
      </c>
      <c r="H10699" t="s">
        <v>13185</v>
      </c>
      <c r="I10699">
        <v>468</v>
      </c>
      <c r="J10699">
        <v>0</v>
      </c>
      <c r="K10699">
        <v>0</v>
      </c>
      <c r="L10699">
        <v>0</v>
      </c>
      <c r="M10699">
        <v>0</v>
      </c>
      <c r="N10699">
        <v>0</v>
      </c>
      <c r="O10699">
        <v>468</v>
      </c>
    </row>
    <row r="10700" spans="1:15" x14ac:dyDescent="0.25">
      <c r="A10700" t="s">
        <v>1011</v>
      </c>
      <c r="B10700" t="s">
        <v>2020</v>
      </c>
      <c r="C10700" t="s">
        <v>927</v>
      </c>
      <c r="D10700" t="s">
        <v>3052</v>
      </c>
      <c r="E10700" t="s">
        <v>3053</v>
      </c>
      <c r="F10700" t="s">
        <v>285</v>
      </c>
      <c r="G10700" t="s">
        <v>3040</v>
      </c>
      <c r="H10700" t="s">
        <v>15551</v>
      </c>
      <c r="I10700">
        <v>6</v>
      </c>
      <c r="J10700">
        <v>0</v>
      </c>
      <c r="K10700">
        <v>0</v>
      </c>
      <c r="L10700">
        <v>6</v>
      </c>
      <c r="M10700">
        <v>0</v>
      </c>
      <c r="N10700">
        <v>0</v>
      </c>
      <c r="O10700">
        <v>0</v>
      </c>
    </row>
    <row r="10701" spans="1:15" x14ac:dyDescent="0.25">
      <c r="A10701" t="s">
        <v>1420</v>
      </c>
      <c r="B10701" t="s">
        <v>2454</v>
      </c>
      <c r="C10701" t="s">
        <v>923</v>
      </c>
      <c r="D10701" t="s">
        <v>3063</v>
      </c>
      <c r="E10701" t="s">
        <v>3053</v>
      </c>
      <c r="F10701" t="s">
        <v>285</v>
      </c>
      <c r="G10701" t="s">
        <v>3040</v>
      </c>
      <c r="H10701" t="s">
        <v>13207</v>
      </c>
      <c r="I10701">
        <v>26</v>
      </c>
      <c r="J10701">
        <v>26</v>
      </c>
      <c r="K10701">
        <v>0</v>
      </c>
      <c r="L10701">
        <v>0</v>
      </c>
      <c r="M10701">
        <v>0</v>
      </c>
      <c r="N10701">
        <v>0</v>
      </c>
      <c r="O10701">
        <v>0</v>
      </c>
    </row>
    <row r="10702" spans="1:15" x14ac:dyDescent="0.25">
      <c r="A10702" t="s">
        <v>938</v>
      </c>
      <c r="B10702" t="s">
        <v>2791</v>
      </c>
      <c r="C10702" t="s">
        <v>927</v>
      </c>
      <c r="D10702" t="s">
        <v>3052</v>
      </c>
      <c r="E10702" t="s">
        <v>3053</v>
      </c>
      <c r="F10702" t="s">
        <v>285</v>
      </c>
      <c r="G10702" t="s">
        <v>3040</v>
      </c>
      <c r="H10702" t="s">
        <v>13216</v>
      </c>
      <c r="I10702">
        <v>14938</v>
      </c>
      <c r="J10702">
        <v>12030</v>
      </c>
      <c r="K10702">
        <v>0</v>
      </c>
      <c r="L10702">
        <v>1304</v>
      </c>
      <c r="M10702">
        <v>879</v>
      </c>
      <c r="N10702">
        <v>4</v>
      </c>
      <c r="O10702">
        <v>725</v>
      </c>
    </row>
    <row r="10703" spans="1:15" x14ac:dyDescent="0.25">
      <c r="A10703" t="s">
        <v>1421</v>
      </c>
      <c r="B10703" t="s">
        <v>2195</v>
      </c>
      <c r="C10703" t="s">
        <v>923</v>
      </c>
      <c r="D10703" t="s">
        <v>3063</v>
      </c>
      <c r="E10703" t="s">
        <v>3053</v>
      </c>
      <c r="F10703" t="s">
        <v>285</v>
      </c>
      <c r="G10703" t="s">
        <v>3040</v>
      </c>
      <c r="H10703" t="s">
        <v>13231</v>
      </c>
      <c r="I10703">
        <v>59</v>
      </c>
      <c r="J10703">
        <v>59</v>
      </c>
      <c r="K10703">
        <v>0</v>
      </c>
      <c r="L10703">
        <v>0</v>
      </c>
      <c r="M10703">
        <v>0</v>
      </c>
      <c r="N10703">
        <v>0</v>
      </c>
      <c r="O10703">
        <v>0</v>
      </c>
    </row>
    <row r="10704" spans="1:15" x14ac:dyDescent="0.25">
      <c r="A10704" t="s">
        <v>940</v>
      </c>
      <c r="B10704" t="s">
        <v>2647</v>
      </c>
      <c r="C10704" t="s">
        <v>927</v>
      </c>
      <c r="D10704" t="s">
        <v>3052</v>
      </c>
      <c r="E10704" t="s">
        <v>3053</v>
      </c>
      <c r="F10704" t="s">
        <v>285</v>
      </c>
      <c r="G10704" t="s">
        <v>3040</v>
      </c>
      <c r="H10704" t="s">
        <v>13235</v>
      </c>
      <c r="I10704">
        <v>1638</v>
      </c>
      <c r="J10704">
        <v>1</v>
      </c>
      <c r="K10704">
        <v>0</v>
      </c>
      <c r="L10704">
        <v>0</v>
      </c>
      <c r="M10704">
        <v>1475</v>
      </c>
      <c r="N10704">
        <v>0</v>
      </c>
      <c r="O10704">
        <v>162</v>
      </c>
    </row>
    <row r="10705" spans="1:15" x14ac:dyDescent="0.25">
      <c r="A10705" t="s">
        <v>1422</v>
      </c>
      <c r="B10705" t="s">
        <v>1990</v>
      </c>
      <c r="C10705" t="s">
        <v>923</v>
      </c>
      <c r="D10705" t="s">
        <v>3063</v>
      </c>
      <c r="E10705" t="s">
        <v>3053</v>
      </c>
      <c r="F10705" t="s">
        <v>285</v>
      </c>
      <c r="G10705" t="s">
        <v>3040</v>
      </c>
      <c r="H10705" t="s">
        <v>13250</v>
      </c>
      <c r="I10705">
        <v>24</v>
      </c>
      <c r="J10705">
        <v>2</v>
      </c>
      <c r="K10705">
        <v>0</v>
      </c>
      <c r="L10705">
        <v>22</v>
      </c>
      <c r="M10705">
        <v>0</v>
      </c>
      <c r="N10705">
        <v>0</v>
      </c>
      <c r="O10705">
        <v>0</v>
      </c>
    </row>
    <row r="10706" spans="1:15" x14ac:dyDescent="0.25">
      <c r="A10706" t="s">
        <v>1423</v>
      </c>
      <c r="B10706" t="s">
        <v>2071</v>
      </c>
      <c r="C10706" t="s">
        <v>923</v>
      </c>
      <c r="D10706" t="s">
        <v>3063</v>
      </c>
      <c r="E10706" t="s">
        <v>3053</v>
      </c>
      <c r="F10706" t="s">
        <v>285</v>
      </c>
      <c r="G10706" t="s">
        <v>3040</v>
      </c>
      <c r="H10706" t="s">
        <v>13265</v>
      </c>
      <c r="I10706">
        <v>64</v>
      </c>
      <c r="J10706">
        <v>0</v>
      </c>
      <c r="K10706">
        <v>0</v>
      </c>
      <c r="L10706">
        <v>64</v>
      </c>
      <c r="M10706">
        <v>0</v>
      </c>
      <c r="N10706">
        <v>0</v>
      </c>
      <c r="O10706">
        <v>0</v>
      </c>
    </row>
    <row r="10707" spans="1:15" x14ac:dyDescent="0.25">
      <c r="A10707" t="s">
        <v>1013</v>
      </c>
      <c r="B10707" t="s">
        <v>1959</v>
      </c>
      <c r="C10707" t="s">
        <v>927</v>
      </c>
      <c r="D10707" t="s">
        <v>3052</v>
      </c>
      <c r="E10707" t="s">
        <v>3053</v>
      </c>
      <c r="F10707" t="s">
        <v>285</v>
      </c>
      <c r="G10707" t="s">
        <v>3040</v>
      </c>
      <c r="H10707" t="s">
        <v>13273</v>
      </c>
      <c r="I10707">
        <v>331</v>
      </c>
      <c r="J10707">
        <v>0</v>
      </c>
      <c r="K10707">
        <v>0</v>
      </c>
      <c r="L10707">
        <v>293</v>
      </c>
      <c r="M10707">
        <v>38</v>
      </c>
      <c r="N10707">
        <v>0</v>
      </c>
      <c r="O10707">
        <v>0</v>
      </c>
    </row>
    <row r="10708" spans="1:15" x14ac:dyDescent="0.25">
      <c r="A10708" t="s">
        <v>1424</v>
      </c>
      <c r="B10708" t="s">
        <v>2227</v>
      </c>
      <c r="C10708" t="s">
        <v>923</v>
      </c>
      <c r="D10708" t="s">
        <v>3063</v>
      </c>
      <c r="E10708" t="s">
        <v>3053</v>
      </c>
      <c r="F10708" t="s">
        <v>285</v>
      </c>
      <c r="G10708" t="s">
        <v>3040</v>
      </c>
      <c r="H10708" t="s">
        <v>13291</v>
      </c>
      <c r="I10708">
        <v>5</v>
      </c>
      <c r="J10708">
        <v>5</v>
      </c>
      <c r="K10708">
        <v>0</v>
      </c>
      <c r="L10708">
        <v>0</v>
      </c>
      <c r="M10708">
        <v>0</v>
      </c>
      <c r="N10708">
        <v>0</v>
      </c>
      <c r="O10708">
        <v>0</v>
      </c>
    </row>
    <row r="10709" spans="1:15" x14ac:dyDescent="0.25">
      <c r="A10709" t="s">
        <v>11688</v>
      </c>
      <c r="B10709" t="s">
        <v>2194</v>
      </c>
      <c r="C10709" t="s">
        <v>923</v>
      </c>
      <c r="D10709" t="s">
        <v>3063</v>
      </c>
      <c r="E10709" t="s">
        <v>3053</v>
      </c>
      <c r="F10709" t="s">
        <v>285</v>
      </c>
      <c r="G10709" t="s">
        <v>3040</v>
      </c>
      <c r="H10709" t="s">
        <v>13293</v>
      </c>
      <c r="I10709">
        <v>101</v>
      </c>
      <c r="J10709">
        <v>0</v>
      </c>
      <c r="K10709">
        <v>0</v>
      </c>
      <c r="L10709">
        <v>0</v>
      </c>
      <c r="M10709">
        <v>101</v>
      </c>
      <c r="N10709">
        <v>0</v>
      </c>
      <c r="O10709">
        <v>0</v>
      </c>
    </row>
    <row r="10710" spans="1:15" x14ac:dyDescent="0.25">
      <c r="A10710" t="s">
        <v>1425</v>
      </c>
      <c r="B10710" t="s">
        <v>2170</v>
      </c>
      <c r="C10710" t="s">
        <v>923</v>
      </c>
      <c r="D10710" t="s">
        <v>3063</v>
      </c>
      <c r="E10710" t="s">
        <v>3053</v>
      </c>
      <c r="F10710" t="s">
        <v>285</v>
      </c>
      <c r="G10710" t="s">
        <v>3040</v>
      </c>
      <c r="H10710" t="s">
        <v>13294</v>
      </c>
      <c r="I10710">
        <v>8</v>
      </c>
      <c r="J10710">
        <v>0</v>
      </c>
      <c r="K10710">
        <v>0</v>
      </c>
      <c r="L10710">
        <v>0</v>
      </c>
      <c r="M10710">
        <v>8</v>
      </c>
      <c r="N10710">
        <v>0</v>
      </c>
      <c r="O10710">
        <v>0</v>
      </c>
    </row>
    <row r="10711" spans="1:15" x14ac:dyDescent="0.25">
      <c r="A10711" t="s">
        <v>1016</v>
      </c>
      <c r="B10711" t="s">
        <v>2725</v>
      </c>
      <c r="C10711" t="s">
        <v>927</v>
      </c>
      <c r="D10711" t="s">
        <v>3052</v>
      </c>
      <c r="E10711" t="s">
        <v>3053</v>
      </c>
      <c r="F10711" t="s">
        <v>285</v>
      </c>
      <c r="G10711" t="s">
        <v>3040</v>
      </c>
      <c r="H10711" t="s">
        <v>13311</v>
      </c>
      <c r="I10711">
        <v>1047</v>
      </c>
      <c r="J10711">
        <v>621</v>
      </c>
      <c r="K10711">
        <v>0</v>
      </c>
      <c r="L10711">
        <v>55</v>
      </c>
      <c r="M10711">
        <v>314</v>
      </c>
      <c r="N10711">
        <v>0</v>
      </c>
      <c r="O10711">
        <v>57</v>
      </c>
    </row>
    <row r="10712" spans="1:15" x14ac:dyDescent="0.25">
      <c r="A10712" t="s">
        <v>1426</v>
      </c>
      <c r="B10712" t="s">
        <v>2137</v>
      </c>
      <c r="C10712" t="s">
        <v>927</v>
      </c>
      <c r="D10712" t="s">
        <v>3052</v>
      </c>
      <c r="E10712" t="s">
        <v>3053</v>
      </c>
      <c r="F10712" t="s">
        <v>285</v>
      </c>
      <c r="G10712" t="s">
        <v>3040</v>
      </c>
      <c r="H10712" t="s">
        <v>13317</v>
      </c>
      <c r="I10712">
        <v>205</v>
      </c>
      <c r="J10712">
        <v>0</v>
      </c>
      <c r="K10712">
        <v>0</v>
      </c>
      <c r="L10712">
        <v>0</v>
      </c>
      <c r="M10712">
        <v>155</v>
      </c>
      <c r="N10712">
        <v>0</v>
      </c>
      <c r="O10712">
        <v>50</v>
      </c>
    </row>
    <row r="10713" spans="1:15" x14ac:dyDescent="0.25">
      <c r="A10713" t="s">
        <v>1427</v>
      </c>
      <c r="B10713" t="s">
        <v>2087</v>
      </c>
      <c r="C10713" t="s">
        <v>927</v>
      </c>
      <c r="D10713" t="s">
        <v>3052</v>
      </c>
      <c r="E10713" t="s">
        <v>3053</v>
      </c>
      <c r="F10713" t="s">
        <v>285</v>
      </c>
      <c r="G10713" t="s">
        <v>3040</v>
      </c>
      <c r="H10713" t="s">
        <v>13322</v>
      </c>
      <c r="I10713">
        <v>27767</v>
      </c>
      <c r="J10713">
        <v>25513</v>
      </c>
      <c r="K10713">
        <v>0</v>
      </c>
      <c r="L10713">
        <v>513</v>
      </c>
      <c r="M10713">
        <v>1057</v>
      </c>
      <c r="N10713">
        <v>0</v>
      </c>
      <c r="O10713">
        <v>684</v>
      </c>
    </row>
    <row r="10714" spans="1:15" x14ac:dyDescent="0.25">
      <c r="A10714" t="s">
        <v>1428</v>
      </c>
      <c r="B10714" t="s">
        <v>1951</v>
      </c>
      <c r="C10714" t="s">
        <v>923</v>
      </c>
      <c r="D10714" t="s">
        <v>3063</v>
      </c>
      <c r="E10714" t="s">
        <v>3053</v>
      </c>
      <c r="F10714" t="s">
        <v>285</v>
      </c>
      <c r="G10714" t="s">
        <v>3040</v>
      </c>
      <c r="H10714" t="s">
        <v>13325</v>
      </c>
      <c r="I10714">
        <v>308</v>
      </c>
      <c r="J10714">
        <v>304</v>
      </c>
      <c r="K10714">
        <v>0</v>
      </c>
      <c r="L10714">
        <v>0</v>
      </c>
      <c r="M10714">
        <v>4</v>
      </c>
      <c r="N10714">
        <v>8</v>
      </c>
      <c r="O10714">
        <v>0</v>
      </c>
    </row>
    <row r="10715" spans="1:15" x14ac:dyDescent="0.25">
      <c r="A10715" t="s">
        <v>1429</v>
      </c>
      <c r="B10715" t="s">
        <v>1940</v>
      </c>
      <c r="C10715" t="s">
        <v>923</v>
      </c>
      <c r="D10715" t="s">
        <v>3063</v>
      </c>
      <c r="E10715" t="s">
        <v>3053</v>
      </c>
      <c r="F10715" t="s">
        <v>285</v>
      </c>
      <c r="G10715" t="s">
        <v>3040</v>
      </c>
      <c r="H10715" t="s">
        <v>13357</v>
      </c>
      <c r="I10715">
        <v>761</v>
      </c>
      <c r="J10715">
        <v>413</v>
      </c>
      <c r="K10715">
        <v>0</v>
      </c>
      <c r="L10715">
        <v>296</v>
      </c>
      <c r="M10715">
        <v>52</v>
      </c>
      <c r="N10715">
        <v>0</v>
      </c>
      <c r="O10715">
        <v>0</v>
      </c>
    </row>
    <row r="10716" spans="1:15" x14ac:dyDescent="0.25">
      <c r="A10716" t="s">
        <v>1430</v>
      </c>
      <c r="B10716" t="s">
        <v>2901</v>
      </c>
      <c r="C10716" t="s">
        <v>927</v>
      </c>
      <c r="D10716" t="s">
        <v>3052</v>
      </c>
      <c r="E10716" t="s">
        <v>3053</v>
      </c>
      <c r="F10716" t="s">
        <v>285</v>
      </c>
      <c r="G10716" t="s">
        <v>3040</v>
      </c>
      <c r="H10716" t="s">
        <v>13401</v>
      </c>
      <c r="I10716">
        <v>8883</v>
      </c>
      <c r="J10716">
        <v>8869</v>
      </c>
      <c r="K10716">
        <v>0</v>
      </c>
      <c r="L10716">
        <v>0</v>
      </c>
      <c r="M10716">
        <v>0</v>
      </c>
      <c r="N10716">
        <v>0</v>
      </c>
      <c r="O10716">
        <v>14</v>
      </c>
    </row>
    <row r="10717" spans="1:15" x14ac:dyDescent="0.25">
      <c r="A10717" t="s">
        <v>1025</v>
      </c>
      <c r="B10717" t="s">
        <v>2893</v>
      </c>
      <c r="C10717" t="s">
        <v>927</v>
      </c>
      <c r="D10717" t="s">
        <v>3052</v>
      </c>
      <c r="E10717" t="s">
        <v>3053</v>
      </c>
      <c r="F10717" t="s">
        <v>285</v>
      </c>
      <c r="G10717" t="s">
        <v>3040</v>
      </c>
      <c r="H10717" t="s">
        <v>13412</v>
      </c>
      <c r="I10717">
        <v>2</v>
      </c>
      <c r="J10717">
        <v>0</v>
      </c>
      <c r="K10717">
        <v>0</v>
      </c>
      <c r="L10717">
        <v>0</v>
      </c>
      <c r="M10717">
        <v>0</v>
      </c>
      <c r="N10717">
        <v>0</v>
      </c>
      <c r="O10717">
        <v>2</v>
      </c>
    </row>
    <row r="10718" spans="1:15" x14ac:dyDescent="0.25">
      <c r="A10718" t="s">
        <v>10681</v>
      </c>
      <c r="B10718" t="s">
        <v>10680</v>
      </c>
      <c r="C10718" t="s">
        <v>927</v>
      </c>
      <c r="D10718" t="s">
        <v>3052</v>
      </c>
      <c r="E10718" t="s">
        <v>3053</v>
      </c>
      <c r="F10718" t="s">
        <v>285</v>
      </c>
      <c r="G10718" t="s">
        <v>3040</v>
      </c>
      <c r="H10718" t="s">
        <v>15552</v>
      </c>
      <c r="I10718">
        <v>3</v>
      </c>
      <c r="J10718">
        <v>0</v>
      </c>
      <c r="K10718">
        <v>0</v>
      </c>
      <c r="L10718">
        <v>0</v>
      </c>
      <c r="M10718">
        <v>0</v>
      </c>
      <c r="N10718">
        <v>0</v>
      </c>
      <c r="O10718">
        <v>3</v>
      </c>
    </row>
    <row r="10719" spans="1:15" x14ac:dyDescent="0.25">
      <c r="A10719" t="s">
        <v>1296</v>
      </c>
      <c r="B10719" t="s">
        <v>2965</v>
      </c>
      <c r="C10719" t="s">
        <v>923</v>
      </c>
      <c r="D10719" t="s">
        <v>3063</v>
      </c>
      <c r="E10719" t="s">
        <v>3053</v>
      </c>
      <c r="F10719" t="s">
        <v>285</v>
      </c>
      <c r="G10719" t="s">
        <v>3040</v>
      </c>
      <c r="H10719" t="s">
        <v>13459</v>
      </c>
      <c r="I10719">
        <v>41</v>
      </c>
      <c r="J10719">
        <v>0</v>
      </c>
      <c r="K10719">
        <v>0</v>
      </c>
      <c r="L10719">
        <v>0</v>
      </c>
      <c r="M10719">
        <v>41</v>
      </c>
      <c r="N10719">
        <v>0</v>
      </c>
      <c r="O10719">
        <v>0</v>
      </c>
    </row>
    <row r="10720" spans="1:15" x14ac:dyDescent="0.25">
      <c r="A10720" t="s">
        <v>943</v>
      </c>
      <c r="B10720" t="s">
        <v>2694</v>
      </c>
      <c r="C10720" t="s">
        <v>927</v>
      </c>
      <c r="D10720" t="s">
        <v>3052</v>
      </c>
      <c r="E10720" t="s">
        <v>3053</v>
      </c>
      <c r="F10720" t="s">
        <v>285</v>
      </c>
      <c r="G10720" t="s">
        <v>3040</v>
      </c>
      <c r="H10720" t="s">
        <v>13469</v>
      </c>
      <c r="I10720">
        <v>1</v>
      </c>
      <c r="J10720">
        <v>0</v>
      </c>
      <c r="K10720">
        <v>0</v>
      </c>
      <c r="L10720">
        <v>0</v>
      </c>
      <c r="M10720">
        <v>0</v>
      </c>
      <c r="N10720">
        <v>0</v>
      </c>
      <c r="O10720">
        <v>1</v>
      </c>
    </row>
    <row r="10721" spans="1:15" x14ac:dyDescent="0.25">
      <c r="A10721" t="s">
        <v>1033</v>
      </c>
      <c r="B10721" t="s">
        <v>2039</v>
      </c>
      <c r="C10721" t="s">
        <v>923</v>
      </c>
      <c r="D10721" t="s">
        <v>3063</v>
      </c>
      <c r="E10721" t="s">
        <v>3053</v>
      </c>
      <c r="F10721" t="s">
        <v>285</v>
      </c>
      <c r="G10721" t="s">
        <v>3040</v>
      </c>
      <c r="H10721" t="s">
        <v>13514</v>
      </c>
      <c r="I10721">
        <v>3</v>
      </c>
      <c r="J10721">
        <v>0</v>
      </c>
      <c r="K10721">
        <v>0</v>
      </c>
      <c r="L10721">
        <v>3</v>
      </c>
      <c r="M10721">
        <v>0</v>
      </c>
      <c r="N10721">
        <v>0</v>
      </c>
      <c r="O10721">
        <v>0</v>
      </c>
    </row>
    <row r="10722" spans="1:15" x14ac:dyDescent="0.25">
      <c r="A10722" t="s">
        <v>1302</v>
      </c>
      <c r="B10722" t="s">
        <v>1961</v>
      </c>
      <c r="C10722" t="s">
        <v>923</v>
      </c>
      <c r="D10722" t="s">
        <v>3063</v>
      </c>
      <c r="E10722" t="s">
        <v>3053</v>
      </c>
      <c r="F10722" t="s">
        <v>285</v>
      </c>
      <c r="G10722" t="s">
        <v>3040</v>
      </c>
      <c r="H10722" t="s">
        <v>15553</v>
      </c>
      <c r="I10722">
        <v>3</v>
      </c>
      <c r="J10722">
        <v>0</v>
      </c>
      <c r="K10722">
        <v>0</v>
      </c>
      <c r="L10722">
        <v>3</v>
      </c>
      <c r="M10722">
        <v>0</v>
      </c>
      <c r="N10722">
        <v>0</v>
      </c>
      <c r="O10722">
        <v>0</v>
      </c>
    </row>
    <row r="10723" spans="1:15" x14ac:dyDescent="0.25">
      <c r="A10723" t="s">
        <v>1431</v>
      </c>
      <c r="B10723" t="s">
        <v>2475</v>
      </c>
      <c r="C10723" t="s">
        <v>923</v>
      </c>
      <c r="D10723" t="s">
        <v>3063</v>
      </c>
      <c r="E10723" t="s">
        <v>3053</v>
      </c>
      <c r="F10723" t="s">
        <v>285</v>
      </c>
      <c r="G10723" t="s">
        <v>3040</v>
      </c>
      <c r="H10723" t="s">
        <v>13525</v>
      </c>
      <c r="I10723">
        <v>8</v>
      </c>
      <c r="J10723">
        <v>8</v>
      </c>
      <c r="K10723">
        <v>0</v>
      </c>
      <c r="L10723">
        <v>0</v>
      </c>
      <c r="M10723">
        <v>0</v>
      </c>
      <c r="N10723">
        <v>0</v>
      </c>
      <c r="O10723">
        <v>0</v>
      </c>
    </row>
    <row r="10724" spans="1:15" x14ac:dyDescent="0.25">
      <c r="A10724" t="s">
        <v>1432</v>
      </c>
      <c r="B10724" t="s">
        <v>2022</v>
      </c>
      <c r="C10724" t="s">
        <v>923</v>
      </c>
      <c r="D10724" t="s">
        <v>3063</v>
      </c>
      <c r="E10724" t="s">
        <v>3053</v>
      </c>
      <c r="F10724" t="s">
        <v>285</v>
      </c>
      <c r="G10724" t="s">
        <v>3040</v>
      </c>
      <c r="H10724" t="s">
        <v>13529</v>
      </c>
      <c r="I10724">
        <v>102</v>
      </c>
      <c r="J10724">
        <v>58</v>
      </c>
      <c r="K10724">
        <v>0</v>
      </c>
      <c r="L10724">
        <v>20</v>
      </c>
      <c r="M10724">
        <v>24</v>
      </c>
      <c r="N10724">
        <v>0</v>
      </c>
      <c r="O10724">
        <v>0</v>
      </c>
    </row>
    <row r="10725" spans="1:15" x14ac:dyDescent="0.25">
      <c r="A10725" t="s">
        <v>10799</v>
      </c>
      <c r="B10725" t="s">
        <v>2574</v>
      </c>
      <c r="C10725" t="s">
        <v>923</v>
      </c>
      <c r="D10725" t="s">
        <v>3063</v>
      </c>
      <c r="E10725" t="s">
        <v>3053</v>
      </c>
      <c r="F10725" t="s">
        <v>285</v>
      </c>
      <c r="G10725" t="s">
        <v>3040</v>
      </c>
      <c r="H10725" t="s">
        <v>13538</v>
      </c>
      <c r="I10725">
        <v>226</v>
      </c>
      <c r="J10725">
        <v>17</v>
      </c>
      <c r="K10725">
        <v>125</v>
      </c>
      <c r="L10725">
        <v>84</v>
      </c>
      <c r="M10725">
        <v>0</v>
      </c>
      <c r="N10725">
        <v>0</v>
      </c>
      <c r="O10725">
        <v>0</v>
      </c>
    </row>
    <row r="10726" spans="1:15" x14ac:dyDescent="0.25">
      <c r="A10726" t="s">
        <v>1433</v>
      </c>
      <c r="B10726" t="s">
        <v>2914</v>
      </c>
      <c r="C10726" t="s">
        <v>927</v>
      </c>
      <c r="D10726" t="s">
        <v>3052</v>
      </c>
      <c r="E10726" t="s">
        <v>3053</v>
      </c>
      <c r="F10726" t="s">
        <v>285</v>
      </c>
      <c r="G10726" t="s">
        <v>3040</v>
      </c>
      <c r="H10726" t="s">
        <v>13540</v>
      </c>
      <c r="I10726">
        <v>3796</v>
      </c>
      <c r="J10726">
        <v>3182</v>
      </c>
      <c r="K10726">
        <v>0</v>
      </c>
      <c r="L10726">
        <v>392</v>
      </c>
      <c r="M10726">
        <v>193</v>
      </c>
      <c r="N10726">
        <v>5</v>
      </c>
      <c r="O10726">
        <v>29</v>
      </c>
    </row>
    <row r="10727" spans="1:15" x14ac:dyDescent="0.25">
      <c r="A10727" t="s">
        <v>1434</v>
      </c>
      <c r="B10727" t="s">
        <v>2436</v>
      </c>
      <c r="C10727" t="s">
        <v>923</v>
      </c>
      <c r="D10727" t="s">
        <v>3063</v>
      </c>
      <c r="E10727" t="s">
        <v>3053</v>
      </c>
      <c r="F10727" t="s">
        <v>285</v>
      </c>
      <c r="G10727" t="s">
        <v>3040</v>
      </c>
      <c r="H10727" t="s">
        <v>13611</v>
      </c>
      <c r="I10727">
        <v>29</v>
      </c>
      <c r="J10727">
        <v>29</v>
      </c>
      <c r="K10727">
        <v>0</v>
      </c>
      <c r="L10727">
        <v>0</v>
      </c>
      <c r="M10727">
        <v>0</v>
      </c>
      <c r="N10727">
        <v>0</v>
      </c>
      <c r="O10727">
        <v>0</v>
      </c>
    </row>
    <row r="10728" spans="1:15" x14ac:dyDescent="0.25">
      <c r="A10728" t="s">
        <v>1043</v>
      </c>
      <c r="B10728" t="s">
        <v>2090</v>
      </c>
      <c r="C10728" t="s">
        <v>927</v>
      </c>
      <c r="D10728" t="s">
        <v>3052</v>
      </c>
      <c r="E10728" t="s">
        <v>3053</v>
      </c>
      <c r="F10728" t="s">
        <v>285</v>
      </c>
      <c r="G10728" t="s">
        <v>3040</v>
      </c>
      <c r="H10728" t="s">
        <v>13625</v>
      </c>
      <c r="I10728">
        <v>1</v>
      </c>
      <c r="J10728">
        <v>0</v>
      </c>
      <c r="K10728">
        <v>0</v>
      </c>
      <c r="L10728">
        <v>0</v>
      </c>
      <c r="M10728">
        <v>0</v>
      </c>
      <c r="N10728">
        <v>0</v>
      </c>
      <c r="O10728">
        <v>1</v>
      </c>
    </row>
    <row r="10729" spans="1:15" x14ac:dyDescent="0.25">
      <c r="A10729" t="s">
        <v>1046</v>
      </c>
      <c r="B10729" t="s">
        <v>2027</v>
      </c>
      <c r="C10729" t="s">
        <v>923</v>
      </c>
      <c r="D10729" t="s">
        <v>3063</v>
      </c>
      <c r="E10729" t="s">
        <v>3053</v>
      </c>
      <c r="F10729" t="s">
        <v>285</v>
      </c>
      <c r="G10729" t="s">
        <v>3040</v>
      </c>
      <c r="H10729" t="s">
        <v>13644</v>
      </c>
      <c r="I10729">
        <v>10</v>
      </c>
      <c r="J10729">
        <v>0</v>
      </c>
      <c r="K10729">
        <v>0</v>
      </c>
      <c r="L10729">
        <v>10</v>
      </c>
      <c r="M10729">
        <v>0</v>
      </c>
      <c r="N10729">
        <v>0</v>
      </c>
      <c r="O10729">
        <v>0</v>
      </c>
    </row>
    <row r="10730" spans="1:15" x14ac:dyDescent="0.25">
      <c r="A10730" t="s">
        <v>1435</v>
      </c>
      <c r="B10730" t="s">
        <v>2405</v>
      </c>
      <c r="C10730" t="s">
        <v>923</v>
      </c>
      <c r="D10730" t="s">
        <v>3063</v>
      </c>
      <c r="E10730" t="s">
        <v>3053</v>
      </c>
      <c r="F10730" t="s">
        <v>285</v>
      </c>
      <c r="G10730" t="s">
        <v>3040</v>
      </c>
      <c r="H10730" t="s">
        <v>13661</v>
      </c>
      <c r="I10730">
        <v>23</v>
      </c>
      <c r="J10730">
        <v>23</v>
      </c>
      <c r="K10730">
        <v>0</v>
      </c>
      <c r="L10730">
        <v>0</v>
      </c>
      <c r="M10730">
        <v>0</v>
      </c>
      <c r="N10730">
        <v>0</v>
      </c>
      <c r="O10730">
        <v>0</v>
      </c>
    </row>
    <row r="10731" spans="1:15" x14ac:dyDescent="0.25">
      <c r="A10731" t="s">
        <v>1323</v>
      </c>
      <c r="B10731" t="s">
        <v>2612</v>
      </c>
      <c r="C10731" t="s">
        <v>923</v>
      </c>
      <c r="D10731" t="s">
        <v>3063</v>
      </c>
      <c r="E10731" t="s">
        <v>3053</v>
      </c>
      <c r="F10731" t="s">
        <v>285</v>
      </c>
      <c r="G10731" t="s">
        <v>3040</v>
      </c>
      <c r="H10731" t="s">
        <v>13671</v>
      </c>
      <c r="I10731">
        <v>4</v>
      </c>
      <c r="J10731">
        <v>0</v>
      </c>
      <c r="K10731">
        <v>0</v>
      </c>
      <c r="L10731">
        <v>4</v>
      </c>
      <c r="M10731">
        <v>0</v>
      </c>
      <c r="N10731">
        <v>0</v>
      </c>
      <c r="O10731">
        <v>0</v>
      </c>
    </row>
    <row r="10732" spans="1:15" x14ac:dyDescent="0.25">
      <c r="A10732" t="s">
        <v>951</v>
      </c>
      <c r="B10732" t="s">
        <v>2680</v>
      </c>
      <c r="C10732" t="s">
        <v>927</v>
      </c>
      <c r="D10732" t="s">
        <v>3052</v>
      </c>
      <c r="E10732" t="s">
        <v>3053</v>
      </c>
      <c r="F10732" t="s">
        <v>285</v>
      </c>
      <c r="G10732" t="s">
        <v>3040</v>
      </c>
      <c r="H10732" t="s">
        <v>13686</v>
      </c>
      <c r="I10732">
        <v>4932</v>
      </c>
      <c r="J10732">
        <v>4397</v>
      </c>
      <c r="K10732">
        <v>0</v>
      </c>
      <c r="L10732">
        <v>65</v>
      </c>
      <c r="M10732">
        <v>354</v>
      </c>
      <c r="N10732">
        <v>1</v>
      </c>
      <c r="O10732">
        <v>116</v>
      </c>
    </row>
    <row r="10733" spans="1:15" x14ac:dyDescent="0.25">
      <c r="A10733" t="s">
        <v>1048</v>
      </c>
      <c r="B10733" t="s">
        <v>2989</v>
      </c>
      <c r="C10733" t="s">
        <v>927</v>
      </c>
      <c r="D10733" t="s">
        <v>3052</v>
      </c>
      <c r="E10733" t="s">
        <v>3053</v>
      </c>
      <c r="F10733" t="s">
        <v>285</v>
      </c>
      <c r="G10733" t="s">
        <v>3040</v>
      </c>
      <c r="H10733" t="s">
        <v>13695</v>
      </c>
      <c r="I10733">
        <v>158</v>
      </c>
      <c r="J10733">
        <v>1</v>
      </c>
      <c r="K10733">
        <v>0</v>
      </c>
      <c r="L10733">
        <v>157</v>
      </c>
      <c r="M10733">
        <v>0</v>
      </c>
      <c r="N10733">
        <v>0</v>
      </c>
      <c r="O10733">
        <v>0</v>
      </c>
    </row>
    <row r="10734" spans="1:15" x14ac:dyDescent="0.25">
      <c r="A10734" t="s">
        <v>1051</v>
      </c>
      <c r="B10734" t="s">
        <v>2995</v>
      </c>
      <c r="C10734" t="s">
        <v>927</v>
      </c>
      <c r="D10734" t="s">
        <v>3052</v>
      </c>
      <c r="E10734" t="s">
        <v>3053</v>
      </c>
      <c r="F10734" t="s">
        <v>285</v>
      </c>
      <c r="G10734" t="s">
        <v>3040</v>
      </c>
      <c r="H10734" t="s">
        <v>13730</v>
      </c>
      <c r="I10734">
        <v>53</v>
      </c>
      <c r="J10734">
        <v>0</v>
      </c>
      <c r="K10734">
        <v>0</v>
      </c>
      <c r="L10734">
        <v>52</v>
      </c>
      <c r="M10734">
        <v>0</v>
      </c>
      <c r="N10734">
        <v>0</v>
      </c>
      <c r="O10734">
        <v>1</v>
      </c>
    </row>
    <row r="10735" spans="1:15" x14ac:dyDescent="0.25">
      <c r="A10735" t="s">
        <v>1436</v>
      </c>
      <c r="B10735" t="s">
        <v>2209</v>
      </c>
      <c r="C10735" t="s">
        <v>927</v>
      </c>
      <c r="D10735" t="s">
        <v>3052</v>
      </c>
      <c r="E10735" t="s">
        <v>3053</v>
      </c>
      <c r="F10735" t="s">
        <v>285</v>
      </c>
      <c r="G10735" t="s">
        <v>3040</v>
      </c>
      <c r="H10735" t="s">
        <v>13743</v>
      </c>
      <c r="I10735">
        <v>944</v>
      </c>
      <c r="J10735">
        <v>415</v>
      </c>
      <c r="K10735">
        <v>0</v>
      </c>
      <c r="L10735">
        <v>203</v>
      </c>
      <c r="M10735">
        <v>295</v>
      </c>
      <c r="N10735">
        <v>521</v>
      </c>
      <c r="O10735">
        <v>31</v>
      </c>
    </row>
    <row r="10736" spans="1:15" x14ac:dyDescent="0.25">
      <c r="A10736" t="s">
        <v>1437</v>
      </c>
      <c r="B10736" t="s">
        <v>2500</v>
      </c>
      <c r="C10736" t="s">
        <v>923</v>
      </c>
      <c r="D10736" t="s">
        <v>3063</v>
      </c>
      <c r="E10736" t="s">
        <v>3053</v>
      </c>
      <c r="F10736" t="s">
        <v>285</v>
      </c>
      <c r="G10736" t="s">
        <v>3040</v>
      </c>
      <c r="H10736" t="s">
        <v>13754</v>
      </c>
      <c r="I10736">
        <v>39</v>
      </c>
      <c r="J10736">
        <v>39</v>
      </c>
      <c r="K10736">
        <v>0</v>
      </c>
      <c r="L10736">
        <v>0</v>
      </c>
      <c r="M10736">
        <v>0</v>
      </c>
      <c r="N10736">
        <v>0</v>
      </c>
      <c r="O10736">
        <v>0</v>
      </c>
    </row>
    <row r="10737" spans="1:15" x14ac:dyDescent="0.25">
      <c r="A10737" t="s">
        <v>953</v>
      </c>
      <c r="B10737" t="s">
        <v>2014</v>
      </c>
      <c r="C10737" t="s">
        <v>927</v>
      </c>
      <c r="D10737" t="s">
        <v>3052</v>
      </c>
      <c r="E10737" t="s">
        <v>3053</v>
      </c>
      <c r="F10737" t="s">
        <v>285</v>
      </c>
      <c r="G10737" t="s">
        <v>3040</v>
      </c>
      <c r="H10737" t="s">
        <v>13764</v>
      </c>
      <c r="I10737">
        <v>198</v>
      </c>
      <c r="J10737">
        <v>0</v>
      </c>
      <c r="K10737">
        <v>0</v>
      </c>
      <c r="L10737">
        <v>198</v>
      </c>
      <c r="M10737">
        <v>0</v>
      </c>
      <c r="N10737">
        <v>0</v>
      </c>
      <c r="O10737">
        <v>0</v>
      </c>
    </row>
    <row r="10738" spans="1:15" x14ac:dyDescent="0.25">
      <c r="A10738" t="s">
        <v>11720</v>
      </c>
      <c r="B10738" t="s">
        <v>10718</v>
      </c>
      <c r="C10738" t="s">
        <v>927</v>
      </c>
      <c r="D10738" t="s">
        <v>3052</v>
      </c>
      <c r="E10738" t="s">
        <v>3053</v>
      </c>
      <c r="F10738" t="s">
        <v>285</v>
      </c>
      <c r="G10738" t="s">
        <v>3040</v>
      </c>
      <c r="H10738" t="s">
        <v>15554</v>
      </c>
      <c r="I10738">
        <v>28</v>
      </c>
      <c r="J10738">
        <v>9</v>
      </c>
      <c r="K10738">
        <v>0</v>
      </c>
      <c r="L10738">
        <v>0</v>
      </c>
      <c r="M10738">
        <v>0</v>
      </c>
      <c r="N10738">
        <v>0</v>
      </c>
      <c r="O10738">
        <v>19</v>
      </c>
    </row>
    <row r="10739" spans="1:15" x14ac:dyDescent="0.25">
      <c r="A10739" t="s">
        <v>9788</v>
      </c>
      <c r="B10739" t="s">
        <v>9871</v>
      </c>
      <c r="C10739" t="s">
        <v>927</v>
      </c>
      <c r="D10739" t="s">
        <v>3052</v>
      </c>
      <c r="E10739" t="s">
        <v>3053</v>
      </c>
      <c r="F10739" t="s">
        <v>285</v>
      </c>
      <c r="G10739" t="s">
        <v>3040</v>
      </c>
      <c r="H10739" t="s">
        <v>15555</v>
      </c>
      <c r="I10739">
        <v>4</v>
      </c>
      <c r="J10739">
        <v>4</v>
      </c>
      <c r="K10739">
        <v>0</v>
      </c>
      <c r="L10739">
        <v>0</v>
      </c>
      <c r="M10739">
        <v>0</v>
      </c>
      <c r="N10739">
        <v>0</v>
      </c>
      <c r="O10739">
        <v>0</v>
      </c>
    </row>
    <row r="10740" spans="1:15" x14ac:dyDescent="0.25">
      <c r="A10740" t="s">
        <v>1056</v>
      </c>
      <c r="B10740" t="s">
        <v>2966</v>
      </c>
      <c r="C10740" t="s">
        <v>927</v>
      </c>
      <c r="D10740" t="s">
        <v>3052</v>
      </c>
      <c r="E10740" t="s">
        <v>3053</v>
      </c>
      <c r="F10740" t="s">
        <v>285</v>
      </c>
      <c r="G10740" t="s">
        <v>3040</v>
      </c>
      <c r="H10740" t="s">
        <v>13809</v>
      </c>
      <c r="I10740">
        <v>133</v>
      </c>
      <c r="J10740">
        <v>55</v>
      </c>
      <c r="K10740">
        <v>0</v>
      </c>
      <c r="L10740">
        <v>78</v>
      </c>
      <c r="M10740">
        <v>0</v>
      </c>
      <c r="N10740">
        <v>0</v>
      </c>
      <c r="O10740">
        <v>0</v>
      </c>
    </row>
    <row r="10741" spans="1:15" x14ac:dyDescent="0.25">
      <c r="A10741" t="s">
        <v>1057</v>
      </c>
      <c r="B10741" t="s">
        <v>1972</v>
      </c>
      <c r="C10741" t="s">
        <v>927</v>
      </c>
      <c r="D10741" t="s">
        <v>3052</v>
      </c>
      <c r="E10741" t="s">
        <v>3053</v>
      </c>
      <c r="F10741" t="s">
        <v>285</v>
      </c>
      <c r="G10741" t="s">
        <v>3040</v>
      </c>
      <c r="H10741" t="s">
        <v>13819</v>
      </c>
      <c r="I10741">
        <v>30</v>
      </c>
      <c r="J10741">
        <v>0</v>
      </c>
      <c r="K10741">
        <v>0</v>
      </c>
      <c r="L10741">
        <v>30</v>
      </c>
      <c r="M10741">
        <v>0</v>
      </c>
      <c r="N10741">
        <v>0</v>
      </c>
      <c r="O10741">
        <v>0</v>
      </c>
    </row>
    <row r="10742" spans="1:15" x14ac:dyDescent="0.25">
      <c r="A10742" t="s">
        <v>955</v>
      </c>
      <c r="B10742" t="s">
        <v>2660</v>
      </c>
      <c r="C10742" t="s">
        <v>927</v>
      </c>
      <c r="D10742" t="s">
        <v>3052</v>
      </c>
      <c r="E10742" t="s">
        <v>3053</v>
      </c>
      <c r="F10742" t="s">
        <v>285</v>
      </c>
      <c r="G10742" t="s">
        <v>3040</v>
      </c>
      <c r="H10742" t="s">
        <v>13828</v>
      </c>
      <c r="I10742">
        <v>65</v>
      </c>
      <c r="J10742">
        <v>0</v>
      </c>
      <c r="K10742">
        <v>0</v>
      </c>
      <c r="L10742">
        <v>65</v>
      </c>
      <c r="M10742">
        <v>0</v>
      </c>
      <c r="N10742">
        <v>0</v>
      </c>
      <c r="O10742">
        <v>0</v>
      </c>
    </row>
    <row r="10743" spans="1:15" x14ac:dyDescent="0.25">
      <c r="A10743" t="s">
        <v>1438</v>
      </c>
      <c r="B10743" t="s">
        <v>2287</v>
      </c>
      <c r="C10743" t="s">
        <v>923</v>
      </c>
      <c r="D10743" t="s">
        <v>3063</v>
      </c>
      <c r="E10743" t="s">
        <v>3053</v>
      </c>
      <c r="F10743" t="s">
        <v>285</v>
      </c>
      <c r="G10743" t="s">
        <v>3040</v>
      </c>
      <c r="H10743" t="s">
        <v>13859</v>
      </c>
      <c r="I10743">
        <v>25</v>
      </c>
      <c r="J10743">
        <v>0</v>
      </c>
      <c r="K10743">
        <v>0</v>
      </c>
      <c r="L10743">
        <v>18</v>
      </c>
      <c r="M10743">
        <v>7</v>
      </c>
      <c r="N10743">
        <v>0</v>
      </c>
      <c r="O10743">
        <v>0</v>
      </c>
    </row>
    <row r="10744" spans="1:15" x14ac:dyDescent="0.25">
      <c r="A10744" t="s">
        <v>11689</v>
      </c>
      <c r="B10744" t="s">
        <v>2169</v>
      </c>
      <c r="C10744" t="s">
        <v>923</v>
      </c>
      <c r="D10744" t="s">
        <v>3063</v>
      </c>
      <c r="E10744" t="s">
        <v>3053</v>
      </c>
      <c r="F10744" t="s">
        <v>285</v>
      </c>
      <c r="G10744" t="s">
        <v>3040</v>
      </c>
      <c r="H10744" t="s">
        <v>13868</v>
      </c>
      <c r="I10744">
        <v>55</v>
      </c>
      <c r="J10744">
        <v>0</v>
      </c>
      <c r="K10744">
        <v>0</v>
      </c>
      <c r="L10744">
        <v>0</v>
      </c>
      <c r="M10744">
        <v>55</v>
      </c>
      <c r="N10744">
        <v>0</v>
      </c>
      <c r="O10744">
        <v>0</v>
      </c>
    </row>
    <row r="10745" spans="1:15" x14ac:dyDescent="0.25">
      <c r="A10745" t="s">
        <v>1439</v>
      </c>
      <c r="B10745" t="s">
        <v>2347</v>
      </c>
      <c r="C10745" t="s">
        <v>923</v>
      </c>
      <c r="D10745" t="s">
        <v>3063</v>
      </c>
      <c r="E10745" t="s">
        <v>3053</v>
      </c>
      <c r="F10745" t="s">
        <v>285</v>
      </c>
      <c r="G10745" t="s">
        <v>3040</v>
      </c>
      <c r="H10745" t="s">
        <v>13873</v>
      </c>
      <c r="I10745">
        <v>25</v>
      </c>
      <c r="J10745">
        <v>0</v>
      </c>
      <c r="K10745">
        <v>0</v>
      </c>
      <c r="L10745">
        <v>0</v>
      </c>
      <c r="M10745">
        <v>25</v>
      </c>
      <c r="N10745">
        <v>0</v>
      </c>
      <c r="O10745">
        <v>0</v>
      </c>
    </row>
    <row r="10746" spans="1:15" x14ac:dyDescent="0.25">
      <c r="A10746" t="s">
        <v>1440</v>
      </c>
      <c r="B10746" t="s">
        <v>2723</v>
      </c>
      <c r="C10746" t="s">
        <v>923</v>
      </c>
      <c r="D10746" t="s">
        <v>3063</v>
      </c>
      <c r="E10746" t="s">
        <v>3053</v>
      </c>
      <c r="F10746" t="s">
        <v>285</v>
      </c>
      <c r="G10746" t="s">
        <v>3040</v>
      </c>
      <c r="H10746" t="s">
        <v>13916</v>
      </c>
      <c r="I10746">
        <v>115</v>
      </c>
      <c r="J10746">
        <v>90</v>
      </c>
      <c r="K10746">
        <v>0</v>
      </c>
      <c r="L10746">
        <v>25</v>
      </c>
      <c r="M10746">
        <v>0</v>
      </c>
      <c r="N10746">
        <v>0</v>
      </c>
      <c r="O10746">
        <v>0</v>
      </c>
    </row>
    <row r="10747" spans="1:15" x14ac:dyDescent="0.25">
      <c r="A10747" t="s">
        <v>9815</v>
      </c>
      <c r="B10747" t="s">
        <v>2424</v>
      </c>
      <c r="C10747" t="s">
        <v>923</v>
      </c>
      <c r="D10747" t="s">
        <v>3063</v>
      </c>
      <c r="E10747" t="s">
        <v>3053</v>
      </c>
      <c r="F10747" t="s">
        <v>285</v>
      </c>
      <c r="G10747" t="s">
        <v>3040</v>
      </c>
      <c r="H10747" t="s">
        <v>13955</v>
      </c>
      <c r="I10747">
        <v>12</v>
      </c>
      <c r="J10747">
        <v>12</v>
      </c>
      <c r="K10747">
        <v>0</v>
      </c>
      <c r="L10747">
        <v>0</v>
      </c>
      <c r="M10747">
        <v>0</v>
      </c>
      <c r="N10747">
        <v>0</v>
      </c>
      <c r="O10747">
        <v>0</v>
      </c>
    </row>
    <row r="10748" spans="1:15" x14ac:dyDescent="0.25">
      <c r="A10748" t="s">
        <v>1441</v>
      </c>
      <c r="B10748" t="s">
        <v>2446</v>
      </c>
      <c r="C10748" t="s">
        <v>923</v>
      </c>
      <c r="D10748" t="s">
        <v>3063</v>
      </c>
      <c r="E10748" t="s">
        <v>3053</v>
      </c>
      <c r="F10748" t="s">
        <v>285</v>
      </c>
      <c r="G10748" t="s">
        <v>3040</v>
      </c>
      <c r="H10748" t="s">
        <v>13956</v>
      </c>
      <c r="I10748">
        <v>87</v>
      </c>
      <c r="J10748">
        <v>87</v>
      </c>
      <c r="K10748">
        <v>0</v>
      </c>
      <c r="L10748">
        <v>0</v>
      </c>
      <c r="M10748">
        <v>0</v>
      </c>
      <c r="N10748">
        <v>0</v>
      </c>
      <c r="O10748">
        <v>0</v>
      </c>
    </row>
    <row r="10749" spans="1:15" x14ac:dyDescent="0.25">
      <c r="A10749" t="s">
        <v>1442</v>
      </c>
      <c r="B10749" t="s">
        <v>2017</v>
      </c>
      <c r="C10749" t="s">
        <v>923</v>
      </c>
      <c r="D10749" t="s">
        <v>3063</v>
      </c>
      <c r="E10749" t="s">
        <v>3053</v>
      </c>
      <c r="F10749" t="s">
        <v>285</v>
      </c>
      <c r="G10749" t="s">
        <v>3040</v>
      </c>
      <c r="H10749" t="s">
        <v>13983</v>
      </c>
      <c r="I10749">
        <v>354</v>
      </c>
      <c r="J10749">
        <v>76</v>
      </c>
      <c r="K10749">
        <v>0</v>
      </c>
      <c r="L10749">
        <v>278</v>
      </c>
      <c r="M10749">
        <v>0</v>
      </c>
      <c r="N10749">
        <v>0</v>
      </c>
      <c r="O10749">
        <v>0</v>
      </c>
    </row>
    <row r="10750" spans="1:15" x14ac:dyDescent="0.25">
      <c r="A10750" t="s">
        <v>10736</v>
      </c>
      <c r="B10750" t="s">
        <v>10735</v>
      </c>
      <c r="C10750" t="s">
        <v>923</v>
      </c>
      <c r="D10750" t="s">
        <v>3063</v>
      </c>
      <c r="E10750" t="s">
        <v>3053</v>
      </c>
      <c r="F10750" t="s">
        <v>285</v>
      </c>
      <c r="G10750" t="s">
        <v>3040</v>
      </c>
      <c r="H10750" t="s">
        <v>13996</v>
      </c>
      <c r="I10750">
        <v>20</v>
      </c>
      <c r="J10750">
        <v>0</v>
      </c>
      <c r="K10750">
        <v>0</v>
      </c>
      <c r="L10750">
        <v>0</v>
      </c>
      <c r="M10750">
        <v>20</v>
      </c>
      <c r="N10750">
        <v>0</v>
      </c>
      <c r="O10750">
        <v>0</v>
      </c>
    </row>
    <row r="10751" spans="1:15" x14ac:dyDescent="0.25">
      <c r="A10751" t="s">
        <v>1443</v>
      </c>
      <c r="B10751" t="s">
        <v>2578</v>
      </c>
      <c r="C10751" t="s">
        <v>923</v>
      </c>
      <c r="D10751" t="s">
        <v>3063</v>
      </c>
      <c r="E10751" t="s">
        <v>3053</v>
      </c>
      <c r="F10751" t="s">
        <v>285</v>
      </c>
      <c r="G10751" t="s">
        <v>3040</v>
      </c>
      <c r="H10751" t="s">
        <v>14004</v>
      </c>
      <c r="I10751">
        <v>9</v>
      </c>
      <c r="J10751">
        <v>0</v>
      </c>
      <c r="K10751">
        <v>0</v>
      </c>
      <c r="L10751">
        <v>0</v>
      </c>
      <c r="M10751">
        <v>9</v>
      </c>
      <c r="N10751">
        <v>0</v>
      </c>
      <c r="O10751">
        <v>0</v>
      </c>
    </row>
    <row r="10752" spans="1:15" x14ac:dyDescent="0.25">
      <c r="A10752" t="s">
        <v>1066</v>
      </c>
      <c r="B10752" t="s">
        <v>2557</v>
      </c>
      <c r="C10752" t="s">
        <v>927</v>
      </c>
      <c r="D10752" t="s">
        <v>3052</v>
      </c>
      <c r="E10752" t="s">
        <v>3053</v>
      </c>
      <c r="F10752" t="s">
        <v>285</v>
      </c>
      <c r="G10752" t="s">
        <v>3040</v>
      </c>
      <c r="H10752" t="s">
        <v>14031</v>
      </c>
      <c r="I10752">
        <v>94</v>
      </c>
      <c r="J10752">
        <v>0</v>
      </c>
      <c r="K10752">
        <v>0</v>
      </c>
      <c r="L10752">
        <v>0</v>
      </c>
      <c r="M10752">
        <v>94</v>
      </c>
      <c r="N10752">
        <v>0</v>
      </c>
      <c r="O10752">
        <v>0</v>
      </c>
    </row>
    <row r="10753" spans="1:15" x14ac:dyDescent="0.25">
      <c r="A10753" t="s">
        <v>9816</v>
      </c>
      <c r="B10753" t="s">
        <v>2900</v>
      </c>
      <c r="C10753" t="s">
        <v>923</v>
      </c>
      <c r="D10753" t="s">
        <v>3063</v>
      </c>
      <c r="E10753" t="s">
        <v>3053</v>
      </c>
      <c r="F10753" t="s">
        <v>285</v>
      </c>
      <c r="G10753" t="s">
        <v>3040</v>
      </c>
      <c r="H10753" t="s">
        <v>14074</v>
      </c>
      <c r="I10753">
        <v>20</v>
      </c>
      <c r="J10753">
        <v>0</v>
      </c>
      <c r="K10753">
        <v>0</v>
      </c>
      <c r="L10753">
        <v>20</v>
      </c>
      <c r="M10753">
        <v>0</v>
      </c>
      <c r="N10753">
        <v>0</v>
      </c>
      <c r="O10753">
        <v>0</v>
      </c>
    </row>
    <row r="10754" spans="1:15" x14ac:dyDescent="0.25">
      <c r="A10754" t="s">
        <v>1444</v>
      </c>
      <c r="B10754" t="s">
        <v>1971</v>
      </c>
      <c r="C10754" t="s">
        <v>923</v>
      </c>
      <c r="D10754" t="s">
        <v>3063</v>
      </c>
      <c r="E10754" t="s">
        <v>3053</v>
      </c>
      <c r="F10754" t="s">
        <v>285</v>
      </c>
      <c r="G10754" t="s">
        <v>3040</v>
      </c>
      <c r="H10754" t="s">
        <v>14085</v>
      </c>
      <c r="I10754">
        <v>15</v>
      </c>
      <c r="J10754">
        <v>15</v>
      </c>
      <c r="K10754">
        <v>0</v>
      </c>
      <c r="L10754">
        <v>0</v>
      </c>
      <c r="M10754">
        <v>0</v>
      </c>
      <c r="N10754">
        <v>0</v>
      </c>
      <c r="O10754">
        <v>0</v>
      </c>
    </row>
    <row r="10755" spans="1:15" x14ac:dyDescent="0.25">
      <c r="A10755" t="s">
        <v>1069</v>
      </c>
      <c r="B10755" t="s">
        <v>2001</v>
      </c>
      <c r="C10755" t="s">
        <v>927</v>
      </c>
      <c r="D10755" t="s">
        <v>3052</v>
      </c>
      <c r="E10755" t="s">
        <v>3053</v>
      </c>
      <c r="F10755" t="s">
        <v>285</v>
      </c>
      <c r="G10755" t="s">
        <v>3040</v>
      </c>
      <c r="H10755" t="s">
        <v>14091</v>
      </c>
      <c r="I10755">
        <v>1</v>
      </c>
      <c r="J10755">
        <v>0</v>
      </c>
      <c r="K10755">
        <v>0</v>
      </c>
      <c r="L10755">
        <v>0</v>
      </c>
      <c r="M10755">
        <v>0</v>
      </c>
      <c r="N10755">
        <v>0</v>
      </c>
      <c r="O10755">
        <v>1</v>
      </c>
    </row>
    <row r="10756" spans="1:15" x14ac:dyDescent="0.25">
      <c r="A10756" t="s">
        <v>9817</v>
      </c>
      <c r="B10756" t="s">
        <v>2184</v>
      </c>
      <c r="C10756" t="s">
        <v>923</v>
      </c>
      <c r="D10756" t="s">
        <v>3063</v>
      </c>
      <c r="E10756" t="s">
        <v>3053</v>
      </c>
      <c r="F10756" t="s">
        <v>285</v>
      </c>
      <c r="G10756" t="s">
        <v>3040</v>
      </c>
      <c r="H10756" t="s">
        <v>14100</v>
      </c>
      <c r="I10756">
        <v>24</v>
      </c>
      <c r="J10756">
        <v>24</v>
      </c>
      <c r="K10756">
        <v>0</v>
      </c>
      <c r="L10756">
        <v>0</v>
      </c>
      <c r="M10756">
        <v>0</v>
      </c>
      <c r="N10756">
        <v>0</v>
      </c>
      <c r="O10756">
        <v>0</v>
      </c>
    </row>
    <row r="10757" spans="1:15" x14ac:dyDescent="0.25">
      <c r="A10757" t="s">
        <v>1445</v>
      </c>
      <c r="B10757" t="s">
        <v>2243</v>
      </c>
      <c r="C10757" t="s">
        <v>923</v>
      </c>
      <c r="D10757" t="s">
        <v>3063</v>
      </c>
      <c r="E10757" t="s">
        <v>3053</v>
      </c>
      <c r="F10757" t="s">
        <v>285</v>
      </c>
      <c r="G10757" t="s">
        <v>3040</v>
      </c>
      <c r="H10757" t="s">
        <v>14113</v>
      </c>
      <c r="I10757">
        <v>10</v>
      </c>
      <c r="J10757">
        <v>10</v>
      </c>
      <c r="K10757">
        <v>0</v>
      </c>
      <c r="L10757">
        <v>0</v>
      </c>
      <c r="M10757">
        <v>0</v>
      </c>
      <c r="N10757">
        <v>0</v>
      </c>
      <c r="O10757">
        <v>0</v>
      </c>
    </row>
    <row r="10758" spans="1:15" x14ac:dyDescent="0.25">
      <c r="A10758" t="s">
        <v>1071</v>
      </c>
      <c r="B10758" t="s">
        <v>2571</v>
      </c>
      <c r="C10758" t="s">
        <v>923</v>
      </c>
      <c r="D10758" t="s">
        <v>3063</v>
      </c>
      <c r="E10758" t="s">
        <v>3053</v>
      </c>
      <c r="F10758" t="s">
        <v>285</v>
      </c>
      <c r="G10758" t="s">
        <v>3040</v>
      </c>
      <c r="H10758" t="s">
        <v>14141</v>
      </c>
      <c r="I10758">
        <v>23</v>
      </c>
      <c r="J10758">
        <v>0</v>
      </c>
      <c r="K10758">
        <v>0</v>
      </c>
      <c r="L10758">
        <v>23</v>
      </c>
      <c r="M10758">
        <v>0</v>
      </c>
      <c r="N10758">
        <v>0</v>
      </c>
      <c r="O10758">
        <v>0</v>
      </c>
    </row>
    <row r="10759" spans="1:15" x14ac:dyDescent="0.25">
      <c r="A10759" t="s">
        <v>1072</v>
      </c>
      <c r="B10759" t="s">
        <v>2907</v>
      </c>
      <c r="C10759" t="s">
        <v>927</v>
      </c>
      <c r="D10759" t="s">
        <v>3052</v>
      </c>
      <c r="E10759" t="s">
        <v>3053</v>
      </c>
      <c r="F10759" t="s">
        <v>285</v>
      </c>
      <c r="G10759" t="s">
        <v>3040</v>
      </c>
      <c r="H10759" t="s">
        <v>14148</v>
      </c>
      <c r="I10759">
        <v>4125</v>
      </c>
      <c r="J10759">
        <v>2655</v>
      </c>
      <c r="K10759">
        <v>0</v>
      </c>
      <c r="L10759">
        <v>431</v>
      </c>
      <c r="M10759">
        <v>518</v>
      </c>
      <c r="N10759">
        <v>8</v>
      </c>
      <c r="O10759">
        <v>521</v>
      </c>
    </row>
    <row r="10760" spans="1:15" x14ac:dyDescent="0.25">
      <c r="A10760" t="s">
        <v>11690</v>
      </c>
      <c r="B10760" t="s">
        <v>2307</v>
      </c>
      <c r="C10760" t="s">
        <v>923</v>
      </c>
      <c r="D10760" t="s">
        <v>3063</v>
      </c>
      <c r="E10760" t="s">
        <v>3053</v>
      </c>
      <c r="F10760" t="s">
        <v>285</v>
      </c>
      <c r="G10760" t="s">
        <v>3040</v>
      </c>
      <c r="H10760" t="s">
        <v>14171</v>
      </c>
      <c r="I10760">
        <v>30</v>
      </c>
      <c r="J10760">
        <v>30</v>
      </c>
      <c r="K10760">
        <v>0</v>
      </c>
      <c r="L10760">
        <v>0</v>
      </c>
      <c r="M10760">
        <v>0</v>
      </c>
      <c r="N10760">
        <v>0</v>
      </c>
      <c r="O10760">
        <v>0</v>
      </c>
    </row>
    <row r="10761" spans="1:15" x14ac:dyDescent="0.25">
      <c r="A10761" t="s">
        <v>1180</v>
      </c>
      <c r="B10761" t="s">
        <v>2896</v>
      </c>
      <c r="C10761" t="s">
        <v>927</v>
      </c>
      <c r="D10761" t="s">
        <v>3052</v>
      </c>
      <c r="E10761" t="s">
        <v>3053</v>
      </c>
      <c r="F10761" t="s">
        <v>285</v>
      </c>
      <c r="G10761" t="s">
        <v>3040</v>
      </c>
      <c r="H10761" t="s">
        <v>14179</v>
      </c>
      <c r="I10761">
        <v>33242</v>
      </c>
      <c r="J10761">
        <v>29265</v>
      </c>
      <c r="K10761">
        <v>6</v>
      </c>
      <c r="L10761">
        <v>312</v>
      </c>
      <c r="M10761">
        <v>2573</v>
      </c>
      <c r="N10761">
        <v>30</v>
      </c>
      <c r="O10761">
        <v>1086</v>
      </c>
    </row>
    <row r="10762" spans="1:15" x14ac:dyDescent="0.25">
      <c r="A10762" t="s">
        <v>1446</v>
      </c>
      <c r="B10762" t="s">
        <v>2461</v>
      </c>
      <c r="C10762" t="s">
        <v>923</v>
      </c>
      <c r="D10762" t="s">
        <v>3063</v>
      </c>
      <c r="E10762" t="s">
        <v>3053</v>
      </c>
      <c r="F10762" t="s">
        <v>285</v>
      </c>
      <c r="G10762" t="s">
        <v>3040</v>
      </c>
      <c r="H10762" t="s">
        <v>14183</v>
      </c>
      <c r="I10762">
        <v>30</v>
      </c>
      <c r="J10762">
        <v>30</v>
      </c>
      <c r="K10762">
        <v>0</v>
      </c>
      <c r="L10762">
        <v>0</v>
      </c>
      <c r="M10762">
        <v>0</v>
      </c>
      <c r="N10762">
        <v>0</v>
      </c>
      <c r="O10762">
        <v>0</v>
      </c>
    </row>
    <row r="10763" spans="1:15" x14ac:dyDescent="0.25">
      <c r="A10763" t="s">
        <v>1075</v>
      </c>
      <c r="B10763" t="s">
        <v>2830</v>
      </c>
      <c r="C10763" t="s">
        <v>927</v>
      </c>
      <c r="D10763" t="s">
        <v>3052</v>
      </c>
      <c r="E10763" t="s">
        <v>3053</v>
      </c>
      <c r="F10763" t="s">
        <v>285</v>
      </c>
      <c r="G10763" t="s">
        <v>3040</v>
      </c>
      <c r="H10763" t="s">
        <v>15556</v>
      </c>
      <c r="I10763">
        <v>44</v>
      </c>
      <c r="J10763">
        <v>0</v>
      </c>
      <c r="K10763">
        <v>0</v>
      </c>
      <c r="L10763">
        <v>0</v>
      </c>
      <c r="M10763">
        <v>0</v>
      </c>
      <c r="N10763">
        <v>0</v>
      </c>
      <c r="O10763">
        <v>44</v>
      </c>
    </row>
    <row r="10764" spans="1:15" x14ac:dyDescent="0.25">
      <c r="A10764" t="s">
        <v>1182</v>
      </c>
      <c r="B10764" t="s">
        <v>2583</v>
      </c>
      <c r="C10764" t="s">
        <v>923</v>
      </c>
      <c r="D10764" t="s">
        <v>3063</v>
      </c>
      <c r="E10764" t="s">
        <v>3053</v>
      </c>
      <c r="F10764" t="s">
        <v>285</v>
      </c>
      <c r="G10764" t="s">
        <v>3040</v>
      </c>
      <c r="H10764" t="s">
        <v>14222</v>
      </c>
      <c r="I10764">
        <v>9</v>
      </c>
      <c r="J10764">
        <v>0</v>
      </c>
      <c r="K10764">
        <v>0</v>
      </c>
      <c r="L10764">
        <v>9</v>
      </c>
      <c r="M10764">
        <v>0</v>
      </c>
      <c r="N10764">
        <v>0</v>
      </c>
      <c r="O10764">
        <v>0</v>
      </c>
    </row>
    <row r="10765" spans="1:15" x14ac:dyDescent="0.25">
      <c r="A10765" t="s">
        <v>1447</v>
      </c>
      <c r="B10765" t="s">
        <v>3018</v>
      </c>
      <c r="C10765" t="s">
        <v>923</v>
      </c>
      <c r="D10765" t="s">
        <v>3063</v>
      </c>
      <c r="E10765" t="s">
        <v>3053</v>
      </c>
      <c r="F10765" t="s">
        <v>285</v>
      </c>
      <c r="G10765" t="s">
        <v>3040</v>
      </c>
      <c r="H10765" t="s">
        <v>14229</v>
      </c>
      <c r="I10765">
        <v>357</v>
      </c>
      <c r="J10765">
        <v>17</v>
      </c>
      <c r="K10765">
        <v>0</v>
      </c>
      <c r="L10765">
        <v>340</v>
      </c>
      <c r="M10765">
        <v>0</v>
      </c>
      <c r="N10765">
        <v>0</v>
      </c>
      <c r="O10765">
        <v>0</v>
      </c>
    </row>
    <row r="10766" spans="1:15" x14ac:dyDescent="0.25">
      <c r="A10766" t="s">
        <v>10776</v>
      </c>
      <c r="B10766" t="s">
        <v>10775</v>
      </c>
      <c r="C10766" t="s">
        <v>923</v>
      </c>
      <c r="D10766" t="s">
        <v>3063</v>
      </c>
      <c r="E10766" t="s">
        <v>3053</v>
      </c>
      <c r="F10766" t="s">
        <v>285</v>
      </c>
      <c r="G10766" t="s">
        <v>3040</v>
      </c>
      <c r="H10766" t="s">
        <v>14236</v>
      </c>
      <c r="I10766">
        <v>26</v>
      </c>
      <c r="J10766">
        <v>0</v>
      </c>
      <c r="K10766">
        <v>0</v>
      </c>
      <c r="L10766">
        <v>0</v>
      </c>
      <c r="M10766">
        <v>26</v>
      </c>
      <c r="N10766">
        <v>0</v>
      </c>
      <c r="O10766">
        <v>0</v>
      </c>
    </row>
    <row r="10767" spans="1:15" x14ac:dyDescent="0.25">
      <c r="A10767" t="s">
        <v>1448</v>
      </c>
      <c r="B10767" t="s">
        <v>2418</v>
      </c>
      <c r="C10767" t="s">
        <v>923</v>
      </c>
      <c r="D10767" t="s">
        <v>3063</v>
      </c>
      <c r="E10767" t="s">
        <v>3053</v>
      </c>
      <c r="F10767" t="s">
        <v>285</v>
      </c>
      <c r="G10767" t="s">
        <v>3040</v>
      </c>
      <c r="H10767" t="s">
        <v>14261</v>
      </c>
      <c r="I10767">
        <v>67</v>
      </c>
      <c r="J10767">
        <v>67</v>
      </c>
      <c r="K10767">
        <v>0</v>
      </c>
      <c r="L10767">
        <v>0</v>
      </c>
      <c r="M10767">
        <v>0</v>
      </c>
      <c r="N10767">
        <v>0</v>
      </c>
      <c r="O10767">
        <v>0</v>
      </c>
    </row>
    <row r="10768" spans="1:15" x14ac:dyDescent="0.25">
      <c r="A10768" t="s">
        <v>1449</v>
      </c>
      <c r="B10768" t="s">
        <v>2406</v>
      </c>
      <c r="C10768" t="s">
        <v>923</v>
      </c>
      <c r="D10768" t="s">
        <v>3063</v>
      </c>
      <c r="E10768" t="s">
        <v>3053</v>
      </c>
      <c r="F10768" t="s">
        <v>285</v>
      </c>
      <c r="G10768" t="s">
        <v>3040</v>
      </c>
      <c r="H10768" t="s">
        <v>14267</v>
      </c>
      <c r="I10768">
        <v>12</v>
      </c>
      <c r="J10768">
        <v>12</v>
      </c>
      <c r="K10768">
        <v>0</v>
      </c>
      <c r="L10768">
        <v>0</v>
      </c>
      <c r="M10768">
        <v>0</v>
      </c>
      <c r="N10768">
        <v>0</v>
      </c>
      <c r="O10768">
        <v>0</v>
      </c>
    </row>
    <row r="10769" spans="1:15" x14ac:dyDescent="0.25">
      <c r="A10769" t="s">
        <v>1080</v>
      </c>
      <c r="B10769" t="s">
        <v>2030</v>
      </c>
      <c r="C10769" t="s">
        <v>923</v>
      </c>
      <c r="D10769" t="s">
        <v>3063</v>
      </c>
      <c r="E10769" t="s">
        <v>3053</v>
      </c>
      <c r="F10769" t="s">
        <v>285</v>
      </c>
      <c r="G10769" t="s">
        <v>3040</v>
      </c>
      <c r="H10769" t="s">
        <v>14280</v>
      </c>
      <c r="I10769">
        <v>19</v>
      </c>
      <c r="J10769">
        <v>0</v>
      </c>
      <c r="K10769">
        <v>0</v>
      </c>
      <c r="L10769">
        <v>19</v>
      </c>
      <c r="M10769">
        <v>0</v>
      </c>
      <c r="N10769">
        <v>0</v>
      </c>
      <c r="O10769">
        <v>0</v>
      </c>
    </row>
    <row r="10770" spans="1:15" x14ac:dyDescent="0.25">
      <c r="A10770" t="s">
        <v>1450</v>
      </c>
      <c r="B10770" t="s">
        <v>2172</v>
      </c>
      <c r="C10770" t="s">
        <v>923</v>
      </c>
      <c r="D10770" t="s">
        <v>3063</v>
      </c>
      <c r="E10770" t="s">
        <v>3053</v>
      </c>
      <c r="F10770" t="s">
        <v>285</v>
      </c>
      <c r="G10770" t="s">
        <v>3040</v>
      </c>
      <c r="H10770" t="s">
        <v>14300</v>
      </c>
      <c r="I10770">
        <v>7</v>
      </c>
      <c r="J10770">
        <v>7</v>
      </c>
      <c r="K10770">
        <v>0</v>
      </c>
      <c r="L10770">
        <v>0</v>
      </c>
      <c r="M10770">
        <v>0</v>
      </c>
      <c r="N10770">
        <v>0</v>
      </c>
      <c r="O10770">
        <v>0</v>
      </c>
    </row>
    <row r="10771" spans="1:15" x14ac:dyDescent="0.25">
      <c r="A10771" t="s">
        <v>1451</v>
      </c>
      <c r="B10771" t="s">
        <v>2049</v>
      </c>
      <c r="C10771" t="s">
        <v>923</v>
      </c>
      <c r="D10771" t="s">
        <v>3063</v>
      </c>
      <c r="E10771" t="s">
        <v>3053</v>
      </c>
      <c r="F10771" t="s">
        <v>285</v>
      </c>
      <c r="G10771" t="s">
        <v>3040</v>
      </c>
      <c r="H10771" t="s">
        <v>14336</v>
      </c>
      <c r="I10771">
        <v>24</v>
      </c>
      <c r="J10771">
        <v>0</v>
      </c>
      <c r="K10771">
        <v>0</v>
      </c>
      <c r="L10771">
        <v>24</v>
      </c>
      <c r="M10771">
        <v>0</v>
      </c>
      <c r="N10771">
        <v>0</v>
      </c>
      <c r="O10771">
        <v>0</v>
      </c>
    </row>
    <row r="10772" spans="1:15" x14ac:dyDescent="0.25">
      <c r="A10772" t="s">
        <v>971</v>
      </c>
      <c r="B10772" t="s">
        <v>2956</v>
      </c>
      <c r="C10772" t="s">
        <v>927</v>
      </c>
      <c r="D10772" t="s">
        <v>3052</v>
      </c>
      <c r="E10772" t="s">
        <v>3053</v>
      </c>
      <c r="F10772" t="s">
        <v>286</v>
      </c>
      <c r="G10772" t="s">
        <v>3040</v>
      </c>
      <c r="H10772" t="s">
        <v>12561</v>
      </c>
      <c r="I10772">
        <v>4023</v>
      </c>
      <c r="J10772">
        <v>3504</v>
      </c>
      <c r="K10772">
        <v>0</v>
      </c>
      <c r="L10772">
        <v>4</v>
      </c>
      <c r="M10772">
        <v>421</v>
      </c>
      <c r="N10772">
        <v>0</v>
      </c>
      <c r="O10772">
        <v>94</v>
      </c>
    </row>
    <row r="10773" spans="1:15" x14ac:dyDescent="0.25">
      <c r="A10773" t="s">
        <v>974</v>
      </c>
      <c r="B10773" t="s">
        <v>2949</v>
      </c>
      <c r="C10773" t="s">
        <v>923</v>
      </c>
      <c r="D10773" t="s">
        <v>3063</v>
      </c>
      <c r="E10773" t="s">
        <v>3053</v>
      </c>
      <c r="F10773" t="s">
        <v>286</v>
      </c>
      <c r="G10773" t="s">
        <v>3040</v>
      </c>
      <c r="H10773" t="s">
        <v>12573</v>
      </c>
      <c r="I10773">
        <v>157</v>
      </c>
      <c r="J10773">
        <v>0</v>
      </c>
      <c r="K10773">
        <v>11</v>
      </c>
      <c r="L10773">
        <v>146</v>
      </c>
      <c r="M10773">
        <v>0</v>
      </c>
      <c r="N10773">
        <v>0</v>
      </c>
      <c r="O10773">
        <v>0</v>
      </c>
    </row>
    <row r="10774" spans="1:15" x14ac:dyDescent="0.25">
      <c r="A10774" t="s">
        <v>926</v>
      </c>
      <c r="B10774" t="s">
        <v>2923</v>
      </c>
      <c r="C10774" t="s">
        <v>927</v>
      </c>
      <c r="D10774" t="s">
        <v>3052</v>
      </c>
      <c r="E10774" t="s">
        <v>3053</v>
      </c>
      <c r="F10774" t="s">
        <v>286</v>
      </c>
      <c r="G10774" t="s">
        <v>3040</v>
      </c>
      <c r="H10774" t="s">
        <v>12579</v>
      </c>
      <c r="I10774">
        <v>2</v>
      </c>
      <c r="J10774">
        <v>0</v>
      </c>
      <c r="K10774">
        <v>0</v>
      </c>
      <c r="L10774">
        <v>0</v>
      </c>
      <c r="M10774">
        <v>0</v>
      </c>
      <c r="N10774">
        <v>0</v>
      </c>
      <c r="O10774">
        <v>2</v>
      </c>
    </row>
    <row r="10775" spans="1:15" x14ac:dyDescent="0.25">
      <c r="A10775" t="s">
        <v>1201</v>
      </c>
      <c r="B10775" t="s">
        <v>2972</v>
      </c>
      <c r="C10775" t="s">
        <v>923</v>
      </c>
      <c r="D10775" t="s">
        <v>3063</v>
      </c>
      <c r="E10775" t="s">
        <v>3053</v>
      </c>
      <c r="F10775" t="s">
        <v>286</v>
      </c>
      <c r="G10775" t="s">
        <v>3040</v>
      </c>
      <c r="H10775" t="s">
        <v>12587</v>
      </c>
      <c r="I10775">
        <v>67</v>
      </c>
      <c r="J10775">
        <v>57</v>
      </c>
      <c r="K10775">
        <v>0</v>
      </c>
      <c r="L10775">
        <v>0</v>
      </c>
      <c r="M10775">
        <v>10</v>
      </c>
      <c r="N10775">
        <v>0</v>
      </c>
      <c r="O10775">
        <v>0</v>
      </c>
    </row>
    <row r="10776" spans="1:15" x14ac:dyDescent="0.25">
      <c r="A10776" t="s">
        <v>1452</v>
      </c>
      <c r="B10776" t="s">
        <v>2721</v>
      </c>
      <c r="C10776" t="s">
        <v>923</v>
      </c>
      <c r="D10776" t="s">
        <v>3063</v>
      </c>
      <c r="E10776" t="s">
        <v>3053</v>
      </c>
      <c r="F10776" t="s">
        <v>286</v>
      </c>
      <c r="G10776" t="s">
        <v>3040</v>
      </c>
      <c r="H10776" t="s">
        <v>12596</v>
      </c>
      <c r="I10776">
        <v>701</v>
      </c>
      <c r="J10776">
        <v>0</v>
      </c>
      <c r="K10776">
        <v>0</v>
      </c>
      <c r="L10776">
        <v>0</v>
      </c>
      <c r="M10776">
        <v>701</v>
      </c>
      <c r="N10776">
        <v>0</v>
      </c>
      <c r="O10776">
        <v>0</v>
      </c>
    </row>
    <row r="10777" spans="1:15" x14ac:dyDescent="0.25">
      <c r="A10777" t="s">
        <v>1453</v>
      </c>
      <c r="B10777" t="s">
        <v>2375</v>
      </c>
      <c r="C10777" t="s">
        <v>923</v>
      </c>
      <c r="D10777" t="s">
        <v>3063</v>
      </c>
      <c r="E10777" t="s">
        <v>3053</v>
      </c>
      <c r="F10777" t="s">
        <v>286</v>
      </c>
      <c r="G10777" t="s">
        <v>3040</v>
      </c>
      <c r="H10777" t="s">
        <v>12600</v>
      </c>
      <c r="I10777">
        <v>138</v>
      </c>
      <c r="J10777">
        <v>138</v>
      </c>
      <c r="K10777">
        <v>0</v>
      </c>
      <c r="L10777">
        <v>0</v>
      </c>
      <c r="M10777">
        <v>0</v>
      </c>
      <c r="N10777">
        <v>0</v>
      </c>
      <c r="O10777">
        <v>0</v>
      </c>
    </row>
    <row r="10778" spans="1:15" x14ac:dyDescent="0.25">
      <c r="A10778" t="s">
        <v>929</v>
      </c>
      <c r="B10778" t="s">
        <v>2999</v>
      </c>
      <c r="C10778" t="s">
        <v>927</v>
      </c>
      <c r="D10778" t="s">
        <v>3052</v>
      </c>
      <c r="E10778" t="s">
        <v>3053</v>
      </c>
      <c r="F10778" t="s">
        <v>286</v>
      </c>
      <c r="G10778" t="s">
        <v>3040</v>
      </c>
      <c r="H10778" t="s">
        <v>12606</v>
      </c>
      <c r="I10778">
        <v>6563</v>
      </c>
      <c r="J10778">
        <v>62</v>
      </c>
      <c r="K10778">
        <v>0</v>
      </c>
      <c r="L10778">
        <v>0</v>
      </c>
      <c r="M10778">
        <v>6222</v>
      </c>
      <c r="N10778">
        <v>0</v>
      </c>
      <c r="O10778">
        <v>279</v>
      </c>
    </row>
    <row r="10779" spans="1:15" x14ac:dyDescent="0.25">
      <c r="A10779" t="s">
        <v>1454</v>
      </c>
      <c r="B10779" t="s">
        <v>2805</v>
      </c>
      <c r="C10779" t="s">
        <v>927</v>
      </c>
      <c r="D10779" t="s">
        <v>3052</v>
      </c>
      <c r="E10779" t="s">
        <v>3053</v>
      </c>
      <c r="F10779" t="s">
        <v>286</v>
      </c>
      <c r="G10779" t="s">
        <v>3040</v>
      </c>
      <c r="H10779" t="s">
        <v>12615</v>
      </c>
      <c r="I10779">
        <v>1112</v>
      </c>
      <c r="J10779">
        <v>959</v>
      </c>
      <c r="K10779">
        <v>0</v>
      </c>
      <c r="L10779">
        <v>0</v>
      </c>
      <c r="M10779">
        <v>147</v>
      </c>
      <c r="N10779">
        <v>0</v>
      </c>
      <c r="O10779">
        <v>6</v>
      </c>
    </row>
    <row r="10780" spans="1:15" x14ac:dyDescent="0.25">
      <c r="A10780" t="s">
        <v>978</v>
      </c>
      <c r="B10780" t="s">
        <v>1999</v>
      </c>
      <c r="C10780" t="s">
        <v>923</v>
      </c>
      <c r="D10780" t="s">
        <v>3063</v>
      </c>
      <c r="E10780" t="s">
        <v>3053</v>
      </c>
      <c r="F10780" t="s">
        <v>286</v>
      </c>
      <c r="G10780" t="s">
        <v>3040</v>
      </c>
      <c r="H10780" t="s">
        <v>12626</v>
      </c>
      <c r="I10780">
        <v>64</v>
      </c>
      <c r="J10780">
        <v>64</v>
      </c>
      <c r="K10780">
        <v>0</v>
      </c>
      <c r="L10780">
        <v>0</v>
      </c>
      <c r="M10780">
        <v>0</v>
      </c>
      <c r="N10780">
        <v>0</v>
      </c>
      <c r="O10780">
        <v>0</v>
      </c>
    </row>
    <row r="10781" spans="1:15" x14ac:dyDescent="0.25">
      <c r="A10781" t="s">
        <v>1455</v>
      </c>
      <c r="B10781" t="s">
        <v>2835</v>
      </c>
      <c r="C10781" t="s">
        <v>923</v>
      </c>
      <c r="D10781" t="s">
        <v>3063</v>
      </c>
      <c r="E10781" t="s">
        <v>3053</v>
      </c>
      <c r="F10781" t="s">
        <v>286</v>
      </c>
      <c r="G10781" t="s">
        <v>3040</v>
      </c>
      <c r="H10781" t="s">
        <v>12638</v>
      </c>
      <c r="I10781">
        <v>951</v>
      </c>
      <c r="J10781">
        <v>951</v>
      </c>
      <c r="K10781">
        <v>0</v>
      </c>
      <c r="L10781">
        <v>0</v>
      </c>
      <c r="M10781">
        <v>0</v>
      </c>
      <c r="N10781">
        <v>0</v>
      </c>
      <c r="O10781">
        <v>0</v>
      </c>
    </row>
    <row r="10782" spans="1:15" x14ac:dyDescent="0.25">
      <c r="A10782" t="s">
        <v>1456</v>
      </c>
      <c r="B10782" t="s">
        <v>2844</v>
      </c>
      <c r="C10782" t="s">
        <v>927</v>
      </c>
      <c r="D10782" t="s">
        <v>3052</v>
      </c>
      <c r="E10782" t="s">
        <v>3053</v>
      </c>
      <c r="F10782" t="s">
        <v>286</v>
      </c>
      <c r="G10782" t="s">
        <v>3040</v>
      </c>
      <c r="H10782" t="s">
        <v>12639</v>
      </c>
      <c r="I10782">
        <v>923</v>
      </c>
      <c r="J10782">
        <v>613</v>
      </c>
      <c r="K10782">
        <v>0</v>
      </c>
      <c r="L10782">
        <v>0</v>
      </c>
      <c r="M10782">
        <v>0</v>
      </c>
      <c r="N10782">
        <v>0</v>
      </c>
      <c r="O10782">
        <v>310</v>
      </c>
    </row>
    <row r="10783" spans="1:15" x14ac:dyDescent="0.25">
      <c r="A10783" t="s">
        <v>1457</v>
      </c>
      <c r="B10783" t="s">
        <v>2003</v>
      </c>
      <c r="C10783" t="s">
        <v>923</v>
      </c>
      <c r="D10783" t="s">
        <v>3063</v>
      </c>
      <c r="E10783" t="s">
        <v>3053</v>
      </c>
      <c r="F10783" t="s">
        <v>286</v>
      </c>
      <c r="G10783" t="s">
        <v>3040</v>
      </c>
      <c r="H10783" t="s">
        <v>12641</v>
      </c>
      <c r="I10783">
        <v>103</v>
      </c>
      <c r="J10783">
        <v>0</v>
      </c>
      <c r="K10783">
        <v>0</v>
      </c>
      <c r="L10783">
        <v>103</v>
      </c>
      <c r="M10783">
        <v>0</v>
      </c>
      <c r="N10783">
        <v>0</v>
      </c>
      <c r="O10783">
        <v>0</v>
      </c>
    </row>
    <row r="10784" spans="1:15" x14ac:dyDescent="0.25">
      <c r="A10784" t="s">
        <v>9790</v>
      </c>
      <c r="B10784" t="s">
        <v>1977</v>
      </c>
      <c r="C10784" t="s">
        <v>923</v>
      </c>
      <c r="D10784" t="s">
        <v>3063</v>
      </c>
      <c r="E10784" t="s">
        <v>3053</v>
      </c>
      <c r="F10784" t="s">
        <v>286</v>
      </c>
      <c r="G10784" t="s">
        <v>3040</v>
      </c>
      <c r="H10784" t="s">
        <v>12652</v>
      </c>
      <c r="I10784">
        <v>150</v>
      </c>
      <c r="J10784">
        <v>0</v>
      </c>
      <c r="K10784">
        <v>0</v>
      </c>
      <c r="L10784">
        <v>150</v>
      </c>
      <c r="M10784">
        <v>0</v>
      </c>
      <c r="N10784">
        <v>0</v>
      </c>
      <c r="O10784">
        <v>0</v>
      </c>
    </row>
    <row r="10785" spans="1:15" x14ac:dyDescent="0.25">
      <c r="A10785" t="s">
        <v>1458</v>
      </c>
      <c r="B10785" t="s">
        <v>2024</v>
      </c>
      <c r="C10785" t="s">
        <v>923</v>
      </c>
      <c r="D10785" t="s">
        <v>3063</v>
      </c>
      <c r="E10785" t="s">
        <v>3053</v>
      </c>
      <c r="F10785" t="s">
        <v>286</v>
      </c>
      <c r="G10785" t="s">
        <v>3040</v>
      </c>
      <c r="H10785" t="s">
        <v>12658</v>
      </c>
      <c r="I10785">
        <v>100</v>
      </c>
      <c r="J10785">
        <v>100</v>
      </c>
      <c r="K10785">
        <v>0</v>
      </c>
      <c r="L10785">
        <v>0</v>
      </c>
      <c r="M10785">
        <v>0</v>
      </c>
      <c r="N10785">
        <v>0</v>
      </c>
      <c r="O10785">
        <v>0</v>
      </c>
    </row>
    <row r="10786" spans="1:15" x14ac:dyDescent="0.25">
      <c r="A10786" t="s">
        <v>9784</v>
      </c>
      <c r="B10786" t="s">
        <v>1994</v>
      </c>
      <c r="C10786" t="s">
        <v>927</v>
      </c>
      <c r="D10786" t="s">
        <v>3052</v>
      </c>
      <c r="E10786" t="s">
        <v>3053</v>
      </c>
      <c r="F10786" t="s">
        <v>286</v>
      </c>
      <c r="G10786" t="s">
        <v>3040</v>
      </c>
      <c r="H10786" t="s">
        <v>12685</v>
      </c>
      <c r="I10786">
        <v>246</v>
      </c>
      <c r="J10786">
        <v>0</v>
      </c>
      <c r="K10786">
        <v>0</v>
      </c>
      <c r="L10786">
        <v>246</v>
      </c>
      <c r="M10786">
        <v>0</v>
      </c>
      <c r="N10786">
        <v>6</v>
      </c>
      <c r="O10786">
        <v>0</v>
      </c>
    </row>
    <row r="10787" spans="1:15" x14ac:dyDescent="0.25">
      <c r="A10787" t="s">
        <v>1459</v>
      </c>
      <c r="B10787" t="s">
        <v>2732</v>
      </c>
      <c r="C10787" t="s">
        <v>923</v>
      </c>
      <c r="D10787" t="s">
        <v>3063</v>
      </c>
      <c r="E10787" t="s">
        <v>3053</v>
      </c>
      <c r="F10787" t="s">
        <v>286</v>
      </c>
      <c r="G10787" t="s">
        <v>3040</v>
      </c>
      <c r="H10787" t="s">
        <v>12696</v>
      </c>
      <c r="I10787">
        <v>288</v>
      </c>
      <c r="J10787">
        <v>0</v>
      </c>
      <c r="K10787">
        <v>0</v>
      </c>
      <c r="L10787">
        <v>288</v>
      </c>
      <c r="M10787">
        <v>0</v>
      </c>
      <c r="N10787">
        <v>0</v>
      </c>
      <c r="O10787">
        <v>0</v>
      </c>
    </row>
    <row r="10788" spans="1:15" x14ac:dyDescent="0.25">
      <c r="A10788" t="s">
        <v>1095</v>
      </c>
      <c r="B10788" t="s">
        <v>1946</v>
      </c>
      <c r="C10788" t="s">
        <v>923</v>
      </c>
      <c r="D10788" t="s">
        <v>3063</v>
      </c>
      <c r="E10788" t="s">
        <v>3053</v>
      </c>
      <c r="F10788" t="s">
        <v>286</v>
      </c>
      <c r="G10788" t="s">
        <v>3040</v>
      </c>
      <c r="H10788" t="s">
        <v>12707</v>
      </c>
      <c r="I10788">
        <v>143</v>
      </c>
      <c r="J10788">
        <v>45</v>
      </c>
      <c r="K10788">
        <v>0</v>
      </c>
      <c r="L10788">
        <v>98</v>
      </c>
      <c r="M10788">
        <v>0</v>
      </c>
      <c r="N10788">
        <v>0</v>
      </c>
      <c r="O10788">
        <v>0</v>
      </c>
    </row>
    <row r="10789" spans="1:15" x14ac:dyDescent="0.25">
      <c r="A10789" t="s">
        <v>1460</v>
      </c>
      <c r="B10789" t="s">
        <v>1995</v>
      </c>
      <c r="C10789" t="s">
        <v>923</v>
      </c>
      <c r="D10789" t="s">
        <v>3063</v>
      </c>
      <c r="E10789" t="s">
        <v>3053</v>
      </c>
      <c r="F10789" t="s">
        <v>286</v>
      </c>
      <c r="G10789" t="s">
        <v>3040</v>
      </c>
      <c r="H10789" t="s">
        <v>12713</v>
      </c>
      <c r="I10789">
        <v>44</v>
      </c>
      <c r="J10789">
        <v>0</v>
      </c>
      <c r="K10789">
        <v>0</v>
      </c>
      <c r="L10789">
        <v>44</v>
      </c>
      <c r="M10789">
        <v>0</v>
      </c>
      <c r="N10789">
        <v>0</v>
      </c>
      <c r="O10789">
        <v>0</v>
      </c>
    </row>
    <row r="10790" spans="1:15" x14ac:dyDescent="0.25">
      <c r="A10790" t="s">
        <v>1212</v>
      </c>
      <c r="B10790" t="s">
        <v>2004</v>
      </c>
      <c r="C10790" t="s">
        <v>923</v>
      </c>
      <c r="D10790" t="s">
        <v>3063</v>
      </c>
      <c r="E10790" t="s">
        <v>3053</v>
      </c>
      <c r="F10790" t="s">
        <v>286</v>
      </c>
      <c r="G10790" t="s">
        <v>3040</v>
      </c>
      <c r="H10790" t="s">
        <v>12715</v>
      </c>
      <c r="I10790">
        <v>26</v>
      </c>
      <c r="J10790">
        <v>0</v>
      </c>
      <c r="K10790">
        <v>0</v>
      </c>
      <c r="L10790">
        <v>26</v>
      </c>
      <c r="M10790">
        <v>0</v>
      </c>
      <c r="N10790">
        <v>0</v>
      </c>
      <c r="O10790">
        <v>0</v>
      </c>
    </row>
    <row r="10791" spans="1:15" x14ac:dyDescent="0.25">
      <c r="A10791" t="s">
        <v>1461</v>
      </c>
      <c r="B10791" t="s">
        <v>1927</v>
      </c>
      <c r="C10791" t="s">
        <v>927</v>
      </c>
      <c r="D10791" t="s">
        <v>3052</v>
      </c>
      <c r="E10791" t="s">
        <v>3053</v>
      </c>
      <c r="F10791" t="s">
        <v>286</v>
      </c>
      <c r="G10791" t="s">
        <v>3040</v>
      </c>
      <c r="H10791" t="s">
        <v>12720</v>
      </c>
      <c r="I10791">
        <v>18956</v>
      </c>
      <c r="J10791">
        <v>16372</v>
      </c>
      <c r="K10791">
        <v>10</v>
      </c>
      <c r="L10791">
        <v>108</v>
      </c>
      <c r="M10791">
        <v>2271</v>
      </c>
      <c r="N10791">
        <v>445</v>
      </c>
      <c r="O10791">
        <v>195</v>
      </c>
    </row>
    <row r="10792" spans="1:15" x14ac:dyDescent="0.25">
      <c r="A10792" t="s">
        <v>1462</v>
      </c>
      <c r="B10792" t="s">
        <v>2489</v>
      </c>
      <c r="C10792" t="s">
        <v>923</v>
      </c>
      <c r="D10792" t="s">
        <v>3063</v>
      </c>
      <c r="E10792" t="s">
        <v>3053</v>
      </c>
      <c r="F10792" t="s">
        <v>286</v>
      </c>
      <c r="G10792" t="s">
        <v>3040</v>
      </c>
      <c r="H10792" t="s">
        <v>12775</v>
      </c>
      <c r="I10792">
        <v>15</v>
      </c>
      <c r="J10792">
        <v>15</v>
      </c>
      <c r="K10792">
        <v>0</v>
      </c>
      <c r="L10792">
        <v>0</v>
      </c>
      <c r="M10792">
        <v>0</v>
      </c>
      <c r="N10792">
        <v>0</v>
      </c>
      <c r="O10792">
        <v>0</v>
      </c>
    </row>
    <row r="10793" spans="1:15" x14ac:dyDescent="0.25">
      <c r="A10793" t="s">
        <v>1463</v>
      </c>
      <c r="B10793" t="s">
        <v>2846</v>
      </c>
      <c r="C10793" t="s">
        <v>927</v>
      </c>
      <c r="D10793" t="s">
        <v>3052</v>
      </c>
      <c r="E10793" t="s">
        <v>3053</v>
      </c>
      <c r="F10793" t="s">
        <v>286</v>
      </c>
      <c r="G10793" t="s">
        <v>3040</v>
      </c>
      <c r="H10793" t="s">
        <v>12781</v>
      </c>
      <c r="I10793">
        <v>5374</v>
      </c>
      <c r="J10793">
        <v>3892</v>
      </c>
      <c r="K10793">
        <v>0</v>
      </c>
      <c r="L10793">
        <v>339</v>
      </c>
      <c r="M10793">
        <v>1141</v>
      </c>
      <c r="N10793">
        <v>26</v>
      </c>
      <c r="O10793">
        <v>2</v>
      </c>
    </row>
    <row r="10794" spans="1:15" x14ac:dyDescent="0.25">
      <c r="A10794" t="s">
        <v>1464</v>
      </c>
      <c r="B10794" t="s">
        <v>2358</v>
      </c>
      <c r="C10794" t="s">
        <v>923</v>
      </c>
      <c r="D10794" t="s">
        <v>3063</v>
      </c>
      <c r="E10794" t="s">
        <v>3053</v>
      </c>
      <c r="F10794" t="s">
        <v>286</v>
      </c>
      <c r="G10794" t="s">
        <v>3040</v>
      </c>
      <c r="H10794" t="s">
        <v>12782</v>
      </c>
      <c r="I10794">
        <v>119</v>
      </c>
      <c r="J10794">
        <v>119</v>
      </c>
      <c r="K10794">
        <v>0</v>
      </c>
      <c r="L10794">
        <v>0</v>
      </c>
      <c r="M10794">
        <v>0</v>
      </c>
      <c r="N10794">
        <v>0</v>
      </c>
      <c r="O10794">
        <v>0</v>
      </c>
    </row>
    <row r="10795" spans="1:15" x14ac:dyDescent="0.25">
      <c r="A10795" t="s">
        <v>985</v>
      </c>
      <c r="B10795" t="s">
        <v>1964</v>
      </c>
      <c r="C10795" t="s">
        <v>923</v>
      </c>
      <c r="D10795" t="s">
        <v>3063</v>
      </c>
      <c r="E10795" t="s">
        <v>3053</v>
      </c>
      <c r="F10795" t="s">
        <v>286</v>
      </c>
      <c r="G10795" t="s">
        <v>3040</v>
      </c>
      <c r="H10795" t="s">
        <v>12785</v>
      </c>
      <c r="I10795">
        <v>261</v>
      </c>
      <c r="J10795">
        <v>0</v>
      </c>
      <c r="K10795">
        <v>0</v>
      </c>
      <c r="L10795">
        <v>261</v>
      </c>
      <c r="M10795">
        <v>0</v>
      </c>
      <c r="N10795">
        <v>0</v>
      </c>
      <c r="O10795">
        <v>0</v>
      </c>
    </row>
    <row r="10796" spans="1:15" x14ac:dyDescent="0.25">
      <c r="A10796" t="s">
        <v>1465</v>
      </c>
      <c r="B10796" t="s">
        <v>1988</v>
      </c>
      <c r="C10796" t="s">
        <v>923</v>
      </c>
      <c r="D10796" t="s">
        <v>3063</v>
      </c>
      <c r="E10796" t="s">
        <v>3053</v>
      </c>
      <c r="F10796" t="s">
        <v>286</v>
      </c>
      <c r="G10796" t="s">
        <v>3040</v>
      </c>
      <c r="H10796" t="s">
        <v>12787</v>
      </c>
      <c r="I10796">
        <v>48</v>
      </c>
      <c r="J10796">
        <v>0</v>
      </c>
      <c r="K10796">
        <v>0</v>
      </c>
      <c r="L10796">
        <v>48</v>
      </c>
      <c r="M10796">
        <v>0</v>
      </c>
      <c r="N10796">
        <v>0</v>
      </c>
      <c r="O10796">
        <v>0</v>
      </c>
    </row>
    <row r="10797" spans="1:15" x14ac:dyDescent="0.25">
      <c r="A10797" t="s">
        <v>1412</v>
      </c>
      <c r="B10797" t="s">
        <v>2099</v>
      </c>
      <c r="C10797" t="s">
        <v>927</v>
      </c>
      <c r="D10797" t="s">
        <v>3052</v>
      </c>
      <c r="E10797" t="s">
        <v>3053</v>
      </c>
      <c r="F10797" t="s">
        <v>286</v>
      </c>
      <c r="G10797" t="s">
        <v>3040</v>
      </c>
      <c r="H10797" t="s">
        <v>12789</v>
      </c>
      <c r="I10797">
        <v>5198</v>
      </c>
      <c r="J10797">
        <v>4615</v>
      </c>
      <c r="K10797">
        <v>0</v>
      </c>
      <c r="L10797">
        <v>0</v>
      </c>
      <c r="M10797">
        <v>310</v>
      </c>
      <c r="N10797">
        <v>1</v>
      </c>
      <c r="O10797">
        <v>273</v>
      </c>
    </row>
    <row r="10798" spans="1:15" x14ac:dyDescent="0.25">
      <c r="A10798" t="s">
        <v>1466</v>
      </c>
      <c r="B10798" t="s">
        <v>2505</v>
      </c>
      <c r="C10798" t="s">
        <v>923</v>
      </c>
      <c r="D10798" t="s">
        <v>3063</v>
      </c>
      <c r="E10798" t="s">
        <v>3053</v>
      </c>
      <c r="F10798" t="s">
        <v>286</v>
      </c>
      <c r="G10798" t="s">
        <v>3040</v>
      </c>
      <c r="H10798" t="s">
        <v>12791</v>
      </c>
      <c r="I10798">
        <v>18</v>
      </c>
      <c r="J10798">
        <v>18</v>
      </c>
      <c r="K10798">
        <v>0</v>
      </c>
      <c r="L10798">
        <v>0</v>
      </c>
      <c r="M10798">
        <v>0</v>
      </c>
      <c r="N10798">
        <v>0</v>
      </c>
      <c r="O10798">
        <v>0</v>
      </c>
    </row>
    <row r="10799" spans="1:15" x14ac:dyDescent="0.25">
      <c r="A10799" t="s">
        <v>1219</v>
      </c>
      <c r="B10799" t="s">
        <v>2569</v>
      </c>
      <c r="C10799" t="s">
        <v>923</v>
      </c>
      <c r="D10799" t="s">
        <v>3063</v>
      </c>
      <c r="E10799" t="s">
        <v>3053</v>
      </c>
      <c r="F10799" t="s">
        <v>286</v>
      </c>
      <c r="G10799" t="s">
        <v>3040</v>
      </c>
      <c r="H10799" t="s">
        <v>12796</v>
      </c>
      <c r="I10799">
        <v>32</v>
      </c>
      <c r="J10799">
        <v>4</v>
      </c>
      <c r="K10799">
        <v>20</v>
      </c>
      <c r="L10799">
        <v>8</v>
      </c>
      <c r="M10799">
        <v>0</v>
      </c>
      <c r="N10799">
        <v>0</v>
      </c>
      <c r="O10799">
        <v>0</v>
      </c>
    </row>
    <row r="10800" spans="1:15" x14ac:dyDescent="0.25">
      <c r="A10800" t="s">
        <v>1467</v>
      </c>
      <c r="B10800" t="s">
        <v>2334</v>
      </c>
      <c r="C10800" t="s">
        <v>923</v>
      </c>
      <c r="D10800" t="s">
        <v>3063</v>
      </c>
      <c r="E10800" t="s">
        <v>3053</v>
      </c>
      <c r="F10800" t="s">
        <v>286</v>
      </c>
      <c r="G10800" t="s">
        <v>3040</v>
      </c>
      <c r="H10800" t="s">
        <v>12803</v>
      </c>
      <c r="I10800">
        <v>10</v>
      </c>
      <c r="J10800">
        <v>10</v>
      </c>
      <c r="K10800">
        <v>0</v>
      </c>
      <c r="L10800">
        <v>0</v>
      </c>
      <c r="M10800">
        <v>0</v>
      </c>
      <c r="N10800">
        <v>0</v>
      </c>
      <c r="O10800">
        <v>0</v>
      </c>
    </row>
    <row r="10801" spans="1:15" x14ac:dyDescent="0.25">
      <c r="A10801" t="s">
        <v>14392</v>
      </c>
      <c r="B10801" t="s">
        <v>14581</v>
      </c>
      <c r="C10801" t="s">
        <v>923</v>
      </c>
      <c r="D10801" t="s">
        <v>3063</v>
      </c>
      <c r="E10801" t="s">
        <v>3053</v>
      </c>
      <c r="F10801" t="s">
        <v>286</v>
      </c>
      <c r="G10801" t="s">
        <v>3040</v>
      </c>
      <c r="H10801" t="s">
        <v>15557</v>
      </c>
      <c r="I10801">
        <v>15</v>
      </c>
      <c r="J10801">
        <v>0</v>
      </c>
      <c r="K10801">
        <v>0</v>
      </c>
      <c r="L10801">
        <v>0</v>
      </c>
      <c r="M10801">
        <v>15</v>
      </c>
      <c r="N10801">
        <v>0</v>
      </c>
      <c r="O10801">
        <v>0</v>
      </c>
    </row>
    <row r="10802" spans="1:15" x14ac:dyDescent="0.25">
      <c r="A10802" t="s">
        <v>1468</v>
      </c>
      <c r="B10802" t="s">
        <v>2472</v>
      </c>
      <c r="C10802" t="s">
        <v>923</v>
      </c>
      <c r="D10802" t="s">
        <v>3063</v>
      </c>
      <c r="E10802" t="s">
        <v>3053</v>
      </c>
      <c r="F10802" t="s">
        <v>286</v>
      </c>
      <c r="G10802" t="s">
        <v>3040</v>
      </c>
      <c r="H10802" t="s">
        <v>12813</v>
      </c>
      <c r="I10802">
        <v>19</v>
      </c>
      <c r="J10802">
        <v>19</v>
      </c>
      <c r="K10802">
        <v>0</v>
      </c>
      <c r="L10802">
        <v>0</v>
      </c>
      <c r="M10802">
        <v>0</v>
      </c>
      <c r="N10802">
        <v>0</v>
      </c>
      <c r="O10802">
        <v>0</v>
      </c>
    </row>
    <row r="10803" spans="1:15" x14ac:dyDescent="0.25">
      <c r="A10803" t="s">
        <v>987</v>
      </c>
      <c r="B10803" t="s">
        <v>2881</v>
      </c>
      <c r="C10803" t="s">
        <v>927</v>
      </c>
      <c r="D10803" t="s">
        <v>3052</v>
      </c>
      <c r="E10803" t="s">
        <v>3053</v>
      </c>
      <c r="F10803" t="s">
        <v>286</v>
      </c>
      <c r="G10803" t="s">
        <v>3040</v>
      </c>
      <c r="H10803" t="s">
        <v>12815</v>
      </c>
      <c r="I10803">
        <v>5075</v>
      </c>
      <c r="J10803">
        <v>3793</v>
      </c>
      <c r="K10803">
        <v>0</v>
      </c>
      <c r="L10803">
        <v>5</v>
      </c>
      <c r="M10803">
        <v>1182</v>
      </c>
      <c r="N10803">
        <v>34</v>
      </c>
      <c r="O10803">
        <v>95</v>
      </c>
    </row>
    <row r="10804" spans="1:15" x14ac:dyDescent="0.25">
      <c r="A10804" t="s">
        <v>989</v>
      </c>
      <c r="B10804" t="s">
        <v>2016</v>
      </c>
      <c r="C10804" t="s">
        <v>923</v>
      </c>
      <c r="D10804" t="s">
        <v>3063</v>
      </c>
      <c r="E10804" t="s">
        <v>3053</v>
      </c>
      <c r="F10804" t="s">
        <v>286</v>
      </c>
      <c r="G10804" t="s">
        <v>3040</v>
      </c>
      <c r="H10804" t="s">
        <v>12828</v>
      </c>
      <c r="I10804">
        <v>20</v>
      </c>
      <c r="J10804">
        <v>0</v>
      </c>
      <c r="K10804">
        <v>0</v>
      </c>
      <c r="L10804">
        <v>20</v>
      </c>
      <c r="M10804">
        <v>0</v>
      </c>
      <c r="N10804">
        <v>0</v>
      </c>
      <c r="O10804">
        <v>0</v>
      </c>
    </row>
    <row r="10805" spans="1:15" x14ac:dyDescent="0.25">
      <c r="A10805" t="s">
        <v>1469</v>
      </c>
      <c r="B10805" t="s">
        <v>2568</v>
      </c>
      <c r="C10805" t="s">
        <v>923</v>
      </c>
      <c r="D10805" t="s">
        <v>3063</v>
      </c>
      <c r="E10805" t="s">
        <v>3053</v>
      </c>
      <c r="F10805" t="s">
        <v>286</v>
      </c>
      <c r="G10805" t="s">
        <v>3040</v>
      </c>
      <c r="H10805" t="s">
        <v>12839</v>
      </c>
      <c r="I10805">
        <v>109</v>
      </c>
      <c r="J10805">
        <v>0</v>
      </c>
      <c r="K10805">
        <v>0</v>
      </c>
      <c r="L10805">
        <v>109</v>
      </c>
      <c r="M10805">
        <v>0</v>
      </c>
      <c r="N10805">
        <v>0</v>
      </c>
      <c r="O10805">
        <v>0</v>
      </c>
    </row>
    <row r="10806" spans="1:15" x14ac:dyDescent="0.25">
      <c r="A10806" t="s">
        <v>933</v>
      </c>
      <c r="B10806" t="s">
        <v>2106</v>
      </c>
      <c r="C10806" t="s">
        <v>927</v>
      </c>
      <c r="D10806" t="s">
        <v>3052</v>
      </c>
      <c r="E10806" t="s">
        <v>3053</v>
      </c>
      <c r="F10806" t="s">
        <v>286</v>
      </c>
      <c r="G10806" t="s">
        <v>3040</v>
      </c>
      <c r="H10806" t="s">
        <v>12844</v>
      </c>
      <c r="I10806">
        <v>2952</v>
      </c>
      <c r="J10806">
        <v>2509</v>
      </c>
      <c r="K10806">
        <v>0</v>
      </c>
      <c r="L10806">
        <v>1</v>
      </c>
      <c r="M10806">
        <v>45</v>
      </c>
      <c r="N10806">
        <v>11</v>
      </c>
      <c r="O10806">
        <v>397</v>
      </c>
    </row>
    <row r="10807" spans="1:15" x14ac:dyDescent="0.25">
      <c r="A10807" t="s">
        <v>1470</v>
      </c>
      <c r="B10807" t="s">
        <v>2859</v>
      </c>
      <c r="C10807" t="s">
        <v>927</v>
      </c>
      <c r="D10807" t="s">
        <v>3052</v>
      </c>
      <c r="E10807" t="s">
        <v>3053</v>
      </c>
      <c r="F10807" t="s">
        <v>286</v>
      </c>
      <c r="G10807" t="s">
        <v>3040</v>
      </c>
      <c r="H10807" t="s">
        <v>12852</v>
      </c>
      <c r="I10807">
        <v>5755</v>
      </c>
      <c r="J10807">
        <v>5753</v>
      </c>
      <c r="K10807">
        <v>0</v>
      </c>
      <c r="L10807">
        <v>0</v>
      </c>
      <c r="M10807">
        <v>0</v>
      </c>
      <c r="N10807">
        <v>19</v>
      </c>
      <c r="O10807">
        <v>2</v>
      </c>
    </row>
    <row r="10808" spans="1:15" x14ac:dyDescent="0.25">
      <c r="A10808" t="s">
        <v>1471</v>
      </c>
      <c r="B10808" t="s">
        <v>11742</v>
      </c>
      <c r="C10808" t="s">
        <v>923</v>
      </c>
      <c r="D10808" t="s">
        <v>3063</v>
      </c>
      <c r="E10808" t="s">
        <v>3053</v>
      </c>
      <c r="F10808" t="s">
        <v>286</v>
      </c>
      <c r="G10808" t="s">
        <v>3040</v>
      </c>
      <c r="H10808" t="s">
        <v>12854</v>
      </c>
      <c r="I10808">
        <v>11</v>
      </c>
      <c r="J10808">
        <v>11</v>
      </c>
      <c r="K10808">
        <v>0</v>
      </c>
      <c r="L10808">
        <v>0</v>
      </c>
      <c r="M10808">
        <v>0</v>
      </c>
      <c r="N10808">
        <v>0</v>
      </c>
      <c r="O10808">
        <v>0</v>
      </c>
    </row>
    <row r="10809" spans="1:15" x14ac:dyDescent="0.25">
      <c r="A10809" t="s">
        <v>1472</v>
      </c>
      <c r="B10809" t="s">
        <v>2376</v>
      </c>
      <c r="C10809" t="s">
        <v>923</v>
      </c>
      <c r="D10809" t="s">
        <v>3063</v>
      </c>
      <c r="E10809" t="s">
        <v>3053</v>
      </c>
      <c r="F10809" t="s">
        <v>286</v>
      </c>
      <c r="G10809" t="s">
        <v>3040</v>
      </c>
      <c r="H10809" t="s">
        <v>12856</v>
      </c>
      <c r="I10809">
        <v>16</v>
      </c>
      <c r="J10809">
        <v>1</v>
      </c>
      <c r="K10809">
        <v>15</v>
      </c>
      <c r="L10809">
        <v>0</v>
      </c>
      <c r="M10809">
        <v>0</v>
      </c>
      <c r="N10809">
        <v>0</v>
      </c>
      <c r="O10809">
        <v>0</v>
      </c>
    </row>
    <row r="10810" spans="1:15" x14ac:dyDescent="0.25">
      <c r="A10810" t="s">
        <v>1473</v>
      </c>
      <c r="B10810" t="s">
        <v>2877</v>
      </c>
      <c r="C10810" t="s">
        <v>927</v>
      </c>
      <c r="D10810" t="s">
        <v>3052</v>
      </c>
      <c r="E10810" t="s">
        <v>3053</v>
      </c>
      <c r="F10810" t="s">
        <v>286</v>
      </c>
      <c r="G10810" t="s">
        <v>3040</v>
      </c>
      <c r="H10810" t="s">
        <v>12857</v>
      </c>
      <c r="I10810">
        <v>6926</v>
      </c>
      <c r="J10810">
        <v>6157</v>
      </c>
      <c r="K10810">
        <v>0</v>
      </c>
      <c r="L10810">
        <v>199</v>
      </c>
      <c r="M10810">
        <v>481</v>
      </c>
      <c r="N10810">
        <v>0</v>
      </c>
      <c r="O10810">
        <v>89</v>
      </c>
    </row>
    <row r="10811" spans="1:15" x14ac:dyDescent="0.25">
      <c r="A10811" t="s">
        <v>1474</v>
      </c>
      <c r="B10811" t="s">
        <v>2038</v>
      </c>
      <c r="C10811" t="s">
        <v>923</v>
      </c>
      <c r="D10811" t="s">
        <v>3063</v>
      </c>
      <c r="E10811" t="s">
        <v>3053</v>
      </c>
      <c r="F10811" t="s">
        <v>286</v>
      </c>
      <c r="G10811" t="s">
        <v>3040</v>
      </c>
      <c r="H10811" t="s">
        <v>12859</v>
      </c>
      <c r="I10811">
        <v>4</v>
      </c>
      <c r="J10811">
        <v>4</v>
      </c>
      <c r="K10811">
        <v>0</v>
      </c>
      <c r="L10811">
        <v>0</v>
      </c>
      <c r="M10811">
        <v>0</v>
      </c>
      <c r="N10811">
        <v>1</v>
      </c>
      <c r="O10811">
        <v>0</v>
      </c>
    </row>
    <row r="10812" spans="1:15" x14ac:dyDescent="0.25">
      <c r="A10812" t="s">
        <v>11692</v>
      </c>
      <c r="B10812" t="s">
        <v>2498</v>
      </c>
      <c r="C10812" t="s">
        <v>923</v>
      </c>
      <c r="D10812" t="s">
        <v>3063</v>
      </c>
      <c r="E10812" t="s">
        <v>3053</v>
      </c>
      <c r="F10812" t="s">
        <v>286</v>
      </c>
      <c r="G10812" t="s">
        <v>3040</v>
      </c>
      <c r="H10812" t="s">
        <v>12871</v>
      </c>
      <c r="I10812">
        <v>20</v>
      </c>
      <c r="J10812">
        <v>20</v>
      </c>
      <c r="K10812">
        <v>0</v>
      </c>
      <c r="L10812">
        <v>0</v>
      </c>
      <c r="M10812">
        <v>0</v>
      </c>
      <c r="N10812">
        <v>0</v>
      </c>
      <c r="O10812">
        <v>0</v>
      </c>
    </row>
    <row r="10813" spans="1:15" x14ac:dyDescent="0.25">
      <c r="A10813" t="s">
        <v>11693</v>
      </c>
      <c r="B10813" t="s">
        <v>2369</v>
      </c>
      <c r="C10813" t="s">
        <v>923</v>
      </c>
      <c r="D10813" t="s">
        <v>3063</v>
      </c>
      <c r="E10813" t="s">
        <v>3053</v>
      </c>
      <c r="F10813" t="s">
        <v>286</v>
      </c>
      <c r="G10813" t="s">
        <v>3040</v>
      </c>
      <c r="H10813" t="s">
        <v>12872</v>
      </c>
      <c r="I10813">
        <v>75</v>
      </c>
      <c r="J10813">
        <v>75</v>
      </c>
      <c r="K10813">
        <v>0</v>
      </c>
      <c r="L10813">
        <v>0</v>
      </c>
      <c r="M10813">
        <v>0</v>
      </c>
      <c r="N10813">
        <v>0</v>
      </c>
      <c r="O10813">
        <v>0</v>
      </c>
    </row>
    <row r="10814" spans="1:15" x14ac:dyDescent="0.25">
      <c r="A10814" t="s">
        <v>991</v>
      </c>
      <c r="B10814" t="s">
        <v>1976</v>
      </c>
      <c r="C10814" t="s">
        <v>923</v>
      </c>
      <c r="D10814" t="s">
        <v>3063</v>
      </c>
      <c r="E10814" t="s">
        <v>3053</v>
      </c>
      <c r="F10814" t="s">
        <v>286</v>
      </c>
      <c r="G10814" t="s">
        <v>3040</v>
      </c>
      <c r="H10814" t="s">
        <v>12889</v>
      </c>
      <c r="I10814">
        <v>481</v>
      </c>
      <c r="J10814">
        <v>0</v>
      </c>
      <c r="K10814">
        <v>0</v>
      </c>
      <c r="L10814">
        <v>481</v>
      </c>
      <c r="M10814">
        <v>0</v>
      </c>
      <c r="N10814">
        <v>0</v>
      </c>
      <c r="O10814">
        <v>0</v>
      </c>
    </row>
    <row r="10815" spans="1:15" x14ac:dyDescent="0.25">
      <c r="A10815" t="s">
        <v>9818</v>
      </c>
      <c r="B10815" t="s">
        <v>2621</v>
      </c>
      <c r="C10815" t="s">
        <v>923</v>
      </c>
      <c r="D10815" t="s">
        <v>3063</v>
      </c>
      <c r="E10815" t="s">
        <v>3053</v>
      </c>
      <c r="F10815" t="s">
        <v>286</v>
      </c>
      <c r="G10815" t="s">
        <v>3040</v>
      </c>
      <c r="H10815" t="s">
        <v>12893</v>
      </c>
      <c r="I10815">
        <v>77</v>
      </c>
      <c r="J10815">
        <v>0</v>
      </c>
      <c r="K10815">
        <v>0</v>
      </c>
      <c r="L10815">
        <v>77</v>
      </c>
      <c r="M10815">
        <v>0</v>
      </c>
      <c r="N10815">
        <v>0</v>
      </c>
      <c r="O10815">
        <v>0</v>
      </c>
    </row>
    <row r="10816" spans="1:15" x14ac:dyDescent="0.25">
      <c r="A10816" t="s">
        <v>1475</v>
      </c>
      <c r="B10816" t="s">
        <v>1991</v>
      </c>
      <c r="C10816" t="s">
        <v>923</v>
      </c>
      <c r="D10816" t="s">
        <v>3063</v>
      </c>
      <c r="E10816" t="s">
        <v>3053</v>
      </c>
      <c r="F10816" t="s">
        <v>286</v>
      </c>
      <c r="G10816" t="s">
        <v>3040</v>
      </c>
      <c r="H10816" t="s">
        <v>12894</v>
      </c>
      <c r="I10816">
        <v>145</v>
      </c>
      <c r="J10816">
        <v>0</v>
      </c>
      <c r="K10816">
        <v>0</v>
      </c>
      <c r="L10816">
        <v>145</v>
      </c>
      <c r="M10816">
        <v>0</v>
      </c>
      <c r="N10816">
        <v>0</v>
      </c>
      <c r="O10816">
        <v>0</v>
      </c>
    </row>
    <row r="10817" spans="1:15" x14ac:dyDescent="0.25">
      <c r="A10817" t="s">
        <v>1227</v>
      </c>
      <c r="B10817" t="s">
        <v>2023</v>
      </c>
      <c r="C10817" t="s">
        <v>923</v>
      </c>
      <c r="D10817" t="s">
        <v>3063</v>
      </c>
      <c r="E10817" t="s">
        <v>3053</v>
      </c>
      <c r="F10817" t="s">
        <v>286</v>
      </c>
      <c r="G10817" t="s">
        <v>3040</v>
      </c>
      <c r="H10817" t="s">
        <v>12896</v>
      </c>
      <c r="I10817">
        <v>27</v>
      </c>
      <c r="J10817">
        <v>11</v>
      </c>
      <c r="K10817">
        <v>0</v>
      </c>
      <c r="L10817">
        <v>16</v>
      </c>
      <c r="M10817">
        <v>0</v>
      </c>
      <c r="N10817">
        <v>0</v>
      </c>
      <c r="O10817">
        <v>0</v>
      </c>
    </row>
    <row r="10818" spans="1:15" x14ac:dyDescent="0.25">
      <c r="A10818" t="s">
        <v>1476</v>
      </c>
      <c r="B10818" t="s">
        <v>2760</v>
      </c>
      <c r="C10818" t="s">
        <v>923</v>
      </c>
      <c r="D10818" t="s">
        <v>3063</v>
      </c>
      <c r="E10818" t="s">
        <v>3053</v>
      </c>
      <c r="F10818" t="s">
        <v>286</v>
      </c>
      <c r="G10818" t="s">
        <v>3040</v>
      </c>
      <c r="H10818" t="s">
        <v>12897</v>
      </c>
      <c r="I10818">
        <v>435</v>
      </c>
      <c r="J10818">
        <v>357</v>
      </c>
      <c r="K10818">
        <v>0</v>
      </c>
      <c r="L10818">
        <v>78</v>
      </c>
      <c r="M10818">
        <v>0</v>
      </c>
      <c r="N10818">
        <v>0</v>
      </c>
      <c r="O10818">
        <v>0</v>
      </c>
    </row>
    <row r="10819" spans="1:15" x14ac:dyDescent="0.25">
      <c r="A10819" t="s">
        <v>10614</v>
      </c>
      <c r="B10819" t="s">
        <v>2126</v>
      </c>
      <c r="C10819" t="s">
        <v>923</v>
      </c>
      <c r="D10819" t="s">
        <v>3063</v>
      </c>
      <c r="E10819" t="s">
        <v>3053</v>
      </c>
      <c r="F10819" t="s">
        <v>286</v>
      </c>
      <c r="G10819" t="s">
        <v>3040</v>
      </c>
      <c r="H10819" t="s">
        <v>12912</v>
      </c>
      <c r="I10819">
        <v>15</v>
      </c>
      <c r="J10819">
        <v>15</v>
      </c>
      <c r="K10819">
        <v>0</v>
      </c>
      <c r="L10819">
        <v>0</v>
      </c>
      <c r="M10819">
        <v>0</v>
      </c>
      <c r="N10819">
        <v>0</v>
      </c>
      <c r="O10819">
        <v>0</v>
      </c>
    </row>
    <row r="10820" spans="1:15" x14ac:dyDescent="0.25">
      <c r="A10820" t="s">
        <v>1413</v>
      </c>
      <c r="B10820" t="s">
        <v>2048</v>
      </c>
      <c r="C10820" t="s">
        <v>923</v>
      </c>
      <c r="D10820" t="s">
        <v>3063</v>
      </c>
      <c r="E10820" t="s">
        <v>3053</v>
      </c>
      <c r="F10820" t="s">
        <v>286</v>
      </c>
      <c r="G10820" t="s">
        <v>3040</v>
      </c>
      <c r="H10820" t="s">
        <v>12918</v>
      </c>
      <c r="I10820">
        <v>148</v>
      </c>
      <c r="J10820">
        <v>0</v>
      </c>
      <c r="K10820">
        <v>0</v>
      </c>
      <c r="L10820">
        <v>148</v>
      </c>
      <c r="M10820">
        <v>0</v>
      </c>
      <c r="N10820">
        <v>148</v>
      </c>
      <c r="O10820">
        <v>0</v>
      </c>
    </row>
    <row r="10821" spans="1:15" x14ac:dyDescent="0.25">
      <c r="A10821" t="s">
        <v>11746</v>
      </c>
      <c r="B10821" t="s">
        <v>11745</v>
      </c>
      <c r="C10821" t="s">
        <v>923</v>
      </c>
      <c r="D10821" t="s">
        <v>3063</v>
      </c>
      <c r="E10821" t="s">
        <v>3053</v>
      </c>
      <c r="F10821" t="s">
        <v>286</v>
      </c>
      <c r="G10821" t="s">
        <v>3040</v>
      </c>
      <c r="H10821" t="s">
        <v>15558</v>
      </c>
      <c r="I10821">
        <v>104</v>
      </c>
      <c r="J10821">
        <v>104</v>
      </c>
      <c r="K10821">
        <v>0</v>
      </c>
      <c r="L10821">
        <v>0</v>
      </c>
      <c r="M10821">
        <v>0</v>
      </c>
      <c r="N10821">
        <v>0</v>
      </c>
      <c r="O10821">
        <v>0</v>
      </c>
    </row>
    <row r="10822" spans="1:15" x14ac:dyDescent="0.25">
      <c r="A10822" t="s">
        <v>996</v>
      </c>
      <c r="B10822" t="s">
        <v>1952</v>
      </c>
      <c r="C10822" t="s">
        <v>923</v>
      </c>
      <c r="D10822" t="s">
        <v>3063</v>
      </c>
      <c r="E10822" t="s">
        <v>3053</v>
      </c>
      <c r="F10822" t="s">
        <v>286</v>
      </c>
      <c r="G10822" t="s">
        <v>3040</v>
      </c>
      <c r="H10822" t="s">
        <v>12927</v>
      </c>
      <c r="I10822">
        <v>42</v>
      </c>
      <c r="J10822">
        <v>0</v>
      </c>
      <c r="K10822">
        <v>0</v>
      </c>
      <c r="L10822">
        <v>42</v>
      </c>
      <c r="M10822">
        <v>0</v>
      </c>
      <c r="N10822">
        <v>0</v>
      </c>
      <c r="O10822">
        <v>0</v>
      </c>
    </row>
    <row r="10823" spans="1:15" x14ac:dyDescent="0.25">
      <c r="A10823" t="s">
        <v>1477</v>
      </c>
      <c r="B10823" t="s">
        <v>2432</v>
      </c>
      <c r="C10823" t="s">
        <v>923</v>
      </c>
      <c r="D10823" t="s">
        <v>3063</v>
      </c>
      <c r="E10823" t="s">
        <v>3053</v>
      </c>
      <c r="F10823" t="s">
        <v>286</v>
      </c>
      <c r="G10823" t="s">
        <v>3040</v>
      </c>
      <c r="H10823" t="s">
        <v>12932</v>
      </c>
      <c r="I10823">
        <v>32</v>
      </c>
      <c r="J10823">
        <v>32</v>
      </c>
      <c r="K10823">
        <v>0</v>
      </c>
      <c r="L10823">
        <v>0</v>
      </c>
      <c r="M10823">
        <v>0</v>
      </c>
      <c r="N10823">
        <v>0</v>
      </c>
      <c r="O10823">
        <v>0</v>
      </c>
    </row>
    <row r="10824" spans="1:15" x14ac:dyDescent="0.25">
      <c r="A10824" t="s">
        <v>9804</v>
      </c>
      <c r="B10824" t="s">
        <v>2043</v>
      </c>
      <c r="C10824" t="s">
        <v>923</v>
      </c>
      <c r="D10824" t="s">
        <v>3063</v>
      </c>
      <c r="E10824" t="s">
        <v>3053</v>
      </c>
      <c r="F10824" t="s">
        <v>286</v>
      </c>
      <c r="G10824" t="s">
        <v>3040</v>
      </c>
      <c r="H10824" t="s">
        <v>12934</v>
      </c>
      <c r="I10824">
        <v>70</v>
      </c>
      <c r="J10824">
        <v>0</v>
      </c>
      <c r="K10824">
        <v>0</v>
      </c>
      <c r="L10824">
        <v>70</v>
      </c>
      <c r="M10824">
        <v>0</v>
      </c>
      <c r="N10824">
        <v>0</v>
      </c>
      <c r="O10824">
        <v>0</v>
      </c>
    </row>
    <row r="10825" spans="1:15" x14ac:dyDescent="0.25">
      <c r="A10825" t="s">
        <v>1478</v>
      </c>
      <c r="B10825" t="s">
        <v>2828</v>
      </c>
      <c r="C10825" t="s">
        <v>927</v>
      </c>
      <c r="D10825" t="s">
        <v>3052</v>
      </c>
      <c r="E10825" t="s">
        <v>3053</v>
      </c>
      <c r="F10825" t="s">
        <v>286</v>
      </c>
      <c r="G10825" t="s">
        <v>3040</v>
      </c>
      <c r="H10825" t="s">
        <v>12953</v>
      </c>
      <c r="I10825">
        <v>1815</v>
      </c>
      <c r="J10825">
        <v>1569</v>
      </c>
      <c r="K10825">
        <v>0</v>
      </c>
      <c r="L10825">
        <v>81</v>
      </c>
      <c r="M10825">
        <v>68</v>
      </c>
      <c r="N10825">
        <v>4</v>
      </c>
      <c r="O10825">
        <v>97</v>
      </c>
    </row>
    <row r="10826" spans="1:15" x14ac:dyDescent="0.25">
      <c r="A10826" t="s">
        <v>9862</v>
      </c>
      <c r="B10826" t="s">
        <v>2473</v>
      </c>
      <c r="C10826" t="s">
        <v>923</v>
      </c>
      <c r="D10826" t="s">
        <v>3063</v>
      </c>
      <c r="E10826" t="s">
        <v>3053</v>
      </c>
      <c r="F10826" t="s">
        <v>286</v>
      </c>
      <c r="G10826" t="s">
        <v>3040</v>
      </c>
      <c r="H10826" t="s">
        <v>12959</v>
      </c>
      <c r="I10826">
        <v>382</v>
      </c>
      <c r="J10826">
        <v>303</v>
      </c>
      <c r="K10826">
        <v>0</v>
      </c>
      <c r="L10826">
        <v>0</v>
      </c>
      <c r="M10826">
        <v>79</v>
      </c>
      <c r="N10826">
        <v>0</v>
      </c>
      <c r="O10826">
        <v>0</v>
      </c>
    </row>
    <row r="10827" spans="1:15" x14ac:dyDescent="0.25">
      <c r="A10827" t="s">
        <v>935</v>
      </c>
      <c r="B10827" t="s">
        <v>1960</v>
      </c>
      <c r="C10827" t="s">
        <v>923</v>
      </c>
      <c r="D10827" t="s">
        <v>3063</v>
      </c>
      <c r="E10827" t="s">
        <v>3053</v>
      </c>
      <c r="F10827" t="s">
        <v>286</v>
      </c>
      <c r="G10827" t="s">
        <v>3040</v>
      </c>
      <c r="H10827" t="s">
        <v>12977</v>
      </c>
      <c r="I10827">
        <v>289</v>
      </c>
      <c r="J10827">
        <v>0</v>
      </c>
      <c r="K10827">
        <v>0</v>
      </c>
      <c r="L10827">
        <v>289</v>
      </c>
      <c r="M10827">
        <v>0</v>
      </c>
      <c r="N10827">
        <v>0</v>
      </c>
      <c r="O10827">
        <v>0</v>
      </c>
    </row>
    <row r="10828" spans="1:15" x14ac:dyDescent="0.25">
      <c r="A10828" t="s">
        <v>11660</v>
      </c>
      <c r="B10828" t="s">
        <v>2041</v>
      </c>
      <c r="C10828" t="s">
        <v>923</v>
      </c>
      <c r="D10828" t="s">
        <v>3063</v>
      </c>
      <c r="E10828" t="s">
        <v>3053</v>
      </c>
      <c r="F10828" t="s">
        <v>286</v>
      </c>
      <c r="G10828" t="s">
        <v>3040</v>
      </c>
      <c r="H10828" t="s">
        <v>12986</v>
      </c>
      <c r="I10828">
        <v>216</v>
      </c>
      <c r="J10828">
        <v>0</v>
      </c>
      <c r="K10828">
        <v>0</v>
      </c>
      <c r="L10828">
        <v>216</v>
      </c>
      <c r="M10828">
        <v>0</v>
      </c>
      <c r="N10828">
        <v>0</v>
      </c>
      <c r="O10828">
        <v>0</v>
      </c>
    </row>
    <row r="10829" spans="1:15" x14ac:dyDescent="0.25">
      <c r="A10829" t="s">
        <v>998</v>
      </c>
      <c r="B10829" t="s">
        <v>2820</v>
      </c>
      <c r="C10829" t="s">
        <v>927</v>
      </c>
      <c r="D10829" t="s">
        <v>3052</v>
      </c>
      <c r="E10829" t="s">
        <v>3053</v>
      </c>
      <c r="F10829" t="s">
        <v>286</v>
      </c>
      <c r="G10829" t="s">
        <v>3040</v>
      </c>
      <c r="H10829" t="s">
        <v>12993</v>
      </c>
      <c r="I10829">
        <v>4</v>
      </c>
      <c r="J10829">
        <v>4</v>
      </c>
      <c r="K10829">
        <v>0</v>
      </c>
      <c r="L10829">
        <v>0</v>
      </c>
      <c r="M10829">
        <v>0</v>
      </c>
      <c r="N10829">
        <v>0</v>
      </c>
      <c r="O10829">
        <v>0</v>
      </c>
    </row>
    <row r="10830" spans="1:15" x14ac:dyDescent="0.25">
      <c r="A10830" t="s">
        <v>1479</v>
      </c>
      <c r="B10830" t="s">
        <v>2050</v>
      </c>
      <c r="C10830" t="s">
        <v>923</v>
      </c>
      <c r="D10830" t="s">
        <v>3063</v>
      </c>
      <c r="E10830" t="s">
        <v>3053</v>
      </c>
      <c r="F10830" t="s">
        <v>286</v>
      </c>
      <c r="G10830" t="s">
        <v>3040</v>
      </c>
      <c r="H10830" t="s">
        <v>13002</v>
      </c>
      <c r="I10830">
        <v>212</v>
      </c>
      <c r="J10830">
        <v>0</v>
      </c>
      <c r="K10830">
        <v>0</v>
      </c>
      <c r="L10830">
        <v>212</v>
      </c>
      <c r="M10830">
        <v>0</v>
      </c>
      <c r="N10830">
        <v>0</v>
      </c>
      <c r="O10830">
        <v>0</v>
      </c>
    </row>
    <row r="10831" spans="1:15" x14ac:dyDescent="0.25">
      <c r="A10831" t="s">
        <v>1480</v>
      </c>
      <c r="B10831" t="s">
        <v>2809</v>
      </c>
      <c r="C10831" t="s">
        <v>923</v>
      </c>
      <c r="D10831" t="s">
        <v>3063</v>
      </c>
      <c r="E10831" t="s">
        <v>3053</v>
      </c>
      <c r="F10831" t="s">
        <v>286</v>
      </c>
      <c r="G10831" t="s">
        <v>3040</v>
      </c>
      <c r="H10831" t="s">
        <v>13005</v>
      </c>
      <c r="I10831">
        <v>16</v>
      </c>
      <c r="J10831">
        <v>16</v>
      </c>
      <c r="K10831">
        <v>0</v>
      </c>
      <c r="L10831">
        <v>0</v>
      </c>
      <c r="M10831">
        <v>0</v>
      </c>
      <c r="N10831">
        <v>16</v>
      </c>
      <c r="O10831">
        <v>0</v>
      </c>
    </row>
    <row r="10832" spans="1:15" x14ac:dyDescent="0.25">
      <c r="A10832" t="s">
        <v>1416</v>
      </c>
      <c r="B10832" t="s">
        <v>2029</v>
      </c>
      <c r="C10832" t="s">
        <v>923</v>
      </c>
      <c r="D10832" t="s">
        <v>3063</v>
      </c>
      <c r="E10832" t="s">
        <v>3053</v>
      </c>
      <c r="F10832" t="s">
        <v>286</v>
      </c>
      <c r="G10832" t="s">
        <v>3040</v>
      </c>
      <c r="H10832" t="s">
        <v>13016</v>
      </c>
      <c r="I10832">
        <v>82</v>
      </c>
      <c r="J10832">
        <v>0</v>
      </c>
      <c r="K10832">
        <v>0</v>
      </c>
      <c r="L10832">
        <v>82</v>
      </c>
      <c r="M10832">
        <v>0</v>
      </c>
      <c r="N10832">
        <v>0</v>
      </c>
      <c r="O10832">
        <v>0</v>
      </c>
    </row>
    <row r="10833" spans="1:15" x14ac:dyDescent="0.25">
      <c r="A10833" t="s">
        <v>1481</v>
      </c>
      <c r="B10833" t="s">
        <v>2726</v>
      </c>
      <c r="C10833" t="s">
        <v>923</v>
      </c>
      <c r="D10833" t="s">
        <v>3063</v>
      </c>
      <c r="E10833" t="s">
        <v>3053</v>
      </c>
      <c r="F10833" t="s">
        <v>286</v>
      </c>
      <c r="G10833" t="s">
        <v>3040</v>
      </c>
      <c r="H10833" t="s">
        <v>13023</v>
      </c>
      <c r="I10833">
        <v>394</v>
      </c>
      <c r="J10833">
        <v>337</v>
      </c>
      <c r="K10833">
        <v>0</v>
      </c>
      <c r="L10833">
        <v>0</v>
      </c>
      <c r="M10833">
        <v>57</v>
      </c>
      <c r="N10833">
        <v>0</v>
      </c>
      <c r="O10833">
        <v>0</v>
      </c>
    </row>
    <row r="10834" spans="1:15" x14ac:dyDescent="0.25">
      <c r="A10834" t="s">
        <v>1482</v>
      </c>
      <c r="B10834" t="s">
        <v>2322</v>
      </c>
      <c r="C10834" t="s">
        <v>923</v>
      </c>
      <c r="D10834" t="s">
        <v>3063</v>
      </c>
      <c r="E10834" t="s">
        <v>3053</v>
      </c>
      <c r="F10834" t="s">
        <v>286</v>
      </c>
      <c r="G10834" t="s">
        <v>3040</v>
      </c>
      <c r="H10834" t="s">
        <v>13025</v>
      </c>
      <c r="I10834">
        <v>7</v>
      </c>
      <c r="J10834">
        <v>0</v>
      </c>
      <c r="K10834">
        <v>0</v>
      </c>
      <c r="L10834">
        <v>0</v>
      </c>
      <c r="M10834">
        <v>7</v>
      </c>
      <c r="N10834">
        <v>0</v>
      </c>
      <c r="O10834">
        <v>0</v>
      </c>
    </row>
    <row r="10835" spans="1:15" x14ac:dyDescent="0.25">
      <c r="A10835" t="s">
        <v>1483</v>
      </c>
      <c r="B10835" t="s">
        <v>1932</v>
      </c>
      <c r="C10835" t="s">
        <v>927</v>
      </c>
      <c r="D10835" t="s">
        <v>3052</v>
      </c>
      <c r="E10835" t="s">
        <v>3053</v>
      </c>
      <c r="F10835" t="s">
        <v>286</v>
      </c>
      <c r="G10835" t="s">
        <v>3040</v>
      </c>
      <c r="H10835" t="s">
        <v>13027</v>
      </c>
      <c r="I10835">
        <v>11490</v>
      </c>
      <c r="J10835">
        <v>11392</v>
      </c>
      <c r="K10835">
        <v>3</v>
      </c>
      <c r="L10835">
        <v>0</v>
      </c>
      <c r="M10835">
        <v>0</v>
      </c>
      <c r="N10835">
        <v>3</v>
      </c>
      <c r="O10835">
        <v>95</v>
      </c>
    </row>
    <row r="10836" spans="1:15" x14ac:dyDescent="0.25">
      <c r="A10836" t="s">
        <v>1000</v>
      </c>
      <c r="B10836" t="s">
        <v>1984</v>
      </c>
      <c r="C10836" t="s">
        <v>923</v>
      </c>
      <c r="D10836" t="s">
        <v>3063</v>
      </c>
      <c r="E10836" t="s">
        <v>3053</v>
      </c>
      <c r="F10836" t="s">
        <v>286</v>
      </c>
      <c r="G10836" t="s">
        <v>3040</v>
      </c>
      <c r="H10836" t="s">
        <v>13031</v>
      </c>
      <c r="I10836">
        <v>61</v>
      </c>
      <c r="J10836">
        <v>0</v>
      </c>
      <c r="K10836">
        <v>0</v>
      </c>
      <c r="L10836">
        <v>61</v>
      </c>
      <c r="M10836">
        <v>0</v>
      </c>
      <c r="N10836">
        <v>0</v>
      </c>
      <c r="O10836">
        <v>0</v>
      </c>
    </row>
    <row r="10837" spans="1:15" x14ac:dyDescent="0.25">
      <c r="A10837" t="s">
        <v>1484</v>
      </c>
      <c r="B10837" t="s">
        <v>2897</v>
      </c>
      <c r="C10837" t="s">
        <v>927</v>
      </c>
      <c r="D10837" t="s">
        <v>3052</v>
      </c>
      <c r="E10837" t="s">
        <v>3053</v>
      </c>
      <c r="F10837" t="s">
        <v>286</v>
      </c>
      <c r="G10837" t="s">
        <v>3040</v>
      </c>
      <c r="H10837" t="s">
        <v>13043</v>
      </c>
      <c r="I10837">
        <v>17799</v>
      </c>
      <c r="J10837">
        <v>16074</v>
      </c>
      <c r="K10837">
        <v>0</v>
      </c>
      <c r="L10837">
        <v>1563</v>
      </c>
      <c r="M10837">
        <v>0</v>
      </c>
      <c r="N10837">
        <v>0</v>
      </c>
      <c r="O10837">
        <v>162</v>
      </c>
    </row>
    <row r="10838" spans="1:15" x14ac:dyDescent="0.25">
      <c r="A10838" t="s">
        <v>10631</v>
      </c>
      <c r="B10838" t="s">
        <v>2336</v>
      </c>
      <c r="C10838" t="s">
        <v>923</v>
      </c>
      <c r="D10838" t="s">
        <v>3063</v>
      </c>
      <c r="E10838" t="s">
        <v>3053</v>
      </c>
      <c r="F10838" t="s">
        <v>286</v>
      </c>
      <c r="G10838" t="s">
        <v>3040</v>
      </c>
      <c r="H10838" t="s">
        <v>13049</v>
      </c>
      <c r="I10838">
        <v>5</v>
      </c>
      <c r="J10838">
        <v>5</v>
      </c>
      <c r="K10838">
        <v>0</v>
      </c>
      <c r="L10838">
        <v>0</v>
      </c>
      <c r="M10838">
        <v>0</v>
      </c>
      <c r="N10838">
        <v>0</v>
      </c>
      <c r="O10838">
        <v>0</v>
      </c>
    </row>
    <row r="10839" spans="1:15" x14ac:dyDescent="0.25">
      <c r="A10839" t="s">
        <v>1485</v>
      </c>
      <c r="B10839" t="s">
        <v>2836</v>
      </c>
      <c r="C10839" t="s">
        <v>927</v>
      </c>
      <c r="D10839" t="s">
        <v>3052</v>
      </c>
      <c r="E10839" t="s">
        <v>3053</v>
      </c>
      <c r="F10839" t="s">
        <v>286</v>
      </c>
      <c r="G10839" t="s">
        <v>3040</v>
      </c>
      <c r="H10839" t="s">
        <v>13055</v>
      </c>
      <c r="I10839">
        <v>1748</v>
      </c>
      <c r="J10839">
        <v>1198</v>
      </c>
      <c r="K10839">
        <v>440</v>
      </c>
      <c r="L10839">
        <v>23</v>
      </c>
      <c r="M10839">
        <v>49</v>
      </c>
      <c r="N10839">
        <v>2</v>
      </c>
      <c r="O10839">
        <v>38</v>
      </c>
    </row>
    <row r="10840" spans="1:15" x14ac:dyDescent="0.25">
      <c r="A10840" t="s">
        <v>10638</v>
      </c>
      <c r="B10840" t="s">
        <v>2057</v>
      </c>
      <c r="C10840" t="s">
        <v>927</v>
      </c>
      <c r="D10840" t="s">
        <v>3052</v>
      </c>
      <c r="E10840" t="s">
        <v>3053</v>
      </c>
      <c r="F10840" t="s">
        <v>286</v>
      </c>
      <c r="G10840" t="s">
        <v>3040</v>
      </c>
      <c r="H10840" t="s">
        <v>13080</v>
      </c>
      <c r="I10840">
        <v>202</v>
      </c>
      <c r="J10840">
        <v>0</v>
      </c>
      <c r="K10840">
        <v>0</v>
      </c>
      <c r="L10840">
        <v>202</v>
      </c>
      <c r="M10840">
        <v>0</v>
      </c>
      <c r="N10840">
        <v>0</v>
      </c>
      <c r="O10840">
        <v>0</v>
      </c>
    </row>
    <row r="10841" spans="1:15" x14ac:dyDescent="0.25">
      <c r="A10841" t="s">
        <v>1486</v>
      </c>
      <c r="B10841" t="s">
        <v>2433</v>
      </c>
      <c r="C10841" t="s">
        <v>923</v>
      </c>
      <c r="D10841" t="s">
        <v>3063</v>
      </c>
      <c r="E10841" t="s">
        <v>3053</v>
      </c>
      <c r="F10841" t="s">
        <v>286</v>
      </c>
      <c r="G10841" t="s">
        <v>3040</v>
      </c>
      <c r="H10841" t="s">
        <v>13088</v>
      </c>
      <c r="I10841">
        <v>30</v>
      </c>
      <c r="J10841">
        <v>30</v>
      </c>
      <c r="K10841">
        <v>0</v>
      </c>
      <c r="L10841">
        <v>0</v>
      </c>
      <c r="M10841">
        <v>0</v>
      </c>
      <c r="N10841">
        <v>0</v>
      </c>
      <c r="O10841">
        <v>0</v>
      </c>
    </row>
    <row r="10842" spans="1:15" x14ac:dyDescent="0.25">
      <c r="A10842" t="s">
        <v>11694</v>
      </c>
      <c r="B10842" t="s">
        <v>11748</v>
      </c>
      <c r="C10842" t="s">
        <v>923</v>
      </c>
      <c r="D10842" t="s">
        <v>3063</v>
      </c>
      <c r="E10842" t="s">
        <v>3053</v>
      </c>
      <c r="F10842" t="s">
        <v>286</v>
      </c>
      <c r="G10842" t="s">
        <v>3040</v>
      </c>
      <c r="H10842" t="s">
        <v>13098</v>
      </c>
      <c r="I10842">
        <v>12</v>
      </c>
      <c r="J10842">
        <v>12</v>
      </c>
      <c r="K10842">
        <v>0</v>
      </c>
      <c r="L10842">
        <v>0</v>
      </c>
      <c r="M10842">
        <v>0</v>
      </c>
      <c r="N10842">
        <v>0</v>
      </c>
      <c r="O10842">
        <v>0</v>
      </c>
    </row>
    <row r="10843" spans="1:15" x14ac:dyDescent="0.25">
      <c r="A10843" t="s">
        <v>1006</v>
      </c>
      <c r="B10843" t="s">
        <v>2724</v>
      </c>
      <c r="C10843" t="s">
        <v>927</v>
      </c>
      <c r="D10843" t="s">
        <v>3052</v>
      </c>
      <c r="E10843" t="s">
        <v>3053</v>
      </c>
      <c r="F10843" t="s">
        <v>286</v>
      </c>
      <c r="G10843" t="s">
        <v>3040</v>
      </c>
      <c r="H10843" t="s">
        <v>13102</v>
      </c>
      <c r="I10843">
        <v>18049</v>
      </c>
      <c r="J10843">
        <v>13532</v>
      </c>
      <c r="K10843">
        <v>0</v>
      </c>
      <c r="L10843">
        <v>1252</v>
      </c>
      <c r="M10843">
        <v>405</v>
      </c>
      <c r="N10843">
        <v>16</v>
      </c>
      <c r="O10843">
        <v>2860</v>
      </c>
    </row>
    <row r="10844" spans="1:15" x14ac:dyDescent="0.25">
      <c r="A10844" t="s">
        <v>1008</v>
      </c>
      <c r="B10844" t="s">
        <v>2928</v>
      </c>
      <c r="C10844" t="s">
        <v>927</v>
      </c>
      <c r="D10844" t="s">
        <v>3052</v>
      </c>
      <c r="E10844" t="s">
        <v>3053</v>
      </c>
      <c r="F10844" t="s">
        <v>286</v>
      </c>
      <c r="G10844" t="s">
        <v>3040</v>
      </c>
      <c r="H10844" t="s">
        <v>13126</v>
      </c>
      <c r="I10844">
        <v>45</v>
      </c>
      <c r="J10844">
        <v>37</v>
      </c>
      <c r="K10844">
        <v>0</v>
      </c>
      <c r="L10844">
        <v>7</v>
      </c>
      <c r="M10844">
        <v>1</v>
      </c>
      <c r="N10844">
        <v>0</v>
      </c>
      <c r="O10844">
        <v>0</v>
      </c>
    </row>
    <row r="10845" spans="1:15" x14ac:dyDescent="0.25">
      <c r="A10845" t="s">
        <v>1009</v>
      </c>
      <c r="B10845" t="s">
        <v>1958</v>
      </c>
      <c r="C10845" t="s">
        <v>923</v>
      </c>
      <c r="D10845" t="s">
        <v>3063</v>
      </c>
      <c r="E10845" t="s">
        <v>3053</v>
      </c>
      <c r="F10845" t="s">
        <v>286</v>
      </c>
      <c r="G10845" t="s">
        <v>3040</v>
      </c>
      <c r="H10845" t="s">
        <v>13138</v>
      </c>
      <c r="I10845">
        <v>641</v>
      </c>
      <c r="J10845">
        <v>0</v>
      </c>
      <c r="K10845">
        <v>0</v>
      </c>
      <c r="L10845">
        <v>641</v>
      </c>
      <c r="M10845">
        <v>0</v>
      </c>
      <c r="N10845">
        <v>0</v>
      </c>
      <c r="O10845">
        <v>0</v>
      </c>
    </row>
    <row r="10846" spans="1:15" x14ac:dyDescent="0.25">
      <c r="A10846" t="s">
        <v>1487</v>
      </c>
      <c r="B10846" t="s">
        <v>2876</v>
      </c>
      <c r="C10846" t="s">
        <v>927</v>
      </c>
      <c r="D10846" t="s">
        <v>3052</v>
      </c>
      <c r="E10846" t="s">
        <v>3053</v>
      </c>
      <c r="F10846" t="s">
        <v>286</v>
      </c>
      <c r="G10846" t="s">
        <v>3040</v>
      </c>
      <c r="H10846" t="s">
        <v>13142</v>
      </c>
      <c r="I10846">
        <v>7403</v>
      </c>
      <c r="J10846">
        <v>6867</v>
      </c>
      <c r="K10846">
        <v>0</v>
      </c>
      <c r="L10846">
        <v>262</v>
      </c>
      <c r="M10846">
        <v>0</v>
      </c>
      <c r="N10846">
        <v>22</v>
      </c>
      <c r="O10846">
        <v>274</v>
      </c>
    </row>
    <row r="10847" spans="1:15" x14ac:dyDescent="0.25">
      <c r="A10847" t="s">
        <v>1488</v>
      </c>
      <c r="B10847" t="s">
        <v>2492</v>
      </c>
      <c r="C10847" t="s">
        <v>923</v>
      </c>
      <c r="D10847" t="s">
        <v>3063</v>
      </c>
      <c r="E10847" t="s">
        <v>3053</v>
      </c>
      <c r="F10847" t="s">
        <v>286</v>
      </c>
      <c r="G10847" t="s">
        <v>3040</v>
      </c>
      <c r="H10847" t="s">
        <v>13143</v>
      </c>
      <c r="I10847">
        <v>40</v>
      </c>
      <c r="J10847">
        <v>40</v>
      </c>
      <c r="K10847">
        <v>0</v>
      </c>
      <c r="L10847">
        <v>0</v>
      </c>
      <c r="M10847">
        <v>0</v>
      </c>
      <c r="N10847">
        <v>0</v>
      </c>
      <c r="O10847">
        <v>0</v>
      </c>
    </row>
    <row r="10848" spans="1:15" x14ac:dyDescent="0.25">
      <c r="A10848" t="s">
        <v>1489</v>
      </c>
      <c r="B10848" t="s">
        <v>2047</v>
      </c>
      <c r="C10848" t="s">
        <v>923</v>
      </c>
      <c r="D10848" t="s">
        <v>3063</v>
      </c>
      <c r="E10848" t="s">
        <v>3053</v>
      </c>
      <c r="F10848" t="s">
        <v>286</v>
      </c>
      <c r="G10848" t="s">
        <v>3040</v>
      </c>
      <c r="H10848" t="s">
        <v>13146</v>
      </c>
      <c r="I10848">
        <v>281</v>
      </c>
      <c r="J10848">
        <v>0</v>
      </c>
      <c r="K10848">
        <v>0</v>
      </c>
      <c r="L10848">
        <v>281</v>
      </c>
      <c r="M10848">
        <v>0</v>
      </c>
      <c r="N10848">
        <v>2</v>
      </c>
      <c r="O10848">
        <v>0</v>
      </c>
    </row>
    <row r="10849" spans="1:15" x14ac:dyDescent="0.25">
      <c r="A10849" t="s">
        <v>1490</v>
      </c>
      <c r="B10849" t="s">
        <v>2407</v>
      </c>
      <c r="C10849" t="s">
        <v>923</v>
      </c>
      <c r="D10849" t="s">
        <v>3063</v>
      </c>
      <c r="E10849" t="s">
        <v>3053</v>
      </c>
      <c r="F10849" t="s">
        <v>286</v>
      </c>
      <c r="G10849" t="s">
        <v>3040</v>
      </c>
      <c r="H10849" t="s">
        <v>13178</v>
      </c>
      <c r="I10849">
        <v>42</v>
      </c>
      <c r="J10849">
        <v>42</v>
      </c>
      <c r="K10849">
        <v>0</v>
      </c>
      <c r="L10849">
        <v>0</v>
      </c>
      <c r="M10849">
        <v>0</v>
      </c>
      <c r="N10849">
        <v>0</v>
      </c>
      <c r="O10849">
        <v>0</v>
      </c>
    </row>
    <row r="10850" spans="1:15" x14ac:dyDescent="0.25">
      <c r="A10850" t="s">
        <v>937</v>
      </c>
      <c r="B10850" t="s">
        <v>1962</v>
      </c>
      <c r="C10850" t="s">
        <v>927</v>
      </c>
      <c r="D10850" t="s">
        <v>3052</v>
      </c>
      <c r="E10850" t="s">
        <v>3053</v>
      </c>
      <c r="F10850" t="s">
        <v>286</v>
      </c>
      <c r="G10850" t="s">
        <v>3040</v>
      </c>
      <c r="H10850" t="s">
        <v>13186</v>
      </c>
      <c r="I10850">
        <v>1546</v>
      </c>
      <c r="J10850">
        <v>0</v>
      </c>
      <c r="K10850">
        <v>0</v>
      </c>
      <c r="L10850">
        <v>0</v>
      </c>
      <c r="M10850">
        <v>0</v>
      </c>
      <c r="N10850">
        <v>0</v>
      </c>
      <c r="O10850">
        <v>1546</v>
      </c>
    </row>
    <row r="10851" spans="1:15" x14ac:dyDescent="0.25">
      <c r="A10851" t="s">
        <v>1011</v>
      </c>
      <c r="B10851" t="s">
        <v>2020</v>
      </c>
      <c r="C10851" t="s">
        <v>927</v>
      </c>
      <c r="D10851" t="s">
        <v>3052</v>
      </c>
      <c r="E10851" t="s">
        <v>3053</v>
      </c>
      <c r="F10851" t="s">
        <v>286</v>
      </c>
      <c r="G10851" t="s">
        <v>3040</v>
      </c>
      <c r="H10851" t="s">
        <v>13201</v>
      </c>
      <c r="I10851">
        <v>529</v>
      </c>
      <c r="J10851">
        <v>0</v>
      </c>
      <c r="K10851">
        <v>0</v>
      </c>
      <c r="L10851">
        <v>529</v>
      </c>
      <c r="M10851">
        <v>0</v>
      </c>
      <c r="N10851">
        <v>0</v>
      </c>
      <c r="O10851">
        <v>0</v>
      </c>
    </row>
    <row r="10852" spans="1:15" x14ac:dyDescent="0.25">
      <c r="A10852" t="s">
        <v>1491</v>
      </c>
      <c r="B10852" t="s">
        <v>2438</v>
      </c>
      <c r="C10852" t="s">
        <v>923</v>
      </c>
      <c r="D10852" t="s">
        <v>3063</v>
      </c>
      <c r="E10852" t="s">
        <v>3053</v>
      </c>
      <c r="F10852" t="s">
        <v>286</v>
      </c>
      <c r="G10852" t="s">
        <v>3040</v>
      </c>
      <c r="H10852" t="s">
        <v>13209</v>
      </c>
      <c r="I10852">
        <v>34</v>
      </c>
      <c r="J10852">
        <v>34</v>
      </c>
      <c r="K10852">
        <v>0</v>
      </c>
      <c r="L10852">
        <v>0</v>
      </c>
      <c r="M10852">
        <v>0</v>
      </c>
      <c r="N10852">
        <v>0</v>
      </c>
      <c r="O10852">
        <v>0</v>
      </c>
    </row>
    <row r="10853" spans="1:15" x14ac:dyDescent="0.25">
      <c r="A10853" t="s">
        <v>11695</v>
      </c>
      <c r="B10853" t="s">
        <v>2372</v>
      </c>
      <c r="C10853" t="s">
        <v>923</v>
      </c>
      <c r="D10853" t="s">
        <v>3063</v>
      </c>
      <c r="E10853" t="s">
        <v>3053</v>
      </c>
      <c r="F10853" t="s">
        <v>286</v>
      </c>
      <c r="G10853" t="s">
        <v>3040</v>
      </c>
      <c r="H10853" t="s">
        <v>13211</v>
      </c>
      <c r="I10853">
        <v>117</v>
      </c>
      <c r="J10853">
        <v>117</v>
      </c>
      <c r="K10853">
        <v>0</v>
      </c>
      <c r="L10853">
        <v>0</v>
      </c>
      <c r="M10853">
        <v>0</v>
      </c>
      <c r="N10853">
        <v>0</v>
      </c>
      <c r="O10853">
        <v>0</v>
      </c>
    </row>
    <row r="10854" spans="1:15" x14ac:dyDescent="0.25">
      <c r="A10854" t="s">
        <v>938</v>
      </c>
      <c r="B10854" t="s">
        <v>2791</v>
      </c>
      <c r="C10854" t="s">
        <v>927</v>
      </c>
      <c r="D10854" t="s">
        <v>3052</v>
      </c>
      <c r="E10854" t="s">
        <v>3053</v>
      </c>
      <c r="F10854" t="s">
        <v>286</v>
      </c>
      <c r="G10854" t="s">
        <v>3040</v>
      </c>
      <c r="H10854" t="s">
        <v>13217</v>
      </c>
      <c r="I10854">
        <v>9898</v>
      </c>
      <c r="J10854">
        <v>9263</v>
      </c>
      <c r="K10854">
        <v>0</v>
      </c>
      <c r="L10854">
        <v>228</v>
      </c>
      <c r="M10854">
        <v>190</v>
      </c>
      <c r="N10854">
        <v>11</v>
      </c>
      <c r="O10854">
        <v>217</v>
      </c>
    </row>
    <row r="10855" spans="1:15" x14ac:dyDescent="0.25">
      <c r="A10855" t="s">
        <v>1492</v>
      </c>
      <c r="B10855" t="s">
        <v>2507</v>
      </c>
      <c r="C10855" t="s">
        <v>923</v>
      </c>
      <c r="D10855" t="s">
        <v>3063</v>
      </c>
      <c r="E10855" t="s">
        <v>3053</v>
      </c>
      <c r="F10855" t="s">
        <v>286</v>
      </c>
      <c r="G10855" t="s">
        <v>3040</v>
      </c>
      <c r="H10855" t="s">
        <v>13223</v>
      </c>
      <c r="I10855">
        <v>75</v>
      </c>
      <c r="J10855">
        <v>75</v>
      </c>
      <c r="K10855">
        <v>0</v>
      </c>
      <c r="L10855">
        <v>0</v>
      </c>
      <c r="M10855">
        <v>0</v>
      </c>
      <c r="N10855">
        <v>0</v>
      </c>
      <c r="O10855">
        <v>0</v>
      </c>
    </row>
    <row r="10856" spans="1:15" x14ac:dyDescent="0.25">
      <c r="A10856" t="s">
        <v>1493</v>
      </c>
      <c r="B10856" t="s">
        <v>2962</v>
      </c>
      <c r="C10856" t="s">
        <v>927</v>
      </c>
      <c r="D10856" t="s">
        <v>3052</v>
      </c>
      <c r="E10856" t="s">
        <v>3053</v>
      </c>
      <c r="F10856" t="s">
        <v>286</v>
      </c>
      <c r="G10856" t="s">
        <v>3040</v>
      </c>
      <c r="H10856" t="s">
        <v>13227</v>
      </c>
      <c r="I10856">
        <v>101</v>
      </c>
      <c r="J10856">
        <v>54</v>
      </c>
      <c r="K10856">
        <v>0</v>
      </c>
      <c r="L10856">
        <v>0</v>
      </c>
      <c r="M10856">
        <v>0</v>
      </c>
      <c r="N10856">
        <v>0</v>
      </c>
      <c r="O10856">
        <v>47</v>
      </c>
    </row>
    <row r="10857" spans="1:15" x14ac:dyDescent="0.25">
      <c r="A10857" t="s">
        <v>940</v>
      </c>
      <c r="B10857" t="s">
        <v>2647</v>
      </c>
      <c r="C10857" t="s">
        <v>927</v>
      </c>
      <c r="D10857" t="s">
        <v>3052</v>
      </c>
      <c r="E10857" t="s">
        <v>3053</v>
      </c>
      <c r="F10857" t="s">
        <v>286</v>
      </c>
      <c r="G10857" t="s">
        <v>3040</v>
      </c>
      <c r="H10857" t="s">
        <v>13236</v>
      </c>
      <c r="I10857">
        <v>2730</v>
      </c>
      <c r="J10857">
        <v>14</v>
      </c>
      <c r="K10857">
        <v>0</v>
      </c>
      <c r="L10857">
        <v>0</v>
      </c>
      <c r="M10857">
        <v>2578</v>
      </c>
      <c r="N10857">
        <v>0</v>
      </c>
      <c r="O10857">
        <v>138</v>
      </c>
    </row>
    <row r="10858" spans="1:15" x14ac:dyDescent="0.25">
      <c r="A10858" t="s">
        <v>1422</v>
      </c>
      <c r="B10858" t="s">
        <v>1990</v>
      </c>
      <c r="C10858" t="s">
        <v>923</v>
      </c>
      <c r="D10858" t="s">
        <v>3063</v>
      </c>
      <c r="E10858" t="s">
        <v>3053</v>
      </c>
      <c r="F10858" t="s">
        <v>286</v>
      </c>
      <c r="G10858" t="s">
        <v>3040</v>
      </c>
      <c r="H10858" t="s">
        <v>13251</v>
      </c>
      <c r="I10858">
        <v>14</v>
      </c>
      <c r="J10858">
        <v>9</v>
      </c>
      <c r="K10858">
        <v>0</v>
      </c>
      <c r="L10858">
        <v>5</v>
      </c>
      <c r="M10858">
        <v>0</v>
      </c>
      <c r="N10858">
        <v>0</v>
      </c>
      <c r="O10858">
        <v>0</v>
      </c>
    </row>
    <row r="10859" spans="1:15" x14ac:dyDescent="0.25">
      <c r="A10859" t="s">
        <v>1494</v>
      </c>
      <c r="B10859" t="s">
        <v>2181</v>
      </c>
      <c r="C10859" t="s">
        <v>923</v>
      </c>
      <c r="D10859" t="s">
        <v>3063</v>
      </c>
      <c r="E10859" t="s">
        <v>3053</v>
      </c>
      <c r="F10859" t="s">
        <v>286</v>
      </c>
      <c r="G10859" t="s">
        <v>3040</v>
      </c>
      <c r="H10859" t="s">
        <v>13254</v>
      </c>
      <c r="I10859">
        <v>44</v>
      </c>
      <c r="J10859">
        <v>44</v>
      </c>
      <c r="K10859">
        <v>0</v>
      </c>
      <c r="L10859">
        <v>0</v>
      </c>
      <c r="M10859">
        <v>0</v>
      </c>
      <c r="N10859">
        <v>0</v>
      </c>
      <c r="O10859">
        <v>0</v>
      </c>
    </row>
    <row r="10860" spans="1:15" x14ac:dyDescent="0.25">
      <c r="A10860" t="s">
        <v>10657</v>
      </c>
      <c r="B10860" t="s">
        <v>2464</v>
      </c>
      <c r="C10860" t="s">
        <v>923</v>
      </c>
      <c r="D10860" t="s">
        <v>3063</v>
      </c>
      <c r="E10860" t="s">
        <v>3053</v>
      </c>
      <c r="F10860" t="s">
        <v>286</v>
      </c>
      <c r="G10860" t="s">
        <v>3040</v>
      </c>
      <c r="H10860" t="s">
        <v>13258</v>
      </c>
      <c r="I10860">
        <v>65</v>
      </c>
      <c r="J10860">
        <v>0</v>
      </c>
      <c r="K10860">
        <v>0</v>
      </c>
      <c r="L10860">
        <v>65</v>
      </c>
      <c r="M10860">
        <v>0</v>
      </c>
      <c r="N10860">
        <v>0</v>
      </c>
      <c r="O10860">
        <v>0</v>
      </c>
    </row>
    <row r="10861" spans="1:15" x14ac:dyDescent="0.25">
      <c r="A10861" t="s">
        <v>1013</v>
      </c>
      <c r="B10861" t="s">
        <v>1959</v>
      </c>
      <c r="C10861" t="s">
        <v>927</v>
      </c>
      <c r="D10861" t="s">
        <v>3052</v>
      </c>
      <c r="E10861" t="s">
        <v>3053</v>
      </c>
      <c r="F10861" t="s">
        <v>286</v>
      </c>
      <c r="G10861" t="s">
        <v>3040</v>
      </c>
      <c r="H10861" t="s">
        <v>13274</v>
      </c>
      <c r="I10861">
        <v>896</v>
      </c>
      <c r="J10861">
        <v>0</v>
      </c>
      <c r="K10861">
        <v>0</v>
      </c>
      <c r="L10861">
        <v>869</v>
      </c>
      <c r="M10861">
        <v>27</v>
      </c>
      <c r="N10861">
        <v>0</v>
      </c>
      <c r="O10861">
        <v>0</v>
      </c>
    </row>
    <row r="10862" spans="1:15" x14ac:dyDescent="0.25">
      <c r="A10862" t="s">
        <v>1897</v>
      </c>
      <c r="B10862" t="s">
        <v>2883</v>
      </c>
      <c r="C10862" t="s">
        <v>927</v>
      </c>
      <c r="D10862" t="s">
        <v>3052</v>
      </c>
      <c r="E10862" t="s">
        <v>3053</v>
      </c>
      <c r="F10862" t="s">
        <v>286</v>
      </c>
      <c r="G10862" t="s">
        <v>3040</v>
      </c>
      <c r="H10862" t="s">
        <v>13279</v>
      </c>
      <c r="I10862">
        <v>4</v>
      </c>
      <c r="J10862">
        <v>4</v>
      </c>
      <c r="K10862">
        <v>0</v>
      </c>
      <c r="L10862">
        <v>0</v>
      </c>
      <c r="M10862">
        <v>0</v>
      </c>
      <c r="N10862">
        <v>0</v>
      </c>
      <c r="O10862">
        <v>0</v>
      </c>
    </row>
    <row r="10863" spans="1:15" x14ac:dyDescent="0.25">
      <c r="A10863" t="s">
        <v>1495</v>
      </c>
      <c r="B10863" t="s">
        <v>2648</v>
      </c>
      <c r="C10863" t="s">
        <v>927</v>
      </c>
      <c r="D10863" t="s">
        <v>3052</v>
      </c>
      <c r="E10863" t="s">
        <v>3053</v>
      </c>
      <c r="F10863" t="s">
        <v>286</v>
      </c>
      <c r="G10863" t="s">
        <v>3040</v>
      </c>
      <c r="H10863" t="s">
        <v>13284</v>
      </c>
      <c r="I10863">
        <v>7373</v>
      </c>
      <c r="J10863">
        <v>6437</v>
      </c>
      <c r="K10863">
        <v>0</v>
      </c>
      <c r="L10863">
        <v>282</v>
      </c>
      <c r="M10863">
        <v>457</v>
      </c>
      <c r="N10863">
        <v>44</v>
      </c>
      <c r="O10863">
        <v>197</v>
      </c>
    </row>
    <row r="10864" spans="1:15" x14ac:dyDescent="0.25">
      <c r="A10864" t="s">
        <v>1496</v>
      </c>
      <c r="B10864" t="s">
        <v>2007</v>
      </c>
      <c r="C10864" t="s">
        <v>923</v>
      </c>
      <c r="D10864" t="s">
        <v>3063</v>
      </c>
      <c r="E10864" t="s">
        <v>3053</v>
      </c>
      <c r="F10864" t="s">
        <v>286</v>
      </c>
      <c r="G10864" t="s">
        <v>3040</v>
      </c>
      <c r="H10864" t="s">
        <v>13289</v>
      </c>
      <c r="I10864">
        <v>130</v>
      </c>
      <c r="J10864">
        <v>130</v>
      </c>
      <c r="K10864">
        <v>0</v>
      </c>
      <c r="L10864">
        <v>0</v>
      </c>
      <c r="M10864">
        <v>0</v>
      </c>
      <c r="N10864">
        <v>0</v>
      </c>
      <c r="O10864">
        <v>0</v>
      </c>
    </row>
    <row r="10865" spans="1:15" x14ac:dyDescent="0.25">
      <c r="A10865" t="s">
        <v>1497</v>
      </c>
      <c r="B10865" t="s">
        <v>3025</v>
      </c>
      <c r="C10865" t="s">
        <v>923</v>
      </c>
      <c r="D10865" t="s">
        <v>3063</v>
      </c>
      <c r="E10865" t="s">
        <v>3053</v>
      </c>
      <c r="F10865" t="s">
        <v>286</v>
      </c>
      <c r="G10865" t="s">
        <v>3040</v>
      </c>
      <c r="H10865" t="s">
        <v>13298</v>
      </c>
      <c r="I10865">
        <v>5</v>
      </c>
      <c r="J10865">
        <v>5</v>
      </c>
      <c r="K10865">
        <v>0</v>
      </c>
      <c r="L10865">
        <v>0</v>
      </c>
      <c r="M10865">
        <v>0</v>
      </c>
      <c r="N10865">
        <v>0</v>
      </c>
      <c r="O10865">
        <v>0</v>
      </c>
    </row>
    <row r="10866" spans="1:15" x14ac:dyDescent="0.25">
      <c r="A10866" t="s">
        <v>9819</v>
      </c>
      <c r="B10866" t="s">
        <v>2916</v>
      </c>
      <c r="C10866" t="s">
        <v>927</v>
      </c>
      <c r="D10866" t="s">
        <v>3052</v>
      </c>
      <c r="E10866" t="s">
        <v>3053</v>
      </c>
      <c r="F10866" t="s">
        <v>286</v>
      </c>
      <c r="G10866" t="s">
        <v>3040</v>
      </c>
      <c r="H10866" t="s">
        <v>13300</v>
      </c>
      <c r="I10866">
        <v>15780</v>
      </c>
      <c r="J10866">
        <v>12417</v>
      </c>
      <c r="K10866">
        <v>0</v>
      </c>
      <c r="L10866">
        <v>455</v>
      </c>
      <c r="M10866">
        <v>1647</v>
      </c>
      <c r="N10866">
        <v>45</v>
      </c>
      <c r="O10866">
        <v>1261</v>
      </c>
    </row>
    <row r="10867" spans="1:15" x14ac:dyDescent="0.25">
      <c r="A10867" t="s">
        <v>9820</v>
      </c>
      <c r="B10867" t="s">
        <v>3017</v>
      </c>
      <c r="C10867" t="s">
        <v>927</v>
      </c>
      <c r="D10867" t="s">
        <v>3052</v>
      </c>
      <c r="E10867" t="s">
        <v>3053</v>
      </c>
      <c r="F10867" t="s">
        <v>286</v>
      </c>
      <c r="G10867" t="s">
        <v>3040</v>
      </c>
      <c r="H10867" t="s">
        <v>13303</v>
      </c>
      <c r="I10867">
        <v>15123</v>
      </c>
      <c r="J10867">
        <v>14182</v>
      </c>
      <c r="K10867">
        <v>0</v>
      </c>
      <c r="L10867">
        <v>281</v>
      </c>
      <c r="M10867">
        <v>655</v>
      </c>
      <c r="N10867">
        <v>52</v>
      </c>
      <c r="O10867">
        <v>5</v>
      </c>
    </row>
    <row r="10868" spans="1:15" x14ac:dyDescent="0.25">
      <c r="A10868" t="s">
        <v>1016</v>
      </c>
      <c r="B10868" t="s">
        <v>2725</v>
      </c>
      <c r="C10868" t="s">
        <v>927</v>
      </c>
      <c r="D10868" t="s">
        <v>3052</v>
      </c>
      <c r="E10868" t="s">
        <v>3053</v>
      </c>
      <c r="F10868" t="s">
        <v>286</v>
      </c>
      <c r="G10868" t="s">
        <v>3040</v>
      </c>
      <c r="H10868" t="s">
        <v>13312</v>
      </c>
      <c r="I10868">
        <v>2204</v>
      </c>
      <c r="J10868">
        <v>447</v>
      </c>
      <c r="K10868">
        <v>0</v>
      </c>
      <c r="L10868">
        <v>25</v>
      </c>
      <c r="M10868">
        <v>1336</v>
      </c>
      <c r="N10868">
        <v>3</v>
      </c>
      <c r="O10868">
        <v>396</v>
      </c>
    </row>
    <row r="10869" spans="1:15" x14ac:dyDescent="0.25">
      <c r="A10869" t="s">
        <v>1498</v>
      </c>
      <c r="B10869" t="s">
        <v>2203</v>
      </c>
      <c r="C10869" t="s">
        <v>923</v>
      </c>
      <c r="D10869" t="s">
        <v>3063</v>
      </c>
      <c r="E10869" t="s">
        <v>3053</v>
      </c>
      <c r="F10869" t="s">
        <v>286</v>
      </c>
      <c r="G10869" t="s">
        <v>3040</v>
      </c>
      <c r="H10869" t="s">
        <v>13314</v>
      </c>
      <c r="I10869">
        <v>10</v>
      </c>
      <c r="J10869">
        <v>10</v>
      </c>
      <c r="K10869">
        <v>0</v>
      </c>
      <c r="L10869">
        <v>0</v>
      </c>
      <c r="M10869">
        <v>0</v>
      </c>
      <c r="N10869">
        <v>0</v>
      </c>
      <c r="O10869">
        <v>0</v>
      </c>
    </row>
    <row r="10870" spans="1:15" x14ac:dyDescent="0.25">
      <c r="A10870" t="s">
        <v>1499</v>
      </c>
      <c r="B10870" t="s">
        <v>9863</v>
      </c>
      <c r="C10870" t="s">
        <v>923</v>
      </c>
      <c r="D10870" t="s">
        <v>3063</v>
      </c>
      <c r="E10870" t="s">
        <v>3053</v>
      </c>
      <c r="F10870" t="s">
        <v>286</v>
      </c>
      <c r="G10870" t="s">
        <v>3040</v>
      </c>
      <c r="H10870" t="s">
        <v>13326</v>
      </c>
      <c r="I10870">
        <v>42</v>
      </c>
      <c r="J10870">
        <v>42</v>
      </c>
      <c r="K10870">
        <v>0</v>
      </c>
      <c r="L10870">
        <v>0</v>
      </c>
      <c r="M10870">
        <v>0</v>
      </c>
      <c r="N10870">
        <v>0</v>
      </c>
      <c r="O10870">
        <v>0</v>
      </c>
    </row>
    <row r="10871" spans="1:15" x14ac:dyDescent="0.25">
      <c r="A10871" t="s">
        <v>1500</v>
      </c>
      <c r="B10871" t="s">
        <v>2072</v>
      </c>
      <c r="C10871" t="s">
        <v>923</v>
      </c>
      <c r="D10871" t="s">
        <v>3063</v>
      </c>
      <c r="E10871" t="s">
        <v>3053</v>
      </c>
      <c r="F10871" t="s">
        <v>286</v>
      </c>
      <c r="G10871" t="s">
        <v>3040</v>
      </c>
      <c r="H10871" t="s">
        <v>13329</v>
      </c>
      <c r="I10871">
        <v>64</v>
      </c>
      <c r="J10871">
        <v>64</v>
      </c>
      <c r="K10871">
        <v>0</v>
      </c>
      <c r="L10871">
        <v>0</v>
      </c>
      <c r="M10871">
        <v>0</v>
      </c>
      <c r="N10871">
        <v>0</v>
      </c>
      <c r="O10871">
        <v>0</v>
      </c>
    </row>
    <row r="10872" spans="1:15" x14ac:dyDescent="0.25">
      <c r="A10872" t="s">
        <v>9864</v>
      </c>
      <c r="B10872" t="s">
        <v>1989</v>
      </c>
      <c r="C10872" t="s">
        <v>923</v>
      </c>
      <c r="D10872" t="s">
        <v>3063</v>
      </c>
      <c r="E10872" t="s">
        <v>3053</v>
      </c>
      <c r="F10872" t="s">
        <v>286</v>
      </c>
      <c r="G10872" t="s">
        <v>3040</v>
      </c>
      <c r="H10872" t="s">
        <v>13330</v>
      </c>
      <c r="I10872">
        <v>25</v>
      </c>
      <c r="J10872">
        <v>25</v>
      </c>
      <c r="K10872">
        <v>0</v>
      </c>
      <c r="L10872">
        <v>0</v>
      </c>
      <c r="M10872">
        <v>0</v>
      </c>
      <c r="N10872">
        <v>0</v>
      </c>
      <c r="O10872">
        <v>0</v>
      </c>
    </row>
    <row r="10873" spans="1:15" x14ac:dyDescent="0.25">
      <c r="A10873" t="s">
        <v>1501</v>
      </c>
      <c r="B10873" t="s">
        <v>2469</v>
      </c>
      <c r="C10873" t="s">
        <v>923</v>
      </c>
      <c r="D10873" t="s">
        <v>3063</v>
      </c>
      <c r="E10873" t="s">
        <v>3053</v>
      </c>
      <c r="F10873" t="s">
        <v>286</v>
      </c>
      <c r="G10873" t="s">
        <v>3040</v>
      </c>
      <c r="H10873" t="s">
        <v>13338</v>
      </c>
      <c r="I10873">
        <v>24</v>
      </c>
      <c r="J10873">
        <v>24</v>
      </c>
      <c r="K10873">
        <v>0</v>
      </c>
      <c r="L10873">
        <v>0</v>
      </c>
      <c r="M10873">
        <v>0</v>
      </c>
      <c r="N10873">
        <v>0</v>
      </c>
      <c r="O10873">
        <v>0</v>
      </c>
    </row>
    <row r="10874" spans="1:15" x14ac:dyDescent="0.25">
      <c r="A10874" t="s">
        <v>1018</v>
      </c>
      <c r="B10874" t="s">
        <v>1980</v>
      </c>
      <c r="C10874" t="s">
        <v>923</v>
      </c>
      <c r="D10874" t="s">
        <v>3063</v>
      </c>
      <c r="E10874" t="s">
        <v>3053</v>
      </c>
      <c r="F10874" t="s">
        <v>286</v>
      </c>
      <c r="G10874" t="s">
        <v>3040</v>
      </c>
      <c r="H10874" t="s">
        <v>13348</v>
      </c>
      <c r="I10874">
        <v>65</v>
      </c>
      <c r="J10874">
        <v>0</v>
      </c>
      <c r="K10874">
        <v>0</v>
      </c>
      <c r="L10874">
        <v>65</v>
      </c>
      <c r="M10874">
        <v>0</v>
      </c>
      <c r="N10874">
        <v>0</v>
      </c>
      <c r="O10874">
        <v>0</v>
      </c>
    </row>
    <row r="10875" spans="1:15" x14ac:dyDescent="0.25">
      <c r="A10875" t="s">
        <v>1502</v>
      </c>
      <c r="B10875" t="s">
        <v>2502</v>
      </c>
      <c r="C10875" t="s">
        <v>923</v>
      </c>
      <c r="D10875" t="s">
        <v>3063</v>
      </c>
      <c r="E10875" t="s">
        <v>3053</v>
      </c>
      <c r="F10875" t="s">
        <v>286</v>
      </c>
      <c r="G10875" t="s">
        <v>3040</v>
      </c>
      <c r="H10875" t="s">
        <v>13353</v>
      </c>
      <c r="I10875">
        <v>48</v>
      </c>
      <c r="J10875">
        <v>48</v>
      </c>
      <c r="K10875">
        <v>0</v>
      </c>
      <c r="L10875">
        <v>0</v>
      </c>
      <c r="M10875">
        <v>0</v>
      </c>
      <c r="N10875">
        <v>0</v>
      </c>
      <c r="O10875">
        <v>0</v>
      </c>
    </row>
    <row r="10876" spans="1:15" x14ac:dyDescent="0.25">
      <c r="A10876" t="s">
        <v>1503</v>
      </c>
      <c r="B10876" t="s">
        <v>2368</v>
      </c>
      <c r="C10876" t="s">
        <v>923</v>
      </c>
      <c r="D10876" t="s">
        <v>3063</v>
      </c>
      <c r="E10876" t="s">
        <v>3053</v>
      </c>
      <c r="F10876" t="s">
        <v>286</v>
      </c>
      <c r="G10876" t="s">
        <v>3040</v>
      </c>
      <c r="H10876" t="s">
        <v>13355</v>
      </c>
      <c r="I10876">
        <v>128</v>
      </c>
      <c r="J10876">
        <v>128</v>
      </c>
      <c r="K10876">
        <v>0</v>
      </c>
      <c r="L10876">
        <v>0</v>
      </c>
      <c r="M10876">
        <v>0</v>
      </c>
      <c r="N10876">
        <v>0</v>
      </c>
      <c r="O10876">
        <v>0</v>
      </c>
    </row>
    <row r="10877" spans="1:15" x14ac:dyDescent="0.25">
      <c r="A10877" t="s">
        <v>10667</v>
      </c>
      <c r="B10877" t="s">
        <v>10666</v>
      </c>
      <c r="C10877" t="s">
        <v>927</v>
      </c>
      <c r="D10877" t="s">
        <v>3052</v>
      </c>
      <c r="E10877" t="s">
        <v>3053</v>
      </c>
      <c r="F10877" t="s">
        <v>286</v>
      </c>
      <c r="G10877" t="s">
        <v>3040</v>
      </c>
      <c r="H10877" t="s">
        <v>13364</v>
      </c>
      <c r="I10877">
        <v>33</v>
      </c>
      <c r="J10877">
        <v>33</v>
      </c>
      <c r="K10877">
        <v>0</v>
      </c>
      <c r="L10877">
        <v>0</v>
      </c>
      <c r="M10877">
        <v>0</v>
      </c>
      <c r="N10877">
        <v>0</v>
      </c>
      <c r="O10877">
        <v>0</v>
      </c>
    </row>
    <row r="10878" spans="1:15" x14ac:dyDescent="0.25">
      <c r="A10878" t="s">
        <v>1126</v>
      </c>
      <c r="B10878" t="s">
        <v>2130</v>
      </c>
      <c r="C10878" t="s">
        <v>927</v>
      </c>
      <c r="D10878" t="s">
        <v>3052</v>
      </c>
      <c r="E10878" t="s">
        <v>3053</v>
      </c>
      <c r="F10878" t="s">
        <v>286</v>
      </c>
      <c r="G10878" t="s">
        <v>3040</v>
      </c>
      <c r="H10878" t="s">
        <v>13372</v>
      </c>
      <c r="I10878">
        <v>312</v>
      </c>
      <c r="J10878">
        <v>150</v>
      </c>
      <c r="K10878">
        <v>0</v>
      </c>
      <c r="L10878">
        <v>0</v>
      </c>
      <c r="M10878">
        <v>0</v>
      </c>
      <c r="N10878">
        <v>0</v>
      </c>
      <c r="O10878">
        <v>162</v>
      </c>
    </row>
    <row r="10879" spans="1:15" x14ac:dyDescent="0.25">
      <c r="A10879" t="s">
        <v>9821</v>
      </c>
      <c r="B10879" t="s">
        <v>2431</v>
      </c>
      <c r="C10879" t="s">
        <v>923</v>
      </c>
      <c r="D10879" t="s">
        <v>3063</v>
      </c>
      <c r="E10879" t="s">
        <v>3053</v>
      </c>
      <c r="F10879" t="s">
        <v>286</v>
      </c>
      <c r="G10879" t="s">
        <v>3040</v>
      </c>
      <c r="H10879" t="s">
        <v>13378</v>
      </c>
      <c r="I10879">
        <v>40</v>
      </c>
      <c r="J10879">
        <v>40</v>
      </c>
      <c r="K10879">
        <v>0</v>
      </c>
      <c r="L10879">
        <v>0</v>
      </c>
      <c r="M10879">
        <v>0</v>
      </c>
      <c r="N10879">
        <v>0</v>
      </c>
      <c r="O10879">
        <v>0</v>
      </c>
    </row>
    <row r="10880" spans="1:15" x14ac:dyDescent="0.25">
      <c r="A10880" t="s">
        <v>1020</v>
      </c>
      <c r="B10880" t="s">
        <v>2104</v>
      </c>
      <c r="C10880" t="s">
        <v>923</v>
      </c>
      <c r="D10880" t="s">
        <v>3063</v>
      </c>
      <c r="E10880" t="s">
        <v>3053</v>
      </c>
      <c r="F10880" t="s">
        <v>286</v>
      </c>
      <c r="G10880" t="s">
        <v>3040</v>
      </c>
      <c r="H10880" t="s">
        <v>13381</v>
      </c>
      <c r="I10880">
        <v>19</v>
      </c>
      <c r="J10880">
        <v>0</v>
      </c>
      <c r="K10880">
        <v>0</v>
      </c>
      <c r="L10880">
        <v>19</v>
      </c>
      <c r="M10880">
        <v>0</v>
      </c>
      <c r="N10880">
        <v>1</v>
      </c>
      <c r="O10880">
        <v>0</v>
      </c>
    </row>
    <row r="10881" spans="1:15" x14ac:dyDescent="0.25">
      <c r="A10881" t="s">
        <v>1505</v>
      </c>
      <c r="B10881" t="s">
        <v>2277</v>
      </c>
      <c r="C10881" t="s">
        <v>923</v>
      </c>
      <c r="D10881" t="s">
        <v>3063</v>
      </c>
      <c r="E10881" t="s">
        <v>3053</v>
      </c>
      <c r="F10881" t="s">
        <v>286</v>
      </c>
      <c r="G10881" t="s">
        <v>3040</v>
      </c>
      <c r="H10881" t="s">
        <v>13387</v>
      </c>
      <c r="I10881">
        <v>8</v>
      </c>
      <c r="J10881">
        <v>0</v>
      </c>
      <c r="K10881">
        <v>0</v>
      </c>
      <c r="L10881">
        <v>0</v>
      </c>
      <c r="M10881">
        <v>8</v>
      </c>
      <c r="N10881">
        <v>0</v>
      </c>
      <c r="O10881">
        <v>0</v>
      </c>
    </row>
    <row r="10882" spans="1:15" x14ac:dyDescent="0.25">
      <c r="A10882" t="s">
        <v>1506</v>
      </c>
      <c r="B10882" t="s">
        <v>2402</v>
      </c>
      <c r="C10882" t="s">
        <v>923</v>
      </c>
      <c r="D10882" t="s">
        <v>3063</v>
      </c>
      <c r="E10882" t="s">
        <v>3053</v>
      </c>
      <c r="F10882" t="s">
        <v>286</v>
      </c>
      <c r="G10882" t="s">
        <v>3040</v>
      </c>
      <c r="H10882" t="s">
        <v>13396</v>
      </c>
      <c r="I10882">
        <v>50</v>
      </c>
      <c r="J10882">
        <v>50</v>
      </c>
      <c r="K10882">
        <v>0</v>
      </c>
      <c r="L10882">
        <v>0</v>
      </c>
      <c r="M10882">
        <v>0</v>
      </c>
      <c r="N10882">
        <v>0</v>
      </c>
      <c r="O10882">
        <v>0</v>
      </c>
    </row>
    <row r="10883" spans="1:15" x14ac:dyDescent="0.25">
      <c r="A10883" t="s">
        <v>1507</v>
      </c>
      <c r="B10883" t="s">
        <v>2649</v>
      </c>
      <c r="C10883" t="s">
        <v>923</v>
      </c>
      <c r="D10883" t="s">
        <v>3063</v>
      </c>
      <c r="E10883" t="s">
        <v>3053</v>
      </c>
      <c r="F10883" t="s">
        <v>286</v>
      </c>
      <c r="G10883" t="s">
        <v>3040</v>
      </c>
      <c r="H10883" t="s">
        <v>13397</v>
      </c>
      <c r="I10883">
        <v>206</v>
      </c>
      <c r="J10883">
        <v>40</v>
      </c>
      <c r="K10883">
        <v>0</v>
      </c>
      <c r="L10883">
        <v>0</v>
      </c>
      <c r="M10883">
        <v>166</v>
      </c>
      <c r="N10883">
        <v>1</v>
      </c>
      <c r="O10883">
        <v>0</v>
      </c>
    </row>
    <row r="10884" spans="1:15" x14ac:dyDescent="0.25">
      <c r="A10884" t="s">
        <v>1508</v>
      </c>
      <c r="B10884" t="s">
        <v>3024</v>
      </c>
      <c r="C10884" t="s">
        <v>927</v>
      </c>
      <c r="D10884" t="s">
        <v>3052</v>
      </c>
      <c r="E10884" t="s">
        <v>3053</v>
      </c>
      <c r="F10884" t="s">
        <v>286</v>
      </c>
      <c r="G10884" t="s">
        <v>3040</v>
      </c>
      <c r="H10884" t="s">
        <v>13402</v>
      </c>
      <c r="I10884">
        <v>12911</v>
      </c>
      <c r="J10884">
        <v>11750</v>
      </c>
      <c r="K10884">
        <v>4</v>
      </c>
      <c r="L10884">
        <v>13</v>
      </c>
      <c r="M10884">
        <v>789</v>
      </c>
      <c r="N10884">
        <v>30</v>
      </c>
      <c r="O10884">
        <v>355</v>
      </c>
    </row>
    <row r="10885" spans="1:15" x14ac:dyDescent="0.25">
      <c r="A10885" t="s">
        <v>1509</v>
      </c>
      <c r="B10885" t="s">
        <v>2354</v>
      </c>
      <c r="C10885" t="s">
        <v>923</v>
      </c>
      <c r="D10885" t="s">
        <v>3063</v>
      </c>
      <c r="E10885" t="s">
        <v>3053</v>
      </c>
      <c r="F10885" t="s">
        <v>286</v>
      </c>
      <c r="G10885" t="s">
        <v>3040</v>
      </c>
      <c r="H10885" t="s">
        <v>13408</v>
      </c>
      <c r="I10885">
        <v>215</v>
      </c>
      <c r="J10885">
        <v>215</v>
      </c>
      <c r="K10885">
        <v>0</v>
      </c>
      <c r="L10885">
        <v>0</v>
      </c>
      <c r="M10885">
        <v>0</v>
      </c>
      <c r="N10885">
        <v>0</v>
      </c>
      <c r="O10885">
        <v>0</v>
      </c>
    </row>
    <row r="10886" spans="1:15" x14ac:dyDescent="0.25">
      <c r="A10886" t="s">
        <v>1025</v>
      </c>
      <c r="B10886" t="s">
        <v>2893</v>
      </c>
      <c r="C10886" t="s">
        <v>927</v>
      </c>
      <c r="D10886" t="s">
        <v>3052</v>
      </c>
      <c r="E10886" t="s">
        <v>3053</v>
      </c>
      <c r="F10886" t="s">
        <v>286</v>
      </c>
      <c r="G10886" t="s">
        <v>3040</v>
      </c>
      <c r="H10886" t="s">
        <v>13413</v>
      </c>
      <c r="I10886">
        <v>9509</v>
      </c>
      <c r="J10886">
        <v>6317</v>
      </c>
      <c r="K10886">
        <v>0</v>
      </c>
      <c r="L10886">
        <v>19</v>
      </c>
      <c r="M10886">
        <v>2660</v>
      </c>
      <c r="N10886">
        <v>112</v>
      </c>
      <c r="O10886">
        <v>513</v>
      </c>
    </row>
    <row r="10887" spans="1:15" x14ac:dyDescent="0.25">
      <c r="A10887" t="s">
        <v>11696</v>
      </c>
      <c r="B10887" t="s">
        <v>11756</v>
      </c>
      <c r="C10887" t="s">
        <v>923</v>
      </c>
      <c r="D10887" t="s">
        <v>3063</v>
      </c>
      <c r="E10887" t="s">
        <v>3053</v>
      </c>
      <c r="F10887" t="s">
        <v>286</v>
      </c>
      <c r="G10887" t="s">
        <v>3040</v>
      </c>
      <c r="H10887" t="s">
        <v>13417</v>
      </c>
      <c r="I10887">
        <v>84</v>
      </c>
      <c r="J10887">
        <v>84</v>
      </c>
      <c r="K10887">
        <v>0</v>
      </c>
      <c r="L10887">
        <v>0</v>
      </c>
      <c r="M10887">
        <v>0</v>
      </c>
      <c r="N10887">
        <v>0</v>
      </c>
      <c r="O10887">
        <v>0</v>
      </c>
    </row>
    <row r="10888" spans="1:15" x14ac:dyDescent="0.25">
      <c r="A10888" t="s">
        <v>9822</v>
      </c>
      <c r="B10888" t="s">
        <v>9865</v>
      </c>
      <c r="C10888" t="s">
        <v>923</v>
      </c>
      <c r="D10888" t="s">
        <v>3063</v>
      </c>
      <c r="E10888" t="s">
        <v>3053</v>
      </c>
      <c r="F10888" t="s">
        <v>286</v>
      </c>
      <c r="G10888" t="s">
        <v>3040</v>
      </c>
      <c r="H10888" t="s">
        <v>13427</v>
      </c>
      <c r="I10888">
        <v>63</v>
      </c>
      <c r="J10888">
        <v>63</v>
      </c>
      <c r="K10888">
        <v>0</v>
      </c>
      <c r="L10888">
        <v>0</v>
      </c>
      <c r="M10888">
        <v>0</v>
      </c>
      <c r="N10888">
        <v>0</v>
      </c>
      <c r="O10888">
        <v>0</v>
      </c>
    </row>
    <row r="10889" spans="1:15" x14ac:dyDescent="0.25">
      <c r="A10889" t="s">
        <v>1510</v>
      </c>
      <c r="B10889" t="s">
        <v>2812</v>
      </c>
      <c r="C10889" t="s">
        <v>923</v>
      </c>
      <c r="D10889" t="s">
        <v>3063</v>
      </c>
      <c r="E10889" t="s">
        <v>3053</v>
      </c>
      <c r="F10889" t="s">
        <v>286</v>
      </c>
      <c r="G10889" t="s">
        <v>3040</v>
      </c>
      <c r="H10889" t="s">
        <v>13428</v>
      </c>
      <c r="I10889">
        <v>75</v>
      </c>
      <c r="J10889">
        <v>75</v>
      </c>
      <c r="K10889">
        <v>0</v>
      </c>
      <c r="L10889">
        <v>0</v>
      </c>
      <c r="M10889">
        <v>0</v>
      </c>
      <c r="N10889">
        <v>0</v>
      </c>
      <c r="O10889">
        <v>0</v>
      </c>
    </row>
    <row r="10890" spans="1:15" x14ac:dyDescent="0.25">
      <c r="A10890" t="s">
        <v>1511</v>
      </c>
      <c r="B10890" t="s">
        <v>1939</v>
      </c>
      <c r="C10890" t="s">
        <v>923</v>
      </c>
      <c r="D10890" t="s">
        <v>3063</v>
      </c>
      <c r="E10890" t="s">
        <v>3053</v>
      </c>
      <c r="F10890" t="s">
        <v>286</v>
      </c>
      <c r="G10890" t="s">
        <v>3040</v>
      </c>
      <c r="H10890" t="s">
        <v>13433</v>
      </c>
      <c r="I10890">
        <v>10</v>
      </c>
      <c r="J10890">
        <v>10</v>
      </c>
      <c r="K10890">
        <v>0</v>
      </c>
      <c r="L10890">
        <v>0</v>
      </c>
      <c r="M10890">
        <v>0</v>
      </c>
      <c r="N10890">
        <v>0</v>
      </c>
      <c r="O10890">
        <v>0</v>
      </c>
    </row>
    <row r="10891" spans="1:15" x14ac:dyDescent="0.25">
      <c r="A10891" t="s">
        <v>10681</v>
      </c>
      <c r="B10891" t="s">
        <v>10680</v>
      </c>
      <c r="C10891" t="s">
        <v>927</v>
      </c>
      <c r="D10891" t="s">
        <v>3052</v>
      </c>
      <c r="E10891" t="s">
        <v>3053</v>
      </c>
      <c r="F10891" t="s">
        <v>286</v>
      </c>
      <c r="G10891" t="s">
        <v>3040</v>
      </c>
      <c r="H10891" t="s">
        <v>15559</v>
      </c>
      <c r="I10891">
        <v>51</v>
      </c>
      <c r="J10891">
        <v>0</v>
      </c>
      <c r="K10891">
        <v>0</v>
      </c>
      <c r="L10891">
        <v>0</v>
      </c>
      <c r="M10891">
        <v>0</v>
      </c>
      <c r="N10891">
        <v>0</v>
      </c>
      <c r="O10891">
        <v>51</v>
      </c>
    </row>
    <row r="10892" spans="1:15" x14ac:dyDescent="0.25">
      <c r="A10892" t="s">
        <v>1512</v>
      </c>
      <c r="B10892" t="s">
        <v>2869</v>
      </c>
      <c r="C10892" t="s">
        <v>927</v>
      </c>
      <c r="D10892" t="s">
        <v>3052</v>
      </c>
      <c r="E10892" t="s">
        <v>3053</v>
      </c>
      <c r="F10892" t="s">
        <v>286</v>
      </c>
      <c r="G10892" t="s">
        <v>3040</v>
      </c>
      <c r="H10892" t="s">
        <v>13434</v>
      </c>
      <c r="I10892">
        <v>12733</v>
      </c>
      <c r="J10892">
        <v>10800</v>
      </c>
      <c r="K10892">
        <v>0</v>
      </c>
      <c r="L10892">
        <v>75</v>
      </c>
      <c r="M10892">
        <v>1767</v>
      </c>
      <c r="N10892">
        <v>0</v>
      </c>
      <c r="O10892">
        <v>91</v>
      </c>
    </row>
    <row r="10893" spans="1:15" x14ac:dyDescent="0.25">
      <c r="A10893" t="s">
        <v>1513</v>
      </c>
      <c r="B10893" t="s">
        <v>2758</v>
      </c>
      <c r="C10893" t="s">
        <v>923</v>
      </c>
      <c r="D10893" t="s">
        <v>3063</v>
      </c>
      <c r="E10893" t="s">
        <v>3053</v>
      </c>
      <c r="F10893" t="s">
        <v>286</v>
      </c>
      <c r="G10893" t="s">
        <v>3040</v>
      </c>
      <c r="H10893" t="s">
        <v>13439</v>
      </c>
      <c r="I10893">
        <v>78</v>
      </c>
      <c r="J10893">
        <v>9</v>
      </c>
      <c r="K10893">
        <v>0</v>
      </c>
      <c r="L10893">
        <v>5</v>
      </c>
      <c r="M10893">
        <v>64</v>
      </c>
      <c r="N10893">
        <v>0</v>
      </c>
      <c r="O10893">
        <v>0</v>
      </c>
    </row>
    <row r="10894" spans="1:15" x14ac:dyDescent="0.25">
      <c r="A10894" t="s">
        <v>1514</v>
      </c>
      <c r="B10894" t="s">
        <v>2670</v>
      </c>
      <c r="C10894" t="s">
        <v>923</v>
      </c>
      <c r="D10894" t="s">
        <v>3063</v>
      </c>
      <c r="E10894" t="s">
        <v>3053</v>
      </c>
      <c r="F10894" t="s">
        <v>286</v>
      </c>
      <c r="G10894" t="s">
        <v>3040</v>
      </c>
      <c r="H10894" t="s">
        <v>13440</v>
      </c>
      <c r="I10894">
        <v>51</v>
      </c>
      <c r="J10894">
        <v>51</v>
      </c>
      <c r="K10894">
        <v>0</v>
      </c>
      <c r="L10894">
        <v>0</v>
      </c>
      <c r="M10894">
        <v>0</v>
      </c>
      <c r="N10894">
        <v>0</v>
      </c>
      <c r="O10894">
        <v>0</v>
      </c>
    </row>
    <row r="10895" spans="1:15" x14ac:dyDescent="0.25">
      <c r="A10895" t="s">
        <v>14393</v>
      </c>
      <c r="B10895" t="s">
        <v>14640</v>
      </c>
      <c r="C10895" t="s">
        <v>923</v>
      </c>
      <c r="D10895" t="s">
        <v>3063</v>
      </c>
      <c r="E10895" t="s">
        <v>3053</v>
      </c>
      <c r="F10895" t="s">
        <v>286</v>
      </c>
      <c r="G10895" t="s">
        <v>3040</v>
      </c>
      <c r="H10895" t="s">
        <v>15560</v>
      </c>
      <c r="I10895">
        <v>6</v>
      </c>
      <c r="J10895">
        <v>0</v>
      </c>
      <c r="K10895">
        <v>0</v>
      </c>
      <c r="L10895">
        <v>0</v>
      </c>
      <c r="M10895">
        <v>6</v>
      </c>
      <c r="N10895">
        <v>0</v>
      </c>
      <c r="O10895">
        <v>0</v>
      </c>
    </row>
    <row r="10896" spans="1:15" x14ac:dyDescent="0.25">
      <c r="A10896" t="s">
        <v>1296</v>
      </c>
      <c r="B10896" t="s">
        <v>2965</v>
      </c>
      <c r="C10896" t="s">
        <v>923</v>
      </c>
      <c r="D10896" t="s">
        <v>3063</v>
      </c>
      <c r="E10896" t="s">
        <v>3053</v>
      </c>
      <c r="F10896" t="s">
        <v>286</v>
      </c>
      <c r="G10896" t="s">
        <v>3040</v>
      </c>
      <c r="H10896" t="s">
        <v>13460</v>
      </c>
      <c r="I10896">
        <v>62</v>
      </c>
      <c r="J10896">
        <v>0</v>
      </c>
      <c r="K10896">
        <v>0</v>
      </c>
      <c r="L10896">
        <v>0</v>
      </c>
      <c r="M10896">
        <v>62</v>
      </c>
      <c r="N10896">
        <v>0</v>
      </c>
      <c r="O10896">
        <v>0</v>
      </c>
    </row>
    <row r="10897" spans="1:15" x14ac:dyDescent="0.25">
      <c r="A10897" t="s">
        <v>943</v>
      </c>
      <c r="B10897" t="s">
        <v>2694</v>
      </c>
      <c r="C10897" t="s">
        <v>927</v>
      </c>
      <c r="D10897" t="s">
        <v>3052</v>
      </c>
      <c r="E10897" t="s">
        <v>3053</v>
      </c>
      <c r="F10897" t="s">
        <v>286</v>
      </c>
      <c r="G10897" t="s">
        <v>3040</v>
      </c>
      <c r="H10897" t="s">
        <v>15561</v>
      </c>
      <c r="I10897">
        <v>1</v>
      </c>
      <c r="J10897">
        <v>0</v>
      </c>
      <c r="K10897">
        <v>0</v>
      </c>
      <c r="L10897">
        <v>0</v>
      </c>
      <c r="M10897">
        <v>0</v>
      </c>
      <c r="N10897">
        <v>0</v>
      </c>
      <c r="O10897">
        <v>1</v>
      </c>
    </row>
    <row r="10898" spans="1:15" x14ac:dyDescent="0.25">
      <c r="A10898" t="s">
        <v>9823</v>
      </c>
      <c r="B10898" t="s">
        <v>2450</v>
      </c>
      <c r="C10898" t="s">
        <v>923</v>
      </c>
      <c r="D10898" t="s">
        <v>3063</v>
      </c>
      <c r="E10898" t="s">
        <v>3053</v>
      </c>
      <c r="F10898" t="s">
        <v>286</v>
      </c>
      <c r="G10898" t="s">
        <v>3040</v>
      </c>
      <c r="H10898" t="s">
        <v>13478</v>
      </c>
      <c r="I10898">
        <v>54</v>
      </c>
      <c r="J10898">
        <v>54</v>
      </c>
      <c r="K10898">
        <v>0</v>
      </c>
      <c r="L10898">
        <v>0</v>
      </c>
      <c r="M10898">
        <v>0</v>
      </c>
      <c r="N10898">
        <v>0</v>
      </c>
      <c r="O10898">
        <v>0</v>
      </c>
    </row>
    <row r="10899" spans="1:15" x14ac:dyDescent="0.25">
      <c r="A10899" t="s">
        <v>1515</v>
      </c>
      <c r="B10899" t="s">
        <v>2955</v>
      </c>
      <c r="C10899" t="s">
        <v>923</v>
      </c>
      <c r="D10899" t="s">
        <v>3063</v>
      </c>
      <c r="E10899" t="s">
        <v>3053</v>
      </c>
      <c r="F10899" t="s">
        <v>286</v>
      </c>
      <c r="G10899" t="s">
        <v>3040</v>
      </c>
      <c r="H10899" t="s">
        <v>13484</v>
      </c>
      <c r="I10899">
        <v>140</v>
      </c>
      <c r="J10899">
        <v>140</v>
      </c>
      <c r="K10899">
        <v>0</v>
      </c>
      <c r="L10899">
        <v>0</v>
      </c>
      <c r="M10899">
        <v>0</v>
      </c>
      <c r="N10899">
        <v>2</v>
      </c>
      <c r="O10899">
        <v>0</v>
      </c>
    </row>
    <row r="10900" spans="1:15" x14ac:dyDescent="0.25">
      <c r="A10900" t="s">
        <v>1516</v>
      </c>
      <c r="B10900" t="s">
        <v>2098</v>
      </c>
      <c r="C10900" t="s">
        <v>927</v>
      </c>
      <c r="D10900" t="s">
        <v>3052</v>
      </c>
      <c r="E10900" t="s">
        <v>3053</v>
      </c>
      <c r="F10900" t="s">
        <v>286</v>
      </c>
      <c r="G10900" t="s">
        <v>3040</v>
      </c>
      <c r="H10900" t="s">
        <v>13492</v>
      </c>
      <c r="I10900">
        <v>8494</v>
      </c>
      <c r="J10900">
        <v>6709</v>
      </c>
      <c r="K10900">
        <v>17</v>
      </c>
      <c r="L10900">
        <v>648</v>
      </c>
      <c r="M10900">
        <v>699</v>
      </c>
      <c r="N10900">
        <v>3</v>
      </c>
      <c r="O10900">
        <v>421</v>
      </c>
    </row>
    <row r="10901" spans="1:15" x14ac:dyDescent="0.25">
      <c r="A10901" t="s">
        <v>1031</v>
      </c>
      <c r="B10901" t="s">
        <v>2779</v>
      </c>
      <c r="C10901" t="s">
        <v>927</v>
      </c>
      <c r="D10901" t="s">
        <v>3052</v>
      </c>
      <c r="E10901" t="s">
        <v>3053</v>
      </c>
      <c r="F10901" t="s">
        <v>286</v>
      </c>
      <c r="G10901" t="s">
        <v>3040</v>
      </c>
      <c r="H10901" t="s">
        <v>13500</v>
      </c>
      <c r="I10901">
        <v>4077</v>
      </c>
      <c r="J10901">
        <v>3249</v>
      </c>
      <c r="K10901">
        <v>9</v>
      </c>
      <c r="L10901">
        <v>263</v>
      </c>
      <c r="M10901">
        <v>166</v>
      </c>
      <c r="N10901">
        <v>146</v>
      </c>
      <c r="O10901">
        <v>390</v>
      </c>
    </row>
    <row r="10902" spans="1:15" x14ac:dyDescent="0.25">
      <c r="A10902" t="s">
        <v>1032</v>
      </c>
      <c r="B10902" t="s">
        <v>2037</v>
      </c>
      <c r="C10902" t="s">
        <v>923</v>
      </c>
      <c r="D10902" t="s">
        <v>3063</v>
      </c>
      <c r="E10902" t="s">
        <v>3053</v>
      </c>
      <c r="F10902" t="s">
        <v>286</v>
      </c>
      <c r="G10902" t="s">
        <v>3040</v>
      </c>
      <c r="H10902" t="s">
        <v>13510</v>
      </c>
      <c r="I10902">
        <v>25</v>
      </c>
      <c r="J10902">
        <v>0</v>
      </c>
      <c r="K10902">
        <v>0</v>
      </c>
      <c r="L10902">
        <v>25</v>
      </c>
      <c r="M10902">
        <v>0</v>
      </c>
      <c r="N10902">
        <v>10</v>
      </c>
      <c r="O10902">
        <v>0</v>
      </c>
    </row>
    <row r="10903" spans="1:15" x14ac:dyDescent="0.25">
      <c r="A10903" t="s">
        <v>1033</v>
      </c>
      <c r="B10903" t="s">
        <v>2039</v>
      </c>
      <c r="C10903" t="s">
        <v>923</v>
      </c>
      <c r="D10903" t="s">
        <v>3063</v>
      </c>
      <c r="E10903" t="s">
        <v>3053</v>
      </c>
      <c r="F10903" t="s">
        <v>286</v>
      </c>
      <c r="G10903" t="s">
        <v>3040</v>
      </c>
      <c r="H10903" t="s">
        <v>13515</v>
      </c>
      <c r="I10903">
        <v>79</v>
      </c>
      <c r="J10903">
        <v>0</v>
      </c>
      <c r="K10903">
        <v>0</v>
      </c>
      <c r="L10903">
        <v>79</v>
      </c>
      <c r="M10903">
        <v>0</v>
      </c>
      <c r="N10903">
        <v>0</v>
      </c>
      <c r="O10903">
        <v>0</v>
      </c>
    </row>
    <row r="10904" spans="1:15" x14ac:dyDescent="0.25">
      <c r="A10904" t="s">
        <v>1302</v>
      </c>
      <c r="B10904" t="s">
        <v>1961</v>
      </c>
      <c r="C10904" t="s">
        <v>923</v>
      </c>
      <c r="D10904" t="s">
        <v>3063</v>
      </c>
      <c r="E10904" t="s">
        <v>3053</v>
      </c>
      <c r="F10904" t="s">
        <v>286</v>
      </c>
      <c r="G10904" t="s">
        <v>3040</v>
      </c>
      <c r="H10904" t="s">
        <v>13519</v>
      </c>
      <c r="I10904">
        <v>200</v>
      </c>
      <c r="J10904">
        <v>0</v>
      </c>
      <c r="K10904">
        <v>0</v>
      </c>
      <c r="L10904">
        <v>200</v>
      </c>
      <c r="M10904">
        <v>0</v>
      </c>
      <c r="N10904">
        <v>0</v>
      </c>
      <c r="O10904">
        <v>0</v>
      </c>
    </row>
    <row r="10905" spans="1:15" x14ac:dyDescent="0.25">
      <c r="A10905" t="s">
        <v>1517</v>
      </c>
      <c r="B10905" t="s">
        <v>2470</v>
      </c>
      <c r="C10905" t="s">
        <v>923</v>
      </c>
      <c r="D10905" t="s">
        <v>3063</v>
      </c>
      <c r="E10905" t="s">
        <v>3053</v>
      </c>
      <c r="F10905" t="s">
        <v>286</v>
      </c>
      <c r="G10905" t="s">
        <v>3040</v>
      </c>
      <c r="H10905" t="s">
        <v>13524</v>
      </c>
      <c r="I10905">
        <v>85</v>
      </c>
      <c r="J10905">
        <v>0</v>
      </c>
      <c r="K10905">
        <v>85</v>
      </c>
      <c r="L10905">
        <v>0</v>
      </c>
      <c r="M10905">
        <v>0</v>
      </c>
      <c r="N10905">
        <v>0</v>
      </c>
      <c r="O10905">
        <v>0</v>
      </c>
    </row>
    <row r="10906" spans="1:15" x14ac:dyDescent="0.25">
      <c r="A10906" t="s">
        <v>1518</v>
      </c>
      <c r="B10906" t="s">
        <v>2413</v>
      </c>
      <c r="C10906" t="s">
        <v>923</v>
      </c>
      <c r="D10906" t="s">
        <v>3063</v>
      </c>
      <c r="E10906" t="s">
        <v>3053</v>
      </c>
      <c r="F10906" t="s">
        <v>286</v>
      </c>
      <c r="G10906" t="s">
        <v>3040</v>
      </c>
      <c r="H10906" t="s">
        <v>13533</v>
      </c>
      <c r="I10906">
        <v>90</v>
      </c>
      <c r="J10906">
        <v>90</v>
      </c>
      <c r="K10906">
        <v>0</v>
      </c>
      <c r="L10906">
        <v>0</v>
      </c>
      <c r="M10906">
        <v>0</v>
      </c>
      <c r="N10906">
        <v>0</v>
      </c>
      <c r="O10906">
        <v>0</v>
      </c>
    </row>
    <row r="10907" spans="1:15" x14ac:dyDescent="0.25">
      <c r="A10907" t="s">
        <v>949</v>
      </c>
      <c r="B10907" t="s">
        <v>3035</v>
      </c>
      <c r="C10907" t="s">
        <v>927</v>
      </c>
      <c r="D10907" t="s">
        <v>3052</v>
      </c>
      <c r="E10907" t="s">
        <v>3053</v>
      </c>
      <c r="F10907" t="s">
        <v>286</v>
      </c>
      <c r="G10907" t="s">
        <v>3040</v>
      </c>
      <c r="H10907" t="s">
        <v>13554</v>
      </c>
      <c r="I10907">
        <v>1</v>
      </c>
      <c r="J10907">
        <v>0</v>
      </c>
      <c r="K10907">
        <v>0</v>
      </c>
      <c r="L10907">
        <v>0</v>
      </c>
      <c r="M10907">
        <v>0</v>
      </c>
      <c r="N10907">
        <v>0</v>
      </c>
      <c r="O10907">
        <v>1</v>
      </c>
    </row>
    <row r="10908" spans="1:15" x14ac:dyDescent="0.25">
      <c r="A10908" t="s">
        <v>1519</v>
      </c>
      <c r="B10908" t="s">
        <v>2060</v>
      </c>
      <c r="C10908" t="s">
        <v>927</v>
      </c>
      <c r="D10908" t="s">
        <v>3052</v>
      </c>
      <c r="E10908" t="s">
        <v>3053</v>
      </c>
      <c r="F10908" t="s">
        <v>286</v>
      </c>
      <c r="G10908" t="s">
        <v>3040</v>
      </c>
      <c r="H10908" t="s">
        <v>13582</v>
      </c>
      <c r="I10908">
        <v>11918</v>
      </c>
      <c r="J10908">
        <v>11510</v>
      </c>
      <c r="K10908">
        <v>1</v>
      </c>
      <c r="L10908">
        <v>0</v>
      </c>
      <c r="M10908">
        <v>241</v>
      </c>
      <c r="N10908">
        <v>29</v>
      </c>
      <c r="O10908">
        <v>166</v>
      </c>
    </row>
    <row r="10909" spans="1:15" x14ac:dyDescent="0.25">
      <c r="A10909" t="s">
        <v>1520</v>
      </c>
      <c r="B10909" t="s">
        <v>2058</v>
      </c>
      <c r="C10909" t="s">
        <v>927</v>
      </c>
      <c r="D10909" t="s">
        <v>3052</v>
      </c>
      <c r="E10909" t="s">
        <v>3053</v>
      </c>
      <c r="F10909" t="s">
        <v>286</v>
      </c>
      <c r="G10909" t="s">
        <v>3040</v>
      </c>
      <c r="H10909" t="s">
        <v>13583</v>
      </c>
      <c r="I10909">
        <v>13136</v>
      </c>
      <c r="J10909">
        <v>11788</v>
      </c>
      <c r="K10909">
        <v>0</v>
      </c>
      <c r="L10909">
        <v>983</v>
      </c>
      <c r="M10909">
        <v>0</v>
      </c>
      <c r="N10909">
        <v>0</v>
      </c>
      <c r="O10909">
        <v>365</v>
      </c>
    </row>
    <row r="10910" spans="1:15" x14ac:dyDescent="0.25">
      <c r="A10910" t="s">
        <v>1521</v>
      </c>
      <c r="B10910" t="s">
        <v>2920</v>
      </c>
      <c r="C10910" t="s">
        <v>927</v>
      </c>
      <c r="D10910" t="s">
        <v>3052</v>
      </c>
      <c r="E10910" t="s">
        <v>3053</v>
      </c>
      <c r="F10910" t="s">
        <v>286</v>
      </c>
      <c r="G10910" t="s">
        <v>3040</v>
      </c>
      <c r="H10910" t="s">
        <v>13589</v>
      </c>
      <c r="I10910">
        <v>29812</v>
      </c>
      <c r="J10910">
        <v>22657</v>
      </c>
      <c r="K10910">
        <v>0</v>
      </c>
      <c r="L10910">
        <v>1859</v>
      </c>
      <c r="M10910">
        <v>3888</v>
      </c>
      <c r="N10910">
        <v>6</v>
      </c>
      <c r="O10910">
        <v>1408</v>
      </c>
    </row>
    <row r="10911" spans="1:15" x14ac:dyDescent="0.25">
      <c r="A10911" t="s">
        <v>1044</v>
      </c>
      <c r="B10911" t="s">
        <v>2000</v>
      </c>
      <c r="C10911" t="s">
        <v>923</v>
      </c>
      <c r="D10911" t="s">
        <v>3063</v>
      </c>
      <c r="E10911" t="s">
        <v>3053</v>
      </c>
      <c r="F10911" t="s">
        <v>286</v>
      </c>
      <c r="G10911" t="s">
        <v>3040</v>
      </c>
      <c r="H10911" t="s">
        <v>13631</v>
      </c>
      <c r="I10911">
        <v>22</v>
      </c>
      <c r="J10911">
        <v>0</v>
      </c>
      <c r="K10911">
        <v>0</v>
      </c>
      <c r="L10911">
        <v>22</v>
      </c>
      <c r="M10911">
        <v>0</v>
      </c>
      <c r="N10911">
        <v>0</v>
      </c>
      <c r="O10911">
        <v>0</v>
      </c>
    </row>
    <row r="10912" spans="1:15" x14ac:dyDescent="0.25">
      <c r="A10912" t="s">
        <v>1046</v>
      </c>
      <c r="B10912" t="s">
        <v>2027</v>
      </c>
      <c r="C10912" t="s">
        <v>923</v>
      </c>
      <c r="D10912" t="s">
        <v>3063</v>
      </c>
      <c r="E10912" t="s">
        <v>3053</v>
      </c>
      <c r="F10912" t="s">
        <v>286</v>
      </c>
      <c r="G10912" t="s">
        <v>3040</v>
      </c>
      <c r="H10912" t="s">
        <v>13645</v>
      </c>
      <c r="I10912">
        <v>252</v>
      </c>
      <c r="J10912">
        <v>17</v>
      </c>
      <c r="K10912">
        <v>0</v>
      </c>
      <c r="L10912">
        <v>235</v>
      </c>
      <c r="M10912">
        <v>0</v>
      </c>
      <c r="N10912">
        <v>0</v>
      </c>
      <c r="O10912">
        <v>0</v>
      </c>
    </row>
    <row r="10913" spans="1:15" x14ac:dyDescent="0.25">
      <c r="A10913" t="s">
        <v>1522</v>
      </c>
      <c r="B10913" t="s">
        <v>2824</v>
      </c>
      <c r="C10913" t="s">
        <v>923</v>
      </c>
      <c r="D10913" t="s">
        <v>3063</v>
      </c>
      <c r="E10913" t="s">
        <v>3053</v>
      </c>
      <c r="F10913" t="s">
        <v>286</v>
      </c>
      <c r="G10913" t="s">
        <v>3040</v>
      </c>
      <c r="H10913" t="s">
        <v>13664</v>
      </c>
      <c r="I10913">
        <v>275</v>
      </c>
      <c r="J10913">
        <v>275</v>
      </c>
      <c r="K10913">
        <v>0</v>
      </c>
      <c r="L10913">
        <v>0</v>
      </c>
      <c r="M10913">
        <v>0</v>
      </c>
      <c r="N10913">
        <v>0</v>
      </c>
      <c r="O10913">
        <v>0</v>
      </c>
    </row>
    <row r="10914" spans="1:15" x14ac:dyDescent="0.25">
      <c r="A10914" t="s">
        <v>1523</v>
      </c>
      <c r="B10914" t="s">
        <v>2139</v>
      </c>
      <c r="C10914" t="s">
        <v>923</v>
      </c>
      <c r="D10914" t="s">
        <v>3063</v>
      </c>
      <c r="E10914" t="s">
        <v>3053</v>
      </c>
      <c r="F10914" t="s">
        <v>286</v>
      </c>
      <c r="G10914" t="s">
        <v>3040</v>
      </c>
      <c r="H10914" t="s">
        <v>13666</v>
      </c>
      <c r="I10914">
        <v>95</v>
      </c>
      <c r="J10914">
        <v>0</v>
      </c>
      <c r="K10914">
        <v>0</v>
      </c>
      <c r="L10914">
        <v>95</v>
      </c>
      <c r="M10914">
        <v>0</v>
      </c>
      <c r="N10914">
        <v>0</v>
      </c>
      <c r="O10914">
        <v>0</v>
      </c>
    </row>
    <row r="10915" spans="1:15" x14ac:dyDescent="0.25">
      <c r="A10915" t="s">
        <v>1323</v>
      </c>
      <c r="B10915" t="s">
        <v>2612</v>
      </c>
      <c r="C10915" t="s">
        <v>923</v>
      </c>
      <c r="D10915" t="s">
        <v>3063</v>
      </c>
      <c r="E10915" t="s">
        <v>3053</v>
      </c>
      <c r="F10915" t="s">
        <v>286</v>
      </c>
      <c r="G10915" t="s">
        <v>3040</v>
      </c>
      <c r="H10915" t="s">
        <v>13672</v>
      </c>
      <c r="I10915">
        <v>16</v>
      </c>
      <c r="J10915">
        <v>0</v>
      </c>
      <c r="K10915">
        <v>0</v>
      </c>
      <c r="L10915">
        <v>16</v>
      </c>
      <c r="M10915">
        <v>0</v>
      </c>
      <c r="N10915">
        <v>0</v>
      </c>
      <c r="O10915">
        <v>0</v>
      </c>
    </row>
    <row r="10916" spans="1:15" x14ac:dyDescent="0.25">
      <c r="A10916" t="s">
        <v>1524</v>
      </c>
      <c r="B10916" t="s">
        <v>2802</v>
      </c>
      <c r="C10916" t="s">
        <v>923</v>
      </c>
      <c r="D10916" t="s">
        <v>3063</v>
      </c>
      <c r="E10916" t="s">
        <v>3053</v>
      </c>
      <c r="F10916" t="s">
        <v>286</v>
      </c>
      <c r="G10916" t="s">
        <v>3040</v>
      </c>
      <c r="H10916" t="s">
        <v>13674</v>
      </c>
      <c r="I10916">
        <v>543</v>
      </c>
      <c r="J10916">
        <v>505</v>
      </c>
      <c r="K10916">
        <v>0</v>
      </c>
      <c r="L10916">
        <v>38</v>
      </c>
      <c r="M10916">
        <v>0</v>
      </c>
      <c r="N10916">
        <v>0</v>
      </c>
      <c r="O10916">
        <v>0</v>
      </c>
    </row>
    <row r="10917" spans="1:15" x14ac:dyDescent="0.25">
      <c r="A10917" t="s">
        <v>951</v>
      </c>
      <c r="B10917" t="s">
        <v>2680</v>
      </c>
      <c r="C10917" t="s">
        <v>927</v>
      </c>
      <c r="D10917" t="s">
        <v>3052</v>
      </c>
      <c r="E10917" t="s">
        <v>3053</v>
      </c>
      <c r="F10917" t="s">
        <v>286</v>
      </c>
      <c r="G10917" t="s">
        <v>3040</v>
      </c>
      <c r="H10917" t="s">
        <v>13687</v>
      </c>
      <c r="I10917">
        <v>11363</v>
      </c>
      <c r="J10917">
        <v>9553</v>
      </c>
      <c r="K10917">
        <v>1</v>
      </c>
      <c r="L10917">
        <v>102</v>
      </c>
      <c r="M10917">
        <v>1111</v>
      </c>
      <c r="N10917">
        <v>5</v>
      </c>
      <c r="O10917">
        <v>596</v>
      </c>
    </row>
    <row r="10918" spans="1:15" x14ac:dyDescent="0.25">
      <c r="A10918" t="s">
        <v>1048</v>
      </c>
      <c r="B10918" t="s">
        <v>2989</v>
      </c>
      <c r="C10918" t="s">
        <v>927</v>
      </c>
      <c r="D10918" t="s">
        <v>3052</v>
      </c>
      <c r="E10918" t="s">
        <v>3053</v>
      </c>
      <c r="F10918" t="s">
        <v>286</v>
      </c>
      <c r="G10918" t="s">
        <v>3040</v>
      </c>
      <c r="H10918" t="s">
        <v>13696</v>
      </c>
      <c r="I10918">
        <v>1148</v>
      </c>
      <c r="J10918">
        <v>68</v>
      </c>
      <c r="K10918">
        <v>0</v>
      </c>
      <c r="L10918">
        <v>840</v>
      </c>
      <c r="M10918">
        <v>237</v>
      </c>
      <c r="N10918">
        <v>0</v>
      </c>
      <c r="O10918">
        <v>3</v>
      </c>
    </row>
    <row r="10919" spans="1:15" x14ac:dyDescent="0.25">
      <c r="A10919" t="s">
        <v>1049</v>
      </c>
      <c r="B10919" t="s">
        <v>2138</v>
      </c>
      <c r="C10919" t="s">
        <v>927</v>
      </c>
      <c r="D10919" t="s">
        <v>3052</v>
      </c>
      <c r="E10919" t="s">
        <v>3053</v>
      </c>
      <c r="F10919" t="s">
        <v>286</v>
      </c>
      <c r="G10919" t="s">
        <v>3040</v>
      </c>
      <c r="H10919" t="s">
        <v>13704</v>
      </c>
      <c r="I10919">
        <v>11</v>
      </c>
      <c r="J10919">
        <v>0</v>
      </c>
      <c r="K10919">
        <v>0</v>
      </c>
      <c r="L10919">
        <v>0</v>
      </c>
      <c r="M10919">
        <v>0</v>
      </c>
      <c r="N10919">
        <v>0</v>
      </c>
      <c r="O10919">
        <v>11</v>
      </c>
    </row>
    <row r="10920" spans="1:15" x14ac:dyDescent="0.25">
      <c r="A10920" t="s">
        <v>1050</v>
      </c>
      <c r="B10920" t="s">
        <v>2018</v>
      </c>
      <c r="C10920" t="s">
        <v>923</v>
      </c>
      <c r="D10920" t="s">
        <v>3063</v>
      </c>
      <c r="E10920" t="s">
        <v>3053</v>
      </c>
      <c r="F10920" t="s">
        <v>286</v>
      </c>
      <c r="G10920" t="s">
        <v>3040</v>
      </c>
      <c r="H10920" t="s">
        <v>13709</v>
      </c>
      <c r="I10920">
        <v>123</v>
      </c>
      <c r="J10920">
        <v>99</v>
      </c>
      <c r="K10920">
        <v>0</v>
      </c>
      <c r="L10920">
        <v>24</v>
      </c>
      <c r="M10920">
        <v>0</v>
      </c>
      <c r="N10920">
        <v>0</v>
      </c>
      <c r="O10920">
        <v>0</v>
      </c>
    </row>
    <row r="10921" spans="1:15" x14ac:dyDescent="0.25">
      <c r="A10921" t="s">
        <v>1525</v>
      </c>
      <c r="B10921" t="s">
        <v>2908</v>
      </c>
      <c r="C10921" t="s">
        <v>927</v>
      </c>
      <c r="D10921" t="s">
        <v>3052</v>
      </c>
      <c r="E10921" t="s">
        <v>3053</v>
      </c>
      <c r="F10921" t="s">
        <v>286</v>
      </c>
      <c r="G10921" t="s">
        <v>3040</v>
      </c>
      <c r="H10921" t="s">
        <v>13712</v>
      </c>
      <c r="I10921">
        <v>13226</v>
      </c>
      <c r="J10921">
        <v>11769</v>
      </c>
      <c r="K10921">
        <v>0</v>
      </c>
      <c r="L10921">
        <v>290</v>
      </c>
      <c r="M10921">
        <v>376</v>
      </c>
      <c r="N10921">
        <v>0</v>
      </c>
      <c r="O10921">
        <v>791</v>
      </c>
    </row>
    <row r="10922" spans="1:15" x14ac:dyDescent="0.25">
      <c r="A10922" t="s">
        <v>11697</v>
      </c>
      <c r="B10922" t="s">
        <v>2775</v>
      </c>
      <c r="C10922" t="s">
        <v>923</v>
      </c>
      <c r="D10922" t="s">
        <v>3063</v>
      </c>
      <c r="E10922" t="s">
        <v>3053</v>
      </c>
      <c r="F10922" t="s">
        <v>286</v>
      </c>
      <c r="G10922" t="s">
        <v>3040</v>
      </c>
      <c r="H10922" t="s">
        <v>13723</v>
      </c>
      <c r="I10922">
        <v>188</v>
      </c>
      <c r="J10922">
        <v>188</v>
      </c>
      <c r="K10922">
        <v>0</v>
      </c>
      <c r="L10922">
        <v>0</v>
      </c>
      <c r="M10922">
        <v>0</v>
      </c>
      <c r="N10922">
        <v>0</v>
      </c>
      <c r="O10922">
        <v>0</v>
      </c>
    </row>
    <row r="10923" spans="1:15" x14ac:dyDescent="0.25">
      <c r="A10923" t="s">
        <v>10707</v>
      </c>
      <c r="B10923" t="s">
        <v>2714</v>
      </c>
      <c r="C10923" t="s">
        <v>927</v>
      </c>
      <c r="D10923" t="s">
        <v>3052</v>
      </c>
      <c r="E10923" t="s">
        <v>3053</v>
      </c>
      <c r="F10923" t="s">
        <v>286</v>
      </c>
      <c r="G10923" t="s">
        <v>3040</v>
      </c>
      <c r="H10923" t="s">
        <v>13724</v>
      </c>
      <c r="I10923">
        <v>2554</v>
      </c>
      <c r="J10923">
        <v>2280</v>
      </c>
      <c r="K10923">
        <v>0</v>
      </c>
      <c r="L10923">
        <v>49</v>
      </c>
      <c r="M10923">
        <v>206</v>
      </c>
      <c r="N10923">
        <v>0</v>
      </c>
      <c r="O10923">
        <v>19</v>
      </c>
    </row>
    <row r="10924" spans="1:15" x14ac:dyDescent="0.25">
      <c r="A10924" t="s">
        <v>1526</v>
      </c>
      <c r="B10924" t="s">
        <v>2425</v>
      </c>
      <c r="C10924" t="s">
        <v>923</v>
      </c>
      <c r="D10924" t="s">
        <v>3063</v>
      </c>
      <c r="E10924" t="s">
        <v>3053</v>
      </c>
      <c r="F10924" t="s">
        <v>286</v>
      </c>
      <c r="G10924" t="s">
        <v>3040</v>
      </c>
      <c r="H10924" t="s">
        <v>13725</v>
      </c>
      <c r="I10924">
        <v>19</v>
      </c>
      <c r="J10924">
        <v>19</v>
      </c>
      <c r="K10924">
        <v>0</v>
      </c>
      <c r="L10924">
        <v>0</v>
      </c>
      <c r="M10924">
        <v>0</v>
      </c>
      <c r="N10924">
        <v>0</v>
      </c>
      <c r="O10924">
        <v>0</v>
      </c>
    </row>
    <row r="10925" spans="1:15" x14ac:dyDescent="0.25">
      <c r="A10925" t="s">
        <v>9824</v>
      </c>
      <c r="B10925" t="s">
        <v>2371</v>
      </c>
      <c r="C10925" t="s">
        <v>923</v>
      </c>
      <c r="D10925" t="s">
        <v>3063</v>
      </c>
      <c r="E10925" t="s">
        <v>3053</v>
      </c>
      <c r="F10925" t="s">
        <v>286</v>
      </c>
      <c r="G10925" t="s">
        <v>3040</v>
      </c>
      <c r="H10925" t="s">
        <v>13726</v>
      </c>
      <c r="I10925">
        <v>99</v>
      </c>
      <c r="J10925">
        <v>99</v>
      </c>
      <c r="K10925">
        <v>0</v>
      </c>
      <c r="L10925">
        <v>0</v>
      </c>
      <c r="M10925">
        <v>0</v>
      </c>
      <c r="N10925">
        <v>0</v>
      </c>
      <c r="O10925">
        <v>0</v>
      </c>
    </row>
    <row r="10926" spans="1:15" x14ac:dyDescent="0.25">
      <c r="A10926" t="s">
        <v>1051</v>
      </c>
      <c r="B10926" t="s">
        <v>2995</v>
      </c>
      <c r="C10926" t="s">
        <v>927</v>
      </c>
      <c r="D10926" t="s">
        <v>3052</v>
      </c>
      <c r="E10926" t="s">
        <v>3053</v>
      </c>
      <c r="F10926" t="s">
        <v>286</v>
      </c>
      <c r="G10926" t="s">
        <v>3040</v>
      </c>
      <c r="H10926" t="s">
        <v>13731</v>
      </c>
      <c r="I10926">
        <v>7871</v>
      </c>
      <c r="J10926">
        <v>5190</v>
      </c>
      <c r="K10926">
        <v>3</v>
      </c>
      <c r="L10926">
        <v>1119</v>
      </c>
      <c r="M10926">
        <v>1209</v>
      </c>
      <c r="N10926">
        <v>14</v>
      </c>
      <c r="O10926">
        <v>350</v>
      </c>
    </row>
    <row r="10927" spans="1:15" x14ac:dyDescent="0.25">
      <c r="A10927" t="s">
        <v>1527</v>
      </c>
      <c r="B10927" t="s">
        <v>2055</v>
      </c>
      <c r="C10927" t="s">
        <v>923</v>
      </c>
      <c r="D10927" t="s">
        <v>3063</v>
      </c>
      <c r="E10927" t="s">
        <v>3053</v>
      </c>
      <c r="F10927" t="s">
        <v>286</v>
      </c>
      <c r="G10927" t="s">
        <v>3040</v>
      </c>
      <c r="H10927" t="s">
        <v>13736</v>
      </c>
      <c r="I10927">
        <v>35</v>
      </c>
      <c r="J10927">
        <v>0</v>
      </c>
      <c r="K10927">
        <v>0</v>
      </c>
      <c r="L10927">
        <v>35</v>
      </c>
      <c r="M10927">
        <v>0</v>
      </c>
      <c r="N10927">
        <v>0</v>
      </c>
      <c r="O10927">
        <v>0</v>
      </c>
    </row>
    <row r="10928" spans="1:15" x14ac:dyDescent="0.25">
      <c r="A10928" t="s">
        <v>1436</v>
      </c>
      <c r="B10928" t="s">
        <v>2209</v>
      </c>
      <c r="C10928" t="s">
        <v>927</v>
      </c>
      <c r="D10928" t="s">
        <v>3052</v>
      </c>
      <c r="E10928" t="s">
        <v>3053</v>
      </c>
      <c r="F10928" t="s">
        <v>286</v>
      </c>
      <c r="G10928" t="s">
        <v>3040</v>
      </c>
      <c r="H10928" t="s">
        <v>13744</v>
      </c>
      <c r="I10928">
        <v>2</v>
      </c>
      <c r="J10928">
        <v>0</v>
      </c>
      <c r="K10928">
        <v>0</v>
      </c>
      <c r="L10928">
        <v>0</v>
      </c>
      <c r="M10928">
        <v>2</v>
      </c>
      <c r="N10928">
        <v>2</v>
      </c>
      <c r="O10928">
        <v>0</v>
      </c>
    </row>
    <row r="10929" spans="1:15" x14ac:dyDescent="0.25">
      <c r="A10929" t="s">
        <v>10711</v>
      </c>
      <c r="B10929" t="s">
        <v>10710</v>
      </c>
      <c r="C10929" t="s">
        <v>923</v>
      </c>
      <c r="D10929" t="s">
        <v>3063</v>
      </c>
      <c r="E10929" t="s">
        <v>3053</v>
      </c>
      <c r="F10929" t="s">
        <v>286</v>
      </c>
      <c r="G10929" t="s">
        <v>3040</v>
      </c>
      <c r="H10929" t="s">
        <v>13752</v>
      </c>
      <c r="I10929">
        <v>7</v>
      </c>
      <c r="J10929">
        <v>7</v>
      </c>
      <c r="K10929">
        <v>0</v>
      </c>
      <c r="L10929">
        <v>0</v>
      </c>
      <c r="M10929">
        <v>0</v>
      </c>
      <c r="N10929">
        <v>0</v>
      </c>
      <c r="O10929">
        <v>0</v>
      </c>
    </row>
    <row r="10930" spans="1:15" x14ac:dyDescent="0.25">
      <c r="A10930" t="s">
        <v>1528</v>
      </c>
      <c r="B10930" t="s">
        <v>2698</v>
      </c>
      <c r="C10930" t="s">
        <v>923</v>
      </c>
      <c r="D10930" t="s">
        <v>3063</v>
      </c>
      <c r="E10930" t="s">
        <v>3053</v>
      </c>
      <c r="F10930" t="s">
        <v>286</v>
      </c>
      <c r="G10930" t="s">
        <v>3040</v>
      </c>
      <c r="H10930" t="s">
        <v>13756</v>
      </c>
      <c r="I10930">
        <v>189</v>
      </c>
      <c r="J10930">
        <v>125</v>
      </c>
      <c r="K10930">
        <v>0</v>
      </c>
      <c r="L10930">
        <v>64</v>
      </c>
      <c r="M10930">
        <v>0</v>
      </c>
      <c r="N10930">
        <v>0</v>
      </c>
      <c r="O10930">
        <v>0</v>
      </c>
    </row>
    <row r="10931" spans="1:15" x14ac:dyDescent="0.25">
      <c r="A10931" t="s">
        <v>1529</v>
      </c>
      <c r="B10931" t="s">
        <v>1954</v>
      </c>
      <c r="C10931" t="s">
        <v>927</v>
      </c>
      <c r="D10931" t="s">
        <v>3052</v>
      </c>
      <c r="E10931" t="s">
        <v>3053</v>
      </c>
      <c r="F10931" t="s">
        <v>286</v>
      </c>
      <c r="G10931" t="s">
        <v>3040</v>
      </c>
      <c r="H10931" t="s">
        <v>13759</v>
      </c>
      <c r="I10931">
        <v>11284</v>
      </c>
      <c r="J10931">
        <v>9014</v>
      </c>
      <c r="K10931">
        <v>0</v>
      </c>
      <c r="L10931">
        <v>741</v>
      </c>
      <c r="M10931">
        <v>1039</v>
      </c>
      <c r="N10931">
        <v>5</v>
      </c>
      <c r="O10931">
        <v>490</v>
      </c>
    </row>
    <row r="10932" spans="1:15" x14ac:dyDescent="0.25">
      <c r="A10932" t="s">
        <v>953</v>
      </c>
      <c r="B10932" t="s">
        <v>2014</v>
      </c>
      <c r="C10932" t="s">
        <v>927</v>
      </c>
      <c r="D10932" t="s">
        <v>3052</v>
      </c>
      <c r="E10932" t="s">
        <v>3053</v>
      </c>
      <c r="F10932" t="s">
        <v>286</v>
      </c>
      <c r="G10932" t="s">
        <v>3040</v>
      </c>
      <c r="H10932" t="s">
        <v>13765</v>
      </c>
      <c r="I10932">
        <v>171</v>
      </c>
      <c r="J10932">
        <v>0</v>
      </c>
      <c r="K10932">
        <v>0</v>
      </c>
      <c r="L10932">
        <v>171</v>
      </c>
      <c r="M10932">
        <v>0</v>
      </c>
      <c r="N10932">
        <v>0</v>
      </c>
      <c r="O10932">
        <v>0</v>
      </c>
    </row>
    <row r="10933" spans="1:15" x14ac:dyDescent="0.25">
      <c r="A10933" t="s">
        <v>1053</v>
      </c>
      <c r="B10933" t="s">
        <v>2860</v>
      </c>
      <c r="C10933" t="s">
        <v>923</v>
      </c>
      <c r="D10933" t="s">
        <v>3063</v>
      </c>
      <c r="E10933" t="s">
        <v>3053</v>
      </c>
      <c r="F10933" t="s">
        <v>286</v>
      </c>
      <c r="G10933" t="s">
        <v>3040</v>
      </c>
      <c r="H10933" t="s">
        <v>13773</v>
      </c>
      <c r="I10933">
        <v>97</v>
      </c>
      <c r="J10933">
        <v>0</v>
      </c>
      <c r="K10933">
        <v>0</v>
      </c>
      <c r="L10933">
        <v>0</v>
      </c>
      <c r="M10933">
        <v>97</v>
      </c>
      <c r="N10933">
        <v>0</v>
      </c>
      <c r="O10933">
        <v>0</v>
      </c>
    </row>
    <row r="10934" spans="1:15" x14ac:dyDescent="0.25">
      <c r="A10934" t="s">
        <v>1530</v>
      </c>
      <c r="B10934" t="s">
        <v>1934</v>
      </c>
      <c r="C10934" t="s">
        <v>927</v>
      </c>
      <c r="D10934" t="s">
        <v>3052</v>
      </c>
      <c r="E10934" t="s">
        <v>3053</v>
      </c>
      <c r="F10934" t="s">
        <v>286</v>
      </c>
      <c r="G10934" t="s">
        <v>3040</v>
      </c>
      <c r="H10934" t="s">
        <v>13781</v>
      </c>
      <c r="I10934">
        <v>12300</v>
      </c>
      <c r="J10934">
        <v>11389</v>
      </c>
      <c r="K10934">
        <v>0</v>
      </c>
      <c r="L10934">
        <v>0</v>
      </c>
      <c r="M10934">
        <v>911</v>
      </c>
      <c r="N10934">
        <v>131</v>
      </c>
      <c r="O10934">
        <v>0</v>
      </c>
    </row>
    <row r="10935" spans="1:15" x14ac:dyDescent="0.25">
      <c r="A10935" t="s">
        <v>1531</v>
      </c>
      <c r="B10935" t="s">
        <v>2486</v>
      </c>
      <c r="C10935" t="s">
        <v>923</v>
      </c>
      <c r="D10935" t="s">
        <v>3063</v>
      </c>
      <c r="E10935" t="s">
        <v>3053</v>
      </c>
      <c r="F10935" t="s">
        <v>286</v>
      </c>
      <c r="G10935" t="s">
        <v>3040</v>
      </c>
      <c r="H10935" t="s">
        <v>13792</v>
      </c>
      <c r="I10935">
        <v>37</v>
      </c>
      <c r="J10935">
        <v>37</v>
      </c>
      <c r="K10935">
        <v>0</v>
      </c>
      <c r="L10935">
        <v>0</v>
      </c>
      <c r="M10935">
        <v>0</v>
      </c>
      <c r="N10935">
        <v>0</v>
      </c>
      <c r="O10935">
        <v>0</v>
      </c>
    </row>
    <row r="10936" spans="1:15" x14ac:dyDescent="0.25">
      <c r="A10936" t="s">
        <v>11720</v>
      </c>
      <c r="B10936" t="s">
        <v>10718</v>
      </c>
      <c r="C10936" t="s">
        <v>927</v>
      </c>
      <c r="D10936" t="s">
        <v>3052</v>
      </c>
      <c r="E10936" t="s">
        <v>3053</v>
      </c>
      <c r="F10936" t="s">
        <v>286</v>
      </c>
      <c r="G10936" t="s">
        <v>3040</v>
      </c>
      <c r="H10936" t="s">
        <v>15562</v>
      </c>
      <c r="I10936">
        <v>220</v>
      </c>
      <c r="J10936">
        <v>88</v>
      </c>
      <c r="K10936">
        <v>0</v>
      </c>
      <c r="L10936">
        <v>0</v>
      </c>
      <c r="M10936">
        <v>0</v>
      </c>
      <c r="N10936">
        <v>0</v>
      </c>
      <c r="O10936">
        <v>132</v>
      </c>
    </row>
    <row r="10937" spans="1:15" x14ac:dyDescent="0.25">
      <c r="A10937" t="s">
        <v>9788</v>
      </c>
      <c r="B10937" t="s">
        <v>9871</v>
      </c>
      <c r="C10937" t="s">
        <v>927</v>
      </c>
      <c r="D10937" t="s">
        <v>3052</v>
      </c>
      <c r="E10937" t="s">
        <v>3053</v>
      </c>
      <c r="F10937" t="s">
        <v>286</v>
      </c>
      <c r="G10937" t="s">
        <v>3040</v>
      </c>
      <c r="H10937" t="s">
        <v>13799</v>
      </c>
      <c r="I10937">
        <v>445</v>
      </c>
      <c r="J10937">
        <v>445</v>
      </c>
      <c r="K10937">
        <v>0</v>
      </c>
      <c r="L10937">
        <v>0</v>
      </c>
      <c r="M10937">
        <v>0</v>
      </c>
      <c r="N10937">
        <v>0</v>
      </c>
      <c r="O10937">
        <v>0</v>
      </c>
    </row>
    <row r="10938" spans="1:15" x14ac:dyDescent="0.25">
      <c r="A10938" t="s">
        <v>1532</v>
      </c>
      <c r="B10938" t="s">
        <v>1936</v>
      </c>
      <c r="C10938" t="s">
        <v>927</v>
      </c>
      <c r="D10938" t="s">
        <v>3052</v>
      </c>
      <c r="E10938" t="s">
        <v>3053</v>
      </c>
      <c r="F10938" t="s">
        <v>286</v>
      </c>
      <c r="G10938" t="s">
        <v>3040</v>
      </c>
      <c r="H10938" t="s">
        <v>13805</v>
      </c>
      <c r="I10938">
        <v>7964</v>
      </c>
      <c r="J10938">
        <v>7651</v>
      </c>
      <c r="K10938">
        <v>14</v>
      </c>
      <c r="L10938">
        <v>0</v>
      </c>
      <c r="M10938">
        <v>299</v>
      </c>
      <c r="N10938">
        <v>12</v>
      </c>
      <c r="O10938">
        <v>0</v>
      </c>
    </row>
    <row r="10939" spans="1:15" x14ac:dyDescent="0.25">
      <c r="A10939" t="s">
        <v>1056</v>
      </c>
      <c r="B10939" t="s">
        <v>2966</v>
      </c>
      <c r="C10939" t="s">
        <v>927</v>
      </c>
      <c r="D10939" t="s">
        <v>3052</v>
      </c>
      <c r="E10939" t="s">
        <v>3053</v>
      </c>
      <c r="F10939" t="s">
        <v>286</v>
      </c>
      <c r="G10939" t="s">
        <v>3040</v>
      </c>
      <c r="H10939" t="s">
        <v>13810</v>
      </c>
      <c r="I10939">
        <v>828</v>
      </c>
      <c r="J10939">
        <v>300</v>
      </c>
      <c r="K10939">
        <v>0</v>
      </c>
      <c r="L10939">
        <v>422</v>
      </c>
      <c r="M10939">
        <v>106</v>
      </c>
      <c r="N10939">
        <v>0</v>
      </c>
      <c r="O10939">
        <v>0</v>
      </c>
    </row>
    <row r="10940" spans="1:15" x14ac:dyDescent="0.25">
      <c r="A10940" t="s">
        <v>1057</v>
      </c>
      <c r="B10940" t="s">
        <v>1972</v>
      </c>
      <c r="C10940" t="s">
        <v>927</v>
      </c>
      <c r="D10940" t="s">
        <v>3052</v>
      </c>
      <c r="E10940" t="s">
        <v>3053</v>
      </c>
      <c r="F10940" t="s">
        <v>286</v>
      </c>
      <c r="G10940" t="s">
        <v>3040</v>
      </c>
      <c r="H10940" t="s">
        <v>13820</v>
      </c>
      <c r="I10940">
        <v>329</v>
      </c>
      <c r="J10940">
        <v>194</v>
      </c>
      <c r="K10940">
        <v>0</v>
      </c>
      <c r="L10940">
        <v>58</v>
      </c>
      <c r="M10940">
        <v>20</v>
      </c>
      <c r="N10940">
        <v>0</v>
      </c>
      <c r="O10940">
        <v>57</v>
      </c>
    </row>
    <row r="10941" spans="1:15" x14ac:dyDescent="0.25">
      <c r="A10941" t="s">
        <v>955</v>
      </c>
      <c r="B10941" t="s">
        <v>2660</v>
      </c>
      <c r="C10941" t="s">
        <v>927</v>
      </c>
      <c r="D10941" t="s">
        <v>3052</v>
      </c>
      <c r="E10941" t="s">
        <v>3053</v>
      </c>
      <c r="F10941" t="s">
        <v>286</v>
      </c>
      <c r="G10941" t="s">
        <v>3040</v>
      </c>
      <c r="H10941" t="s">
        <v>13829</v>
      </c>
      <c r="I10941">
        <v>9657</v>
      </c>
      <c r="J10941">
        <v>6854</v>
      </c>
      <c r="K10941">
        <v>0</v>
      </c>
      <c r="L10941">
        <v>475</v>
      </c>
      <c r="M10941">
        <v>2100</v>
      </c>
      <c r="N10941">
        <v>17</v>
      </c>
      <c r="O10941">
        <v>228</v>
      </c>
    </row>
    <row r="10942" spans="1:15" x14ac:dyDescent="0.25">
      <c r="A10942" t="s">
        <v>14394</v>
      </c>
      <c r="B10942" t="s">
        <v>14585</v>
      </c>
      <c r="C10942" t="s">
        <v>923</v>
      </c>
      <c r="D10942" t="s">
        <v>3063</v>
      </c>
      <c r="E10942" t="s">
        <v>3053</v>
      </c>
      <c r="F10942" t="s">
        <v>286</v>
      </c>
      <c r="G10942" t="s">
        <v>3040</v>
      </c>
      <c r="H10942" t="s">
        <v>15563</v>
      </c>
      <c r="I10942">
        <v>29</v>
      </c>
      <c r="J10942">
        <v>0</v>
      </c>
      <c r="K10942">
        <v>0</v>
      </c>
      <c r="L10942">
        <v>0</v>
      </c>
      <c r="M10942">
        <v>29</v>
      </c>
      <c r="N10942">
        <v>0</v>
      </c>
      <c r="O10942">
        <v>0</v>
      </c>
    </row>
    <row r="10943" spans="1:15" x14ac:dyDescent="0.25">
      <c r="A10943" t="s">
        <v>11698</v>
      </c>
      <c r="B10943" t="s">
        <v>11765</v>
      </c>
      <c r="C10943" t="s">
        <v>923</v>
      </c>
      <c r="D10943" t="s">
        <v>3063</v>
      </c>
      <c r="E10943" t="s">
        <v>3053</v>
      </c>
      <c r="F10943" t="s">
        <v>286</v>
      </c>
      <c r="G10943" t="s">
        <v>3040</v>
      </c>
      <c r="H10943" t="s">
        <v>13840</v>
      </c>
      <c r="I10943">
        <v>69</v>
      </c>
      <c r="J10943">
        <v>13</v>
      </c>
      <c r="K10943">
        <v>6</v>
      </c>
      <c r="L10943">
        <v>50</v>
      </c>
      <c r="M10943">
        <v>0</v>
      </c>
      <c r="N10943">
        <v>0</v>
      </c>
      <c r="O10943">
        <v>0</v>
      </c>
    </row>
    <row r="10944" spans="1:15" x14ac:dyDescent="0.25">
      <c r="A10944" t="s">
        <v>1533</v>
      </c>
      <c r="B10944" t="s">
        <v>2456</v>
      </c>
      <c r="C10944" t="s">
        <v>923</v>
      </c>
      <c r="D10944" t="s">
        <v>3063</v>
      </c>
      <c r="E10944" t="s">
        <v>3053</v>
      </c>
      <c r="F10944" t="s">
        <v>286</v>
      </c>
      <c r="G10944" t="s">
        <v>3040</v>
      </c>
      <c r="H10944" t="s">
        <v>13843</v>
      </c>
      <c r="I10944">
        <v>28</v>
      </c>
      <c r="J10944">
        <v>28</v>
      </c>
      <c r="K10944">
        <v>0</v>
      </c>
      <c r="L10944">
        <v>0</v>
      </c>
      <c r="M10944">
        <v>0</v>
      </c>
      <c r="N10944">
        <v>0</v>
      </c>
      <c r="O10944">
        <v>0</v>
      </c>
    </row>
    <row r="10945" spans="1:15" x14ac:dyDescent="0.25">
      <c r="A10945" t="s">
        <v>1534</v>
      </c>
      <c r="B10945" t="s">
        <v>2452</v>
      </c>
      <c r="C10945" t="s">
        <v>923</v>
      </c>
      <c r="D10945" t="s">
        <v>3063</v>
      </c>
      <c r="E10945" t="s">
        <v>3053</v>
      </c>
      <c r="F10945" t="s">
        <v>286</v>
      </c>
      <c r="G10945" t="s">
        <v>3040</v>
      </c>
      <c r="H10945" t="s">
        <v>13861</v>
      </c>
      <c r="I10945">
        <v>46</v>
      </c>
      <c r="J10945">
        <v>46</v>
      </c>
      <c r="K10945">
        <v>0</v>
      </c>
      <c r="L10945">
        <v>0</v>
      </c>
      <c r="M10945">
        <v>0</v>
      </c>
      <c r="N10945">
        <v>0</v>
      </c>
      <c r="O10945">
        <v>0</v>
      </c>
    </row>
    <row r="10946" spans="1:15" x14ac:dyDescent="0.25">
      <c r="A10946" t="s">
        <v>1535</v>
      </c>
      <c r="B10946" t="s">
        <v>1937</v>
      </c>
      <c r="C10946" t="s">
        <v>923</v>
      </c>
      <c r="D10946" t="s">
        <v>3063</v>
      </c>
      <c r="E10946" t="s">
        <v>3053</v>
      </c>
      <c r="F10946" t="s">
        <v>286</v>
      </c>
      <c r="G10946" t="s">
        <v>3040</v>
      </c>
      <c r="H10946" t="s">
        <v>13875</v>
      </c>
      <c r="I10946">
        <v>149</v>
      </c>
      <c r="J10946">
        <v>109</v>
      </c>
      <c r="K10946">
        <v>0</v>
      </c>
      <c r="L10946">
        <v>0</v>
      </c>
      <c r="M10946">
        <v>40</v>
      </c>
      <c r="N10946">
        <v>0</v>
      </c>
      <c r="O10946">
        <v>0</v>
      </c>
    </row>
    <row r="10947" spans="1:15" x14ac:dyDescent="0.25">
      <c r="A10947" t="s">
        <v>1536</v>
      </c>
      <c r="B10947" t="s">
        <v>2774</v>
      </c>
      <c r="C10947" t="s">
        <v>923</v>
      </c>
      <c r="D10947" t="s">
        <v>3063</v>
      </c>
      <c r="E10947" t="s">
        <v>3053</v>
      </c>
      <c r="F10947" t="s">
        <v>286</v>
      </c>
      <c r="G10947" t="s">
        <v>3040</v>
      </c>
      <c r="H10947" t="s">
        <v>13885</v>
      </c>
      <c r="I10947">
        <v>115</v>
      </c>
      <c r="J10947">
        <v>115</v>
      </c>
      <c r="K10947">
        <v>0</v>
      </c>
      <c r="L10947">
        <v>0</v>
      </c>
      <c r="M10947">
        <v>0</v>
      </c>
      <c r="N10947">
        <v>0</v>
      </c>
      <c r="O10947">
        <v>0</v>
      </c>
    </row>
    <row r="10948" spans="1:15" x14ac:dyDescent="0.25">
      <c r="A10948" t="s">
        <v>1537</v>
      </c>
      <c r="B10948" t="s">
        <v>1973</v>
      </c>
      <c r="C10948" t="s">
        <v>927</v>
      </c>
      <c r="D10948" t="s">
        <v>3052</v>
      </c>
      <c r="E10948" t="s">
        <v>3053</v>
      </c>
      <c r="F10948" t="s">
        <v>286</v>
      </c>
      <c r="G10948" t="s">
        <v>3040</v>
      </c>
      <c r="H10948" t="s">
        <v>13887</v>
      </c>
      <c r="I10948">
        <v>3383</v>
      </c>
      <c r="J10948">
        <v>2836</v>
      </c>
      <c r="K10948">
        <v>0</v>
      </c>
      <c r="L10948">
        <v>0</v>
      </c>
      <c r="M10948">
        <v>420</v>
      </c>
      <c r="N10948">
        <v>0</v>
      </c>
      <c r="O10948">
        <v>127</v>
      </c>
    </row>
    <row r="10949" spans="1:15" x14ac:dyDescent="0.25">
      <c r="A10949" t="s">
        <v>1538</v>
      </c>
      <c r="B10949" t="s">
        <v>2843</v>
      </c>
      <c r="C10949" t="s">
        <v>927</v>
      </c>
      <c r="D10949" t="s">
        <v>3052</v>
      </c>
      <c r="E10949" t="s">
        <v>3053</v>
      </c>
      <c r="F10949" t="s">
        <v>286</v>
      </c>
      <c r="G10949" t="s">
        <v>3040</v>
      </c>
      <c r="H10949" t="s">
        <v>13888</v>
      </c>
      <c r="I10949">
        <v>3822</v>
      </c>
      <c r="J10949">
        <v>3660</v>
      </c>
      <c r="K10949">
        <v>0</v>
      </c>
      <c r="L10949">
        <v>3</v>
      </c>
      <c r="M10949">
        <v>118</v>
      </c>
      <c r="N10949">
        <v>1</v>
      </c>
      <c r="O10949">
        <v>41</v>
      </c>
    </row>
    <row r="10950" spans="1:15" x14ac:dyDescent="0.25">
      <c r="A10950" t="s">
        <v>1539</v>
      </c>
      <c r="B10950" t="s">
        <v>2468</v>
      </c>
      <c r="C10950" t="s">
        <v>923</v>
      </c>
      <c r="D10950" t="s">
        <v>3063</v>
      </c>
      <c r="E10950" t="s">
        <v>3053</v>
      </c>
      <c r="F10950" t="s">
        <v>286</v>
      </c>
      <c r="G10950" t="s">
        <v>3040</v>
      </c>
      <c r="H10950" t="s">
        <v>13892</v>
      </c>
      <c r="I10950">
        <v>23</v>
      </c>
      <c r="J10950">
        <v>23</v>
      </c>
      <c r="K10950">
        <v>0</v>
      </c>
      <c r="L10950">
        <v>0</v>
      </c>
      <c r="M10950">
        <v>0</v>
      </c>
      <c r="N10950">
        <v>0</v>
      </c>
      <c r="O10950">
        <v>0</v>
      </c>
    </row>
    <row r="10951" spans="1:15" x14ac:dyDescent="0.25">
      <c r="A10951" t="s">
        <v>1540</v>
      </c>
      <c r="B10951" t="s">
        <v>2441</v>
      </c>
      <c r="C10951" t="s">
        <v>923</v>
      </c>
      <c r="D10951" t="s">
        <v>3063</v>
      </c>
      <c r="E10951" t="s">
        <v>3053</v>
      </c>
      <c r="F10951" t="s">
        <v>286</v>
      </c>
      <c r="G10951" t="s">
        <v>3040</v>
      </c>
      <c r="H10951" t="s">
        <v>13895</v>
      </c>
      <c r="I10951">
        <v>40</v>
      </c>
      <c r="J10951">
        <v>40</v>
      </c>
      <c r="K10951">
        <v>0</v>
      </c>
      <c r="L10951">
        <v>0</v>
      </c>
      <c r="M10951">
        <v>0</v>
      </c>
      <c r="N10951">
        <v>0</v>
      </c>
      <c r="O10951">
        <v>0</v>
      </c>
    </row>
    <row r="10952" spans="1:15" x14ac:dyDescent="0.25">
      <c r="A10952" t="s">
        <v>1541</v>
      </c>
      <c r="B10952" t="s">
        <v>2890</v>
      </c>
      <c r="C10952" t="s">
        <v>927</v>
      </c>
      <c r="D10952" t="s">
        <v>3052</v>
      </c>
      <c r="E10952" t="s">
        <v>3053</v>
      </c>
      <c r="F10952" t="s">
        <v>286</v>
      </c>
      <c r="G10952" t="s">
        <v>3040</v>
      </c>
      <c r="H10952" t="s">
        <v>13907</v>
      </c>
      <c r="I10952">
        <v>6247</v>
      </c>
      <c r="J10952">
        <v>5745</v>
      </c>
      <c r="K10952">
        <v>0</v>
      </c>
      <c r="L10952">
        <v>0</v>
      </c>
      <c r="M10952">
        <v>219</v>
      </c>
      <c r="N10952">
        <v>4</v>
      </c>
      <c r="O10952">
        <v>283</v>
      </c>
    </row>
    <row r="10953" spans="1:15" x14ac:dyDescent="0.25">
      <c r="A10953" t="s">
        <v>14374</v>
      </c>
      <c r="B10953" t="s">
        <v>1943</v>
      </c>
      <c r="C10953" t="s">
        <v>927</v>
      </c>
      <c r="D10953" t="s">
        <v>3052</v>
      </c>
      <c r="E10953" t="s">
        <v>3053</v>
      </c>
      <c r="F10953" t="s">
        <v>286</v>
      </c>
      <c r="G10953" t="s">
        <v>3040</v>
      </c>
      <c r="H10953" t="s">
        <v>15564</v>
      </c>
      <c r="I10953">
        <v>367</v>
      </c>
      <c r="J10953">
        <v>0</v>
      </c>
      <c r="K10953">
        <v>0</v>
      </c>
      <c r="L10953">
        <v>0</v>
      </c>
      <c r="M10953">
        <v>0</v>
      </c>
      <c r="N10953">
        <v>0</v>
      </c>
      <c r="O10953">
        <v>367</v>
      </c>
    </row>
    <row r="10954" spans="1:15" x14ac:dyDescent="0.25">
      <c r="A10954" t="s">
        <v>1542</v>
      </c>
      <c r="B10954" t="s">
        <v>3036</v>
      </c>
      <c r="C10954" t="s">
        <v>923</v>
      </c>
      <c r="D10954" t="s">
        <v>3063</v>
      </c>
      <c r="E10954" t="s">
        <v>3053</v>
      </c>
      <c r="F10954" t="s">
        <v>286</v>
      </c>
      <c r="G10954" t="s">
        <v>3040</v>
      </c>
      <c r="H10954" t="s">
        <v>13914</v>
      </c>
      <c r="I10954">
        <v>30</v>
      </c>
      <c r="J10954">
        <v>30</v>
      </c>
      <c r="K10954">
        <v>0</v>
      </c>
      <c r="L10954">
        <v>0</v>
      </c>
      <c r="M10954">
        <v>0</v>
      </c>
      <c r="N10954">
        <v>0</v>
      </c>
      <c r="O10954">
        <v>0</v>
      </c>
    </row>
    <row r="10955" spans="1:15" x14ac:dyDescent="0.25">
      <c r="A10955" t="s">
        <v>1543</v>
      </c>
      <c r="B10955" t="s">
        <v>2487</v>
      </c>
      <c r="C10955" t="s">
        <v>923</v>
      </c>
      <c r="D10955" t="s">
        <v>3063</v>
      </c>
      <c r="E10955" t="s">
        <v>3053</v>
      </c>
      <c r="F10955" t="s">
        <v>286</v>
      </c>
      <c r="G10955" t="s">
        <v>3040</v>
      </c>
      <c r="H10955" t="s">
        <v>13915</v>
      </c>
      <c r="I10955">
        <v>24</v>
      </c>
      <c r="J10955">
        <v>24</v>
      </c>
      <c r="K10955">
        <v>0</v>
      </c>
      <c r="L10955">
        <v>0</v>
      </c>
      <c r="M10955">
        <v>0</v>
      </c>
      <c r="N10955">
        <v>0</v>
      </c>
      <c r="O10955">
        <v>0</v>
      </c>
    </row>
    <row r="10956" spans="1:15" x14ac:dyDescent="0.25">
      <c r="A10956" t="s">
        <v>10734</v>
      </c>
      <c r="B10956" t="s">
        <v>2317</v>
      </c>
      <c r="C10956" t="s">
        <v>923</v>
      </c>
      <c r="D10956" t="s">
        <v>3063</v>
      </c>
      <c r="E10956" t="s">
        <v>3053</v>
      </c>
      <c r="F10956" t="s">
        <v>286</v>
      </c>
      <c r="G10956" t="s">
        <v>3040</v>
      </c>
      <c r="H10956" t="s">
        <v>13934</v>
      </c>
      <c r="I10956">
        <v>12</v>
      </c>
      <c r="J10956">
        <v>0</v>
      </c>
      <c r="K10956">
        <v>0</v>
      </c>
      <c r="L10956">
        <v>0</v>
      </c>
      <c r="M10956">
        <v>12</v>
      </c>
      <c r="N10956">
        <v>0</v>
      </c>
      <c r="O10956">
        <v>0</v>
      </c>
    </row>
    <row r="10957" spans="1:15" x14ac:dyDescent="0.25">
      <c r="A10957" t="s">
        <v>1544</v>
      </c>
      <c r="B10957" t="s">
        <v>2804</v>
      </c>
      <c r="C10957" t="s">
        <v>923</v>
      </c>
      <c r="D10957" t="s">
        <v>3063</v>
      </c>
      <c r="E10957" t="s">
        <v>3053</v>
      </c>
      <c r="F10957" t="s">
        <v>286</v>
      </c>
      <c r="G10957" t="s">
        <v>3040</v>
      </c>
      <c r="H10957" t="s">
        <v>13936</v>
      </c>
      <c r="I10957">
        <v>277</v>
      </c>
      <c r="J10957">
        <v>195</v>
      </c>
      <c r="K10957">
        <v>0</v>
      </c>
      <c r="L10957">
        <v>82</v>
      </c>
      <c r="M10957">
        <v>0</v>
      </c>
      <c r="N10957">
        <v>0</v>
      </c>
      <c r="O10957">
        <v>0</v>
      </c>
    </row>
    <row r="10958" spans="1:15" x14ac:dyDescent="0.25">
      <c r="A10958" t="s">
        <v>1545</v>
      </c>
      <c r="B10958" t="s">
        <v>1938</v>
      </c>
      <c r="C10958" t="s">
        <v>923</v>
      </c>
      <c r="D10958" t="s">
        <v>3063</v>
      </c>
      <c r="E10958" t="s">
        <v>3053</v>
      </c>
      <c r="F10958" t="s">
        <v>286</v>
      </c>
      <c r="G10958" t="s">
        <v>3040</v>
      </c>
      <c r="H10958" t="s">
        <v>13938</v>
      </c>
      <c r="I10958">
        <v>529</v>
      </c>
      <c r="J10958">
        <v>511</v>
      </c>
      <c r="K10958">
        <v>0</v>
      </c>
      <c r="L10958">
        <v>18</v>
      </c>
      <c r="M10958">
        <v>0</v>
      </c>
      <c r="N10958">
        <v>0</v>
      </c>
      <c r="O10958">
        <v>0</v>
      </c>
    </row>
    <row r="10959" spans="1:15" x14ac:dyDescent="0.25">
      <c r="A10959" t="s">
        <v>10810</v>
      </c>
      <c r="B10959" t="s">
        <v>2015</v>
      </c>
      <c r="C10959" t="s">
        <v>923</v>
      </c>
      <c r="D10959" t="s">
        <v>3063</v>
      </c>
      <c r="E10959" t="s">
        <v>3053</v>
      </c>
      <c r="F10959" t="s">
        <v>286</v>
      </c>
      <c r="G10959" t="s">
        <v>3040</v>
      </c>
      <c r="H10959" t="s">
        <v>13957</v>
      </c>
      <c r="I10959">
        <v>50</v>
      </c>
      <c r="J10959">
        <v>0</v>
      </c>
      <c r="K10959">
        <v>0</v>
      </c>
      <c r="L10959">
        <v>50</v>
      </c>
      <c r="M10959">
        <v>0</v>
      </c>
      <c r="N10959">
        <v>0</v>
      </c>
      <c r="O10959">
        <v>0</v>
      </c>
    </row>
    <row r="10960" spans="1:15" x14ac:dyDescent="0.25">
      <c r="A10960" t="s">
        <v>1159</v>
      </c>
      <c r="B10960" t="s">
        <v>2829</v>
      </c>
      <c r="C10960" t="s">
        <v>927</v>
      </c>
      <c r="D10960" t="s">
        <v>3052</v>
      </c>
      <c r="E10960" t="s">
        <v>3053</v>
      </c>
      <c r="F10960" t="s">
        <v>286</v>
      </c>
      <c r="G10960" t="s">
        <v>3040</v>
      </c>
      <c r="H10960" t="s">
        <v>13967</v>
      </c>
      <c r="I10960">
        <v>1</v>
      </c>
      <c r="J10960">
        <v>0</v>
      </c>
      <c r="K10960">
        <v>0</v>
      </c>
      <c r="L10960">
        <v>0</v>
      </c>
      <c r="M10960">
        <v>0</v>
      </c>
      <c r="N10960">
        <v>0</v>
      </c>
      <c r="O10960">
        <v>1</v>
      </c>
    </row>
    <row r="10961" spans="1:15" x14ac:dyDescent="0.25">
      <c r="A10961" t="s">
        <v>1546</v>
      </c>
      <c r="B10961" t="s">
        <v>2545</v>
      </c>
      <c r="C10961" t="s">
        <v>923</v>
      </c>
      <c r="D10961" t="s">
        <v>3063</v>
      </c>
      <c r="E10961" t="s">
        <v>3053</v>
      </c>
      <c r="F10961" t="s">
        <v>286</v>
      </c>
      <c r="G10961" t="s">
        <v>3040</v>
      </c>
      <c r="H10961" t="s">
        <v>14002</v>
      </c>
      <c r="I10961">
        <v>12</v>
      </c>
      <c r="J10961">
        <v>0</v>
      </c>
      <c r="K10961">
        <v>0</v>
      </c>
      <c r="L10961">
        <v>12</v>
      </c>
      <c r="M10961">
        <v>0</v>
      </c>
      <c r="N10961">
        <v>0</v>
      </c>
      <c r="O10961">
        <v>0</v>
      </c>
    </row>
    <row r="10962" spans="1:15" x14ac:dyDescent="0.25">
      <c r="A10962" t="s">
        <v>1547</v>
      </c>
      <c r="B10962" t="s">
        <v>2582</v>
      </c>
      <c r="C10962" t="s">
        <v>923</v>
      </c>
      <c r="D10962" t="s">
        <v>3063</v>
      </c>
      <c r="E10962" t="s">
        <v>3053</v>
      </c>
      <c r="F10962" t="s">
        <v>286</v>
      </c>
      <c r="G10962" t="s">
        <v>3040</v>
      </c>
      <c r="H10962" t="s">
        <v>14009</v>
      </c>
      <c r="I10962">
        <v>33</v>
      </c>
      <c r="J10962">
        <v>0</v>
      </c>
      <c r="K10962">
        <v>0</v>
      </c>
      <c r="L10962">
        <v>0</v>
      </c>
      <c r="M10962">
        <v>33</v>
      </c>
      <c r="N10962">
        <v>0</v>
      </c>
      <c r="O10962">
        <v>0</v>
      </c>
    </row>
    <row r="10963" spans="1:15" x14ac:dyDescent="0.25">
      <c r="A10963" t="s">
        <v>9825</v>
      </c>
      <c r="B10963" t="s">
        <v>2529</v>
      </c>
      <c r="C10963" t="s">
        <v>923</v>
      </c>
      <c r="D10963" t="s">
        <v>3063</v>
      </c>
      <c r="E10963" t="s">
        <v>3053</v>
      </c>
      <c r="F10963" t="s">
        <v>286</v>
      </c>
      <c r="G10963" t="s">
        <v>3040</v>
      </c>
      <c r="H10963" t="s">
        <v>14014</v>
      </c>
      <c r="I10963">
        <v>12</v>
      </c>
      <c r="J10963">
        <v>0</v>
      </c>
      <c r="K10963">
        <v>0</v>
      </c>
      <c r="L10963">
        <v>0</v>
      </c>
      <c r="M10963">
        <v>12</v>
      </c>
      <c r="N10963">
        <v>0</v>
      </c>
      <c r="O10963">
        <v>0</v>
      </c>
    </row>
    <row r="10964" spans="1:15" x14ac:dyDescent="0.25">
      <c r="A10964" t="s">
        <v>1548</v>
      </c>
      <c r="B10964" t="s">
        <v>2611</v>
      </c>
      <c r="C10964" t="s">
        <v>923</v>
      </c>
      <c r="D10964" t="s">
        <v>3063</v>
      </c>
      <c r="E10964" t="s">
        <v>3053</v>
      </c>
      <c r="F10964" t="s">
        <v>286</v>
      </c>
      <c r="G10964" t="s">
        <v>3040</v>
      </c>
      <c r="H10964" t="s">
        <v>14018</v>
      </c>
      <c r="I10964">
        <v>10</v>
      </c>
      <c r="J10964">
        <v>0</v>
      </c>
      <c r="K10964">
        <v>0</v>
      </c>
      <c r="L10964">
        <v>0</v>
      </c>
      <c r="M10964">
        <v>10</v>
      </c>
      <c r="N10964">
        <v>0</v>
      </c>
      <c r="O10964">
        <v>0</v>
      </c>
    </row>
    <row r="10965" spans="1:15" x14ac:dyDescent="0.25">
      <c r="A10965" t="s">
        <v>10747</v>
      </c>
      <c r="B10965" t="s">
        <v>10746</v>
      </c>
      <c r="C10965" t="s">
        <v>923</v>
      </c>
      <c r="D10965" t="s">
        <v>3063</v>
      </c>
      <c r="E10965" t="s">
        <v>3053</v>
      </c>
      <c r="F10965" t="s">
        <v>286</v>
      </c>
      <c r="G10965" t="s">
        <v>3040</v>
      </c>
      <c r="H10965" t="s">
        <v>15565</v>
      </c>
      <c r="I10965">
        <v>10</v>
      </c>
      <c r="J10965">
        <v>0</v>
      </c>
      <c r="K10965">
        <v>0</v>
      </c>
      <c r="L10965">
        <v>0</v>
      </c>
      <c r="M10965">
        <v>10</v>
      </c>
      <c r="N10965">
        <v>0</v>
      </c>
      <c r="O10965">
        <v>0</v>
      </c>
    </row>
    <row r="10966" spans="1:15" x14ac:dyDescent="0.25">
      <c r="A10966" t="s">
        <v>1066</v>
      </c>
      <c r="B10966" t="s">
        <v>2557</v>
      </c>
      <c r="C10966" t="s">
        <v>927</v>
      </c>
      <c r="D10966" t="s">
        <v>3052</v>
      </c>
      <c r="E10966" t="s">
        <v>3053</v>
      </c>
      <c r="F10966" t="s">
        <v>286</v>
      </c>
      <c r="G10966" t="s">
        <v>3040</v>
      </c>
      <c r="H10966" t="s">
        <v>14032</v>
      </c>
      <c r="I10966">
        <v>189</v>
      </c>
      <c r="J10966">
        <v>0</v>
      </c>
      <c r="K10966">
        <v>0</v>
      </c>
      <c r="L10966">
        <v>0</v>
      </c>
      <c r="M10966">
        <v>189</v>
      </c>
      <c r="N10966">
        <v>0</v>
      </c>
      <c r="O10966">
        <v>0</v>
      </c>
    </row>
    <row r="10967" spans="1:15" x14ac:dyDescent="0.25">
      <c r="A10967" t="s">
        <v>1549</v>
      </c>
      <c r="B10967" t="s">
        <v>2541</v>
      </c>
      <c r="C10967" t="s">
        <v>923</v>
      </c>
      <c r="D10967" t="s">
        <v>3063</v>
      </c>
      <c r="E10967" t="s">
        <v>3053</v>
      </c>
      <c r="F10967" t="s">
        <v>286</v>
      </c>
      <c r="G10967" t="s">
        <v>3040</v>
      </c>
      <c r="H10967" t="s">
        <v>14043</v>
      </c>
      <c r="I10967">
        <v>20</v>
      </c>
      <c r="J10967">
        <v>0</v>
      </c>
      <c r="K10967">
        <v>0</v>
      </c>
      <c r="L10967">
        <v>20</v>
      </c>
      <c r="M10967">
        <v>0</v>
      </c>
      <c r="N10967">
        <v>0</v>
      </c>
      <c r="O10967">
        <v>0</v>
      </c>
    </row>
    <row r="10968" spans="1:15" x14ac:dyDescent="0.25">
      <c r="A10968" t="s">
        <v>1550</v>
      </c>
      <c r="B10968" t="s">
        <v>2026</v>
      </c>
      <c r="C10968" t="s">
        <v>923</v>
      </c>
      <c r="D10968" t="s">
        <v>3063</v>
      </c>
      <c r="E10968" t="s">
        <v>3053</v>
      </c>
      <c r="F10968" t="s">
        <v>286</v>
      </c>
      <c r="G10968" t="s">
        <v>3040</v>
      </c>
      <c r="H10968" t="s">
        <v>14066</v>
      </c>
      <c r="I10968">
        <v>50</v>
      </c>
      <c r="J10968">
        <v>50</v>
      </c>
      <c r="K10968">
        <v>0</v>
      </c>
      <c r="L10968">
        <v>0</v>
      </c>
      <c r="M10968">
        <v>0</v>
      </c>
      <c r="N10968">
        <v>0</v>
      </c>
      <c r="O10968">
        <v>0</v>
      </c>
    </row>
    <row r="10969" spans="1:15" x14ac:dyDescent="0.25">
      <c r="A10969" t="s">
        <v>1068</v>
      </c>
      <c r="B10969" t="s">
        <v>2081</v>
      </c>
      <c r="C10969" t="s">
        <v>923</v>
      </c>
      <c r="D10969" t="s">
        <v>3063</v>
      </c>
      <c r="E10969" t="s">
        <v>3053</v>
      </c>
      <c r="F10969" t="s">
        <v>286</v>
      </c>
      <c r="G10969" t="s">
        <v>3040</v>
      </c>
      <c r="H10969" t="s">
        <v>15566</v>
      </c>
      <c r="I10969">
        <v>4</v>
      </c>
      <c r="J10969">
        <v>0</v>
      </c>
      <c r="K10969">
        <v>0</v>
      </c>
      <c r="L10969">
        <v>4</v>
      </c>
      <c r="M10969">
        <v>0</v>
      </c>
      <c r="N10969">
        <v>0</v>
      </c>
      <c r="O10969">
        <v>0</v>
      </c>
    </row>
    <row r="10970" spans="1:15" x14ac:dyDescent="0.25">
      <c r="A10970" t="s">
        <v>9816</v>
      </c>
      <c r="B10970" t="s">
        <v>2900</v>
      </c>
      <c r="C10970" t="s">
        <v>923</v>
      </c>
      <c r="D10970" t="s">
        <v>3063</v>
      </c>
      <c r="E10970" t="s">
        <v>3053</v>
      </c>
      <c r="F10970" t="s">
        <v>286</v>
      </c>
      <c r="G10970" t="s">
        <v>3040</v>
      </c>
      <c r="H10970" t="s">
        <v>14075</v>
      </c>
      <c r="I10970">
        <v>81</v>
      </c>
      <c r="J10970">
        <v>0</v>
      </c>
      <c r="K10970">
        <v>0</v>
      </c>
      <c r="L10970">
        <v>81</v>
      </c>
      <c r="M10970">
        <v>0</v>
      </c>
      <c r="N10970">
        <v>0</v>
      </c>
      <c r="O10970">
        <v>0</v>
      </c>
    </row>
    <row r="10971" spans="1:15" x14ac:dyDescent="0.25">
      <c r="A10971" t="s">
        <v>1069</v>
      </c>
      <c r="B10971" t="s">
        <v>2001</v>
      </c>
      <c r="C10971" t="s">
        <v>927</v>
      </c>
      <c r="D10971" t="s">
        <v>3052</v>
      </c>
      <c r="E10971" t="s">
        <v>3053</v>
      </c>
      <c r="F10971" t="s">
        <v>286</v>
      </c>
      <c r="G10971" t="s">
        <v>3040</v>
      </c>
      <c r="H10971" t="s">
        <v>14092</v>
      </c>
      <c r="I10971">
        <v>16985</v>
      </c>
      <c r="J10971">
        <v>13410</v>
      </c>
      <c r="K10971">
        <v>5</v>
      </c>
      <c r="L10971">
        <v>199</v>
      </c>
      <c r="M10971">
        <v>2530</v>
      </c>
      <c r="N10971">
        <v>6</v>
      </c>
      <c r="O10971">
        <v>841</v>
      </c>
    </row>
    <row r="10972" spans="1:15" x14ac:dyDescent="0.25">
      <c r="A10972" t="s">
        <v>1551</v>
      </c>
      <c r="B10972" t="s">
        <v>2309</v>
      </c>
      <c r="C10972" t="s">
        <v>923</v>
      </c>
      <c r="D10972" t="s">
        <v>3063</v>
      </c>
      <c r="E10972" t="s">
        <v>3053</v>
      </c>
      <c r="F10972" t="s">
        <v>286</v>
      </c>
      <c r="G10972" t="s">
        <v>3040</v>
      </c>
      <c r="H10972" t="s">
        <v>14136</v>
      </c>
      <c r="I10972">
        <v>6</v>
      </c>
      <c r="J10972">
        <v>0</v>
      </c>
      <c r="K10972">
        <v>0</v>
      </c>
      <c r="L10972">
        <v>0</v>
      </c>
      <c r="M10972">
        <v>6</v>
      </c>
      <c r="N10972">
        <v>0</v>
      </c>
      <c r="O10972">
        <v>0</v>
      </c>
    </row>
    <row r="10973" spans="1:15" x14ac:dyDescent="0.25">
      <c r="A10973" t="s">
        <v>1071</v>
      </c>
      <c r="B10973" t="s">
        <v>2571</v>
      </c>
      <c r="C10973" t="s">
        <v>923</v>
      </c>
      <c r="D10973" t="s">
        <v>3063</v>
      </c>
      <c r="E10973" t="s">
        <v>3053</v>
      </c>
      <c r="F10973" t="s">
        <v>286</v>
      </c>
      <c r="G10973" t="s">
        <v>3040</v>
      </c>
      <c r="H10973" t="s">
        <v>14142</v>
      </c>
      <c r="I10973">
        <v>72</v>
      </c>
      <c r="J10973">
        <v>0</v>
      </c>
      <c r="K10973">
        <v>0</v>
      </c>
      <c r="L10973">
        <v>72</v>
      </c>
      <c r="M10973">
        <v>0</v>
      </c>
      <c r="N10973">
        <v>0</v>
      </c>
      <c r="O10973">
        <v>0</v>
      </c>
    </row>
    <row r="10974" spans="1:15" x14ac:dyDescent="0.25">
      <c r="A10974" t="s">
        <v>1072</v>
      </c>
      <c r="B10974" t="s">
        <v>2907</v>
      </c>
      <c r="C10974" t="s">
        <v>927</v>
      </c>
      <c r="D10974" t="s">
        <v>3052</v>
      </c>
      <c r="E10974" t="s">
        <v>3053</v>
      </c>
      <c r="F10974" t="s">
        <v>286</v>
      </c>
      <c r="G10974" t="s">
        <v>3040</v>
      </c>
      <c r="H10974" t="s">
        <v>14149</v>
      </c>
      <c r="I10974">
        <v>34745</v>
      </c>
      <c r="J10974">
        <v>28962</v>
      </c>
      <c r="K10974">
        <v>6</v>
      </c>
      <c r="L10974">
        <v>1435</v>
      </c>
      <c r="M10974">
        <v>2890</v>
      </c>
      <c r="N10974">
        <v>35</v>
      </c>
      <c r="O10974">
        <v>1452</v>
      </c>
    </row>
    <row r="10975" spans="1:15" x14ac:dyDescent="0.25">
      <c r="A10975" t="s">
        <v>1368</v>
      </c>
      <c r="B10975" t="s">
        <v>3022</v>
      </c>
      <c r="C10975" t="s">
        <v>923</v>
      </c>
      <c r="D10975" t="s">
        <v>3063</v>
      </c>
      <c r="E10975" t="s">
        <v>3053</v>
      </c>
      <c r="F10975" t="s">
        <v>286</v>
      </c>
      <c r="G10975" t="s">
        <v>3040</v>
      </c>
      <c r="H10975" t="s">
        <v>14162</v>
      </c>
      <c r="I10975">
        <v>11</v>
      </c>
      <c r="J10975">
        <v>11</v>
      </c>
      <c r="K10975">
        <v>0</v>
      </c>
      <c r="L10975">
        <v>0</v>
      </c>
      <c r="M10975">
        <v>0</v>
      </c>
      <c r="N10975">
        <v>0</v>
      </c>
      <c r="O10975">
        <v>0</v>
      </c>
    </row>
    <row r="10976" spans="1:15" x14ac:dyDescent="0.25">
      <c r="A10976" t="s">
        <v>10766</v>
      </c>
      <c r="B10976" t="s">
        <v>2175</v>
      </c>
      <c r="C10976" t="s">
        <v>923</v>
      </c>
      <c r="D10976" t="s">
        <v>3063</v>
      </c>
      <c r="E10976" t="s">
        <v>3053</v>
      </c>
      <c r="F10976" t="s">
        <v>286</v>
      </c>
      <c r="G10976" t="s">
        <v>3040</v>
      </c>
      <c r="H10976" t="s">
        <v>14172</v>
      </c>
      <c r="I10976">
        <v>6</v>
      </c>
      <c r="J10976">
        <v>0</v>
      </c>
      <c r="K10976">
        <v>0</v>
      </c>
      <c r="L10976">
        <v>0</v>
      </c>
      <c r="M10976">
        <v>6</v>
      </c>
      <c r="N10976">
        <v>0</v>
      </c>
      <c r="O10976">
        <v>0</v>
      </c>
    </row>
    <row r="10977" spans="1:15" x14ac:dyDescent="0.25">
      <c r="A10977" t="s">
        <v>1552</v>
      </c>
      <c r="B10977" t="s">
        <v>2430</v>
      </c>
      <c r="C10977" t="s">
        <v>923</v>
      </c>
      <c r="D10977" t="s">
        <v>3063</v>
      </c>
      <c r="E10977" t="s">
        <v>3053</v>
      </c>
      <c r="F10977" t="s">
        <v>286</v>
      </c>
      <c r="G10977" t="s">
        <v>3040</v>
      </c>
      <c r="H10977" t="s">
        <v>14177</v>
      </c>
      <c r="I10977">
        <v>40</v>
      </c>
      <c r="J10977">
        <v>40</v>
      </c>
      <c r="K10977">
        <v>0</v>
      </c>
      <c r="L10977">
        <v>0</v>
      </c>
      <c r="M10977">
        <v>0</v>
      </c>
      <c r="N10977">
        <v>0</v>
      </c>
      <c r="O10977">
        <v>0</v>
      </c>
    </row>
    <row r="10978" spans="1:15" x14ac:dyDescent="0.25">
      <c r="A10978" t="s">
        <v>1075</v>
      </c>
      <c r="B10978" t="s">
        <v>2830</v>
      </c>
      <c r="C10978" t="s">
        <v>927</v>
      </c>
      <c r="D10978" t="s">
        <v>3052</v>
      </c>
      <c r="E10978" t="s">
        <v>3053</v>
      </c>
      <c r="F10978" t="s">
        <v>286</v>
      </c>
      <c r="G10978" t="s">
        <v>3040</v>
      </c>
      <c r="H10978" t="s">
        <v>14191</v>
      </c>
      <c r="I10978">
        <v>15247</v>
      </c>
      <c r="J10978">
        <v>14765</v>
      </c>
      <c r="K10978">
        <v>0</v>
      </c>
      <c r="L10978">
        <v>59</v>
      </c>
      <c r="M10978">
        <v>127</v>
      </c>
      <c r="N10978">
        <v>1</v>
      </c>
      <c r="O10978">
        <v>296</v>
      </c>
    </row>
    <row r="10979" spans="1:15" x14ac:dyDescent="0.25">
      <c r="A10979" t="s">
        <v>1553</v>
      </c>
      <c r="B10979" t="s">
        <v>2132</v>
      </c>
      <c r="C10979" t="s">
        <v>927</v>
      </c>
      <c r="D10979" t="s">
        <v>3052</v>
      </c>
      <c r="E10979" t="s">
        <v>3053</v>
      </c>
      <c r="F10979" t="s">
        <v>286</v>
      </c>
      <c r="G10979" t="s">
        <v>3040</v>
      </c>
      <c r="H10979" t="s">
        <v>14194</v>
      </c>
      <c r="I10979">
        <v>39376</v>
      </c>
      <c r="J10979">
        <v>33757</v>
      </c>
      <c r="K10979">
        <v>0</v>
      </c>
      <c r="L10979">
        <v>228</v>
      </c>
      <c r="M10979">
        <v>3801</v>
      </c>
      <c r="N10979">
        <v>199</v>
      </c>
      <c r="O10979">
        <v>1590</v>
      </c>
    </row>
    <row r="10980" spans="1:15" x14ac:dyDescent="0.25">
      <c r="A10980" t="s">
        <v>1078</v>
      </c>
      <c r="B10980" t="s">
        <v>1950</v>
      </c>
      <c r="C10980" t="s">
        <v>923</v>
      </c>
      <c r="D10980" t="s">
        <v>3063</v>
      </c>
      <c r="E10980" t="s">
        <v>3053</v>
      </c>
      <c r="F10980" t="s">
        <v>286</v>
      </c>
      <c r="G10980" t="s">
        <v>3040</v>
      </c>
      <c r="H10980" t="s">
        <v>14214</v>
      </c>
      <c r="I10980">
        <v>67</v>
      </c>
      <c r="J10980">
        <v>0</v>
      </c>
      <c r="K10980">
        <v>0</v>
      </c>
      <c r="L10980">
        <v>67</v>
      </c>
      <c r="M10980">
        <v>0</v>
      </c>
      <c r="N10980">
        <v>0</v>
      </c>
      <c r="O10980">
        <v>0</v>
      </c>
    </row>
    <row r="10981" spans="1:15" x14ac:dyDescent="0.25">
      <c r="A10981" t="s">
        <v>1182</v>
      </c>
      <c r="B10981" t="s">
        <v>2583</v>
      </c>
      <c r="C10981" t="s">
        <v>923</v>
      </c>
      <c r="D10981" t="s">
        <v>3063</v>
      </c>
      <c r="E10981" t="s">
        <v>3053</v>
      </c>
      <c r="F10981" t="s">
        <v>286</v>
      </c>
      <c r="G10981" t="s">
        <v>3040</v>
      </c>
      <c r="H10981" t="s">
        <v>14223</v>
      </c>
      <c r="I10981">
        <v>12</v>
      </c>
      <c r="J10981">
        <v>0</v>
      </c>
      <c r="K10981">
        <v>0</v>
      </c>
      <c r="L10981">
        <v>12</v>
      </c>
      <c r="M10981">
        <v>0</v>
      </c>
      <c r="N10981">
        <v>0</v>
      </c>
      <c r="O10981">
        <v>0</v>
      </c>
    </row>
    <row r="10982" spans="1:15" x14ac:dyDescent="0.25">
      <c r="A10982" t="s">
        <v>1555</v>
      </c>
      <c r="B10982" t="s">
        <v>2294</v>
      </c>
      <c r="C10982" t="s">
        <v>923</v>
      </c>
      <c r="D10982" t="s">
        <v>3063</v>
      </c>
      <c r="E10982" t="s">
        <v>3053</v>
      </c>
      <c r="F10982" t="s">
        <v>286</v>
      </c>
      <c r="G10982" t="s">
        <v>3040</v>
      </c>
      <c r="H10982" t="s">
        <v>14242</v>
      </c>
      <c r="I10982">
        <v>25</v>
      </c>
      <c r="J10982">
        <v>0</v>
      </c>
      <c r="K10982">
        <v>0</v>
      </c>
      <c r="L10982">
        <v>0</v>
      </c>
      <c r="M10982">
        <v>25</v>
      </c>
      <c r="N10982">
        <v>0</v>
      </c>
      <c r="O10982">
        <v>0</v>
      </c>
    </row>
    <row r="10983" spans="1:15" x14ac:dyDescent="0.25">
      <c r="A10983" t="s">
        <v>1556</v>
      </c>
      <c r="B10983" t="s">
        <v>2678</v>
      </c>
      <c r="C10983" t="s">
        <v>927</v>
      </c>
      <c r="D10983" t="s">
        <v>3052</v>
      </c>
      <c r="E10983" t="s">
        <v>3053</v>
      </c>
      <c r="F10983" t="s">
        <v>286</v>
      </c>
      <c r="G10983" t="s">
        <v>3040</v>
      </c>
      <c r="H10983" t="s">
        <v>14252</v>
      </c>
      <c r="I10983">
        <v>1299</v>
      </c>
      <c r="J10983">
        <v>1037</v>
      </c>
      <c r="K10983">
        <v>0</v>
      </c>
      <c r="L10983">
        <v>71</v>
      </c>
      <c r="M10983">
        <v>157</v>
      </c>
      <c r="N10983">
        <v>0</v>
      </c>
      <c r="O10983">
        <v>34</v>
      </c>
    </row>
    <row r="10984" spans="1:15" x14ac:dyDescent="0.25">
      <c r="A10984" t="s">
        <v>1557</v>
      </c>
      <c r="B10984" t="s">
        <v>2857</v>
      </c>
      <c r="C10984" t="s">
        <v>927</v>
      </c>
      <c r="D10984" t="s">
        <v>3052</v>
      </c>
      <c r="E10984" t="s">
        <v>3053</v>
      </c>
      <c r="F10984" t="s">
        <v>286</v>
      </c>
      <c r="G10984" t="s">
        <v>3040</v>
      </c>
      <c r="H10984" t="s">
        <v>14262</v>
      </c>
      <c r="I10984">
        <v>6378</v>
      </c>
      <c r="J10984">
        <v>6138</v>
      </c>
      <c r="K10984">
        <v>0</v>
      </c>
      <c r="L10984">
        <v>0</v>
      </c>
      <c r="M10984">
        <v>109</v>
      </c>
      <c r="N10984">
        <v>0</v>
      </c>
      <c r="O10984">
        <v>131</v>
      </c>
    </row>
    <row r="10985" spans="1:15" x14ac:dyDescent="0.25">
      <c r="A10985" t="s">
        <v>1558</v>
      </c>
      <c r="B10985" t="s">
        <v>2391</v>
      </c>
      <c r="C10985" t="s">
        <v>923</v>
      </c>
      <c r="D10985" t="s">
        <v>3063</v>
      </c>
      <c r="E10985" t="s">
        <v>3053</v>
      </c>
      <c r="F10985" t="s">
        <v>286</v>
      </c>
      <c r="G10985" t="s">
        <v>3040</v>
      </c>
      <c r="H10985" t="s">
        <v>14265</v>
      </c>
      <c r="I10985">
        <v>67</v>
      </c>
      <c r="J10985">
        <v>67</v>
      </c>
      <c r="K10985">
        <v>0</v>
      </c>
      <c r="L10985">
        <v>0</v>
      </c>
      <c r="M10985">
        <v>0</v>
      </c>
      <c r="N10985">
        <v>0</v>
      </c>
      <c r="O10985">
        <v>0</v>
      </c>
    </row>
    <row r="10986" spans="1:15" x14ac:dyDescent="0.25">
      <c r="A10986" t="s">
        <v>1559</v>
      </c>
      <c r="B10986" t="s">
        <v>2662</v>
      </c>
      <c r="C10986" t="s">
        <v>923</v>
      </c>
      <c r="D10986" t="s">
        <v>3063</v>
      </c>
      <c r="E10986" t="s">
        <v>3053</v>
      </c>
      <c r="F10986" t="s">
        <v>286</v>
      </c>
      <c r="G10986" t="s">
        <v>3040</v>
      </c>
      <c r="H10986" t="s">
        <v>14274</v>
      </c>
      <c r="I10986">
        <v>628</v>
      </c>
      <c r="J10986">
        <v>628</v>
      </c>
      <c r="K10986">
        <v>0</v>
      </c>
      <c r="L10986">
        <v>0</v>
      </c>
      <c r="M10986">
        <v>0</v>
      </c>
      <c r="N10986">
        <v>3</v>
      </c>
      <c r="O10986">
        <v>0</v>
      </c>
    </row>
    <row r="10987" spans="1:15" x14ac:dyDescent="0.25">
      <c r="A10987" t="s">
        <v>1080</v>
      </c>
      <c r="B10987" t="s">
        <v>2030</v>
      </c>
      <c r="C10987" t="s">
        <v>923</v>
      </c>
      <c r="D10987" t="s">
        <v>3063</v>
      </c>
      <c r="E10987" t="s">
        <v>3053</v>
      </c>
      <c r="F10987" t="s">
        <v>286</v>
      </c>
      <c r="G10987" t="s">
        <v>3040</v>
      </c>
      <c r="H10987" t="s">
        <v>14281</v>
      </c>
      <c r="I10987">
        <v>2</v>
      </c>
      <c r="J10987">
        <v>0</v>
      </c>
      <c r="K10987">
        <v>0</v>
      </c>
      <c r="L10987">
        <v>2</v>
      </c>
      <c r="M10987">
        <v>0</v>
      </c>
      <c r="N10987">
        <v>0</v>
      </c>
      <c r="O10987">
        <v>0</v>
      </c>
    </row>
    <row r="10988" spans="1:15" x14ac:dyDescent="0.25">
      <c r="A10988" t="s">
        <v>1560</v>
      </c>
      <c r="B10988" t="s">
        <v>2491</v>
      </c>
      <c r="C10988" t="s">
        <v>923</v>
      </c>
      <c r="D10988" t="s">
        <v>3063</v>
      </c>
      <c r="E10988" t="s">
        <v>3053</v>
      </c>
      <c r="F10988" t="s">
        <v>286</v>
      </c>
      <c r="G10988" t="s">
        <v>3040</v>
      </c>
      <c r="H10988" t="s">
        <v>14287</v>
      </c>
      <c r="I10988">
        <v>35</v>
      </c>
      <c r="J10988">
        <v>35</v>
      </c>
      <c r="K10988">
        <v>0</v>
      </c>
      <c r="L10988">
        <v>0</v>
      </c>
      <c r="M10988">
        <v>0</v>
      </c>
      <c r="N10988">
        <v>0</v>
      </c>
      <c r="O10988">
        <v>0</v>
      </c>
    </row>
    <row r="10989" spans="1:15" x14ac:dyDescent="0.25">
      <c r="A10989" t="s">
        <v>1561</v>
      </c>
      <c r="B10989" t="s">
        <v>2695</v>
      </c>
      <c r="C10989" t="s">
        <v>923</v>
      </c>
      <c r="D10989" t="s">
        <v>3063</v>
      </c>
      <c r="E10989" t="s">
        <v>3053</v>
      </c>
      <c r="F10989" t="s">
        <v>286</v>
      </c>
      <c r="G10989" t="s">
        <v>3040</v>
      </c>
      <c r="H10989" t="s">
        <v>14307</v>
      </c>
      <c r="I10989">
        <v>837</v>
      </c>
      <c r="J10989">
        <v>604</v>
      </c>
      <c r="K10989">
        <v>0</v>
      </c>
      <c r="L10989">
        <v>120</v>
      </c>
      <c r="M10989">
        <v>113</v>
      </c>
      <c r="N10989">
        <v>1</v>
      </c>
      <c r="O10989">
        <v>0</v>
      </c>
    </row>
    <row r="10990" spans="1:15" x14ac:dyDescent="0.25">
      <c r="A10990" t="s">
        <v>11699</v>
      </c>
      <c r="B10990" t="s">
        <v>2840</v>
      </c>
      <c r="C10990" t="s">
        <v>927</v>
      </c>
      <c r="D10990" t="s">
        <v>3052</v>
      </c>
      <c r="E10990" t="s">
        <v>3053</v>
      </c>
      <c r="F10990" t="s">
        <v>286</v>
      </c>
      <c r="G10990" t="s">
        <v>3040</v>
      </c>
      <c r="H10990" t="s">
        <v>14324</v>
      </c>
      <c r="I10990">
        <v>13734</v>
      </c>
      <c r="J10990">
        <v>13243</v>
      </c>
      <c r="K10990">
        <v>5</v>
      </c>
      <c r="L10990">
        <v>116</v>
      </c>
      <c r="M10990">
        <v>69</v>
      </c>
      <c r="N10990">
        <v>11</v>
      </c>
      <c r="O10990">
        <v>301</v>
      </c>
    </row>
    <row r="10991" spans="1:15" x14ac:dyDescent="0.25">
      <c r="A10991" t="s">
        <v>1562</v>
      </c>
      <c r="B10991" t="s">
        <v>2973</v>
      </c>
      <c r="C10991" t="s">
        <v>923</v>
      </c>
      <c r="D10991" t="s">
        <v>3063</v>
      </c>
      <c r="E10991" t="s">
        <v>3053</v>
      </c>
      <c r="F10991" t="s">
        <v>286</v>
      </c>
      <c r="G10991" t="s">
        <v>3040</v>
      </c>
      <c r="H10991" t="s">
        <v>14339</v>
      </c>
      <c r="I10991">
        <v>147</v>
      </c>
      <c r="J10991">
        <v>44</v>
      </c>
      <c r="K10991">
        <v>0</v>
      </c>
      <c r="L10991">
        <v>103</v>
      </c>
      <c r="M10991">
        <v>0</v>
      </c>
      <c r="N10991">
        <v>0</v>
      </c>
      <c r="O10991">
        <v>0</v>
      </c>
    </row>
    <row r="10992" spans="1:15" x14ac:dyDescent="0.25">
      <c r="A10992" t="s">
        <v>1194</v>
      </c>
      <c r="B10992" t="s">
        <v>2627</v>
      </c>
      <c r="C10992" t="s">
        <v>923</v>
      </c>
      <c r="D10992" t="s">
        <v>3063</v>
      </c>
      <c r="E10992" t="s">
        <v>3053</v>
      </c>
      <c r="F10992" t="s">
        <v>286</v>
      </c>
      <c r="G10992" t="s">
        <v>3040</v>
      </c>
      <c r="H10992" t="s">
        <v>14346</v>
      </c>
      <c r="I10992">
        <v>26</v>
      </c>
      <c r="J10992">
        <v>0</v>
      </c>
      <c r="K10992">
        <v>0</v>
      </c>
      <c r="L10992">
        <v>26</v>
      </c>
      <c r="M10992">
        <v>0</v>
      </c>
      <c r="N10992">
        <v>0</v>
      </c>
      <c r="O10992">
        <v>0</v>
      </c>
    </row>
    <row r="10993" spans="1:15" x14ac:dyDescent="0.25">
      <c r="A10993" t="s">
        <v>1563</v>
      </c>
      <c r="B10993" t="s">
        <v>2895</v>
      </c>
      <c r="C10993" t="s">
        <v>927</v>
      </c>
      <c r="D10993" t="s">
        <v>3052</v>
      </c>
      <c r="E10993" t="s">
        <v>3053</v>
      </c>
      <c r="F10993" t="s">
        <v>286</v>
      </c>
      <c r="G10993" t="s">
        <v>3040</v>
      </c>
      <c r="H10993" t="s">
        <v>14347</v>
      </c>
      <c r="I10993">
        <v>24</v>
      </c>
      <c r="J10993">
        <v>1</v>
      </c>
      <c r="K10993">
        <v>0</v>
      </c>
      <c r="L10993">
        <v>0</v>
      </c>
      <c r="M10993">
        <v>23</v>
      </c>
      <c r="N10993">
        <v>0</v>
      </c>
      <c r="O10993">
        <v>0</v>
      </c>
    </row>
    <row r="10994" spans="1:15" x14ac:dyDescent="0.25">
      <c r="A10994" t="s">
        <v>1083</v>
      </c>
      <c r="B10994" t="s">
        <v>2757</v>
      </c>
      <c r="C10994" t="s">
        <v>927</v>
      </c>
      <c r="D10994" t="s">
        <v>3052</v>
      </c>
      <c r="E10994" t="s">
        <v>3053</v>
      </c>
      <c r="F10994" t="s">
        <v>286</v>
      </c>
      <c r="G10994" t="s">
        <v>3040</v>
      </c>
      <c r="H10994" t="s">
        <v>14351</v>
      </c>
      <c r="I10994">
        <v>19838</v>
      </c>
      <c r="J10994">
        <v>14709</v>
      </c>
      <c r="K10994">
        <v>1</v>
      </c>
      <c r="L10994">
        <v>759</v>
      </c>
      <c r="M10994">
        <v>2477</v>
      </c>
      <c r="N10994">
        <v>7</v>
      </c>
      <c r="O10994">
        <v>1892</v>
      </c>
    </row>
    <row r="10995" spans="1:15" x14ac:dyDescent="0.25">
      <c r="A10995" t="s">
        <v>11700</v>
      </c>
      <c r="B10995" t="s">
        <v>2447</v>
      </c>
      <c r="C10995" t="s">
        <v>923</v>
      </c>
      <c r="D10995" t="s">
        <v>3063</v>
      </c>
      <c r="E10995" t="s">
        <v>3053</v>
      </c>
      <c r="F10995" t="s">
        <v>286</v>
      </c>
      <c r="G10995" t="s">
        <v>3040</v>
      </c>
      <c r="H10995" t="s">
        <v>14355</v>
      </c>
      <c r="I10995">
        <v>6</v>
      </c>
      <c r="J10995">
        <v>6</v>
      </c>
      <c r="K10995">
        <v>0</v>
      </c>
      <c r="L10995">
        <v>0</v>
      </c>
      <c r="M10995">
        <v>0</v>
      </c>
      <c r="N10995">
        <v>0</v>
      </c>
      <c r="O10995">
        <v>0</v>
      </c>
    </row>
    <row r="10996" spans="1:15" x14ac:dyDescent="0.25">
      <c r="A10996" t="s">
        <v>1400</v>
      </c>
      <c r="B10996" t="s">
        <v>2019</v>
      </c>
      <c r="C10996" t="s">
        <v>923</v>
      </c>
      <c r="D10996" t="s">
        <v>3063</v>
      </c>
      <c r="E10996" t="s">
        <v>3053</v>
      </c>
      <c r="F10996" t="s">
        <v>2</v>
      </c>
      <c r="G10996" t="s">
        <v>3040</v>
      </c>
      <c r="H10996" t="s">
        <v>12528</v>
      </c>
      <c r="I10996">
        <v>7</v>
      </c>
      <c r="J10996">
        <v>7</v>
      </c>
      <c r="K10996">
        <v>0</v>
      </c>
      <c r="L10996">
        <v>0</v>
      </c>
      <c r="M10996">
        <v>0</v>
      </c>
      <c r="N10996">
        <v>0</v>
      </c>
      <c r="O10996">
        <v>0</v>
      </c>
    </row>
    <row r="10997" spans="1:15" x14ac:dyDescent="0.25">
      <c r="A10997" t="s">
        <v>1195</v>
      </c>
      <c r="B10997" t="s">
        <v>2924</v>
      </c>
      <c r="C10997" t="s">
        <v>927</v>
      </c>
      <c r="D10997" t="s">
        <v>3052</v>
      </c>
      <c r="E10997" t="s">
        <v>3053</v>
      </c>
      <c r="F10997" t="s">
        <v>2</v>
      </c>
      <c r="G10997" t="s">
        <v>3040</v>
      </c>
      <c r="H10997" t="s">
        <v>12532</v>
      </c>
      <c r="I10997">
        <v>2244</v>
      </c>
      <c r="J10997">
        <v>1791</v>
      </c>
      <c r="K10997">
        <v>2</v>
      </c>
      <c r="L10997">
        <v>217</v>
      </c>
      <c r="M10997">
        <v>0</v>
      </c>
      <c r="N10997">
        <v>1</v>
      </c>
      <c r="O10997">
        <v>234</v>
      </c>
    </row>
    <row r="10998" spans="1:15" x14ac:dyDescent="0.25">
      <c r="A10998" t="s">
        <v>1564</v>
      </c>
      <c r="B10998" t="s">
        <v>3039</v>
      </c>
      <c r="C10998" t="s">
        <v>927</v>
      </c>
      <c r="D10998" t="s">
        <v>3052</v>
      </c>
      <c r="E10998" t="s">
        <v>3053</v>
      </c>
      <c r="F10998" t="s">
        <v>2</v>
      </c>
      <c r="G10998" t="s">
        <v>3040</v>
      </c>
      <c r="H10998" t="s">
        <v>12536</v>
      </c>
      <c r="I10998">
        <v>780</v>
      </c>
      <c r="J10998">
        <v>29</v>
      </c>
      <c r="K10998">
        <v>0</v>
      </c>
      <c r="L10998">
        <v>0</v>
      </c>
      <c r="M10998">
        <v>0</v>
      </c>
      <c r="N10998">
        <v>0</v>
      </c>
      <c r="O10998">
        <v>751</v>
      </c>
    </row>
    <row r="10999" spans="1:15" x14ac:dyDescent="0.25">
      <c r="A10999" t="s">
        <v>1196</v>
      </c>
      <c r="B10999" t="s">
        <v>3004</v>
      </c>
      <c r="C10999" t="s">
        <v>927</v>
      </c>
      <c r="D10999" t="s">
        <v>3052</v>
      </c>
      <c r="E10999" t="s">
        <v>3053</v>
      </c>
      <c r="F10999" t="s">
        <v>2</v>
      </c>
      <c r="G10999" t="s">
        <v>3040</v>
      </c>
      <c r="H10999" t="s">
        <v>12538</v>
      </c>
      <c r="I10999">
        <v>10002</v>
      </c>
      <c r="J10999">
        <v>8465</v>
      </c>
      <c r="K10999">
        <v>0</v>
      </c>
      <c r="L10999">
        <v>198</v>
      </c>
      <c r="M10999">
        <v>619</v>
      </c>
      <c r="N10999">
        <v>12</v>
      </c>
      <c r="O10999">
        <v>720</v>
      </c>
    </row>
    <row r="11000" spans="1:15" x14ac:dyDescent="0.25">
      <c r="A11000" t="s">
        <v>1565</v>
      </c>
      <c r="B11000" t="s">
        <v>2543</v>
      </c>
      <c r="C11000" t="s">
        <v>923</v>
      </c>
      <c r="D11000" t="s">
        <v>3063</v>
      </c>
      <c r="E11000" t="s">
        <v>3053</v>
      </c>
      <c r="F11000" t="s">
        <v>2</v>
      </c>
      <c r="G11000" t="s">
        <v>3040</v>
      </c>
      <c r="H11000" t="s">
        <v>12543</v>
      </c>
      <c r="I11000">
        <v>115</v>
      </c>
      <c r="J11000">
        <v>3</v>
      </c>
      <c r="K11000">
        <v>0</v>
      </c>
      <c r="L11000">
        <v>112</v>
      </c>
      <c r="M11000">
        <v>0</v>
      </c>
      <c r="N11000">
        <v>0</v>
      </c>
      <c r="O11000">
        <v>0</v>
      </c>
    </row>
    <row r="11001" spans="1:15" x14ac:dyDescent="0.25">
      <c r="A11001" t="s">
        <v>1197</v>
      </c>
      <c r="B11001" t="s">
        <v>2559</v>
      </c>
      <c r="C11001" t="s">
        <v>923</v>
      </c>
      <c r="D11001" t="s">
        <v>3063</v>
      </c>
      <c r="E11001" t="s">
        <v>3053</v>
      </c>
      <c r="F11001" t="s">
        <v>2</v>
      </c>
      <c r="G11001" t="s">
        <v>3040</v>
      </c>
      <c r="H11001" t="s">
        <v>12545</v>
      </c>
      <c r="I11001">
        <v>34</v>
      </c>
      <c r="J11001">
        <v>0</v>
      </c>
      <c r="K11001">
        <v>0</v>
      </c>
      <c r="L11001">
        <v>10</v>
      </c>
      <c r="M11001">
        <v>24</v>
      </c>
      <c r="N11001">
        <v>0</v>
      </c>
      <c r="O11001">
        <v>0</v>
      </c>
    </row>
    <row r="11002" spans="1:15" x14ac:dyDescent="0.25">
      <c r="A11002" t="s">
        <v>922</v>
      </c>
      <c r="B11002" t="s">
        <v>2573</v>
      </c>
      <c r="C11002" t="s">
        <v>923</v>
      </c>
      <c r="D11002" t="s">
        <v>3063</v>
      </c>
      <c r="E11002" t="s">
        <v>3053</v>
      </c>
      <c r="F11002" t="s">
        <v>2</v>
      </c>
      <c r="G11002" t="s">
        <v>3040</v>
      </c>
      <c r="H11002" t="s">
        <v>12547</v>
      </c>
      <c r="I11002">
        <v>12</v>
      </c>
      <c r="J11002">
        <v>0</v>
      </c>
      <c r="K11002">
        <v>0</v>
      </c>
      <c r="L11002">
        <v>0</v>
      </c>
      <c r="M11002">
        <v>12</v>
      </c>
      <c r="N11002">
        <v>0</v>
      </c>
      <c r="O11002">
        <v>0</v>
      </c>
    </row>
    <row r="11003" spans="1:15" x14ac:dyDescent="0.25">
      <c r="A11003" t="s">
        <v>1566</v>
      </c>
      <c r="B11003" t="s">
        <v>2600</v>
      </c>
      <c r="C11003" t="s">
        <v>923</v>
      </c>
      <c r="D11003" t="s">
        <v>3063</v>
      </c>
      <c r="E11003" t="s">
        <v>3053</v>
      </c>
      <c r="F11003" t="s">
        <v>2</v>
      </c>
      <c r="G11003" t="s">
        <v>3040</v>
      </c>
      <c r="H11003" t="s">
        <v>12549</v>
      </c>
      <c r="I11003">
        <v>22</v>
      </c>
      <c r="J11003">
        <v>0</v>
      </c>
      <c r="K11003">
        <v>0</v>
      </c>
      <c r="L11003">
        <v>0</v>
      </c>
      <c r="M11003">
        <v>22</v>
      </c>
      <c r="N11003">
        <v>0</v>
      </c>
      <c r="O11003">
        <v>0</v>
      </c>
    </row>
    <row r="11004" spans="1:15" x14ac:dyDescent="0.25">
      <c r="A11004" t="s">
        <v>924</v>
      </c>
      <c r="B11004" t="s">
        <v>2963</v>
      </c>
      <c r="C11004" t="s">
        <v>923</v>
      </c>
      <c r="D11004" t="s">
        <v>3063</v>
      </c>
      <c r="E11004" t="s">
        <v>3053</v>
      </c>
      <c r="F11004" t="s">
        <v>2</v>
      </c>
      <c r="G11004" t="s">
        <v>3040</v>
      </c>
      <c r="H11004" t="s">
        <v>12553</v>
      </c>
      <c r="I11004">
        <v>376</v>
      </c>
      <c r="J11004">
        <v>24</v>
      </c>
      <c r="K11004">
        <v>0</v>
      </c>
      <c r="L11004">
        <v>352</v>
      </c>
      <c r="M11004">
        <v>0</v>
      </c>
      <c r="N11004">
        <v>0</v>
      </c>
      <c r="O11004">
        <v>0</v>
      </c>
    </row>
    <row r="11005" spans="1:15" x14ac:dyDescent="0.25">
      <c r="A11005" t="s">
        <v>10568</v>
      </c>
      <c r="B11005" t="s">
        <v>10567</v>
      </c>
      <c r="C11005" t="s">
        <v>927</v>
      </c>
      <c r="D11005" t="s">
        <v>3052</v>
      </c>
      <c r="E11005" t="s">
        <v>3053</v>
      </c>
      <c r="F11005" t="s">
        <v>2</v>
      </c>
      <c r="G11005" t="s">
        <v>3040</v>
      </c>
      <c r="H11005" t="s">
        <v>12555</v>
      </c>
      <c r="I11005">
        <v>13165</v>
      </c>
      <c r="J11005">
        <v>11268</v>
      </c>
      <c r="K11005">
        <v>16</v>
      </c>
      <c r="L11005">
        <v>110</v>
      </c>
      <c r="M11005">
        <v>1077</v>
      </c>
      <c r="N11005">
        <v>0</v>
      </c>
      <c r="O11005">
        <v>694</v>
      </c>
    </row>
    <row r="11006" spans="1:15" x14ac:dyDescent="0.25">
      <c r="A11006" t="s">
        <v>971</v>
      </c>
      <c r="B11006" t="s">
        <v>2956</v>
      </c>
      <c r="C11006" t="s">
        <v>927</v>
      </c>
      <c r="D11006" t="s">
        <v>3052</v>
      </c>
      <c r="E11006" t="s">
        <v>3053</v>
      </c>
      <c r="F11006" t="s">
        <v>2</v>
      </c>
      <c r="G11006" t="s">
        <v>3040</v>
      </c>
      <c r="H11006" t="s">
        <v>12562</v>
      </c>
      <c r="I11006">
        <v>3947</v>
      </c>
      <c r="J11006">
        <v>3483</v>
      </c>
      <c r="K11006">
        <v>0</v>
      </c>
      <c r="L11006">
        <v>0</v>
      </c>
      <c r="M11006">
        <v>227</v>
      </c>
      <c r="N11006">
        <v>0</v>
      </c>
      <c r="O11006">
        <v>237</v>
      </c>
    </row>
    <row r="11007" spans="1:15" x14ac:dyDescent="0.25">
      <c r="A11007" t="s">
        <v>1567</v>
      </c>
      <c r="B11007" t="s">
        <v>2062</v>
      </c>
      <c r="C11007" t="s">
        <v>923</v>
      </c>
      <c r="D11007" t="s">
        <v>3063</v>
      </c>
      <c r="E11007" t="s">
        <v>3053</v>
      </c>
      <c r="F11007" t="s">
        <v>2</v>
      </c>
      <c r="G11007" t="s">
        <v>3040</v>
      </c>
      <c r="H11007" t="s">
        <v>12565</v>
      </c>
      <c r="I11007">
        <v>80</v>
      </c>
      <c r="J11007">
        <v>0</v>
      </c>
      <c r="K11007">
        <v>0</v>
      </c>
      <c r="L11007">
        <v>80</v>
      </c>
      <c r="M11007">
        <v>0</v>
      </c>
      <c r="N11007">
        <v>0</v>
      </c>
      <c r="O11007">
        <v>0</v>
      </c>
    </row>
    <row r="11008" spans="1:15" x14ac:dyDescent="0.25">
      <c r="A11008" t="s">
        <v>926</v>
      </c>
      <c r="B11008" t="s">
        <v>2923</v>
      </c>
      <c r="C11008" t="s">
        <v>927</v>
      </c>
      <c r="D11008" t="s">
        <v>3052</v>
      </c>
      <c r="E11008" t="s">
        <v>3053</v>
      </c>
      <c r="F11008" t="s">
        <v>2</v>
      </c>
      <c r="G11008" t="s">
        <v>3040</v>
      </c>
      <c r="H11008" t="s">
        <v>12580</v>
      </c>
      <c r="I11008">
        <v>607</v>
      </c>
      <c r="J11008">
        <v>3</v>
      </c>
      <c r="K11008">
        <v>0</v>
      </c>
      <c r="L11008">
        <v>409</v>
      </c>
      <c r="M11008">
        <v>0</v>
      </c>
      <c r="N11008">
        <v>0</v>
      </c>
      <c r="O11008">
        <v>195</v>
      </c>
    </row>
    <row r="11009" spans="1:15" x14ac:dyDescent="0.25">
      <c r="A11009" t="s">
        <v>1568</v>
      </c>
      <c r="B11009" t="s">
        <v>2704</v>
      </c>
      <c r="C11009" t="s">
        <v>923</v>
      </c>
      <c r="D11009" t="s">
        <v>3063</v>
      </c>
      <c r="E11009" t="s">
        <v>3053</v>
      </c>
      <c r="F11009" t="s">
        <v>2</v>
      </c>
      <c r="G11009" t="s">
        <v>3040</v>
      </c>
      <c r="H11009" t="s">
        <v>12584</v>
      </c>
      <c r="I11009">
        <v>241</v>
      </c>
      <c r="J11009">
        <v>0</v>
      </c>
      <c r="K11009">
        <v>0</v>
      </c>
      <c r="L11009">
        <v>0</v>
      </c>
      <c r="M11009">
        <v>241</v>
      </c>
      <c r="N11009">
        <v>0</v>
      </c>
      <c r="O11009">
        <v>0</v>
      </c>
    </row>
    <row r="11010" spans="1:15" x14ac:dyDescent="0.25">
      <c r="A11010" t="s">
        <v>1569</v>
      </c>
      <c r="B11010" t="s">
        <v>2522</v>
      </c>
      <c r="C11010" t="s">
        <v>923</v>
      </c>
      <c r="D11010" t="s">
        <v>3063</v>
      </c>
      <c r="E11010" t="s">
        <v>3053</v>
      </c>
      <c r="F11010" t="s">
        <v>2</v>
      </c>
      <c r="G11010" t="s">
        <v>3040</v>
      </c>
      <c r="H11010" t="s">
        <v>12592</v>
      </c>
      <c r="I11010">
        <v>46</v>
      </c>
      <c r="J11010">
        <v>46</v>
      </c>
      <c r="K11010">
        <v>0</v>
      </c>
      <c r="L11010">
        <v>0</v>
      </c>
      <c r="M11010">
        <v>0</v>
      </c>
      <c r="N11010">
        <v>0</v>
      </c>
      <c r="O11010">
        <v>0</v>
      </c>
    </row>
    <row r="11011" spans="1:15" x14ac:dyDescent="0.25">
      <c r="A11011" t="s">
        <v>1570</v>
      </c>
      <c r="B11011" t="s">
        <v>2306</v>
      </c>
      <c r="C11011" t="s">
        <v>923</v>
      </c>
      <c r="D11011" t="s">
        <v>3063</v>
      </c>
      <c r="E11011" t="s">
        <v>3053</v>
      </c>
      <c r="F11011" t="s">
        <v>2</v>
      </c>
      <c r="G11011" t="s">
        <v>3040</v>
      </c>
      <c r="H11011" t="s">
        <v>12593</v>
      </c>
      <c r="I11011">
        <v>10</v>
      </c>
      <c r="J11011">
        <v>0</v>
      </c>
      <c r="K11011">
        <v>0</v>
      </c>
      <c r="L11011">
        <v>0</v>
      </c>
      <c r="M11011">
        <v>10</v>
      </c>
      <c r="N11011">
        <v>0</v>
      </c>
      <c r="O11011">
        <v>0</v>
      </c>
    </row>
    <row r="11012" spans="1:15" x14ac:dyDescent="0.25">
      <c r="A11012" t="s">
        <v>1571</v>
      </c>
      <c r="B11012" t="s">
        <v>2264</v>
      </c>
      <c r="C11012" t="s">
        <v>923</v>
      </c>
      <c r="D11012" t="s">
        <v>3063</v>
      </c>
      <c r="E11012" t="s">
        <v>3053</v>
      </c>
      <c r="F11012" t="s">
        <v>2</v>
      </c>
      <c r="G11012" t="s">
        <v>3040</v>
      </c>
      <c r="H11012" t="s">
        <v>12595</v>
      </c>
      <c r="I11012">
        <v>12</v>
      </c>
      <c r="J11012">
        <v>12</v>
      </c>
      <c r="K11012">
        <v>0</v>
      </c>
      <c r="L11012">
        <v>0</v>
      </c>
      <c r="M11012">
        <v>0</v>
      </c>
      <c r="N11012">
        <v>0</v>
      </c>
      <c r="O11012">
        <v>0</v>
      </c>
    </row>
    <row r="11013" spans="1:15" x14ac:dyDescent="0.25">
      <c r="A11013" t="s">
        <v>929</v>
      </c>
      <c r="B11013" t="s">
        <v>2999</v>
      </c>
      <c r="C11013" t="s">
        <v>927</v>
      </c>
      <c r="D11013" t="s">
        <v>3052</v>
      </c>
      <c r="E11013" t="s">
        <v>3053</v>
      </c>
      <c r="F11013" t="s">
        <v>2</v>
      </c>
      <c r="G11013" t="s">
        <v>3040</v>
      </c>
      <c r="H11013" t="s">
        <v>12607</v>
      </c>
      <c r="I11013">
        <v>5267</v>
      </c>
      <c r="J11013">
        <v>20</v>
      </c>
      <c r="K11013">
        <v>0</v>
      </c>
      <c r="L11013">
        <v>0</v>
      </c>
      <c r="M11013">
        <v>4949</v>
      </c>
      <c r="N11013">
        <v>3</v>
      </c>
      <c r="O11013">
        <v>298</v>
      </c>
    </row>
    <row r="11014" spans="1:15" x14ac:dyDescent="0.25">
      <c r="A11014" t="s">
        <v>1572</v>
      </c>
      <c r="B11014" t="s">
        <v>1997</v>
      </c>
      <c r="C11014" t="s">
        <v>923</v>
      </c>
      <c r="D11014" t="s">
        <v>3063</v>
      </c>
      <c r="E11014" t="s">
        <v>3053</v>
      </c>
      <c r="F11014" t="s">
        <v>2</v>
      </c>
      <c r="G11014" t="s">
        <v>3040</v>
      </c>
      <c r="H11014" t="s">
        <v>12611</v>
      </c>
      <c r="I11014">
        <v>102</v>
      </c>
      <c r="J11014">
        <v>0</v>
      </c>
      <c r="K11014">
        <v>0</v>
      </c>
      <c r="L11014">
        <v>102</v>
      </c>
      <c r="M11014">
        <v>0</v>
      </c>
      <c r="N11014">
        <v>0</v>
      </c>
      <c r="O11014">
        <v>0</v>
      </c>
    </row>
    <row r="11015" spans="1:15" x14ac:dyDescent="0.25">
      <c r="A11015" t="s">
        <v>1573</v>
      </c>
      <c r="B11015" t="s">
        <v>2236</v>
      </c>
      <c r="C11015" t="s">
        <v>923</v>
      </c>
      <c r="D11015" t="s">
        <v>3063</v>
      </c>
      <c r="E11015" t="s">
        <v>3053</v>
      </c>
      <c r="F11015" t="s">
        <v>2</v>
      </c>
      <c r="G11015" t="s">
        <v>3040</v>
      </c>
      <c r="H11015" t="s">
        <v>12613</v>
      </c>
      <c r="I11015">
        <v>6</v>
      </c>
      <c r="J11015">
        <v>0</v>
      </c>
      <c r="K11015">
        <v>0</v>
      </c>
      <c r="L11015">
        <v>0</v>
      </c>
      <c r="M11015">
        <v>6</v>
      </c>
      <c r="N11015">
        <v>0</v>
      </c>
      <c r="O11015">
        <v>0</v>
      </c>
    </row>
    <row r="11016" spans="1:15" x14ac:dyDescent="0.25">
      <c r="A11016" t="s">
        <v>978</v>
      </c>
      <c r="B11016" t="s">
        <v>1999</v>
      </c>
      <c r="C11016" t="s">
        <v>923</v>
      </c>
      <c r="D11016" t="s">
        <v>3063</v>
      </c>
      <c r="E11016" t="s">
        <v>3053</v>
      </c>
      <c r="F11016" t="s">
        <v>2</v>
      </c>
      <c r="G11016" t="s">
        <v>3040</v>
      </c>
      <c r="H11016" t="s">
        <v>12627</v>
      </c>
      <c r="I11016">
        <v>1</v>
      </c>
      <c r="J11016">
        <v>1</v>
      </c>
      <c r="K11016">
        <v>0</v>
      </c>
      <c r="L11016">
        <v>0</v>
      </c>
      <c r="M11016">
        <v>0</v>
      </c>
      <c r="N11016">
        <v>0</v>
      </c>
      <c r="O11016">
        <v>0</v>
      </c>
    </row>
    <row r="11017" spans="1:15" x14ac:dyDescent="0.25">
      <c r="A11017" t="s">
        <v>1574</v>
      </c>
      <c r="B11017" t="s">
        <v>2526</v>
      </c>
      <c r="C11017" t="s">
        <v>923</v>
      </c>
      <c r="D11017" t="s">
        <v>3063</v>
      </c>
      <c r="E11017" t="s">
        <v>3053</v>
      </c>
      <c r="F11017" t="s">
        <v>2</v>
      </c>
      <c r="G11017" t="s">
        <v>3040</v>
      </c>
      <c r="H11017" t="s">
        <v>12634</v>
      </c>
      <c r="I11017">
        <v>40</v>
      </c>
      <c r="J11017">
        <v>40</v>
      </c>
      <c r="K11017">
        <v>0</v>
      </c>
      <c r="L11017">
        <v>0</v>
      </c>
      <c r="M11017">
        <v>0</v>
      </c>
      <c r="N11017">
        <v>0</v>
      </c>
      <c r="O11017">
        <v>0</v>
      </c>
    </row>
    <row r="11018" spans="1:15" x14ac:dyDescent="0.25">
      <c r="A11018" t="s">
        <v>1575</v>
      </c>
      <c r="B11018" t="s">
        <v>2112</v>
      </c>
      <c r="C11018" t="s">
        <v>927</v>
      </c>
      <c r="D11018" t="s">
        <v>3052</v>
      </c>
      <c r="E11018" t="s">
        <v>3053</v>
      </c>
      <c r="F11018" t="s">
        <v>2</v>
      </c>
      <c r="G11018" t="s">
        <v>3040</v>
      </c>
      <c r="H11018" t="s">
        <v>12642</v>
      </c>
      <c r="I11018">
        <v>390</v>
      </c>
      <c r="J11018">
        <v>278</v>
      </c>
      <c r="K11018">
        <v>0</v>
      </c>
      <c r="L11018">
        <v>3</v>
      </c>
      <c r="M11018">
        <v>0</v>
      </c>
      <c r="N11018">
        <v>0</v>
      </c>
      <c r="O11018">
        <v>109</v>
      </c>
    </row>
    <row r="11019" spans="1:15" x14ac:dyDescent="0.25">
      <c r="A11019" t="s">
        <v>931</v>
      </c>
      <c r="B11019" t="s">
        <v>1978</v>
      </c>
      <c r="C11019" t="s">
        <v>927</v>
      </c>
      <c r="D11019" t="s">
        <v>3052</v>
      </c>
      <c r="E11019" t="s">
        <v>3053</v>
      </c>
      <c r="F11019" t="s">
        <v>2</v>
      </c>
      <c r="G11019" t="s">
        <v>3040</v>
      </c>
      <c r="H11019" t="s">
        <v>12644</v>
      </c>
      <c r="I11019">
        <v>7049</v>
      </c>
      <c r="J11019">
        <v>5876</v>
      </c>
      <c r="K11019">
        <v>0</v>
      </c>
      <c r="L11019">
        <v>38</v>
      </c>
      <c r="M11019">
        <v>148</v>
      </c>
      <c r="N11019">
        <v>2</v>
      </c>
      <c r="O11019">
        <v>987</v>
      </c>
    </row>
    <row r="11020" spans="1:15" x14ac:dyDescent="0.25">
      <c r="A11020" t="s">
        <v>9790</v>
      </c>
      <c r="B11020" t="s">
        <v>1977</v>
      </c>
      <c r="C11020" t="s">
        <v>923</v>
      </c>
      <c r="D11020" t="s">
        <v>3063</v>
      </c>
      <c r="E11020" t="s">
        <v>3053</v>
      </c>
      <c r="F11020" t="s">
        <v>2</v>
      </c>
      <c r="G11020" t="s">
        <v>3040</v>
      </c>
      <c r="H11020" t="s">
        <v>12653</v>
      </c>
      <c r="I11020">
        <v>75</v>
      </c>
      <c r="J11020">
        <v>0</v>
      </c>
      <c r="K11020">
        <v>0</v>
      </c>
      <c r="L11020">
        <v>75</v>
      </c>
      <c r="M11020">
        <v>0</v>
      </c>
      <c r="N11020">
        <v>0</v>
      </c>
      <c r="O11020">
        <v>0</v>
      </c>
    </row>
    <row r="11021" spans="1:15" x14ac:dyDescent="0.25">
      <c r="A11021" t="s">
        <v>1576</v>
      </c>
      <c r="B11021" t="s">
        <v>2444</v>
      </c>
      <c r="C11021" t="s">
        <v>923</v>
      </c>
      <c r="D11021" t="s">
        <v>3063</v>
      </c>
      <c r="E11021" t="s">
        <v>3053</v>
      </c>
      <c r="F11021" t="s">
        <v>2</v>
      </c>
      <c r="G11021" t="s">
        <v>3040</v>
      </c>
      <c r="H11021" t="s">
        <v>12668</v>
      </c>
      <c r="I11021">
        <v>45</v>
      </c>
      <c r="J11021">
        <v>45</v>
      </c>
      <c r="K11021">
        <v>0</v>
      </c>
      <c r="L11021">
        <v>0</v>
      </c>
      <c r="M11021">
        <v>0</v>
      </c>
      <c r="N11021">
        <v>0</v>
      </c>
      <c r="O11021">
        <v>0</v>
      </c>
    </row>
    <row r="11022" spans="1:15" x14ac:dyDescent="0.25">
      <c r="A11022" t="s">
        <v>1577</v>
      </c>
      <c r="B11022" t="s">
        <v>2703</v>
      </c>
      <c r="C11022" t="s">
        <v>923</v>
      </c>
      <c r="D11022" t="s">
        <v>3063</v>
      </c>
      <c r="E11022" t="s">
        <v>3053</v>
      </c>
      <c r="F11022" t="s">
        <v>2</v>
      </c>
      <c r="G11022" t="s">
        <v>3040</v>
      </c>
      <c r="H11022" t="s">
        <v>12670</v>
      </c>
      <c r="I11022">
        <v>8</v>
      </c>
      <c r="J11022">
        <v>8</v>
      </c>
      <c r="K11022">
        <v>0</v>
      </c>
      <c r="L11022">
        <v>0</v>
      </c>
      <c r="M11022">
        <v>0</v>
      </c>
      <c r="N11022">
        <v>0</v>
      </c>
      <c r="O11022">
        <v>0</v>
      </c>
    </row>
    <row r="11023" spans="1:15" x14ac:dyDescent="0.25">
      <c r="A11023" t="s">
        <v>1578</v>
      </c>
      <c r="B11023" t="s">
        <v>2282</v>
      </c>
      <c r="C11023" t="s">
        <v>923</v>
      </c>
      <c r="D11023" t="s">
        <v>3063</v>
      </c>
      <c r="E11023" t="s">
        <v>3053</v>
      </c>
      <c r="F11023" t="s">
        <v>2</v>
      </c>
      <c r="G11023" t="s">
        <v>3040</v>
      </c>
      <c r="H11023" t="s">
        <v>12677</v>
      </c>
      <c r="I11023">
        <v>9</v>
      </c>
      <c r="J11023">
        <v>9</v>
      </c>
      <c r="K11023">
        <v>0</v>
      </c>
      <c r="L11023">
        <v>0</v>
      </c>
      <c r="M11023">
        <v>0</v>
      </c>
      <c r="N11023">
        <v>0</v>
      </c>
      <c r="O11023">
        <v>0</v>
      </c>
    </row>
    <row r="11024" spans="1:15" x14ac:dyDescent="0.25">
      <c r="A11024" t="s">
        <v>9784</v>
      </c>
      <c r="B11024" t="s">
        <v>1994</v>
      </c>
      <c r="C11024" t="s">
        <v>927</v>
      </c>
      <c r="D11024" t="s">
        <v>3052</v>
      </c>
      <c r="E11024" t="s">
        <v>3053</v>
      </c>
      <c r="F11024" t="s">
        <v>2</v>
      </c>
      <c r="G11024" t="s">
        <v>3040</v>
      </c>
      <c r="H11024" t="s">
        <v>12686</v>
      </c>
      <c r="I11024">
        <v>190</v>
      </c>
      <c r="J11024">
        <v>0</v>
      </c>
      <c r="K11024">
        <v>0</v>
      </c>
      <c r="L11024">
        <v>190</v>
      </c>
      <c r="M11024">
        <v>0</v>
      </c>
      <c r="N11024">
        <v>27</v>
      </c>
      <c r="O11024">
        <v>0</v>
      </c>
    </row>
    <row r="11025" spans="1:15" x14ac:dyDescent="0.25">
      <c r="A11025" t="s">
        <v>10520</v>
      </c>
      <c r="B11025" t="s">
        <v>2567</v>
      </c>
      <c r="C11025" t="s">
        <v>923</v>
      </c>
      <c r="D11025" t="s">
        <v>3063</v>
      </c>
      <c r="E11025" t="s">
        <v>3053</v>
      </c>
      <c r="F11025" t="s">
        <v>2</v>
      </c>
      <c r="G11025" t="s">
        <v>3040</v>
      </c>
      <c r="H11025" t="s">
        <v>12694</v>
      </c>
      <c r="I11025">
        <v>429</v>
      </c>
      <c r="J11025">
        <v>305</v>
      </c>
      <c r="K11025">
        <v>0</v>
      </c>
      <c r="L11025">
        <v>124</v>
      </c>
      <c r="M11025">
        <v>0</v>
      </c>
      <c r="N11025">
        <v>0</v>
      </c>
      <c r="O11025">
        <v>0</v>
      </c>
    </row>
    <row r="11026" spans="1:15" x14ac:dyDescent="0.25">
      <c r="A11026" t="s">
        <v>1094</v>
      </c>
      <c r="B11026" t="s">
        <v>2742</v>
      </c>
      <c r="C11026" t="s">
        <v>923</v>
      </c>
      <c r="D11026" t="s">
        <v>3063</v>
      </c>
      <c r="E11026" t="s">
        <v>3053</v>
      </c>
      <c r="F11026" t="s">
        <v>2</v>
      </c>
      <c r="G11026" t="s">
        <v>3040</v>
      </c>
      <c r="H11026" t="s">
        <v>12701</v>
      </c>
      <c r="I11026">
        <v>10</v>
      </c>
      <c r="J11026">
        <v>3</v>
      </c>
      <c r="K11026">
        <v>0</v>
      </c>
      <c r="L11026">
        <v>7</v>
      </c>
      <c r="M11026">
        <v>0</v>
      </c>
      <c r="N11026">
        <v>0</v>
      </c>
      <c r="O11026">
        <v>0</v>
      </c>
    </row>
    <row r="11027" spans="1:15" x14ac:dyDescent="0.25">
      <c r="A11027" t="s">
        <v>1095</v>
      </c>
      <c r="B11027" t="s">
        <v>1946</v>
      </c>
      <c r="C11027" t="s">
        <v>923</v>
      </c>
      <c r="D11027" t="s">
        <v>3063</v>
      </c>
      <c r="E11027" t="s">
        <v>3053</v>
      </c>
      <c r="F11027" t="s">
        <v>2</v>
      </c>
      <c r="G11027" t="s">
        <v>3040</v>
      </c>
      <c r="H11027" t="s">
        <v>12708</v>
      </c>
      <c r="I11027">
        <v>34</v>
      </c>
      <c r="J11027">
        <v>0</v>
      </c>
      <c r="K11027">
        <v>0</v>
      </c>
      <c r="L11027">
        <v>34</v>
      </c>
      <c r="M11027">
        <v>0</v>
      </c>
      <c r="N11027">
        <v>0</v>
      </c>
      <c r="O11027">
        <v>0</v>
      </c>
    </row>
    <row r="11028" spans="1:15" x14ac:dyDescent="0.25">
      <c r="A11028" t="s">
        <v>1579</v>
      </c>
      <c r="B11028" t="s">
        <v>2523</v>
      </c>
      <c r="C11028" t="s">
        <v>923</v>
      </c>
      <c r="D11028" t="s">
        <v>3063</v>
      </c>
      <c r="E11028" t="s">
        <v>3053</v>
      </c>
      <c r="F11028" t="s">
        <v>2</v>
      </c>
      <c r="G11028" t="s">
        <v>3040</v>
      </c>
      <c r="H11028" t="s">
        <v>12712</v>
      </c>
      <c r="I11028">
        <v>42</v>
      </c>
      <c r="J11028">
        <v>42</v>
      </c>
      <c r="K11028">
        <v>0</v>
      </c>
      <c r="L11028">
        <v>0</v>
      </c>
      <c r="M11028">
        <v>0</v>
      </c>
      <c r="N11028">
        <v>0</v>
      </c>
      <c r="O11028">
        <v>0</v>
      </c>
    </row>
    <row r="11029" spans="1:15" x14ac:dyDescent="0.25">
      <c r="A11029" t="s">
        <v>1580</v>
      </c>
      <c r="B11029" t="s">
        <v>2344</v>
      </c>
      <c r="C11029" t="s">
        <v>923</v>
      </c>
      <c r="D11029" t="s">
        <v>3063</v>
      </c>
      <c r="E11029" t="s">
        <v>3053</v>
      </c>
      <c r="F11029" t="s">
        <v>2</v>
      </c>
      <c r="G11029" t="s">
        <v>3040</v>
      </c>
      <c r="H11029" t="s">
        <v>12723</v>
      </c>
      <c r="I11029">
        <v>2</v>
      </c>
      <c r="J11029">
        <v>0</v>
      </c>
      <c r="K11029">
        <v>0</v>
      </c>
      <c r="L11029">
        <v>0</v>
      </c>
      <c r="M11029">
        <v>2</v>
      </c>
      <c r="N11029">
        <v>0</v>
      </c>
      <c r="O11029">
        <v>0</v>
      </c>
    </row>
    <row r="11030" spans="1:15" x14ac:dyDescent="0.25">
      <c r="A11030" t="s">
        <v>1581</v>
      </c>
      <c r="B11030" t="s">
        <v>2917</v>
      </c>
      <c r="C11030" t="s">
        <v>927</v>
      </c>
      <c r="D11030" t="s">
        <v>3052</v>
      </c>
      <c r="E11030" t="s">
        <v>3053</v>
      </c>
      <c r="F11030" t="s">
        <v>2</v>
      </c>
      <c r="G11030" t="s">
        <v>3040</v>
      </c>
      <c r="H11030" t="s">
        <v>12727</v>
      </c>
      <c r="I11030">
        <v>35</v>
      </c>
      <c r="J11030">
        <v>8</v>
      </c>
      <c r="K11030">
        <v>0</v>
      </c>
      <c r="L11030">
        <v>27</v>
      </c>
      <c r="M11030">
        <v>0</v>
      </c>
      <c r="N11030">
        <v>0</v>
      </c>
      <c r="O11030">
        <v>0</v>
      </c>
    </row>
    <row r="11031" spans="1:15" x14ac:dyDescent="0.25">
      <c r="A11031" t="s">
        <v>981</v>
      </c>
      <c r="B11031" t="s">
        <v>2985</v>
      </c>
      <c r="C11031" t="s">
        <v>927</v>
      </c>
      <c r="D11031" t="s">
        <v>3052</v>
      </c>
      <c r="E11031" t="s">
        <v>3053</v>
      </c>
      <c r="F11031" t="s">
        <v>2</v>
      </c>
      <c r="G11031" t="s">
        <v>3040</v>
      </c>
      <c r="H11031" t="s">
        <v>12735</v>
      </c>
      <c r="I11031">
        <v>1953</v>
      </c>
      <c r="J11031">
        <v>1009</v>
      </c>
      <c r="K11031">
        <v>100</v>
      </c>
      <c r="L11031">
        <v>28</v>
      </c>
      <c r="M11031">
        <v>180</v>
      </c>
      <c r="N11031">
        <v>0</v>
      </c>
      <c r="O11031">
        <v>636</v>
      </c>
    </row>
    <row r="11032" spans="1:15" x14ac:dyDescent="0.25">
      <c r="A11032" t="s">
        <v>1582</v>
      </c>
      <c r="B11032" t="s">
        <v>2673</v>
      </c>
      <c r="C11032" t="s">
        <v>923</v>
      </c>
      <c r="D11032" t="s">
        <v>3063</v>
      </c>
      <c r="E11032" t="s">
        <v>3053</v>
      </c>
      <c r="F11032" t="s">
        <v>2</v>
      </c>
      <c r="G11032" t="s">
        <v>3040</v>
      </c>
      <c r="H11032" t="s">
        <v>12751</v>
      </c>
      <c r="I11032">
        <v>19</v>
      </c>
      <c r="J11032">
        <v>0</v>
      </c>
      <c r="K11032">
        <v>0</v>
      </c>
      <c r="L11032">
        <v>2</v>
      </c>
      <c r="M11032">
        <v>17</v>
      </c>
      <c r="N11032">
        <v>0</v>
      </c>
      <c r="O11032">
        <v>0</v>
      </c>
    </row>
    <row r="11033" spans="1:15" x14ac:dyDescent="0.25">
      <c r="A11033" t="s">
        <v>1583</v>
      </c>
      <c r="B11033" t="s">
        <v>2685</v>
      </c>
      <c r="C11033" t="s">
        <v>923</v>
      </c>
      <c r="D11033" t="s">
        <v>3063</v>
      </c>
      <c r="E11033" t="s">
        <v>3053</v>
      </c>
      <c r="F11033" t="s">
        <v>2</v>
      </c>
      <c r="G11033" t="s">
        <v>3040</v>
      </c>
      <c r="H11033" t="s">
        <v>12753</v>
      </c>
      <c r="I11033">
        <v>136</v>
      </c>
      <c r="J11033">
        <v>136</v>
      </c>
      <c r="K11033">
        <v>0</v>
      </c>
      <c r="L11033">
        <v>0</v>
      </c>
      <c r="M11033">
        <v>0</v>
      </c>
      <c r="N11033">
        <v>0</v>
      </c>
      <c r="O11033">
        <v>0</v>
      </c>
    </row>
    <row r="11034" spans="1:15" x14ac:dyDescent="0.25">
      <c r="A11034" t="s">
        <v>1584</v>
      </c>
      <c r="B11034" t="s">
        <v>2613</v>
      </c>
      <c r="C11034" t="s">
        <v>923</v>
      </c>
      <c r="D11034" t="s">
        <v>3063</v>
      </c>
      <c r="E11034" t="s">
        <v>3053</v>
      </c>
      <c r="F11034" t="s">
        <v>2</v>
      </c>
      <c r="G11034" t="s">
        <v>3040</v>
      </c>
      <c r="H11034" t="s">
        <v>12754</v>
      </c>
      <c r="I11034">
        <v>301</v>
      </c>
      <c r="J11034">
        <v>0</v>
      </c>
      <c r="K11034">
        <v>0</v>
      </c>
      <c r="L11034">
        <v>301</v>
      </c>
      <c r="M11034">
        <v>0</v>
      </c>
      <c r="N11034">
        <v>0</v>
      </c>
      <c r="O11034">
        <v>0</v>
      </c>
    </row>
    <row r="11035" spans="1:15" x14ac:dyDescent="0.25">
      <c r="A11035" t="s">
        <v>982</v>
      </c>
      <c r="B11035" t="s">
        <v>2874</v>
      </c>
      <c r="C11035" t="s">
        <v>923</v>
      </c>
      <c r="D11035" t="s">
        <v>3063</v>
      </c>
      <c r="E11035" t="s">
        <v>3053</v>
      </c>
      <c r="F11035" t="s">
        <v>2</v>
      </c>
      <c r="G11035" t="s">
        <v>3040</v>
      </c>
      <c r="H11035" t="s">
        <v>12765</v>
      </c>
      <c r="I11035">
        <v>16</v>
      </c>
      <c r="J11035">
        <v>0</v>
      </c>
      <c r="K11035">
        <v>0</v>
      </c>
      <c r="L11035">
        <v>0</v>
      </c>
      <c r="M11035">
        <v>16</v>
      </c>
      <c r="N11035">
        <v>0</v>
      </c>
      <c r="O11035">
        <v>0</v>
      </c>
    </row>
    <row r="11036" spans="1:15" x14ac:dyDescent="0.25">
      <c r="A11036" t="s">
        <v>983</v>
      </c>
      <c r="B11036" t="s">
        <v>2069</v>
      </c>
      <c r="C11036" t="s">
        <v>927</v>
      </c>
      <c r="D11036" t="s">
        <v>3052</v>
      </c>
      <c r="E11036" t="s">
        <v>3053</v>
      </c>
      <c r="F11036" t="s">
        <v>2</v>
      </c>
      <c r="G11036" t="s">
        <v>3040</v>
      </c>
      <c r="H11036" t="s">
        <v>12768</v>
      </c>
      <c r="I11036">
        <v>1568</v>
      </c>
      <c r="J11036">
        <v>1069</v>
      </c>
      <c r="K11036">
        <v>0</v>
      </c>
      <c r="L11036">
        <v>161</v>
      </c>
      <c r="M11036">
        <v>0</v>
      </c>
      <c r="N11036">
        <v>0</v>
      </c>
      <c r="O11036">
        <v>338</v>
      </c>
    </row>
    <row r="11037" spans="1:15" x14ac:dyDescent="0.25">
      <c r="A11037" t="s">
        <v>1218</v>
      </c>
      <c r="B11037" t="s">
        <v>2565</v>
      </c>
      <c r="C11037" t="s">
        <v>927</v>
      </c>
      <c r="D11037" t="s">
        <v>3052</v>
      </c>
      <c r="E11037" t="s">
        <v>3053</v>
      </c>
      <c r="F11037" t="s">
        <v>2</v>
      </c>
      <c r="G11037" t="s">
        <v>3040</v>
      </c>
      <c r="H11037" t="s">
        <v>12794</v>
      </c>
      <c r="I11037">
        <v>64</v>
      </c>
      <c r="J11037">
        <v>0</v>
      </c>
      <c r="K11037">
        <v>0</v>
      </c>
      <c r="L11037">
        <v>0</v>
      </c>
      <c r="M11037">
        <v>50</v>
      </c>
      <c r="N11037">
        <v>0</v>
      </c>
      <c r="O11037">
        <v>14</v>
      </c>
    </row>
    <row r="11038" spans="1:15" x14ac:dyDescent="0.25">
      <c r="A11038" t="s">
        <v>1585</v>
      </c>
      <c r="B11038" t="s">
        <v>2232</v>
      </c>
      <c r="C11038" t="s">
        <v>923</v>
      </c>
      <c r="D11038" t="s">
        <v>3063</v>
      </c>
      <c r="E11038" t="s">
        <v>3053</v>
      </c>
      <c r="F11038" t="s">
        <v>2</v>
      </c>
      <c r="G11038" t="s">
        <v>3040</v>
      </c>
      <c r="H11038" t="s">
        <v>12802</v>
      </c>
      <c r="I11038">
        <v>14</v>
      </c>
      <c r="J11038">
        <v>14</v>
      </c>
      <c r="K11038">
        <v>0</v>
      </c>
      <c r="L11038">
        <v>0</v>
      </c>
      <c r="M11038">
        <v>0</v>
      </c>
      <c r="N11038">
        <v>0</v>
      </c>
      <c r="O11038">
        <v>0</v>
      </c>
    </row>
    <row r="11039" spans="1:15" x14ac:dyDescent="0.25">
      <c r="A11039" t="s">
        <v>1586</v>
      </c>
      <c r="B11039" t="s">
        <v>2733</v>
      </c>
      <c r="C11039" t="s">
        <v>923</v>
      </c>
      <c r="D11039" t="s">
        <v>3063</v>
      </c>
      <c r="E11039" t="s">
        <v>3053</v>
      </c>
      <c r="F11039" t="s">
        <v>2</v>
      </c>
      <c r="G11039" t="s">
        <v>3040</v>
      </c>
      <c r="H11039" t="s">
        <v>12817</v>
      </c>
      <c r="I11039">
        <v>101</v>
      </c>
      <c r="J11039">
        <v>0</v>
      </c>
      <c r="K11039">
        <v>0</v>
      </c>
      <c r="L11039">
        <v>0</v>
      </c>
      <c r="M11039">
        <v>101</v>
      </c>
      <c r="N11039">
        <v>0</v>
      </c>
      <c r="O11039">
        <v>0</v>
      </c>
    </row>
    <row r="11040" spans="1:15" x14ac:dyDescent="0.25">
      <c r="A11040" t="s">
        <v>1102</v>
      </c>
      <c r="B11040" t="s">
        <v>2801</v>
      </c>
      <c r="C11040" t="s">
        <v>923</v>
      </c>
      <c r="D11040" t="s">
        <v>3063</v>
      </c>
      <c r="E11040" t="s">
        <v>3053</v>
      </c>
      <c r="F11040" t="s">
        <v>2</v>
      </c>
      <c r="G11040" t="s">
        <v>3040</v>
      </c>
      <c r="H11040" t="s">
        <v>12821</v>
      </c>
      <c r="I11040">
        <v>33</v>
      </c>
      <c r="J11040">
        <v>21</v>
      </c>
      <c r="K11040">
        <v>12</v>
      </c>
      <c r="L11040">
        <v>0</v>
      </c>
      <c r="M11040">
        <v>0</v>
      </c>
      <c r="N11040">
        <v>0</v>
      </c>
      <c r="O11040">
        <v>0</v>
      </c>
    </row>
    <row r="11041" spans="1:15" x14ac:dyDescent="0.25">
      <c r="A11041" t="s">
        <v>989</v>
      </c>
      <c r="B11041" t="s">
        <v>2016</v>
      </c>
      <c r="C11041" t="s">
        <v>923</v>
      </c>
      <c r="D11041" t="s">
        <v>3063</v>
      </c>
      <c r="E11041" t="s">
        <v>3053</v>
      </c>
      <c r="F11041" t="s">
        <v>2</v>
      </c>
      <c r="G11041" t="s">
        <v>3040</v>
      </c>
      <c r="H11041" t="s">
        <v>12829</v>
      </c>
      <c r="I11041">
        <v>48</v>
      </c>
      <c r="J11041">
        <v>0</v>
      </c>
      <c r="K11041">
        <v>0</v>
      </c>
      <c r="L11041">
        <v>48</v>
      </c>
      <c r="M11041">
        <v>0</v>
      </c>
      <c r="N11041">
        <v>0</v>
      </c>
      <c r="O11041">
        <v>0</v>
      </c>
    </row>
    <row r="11042" spans="1:15" x14ac:dyDescent="0.25">
      <c r="A11042" t="s">
        <v>1587</v>
      </c>
      <c r="B11042" t="s">
        <v>2214</v>
      </c>
      <c r="C11042" t="s">
        <v>923</v>
      </c>
      <c r="D11042" t="s">
        <v>3063</v>
      </c>
      <c r="E11042" t="s">
        <v>3053</v>
      </c>
      <c r="F11042" t="s">
        <v>2</v>
      </c>
      <c r="G11042" t="s">
        <v>3040</v>
      </c>
      <c r="H11042" t="s">
        <v>12833</v>
      </c>
      <c r="I11042">
        <v>3</v>
      </c>
      <c r="J11042">
        <v>3</v>
      </c>
      <c r="K11042">
        <v>0</v>
      </c>
      <c r="L11042">
        <v>0</v>
      </c>
      <c r="M11042">
        <v>0</v>
      </c>
      <c r="N11042">
        <v>0</v>
      </c>
      <c r="O11042">
        <v>0</v>
      </c>
    </row>
    <row r="11043" spans="1:15" x14ac:dyDescent="0.25">
      <c r="A11043" t="s">
        <v>11701</v>
      </c>
      <c r="B11043" t="s">
        <v>2653</v>
      </c>
      <c r="C11043" t="s">
        <v>923</v>
      </c>
      <c r="D11043" t="s">
        <v>3063</v>
      </c>
      <c r="E11043" t="s">
        <v>3053</v>
      </c>
      <c r="F11043" t="s">
        <v>2</v>
      </c>
      <c r="G11043" t="s">
        <v>3040</v>
      </c>
      <c r="H11043" t="s">
        <v>12834</v>
      </c>
      <c r="I11043">
        <v>191</v>
      </c>
      <c r="J11043">
        <v>0</v>
      </c>
      <c r="K11043">
        <v>0</v>
      </c>
      <c r="L11043">
        <v>0</v>
      </c>
      <c r="M11043">
        <v>191</v>
      </c>
      <c r="N11043">
        <v>0</v>
      </c>
      <c r="O11043">
        <v>0</v>
      </c>
    </row>
    <row r="11044" spans="1:15" x14ac:dyDescent="0.25">
      <c r="A11044" t="s">
        <v>933</v>
      </c>
      <c r="B11044" t="s">
        <v>2106</v>
      </c>
      <c r="C11044" t="s">
        <v>927</v>
      </c>
      <c r="D11044" t="s">
        <v>3052</v>
      </c>
      <c r="E11044" t="s">
        <v>3053</v>
      </c>
      <c r="F11044" t="s">
        <v>2</v>
      </c>
      <c r="G11044" t="s">
        <v>3040</v>
      </c>
      <c r="H11044" t="s">
        <v>12845</v>
      </c>
      <c r="I11044">
        <v>27680</v>
      </c>
      <c r="J11044">
        <v>22090</v>
      </c>
      <c r="K11044">
        <v>4</v>
      </c>
      <c r="L11044">
        <v>242</v>
      </c>
      <c r="M11044">
        <v>1554</v>
      </c>
      <c r="N11044">
        <v>235</v>
      </c>
      <c r="O11044">
        <v>3790</v>
      </c>
    </row>
    <row r="11045" spans="1:15" x14ac:dyDescent="0.25">
      <c r="A11045" t="s">
        <v>1588</v>
      </c>
      <c r="B11045" t="s">
        <v>2237</v>
      </c>
      <c r="C11045" t="s">
        <v>923</v>
      </c>
      <c r="D11045" t="s">
        <v>3063</v>
      </c>
      <c r="E11045" t="s">
        <v>3053</v>
      </c>
      <c r="F11045" t="s">
        <v>2</v>
      </c>
      <c r="G11045" t="s">
        <v>3040</v>
      </c>
      <c r="H11045" t="s">
        <v>12853</v>
      </c>
      <c r="I11045">
        <v>46</v>
      </c>
      <c r="J11045">
        <v>0</v>
      </c>
      <c r="K11045">
        <v>0</v>
      </c>
      <c r="L11045">
        <v>0</v>
      </c>
      <c r="M11045">
        <v>46</v>
      </c>
      <c r="N11045">
        <v>0</v>
      </c>
      <c r="O11045">
        <v>0</v>
      </c>
    </row>
    <row r="11046" spans="1:15" x14ac:dyDescent="0.25">
      <c r="A11046" t="s">
        <v>1104</v>
      </c>
      <c r="B11046" t="s">
        <v>2483</v>
      </c>
      <c r="C11046" t="s">
        <v>923</v>
      </c>
      <c r="D11046" t="s">
        <v>3063</v>
      </c>
      <c r="E11046" t="s">
        <v>3053</v>
      </c>
      <c r="F11046" t="s">
        <v>2</v>
      </c>
      <c r="G11046" t="s">
        <v>3040</v>
      </c>
      <c r="H11046" t="s">
        <v>12867</v>
      </c>
      <c r="I11046">
        <v>97</v>
      </c>
      <c r="J11046">
        <v>97</v>
      </c>
      <c r="K11046">
        <v>0</v>
      </c>
      <c r="L11046">
        <v>0</v>
      </c>
      <c r="M11046">
        <v>0</v>
      </c>
      <c r="N11046">
        <v>1</v>
      </c>
      <c r="O11046">
        <v>0</v>
      </c>
    </row>
    <row r="11047" spans="1:15" x14ac:dyDescent="0.25">
      <c r="A11047" t="s">
        <v>1105</v>
      </c>
      <c r="B11047" t="s">
        <v>2918</v>
      </c>
      <c r="C11047" t="s">
        <v>923</v>
      </c>
      <c r="D11047" t="s">
        <v>3063</v>
      </c>
      <c r="E11047" t="s">
        <v>3053</v>
      </c>
      <c r="F11047" t="s">
        <v>2</v>
      </c>
      <c r="G11047" t="s">
        <v>3040</v>
      </c>
      <c r="H11047" t="s">
        <v>12870</v>
      </c>
      <c r="I11047">
        <v>432</v>
      </c>
      <c r="J11047">
        <v>432</v>
      </c>
      <c r="K11047">
        <v>0</v>
      </c>
      <c r="L11047">
        <v>0</v>
      </c>
      <c r="M11047">
        <v>0</v>
      </c>
      <c r="N11047">
        <v>3</v>
      </c>
      <c r="O11047">
        <v>0</v>
      </c>
    </row>
    <row r="11048" spans="1:15" x14ac:dyDescent="0.25">
      <c r="A11048" t="s">
        <v>1589</v>
      </c>
      <c r="B11048" t="s">
        <v>2135</v>
      </c>
      <c r="C11048" t="s">
        <v>923</v>
      </c>
      <c r="D11048" t="s">
        <v>3063</v>
      </c>
      <c r="E11048" t="s">
        <v>3053</v>
      </c>
      <c r="F11048" t="s">
        <v>2</v>
      </c>
      <c r="G11048" t="s">
        <v>3040</v>
      </c>
      <c r="H11048" t="s">
        <v>12879</v>
      </c>
      <c r="I11048">
        <v>32</v>
      </c>
      <c r="J11048">
        <v>32</v>
      </c>
      <c r="K11048">
        <v>0</v>
      </c>
      <c r="L11048">
        <v>0</v>
      </c>
      <c r="M11048">
        <v>0</v>
      </c>
      <c r="N11048">
        <v>0</v>
      </c>
      <c r="O11048">
        <v>0</v>
      </c>
    </row>
    <row r="11049" spans="1:15" x14ac:dyDescent="0.25">
      <c r="A11049" t="s">
        <v>1590</v>
      </c>
      <c r="B11049" t="s">
        <v>2853</v>
      </c>
      <c r="C11049" t="s">
        <v>927</v>
      </c>
      <c r="D11049" t="s">
        <v>3052</v>
      </c>
      <c r="E11049" t="s">
        <v>3053</v>
      </c>
      <c r="F11049" t="s">
        <v>2</v>
      </c>
      <c r="G11049" t="s">
        <v>3040</v>
      </c>
      <c r="H11049" t="s">
        <v>12880</v>
      </c>
      <c r="I11049">
        <v>4356</v>
      </c>
      <c r="J11049">
        <v>4108</v>
      </c>
      <c r="K11049">
        <v>0</v>
      </c>
      <c r="L11049">
        <v>0</v>
      </c>
      <c r="M11049">
        <v>0</v>
      </c>
      <c r="N11049">
        <v>0</v>
      </c>
      <c r="O11049">
        <v>248</v>
      </c>
    </row>
    <row r="11050" spans="1:15" x14ac:dyDescent="0.25">
      <c r="A11050" t="s">
        <v>1591</v>
      </c>
      <c r="B11050" t="s">
        <v>2189</v>
      </c>
      <c r="C11050" t="s">
        <v>923</v>
      </c>
      <c r="D11050" t="s">
        <v>3063</v>
      </c>
      <c r="E11050" t="s">
        <v>3053</v>
      </c>
      <c r="F11050" t="s">
        <v>2</v>
      </c>
      <c r="G11050" t="s">
        <v>3040</v>
      </c>
      <c r="H11050" t="s">
        <v>12883</v>
      </c>
      <c r="I11050">
        <v>18</v>
      </c>
      <c r="J11050">
        <v>0</v>
      </c>
      <c r="K11050">
        <v>0</v>
      </c>
      <c r="L11050">
        <v>0</v>
      </c>
      <c r="M11050">
        <v>18</v>
      </c>
      <c r="N11050">
        <v>0</v>
      </c>
      <c r="O11050">
        <v>0</v>
      </c>
    </row>
    <row r="11051" spans="1:15" x14ac:dyDescent="0.25">
      <c r="A11051" t="s">
        <v>10611</v>
      </c>
      <c r="B11051" t="s">
        <v>10610</v>
      </c>
      <c r="C11051" t="s">
        <v>923</v>
      </c>
      <c r="D11051" t="s">
        <v>3063</v>
      </c>
      <c r="E11051" t="s">
        <v>3053</v>
      </c>
      <c r="F11051" t="s">
        <v>2</v>
      </c>
      <c r="G11051" t="s">
        <v>3040</v>
      </c>
      <c r="H11051" t="s">
        <v>12885</v>
      </c>
      <c r="I11051">
        <v>10</v>
      </c>
      <c r="J11051">
        <v>0</v>
      </c>
      <c r="K11051">
        <v>0</v>
      </c>
      <c r="L11051">
        <v>10</v>
      </c>
      <c r="M11051">
        <v>0</v>
      </c>
      <c r="N11051">
        <v>0</v>
      </c>
      <c r="O11051">
        <v>0</v>
      </c>
    </row>
    <row r="11052" spans="1:15" x14ac:dyDescent="0.25">
      <c r="A11052" t="s">
        <v>991</v>
      </c>
      <c r="B11052" t="s">
        <v>1976</v>
      </c>
      <c r="C11052" t="s">
        <v>923</v>
      </c>
      <c r="D11052" t="s">
        <v>3063</v>
      </c>
      <c r="E11052" t="s">
        <v>3053</v>
      </c>
      <c r="F11052" t="s">
        <v>2</v>
      </c>
      <c r="G11052" t="s">
        <v>3040</v>
      </c>
      <c r="H11052" t="s">
        <v>12890</v>
      </c>
      <c r="I11052">
        <v>13</v>
      </c>
      <c r="J11052">
        <v>0</v>
      </c>
      <c r="K11052">
        <v>0</v>
      </c>
      <c r="L11052">
        <v>13</v>
      </c>
      <c r="M11052">
        <v>0</v>
      </c>
      <c r="N11052">
        <v>0</v>
      </c>
      <c r="O11052">
        <v>0</v>
      </c>
    </row>
    <row r="11053" spans="1:15" x14ac:dyDescent="0.25">
      <c r="A11053" t="s">
        <v>992</v>
      </c>
      <c r="B11053" t="s">
        <v>3033</v>
      </c>
      <c r="C11053" t="s">
        <v>927</v>
      </c>
      <c r="D11053" t="s">
        <v>3052</v>
      </c>
      <c r="E11053" t="s">
        <v>3053</v>
      </c>
      <c r="F11053" t="s">
        <v>2</v>
      </c>
      <c r="G11053" t="s">
        <v>3040</v>
      </c>
      <c r="H11053" t="s">
        <v>12900</v>
      </c>
      <c r="I11053">
        <v>299</v>
      </c>
      <c r="J11053">
        <v>72</v>
      </c>
      <c r="K11053">
        <v>0</v>
      </c>
      <c r="L11053">
        <v>0</v>
      </c>
      <c r="M11053">
        <v>0</v>
      </c>
      <c r="N11053">
        <v>0</v>
      </c>
      <c r="O11053">
        <v>227</v>
      </c>
    </row>
    <row r="11054" spans="1:15" x14ac:dyDescent="0.25">
      <c r="A11054" t="s">
        <v>1592</v>
      </c>
      <c r="B11054" t="s">
        <v>2440</v>
      </c>
      <c r="C11054" t="s">
        <v>923</v>
      </c>
      <c r="D11054" t="s">
        <v>3063</v>
      </c>
      <c r="E11054" t="s">
        <v>3053</v>
      </c>
      <c r="F11054" t="s">
        <v>2</v>
      </c>
      <c r="G11054" t="s">
        <v>3040</v>
      </c>
      <c r="H11054" t="s">
        <v>12908</v>
      </c>
      <c r="I11054">
        <v>47</v>
      </c>
      <c r="J11054">
        <v>47</v>
      </c>
      <c r="K11054">
        <v>0</v>
      </c>
      <c r="L11054">
        <v>0</v>
      </c>
      <c r="M11054">
        <v>0</v>
      </c>
      <c r="N11054">
        <v>0</v>
      </c>
      <c r="O11054">
        <v>0</v>
      </c>
    </row>
    <row r="11055" spans="1:15" x14ac:dyDescent="0.25">
      <c r="A11055" t="s">
        <v>1593</v>
      </c>
      <c r="B11055" t="s">
        <v>2234</v>
      </c>
      <c r="C11055" t="s">
        <v>923</v>
      </c>
      <c r="D11055" t="s">
        <v>3063</v>
      </c>
      <c r="E11055" t="s">
        <v>3053</v>
      </c>
      <c r="F11055" t="s">
        <v>2</v>
      </c>
      <c r="G11055" t="s">
        <v>3040</v>
      </c>
      <c r="H11055" t="s">
        <v>12909</v>
      </c>
      <c r="I11055">
        <v>36</v>
      </c>
      <c r="J11055">
        <v>0</v>
      </c>
      <c r="K11055">
        <v>0</v>
      </c>
      <c r="L11055">
        <v>0</v>
      </c>
      <c r="M11055">
        <v>36</v>
      </c>
      <c r="N11055">
        <v>0</v>
      </c>
      <c r="O11055">
        <v>0</v>
      </c>
    </row>
    <row r="11056" spans="1:15" x14ac:dyDescent="0.25">
      <c r="A11056" t="s">
        <v>1594</v>
      </c>
      <c r="B11056" t="s">
        <v>2518</v>
      </c>
      <c r="C11056" t="s">
        <v>923</v>
      </c>
      <c r="D11056" t="s">
        <v>3063</v>
      </c>
      <c r="E11056" t="s">
        <v>3053</v>
      </c>
      <c r="F11056" t="s">
        <v>2</v>
      </c>
      <c r="G11056" t="s">
        <v>3040</v>
      </c>
      <c r="H11056" t="s">
        <v>12914</v>
      </c>
      <c r="I11056">
        <v>29</v>
      </c>
      <c r="J11056">
        <v>29</v>
      </c>
      <c r="K11056">
        <v>0</v>
      </c>
      <c r="L11056">
        <v>0</v>
      </c>
      <c r="M11056">
        <v>0</v>
      </c>
      <c r="N11056">
        <v>0</v>
      </c>
      <c r="O11056">
        <v>0</v>
      </c>
    </row>
    <row r="11057" spans="1:15" x14ac:dyDescent="0.25">
      <c r="A11057" t="s">
        <v>996</v>
      </c>
      <c r="B11057" t="s">
        <v>1952</v>
      </c>
      <c r="C11057" t="s">
        <v>923</v>
      </c>
      <c r="D11057" t="s">
        <v>3063</v>
      </c>
      <c r="E11057" t="s">
        <v>3053</v>
      </c>
      <c r="F11057" t="s">
        <v>2</v>
      </c>
      <c r="G11057" t="s">
        <v>3040</v>
      </c>
      <c r="H11057" t="s">
        <v>12928</v>
      </c>
      <c r="I11057">
        <v>89</v>
      </c>
      <c r="J11057">
        <v>0</v>
      </c>
      <c r="K11057">
        <v>0</v>
      </c>
      <c r="L11057">
        <v>89</v>
      </c>
      <c r="M11057">
        <v>0</v>
      </c>
      <c r="N11057">
        <v>0</v>
      </c>
      <c r="O11057">
        <v>0</v>
      </c>
    </row>
    <row r="11058" spans="1:15" x14ac:dyDescent="0.25">
      <c r="A11058" t="s">
        <v>1595</v>
      </c>
      <c r="B11058" t="s">
        <v>2226</v>
      </c>
      <c r="C11058" t="s">
        <v>923</v>
      </c>
      <c r="D11058" t="s">
        <v>3063</v>
      </c>
      <c r="E11058" t="s">
        <v>3053</v>
      </c>
      <c r="F11058" t="s">
        <v>2</v>
      </c>
      <c r="G11058" t="s">
        <v>3040</v>
      </c>
      <c r="H11058" t="s">
        <v>12937</v>
      </c>
      <c r="I11058">
        <v>20</v>
      </c>
      <c r="J11058">
        <v>0</v>
      </c>
      <c r="K11058">
        <v>0</v>
      </c>
      <c r="L11058">
        <v>20</v>
      </c>
      <c r="M11058">
        <v>0</v>
      </c>
      <c r="N11058">
        <v>0</v>
      </c>
      <c r="O11058">
        <v>0</v>
      </c>
    </row>
    <row r="11059" spans="1:15" x14ac:dyDescent="0.25">
      <c r="A11059" t="s">
        <v>1596</v>
      </c>
      <c r="B11059" t="s">
        <v>2260</v>
      </c>
      <c r="C11059" t="s">
        <v>923</v>
      </c>
      <c r="D11059" t="s">
        <v>3063</v>
      </c>
      <c r="E11059" t="s">
        <v>3053</v>
      </c>
      <c r="F11059" t="s">
        <v>2</v>
      </c>
      <c r="G11059" t="s">
        <v>3040</v>
      </c>
      <c r="H11059" t="s">
        <v>12938</v>
      </c>
      <c r="I11059">
        <v>4</v>
      </c>
      <c r="J11059">
        <v>0</v>
      </c>
      <c r="K11059">
        <v>0</v>
      </c>
      <c r="L11059">
        <v>0</v>
      </c>
      <c r="M11059">
        <v>4</v>
      </c>
      <c r="N11059">
        <v>0</v>
      </c>
      <c r="O11059">
        <v>0</v>
      </c>
    </row>
    <row r="11060" spans="1:15" x14ac:dyDescent="0.25">
      <c r="A11060" t="s">
        <v>1234</v>
      </c>
      <c r="B11060" t="s">
        <v>2093</v>
      </c>
      <c r="C11060" t="s">
        <v>923</v>
      </c>
      <c r="D11060" t="s">
        <v>3063</v>
      </c>
      <c r="E11060" t="s">
        <v>3053</v>
      </c>
      <c r="F11060" t="s">
        <v>2</v>
      </c>
      <c r="G11060" t="s">
        <v>3040</v>
      </c>
      <c r="H11060" t="s">
        <v>12940</v>
      </c>
      <c r="I11060">
        <v>4</v>
      </c>
      <c r="J11060">
        <v>4</v>
      </c>
      <c r="K11060">
        <v>0</v>
      </c>
      <c r="L11060">
        <v>0</v>
      </c>
      <c r="M11060">
        <v>0</v>
      </c>
      <c r="N11060">
        <v>0</v>
      </c>
      <c r="O11060">
        <v>0</v>
      </c>
    </row>
    <row r="11061" spans="1:15" x14ac:dyDescent="0.25">
      <c r="A11061" t="s">
        <v>1597</v>
      </c>
      <c r="B11061" t="s">
        <v>2231</v>
      </c>
      <c r="C11061" t="s">
        <v>923</v>
      </c>
      <c r="D11061" t="s">
        <v>3063</v>
      </c>
      <c r="E11061" t="s">
        <v>3053</v>
      </c>
      <c r="F11061" t="s">
        <v>2</v>
      </c>
      <c r="G11061" t="s">
        <v>3040</v>
      </c>
      <c r="H11061" t="s">
        <v>12941</v>
      </c>
      <c r="I11061">
        <v>6</v>
      </c>
      <c r="J11061">
        <v>6</v>
      </c>
      <c r="K11061">
        <v>0</v>
      </c>
      <c r="L11061">
        <v>0</v>
      </c>
      <c r="M11061">
        <v>0</v>
      </c>
      <c r="N11061">
        <v>0</v>
      </c>
      <c r="O11061">
        <v>0</v>
      </c>
    </row>
    <row r="11062" spans="1:15" x14ac:dyDescent="0.25">
      <c r="A11062" t="s">
        <v>1598</v>
      </c>
      <c r="B11062" t="s">
        <v>2341</v>
      </c>
      <c r="C11062" t="s">
        <v>923</v>
      </c>
      <c r="D11062" t="s">
        <v>3063</v>
      </c>
      <c r="E11062" t="s">
        <v>3053</v>
      </c>
      <c r="F11062" t="s">
        <v>2</v>
      </c>
      <c r="G11062" t="s">
        <v>3040</v>
      </c>
      <c r="H11062" t="s">
        <v>12942</v>
      </c>
      <c r="I11062">
        <v>14</v>
      </c>
      <c r="J11062">
        <v>0</v>
      </c>
      <c r="K11062">
        <v>0</v>
      </c>
      <c r="L11062">
        <v>0</v>
      </c>
      <c r="M11062">
        <v>14</v>
      </c>
      <c r="N11062">
        <v>0</v>
      </c>
      <c r="O11062">
        <v>0</v>
      </c>
    </row>
    <row r="11063" spans="1:15" x14ac:dyDescent="0.25">
      <c r="A11063" t="s">
        <v>1240</v>
      </c>
      <c r="B11063" t="s">
        <v>2792</v>
      </c>
      <c r="C11063" t="s">
        <v>923</v>
      </c>
      <c r="D11063" t="s">
        <v>3063</v>
      </c>
      <c r="E11063" t="s">
        <v>3053</v>
      </c>
      <c r="F11063" t="s">
        <v>2</v>
      </c>
      <c r="G11063" t="s">
        <v>3040</v>
      </c>
      <c r="H11063" t="s">
        <v>12958</v>
      </c>
      <c r="I11063">
        <v>73</v>
      </c>
      <c r="J11063">
        <v>0</v>
      </c>
      <c r="K11063">
        <v>0</v>
      </c>
      <c r="L11063">
        <v>0</v>
      </c>
      <c r="M11063">
        <v>73</v>
      </c>
      <c r="N11063">
        <v>0</v>
      </c>
      <c r="O11063">
        <v>0</v>
      </c>
    </row>
    <row r="11064" spans="1:15" x14ac:dyDescent="0.25">
      <c r="A11064" t="s">
        <v>11702</v>
      </c>
      <c r="B11064" t="s">
        <v>11747</v>
      </c>
      <c r="C11064" t="s">
        <v>923</v>
      </c>
      <c r="D11064" t="s">
        <v>3063</v>
      </c>
      <c r="E11064" t="s">
        <v>3053</v>
      </c>
      <c r="F11064" t="s">
        <v>2</v>
      </c>
      <c r="G11064" t="s">
        <v>3040</v>
      </c>
      <c r="H11064" t="s">
        <v>12964</v>
      </c>
      <c r="I11064">
        <v>14</v>
      </c>
      <c r="J11064">
        <v>14</v>
      </c>
      <c r="K11064">
        <v>0</v>
      </c>
      <c r="L11064">
        <v>0</v>
      </c>
      <c r="M11064">
        <v>0</v>
      </c>
      <c r="N11064">
        <v>0</v>
      </c>
      <c r="O11064">
        <v>0</v>
      </c>
    </row>
    <row r="11065" spans="1:15" x14ac:dyDescent="0.25">
      <c r="A11065" t="s">
        <v>1599</v>
      </c>
      <c r="B11065" t="s">
        <v>2423</v>
      </c>
      <c r="C11065" t="s">
        <v>923</v>
      </c>
      <c r="D11065" t="s">
        <v>3063</v>
      </c>
      <c r="E11065" t="s">
        <v>3053</v>
      </c>
      <c r="F11065" t="s">
        <v>2</v>
      </c>
      <c r="G11065" t="s">
        <v>3040</v>
      </c>
      <c r="H11065" t="s">
        <v>12965</v>
      </c>
      <c r="I11065">
        <v>21</v>
      </c>
      <c r="J11065">
        <v>21</v>
      </c>
      <c r="K11065">
        <v>0</v>
      </c>
      <c r="L11065">
        <v>0</v>
      </c>
      <c r="M11065">
        <v>0</v>
      </c>
      <c r="N11065">
        <v>0</v>
      </c>
      <c r="O11065">
        <v>0</v>
      </c>
    </row>
    <row r="11066" spans="1:15" x14ac:dyDescent="0.25">
      <c r="A11066" t="s">
        <v>1600</v>
      </c>
      <c r="B11066" t="s">
        <v>2542</v>
      </c>
      <c r="C11066" t="s">
        <v>923</v>
      </c>
      <c r="D11066" t="s">
        <v>3063</v>
      </c>
      <c r="E11066" t="s">
        <v>3053</v>
      </c>
      <c r="F11066" t="s">
        <v>2</v>
      </c>
      <c r="G11066" t="s">
        <v>3040</v>
      </c>
      <c r="H11066" t="s">
        <v>12966</v>
      </c>
      <c r="I11066">
        <v>27</v>
      </c>
      <c r="J11066">
        <v>0</v>
      </c>
      <c r="K11066">
        <v>0</v>
      </c>
      <c r="L11066">
        <v>0</v>
      </c>
      <c r="M11066">
        <v>27</v>
      </c>
      <c r="N11066">
        <v>0</v>
      </c>
      <c r="O11066">
        <v>0</v>
      </c>
    </row>
    <row r="11067" spans="1:15" x14ac:dyDescent="0.25">
      <c r="A11067" t="s">
        <v>935</v>
      </c>
      <c r="B11067" t="s">
        <v>1960</v>
      </c>
      <c r="C11067" t="s">
        <v>923</v>
      </c>
      <c r="D11067" t="s">
        <v>3063</v>
      </c>
      <c r="E11067" t="s">
        <v>3053</v>
      </c>
      <c r="F11067" t="s">
        <v>2</v>
      </c>
      <c r="G11067" t="s">
        <v>3040</v>
      </c>
      <c r="H11067" t="s">
        <v>12978</v>
      </c>
      <c r="I11067">
        <v>12</v>
      </c>
      <c r="J11067">
        <v>0</v>
      </c>
      <c r="K11067">
        <v>0</v>
      </c>
      <c r="L11067">
        <v>12</v>
      </c>
      <c r="M11067">
        <v>0</v>
      </c>
      <c r="N11067">
        <v>0</v>
      </c>
      <c r="O11067">
        <v>0</v>
      </c>
    </row>
    <row r="11068" spans="1:15" x14ac:dyDescent="0.25">
      <c r="A11068" t="s">
        <v>11660</v>
      </c>
      <c r="B11068" t="s">
        <v>2041</v>
      </c>
      <c r="C11068" t="s">
        <v>923</v>
      </c>
      <c r="D11068" t="s">
        <v>3063</v>
      </c>
      <c r="E11068" t="s">
        <v>3053</v>
      </c>
      <c r="F11068" t="s">
        <v>2</v>
      </c>
      <c r="G11068" t="s">
        <v>3040</v>
      </c>
      <c r="H11068" t="s">
        <v>12987</v>
      </c>
      <c r="I11068">
        <v>21</v>
      </c>
      <c r="J11068">
        <v>0</v>
      </c>
      <c r="K11068">
        <v>0</v>
      </c>
      <c r="L11068">
        <v>21</v>
      </c>
      <c r="M11068">
        <v>0</v>
      </c>
      <c r="N11068">
        <v>0</v>
      </c>
      <c r="O11068">
        <v>0</v>
      </c>
    </row>
    <row r="11069" spans="1:15" x14ac:dyDescent="0.25">
      <c r="A11069" t="s">
        <v>998</v>
      </c>
      <c r="B11069" t="s">
        <v>2820</v>
      </c>
      <c r="C11069" t="s">
        <v>927</v>
      </c>
      <c r="D11069" t="s">
        <v>3052</v>
      </c>
      <c r="E11069" t="s">
        <v>3053</v>
      </c>
      <c r="F11069" t="s">
        <v>2</v>
      </c>
      <c r="G11069" t="s">
        <v>3040</v>
      </c>
      <c r="H11069" t="s">
        <v>12994</v>
      </c>
      <c r="I11069">
        <v>958</v>
      </c>
      <c r="J11069">
        <v>670</v>
      </c>
      <c r="K11069">
        <v>0</v>
      </c>
      <c r="L11069">
        <v>0</v>
      </c>
      <c r="M11069">
        <v>0</v>
      </c>
      <c r="N11069">
        <v>0</v>
      </c>
      <c r="O11069">
        <v>288</v>
      </c>
    </row>
    <row r="11070" spans="1:15" x14ac:dyDescent="0.25">
      <c r="A11070" t="s">
        <v>1601</v>
      </c>
      <c r="B11070" t="s">
        <v>2930</v>
      </c>
      <c r="C11070" t="s">
        <v>923</v>
      </c>
      <c r="D11070" t="s">
        <v>3063</v>
      </c>
      <c r="E11070" t="s">
        <v>3053</v>
      </c>
      <c r="F11070" t="s">
        <v>2</v>
      </c>
      <c r="G11070" t="s">
        <v>3040</v>
      </c>
      <c r="H11070" t="s">
        <v>12996</v>
      </c>
      <c r="I11070">
        <v>254</v>
      </c>
      <c r="J11070">
        <v>185</v>
      </c>
      <c r="K11070">
        <v>0</v>
      </c>
      <c r="L11070">
        <v>69</v>
      </c>
      <c r="M11070">
        <v>0</v>
      </c>
      <c r="N11070">
        <v>5</v>
      </c>
      <c r="O11070">
        <v>0</v>
      </c>
    </row>
    <row r="11071" spans="1:15" x14ac:dyDescent="0.25">
      <c r="A11071" t="s">
        <v>1602</v>
      </c>
      <c r="B11071" t="s">
        <v>2643</v>
      </c>
      <c r="C11071" t="s">
        <v>923</v>
      </c>
      <c r="D11071" t="s">
        <v>3063</v>
      </c>
      <c r="E11071" t="s">
        <v>3053</v>
      </c>
      <c r="F11071" t="s">
        <v>2</v>
      </c>
      <c r="G11071" t="s">
        <v>3040</v>
      </c>
      <c r="H11071" t="s">
        <v>12997</v>
      </c>
      <c r="I11071">
        <v>91</v>
      </c>
      <c r="J11071">
        <v>0</v>
      </c>
      <c r="K11071">
        <v>0</v>
      </c>
      <c r="L11071">
        <v>0</v>
      </c>
      <c r="M11071">
        <v>91</v>
      </c>
      <c r="N11071">
        <v>0</v>
      </c>
      <c r="O11071">
        <v>0</v>
      </c>
    </row>
    <row r="11072" spans="1:15" x14ac:dyDescent="0.25">
      <c r="A11072" t="s">
        <v>14395</v>
      </c>
      <c r="B11072" t="s">
        <v>15342</v>
      </c>
      <c r="C11072" t="s">
        <v>923</v>
      </c>
      <c r="D11072" t="s">
        <v>3063</v>
      </c>
      <c r="E11072" t="s">
        <v>3053</v>
      </c>
      <c r="F11072" t="s">
        <v>2</v>
      </c>
      <c r="G11072" t="s">
        <v>3040</v>
      </c>
      <c r="H11072" t="s">
        <v>15567</v>
      </c>
      <c r="I11072">
        <v>10</v>
      </c>
      <c r="J11072">
        <v>0</v>
      </c>
      <c r="K11072">
        <v>0</v>
      </c>
      <c r="L11072">
        <v>0</v>
      </c>
      <c r="M11072">
        <v>10</v>
      </c>
      <c r="N11072">
        <v>0</v>
      </c>
      <c r="O11072">
        <v>0</v>
      </c>
    </row>
    <row r="11073" spans="1:15" x14ac:dyDescent="0.25">
      <c r="A11073" t="s">
        <v>10624</v>
      </c>
      <c r="B11073" t="s">
        <v>2882</v>
      </c>
      <c r="C11073" t="s">
        <v>927</v>
      </c>
      <c r="D11073" t="s">
        <v>3052</v>
      </c>
      <c r="E11073" t="s">
        <v>3053</v>
      </c>
      <c r="F11073" t="s">
        <v>2</v>
      </c>
      <c r="G11073" t="s">
        <v>3040</v>
      </c>
      <c r="H11073" t="s">
        <v>13009</v>
      </c>
      <c r="I11073">
        <v>8710</v>
      </c>
      <c r="J11073">
        <v>7686</v>
      </c>
      <c r="K11073">
        <v>0</v>
      </c>
      <c r="L11073">
        <v>11</v>
      </c>
      <c r="M11073">
        <v>634</v>
      </c>
      <c r="N11073">
        <v>0</v>
      </c>
      <c r="O11073">
        <v>379</v>
      </c>
    </row>
    <row r="11074" spans="1:15" x14ac:dyDescent="0.25">
      <c r="A11074" t="s">
        <v>1603</v>
      </c>
      <c r="B11074" t="s">
        <v>2053</v>
      </c>
      <c r="C11074" t="s">
        <v>923</v>
      </c>
      <c r="D11074" t="s">
        <v>3063</v>
      </c>
      <c r="E11074" t="s">
        <v>3053</v>
      </c>
      <c r="F11074" t="s">
        <v>2</v>
      </c>
      <c r="G11074" t="s">
        <v>3040</v>
      </c>
      <c r="H11074" t="s">
        <v>13010</v>
      </c>
      <c r="I11074">
        <v>9</v>
      </c>
      <c r="J11074">
        <v>0</v>
      </c>
      <c r="K11074">
        <v>0</v>
      </c>
      <c r="L11074">
        <v>9</v>
      </c>
      <c r="M11074">
        <v>0</v>
      </c>
      <c r="N11074">
        <v>0</v>
      </c>
      <c r="O11074">
        <v>0</v>
      </c>
    </row>
    <row r="11075" spans="1:15" x14ac:dyDescent="0.25">
      <c r="A11075" t="s">
        <v>1416</v>
      </c>
      <c r="B11075" t="s">
        <v>2029</v>
      </c>
      <c r="C11075" t="s">
        <v>923</v>
      </c>
      <c r="D11075" t="s">
        <v>3063</v>
      </c>
      <c r="E11075" t="s">
        <v>3053</v>
      </c>
      <c r="F11075" t="s">
        <v>2</v>
      </c>
      <c r="G11075" t="s">
        <v>3040</v>
      </c>
      <c r="H11075" t="s">
        <v>13017</v>
      </c>
      <c r="I11075">
        <v>178</v>
      </c>
      <c r="J11075">
        <v>0</v>
      </c>
      <c r="K11075">
        <v>0</v>
      </c>
      <c r="L11075">
        <v>178</v>
      </c>
      <c r="M11075">
        <v>0</v>
      </c>
      <c r="N11075">
        <v>0</v>
      </c>
      <c r="O11075">
        <v>0</v>
      </c>
    </row>
    <row r="11076" spans="1:15" x14ac:dyDescent="0.25">
      <c r="A11076" t="s">
        <v>1000</v>
      </c>
      <c r="B11076" t="s">
        <v>1984</v>
      </c>
      <c r="C11076" t="s">
        <v>923</v>
      </c>
      <c r="D11076" t="s">
        <v>3063</v>
      </c>
      <c r="E11076" t="s">
        <v>3053</v>
      </c>
      <c r="F11076" t="s">
        <v>2</v>
      </c>
      <c r="G11076" t="s">
        <v>3040</v>
      </c>
      <c r="H11076" t="s">
        <v>13032</v>
      </c>
      <c r="I11076">
        <v>25</v>
      </c>
      <c r="J11076">
        <v>0</v>
      </c>
      <c r="K11076">
        <v>0</v>
      </c>
      <c r="L11076">
        <v>25</v>
      </c>
      <c r="M11076">
        <v>0</v>
      </c>
      <c r="N11076">
        <v>0</v>
      </c>
      <c r="O11076">
        <v>0</v>
      </c>
    </row>
    <row r="11077" spans="1:15" x14ac:dyDescent="0.25">
      <c r="A11077" t="s">
        <v>1604</v>
      </c>
      <c r="B11077" t="s">
        <v>2229</v>
      </c>
      <c r="C11077" t="s">
        <v>923</v>
      </c>
      <c r="D11077" t="s">
        <v>3063</v>
      </c>
      <c r="E11077" t="s">
        <v>3053</v>
      </c>
      <c r="F11077" t="s">
        <v>2</v>
      </c>
      <c r="G11077" t="s">
        <v>3040</v>
      </c>
      <c r="H11077" t="s">
        <v>13036</v>
      </c>
      <c r="I11077">
        <v>14</v>
      </c>
      <c r="J11077">
        <v>0</v>
      </c>
      <c r="K11077">
        <v>0</v>
      </c>
      <c r="L11077">
        <v>0</v>
      </c>
      <c r="M11077">
        <v>14</v>
      </c>
      <c r="N11077">
        <v>4</v>
      </c>
      <c r="O11077">
        <v>0</v>
      </c>
    </row>
    <row r="11078" spans="1:15" x14ac:dyDescent="0.25">
      <c r="A11078" t="s">
        <v>1605</v>
      </c>
      <c r="B11078" t="s">
        <v>2780</v>
      </c>
      <c r="C11078" t="s">
        <v>923</v>
      </c>
      <c r="D11078" t="s">
        <v>3063</v>
      </c>
      <c r="E11078" t="s">
        <v>3053</v>
      </c>
      <c r="F11078" t="s">
        <v>2</v>
      </c>
      <c r="G11078" t="s">
        <v>3040</v>
      </c>
      <c r="H11078" t="s">
        <v>13037</v>
      </c>
      <c r="I11078">
        <v>52</v>
      </c>
      <c r="J11078">
        <v>0</v>
      </c>
      <c r="K11078">
        <v>0</v>
      </c>
      <c r="L11078">
        <v>0</v>
      </c>
      <c r="M11078">
        <v>52</v>
      </c>
      <c r="N11078">
        <v>0</v>
      </c>
      <c r="O11078">
        <v>0</v>
      </c>
    </row>
    <row r="11079" spans="1:15" x14ac:dyDescent="0.25">
      <c r="A11079" t="s">
        <v>1606</v>
      </c>
      <c r="B11079" t="s">
        <v>2755</v>
      </c>
      <c r="C11079" t="s">
        <v>923</v>
      </c>
      <c r="D11079" t="s">
        <v>3063</v>
      </c>
      <c r="E11079" t="s">
        <v>3053</v>
      </c>
      <c r="F11079" t="s">
        <v>2</v>
      </c>
      <c r="G11079" t="s">
        <v>3040</v>
      </c>
      <c r="H11079" t="s">
        <v>13051</v>
      </c>
      <c r="I11079">
        <v>283</v>
      </c>
      <c r="J11079">
        <v>283</v>
      </c>
      <c r="K11079">
        <v>0</v>
      </c>
      <c r="L11079">
        <v>0</v>
      </c>
      <c r="M11079">
        <v>0</v>
      </c>
      <c r="N11079">
        <v>0</v>
      </c>
      <c r="O11079">
        <v>0</v>
      </c>
    </row>
    <row r="11080" spans="1:15" x14ac:dyDescent="0.25">
      <c r="A11080" t="s">
        <v>1607</v>
      </c>
      <c r="B11080" t="s">
        <v>2511</v>
      </c>
      <c r="C11080" t="s">
        <v>923</v>
      </c>
      <c r="D11080" t="s">
        <v>3063</v>
      </c>
      <c r="E11080" t="s">
        <v>3053</v>
      </c>
      <c r="F11080" t="s">
        <v>2</v>
      </c>
      <c r="G11080" t="s">
        <v>3040</v>
      </c>
      <c r="H11080" t="s">
        <v>13052</v>
      </c>
      <c r="I11080">
        <v>59</v>
      </c>
      <c r="J11080">
        <v>59</v>
      </c>
      <c r="K11080">
        <v>0</v>
      </c>
      <c r="L11080">
        <v>0</v>
      </c>
      <c r="M11080">
        <v>0</v>
      </c>
      <c r="N11080">
        <v>0</v>
      </c>
      <c r="O11080">
        <v>0</v>
      </c>
    </row>
    <row r="11081" spans="1:15" x14ac:dyDescent="0.25">
      <c r="A11081" t="s">
        <v>1485</v>
      </c>
      <c r="B11081" t="s">
        <v>2836</v>
      </c>
      <c r="C11081" t="s">
        <v>927</v>
      </c>
      <c r="D11081" t="s">
        <v>3052</v>
      </c>
      <c r="E11081" t="s">
        <v>3053</v>
      </c>
      <c r="F11081" t="s">
        <v>2</v>
      </c>
      <c r="G11081" t="s">
        <v>3040</v>
      </c>
      <c r="H11081" t="s">
        <v>13056</v>
      </c>
      <c r="I11081">
        <v>12</v>
      </c>
      <c r="J11081">
        <v>0</v>
      </c>
      <c r="K11081">
        <v>0</v>
      </c>
      <c r="L11081">
        <v>0</v>
      </c>
      <c r="M11081">
        <v>0</v>
      </c>
      <c r="N11081">
        <v>0</v>
      </c>
      <c r="O11081">
        <v>12</v>
      </c>
    </row>
    <row r="11082" spans="1:15" x14ac:dyDescent="0.25">
      <c r="A11082" t="s">
        <v>1002</v>
      </c>
      <c r="B11082" t="s">
        <v>2078</v>
      </c>
      <c r="C11082" t="s">
        <v>923</v>
      </c>
      <c r="D11082" t="s">
        <v>3063</v>
      </c>
      <c r="E11082" t="s">
        <v>3053</v>
      </c>
      <c r="F11082" t="s">
        <v>2</v>
      </c>
      <c r="G11082" t="s">
        <v>3040</v>
      </c>
      <c r="H11082" t="s">
        <v>15568</v>
      </c>
      <c r="I11082">
        <v>89</v>
      </c>
      <c r="J11082">
        <v>89</v>
      </c>
      <c r="K11082">
        <v>0</v>
      </c>
      <c r="L11082">
        <v>0</v>
      </c>
      <c r="M11082">
        <v>0</v>
      </c>
      <c r="N11082">
        <v>0</v>
      </c>
      <c r="O11082">
        <v>0</v>
      </c>
    </row>
    <row r="11083" spans="1:15" x14ac:dyDescent="0.25">
      <c r="A11083" t="s">
        <v>1608</v>
      </c>
      <c r="B11083" t="s">
        <v>2527</v>
      </c>
      <c r="C11083" t="s">
        <v>923</v>
      </c>
      <c r="D11083" t="s">
        <v>3063</v>
      </c>
      <c r="E11083" t="s">
        <v>3053</v>
      </c>
      <c r="F11083" t="s">
        <v>2</v>
      </c>
      <c r="G11083" t="s">
        <v>3040</v>
      </c>
      <c r="H11083" t="s">
        <v>13075</v>
      </c>
      <c r="I11083">
        <v>35</v>
      </c>
      <c r="J11083">
        <v>35</v>
      </c>
      <c r="K11083">
        <v>0</v>
      </c>
      <c r="L11083">
        <v>0</v>
      </c>
      <c r="M11083">
        <v>0</v>
      </c>
      <c r="N11083">
        <v>0</v>
      </c>
      <c r="O11083">
        <v>0</v>
      </c>
    </row>
    <row r="11084" spans="1:15" x14ac:dyDescent="0.25">
      <c r="A11084" t="s">
        <v>10638</v>
      </c>
      <c r="B11084" t="s">
        <v>2057</v>
      </c>
      <c r="C11084" t="s">
        <v>927</v>
      </c>
      <c r="D11084" t="s">
        <v>3052</v>
      </c>
      <c r="E11084" t="s">
        <v>3053</v>
      </c>
      <c r="F11084" t="s">
        <v>2</v>
      </c>
      <c r="G11084" t="s">
        <v>3040</v>
      </c>
      <c r="H11084" t="s">
        <v>13081</v>
      </c>
      <c r="I11084">
        <v>447</v>
      </c>
      <c r="J11084">
        <v>0</v>
      </c>
      <c r="K11084">
        <v>0</v>
      </c>
      <c r="L11084">
        <v>447</v>
      </c>
      <c r="M11084">
        <v>0</v>
      </c>
      <c r="N11084">
        <v>0</v>
      </c>
      <c r="O11084">
        <v>0</v>
      </c>
    </row>
    <row r="11085" spans="1:15" x14ac:dyDescent="0.25">
      <c r="A11085" t="s">
        <v>1249</v>
      </c>
      <c r="B11085" t="s">
        <v>3029</v>
      </c>
      <c r="C11085" t="s">
        <v>927</v>
      </c>
      <c r="D11085" t="s">
        <v>3052</v>
      </c>
      <c r="E11085" t="s">
        <v>3053</v>
      </c>
      <c r="F11085" t="s">
        <v>2</v>
      </c>
      <c r="G11085" t="s">
        <v>3040</v>
      </c>
      <c r="H11085" t="s">
        <v>13086</v>
      </c>
      <c r="I11085">
        <v>7881</v>
      </c>
      <c r="J11085">
        <v>6350</v>
      </c>
      <c r="K11085">
        <v>0</v>
      </c>
      <c r="L11085">
        <v>0</v>
      </c>
      <c r="M11085">
        <v>975</v>
      </c>
      <c r="N11085">
        <v>3</v>
      </c>
      <c r="O11085">
        <v>556</v>
      </c>
    </row>
    <row r="11086" spans="1:15" x14ac:dyDescent="0.25">
      <c r="A11086" t="s">
        <v>1250</v>
      </c>
      <c r="B11086" t="s">
        <v>2012</v>
      </c>
      <c r="C11086" t="s">
        <v>923</v>
      </c>
      <c r="D11086" t="s">
        <v>3063</v>
      </c>
      <c r="E11086" t="s">
        <v>3053</v>
      </c>
      <c r="F11086" t="s">
        <v>2</v>
      </c>
      <c r="G11086" t="s">
        <v>3040</v>
      </c>
      <c r="H11086" t="s">
        <v>13090</v>
      </c>
      <c r="I11086">
        <v>487</v>
      </c>
      <c r="J11086">
        <v>481</v>
      </c>
      <c r="K11086">
        <v>0</v>
      </c>
      <c r="L11086">
        <v>6</v>
      </c>
      <c r="M11086">
        <v>0</v>
      </c>
      <c r="N11086">
        <v>0</v>
      </c>
      <c r="O11086">
        <v>0</v>
      </c>
    </row>
    <row r="11087" spans="1:15" x14ac:dyDescent="0.25">
      <c r="A11087" t="s">
        <v>1005</v>
      </c>
      <c r="B11087" t="s">
        <v>2128</v>
      </c>
      <c r="C11087" t="s">
        <v>927</v>
      </c>
      <c r="D11087" t="s">
        <v>3052</v>
      </c>
      <c r="E11087" t="s">
        <v>3053</v>
      </c>
      <c r="F11087" t="s">
        <v>2</v>
      </c>
      <c r="G11087" t="s">
        <v>3040</v>
      </c>
      <c r="H11087" t="s">
        <v>13096</v>
      </c>
      <c r="I11087">
        <v>590</v>
      </c>
      <c r="J11087">
        <v>217</v>
      </c>
      <c r="K11087">
        <v>0</v>
      </c>
      <c r="L11087">
        <v>197</v>
      </c>
      <c r="M11087">
        <v>0</v>
      </c>
      <c r="N11087">
        <v>0</v>
      </c>
      <c r="O11087">
        <v>176</v>
      </c>
    </row>
    <row r="11088" spans="1:15" x14ac:dyDescent="0.25">
      <c r="A11088" t="s">
        <v>1609</v>
      </c>
      <c r="B11088" t="s">
        <v>2935</v>
      </c>
      <c r="C11088" t="s">
        <v>923</v>
      </c>
      <c r="D11088" t="s">
        <v>3063</v>
      </c>
      <c r="E11088" t="s">
        <v>3053</v>
      </c>
      <c r="F11088" t="s">
        <v>2</v>
      </c>
      <c r="G11088" t="s">
        <v>3040</v>
      </c>
      <c r="H11088" t="s">
        <v>13099</v>
      </c>
      <c r="I11088">
        <v>578</v>
      </c>
      <c r="J11088">
        <v>546</v>
      </c>
      <c r="K11088">
        <v>0</v>
      </c>
      <c r="L11088">
        <v>32</v>
      </c>
      <c r="M11088">
        <v>0</v>
      </c>
      <c r="N11088">
        <v>0</v>
      </c>
      <c r="O11088">
        <v>0</v>
      </c>
    </row>
    <row r="11089" spans="1:15" x14ac:dyDescent="0.25">
      <c r="A11089" t="s">
        <v>1006</v>
      </c>
      <c r="B11089" t="s">
        <v>2724</v>
      </c>
      <c r="C11089" t="s">
        <v>927</v>
      </c>
      <c r="D11089" t="s">
        <v>3052</v>
      </c>
      <c r="E11089" t="s">
        <v>3053</v>
      </c>
      <c r="F11089" t="s">
        <v>2</v>
      </c>
      <c r="G11089" t="s">
        <v>3040</v>
      </c>
      <c r="H11089" t="s">
        <v>13103</v>
      </c>
      <c r="I11089">
        <v>1</v>
      </c>
      <c r="J11089">
        <v>0</v>
      </c>
      <c r="K11089">
        <v>0</v>
      </c>
      <c r="L11089">
        <v>0</v>
      </c>
      <c r="M11089">
        <v>0</v>
      </c>
      <c r="N11089">
        <v>0</v>
      </c>
      <c r="O11089">
        <v>1</v>
      </c>
    </row>
    <row r="11090" spans="1:15" x14ac:dyDescent="0.25">
      <c r="A11090" t="s">
        <v>11676</v>
      </c>
      <c r="B11090" t="s">
        <v>2705</v>
      </c>
      <c r="C11090" t="s">
        <v>923</v>
      </c>
      <c r="D11090" t="s">
        <v>3063</v>
      </c>
      <c r="E11090" t="s">
        <v>3053</v>
      </c>
      <c r="F11090" t="s">
        <v>2</v>
      </c>
      <c r="G11090" t="s">
        <v>3040</v>
      </c>
      <c r="H11090" t="s">
        <v>13110</v>
      </c>
      <c r="I11090">
        <v>15</v>
      </c>
      <c r="J11090">
        <v>15</v>
      </c>
      <c r="K11090">
        <v>0</v>
      </c>
      <c r="L11090">
        <v>0</v>
      </c>
      <c r="M11090">
        <v>0</v>
      </c>
      <c r="N11090">
        <v>0</v>
      </c>
      <c r="O11090">
        <v>0</v>
      </c>
    </row>
    <row r="11091" spans="1:15" x14ac:dyDescent="0.25">
      <c r="A11091" t="s">
        <v>1610</v>
      </c>
      <c r="B11091" t="s">
        <v>2736</v>
      </c>
      <c r="C11091" t="s">
        <v>923</v>
      </c>
      <c r="D11091" t="s">
        <v>3063</v>
      </c>
      <c r="E11091" t="s">
        <v>3053</v>
      </c>
      <c r="F11091" t="s">
        <v>2</v>
      </c>
      <c r="G11091" t="s">
        <v>3040</v>
      </c>
      <c r="H11091" t="s">
        <v>13111</v>
      </c>
      <c r="I11091">
        <v>333</v>
      </c>
      <c r="J11091">
        <v>160</v>
      </c>
      <c r="K11091">
        <v>0</v>
      </c>
      <c r="L11091">
        <v>0</v>
      </c>
      <c r="M11091">
        <v>173</v>
      </c>
      <c r="N11091">
        <v>0</v>
      </c>
      <c r="O11091">
        <v>0</v>
      </c>
    </row>
    <row r="11092" spans="1:15" x14ac:dyDescent="0.25">
      <c r="A11092" t="s">
        <v>10643</v>
      </c>
      <c r="B11092" t="s">
        <v>2987</v>
      </c>
      <c r="C11092" t="s">
        <v>927</v>
      </c>
      <c r="D11092" t="s">
        <v>3052</v>
      </c>
      <c r="E11092" t="s">
        <v>3053</v>
      </c>
      <c r="F11092" t="s">
        <v>2</v>
      </c>
      <c r="G11092" t="s">
        <v>3040</v>
      </c>
      <c r="H11092" t="s">
        <v>13113</v>
      </c>
      <c r="I11092">
        <v>3698</v>
      </c>
      <c r="J11092">
        <v>2538</v>
      </c>
      <c r="K11092">
        <v>0</v>
      </c>
      <c r="L11092">
        <v>132</v>
      </c>
      <c r="M11092">
        <v>522</v>
      </c>
      <c r="N11092">
        <v>42</v>
      </c>
      <c r="O11092">
        <v>506</v>
      </c>
    </row>
    <row r="11093" spans="1:15" x14ac:dyDescent="0.25">
      <c r="A11093" t="s">
        <v>1611</v>
      </c>
      <c r="B11093" t="s">
        <v>3001</v>
      </c>
      <c r="C11093" t="s">
        <v>923</v>
      </c>
      <c r="D11093" t="s">
        <v>3063</v>
      </c>
      <c r="E11093" t="s">
        <v>3053</v>
      </c>
      <c r="F11093" t="s">
        <v>2</v>
      </c>
      <c r="G11093" t="s">
        <v>3040</v>
      </c>
      <c r="H11093" t="s">
        <v>13119</v>
      </c>
      <c r="I11093">
        <v>37</v>
      </c>
      <c r="J11093">
        <v>0</v>
      </c>
      <c r="K11093">
        <v>0</v>
      </c>
      <c r="L11093">
        <v>5</v>
      </c>
      <c r="M11093">
        <v>32</v>
      </c>
      <c r="N11093">
        <v>0</v>
      </c>
      <c r="O11093">
        <v>0</v>
      </c>
    </row>
    <row r="11094" spans="1:15" x14ac:dyDescent="0.25">
      <c r="A11094" t="s">
        <v>1612</v>
      </c>
      <c r="B11094" t="s">
        <v>2942</v>
      </c>
      <c r="C11094" t="s">
        <v>923</v>
      </c>
      <c r="D11094" t="s">
        <v>3063</v>
      </c>
      <c r="E11094" t="s">
        <v>3053</v>
      </c>
      <c r="F11094" t="s">
        <v>2</v>
      </c>
      <c r="G11094" t="s">
        <v>3040</v>
      </c>
      <c r="H11094" t="s">
        <v>13120</v>
      </c>
      <c r="I11094">
        <v>87</v>
      </c>
      <c r="J11094">
        <v>0</v>
      </c>
      <c r="K11094">
        <v>0</v>
      </c>
      <c r="L11094">
        <v>0</v>
      </c>
      <c r="M11094">
        <v>87</v>
      </c>
      <c r="N11094">
        <v>0</v>
      </c>
      <c r="O11094">
        <v>0</v>
      </c>
    </row>
    <row r="11095" spans="1:15" x14ac:dyDescent="0.25">
      <c r="A11095" t="s">
        <v>1008</v>
      </c>
      <c r="B11095" t="s">
        <v>2928</v>
      </c>
      <c r="C11095" t="s">
        <v>927</v>
      </c>
      <c r="D11095" t="s">
        <v>3052</v>
      </c>
      <c r="E11095" t="s">
        <v>3053</v>
      </c>
      <c r="F11095" t="s">
        <v>2</v>
      </c>
      <c r="G11095" t="s">
        <v>3040</v>
      </c>
      <c r="H11095" t="s">
        <v>13127</v>
      </c>
      <c r="I11095">
        <v>408</v>
      </c>
      <c r="J11095">
        <v>343</v>
      </c>
      <c r="K11095">
        <v>0</v>
      </c>
      <c r="L11095">
        <v>24</v>
      </c>
      <c r="M11095">
        <v>41</v>
      </c>
      <c r="N11095">
        <v>8</v>
      </c>
      <c r="O11095">
        <v>0</v>
      </c>
    </row>
    <row r="11096" spans="1:15" x14ac:dyDescent="0.25">
      <c r="A11096" t="s">
        <v>10647</v>
      </c>
      <c r="B11096" t="s">
        <v>10646</v>
      </c>
      <c r="C11096" t="s">
        <v>923</v>
      </c>
      <c r="D11096" t="s">
        <v>3063</v>
      </c>
      <c r="E11096" t="s">
        <v>3053</v>
      </c>
      <c r="F11096" t="s">
        <v>2</v>
      </c>
      <c r="G11096" t="s">
        <v>3040</v>
      </c>
      <c r="H11096" t="s">
        <v>13131</v>
      </c>
      <c r="I11096">
        <v>83</v>
      </c>
      <c r="J11096">
        <v>83</v>
      </c>
      <c r="K11096">
        <v>0</v>
      </c>
      <c r="L11096">
        <v>0</v>
      </c>
      <c r="M11096">
        <v>0</v>
      </c>
      <c r="N11096">
        <v>0</v>
      </c>
      <c r="O11096">
        <v>0</v>
      </c>
    </row>
    <row r="11097" spans="1:15" x14ac:dyDescent="0.25">
      <c r="A11097" t="s">
        <v>1009</v>
      </c>
      <c r="B11097" t="s">
        <v>1958</v>
      </c>
      <c r="C11097" t="s">
        <v>923</v>
      </c>
      <c r="D11097" t="s">
        <v>3063</v>
      </c>
      <c r="E11097" t="s">
        <v>3053</v>
      </c>
      <c r="F11097" t="s">
        <v>2</v>
      </c>
      <c r="G11097" t="s">
        <v>3040</v>
      </c>
      <c r="H11097" t="s">
        <v>13139</v>
      </c>
      <c r="I11097">
        <v>16</v>
      </c>
      <c r="J11097">
        <v>0</v>
      </c>
      <c r="K11097">
        <v>0</v>
      </c>
      <c r="L11097">
        <v>16</v>
      </c>
      <c r="M11097">
        <v>0</v>
      </c>
      <c r="N11097">
        <v>0</v>
      </c>
      <c r="O11097">
        <v>0</v>
      </c>
    </row>
    <row r="11098" spans="1:15" x14ac:dyDescent="0.25">
      <c r="A11098" t="s">
        <v>1613</v>
      </c>
      <c r="B11098" t="s">
        <v>2501</v>
      </c>
      <c r="C11098" t="s">
        <v>923</v>
      </c>
      <c r="D11098" t="s">
        <v>3063</v>
      </c>
      <c r="E11098" t="s">
        <v>3053</v>
      </c>
      <c r="F11098" t="s">
        <v>2</v>
      </c>
      <c r="G11098" t="s">
        <v>3040</v>
      </c>
      <c r="H11098" t="s">
        <v>13145</v>
      </c>
      <c r="I11098">
        <v>56</v>
      </c>
      <c r="J11098">
        <v>20</v>
      </c>
      <c r="K11098">
        <v>36</v>
      </c>
      <c r="L11098">
        <v>0</v>
      </c>
      <c r="M11098">
        <v>0</v>
      </c>
      <c r="N11098">
        <v>7</v>
      </c>
      <c r="O11098">
        <v>0</v>
      </c>
    </row>
    <row r="11099" spans="1:15" x14ac:dyDescent="0.25">
      <c r="A11099" t="s">
        <v>11703</v>
      </c>
      <c r="B11099" t="s">
        <v>11751</v>
      </c>
      <c r="C11099" t="s">
        <v>923</v>
      </c>
      <c r="D11099" t="s">
        <v>3063</v>
      </c>
      <c r="E11099" t="s">
        <v>3053</v>
      </c>
      <c r="F11099" t="s">
        <v>2</v>
      </c>
      <c r="G11099" t="s">
        <v>3040</v>
      </c>
      <c r="H11099" t="s">
        <v>13150</v>
      </c>
      <c r="I11099">
        <v>4</v>
      </c>
      <c r="J11099">
        <v>0</v>
      </c>
      <c r="K11099">
        <v>0</v>
      </c>
      <c r="L11099">
        <v>0</v>
      </c>
      <c r="M11099">
        <v>4</v>
      </c>
      <c r="N11099">
        <v>0</v>
      </c>
      <c r="O11099">
        <v>0</v>
      </c>
    </row>
    <row r="11100" spans="1:15" x14ac:dyDescent="0.25">
      <c r="A11100" t="s">
        <v>1010</v>
      </c>
      <c r="B11100" t="s">
        <v>2639</v>
      </c>
      <c r="C11100" t="s">
        <v>927</v>
      </c>
      <c r="D11100" t="s">
        <v>3052</v>
      </c>
      <c r="E11100" t="s">
        <v>3053</v>
      </c>
      <c r="F11100" t="s">
        <v>2</v>
      </c>
      <c r="G11100" t="s">
        <v>3040</v>
      </c>
      <c r="H11100" t="s">
        <v>13160</v>
      </c>
      <c r="I11100">
        <v>1356</v>
      </c>
      <c r="J11100">
        <v>1095</v>
      </c>
      <c r="K11100">
        <v>0</v>
      </c>
      <c r="L11100">
        <v>0</v>
      </c>
      <c r="M11100">
        <v>0</v>
      </c>
      <c r="N11100">
        <v>5</v>
      </c>
      <c r="O11100">
        <v>261</v>
      </c>
    </row>
    <row r="11101" spans="1:15" x14ac:dyDescent="0.25">
      <c r="A11101" t="s">
        <v>1614</v>
      </c>
      <c r="B11101" t="s">
        <v>2707</v>
      </c>
      <c r="C11101" t="s">
        <v>923</v>
      </c>
      <c r="D11101" t="s">
        <v>3063</v>
      </c>
      <c r="E11101" t="s">
        <v>3053</v>
      </c>
      <c r="F11101" t="s">
        <v>2</v>
      </c>
      <c r="G11101" t="s">
        <v>3040</v>
      </c>
      <c r="H11101" t="s">
        <v>13163</v>
      </c>
      <c r="I11101">
        <v>116</v>
      </c>
      <c r="J11101">
        <v>116</v>
      </c>
      <c r="K11101">
        <v>0</v>
      </c>
      <c r="L11101">
        <v>0</v>
      </c>
      <c r="M11101">
        <v>0</v>
      </c>
      <c r="N11101">
        <v>0</v>
      </c>
      <c r="O11101">
        <v>0</v>
      </c>
    </row>
    <row r="11102" spans="1:15" x14ac:dyDescent="0.25">
      <c r="A11102" t="s">
        <v>1615</v>
      </c>
      <c r="B11102" t="s">
        <v>2986</v>
      </c>
      <c r="C11102" t="s">
        <v>923</v>
      </c>
      <c r="D11102" t="s">
        <v>3063</v>
      </c>
      <c r="E11102" t="s">
        <v>3053</v>
      </c>
      <c r="F11102" t="s">
        <v>2</v>
      </c>
      <c r="G11102" t="s">
        <v>3040</v>
      </c>
      <c r="H11102" t="s">
        <v>13164</v>
      </c>
      <c r="I11102">
        <v>126</v>
      </c>
      <c r="J11102">
        <v>0</v>
      </c>
      <c r="K11102">
        <v>0</v>
      </c>
      <c r="L11102">
        <v>126</v>
      </c>
      <c r="M11102">
        <v>0</v>
      </c>
      <c r="N11102">
        <v>0</v>
      </c>
      <c r="O11102">
        <v>0</v>
      </c>
    </row>
    <row r="11103" spans="1:15" x14ac:dyDescent="0.25">
      <c r="A11103" t="s">
        <v>10651</v>
      </c>
      <c r="B11103" t="s">
        <v>1941</v>
      </c>
      <c r="C11103" t="s">
        <v>927</v>
      </c>
      <c r="D11103" t="s">
        <v>3052</v>
      </c>
      <c r="E11103" t="s">
        <v>3053</v>
      </c>
      <c r="F11103" t="s">
        <v>2</v>
      </c>
      <c r="G11103" t="s">
        <v>3040</v>
      </c>
      <c r="H11103" t="s">
        <v>13168</v>
      </c>
      <c r="I11103">
        <v>1128</v>
      </c>
      <c r="J11103">
        <v>767</v>
      </c>
      <c r="K11103">
        <v>0</v>
      </c>
      <c r="L11103">
        <v>36</v>
      </c>
      <c r="M11103">
        <v>54</v>
      </c>
      <c r="N11103">
        <v>0</v>
      </c>
      <c r="O11103">
        <v>271</v>
      </c>
    </row>
    <row r="11104" spans="1:15" x14ac:dyDescent="0.25">
      <c r="A11104" t="s">
        <v>1616</v>
      </c>
      <c r="B11104" t="s">
        <v>2771</v>
      </c>
      <c r="C11104" t="s">
        <v>923</v>
      </c>
      <c r="D11104" t="s">
        <v>3063</v>
      </c>
      <c r="E11104" t="s">
        <v>3053</v>
      </c>
      <c r="F11104" t="s">
        <v>2</v>
      </c>
      <c r="G11104" t="s">
        <v>3040</v>
      </c>
      <c r="H11104" t="s">
        <v>13175</v>
      </c>
      <c r="I11104">
        <v>75</v>
      </c>
      <c r="J11104">
        <v>75</v>
      </c>
      <c r="K11104">
        <v>0</v>
      </c>
      <c r="L11104">
        <v>0</v>
      </c>
      <c r="M11104">
        <v>0</v>
      </c>
      <c r="N11104">
        <v>0</v>
      </c>
      <c r="O11104">
        <v>0</v>
      </c>
    </row>
    <row r="11105" spans="1:15" x14ac:dyDescent="0.25">
      <c r="A11105" t="s">
        <v>1617</v>
      </c>
      <c r="B11105" t="s">
        <v>2088</v>
      </c>
      <c r="C11105" t="s">
        <v>923</v>
      </c>
      <c r="D11105" t="s">
        <v>3063</v>
      </c>
      <c r="E11105" t="s">
        <v>3053</v>
      </c>
      <c r="F11105" t="s">
        <v>2</v>
      </c>
      <c r="G11105" t="s">
        <v>3040</v>
      </c>
      <c r="H11105" t="s">
        <v>13176</v>
      </c>
      <c r="I11105">
        <v>31</v>
      </c>
      <c r="J11105">
        <v>0</v>
      </c>
      <c r="K11105">
        <v>0</v>
      </c>
      <c r="L11105">
        <v>31</v>
      </c>
      <c r="M11105">
        <v>0</v>
      </c>
      <c r="N11105">
        <v>0</v>
      </c>
      <c r="O11105">
        <v>0</v>
      </c>
    </row>
    <row r="11106" spans="1:15" x14ac:dyDescent="0.25">
      <c r="A11106" t="s">
        <v>1618</v>
      </c>
      <c r="B11106" t="s">
        <v>2765</v>
      </c>
      <c r="C11106" t="s">
        <v>923</v>
      </c>
      <c r="D11106" t="s">
        <v>3063</v>
      </c>
      <c r="E11106" t="s">
        <v>3053</v>
      </c>
      <c r="F11106" t="s">
        <v>2</v>
      </c>
      <c r="G11106" t="s">
        <v>3040</v>
      </c>
      <c r="H11106" t="s">
        <v>13179</v>
      </c>
      <c r="I11106">
        <v>49</v>
      </c>
      <c r="J11106">
        <v>0</v>
      </c>
      <c r="K11106">
        <v>0</v>
      </c>
      <c r="L11106">
        <v>0</v>
      </c>
      <c r="M11106">
        <v>49</v>
      </c>
      <c r="N11106">
        <v>0</v>
      </c>
      <c r="O11106">
        <v>0</v>
      </c>
    </row>
    <row r="11107" spans="1:15" x14ac:dyDescent="0.25">
      <c r="A11107" t="s">
        <v>1264</v>
      </c>
      <c r="B11107" t="s">
        <v>2749</v>
      </c>
      <c r="C11107" t="s">
        <v>927</v>
      </c>
      <c r="D11107" t="s">
        <v>3052</v>
      </c>
      <c r="E11107" t="s">
        <v>3053</v>
      </c>
      <c r="F11107" t="s">
        <v>2</v>
      </c>
      <c r="G11107" t="s">
        <v>3040</v>
      </c>
      <c r="H11107" t="s">
        <v>13181</v>
      </c>
      <c r="I11107">
        <v>10</v>
      </c>
      <c r="J11107">
        <v>10</v>
      </c>
      <c r="K11107">
        <v>0</v>
      </c>
      <c r="L11107">
        <v>0</v>
      </c>
      <c r="M11107">
        <v>0</v>
      </c>
      <c r="N11107">
        <v>0</v>
      </c>
      <c r="O11107">
        <v>0</v>
      </c>
    </row>
    <row r="11108" spans="1:15" x14ac:dyDescent="0.25">
      <c r="A11108" t="s">
        <v>937</v>
      </c>
      <c r="B11108" t="s">
        <v>1962</v>
      </c>
      <c r="C11108" t="s">
        <v>927</v>
      </c>
      <c r="D11108" t="s">
        <v>3052</v>
      </c>
      <c r="E11108" t="s">
        <v>3053</v>
      </c>
      <c r="F11108" t="s">
        <v>2</v>
      </c>
      <c r="G11108" t="s">
        <v>3040</v>
      </c>
      <c r="H11108" t="s">
        <v>13187</v>
      </c>
      <c r="I11108">
        <v>1083</v>
      </c>
      <c r="J11108">
        <v>0</v>
      </c>
      <c r="K11108">
        <v>0</v>
      </c>
      <c r="L11108">
        <v>0</v>
      </c>
      <c r="M11108">
        <v>0</v>
      </c>
      <c r="N11108">
        <v>0</v>
      </c>
      <c r="O11108">
        <v>1083</v>
      </c>
    </row>
    <row r="11109" spans="1:15" x14ac:dyDescent="0.25">
      <c r="A11109" t="s">
        <v>1119</v>
      </c>
      <c r="B11109" t="s">
        <v>2777</v>
      </c>
      <c r="C11109" t="s">
        <v>927</v>
      </c>
      <c r="D11109" t="s">
        <v>3052</v>
      </c>
      <c r="E11109" t="s">
        <v>3053</v>
      </c>
      <c r="F11109" t="s">
        <v>2</v>
      </c>
      <c r="G11109" t="s">
        <v>3040</v>
      </c>
      <c r="H11109" t="s">
        <v>13196</v>
      </c>
      <c r="I11109">
        <v>1700</v>
      </c>
      <c r="J11109">
        <v>1224</v>
      </c>
      <c r="K11109">
        <v>0</v>
      </c>
      <c r="L11109">
        <v>143</v>
      </c>
      <c r="M11109">
        <v>0</v>
      </c>
      <c r="N11109">
        <v>0</v>
      </c>
      <c r="O11109">
        <v>333</v>
      </c>
    </row>
    <row r="11110" spans="1:15" x14ac:dyDescent="0.25">
      <c r="A11110" t="s">
        <v>1011</v>
      </c>
      <c r="B11110" t="s">
        <v>2020</v>
      </c>
      <c r="C11110" t="s">
        <v>927</v>
      </c>
      <c r="D11110" t="s">
        <v>3052</v>
      </c>
      <c r="E11110" t="s">
        <v>3053</v>
      </c>
      <c r="F11110" t="s">
        <v>2</v>
      </c>
      <c r="G11110" t="s">
        <v>3040</v>
      </c>
      <c r="H11110" t="s">
        <v>13202</v>
      </c>
      <c r="I11110">
        <v>84</v>
      </c>
      <c r="J11110">
        <v>0</v>
      </c>
      <c r="K11110">
        <v>0</v>
      </c>
      <c r="L11110">
        <v>84</v>
      </c>
      <c r="M11110">
        <v>0</v>
      </c>
      <c r="N11110">
        <v>0</v>
      </c>
      <c r="O11110">
        <v>0</v>
      </c>
    </row>
    <row r="11111" spans="1:15" x14ac:dyDescent="0.25">
      <c r="A11111" t="s">
        <v>11704</v>
      </c>
      <c r="B11111" t="s">
        <v>2770</v>
      </c>
      <c r="C11111" t="s">
        <v>923</v>
      </c>
      <c r="D11111" t="s">
        <v>3063</v>
      </c>
      <c r="E11111" t="s">
        <v>3053</v>
      </c>
      <c r="F11111" t="s">
        <v>2</v>
      </c>
      <c r="G11111" t="s">
        <v>3040</v>
      </c>
      <c r="H11111" t="s">
        <v>13210</v>
      </c>
      <c r="I11111">
        <v>30</v>
      </c>
      <c r="J11111">
        <v>0</v>
      </c>
      <c r="K11111">
        <v>0</v>
      </c>
      <c r="L11111">
        <v>0</v>
      </c>
      <c r="M11111">
        <v>30</v>
      </c>
      <c r="N11111">
        <v>0</v>
      </c>
      <c r="O11111">
        <v>0</v>
      </c>
    </row>
    <row r="11112" spans="1:15" x14ac:dyDescent="0.25">
      <c r="A11112" t="s">
        <v>938</v>
      </c>
      <c r="B11112" t="s">
        <v>2791</v>
      </c>
      <c r="C11112" t="s">
        <v>927</v>
      </c>
      <c r="D11112" t="s">
        <v>3052</v>
      </c>
      <c r="E11112" t="s">
        <v>3053</v>
      </c>
      <c r="F11112" t="s">
        <v>2</v>
      </c>
      <c r="G11112" t="s">
        <v>3040</v>
      </c>
      <c r="H11112" t="s">
        <v>13218</v>
      </c>
      <c r="I11112">
        <v>6516</v>
      </c>
      <c r="J11112">
        <v>4617</v>
      </c>
      <c r="K11112">
        <v>0</v>
      </c>
      <c r="L11112">
        <v>875</v>
      </c>
      <c r="M11112">
        <v>217</v>
      </c>
      <c r="N11112">
        <v>5</v>
      </c>
      <c r="O11112">
        <v>807</v>
      </c>
    </row>
    <row r="11113" spans="1:15" x14ac:dyDescent="0.25">
      <c r="A11113" t="s">
        <v>940</v>
      </c>
      <c r="B11113" t="s">
        <v>2647</v>
      </c>
      <c r="C11113" t="s">
        <v>927</v>
      </c>
      <c r="D11113" t="s">
        <v>3052</v>
      </c>
      <c r="E11113" t="s">
        <v>3053</v>
      </c>
      <c r="F11113" t="s">
        <v>2</v>
      </c>
      <c r="G11113" t="s">
        <v>3040</v>
      </c>
      <c r="H11113" t="s">
        <v>13237</v>
      </c>
      <c r="I11113">
        <v>3414</v>
      </c>
      <c r="J11113">
        <v>7</v>
      </c>
      <c r="K11113">
        <v>0</v>
      </c>
      <c r="L11113">
        <v>26</v>
      </c>
      <c r="M11113">
        <v>3165</v>
      </c>
      <c r="N11113">
        <v>0</v>
      </c>
      <c r="O11113">
        <v>216</v>
      </c>
    </row>
    <row r="11114" spans="1:15" x14ac:dyDescent="0.25">
      <c r="A11114" t="s">
        <v>1122</v>
      </c>
      <c r="B11114" t="s">
        <v>2823</v>
      </c>
      <c r="C11114" t="s">
        <v>927</v>
      </c>
      <c r="D11114" t="s">
        <v>3052</v>
      </c>
      <c r="E11114" t="s">
        <v>3053</v>
      </c>
      <c r="F11114" t="s">
        <v>2</v>
      </c>
      <c r="G11114" t="s">
        <v>3040</v>
      </c>
      <c r="H11114" t="s">
        <v>13244</v>
      </c>
      <c r="I11114">
        <v>5703</v>
      </c>
      <c r="J11114">
        <v>4520</v>
      </c>
      <c r="K11114">
        <v>24</v>
      </c>
      <c r="L11114">
        <v>271</v>
      </c>
      <c r="M11114">
        <v>299</v>
      </c>
      <c r="N11114">
        <v>0</v>
      </c>
      <c r="O11114">
        <v>589</v>
      </c>
    </row>
    <row r="11115" spans="1:15" x14ac:dyDescent="0.25">
      <c r="A11115" t="s">
        <v>1123</v>
      </c>
      <c r="B11115" t="s">
        <v>2691</v>
      </c>
      <c r="C11115" t="s">
        <v>927</v>
      </c>
      <c r="D11115" t="s">
        <v>3052</v>
      </c>
      <c r="E11115" t="s">
        <v>3053</v>
      </c>
      <c r="F11115" t="s">
        <v>2</v>
      </c>
      <c r="G11115" t="s">
        <v>3040</v>
      </c>
      <c r="H11115" t="s">
        <v>13256</v>
      </c>
      <c r="I11115">
        <v>12</v>
      </c>
      <c r="J11115">
        <v>12</v>
      </c>
      <c r="K11115">
        <v>0</v>
      </c>
      <c r="L11115">
        <v>0</v>
      </c>
      <c r="M11115">
        <v>0</v>
      </c>
      <c r="N11115">
        <v>0</v>
      </c>
      <c r="O11115">
        <v>0</v>
      </c>
    </row>
    <row r="11116" spans="1:15" x14ac:dyDescent="0.25">
      <c r="A11116" t="s">
        <v>1012</v>
      </c>
      <c r="B11116" t="s">
        <v>2911</v>
      </c>
      <c r="C11116" t="s">
        <v>927</v>
      </c>
      <c r="D11116" t="s">
        <v>3052</v>
      </c>
      <c r="E11116" t="s">
        <v>3053</v>
      </c>
      <c r="F11116" t="s">
        <v>2</v>
      </c>
      <c r="G11116" t="s">
        <v>3040</v>
      </c>
      <c r="H11116" t="s">
        <v>13262</v>
      </c>
      <c r="I11116">
        <v>10848</v>
      </c>
      <c r="J11116">
        <v>7928</v>
      </c>
      <c r="K11116">
        <v>13</v>
      </c>
      <c r="L11116">
        <v>445</v>
      </c>
      <c r="M11116">
        <v>277</v>
      </c>
      <c r="N11116">
        <v>73</v>
      </c>
      <c r="O11116">
        <v>2185</v>
      </c>
    </row>
    <row r="11117" spans="1:15" x14ac:dyDescent="0.25">
      <c r="A11117" t="s">
        <v>1013</v>
      </c>
      <c r="B11117" t="s">
        <v>1959</v>
      </c>
      <c r="C11117" t="s">
        <v>927</v>
      </c>
      <c r="D11117" t="s">
        <v>3052</v>
      </c>
      <c r="E11117" t="s">
        <v>3053</v>
      </c>
      <c r="F11117" t="s">
        <v>2</v>
      </c>
      <c r="G11117" t="s">
        <v>3040</v>
      </c>
      <c r="H11117" t="s">
        <v>13275</v>
      </c>
      <c r="I11117">
        <v>272</v>
      </c>
      <c r="J11117">
        <v>0</v>
      </c>
      <c r="K11117">
        <v>0</v>
      </c>
      <c r="L11117">
        <v>272</v>
      </c>
      <c r="M11117">
        <v>0</v>
      </c>
      <c r="N11117">
        <v>0</v>
      </c>
      <c r="O11117">
        <v>0</v>
      </c>
    </row>
    <row r="11118" spans="1:15" x14ac:dyDescent="0.25">
      <c r="A11118" t="s">
        <v>1619</v>
      </c>
      <c r="B11118" t="s">
        <v>2761</v>
      </c>
      <c r="C11118" t="s">
        <v>923</v>
      </c>
      <c r="D11118" t="s">
        <v>3063</v>
      </c>
      <c r="E11118" t="s">
        <v>3053</v>
      </c>
      <c r="F11118" t="s">
        <v>2</v>
      </c>
      <c r="G11118" t="s">
        <v>3040</v>
      </c>
      <c r="H11118" t="s">
        <v>13285</v>
      </c>
      <c r="I11118">
        <v>36</v>
      </c>
      <c r="J11118">
        <v>36</v>
      </c>
      <c r="K11118">
        <v>0</v>
      </c>
      <c r="L11118">
        <v>0</v>
      </c>
      <c r="M11118">
        <v>0</v>
      </c>
      <c r="N11118">
        <v>0</v>
      </c>
      <c r="O11118">
        <v>0</v>
      </c>
    </row>
    <row r="11119" spans="1:15" x14ac:dyDescent="0.25">
      <c r="A11119" t="s">
        <v>1620</v>
      </c>
      <c r="B11119" t="s">
        <v>2265</v>
      </c>
      <c r="C11119" t="s">
        <v>923</v>
      </c>
      <c r="D11119" t="s">
        <v>3063</v>
      </c>
      <c r="E11119" t="s">
        <v>3053</v>
      </c>
      <c r="F11119" t="s">
        <v>2</v>
      </c>
      <c r="G11119" t="s">
        <v>3040</v>
      </c>
      <c r="H11119" t="s">
        <v>13292</v>
      </c>
      <c r="I11119">
        <v>6</v>
      </c>
      <c r="J11119">
        <v>6</v>
      </c>
      <c r="K11119">
        <v>0</v>
      </c>
      <c r="L11119">
        <v>0</v>
      </c>
      <c r="M11119">
        <v>0</v>
      </c>
      <c r="N11119">
        <v>0</v>
      </c>
      <c r="O11119">
        <v>0</v>
      </c>
    </row>
    <row r="11120" spans="1:15" x14ac:dyDescent="0.25">
      <c r="A11120" t="s">
        <v>1125</v>
      </c>
      <c r="B11120" t="s">
        <v>2938</v>
      </c>
      <c r="C11120" t="s">
        <v>923</v>
      </c>
      <c r="D11120" t="s">
        <v>3063</v>
      </c>
      <c r="E11120" t="s">
        <v>3053</v>
      </c>
      <c r="F11120" t="s">
        <v>2</v>
      </c>
      <c r="G11120" t="s">
        <v>3040</v>
      </c>
      <c r="H11120" t="s">
        <v>13297</v>
      </c>
      <c r="I11120">
        <v>15</v>
      </c>
      <c r="J11120">
        <v>0</v>
      </c>
      <c r="K11120">
        <v>0</v>
      </c>
      <c r="L11120">
        <v>0</v>
      </c>
      <c r="M11120">
        <v>15</v>
      </c>
      <c r="N11120">
        <v>0</v>
      </c>
      <c r="O11120">
        <v>0</v>
      </c>
    </row>
    <row r="11121" spans="1:15" x14ac:dyDescent="0.25">
      <c r="A11121" t="s">
        <v>1621</v>
      </c>
      <c r="B11121" t="s">
        <v>2165</v>
      </c>
      <c r="C11121" t="s">
        <v>923</v>
      </c>
      <c r="D11121" t="s">
        <v>3063</v>
      </c>
      <c r="E11121" t="s">
        <v>3053</v>
      </c>
      <c r="F11121" t="s">
        <v>2</v>
      </c>
      <c r="G11121" t="s">
        <v>3040</v>
      </c>
      <c r="H11121" t="s">
        <v>13306</v>
      </c>
      <c r="I11121">
        <v>16</v>
      </c>
      <c r="J11121">
        <v>16</v>
      </c>
      <c r="K11121">
        <v>0</v>
      </c>
      <c r="L11121">
        <v>0</v>
      </c>
      <c r="M11121">
        <v>0</v>
      </c>
      <c r="N11121">
        <v>0</v>
      </c>
      <c r="O11121">
        <v>0</v>
      </c>
    </row>
    <row r="11122" spans="1:15" x14ac:dyDescent="0.25">
      <c r="A11122" t="s">
        <v>10663</v>
      </c>
      <c r="B11122" t="s">
        <v>10662</v>
      </c>
      <c r="C11122" t="s">
        <v>923</v>
      </c>
      <c r="D11122" t="s">
        <v>3063</v>
      </c>
      <c r="E11122" t="s">
        <v>3053</v>
      </c>
      <c r="F11122" t="s">
        <v>2</v>
      </c>
      <c r="G11122" t="s">
        <v>3040</v>
      </c>
      <c r="H11122" t="s">
        <v>13315</v>
      </c>
      <c r="I11122">
        <v>4</v>
      </c>
      <c r="J11122">
        <v>4</v>
      </c>
      <c r="K11122">
        <v>0</v>
      </c>
      <c r="L11122">
        <v>0</v>
      </c>
      <c r="M11122">
        <v>0</v>
      </c>
      <c r="N11122">
        <v>0</v>
      </c>
      <c r="O11122">
        <v>0</v>
      </c>
    </row>
    <row r="11123" spans="1:15" x14ac:dyDescent="0.25">
      <c r="A11123" t="s">
        <v>1740</v>
      </c>
      <c r="B11123" t="s">
        <v>2904</v>
      </c>
      <c r="C11123" t="s">
        <v>923</v>
      </c>
      <c r="D11123" t="s">
        <v>3063</v>
      </c>
      <c r="E11123" t="s">
        <v>3053</v>
      </c>
      <c r="F11123" t="s">
        <v>2</v>
      </c>
      <c r="G11123" t="s">
        <v>3040</v>
      </c>
      <c r="H11123" t="s">
        <v>13319</v>
      </c>
      <c r="I11123">
        <v>4</v>
      </c>
      <c r="J11123">
        <v>0</v>
      </c>
      <c r="K11123">
        <v>0</v>
      </c>
      <c r="L11123">
        <v>4</v>
      </c>
      <c r="M11123">
        <v>0</v>
      </c>
      <c r="N11123">
        <v>0</v>
      </c>
      <c r="O11123">
        <v>0</v>
      </c>
    </row>
    <row r="11124" spans="1:15" x14ac:dyDescent="0.25">
      <c r="A11124" t="s">
        <v>14386</v>
      </c>
      <c r="B11124" t="s">
        <v>2975</v>
      </c>
      <c r="C11124" t="s">
        <v>927</v>
      </c>
      <c r="D11124" t="s">
        <v>3052</v>
      </c>
      <c r="E11124" t="s">
        <v>3053</v>
      </c>
      <c r="F11124" t="s">
        <v>2</v>
      </c>
      <c r="G11124" t="s">
        <v>3040</v>
      </c>
      <c r="H11124" t="s">
        <v>15569</v>
      </c>
      <c r="I11124">
        <v>87</v>
      </c>
      <c r="J11124">
        <v>77</v>
      </c>
      <c r="K11124">
        <v>0</v>
      </c>
      <c r="L11124">
        <v>0</v>
      </c>
      <c r="M11124">
        <v>0</v>
      </c>
      <c r="N11124">
        <v>0</v>
      </c>
      <c r="O11124">
        <v>10</v>
      </c>
    </row>
    <row r="11125" spans="1:15" x14ac:dyDescent="0.25">
      <c r="A11125" t="s">
        <v>1283</v>
      </c>
      <c r="B11125" t="s">
        <v>2768</v>
      </c>
      <c r="C11125" t="s">
        <v>923</v>
      </c>
      <c r="D11125" t="s">
        <v>3063</v>
      </c>
      <c r="E11125" t="s">
        <v>3053</v>
      </c>
      <c r="F11125" t="s">
        <v>2</v>
      </c>
      <c r="G11125" t="s">
        <v>3040</v>
      </c>
      <c r="H11125" t="s">
        <v>13328</v>
      </c>
      <c r="I11125">
        <v>67</v>
      </c>
      <c r="J11125">
        <v>29</v>
      </c>
      <c r="K11125">
        <v>0</v>
      </c>
      <c r="L11125">
        <v>0</v>
      </c>
      <c r="M11125">
        <v>38</v>
      </c>
      <c r="N11125">
        <v>0</v>
      </c>
      <c r="O11125">
        <v>0</v>
      </c>
    </row>
    <row r="11126" spans="1:15" x14ac:dyDescent="0.25">
      <c r="A11126" t="s">
        <v>1622</v>
      </c>
      <c r="B11126" t="s">
        <v>2225</v>
      </c>
      <c r="C11126" t="s">
        <v>923</v>
      </c>
      <c r="D11126" t="s">
        <v>3063</v>
      </c>
      <c r="E11126" t="s">
        <v>3053</v>
      </c>
      <c r="F11126" t="s">
        <v>2</v>
      </c>
      <c r="G11126" t="s">
        <v>3040</v>
      </c>
      <c r="H11126" t="s">
        <v>13332</v>
      </c>
      <c r="I11126">
        <v>12</v>
      </c>
      <c r="J11126">
        <v>0</v>
      </c>
      <c r="K11126">
        <v>0</v>
      </c>
      <c r="L11126">
        <v>0</v>
      </c>
      <c r="M11126">
        <v>12</v>
      </c>
      <c r="N11126">
        <v>0</v>
      </c>
      <c r="O11126">
        <v>0</v>
      </c>
    </row>
    <row r="11127" spans="1:15" x14ac:dyDescent="0.25">
      <c r="A11127" t="s">
        <v>1623</v>
      </c>
      <c r="B11127" t="s">
        <v>2164</v>
      </c>
      <c r="C11127" t="s">
        <v>923</v>
      </c>
      <c r="D11127" t="s">
        <v>3063</v>
      </c>
      <c r="E11127" t="s">
        <v>3053</v>
      </c>
      <c r="F11127" t="s">
        <v>2</v>
      </c>
      <c r="G11127" t="s">
        <v>3040</v>
      </c>
      <c r="H11127" t="s">
        <v>13334</v>
      </c>
      <c r="I11127">
        <v>12</v>
      </c>
      <c r="J11127">
        <v>0</v>
      </c>
      <c r="K11127">
        <v>0</v>
      </c>
      <c r="L11127">
        <v>0</v>
      </c>
      <c r="M11127">
        <v>12</v>
      </c>
      <c r="N11127">
        <v>0</v>
      </c>
      <c r="O11127">
        <v>0</v>
      </c>
    </row>
    <row r="11128" spans="1:15" x14ac:dyDescent="0.25">
      <c r="A11128" t="s">
        <v>1284</v>
      </c>
      <c r="B11128" t="s">
        <v>2700</v>
      </c>
      <c r="C11128" t="s">
        <v>923</v>
      </c>
      <c r="D11128" t="s">
        <v>3063</v>
      </c>
      <c r="E11128" t="s">
        <v>3053</v>
      </c>
      <c r="F11128" t="s">
        <v>2</v>
      </c>
      <c r="G11128" t="s">
        <v>3040</v>
      </c>
      <c r="H11128" t="s">
        <v>15570</v>
      </c>
      <c r="I11128">
        <v>11</v>
      </c>
      <c r="J11128">
        <v>0</v>
      </c>
      <c r="K11128">
        <v>0</v>
      </c>
      <c r="L11128">
        <v>0</v>
      </c>
      <c r="M11128">
        <v>11</v>
      </c>
      <c r="N11128">
        <v>0</v>
      </c>
      <c r="O11128">
        <v>0</v>
      </c>
    </row>
    <row r="11129" spans="1:15" x14ac:dyDescent="0.25">
      <c r="A11129" t="s">
        <v>1018</v>
      </c>
      <c r="B11129" t="s">
        <v>1980</v>
      </c>
      <c r="C11129" t="s">
        <v>923</v>
      </c>
      <c r="D11129" t="s">
        <v>3063</v>
      </c>
      <c r="E11129" t="s">
        <v>3053</v>
      </c>
      <c r="F11129" t="s">
        <v>2</v>
      </c>
      <c r="G11129" t="s">
        <v>3040</v>
      </c>
      <c r="H11129" t="s">
        <v>13349</v>
      </c>
      <c r="I11129">
        <v>51</v>
      </c>
      <c r="J11129">
        <v>2</v>
      </c>
      <c r="K11129">
        <v>0</v>
      </c>
      <c r="L11129">
        <v>49</v>
      </c>
      <c r="M11129">
        <v>0</v>
      </c>
      <c r="N11129">
        <v>0</v>
      </c>
      <c r="O11129">
        <v>0</v>
      </c>
    </row>
    <row r="11130" spans="1:15" x14ac:dyDescent="0.25">
      <c r="A11130" t="s">
        <v>10667</v>
      </c>
      <c r="B11130" t="s">
        <v>10666</v>
      </c>
      <c r="C11130" t="s">
        <v>927</v>
      </c>
      <c r="D11130" t="s">
        <v>3052</v>
      </c>
      <c r="E11130" t="s">
        <v>3053</v>
      </c>
      <c r="F11130" t="s">
        <v>2</v>
      </c>
      <c r="G11130" t="s">
        <v>3040</v>
      </c>
      <c r="H11130" t="s">
        <v>13365</v>
      </c>
      <c r="I11130">
        <v>326</v>
      </c>
      <c r="J11130">
        <v>326</v>
      </c>
      <c r="K11130">
        <v>0</v>
      </c>
      <c r="L11130">
        <v>0</v>
      </c>
      <c r="M11130">
        <v>0</v>
      </c>
      <c r="N11130">
        <v>0</v>
      </c>
      <c r="O11130">
        <v>0</v>
      </c>
    </row>
    <row r="11131" spans="1:15" x14ac:dyDescent="0.25">
      <c r="A11131" t="s">
        <v>1126</v>
      </c>
      <c r="B11131" t="s">
        <v>2130</v>
      </c>
      <c r="C11131" t="s">
        <v>927</v>
      </c>
      <c r="D11131" t="s">
        <v>3052</v>
      </c>
      <c r="E11131" t="s">
        <v>3053</v>
      </c>
      <c r="F11131" t="s">
        <v>2</v>
      </c>
      <c r="G11131" t="s">
        <v>3040</v>
      </c>
      <c r="H11131" t="s">
        <v>13373</v>
      </c>
      <c r="I11131">
        <v>565</v>
      </c>
      <c r="J11131">
        <v>92</v>
      </c>
      <c r="K11131">
        <v>0</v>
      </c>
      <c r="L11131">
        <v>0</v>
      </c>
      <c r="M11131">
        <v>0</v>
      </c>
      <c r="N11131">
        <v>0</v>
      </c>
      <c r="O11131">
        <v>473</v>
      </c>
    </row>
    <row r="11132" spans="1:15" x14ac:dyDescent="0.25">
      <c r="A11132" t="s">
        <v>1020</v>
      </c>
      <c r="B11132" t="s">
        <v>2104</v>
      </c>
      <c r="C11132" t="s">
        <v>923</v>
      </c>
      <c r="D11132" t="s">
        <v>3063</v>
      </c>
      <c r="E11132" t="s">
        <v>3053</v>
      </c>
      <c r="F11132" t="s">
        <v>2</v>
      </c>
      <c r="G11132" t="s">
        <v>3040</v>
      </c>
      <c r="H11132" t="s">
        <v>13382</v>
      </c>
      <c r="I11132">
        <v>1</v>
      </c>
      <c r="J11132">
        <v>0</v>
      </c>
      <c r="K11132">
        <v>0</v>
      </c>
      <c r="L11132">
        <v>1</v>
      </c>
      <c r="M11132">
        <v>0</v>
      </c>
      <c r="N11132">
        <v>0</v>
      </c>
      <c r="O11132">
        <v>0</v>
      </c>
    </row>
    <row r="11133" spans="1:15" x14ac:dyDescent="0.25">
      <c r="A11133" t="s">
        <v>11755</v>
      </c>
      <c r="B11133" t="s">
        <v>11754</v>
      </c>
      <c r="C11133" t="s">
        <v>923</v>
      </c>
      <c r="D11133" t="s">
        <v>3063</v>
      </c>
      <c r="E11133" t="s">
        <v>3053</v>
      </c>
      <c r="F11133" t="s">
        <v>2</v>
      </c>
      <c r="G11133" t="s">
        <v>3040</v>
      </c>
      <c r="H11133" t="s">
        <v>15571</v>
      </c>
      <c r="I11133">
        <v>58</v>
      </c>
      <c r="J11133">
        <v>0</v>
      </c>
      <c r="K11133">
        <v>0</v>
      </c>
      <c r="L11133">
        <v>58</v>
      </c>
      <c r="M11133">
        <v>0</v>
      </c>
      <c r="N11133">
        <v>0</v>
      </c>
      <c r="O11133">
        <v>0</v>
      </c>
    </row>
    <row r="11134" spans="1:15" x14ac:dyDescent="0.25">
      <c r="A11134" t="s">
        <v>11705</v>
      </c>
      <c r="B11134" t="s">
        <v>2729</v>
      </c>
      <c r="C11134" t="s">
        <v>923</v>
      </c>
      <c r="D11134" t="s">
        <v>3063</v>
      </c>
      <c r="E11134" t="s">
        <v>3053</v>
      </c>
      <c r="F11134" t="s">
        <v>2</v>
      </c>
      <c r="G11134" t="s">
        <v>3040</v>
      </c>
      <c r="H11134" t="s">
        <v>13395</v>
      </c>
      <c r="I11134">
        <v>93</v>
      </c>
      <c r="J11134">
        <v>2</v>
      </c>
      <c r="K11134">
        <v>0</v>
      </c>
      <c r="L11134">
        <v>4</v>
      </c>
      <c r="M11134">
        <v>87</v>
      </c>
      <c r="N11134">
        <v>0</v>
      </c>
      <c r="O11134">
        <v>0</v>
      </c>
    </row>
    <row r="11135" spans="1:15" x14ac:dyDescent="0.25">
      <c r="A11135" t="s">
        <v>942</v>
      </c>
      <c r="B11135" t="s">
        <v>2113</v>
      </c>
      <c r="C11135" t="s">
        <v>927</v>
      </c>
      <c r="D11135" t="s">
        <v>3052</v>
      </c>
      <c r="E11135" t="s">
        <v>3053</v>
      </c>
      <c r="F11135" t="s">
        <v>2</v>
      </c>
      <c r="G11135" t="s">
        <v>3040</v>
      </c>
      <c r="H11135" t="s">
        <v>13399</v>
      </c>
      <c r="I11135">
        <v>2</v>
      </c>
      <c r="J11135">
        <v>0</v>
      </c>
      <c r="K11135">
        <v>0</v>
      </c>
      <c r="L11135">
        <v>0</v>
      </c>
      <c r="M11135">
        <v>0</v>
      </c>
      <c r="N11135">
        <v>0</v>
      </c>
      <c r="O11135">
        <v>2</v>
      </c>
    </row>
    <row r="11136" spans="1:15" x14ac:dyDescent="0.25">
      <c r="A11136" t="s">
        <v>1127</v>
      </c>
      <c r="B11136" t="s">
        <v>3034</v>
      </c>
      <c r="C11136" t="s">
        <v>927</v>
      </c>
      <c r="D11136" t="s">
        <v>3052</v>
      </c>
      <c r="E11136" t="s">
        <v>3053</v>
      </c>
      <c r="F11136" t="s">
        <v>2</v>
      </c>
      <c r="G11136" t="s">
        <v>3040</v>
      </c>
      <c r="H11136" t="s">
        <v>13405</v>
      </c>
      <c r="I11136">
        <v>5</v>
      </c>
      <c r="J11136">
        <v>5</v>
      </c>
      <c r="K11136">
        <v>0</v>
      </c>
      <c r="L11136">
        <v>0</v>
      </c>
      <c r="M11136">
        <v>0</v>
      </c>
      <c r="N11136">
        <v>0</v>
      </c>
      <c r="O11136">
        <v>0</v>
      </c>
    </row>
    <row r="11137" spans="1:15" x14ac:dyDescent="0.25">
      <c r="A11137" t="s">
        <v>1624</v>
      </c>
      <c r="B11137" t="s">
        <v>2076</v>
      </c>
      <c r="C11137" t="s">
        <v>923</v>
      </c>
      <c r="D11137" t="s">
        <v>3063</v>
      </c>
      <c r="E11137" t="s">
        <v>3053</v>
      </c>
      <c r="F11137" t="s">
        <v>2</v>
      </c>
      <c r="G11137" t="s">
        <v>3040</v>
      </c>
      <c r="H11137" t="s">
        <v>13407</v>
      </c>
      <c r="I11137">
        <v>118</v>
      </c>
      <c r="J11137">
        <v>9</v>
      </c>
      <c r="K11137">
        <v>33</v>
      </c>
      <c r="L11137">
        <v>42</v>
      </c>
      <c r="M11137">
        <v>34</v>
      </c>
      <c r="N11137">
        <v>9</v>
      </c>
      <c r="O11137">
        <v>0</v>
      </c>
    </row>
    <row r="11138" spans="1:15" x14ac:dyDescent="0.25">
      <c r="A11138" t="s">
        <v>1025</v>
      </c>
      <c r="B11138" t="s">
        <v>2893</v>
      </c>
      <c r="C11138" t="s">
        <v>927</v>
      </c>
      <c r="D11138" t="s">
        <v>3052</v>
      </c>
      <c r="E11138" t="s">
        <v>3053</v>
      </c>
      <c r="F11138" t="s">
        <v>2</v>
      </c>
      <c r="G11138" t="s">
        <v>3040</v>
      </c>
      <c r="H11138" t="s">
        <v>13414</v>
      </c>
      <c r="I11138">
        <v>7348</v>
      </c>
      <c r="J11138">
        <v>5822</v>
      </c>
      <c r="K11138">
        <v>0</v>
      </c>
      <c r="L11138">
        <v>215</v>
      </c>
      <c r="M11138">
        <v>325</v>
      </c>
      <c r="N11138">
        <v>157</v>
      </c>
      <c r="O11138">
        <v>986</v>
      </c>
    </row>
    <row r="11139" spans="1:15" x14ac:dyDescent="0.25">
      <c r="A11139" t="s">
        <v>1293</v>
      </c>
      <c r="B11139" t="s">
        <v>2910</v>
      </c>
      <c r="C11139" t="s">
        <v>927</v>
      </c>
      <c r="D11139" t="s">
        <v>3052</v>
      </c>
      <c r="E11139" t="s">
        <v>3053</v>
      </c>
      <c r="F11139" t="s">
        <v>2</v>
      </c>
      <c r="G11139" t="s">
        <v>3040</v>
      </c>
      <c r="H11139" t="s">
        <v>13425</v>
      </c>
      <c r="I11139">
        <v>182</v>
      </c>
      <c r="J11139">
        <v>0</v>
      </c>
      <c r="K11139">
        <v>0</v>
      </c>
      <c r="L11139">
        <v>182</v>
      </c>
      <c r="M11139">
        <v>0</v>
      </c>
      <c r="N11139">
        <v>0</v>
      </c>
      <c r="O11139">
        <v>0</v>
      </c>
    </row>
    <row r="11140" spans="1:15" x14ac:dyDescent="0.25">
      <c r="A11140" t="s">
        <v>1626</v>
      </c>
      <c r="B11140" t="s">
        <v>2524</v>
      </c>
      <c r="C11140" t="s">
        <v>923</v>
      </c>
      <c r="D11140" t="s">
        <v>3063</v>
      </c>
      <c r="E11140" t="s">
        <v>3053</v>
      </c>
      <c r="F11140" t="s">
        <v>2</v>
      </c>
      <c r="G11140" t="s">
        <v>3040</v>
      </c>
      <c r="H11140" t="s">
        <v>13432</v>
      </c>
      <c r="I11140">
        <v>17</v>
      </c>
      <c r="J11140">
        <v>17</v>
      </c>
      <c r="K11140">
        <v>0</v>
      </c>
      <c r="L11140">
        <v>0</v>
      </c>
      <c r="M11140">
        <v>0</v>
      </c>
      <c r="N11140">
        <v>0</v>
      </c>
      <c r="O11140">
        <v>0</v>
      </c>
    </row>
    <row r="11141" spans="1:15" x14ac:dyDescent="0.25">
      <c r="A11141" t="s">
        <v>10681</v>
      </c>
      <c r="B11141" t="s">
        <v>10680</v>
      </c>
      <c r="C11141" t="s">
        <v>927</v>
      </c>
      <c r="D11141" t="s">
        <v>3052</v>
      </c>
      <c r="E11141" t="s">
        <v>3053</v>
      </c>
      <c r="F11141" t="s">
        <v>2</v>
      </c>
      <c r="G11141" t="s">
        <v>3040</v>
      </c>
      <c r="H11141" t="s">
        <v>15572</v>
      </c>
      <c r="I11141">
        <v>422</v>
      </c>
      <c r="J11141">
        <v>0</v>
      </c>
      <c r="K11141">
        <v>0</v>
      </c>
      <c r="L11141">
        <v>0</v>
      </c>
      <c r="M11141">
        <v>0</v>
      </c>
      <c r="N11141">
        <v>0</v>
      </c>
      <c r="O11141">
        <v>422</v>
      </c>
    </row>
    <row r="11142" spans="1:15" x14ac:dyDescent="0.25">
      <c r="A11142" t="s">
        <v>1627</v>
      </c>
      <c r="B11142" t="s">
        <v>2035</v>
      </c>
      <c r="C11142" t="s">
        <v>923</v>
      </c>
      <c r="D11142" t="s">
        <v>3063</v>
      </c>
      <c r="E11142" t="s">
        <v>3053</v>
      </c>
      <c r="F11142" t="s">
        <v>2</v>
      </c>
      <c r="G11142" t="s">
        <v>3040</v>
      </c>
      <c r="H11142" t="s">
        <v>13438</v>
      </c>
      <c r="I11142">
        <v>3</v>
      </c>
      <c r="J11142">
        <v>3</v>
      </c>
      <c r="K11142">
        <v>0</v>
      </c>
      <c r="L11142">
        <v>0</v>
      </c>
      <c r="M11142">
        <v>0</v>
      </c>
      <c r="N11142">
        <v>0</v>
      </c>
      <c r="O11142">
        <v>0</v>
      </c>
    </row>
    <row r="11143" spans="1:15" x14ac:dyDescent="0.25">
      <c r="A11143" t="s">
        <v>9826</v>
      </c>
      <c r="B11143" t="s">
        <v>2279</v>
      </c>
      <c r="C11143" t="s">
        <v>923</v>
      </c>
      <c r="D11143" t="s">
        <v>3063</v>
      </c>
      <c r="E11143" t="s">
        <v>3053</v>
      </c>
      <c r="F11143" t="s">
        <v>2</v>
      </c>
      <c r="G11143" t="s">
        <v>3040</v>
      </c>
      <c r="H11143" t="s">
        <v>13444</v>
      </c>
      <c r="I11143">
        <v>4</v>
      </c>
      <c r="J11143">
        <v>4</v>
      </c>
      <c r="K11143">
        <v>0</v>
      </c>
      <c r="L11143">
        <v>0</v>
      </c>
      <c r="M11143">
        <v>0</v>
      </c>
      <c r="N11143">
        <v>0</v>
      </c>
      <c r="O11143">
        <v>0</v>
      </c>
    </row>
    <row r="11144" spans="1:15" x14ac:dyDescent="0.25">
      <c r="A11144" t="s">
        <v>1628</v>
      </c>
      <c r="B11144" t="s">
        <v>2851</v>
      </c>
      <c r="C11144" t="s">
        <v>927</v>
      </c>
      <c r="D11144" t="s">
        <v>3052</v>
      </c>
      <c r="E11144" t="s">
        <v>3053</v>
      </c>
      <c r="F11144" t="s">
        <v>2</v>
      </c>
      <c r="G11144" t="s">
        <v>3040</v>
      </c>
      <c r="H11144" t="s">
        <v>13448</v>
      </c>
      <c r="I11144">
        <v>6164</v>
      </c>
      <c r="J11144">
        <v>5511</v>
      </c>
      <c r="K11144">
        <v>0</v>
      </c>
      <c r="L11144">
        <v>49</v>
      </c>
      <c r="M11144">
        <v>394</v>
      </c>
      <c r="N11144">
        <v>36</v>
      </c>
      <c r="O11144">
        <v>210</v>
      </c>
    </row>
    <row r="11145" spans="1:15" x14ac:dyDescent="0.25">
      <c r="A11145" t="s">
        <v>1028</v>
      </c>
      <c r="B11145" t="s">
        <v>2682</v>
      </c>
      <c r="C11145" t="s">
        <v>923</v>
      </c>
      <c r="D11145" t="s">
        <v>3063</v>
      </c>
      <c r="E11145" t="s">
        <v>3053</v>
      </c>
      <c r="F11145" t="s">
        <v>2</v>
      </c>
      <c r="G11145" t="s">
        <v>3040</v>
      </c>
      <c r="H11145" t="s">
        <v>13451</v>
      </c>
      <c r="I11145">
        <v>33</v>
      </c>
      <c r="J11145">
        <v>0</v>
      </c>
      <c r="K11145">
        <v>0</v>
      </c>
      <c r="L11145">
        <v>0</v>
      </c>
      <c r="M11145">
        <v>33</v>
      </c>
      <c r="N11145">
        <v>0</v>
      </c>
      <c r="O11145">
        <v>0</v>
      </c>
    </row>
    <row r="11146" spans="1:15" x14ac:dyDescent="0.25">
      <c r="A11146" t="s">
        <v>1296</v>
      </c>
      <c r="B11146" t="s">
        <v>2965</v>
      </c>
      <c r="C11146" t="s">
        <v>923</v>
      </c>
      <c r="D11146" t="s">
        <v>3063</v>
      </c>
      <c r="E11146" t="s">
        <v>3053</v>
      </c>
      <c r="F11146" t="s">
        <v>2</v>
      </c>
      <c r="G11146" t="s">
        <v>3040</v>
      </c>
      <c r="H11146" t="s">
        <v>13461</v>
      </c>
      <c r="I11146">
        <v>50</v>
      </c>
      <c r="J11146">
        <v>0</v>
      </c>
      <c r="K11146">
        <v>0</v>
      </c>
      <c r="L11146">
        <v>0</v>
      </c>
      <c r="M11146">
        <v>50</v>
      </c>
      <c r="N11146">
        <v>0</v>
      </c>
      <c r="O11146">
        <v>0</v>
      </c>
    </row>
    <row r="11147" spans="1:15" x14ac:dyDescent="0.25">
      <c r="A11147" t="s">
        <v>943</v>
      </c>
      <c r="B11147" t="s">
        <v>2694</v>
      </c>
      <c r="C11147" t="s">
        <v>927</v>
      </c>
      <c r="D11147" t="s">
        <v>3052</v>
      </c>
      <c r="E11147" t="s">
        <v>3053</v>
      </c>
      <c r="F11147" t="s">
        <v>2</v>
      </c>
      <c r="G11147" t="s">
        <v>3040</v>
      </c>
      <c r="H11147" t="s">
        <v>13470</v>
      </c>
      <c r="I11147">
        <v>8342</v>
      </c>
      <c r="J11147">
        <v>5375</v>
      </c>
      <c r="K11147">
        <v>0</v>
      </c>
      <c r="L11147">
        <v>21</v>
      </c>
      <c r="M11147">
        <v>18</v>
      </c>
      <c r="N11147">
        <v>5</v>
      </c>
      <c r="O11147">
        <v>2928</v>
      </c>
    </row>
    <row r="11148" spans="1:15" x14ac:dyDescent="0.25">
      <c r="A11148" t="s">
        <v>1030</v>
      </c>
      <c r="B11148" t="s">
        <v>2880</v>
      </c>
      <c r="C11148" t="s">
        <v>927</v>
      </c>
      <c r="D11148" t="s">
        <v>3052</v>
      </c>
      <c r="E11148" t="s">
        <v>3053</v>
      </c>
      <c r="F11148" t="s">
        <v>2</v>
      </c>
      <c r="G11148" t="s">
        <v>3040</v>
      </c>
      <c r="H11148" t="s">
        <v>13475</v>
      </c>
      <c r="I11148">
        <v>100</v>
      </c>
      <c r="J11148">
        <v>0</v>
      </c>
      <c r="K11148">
        <v>0</v>
      </c>
      <c r="L11148">
        <v>0</v>
      </c>
      <c r="M11148">
        <v>100</v>
      </c>
      <c r="N11148">
        <v>0</v>
      </c>
      <c r="O11148">
        <v>0</v>
      </c>
    </row>
    <row r="11149" spans="1:15" x14ac:dyDescent="0.25">
      <c r="A11149" t="s">
        <v>1629</v>
      </c>
      <c r="B11149" t="s">
        <v>2437</v>
      </c>
      <c r="C11149" t="s">
        <v>923</v>
      </c>
      <c r="D11149" t="s">
        <v>3063</v>
      </c>
      <c r="E11149" t="s">
        <v>3053</v>
      </c>
      <c r="F11149" t="s">
        <v>2</v>
      </c>
      <c r="G11149" t="s">
        <v>3040</v>
      </c>
      <c r="H11149" t="s">
        <v>13480</v>
      </c>
      <c r="I11149">
        <v>52</v>
      </c>
      <c r="J11149">
        <v>52</v>
      </c>
      <c r="K11149">
        <v>0</v>
      </c>
      <c r="L11149">
        <v>0</v>
      </c>
      <c r="M11149">
        <v>0</v>
      </c>
      <c r="N11149">
        <v>0</v>
      </c>
      <c r="O11149">
        <v>0</v>
      </c>
    </row>
    <row r="11150" spans="1:15" x14ac:dyDescent="0.25">
      <c r="A11150" t="s">
        <v>1630</v>
      </c>
      <c r="B11150" t="s">
        <v>2110</v>
      </c>
      <c r="C11150" t="s">
        <v>923</v>
      </c>
      <c r="D11150" t="s">
        <v>3063</v>
      </c>
      <c r="E11150" t="s">
        <v>3053</v>
      </c>
      <c r="F11150" t="s">
        <v>2</v>
      </c>
      <c r="G11150" t="s">
        <v>3040</v>
      </c>
      <c r="H11150" t="s">
        <v>13482</v>
      </c>
      <c r="I11150">
        <v>206</v>
      </c>
      <c r="J11150">
        <v>0</v>
      </c>
      <c r="K11150">
        <v>0</v>
      </c>
      <c r="L11150">
        <v>206</v>
      </c>
      <c r="M11150">
        <v>0</v>
      </c>
      <c r="N11150">
        <v>0</v>
      </c>
      <c r="O11150">
        <v>0</v>
      </c>
    </row>
    <row r="11151" spans="1:15" x14ac:dyDescent="0.25">
      <c r="A11151" t="s">
        <v>1631</v>
      </c>
      <c r="B11151" t="s">
        <v>2525</v>
      </c>
      <c r="C11151" t="s">
        <v>923</v>
      </c>
      <c r="D11151" t="s">
        <v>3063</v>
      </c>
      <c r="E11151" t="s">
        <v>3053</v>
      </c>
      <c r="F11151" t="s">
        <v>2</v>
      </c>
      <c r="G11151" t="s">
        <v>3040</v>
      </c>
      <c r="H11151" t="s">
        <v>13483</v>
      </c>
      <c r="I11151">
        <v>36</v>
      </c>
      <c r="J11151">
        <v>36</v>
      </c>
      <c r="K11151">
        <v>0</v>
      </c>
      <c r="L11151">
        <v>0</v>
      </c>
      <c r="M11151">
        <v>0</v>
      </c>
      <c r="N11151">
        <v>0</v>
      </c>
      <c r="O11151">
        <v>0</v>
      </c>
    </row>
    <row r="11152" spans="1:15" x14ac:dyDescent="0.25">
      <c r="A11152" t="s">
        <v>1632</v>
      </c>
      <c r="B11152" t="s">
        <v>2474</v>
      </c>
      <c r="C11152" t="s">
        <v>923</v>
      </c>
      <c r="D11152" t="s">
        <v>3063</v>
      </c>
      <c r="E11152" t="s">
        <v>3053</v>
      </c>
      <c r="F11152" t="s">
        <v>2</v>
      </c>
      <c r="G11152" t="s">
        <v>3040</v>
      </c>
      <c r="H11152" t="s">
        <v>13485</v>
      </c>
      <c r="I11152">
        <v>27</v>
      </c>
      <c r="J11152">
        <v>27</v>
      </c>
      <c r="K11152">
        <v>0</v>
      </c>
      <c r="L11152">
        <v>0</v>
      </c>
      <c r="M11152">
        <v>0</v>
      </c>
      <c r="N11152">
        <v>0</v>
      </c>
      <c r="O11152">
        <v>0</v>
      </c>
    </row>
    <row r="11153" spans="1:15" x14ac:dyDescent="0.25">
      <c r="A11153" t="s">
        <v>945</v>
      </c>
      <c r="B11153" t="s">
        <v>2668</v>
      </c>
      <c r="C11153" t="s">
        <v>927</v>
      </c>
      <c r="D11153" t="s">
        <v>3052</v>
      </c>
      <c r="E11153" t="s">
        <v>3053</v>
      </c>
      <c r="F11153" t="s">
        <v>2</v>
      </c>
      <c r="G11153" t="s">
        <v>3040</v>
      </c>
      <c r="H11153" t="s">
        <v>13488</v>
      </c>
      <c r="I11153">
        <v>10548</v>
      </c>
      <c r="J11153">
        <v>5714</v>
      </c>
      <c r="K11153">
        <v>0</v>
      </c>
      <c r="L11153">
        <v>148</v>
      </c>
      <c r="M11153">
        <v>514</v>
      </c>
      <c r="N11153">
        <v>0</v>
      </c>
      <c r="O11153">
        <v>4172</v>
      </c>
    </row>
    <row r="11154" spans="1:15" x14ac:dyDescent="0.25">
      <c r="A11154" t="s">
        <v>1300</v>
      </c>
      <c r="B11154" t="s">
        <v>2644</v>
      </c>
      <c r="C11154" t="s">
        <v>927</v>
      </c>
      <c r="D11154" t="s">
        <v>3052</v>
      </c>
      <c r="E11154" t="s">
        <v>3053</v>
      </c>
      <c r="F11154" t="s">
        <v>2</v>
      </c>
      <c r="G11154" t="s">
        <v>3040</v>
      </c>
      <c r="H11154" t="s">
        <v>13496</v>
      </c>
      <c r="I11154">
        <v>1537</v>
      </c>
      <c r="J11154">
        <v>1008</v>
      </c>
      <c r="K11154">
        <v>0</v>
      </c>
      <c r="L11154">
        <v>50</v>
      </c>
      <c r="M11154">
        <v>287</v>
      </c>
      <c r="N11154">
        <v>55</v>
      </c>
      <c r="O11154">
        <v>192</v>
      </c>
    </row>
    <row r="11155" spans="1:15" x14ac:dyDescent="0.25">
      <c r="A11155" t="s">
        <v>10687</v>
      </c>
      <c r="B11155" t="s">
        <v>10686</v>
      </c>
      <c r="C11155" t="s">
        <v>923</v>
      </c>
      <c r="D11155" t="s">
        <v>3063</v>
      </c>
      <c r="E11155" t="s">
        <v>3053</v>
      </c>
      <c r="F11155" t="s">
        <v>2</v>
      </c>
      <c r="G11155" t="s">
        <v>3040</v>
      </c>
      <c r="H11155" t="s">
        <v>15573</v>
      </c>
      <c r="I11155">
        <v>31</v>
      </c>
      <c r="J11155">
        <v>31</v>
      </c>
      <c r="K11155">
        <v>0</v>
      </c>
      <c r="L11155">
        <v>0</v>
      </c>
      <c r="M11155">
        <v>0</v>
      </c>
      <c r="N11155">
        <v>0</v>
      </c>
      <c r="O11155">
        <v>0</v>
      </c>
    </row>
    <row r="11156" spans="1:15" x14ac:dyDescent="0.25">
      <c r="A11156" t="s">
        <v>1031</v>
      </c>
      <c r="B11156" t="s">
        <v>2779</v>
      </c>
      <c r="C11156" t="s">
        <v>927</v>
      </c>
      <c r="D11156" t="s">
        <v>3052</v>
      </c>
      <c r="E11156" t="s">
        <v>3053</v>
      </c>
      <c r="F11156" t="s">
        <v>2</v>
      </c>
      <c r="G11156" t="s">
        <v>3040</v>
      </c>
      <c r="H11156" t="s">
        <v>13501</v>
      </c>
      <c r="I11156">
        <v>63</v>
      </c>
      <c r="J11156">
        <v>63</v>
      </c>
      <c r="K11156">
        <v>0</v>
      </c>
      <c r="L11156">
        <v>0</v>
      </c>
      <c r="M11156">
        <v>0</v>
      </c>
      <c r="N11156">
        <v>0</v>
      </c>
      <c r="O11156">
        <v>0</v>
      </c>
    </row>
    <row r="11157" spans="1:15" x14ac:dyDescent="0.25">
      <c r="A11157" t="s">
        <v>947</v>
      </c>
      <c r="B11157" t="s">
        <v>2728</v>
      </c>
      <c r="C11157" t="s">
        <v>923</v>
      </c>
      <c r="D11157" t="s">
        <v>3063</v>
      </c>
      <c r="E11157" t="s">
        <v>3053</v>
      </c>
      <c r="F11157" t="s">
        <v>2</v>
      </c>
      <c r="G11157" t="s">
        <v>3040</v>
      </c>
      <c r="H11157" t="s">
        <v>13504</v>
      </c>
      <c r="I11157">
        <v>102</v>
      </c>
      <c r="J11157">
        <v>0</v>
      </c>
      <c r="K11157">
        <v>0</v>
      </c>
      <c r="L11157">
        <v>0</v>
      </c>
      <c r="M11157">
        <v>102</v>
      </c>
      <c r="N11157">
        <v>0</v>
      </c>
      <c r="O11157">
        <v>0</v>
      </c>
    </row>
    <row r="11158" spans="1:15" x14ac:dyDescent="0.25">
      <c r="A11158" t="s">
        <v>1302</v>
      </c>
      <c r="B11158" t="s">
        <v>1961</v>
      </c>
      <c r="C11158" t="s">
        <v>923</v>
      </c>
      <c r="D11158" t="s">
        <v>3063</v>
      </c>
      <c r="E11158" t="s">
        <v>3053</v>
      </c>
      <c r="F11158" t="s">
        <v>2</v>
      </c>
      <c r="G11158" t="s">
        <v>3040</v>
      </c>
      <c r="H11158" t="s">
        <v>13520</v>
      </c>
      <c r="I11158">
        <v>3</v>
      </c>
      <c r="J11158">
        <v>0</v>
      </c>
      <c r="K11158">
        <v>0</v>
      </c>
      <c r="L11158">
        <v>3</v>
      </c>
      <c r="M11158">
        <v>0</v>
      </c>
      <c r="N11158">
        <v>0</v>
      </c>
      <c r="O11158">
        <v>0</v>
      </c>
    </row>
    <row r="11159" spans="1:15" x14ac:dyDescent="0.25">
      <c r="A11159" t="s">
        <v>11706</v>
      </c>
      <c r="B11159" t="s">
        <v>11761</v>
      </c>
      <c r="C11159" t="s">
        <v>923</v>
      </c>
      <c r="D11159" t="s">
        <v>3063</v>
      </c>
      <c r="E11159" t="s">
        <v>3053</v>
      </c>
      <c r="F11159" t="s">
        <v>2</v>
      </c>
      <c r="G11159" t="s">
        <v>3040</v>
      </c>
      <c r="H11159" t="s">
        <v>13543</v>
      </c>
      <c r="I11159">
        <v>99</v>
      </c>
      <c r="J11159">
        <v>99</v>
      </c>
      <c r="K11159">
        <v>0</v>
      </c>
      <c r="L11159">
        <v>0</v>
      </c>
      <c r="M11159">
        <v>0</v>
      </c>
      <c r="N11159">
        <v>0</v>
      </c>
      <c r="O11159">
        <v>0</v>
      </c>
    </row>
    <row r="11160" spans="1:15" x14ac:dyDescent="0.25">
      <c r="A11160" t="s">
        <v>1633</v>
      </c>
      <c r="B11160" t="s">
        <v>2233</v>
      </c>
      <c r="C11160" t="s">
        <v>923</v>
      </c>
      <c r="D11160" t="s">
        <v>3063</v>
      </c>
      <c r="E11160" t="s">
        <v>3053</v>
      </c>
      <c r="F11160" t="s">
        <v>2</v>
      </c>
      <c r="G11160" t="s">
        <v>3040</v>
      </c>
      <c r="H11160" t="s">
        <v>13544</v>
      </c>
      <c r="I11160">
        <v>7</v>
      </c>
      <c r="J11160">
        <v>0</v>
      </c>
      <c r="K11160">
        <v>0</v>
      </c>
      <c r="L11160">
        <v>0</v>
      </c>
      <c r="M11160">
        <v>7</v>
      </c>
      <c r="N11160">
        <v>0</v>
      </c>
      <c r="O11160">
        <v>0</v>
      </c>
    </row>
    <row r="11161" spans="1:15" x14ac:dyDescent="0.25">
      <c r="A11161" t="s">
        <v>1134</v>
      </c>
      <c r="B11161" t="s">
        <v>2118</v>
      </c>
      <c r="C11161" t="s">
        <v>927</v>
      </c>
      <c r="D11161" t="s">
        <v>3052</v>
      </c>
      <c r="E11161" t="s">
        <v>3053</v>
      </c>
      <c r="F11161" t="s">
        <v>2</v>
      </c>
      <c r="G11161" t="s">
        <v>3040</v>
      </c>
      <c r="H11161" t="s">
        <v>13551</v>
      </c>
      <c r="I11161">
        <v>98</v>
      </c>
      <c r="J11161">
        <v>23</v>
      </c>
      <c r="K11161">
        <v>0</v>
      </c>
      <c r="L11161">
        <v>0</v>
      </c>
      <c r="M11161">
        <v>0</v>
      </c>
      <c r="N11161">
        <v>0</v>
      </c>
      <c r="O11161">
        <v>75</v>
      </c>
    </row>
    <row r="11162" spans="1:15" x14ac:dyDescent="0.25">
      <c r="A11162" t="s">
        <v>949</v>
      </c>
      <c r="B11162" t="s">
        <v>3035</v>
      </c>
      <c r="C11162" t="s">
        <v>927</v>
      </c>
      <c r="D11162" t="s">
        <v>3052</v>
      </c>
      <c r="E11162" t="s">
        <v>3053</v>
      </c>
      <c r="F11162" t="s">
        <v>2</v>
      </c>
      <c r="G11162" t="s">
        <v>3040</v>
      </c>
      <c r="H11162" t="s">
        <v>13555</v>
      </c>
      <c r="I11162">
        <v>130</v>
      </c>
      <c r="J11162">
        <v>0</v>
      </c>
      <c r="K11162">
        <v>0</v>
      </c>
      <c r="L11162">
        <v>0</v>
      </c>
      <c r="M11162">
        <v>0</v>
      </c>
      <c r="N11162">
        <v>0</v>
      </c>
      <c r="O11162">
        <v>130</v>
      </c>
    </row>
    <row r="11163" spans="1:15" x14ac:dyDescent="0.25">
      <c r="A11163" t="s">
        <v>1135</v>
      </c>
      <c r="B11163" t="s">
        <v>1996</v>
      </c>
      <c r="C11163" t="s">
        <v>923</v>
      </c>
      <c r="D11163" t="s">
        <v>3063</v>
      </c>
      <c r="E11163" t="s">
        <v>3053</v>
      </c>
      <c r="F11163" t="s">
        <v>2</v>
      </c>
      <c r="G11163" t="s">
        <v>3040</v>
      </c>
      <c r="H11163" t="s">
        <v>13563</v>
      </c>
      <c r="I11163">
        <v>19</v>
      </c>
      <c r="J11163">
        <v>19</v>
      </c>
      <c r="K11163">
        <v>0</v>
      </c>
      <c r="L11163">
        <v>0</v>
      </c>
      <c r="M11163">
        <v>0</v>
      </c>
      <c r="N11163">
        <v>0</v>
      </c>
      <c r="O11163">
        <v>0</v>
      </c>
    </row>
    <row r="11164" spans="1:15" x14ac:dyDescent="0.25">
      <c r="A11164" t="s">
        <v>1634</v>
      </c>
      <c r="B11164" t="s">
        <v>2519</v>
      </c>
      <c r="C11164" t="s">
        <v>923</v>
      </c>
      <c r="D11164" t="s">
        <v>3063</v>
      </c>
      <c r="E11164" t="s">
        <v>3053</v>
      </c>
      <c r="F11164" t="s">
        <v>2</v>
      </c>
      <c r="G11164" t="s">
        <v>3040</v>
      </c>
      <c r="H11164" t="s">
        <v>13565</v>
      </c>
      <c r="I11164">
        <v>25</v>
      </c>
      <c r="J11164">
        <v>25</v>
      </c>
      <c r="K11164">
        <v>0</v>
      </c>
      <c r="L11164">
        <v>0</v>
      </c>
      <c r="M11164">
        <v>0</v>
      </c>
      <c r="N11164">
        <v>0</v>
      </c>
      <c r="O11164">
        <v>0</v>
      </c>
    </row>
    <row r="11165" spans="1:15" x14ac:dyDescent="0.25">
      <c r="A11165" t="s">
        <v>1635</v>
      </c>
      <c r="B11165" t="s">
        <v>2515</v>
      </c>
      <c r="C11165" t="s">
        <v>923</v>
      </c>
      <c r="D11165" t="s">
        <v>3063</v>
      </c>
      <c r="E11165" t="s">
        <v>3053</v>
      </c>
      <c r="F11165" t="s">
        <v>2</v>
      </c>
      <c r="G11165" t="s">
        <v>3040</v>
      </c>
      <c r="H11165" t="s">
        <v>13566</v>
      </c>
      <c r="I11165">
        <v>36</v>
      </c>
      <c r="J11165">
        <v>36</v>
      </c>
      <c r="K11165">
        <v>0</v>
      </c>
      <c r="L11165">
        <v>0</v>
      </c>
      <c r="M11165">
        <v>0</v>
      </c>
      <c r="N11165">
        <v>0</v>
      </c>
      <c r="O11165">
        <v>0</v>
      </c>
    </row>
    <row r="11166" spans="1:15" x14ac:dyDescent="0.25">
      <c r="A11166" t="s">
        <v>1636</v>
      </c>
      <c r="B11166" t="s">
        <v>2650</v>
      </c>
      <c r="C11166" t="s">
        <v>923</v>
      </c>
      <c r="D11166" t="s">
        <v>3063</v>
      </c>
      <c r="E11166" t="s">
        <v>3053</v>
      </c>
      <c r="F11166" t="s">
        <v>2</v>
      </c>
      <c r="G11166" t="s">
        <v>3040</v>
      </c>
      <c r="H11166" t="s">
        <v>13568</v>
      </c>
      <c r="I11166">
        <v>15</v>
      </c>
      <c r="J11166">
        <v>3</v>
      </c>
      <c r="K11166">
        <v>0</v>
      </c>
      <c r="L11166">
        <v>0</v>
      </c>
      <c r="M11166">
        <v>12</v>
      </c>
      <c r="N11166">
        <v>0</v>
      </c>
      <c r="O11166">
        <v>0</v>
      </c>
    </row>
    <row r="11167" spans="1:15" x14ac:dyDescent="0.25">
      <c r="A11167" t="s">
        <v>9827</v>
      </c>
      <c r="B11167" t="s">
        <v>2208</v>
      </c>
      <c r="C11167" t="s">
        <v>923</v>
      </c>
      <c r="D11167" t="s">
        <v>3063</v>
      </c>
      <c r="E11167" t="s">
        <v>3053</v>
      </c>
      <c r="F11167" t="s">
        <v>2</v>
      </c>
      <c r="G11167" t="s">
        <v>3040</v>
      </c>
      <c r="H11167" t="s">
        <v>13571</v>
      </c>
      <c r="I11167">
        <v>41</v>
      </c>
      <c r="J11167">
        <v>0</v>
      </c>
      <c r="K11167">
        <v>0</v>
      </c>
      <c r="L11167">
        <v>0</v>
      </c>
      <c r="M11167">
        <v>41</v>
      </c>
      <c r="N11167">
        <v>0</v>
      </c>
      <c r="O11167">
        <v>0</v>
      </c>
    </row>
    <row r="11168" spans="1:15" x14ac:dyDescent="0.25">
      <c r="A11168" t="s">
        <v>9806</v>
      </c>
      <c r="B11168" t="s">
        <v>2772</v>
      </c>
      <c r="C11168" t="s">
        <v>923</v>
      </c>
      <c r="D11168" t="s">
        <v>3063</v>
      </c>
      <c r="E11168" t="s">
        <v>3053</v>
      </c>
      <c r="F11168" t="s">
        <v>2</v>
      </c>
      <c r="G11168" t="s">
        <v>3040</v>
      </c>
      <c r="H11168" t="s">
        <v>13575</v>
      </c>
      <c r="I11168">
        <v>2</v>
      </c>
      <c r="J11168">
        <v>0</v>
      </c>
      <c r="K11168">
        <v>2</v>
      </c>
      <c r="L11168">
        <v>0</v>
      </c>
      <c r="M11168">
        <v>0</v>
      </c>
      <c r="N11168">
        <v>0</v>
      </c>
      <c r="O11168">
        <v>0</v>
      </c>
    </row>
    <row r="11169" spans="1:15" x14ac:dyDescent="0.25">
      <c r="A11169" t="s">
        <v>1637</v>
      </c>
      <c r="B11169" t="s">
        <v>2512</v>
      </c>
      <c r="C11169" t="s">
        <v>923</v>
      </c>
      <c r="D11169" t="s">
        <v>3063</v>
      </c>
      <c r="E11169" t="s">
        <v>3053</v>
      </c>
      <c r="F11169" t="s">
        <v>2</v>
      </c>
      <c r="G11169" t="s">
        <v>3040</v>
      </c>
      <c r="H11169" t="s">
        <v>13576</v>
      </c>
      <c r="I11169">
        <v>42</v>
      </c>
      <c r="J11169">
        <v>42</v>
      </c>
      <c r="K11169">
        <v>0</v>
      </c>
      <c r="L11169">
        <v>0</v>
      </c>
      <c r="M11169">
        <v>0</v>
      </c>
      <c r="N11169">
        <v>0</v>
      </c>
      <c r="O11169">
        <v>0</v>
      </c>
    </row>
    <row r="11170" spans="1:15" x14ac:dyDescent="0.25">
      <c r="A11170" t="s">
        <v>1136</v>
      </c>
      <c r="B11170" t="s">
        <v>1942</v>
      </c>
      <c r="C11170" t="s">
        <v>923</v>
      </c>
      <c r="D11170" t="s">
        <v>3063</v>
      </c>
      <c r="E11170" t="s">
        <v>3053</v>
      </c>
      <c r="F11170" t="s">
        <v>2</v>
      </c>
      <c r="G11170" t="s">
        <v>3040</v>
      </c>
      <c r="H11170" t="s">
        <v>13580</v>
      </c>
      <c r="I11170">
        <v>48</v>
      </c>
      <c r="J11170">
        <v>48</v>
      </c>
      <c r="K11170">
        <v>0</v>
      </c>
      <c r="L11170">
        <v>0</v>
      </c>
      <c r="M11170">
        <v>0</v>
      </c>
      <c r="N11170">
        <v>0</v>
      </c>
      <c r="O11170">
        <v>0</v>
      </c>
    </row>
    <row r="11171" spans="1:15" x14ac:dyDescent="0.25">
      <c r="A11171" t="s">
        <v>1138</v>
      </c>
      <c r="B11171" t="s">
        <v>2635</v>
      </c>
      <c r="C11171" t="s">
        <v>923</v>
      </c>
      <c r="D11171" t="s">
        <v>3063</v>
      </c>
      <c r="E11171" t="s">
        <v>3053</v>
      </c>
      <c r="F11171" t="s">
        <v>2</v>
      </c>
      <c r="G11171" t="s">
        <v>3040</v>
      </c>
      <c r="H11171" t="s">
        <v>13585</v>
      </c>
      <c r="I11171">
        <v>141</v>
      </c>
      <c r="J11171">
        <v>0</v>
      </c>
      <c r="K11171">
        <v>0</v>
      </c>
      <c r="L11171">
        <v>141</v>
      </c>
      <c r="M11171">
        <v>0</v>
      </c>
      <c r="N11171">
        <v>0</v>
      </c>
      <c r="O11171">
        <v>0</v>
      </c>
    </row>
    <row r="11172" spans="1:15" x14ac:dyDescent="0.25">
      <c r="A11172" t="s">
        <v>1041</v>
      </c>
      <c r="B11172" t="s">
        <v>2826</v>
      </c>
      <c r="C11172" t="s">
        <v>927</v>
      </c>
      <c r="D11172" t="s">
        <v>3052</v>
      </c>
      <c r="E11172" t="s">
        <v>3053</v>
      </c>
      <c r="F11172" t="s">
        <v>2</v>
      </c>
      <c r="G11172" t="s">
        <v>3040</v>
      </c>
      <c r="H11172" t="s">
        <v>13593</v>
      </c>
      <c r="I11172">
        <v>2191</v>
      </c>
      <c r="J11172">
        <v>41</v>
      </c>
      <c r="K11172">
        <v>0</v>
      </c>
      <c r="L11172">
        <v>0</v>
      </c>
      <c r="M11172">
        <v>0</v>
      </c>
      <c r="N11172">
        <v>0</v>
      </c>
      <c r="O11172">
        <v>2150</v>
      </c>
    </row>
    <row r="11173" spans="1:15" x14ac:dyDescent="0.25">
      <c r="A11173" t="s">
        <v>9787</v>
      </c>
      <c r="B11173" t="s">
        <v>2822</v>
      </c>
      <c r="C11173" t="s">
        <v>927</v>
      </c>
      <c r="D11173" t="s">
        <v>3052</v>
      </c>
      <c r="E11173" t="s">
        <v>3053</v>
      </c>
      <c r="F11173" t="s">
        <v>2</v>
      </c>
      <c r="G11173" t="s">
        <v>3040</v>
      </c>
      <c r="H11173" t="s">
        <v>13598</v>
      </c>
      <c r="I11173">
        <v>8889</v>
      </c>
      <c r="J11173">
        <v>7942</v>
      </c>
      <c r="K11173">
        <v>0</v>
      </c>
      <c r="L11173">
        <v>135</v>
      </c>
      <c r="M11173">
        <v>785</v>
      </c>
      <c r="N11173">
        <v>53</v>
      </c>
      <c r="O11173">
        <v>27</v>
      </c>
    </row>
    <row r="11174" spans="1:15" x14ac:dyDescent="0.25">
      <c r="A11174" t="s">
        <v>1140</v>
      </c>
      <c r="B11174" t="s">
        <v>2697</v>
      </c>
      <c r="C11174" t="s">
        <v>927</v>
      </c>
      <c r="D11174" t="s">
        <v>3052</v>
      </c>
      <c r="E11174" t="s">
        <v>3053</v>
      </c>
      <c r="F11174" t="s">
        <v>2</v>
      </c>
      <c r="G11174" t="s">
        <v>3040</v>
      </c>
      <c r="H11174" t="s">
        <v>13606</v>
      </c>
      <c r="I11174">
        <v>3</v>
      </c>
      <c r="J11174">
        <v>0</v>
      </c>
      <c r="K11174">
        <v>0</v>
      </c>
      <c r="L11174">
        <v>0</v>
      </c>
      <c r="M11174">
        <v>0</v>
      </c>
      <c r="N11174">
        <v>0</v>
      </c>
      <c r="O11174">
        <v>3</v>
      </c>
    </row>
    <row r="11175" spans="1:15" x14ac:dyDescent="0.25">
      <c r="A11175" t="s">
        <v>1638</v>
      </c>
      <c r="B11175" t="s">
        <v>2359</v>
      </c>
      <c r="C11175" t="s">
        <v>923</v>
      </c>
      <c r="D11175" t="s">
        <v>3063</v>
      </c>
      <c r="E11175" t="s">
        <v>3053</v>
      </c>
      <c r="F11175" t="s">
        <v>2</v>
      </c>
      <c r="G11175" t="s">
        <v>3040</v>
      </c>
      <c r="H11175" t="s">
        <v>13607</v>
      </c>
      <c r="I11175">
        <v>92</v>
      </c>
      <c r="J11175">
        <v>92</v>
      </c>
      <c r="K11175">
        <v>0</v>
      </c>
      <c r="L11175">
        <v>0</v>
      </c>
      <c r="M11175">
        <v>0</v>
      </c>
      <c r="N11175">
        <v>0</v>
      </c>
      <c r="O11175">
        <v>0</v>
      </c>
    </row>
    <row r="11176" spans="1:15" x14ac:dyDescent="0.25">
      <c r="A11176" t="s">
        <v>10694</v>
      </c>
      <c r="B11176" t="s">
        <v>10693</v>
      </c>
      <c r="C11176" t="s">
        <v>923</v>
      </c>
      <c r="D11176" t="s">
        <v>3063</v>
      </c>
      <c r="E11176" t="s">
        <v>3053</v>
      </c>
      <c r="F11176" t="s">
        <v>2</v>
      </c>
      <c r="G11176" t="s">
        <v>3040</v>
      </c>
      <c r="H11176" t="s">
        <v>15574</v>
      </c>
      <c r="I11176">
        <v>8</v>
      </c>
      <c r="J11176">
        <v>8</v>
      </c>
      <c r="K11176">
        <v>0</v>
      </c>
      <c r="L11176">
        <v>0</v>
      </c>
      <c r="M11176">
        <v>0</v>
      </c>
      <c r="N11176">
        <v>0</v>
      </c>
      <c r="O11176">
        <v>0</v>
      </c>
    </row>
    <row r="11177" spans="1:15" x14ac:dyDescent="0.25">
      <c r="A11177" t="s">
        <v>1142</v>
      </c>
      <c r="B11177" t="s">
        <v>3003</v>
      </c>
      <c r="C11177" t="s">
        <v>927</v>
      </c>
      <c r="D11177" t="s">
        <v>3052</v>
      </c>
      <c r="E11177" t="s">
        <v>3053</v>
      </c>
      <c r="F11177" t="s">
        <v>2</v>
      </c>
      <c r="G11177" t="s">
        <v>3040</v>
      </c>
      <c r="H11177" t="s">
        <v>13620</v>
      </c>
      <c r="I11177">
        <v>10464</v>
      </c>
      <c r="J11177">
        <v>8407</v>
      </c>
      <c r="K11177">
        <v>3</v>
      </c>
      <c r="L11177">
        <v>68</v>
      </c>
      <c r="M11177">
        <v>25</v>
      </c>
      <c r="N11177">
        <v>54</v>
      </c>
      <c r="O11177">
        <v>1961</v>
      </c>
    </row>
    <row r="11178" spans="1:15" x14ac:dyDescent="0.25">
      <c r="A11178" t="s">
        <v>1043</v>
      </c>
      <c r="B11178" t="s">
        <v>2090</v>
      </c>
      <c r="C11178" t="s">
        <v>927</v>
      </c>
      <c r="D11178" t="s">
        <v>3052</v>
      </c>
      <c r="E11178" t="s">
        <v>3053</v>
      </c>
      <c r="F11178" t="s">
        <v>2</v>
      </c>
      <c r="G11178" t="s">
        <v>3040</v>
      </c>
      <c r="H11178" t="s">
        <v>13626</v>
      </c>
      <c r="I11178">
        <v>5709</v>
      </c>
      <c r="J11178">
        <v>4465</v>
      </c>
      <c r="K11178">
        <v>0</v>
      </c>
      <c r="L11178">
        <v>13</v>
      </c>
      <c r="M11178">
        <v>764</v>
      </c>
      <c r="N11178">
        <v>0</v>
      </c>
      <c r="O11178">
        <v>467</v>
      </c>
    </row>
    <row r="11179" spans="1:15" x14ac:dyDescent="0.25">
      <c r="A11179" t="s">
        <v>1044</v>
      </c>
      <c r="B11179" t="s">
        <v>2000</v>
      </c>
      <c r="C11179" t="s">
        <v>923</v>
      </c>
      <c r="D11179" t="s">
        <v>3063</v>
      </c>
      <c r="E11179" t="s">
        <v>3053</v>
      </c>
      <c r="F11179" t="s">
        <v>2</v>
      </c>
      <c r="G11179" t="s">
        <v>3040</v>
      </c>
      <c r="H11179" t="s">
        <v>13632</v>
      </c>
      <c r="I11179">
        <v>64</v>
      </c>
      <c r="J11179">
        <v>0</v>
      </c>
      <c r="K11179">
        <v>0</v>
      </c>
      <c r="L11179">
        <v>64</v>
      </c>
      <c r="M11179">
        <v>0</v>
      </c>
      <c r="N11179">
        <v>0</v>
      </c>
      <c r="O11179">
        <v>0</v>
      </c>
    </row>
    <row r="11180" spans="1:15" x14ac:dyDescent="0.25">
      <c r="A11180" t="s">
        <v>1144</v>
      </c>
      <c r="B11180" t="s">
        <v>2124</v>
      </c>
      <c r="C11180" t="s">
        <v>923</v>
      </c>
      <c r="D11180" t="s">
        <v>3063</v>
      </c>
      <c r="E11180" t="s">
        <v>3053</v>
      </c>
      <c r="F11180" t="s">
        <v>2</v>
      </c>
      <c r="G11180" t="s">
        <v>3040</v>
      </c>
      <c r="H11180" t="s">
        <v>13639</v>
      </c>
      <c r="I11180">
        <v>40</v>
      </c>
      <c r="J11180">
        <v>40</v>
      </c>
      <c r="K11180">
        <v>0</v>
      </c>
      <c r="L11180">
        <v>0</v>
      </c>
      <c r="M11180">
        <v>0</v>
      </c>
      <c r="N11180">
        <v>0</v>
      </c>
      <c r="O11180">
        <v>0</v>
      </c>
    </row>
    <row r="11181" spans="1:15" x14ac:dyDescent="0.25">
      <c r="A11181" t="s">
        <v>1146</v>
      </c>
      <c r="B11181" t="s">
        <v>2117</v>
      </c>
      <c r="C11181" t="s">
        <v>927</v>
      </c>
      <c r="D11181" t="s">
        <v>3052</v>
      </c>
      <c r="E11181" t="s">
        <v>3053</v>
      </c>
      <c r="F11181" t="s">
        <v>2</v>
      </c>
      <c r="G11181" t="s">
        <v>3040</v>
      </c>
      <c r="H11181" t="s">
        <v>13652</v>
      </c>
      <c r="I11181">
        <v>5821</v>
      </c>
      <c r="J11181">
        <v>3927</v>
      </c>
      <c r="K11181">
        <v>0</v>
      </c>
      <c r="L11181">
        <v>66</v>
      </c>
      <c r="M11181">
        <v>237</v>
      </c>
      <c r="N11181">
        <v>24</v>
      </c>
      <c r="O11181">
        <v>1591</v>
      </c>
    </row>
    <row r="11182" spans="1:15" x14ac:dyDescent="0.25">
      <c r="A11182" t="s">
        <v>1639</v>
      </c>
      <c r="B11182" t="s">
        <v>2300</v>
      </c>
      <c r="C11182" t="s">
        <v>923</v>
      </c>
      <c r="D11182" t="s">
        <v>3063</v>
      </c>
      <c r="E11182" t="s">
        <v>3053</v>
      </c>
      <c r="F11182" t="s">
        <v>2</v>
      </c>
      <c r="G11182" t="s">
        <v>3040</v>
      </c>
      <c r="H11182" t="s">
        <v>13653</v>
      </c>
      <c r="I11182">
        <v>5</v>
      </c>
      <c r="J11182">
        <v>0</v>
      </c>
      <c r="K11182">
        <v>0</v>
      </c>
      <c r="L11182">
        <v>0</v>
      </c>
      <c r="M11182">
        <v>5</v>
      </c>
      <c r="N11182">
        <v>0</v>
      </c>
      <c r="O11182">
        <v>0</v>
      </c>
    </row>
    <row r="11183" spans="1:15" x14ac:dyDescent="0.25">
      <c r="A11183" t="s">
        <v>11707</v>
      </c>
      <c r="B11183" t="s">
        <v>2743</v>
      </c>
      <c r="C11183" t="s">
        <v>923</v>
      </c>
      <c r="D11183" t="s">
        <v>3063</v>
      </c>
      <c r="E11183" t="s">
        <v>3053</v>
      </c>
      <c r="F11183" t="s">
        <v>2</v>
      </c>
      <c r="G11183" t="s">
        <v>3040</v>
      </c>
      <c r="H11183" t="s">
        <v>13654</v>
      </c>
      <c r="I11183">
        <v>17</v>
      </c>
      <c r="J11183">
        <v>0</v>
      </c>
      <c r="K11183">
        <v>0</v>
      </c>
      <c r="L11183">
        <v>0</v>
      </c>
      <c r="M11183">
        <v>17</v>
      </c>
      <c r="N11183">
        <v>0</v>
      </c>
      <c r="O11183">
        <v>0</v>
      </c>
    </row>
    <row r="11184" spans="1:15" x14ac:dyDescent="0.25">
      <c r="A11184" t="s">
        <v>1640</v>
      </c>
      <c r="B11184" t="s">
        <v>2202</v>
      </c>
      <c r="C11184" t="s">
        <v>923</v>
      </c>
      <c r="D11184" t="s">
        <v>3063</v>
      </c>
      <c r="E11184" t="s">
        <v>3053</v>
      </c>
      <c r="F11184" t="s">
        <v>2</v>
      </c>
      <c r="G11184" t="s">
        <v>3040</v>
      </c>
      <c r="H11184" t="s">
        <v>13660</v>
      </c>
      <c r="I11184">
        <v>74</v>
      </c>
      <c r="J11184">
        <v>10</v>
      </c>
      <c r="K11184">
        <v>0</v>
      </c>
      <c r="L11184">
        <v>0</v>
      </c>
      <c r="M11184">
        <v>64</v>
      </c>
      <c r="N11184">
        <v>0</v>
      </c>
      <c r="O11184">
        <v>0</v>
      </c>
    </row>
    <row r="11185" spans="1:15" x14ac:dyDescent="0.25">
      <c r="A11185" t="s">
        <v>9828</v>
      </c>
      <c r="B11185" t="s">
        <v>2659</v>
      </c>
      <c r="C11185" t="s">
        <v>923</v>
      </c>
      <c r="D11185" t="s">
        <v>3063</v>
      </c>
      <c r="E11185" t="s">
        <v>3053</v>
      </c>
      <c r="F11185" t="s">
        <v>2</v>
      </c>
      <c r="G11185" t="s">
        <v>3040</v>
      </c>
      <c r="H11185" t="s">
        <v>13667</v>
      </c>
      <c r="I11185">
        <v>306</v>
      </c>
      <c r="J11185">
        <v>286</v>
      </c>
      <c r="K11185">
        <v>0</v>
      </c>
      <c r="L11185">
        <v>4</v>
      </c>
      <c r="M11185">
        <v>16</v>
      </c>
      <c r="N11185">
        <v>0</v>
      </c>
      <c r="O11185">
        <v>0</v>
      </c>
    </row>
    <row r="11186" spans="1:15" x14ac:dyDescent="0.25">
      <c r="A11186" t="s">
        <v>1641</v>
      </c>
      <c r="B11186" t="s">
        <v>2520</v>
      </c>
      <c r="C11186" t="s">
        <v>923</v>
      </c>
      <c r="D11186" t="s">
        <v>3063</v>
      </c>
      <c r="E11186" t="s">
        <v>3053</v>
      </c>
      <c r="F11186" t="s">
        <v>2</v>
      </c>
      <c r="G11186" t="s">
        <v>3040</v>
      </c>
      <c r="H11186" t="s">
        <v>13676</v>
      </c>
      <c r="I11186">
        <v>25</v>
      </c>
      <c r="J11186">
        <v>25</v>
      </c>
      <c r="K11186">
        <v>0</v>
      </c>
      <c r="L11186">
        <v>0</v>
      </c>
      <c r="M11186">
        <v>0</v>
      </c>
      <c r="N11186">
        <v>0</v>
      </c>
      <c r="O11186">
        <v>0</v>
      </c>
    </row>
    <row r="11187" spans="1:15" x14ac:dyDescent="0.25">
      <c r="A11187" t="s">
        <v>11681</v>
      </c>
      <c r="B11187" t="s">
        <v>10690</v>
      </c>
      <c r="C11187" t="s">
        <v>923</v>
      </c>
      <c r="D11187" t="s">
        <v>3063</v>
      </c>
      <c r="E11187" t="s">
        <v>3053</v>
      </c>
      <c r="F11187" t="s">
        <v>2</v>
      </c>
      <c r="G11187" t="s">
        <v>3040</v>
      </c>
      <c r="H11187" t="s">
        <v>13678</v>
      </c>
      <c r="I11187">
        <v>14</v>
      </c>
      <c r="J11187">
        <v>14</v>
      </c>
      <c r="K11187">
        <v>0</v>
      </c>
      <c r="L11187">
        <v>0</v>
      </c>
      <c r="M11187">
        <v>0</v>
      </c>
      <c r="N11187">
        <v>0</v>
      </c>
      <c r="O11187">
        <v>0</v>
      </c>
    </row>
    <row r="11188" spans="1:15" x14ac:dyDescent="0.25">
      <c r="A11188" t="s">
        <v>1906</v>
      </c>
      <c r="B11188" t="s">
        <v>1983</v>
      </c>
      <c r="C11188" t="s">
        <v>923</v>
      </c>
      <c r="D11188" t="s">
        <v>3063</v>
      </c>
      <c r="E11188" t="s">
        <v>3053</v>
      </c>
      <c r="F11188" t="s">
        <v>2</v>
      </c>
      <c r="G11188" t="s">
        <v>3040</v>
      </c>
      <c r="H11188" t="s">
        <v>13680</v>
      </c>
      <c r="I11188">
        <v>50</v>
      </c>
      <c r="J11188">
        <v>50</v>
      </c>
      <c r="K11188">
        <v>0</v>
      </c>
      <c r="L11188">
        <v>0</v>
      </c>
      <c r="M11188">
        <v>0</v>
      </c>
      <c r="N11188">
        <v>0</v>
      </c>
      <c r="O11188">
        <v>0</v>
      </c>
    </row>
    <row r="11189" spans="1:15" x14ac:dyDescent="0.25">
      <c r="A11189" t="s">
        <v>951</v>
      </c>
      <c r="B11189" t="s">
        <v>2680</v>
      </c>
      <c r="C11189" t="s">
        <v>927</v>
      </c>
      <c r="D11189" t="s">
        <v>3052</v>
      </c>
      <c r="E11189" t="s">
        <v>3053</v>
      </c>
      <c r="F11189" t="s">
        <v>2</v>
      </c>
      <c r="G11189" t="s">
        <v>3040</v>
      </c>
      <c r="H11189" t="s">
        <v>13688</v>
      </c>
      <c r="I11189">
        <v>5619</v>
      </c>
      <c r="J11189">
        <v>5021</v>
      </c>
      <c r="K11189">
        <v>0</v>
      </c>
      <c r="L11189">
        <v>12</v>
      </c>
      <c r="M11189">
        <v>82</v>
      </c>
      <c r="N11189">
        <v>11</v>
      </c>
      <c r="O11189">
        <v>504</v>
      </c>
    </row>
    <row r="11190" spans="1:15" x14ac:dyDescent="0.25">
      <c r="A11190" t="s">
        <v>1048</v>
      </c>
      <c r="B11190" t="s">
        <v>2989</v>
      </c>
      <c r="C11190" t="s">
        <v>927</v>
      </c>
      <c r="D11190" t="s">
        <v>3052</v>
      </c>
      <c r="E11190" t="s">
        <v>3053</v>
      </c>
      <c r="F11190" t="s">
        <v>2</v>
      </c>
      <c r="G11190" t="s">
        <v>3040</v>
      </c>
      <c r="H11190" t="s">
        <v>13697</v>
      </c>
      <c r="I11190">
        <v>433</v>
      </c>
      <c r="J11190">
        <v>96</v>
      </c>
      <c r="K11190">
        <v>0</v>
      </c>
      <c r="L11190">
        <v>220</v>
      </c>
      <c r="M11190">
        <v>40</v>
      </c>
      <c r="N11190">
        <v>0</v>
      </c>
      <c r="O11190">
        <v>77</v>
      </c>
    </row>
    <row r="11191" spans="1:15" x14ac:dyDescent="0.25">
      <c r="A11191" t="s">
        <v>1049</v>
      </c>
      <c r="B11191" t="s">
        <v>2138</v>
      </c>
      <c r="C11191" t="s">
        <v>927</v>
      </c>
      <c r="D11191" t="s">
        <v>3052</v>
      </c>
      <c r="E11191" t="s">
        <v>3053</v>
      </c>
      <c r="F11191" t="s">
        <v>2</v>
      </c>
      <c r="G11191" t="s">
        <v>3040</v>
      </c>
      <c r="H11191" t="s">
        <v>13705</v>
      </c>
      <c r="I11191">
        <v>359</v>
      </c>
      <c r="J11191">
        <v>210</v>
      </c>
      <c r="K11191">
        <v>0</v>
      </c>
      <c r="L11191">
        <v>0</v>
      </c>
      <c r="M11191">
        <v>0</v>
      </c>
      <c r="N11191">
        <v>0</v>
      </c>
      <c r="O11191">
        <v>149</v>
      </c>
    </row>
    <row r="11192" spans="1:15" x14ac:dyDescent="0.25">
      <c r="A11192" t="s">
        <v>1050</v>
      </c>
      <c r="B11192" t="s">
        <v>2018</v>
      </c>
      <c r="C11192" t="s">
        <v>923</v>
      </c>
      <c r="D11192" t="s">
        <v>3063</v>
      </c>
      <c r="E11192" t="s">
        <v>3053</v>
      </c>
      <c r="F11192" t="s">
        <v>2</v>
      </c>
      <c r="G11192" t="s">
        <v>3040</v>
      </c>
      <c r="H11192" t="s">
        <v>13710</v>
      </c>
      <c r="I11192">
        <v>60</v>
      </c>
      <c r="J11192">
        <v>60</v>
      </c>
      <c r="K11192">
        <v>0</v>
      </c>
      <c r="L11192">
        <v>0</v>
      </c>
      <c r="M11192">
        <v>0</v>
      </c>
      <c r="N11192">
        <v>0</v>
      </c>
      <c r="O11192">
        <v>0</v>
      </c>
    </row>
    <row r="11193" spans="1:15" x14ac:dyDescent="0.25">
      <c r="A11193" t="s">
        <v>1642</v>
      </c>
      <c r="B11193" t="s">
        <v>2638</v>
      </c>
      <c r="C11193" t="s">
        <v>923</v>
      </c>
      <c r="D11193" t="s">
        <v>3063</v>
      </c>
      <c r="E11193" t="s">
        <v>3053</v>
      </c>
      <c r="F11193" t="s">
        <v>2</v>
      </c>
      <c r="G11193" t="s">
        <v>3040</v>
      </c>
      <c r="H11193" t="s">
        <v>13719</v>
      </c>
      <c r="I11193">
        <v>44</v>
      </c>
      <c r="J11193">
        <v>0</v>
      </c>
      <c r="K11193">
        <v>0</v>
      </c>
      <c r="L11193">
        <v>0</v>
      </c>
      <c r="M11193">
        <v>44</v>
      </c>
      <c r="N11193">
        <v>0</v>
      </c>
      <c r="O11193">
        <v>0</v>
      </c>
    </row>
    <row r="11194" spans="1:15" x14ac:dyDescent="0.25">
      <c r="A11194" t="s">
        <v>1643</v>
      </c>
      <c r="B11194" t="s">
        <v>2585</v>
      </c>
      <c r="C11194" t="s">
        <v>923</v>
      </c>
      <c r="D11194" t="s">
        <v>3063</v>
      </c>
      <c r="E11194" t="s">
        <v>3053</v>
      </c>
      <c r="F11194" t="s">
        <v>2</v>
      </c>
      <c r="G11194" t="s">
        <v>3040</v>
      </c>
      <c r="H11194" t="s">
        <v>13721</v>
      </c>
      <c r="I11194">
        <v>41</v>
      </c>
      <c r="J11194">
        <v>10</v>
      </c>
      <c r="K11194">
        <v>0</v>
      </c>
      <c r="L11194">
        <v>31</v>
      </c>
      <c r="M11194">
        <v>0</v>
      </c>
      <c r="N11194">
        <v>0</v>
      </c>
      <c r="O11194">
        <v>0</v>
      </c>
    </row>
    <row r="11195" spans="1:15" x14ac:dyDescent="0.25">
      <c r="A11195" t="s">
        <v>1644</v>
      </c>
      <c r="B11195" t="s">
        <v>2683</v>
      </c>
      <c r="C11195" t="s">
        <v>923</v>
      </c>
      <c r="D11195" t="s">
        <v>3063</v>
      </c>
      <c r="E11195" t="s">
        <v>3053</v>
      </c>
      <c r="F11195" t="s">
        <v>2</v>
      </c>
      <c r="G11195" t="s">
        <v>3040</v>
      </c>
      <c r="H11195" t="s">
        <v>13722</v>
      </c>
      <c r="I11195">
        <v>158</v>
      </c>
      <c r="J11195">
        <v>47</v>
      </c>
      <c r="K11195">
        <v>0</v>
      </c>
      <c r="L11195">
        <v>0</v>
      </c>
      <c r="M11195">
        <v>111</v>
      </c>
      <c r="N11195">
        <v>0</v>
      </c>
      <c r="O11195">
        <v>0</v>
      </c>
    </row>
    <row r="11196" spans="1:15" x14ac:dyDescent="0.25">
      <c r="A11196" t="s">
        <v>1051</v>
      </c>
      <c r="B11196" t="s">
        <v>2995</v>
      </c>
      <c r="C11196" t="s">
        <v>927</v>
      </c>
      <c r="D11196" t="s">
        <v>3052</v>
      </c>
      <c r="E11196" t="s">
        <v>3053</v>
      </c>
      <c r="F11196" t="s">
        <v>2</v>
      </c>
      <c r="G11196" t="s">
        <v>3040</v>
      </c>
      <c r="H11196" t="s">
        <v>13732</v>
      </c>
      <c r="I11196">
        <v>64</v>
      </c>
      <c r="J11196">
        <v>0</v>
      </c>
      <c r="K11196">
        <v>0</v>
      </c>
      <c r="L11196">
        <v>64</v>
      </c>
      <c r="M11196">
        <v>0</v>
      </c>
      <c r="N11196">
        <v>0</v>
      </c>
      <c r="O11196">
        <v>0</v>
      </c>
    </row>
    <row r="11197" spans="1:15" x14ac:dyDescent="0.25">
      <c r="A11197" t="s">
        <v>1330</v>
      </c>
      <c r="B11197" t="s">
        <v>2776</v>
      </c>
      <c r="C11197" t="s">
        <v>923</v>
      </c>
      <c r="D11197" t="s">
        <v>3063</v>
      </c>
      <c r="E11197" t="s">
        <v>3053</v>
      </c>
      <c r="F11197" t="s">
        <v>2</v>
      </c>
      <c r="G11197" t="s">
        <v>3040</v>
      </c>
      <c r="H11197" t="s">
        <v>13742</v>
      </c>
      <c r="I11197">
        <v>41</v>
      </c>
      <c r="J11197">
        <v>29</v>
      </c>
      <c r="K11197">
        <v>0</v>
      </c>
      <c r="L11197">
        <v>0</v>
      </c>
      <c r="M11197">
        <v>12</v>
      </c>
      <c r="N11197">
        <v>0</v>
      </c>
      <c r="O11197">
        <v>0</v>
      </c>
    </row>
    <row r="11198" spans="1:15" x14ac:dyDescent="0.25">
      <c r="A11198" t="s">
        <v>1331</v>
      </c>
      <c r="B11198" t="s">
        <v>2856</v>
      </c>
      <c r="C11198" t="s">
        <v>927</v>
      </c>
      <c r="D11198" t="s">
        <v>3052</v>
      </c>
      <c r="E11198" t="s">
        <v>3053</v>
      </c>
      <c r="F11198" t="s">
        <v>2</v>
      </c>
      <c r="G11198" t="s">
        <v>3040</v>
      </c>
      <c r="H11198" t="s">
        <v>13749</v>
      </c>
      <c r="I11198">
        <v>6282</v>
      </c>
      <c r="J11198">
        <v>5420</v>
      </c>
      <c r="K11198">
        <v>0</v>
      </c>
      <c r="L11198">
        <v>0</v>
      </c>
      <c r="M11198">
        <v>360</v>
      </c>
      <c r="N11198">
        <v>31</v>
      </c>
      <c r="O11198">
        <v>502</v>
      </c>
    </row>
    <row r="11199" spans="1:15" x14ac:dyDescent="0.25">
      <c r="A11199" t="s">
        <v>1645</v>
      </c>
      <c r="B11199" t="s">
        <v>2906</v>
      </c>
      <c r="C11199" t="s">
        <v>923</v>
      </c>
      <c r="D11199" t="s">
        <v>3063</v>
      </c>
      <c r="E11199" t="s">
        <v>3053</v>
      </c>
      <c r="F11199" t="s">
        <v>2</v>
      </c>
      <c r="G11199" t="s">
        <v>3040</v>
      </c>
      <c r="H11199" t="s">
        <v>13751</v>
      </c>
      <c r="I11199">
        <v>40</v>
      </c>
      <c r="J11199">
        <v>0</v>
      </c>
      <c r="K11199">
        <v>0</v>
      </c>
      <c r="L11199">
        <v>40</v>
      </c>
      <c r="M11199">
        <v>0</v>
      </c>
      <c r="N11199">
        <v>0</v>
      </c>
      <c r="O11199">
        <v>0</v>
      </c>
    </row>
    <row r="11200" spans="1:15" x14ac:dyDescent="0.25">
      <c r="A11200" t="s">
        <v>1646</v>
      </c>
      <c r="B11200" t="s">
        <v>1970</v>
      </c>
      <c r="C11200" t="s">
        <v>927</v>
      </c>
      <c r="D11200" t="s">
        <v>3052</v>
      </c>
      <c r="E11200" t="s">
        <v>3053</v>
      </c>
      <c r="F11200" t="s">
        <v>2</v>
      </c>
      <c r="G11200" t="s">
        <v>3040</v>
      </c>
      <c r="H11200" t="s">
        <v>13755</v>
      </c>
      <c r="I11200">
        <v>5439</v>
      </c>
      <c r="J11200">
        <v>3683</v>
      </c>
      <c r="K11200">
        <v>0</v>
      </c>
      <c r="L11200">
        <v>0</v>
      </c>
      <c r="M11200">
        <v>1695</v>
      </c>
      <c r="N11200">
        <v>0</v>
      </c>
      <c r="O11200">
        <v>61</v>
      </c>
    </row>
    <row r="11201" spans="1:15" x14ac:dyDescent="0.25">
      <c r="A11201" t="s">
        <v>953</v>
      </c>
      <c r="B11201" t="s">
        <v>2014</v>
      </c>
      <c r="C11201" t="s">
        <v>927</v>
      </c>
      <c r="D11201" t="s">
        <v>3052</v>
      </c>
      <c r="E11201" t="s">
        <v>3053</v>
      </c>
      <c r="F11201" t="s">
        <v>2</v>
      </c>
      <c r="G11201" t="s">
        <v>3040</v>
      </c>
      <c r="H11201" t="s">
        <v>13766</v>
      </c>
      <c r="I11201">
        <v>277</v>
      </c>
      <c r="J11201">
        <v>0</v>
      </c>
      <c r="K11201">
        <v>0</v>
      </c>
      <c r="L11201">
        <v>277</v>
      </c>
      <c r="M11201">
        <v>0</v>
      </c>
      <c r="N11201">
        <v>0</v>
      </c>
      <c r="O11201">
        <v>0</v>
      </c>
    </row>
    <row r="11202" spans="1:15" x14ac:dyDescent="0.25">
      <c r="A11202" t="s">
        <v>1647</v>
      </c>
      <c r="B11202" t="s">
        <v>2339</v>
      </c>
      <c r="C11202" t="s">
        <v>923</v>
      </c>
      <c r="D11202" t="s">
        <v>3063</v>
      </c>
      <c r="E11202" t="s">
        <v>3053</v>
      </c>
      <c r="F11202" t="s">
        <v>2</v>
      </c>
      <c r="G11202" t="s">
        <v>3040</v>
      </c>
      <c r="H11202" t="s">
        <v>13770</v>
      </c>
      <c r="I11202">
        <v>6</v>
      </c>
      <c r="J11202">
        <v>0</v>
      </c>
      <c r="K11202">
        <v>0</v>
      </c>
      <c r="L11202">
        <v>0</v>
      </c>
      <c r="M11202">
        <v>6</v>
      </c>
      <c r="N11202">
        <v>0</v>
      </c>
      <c r="O11202">
        <v>0</v>
      </c>
    </row>
    <row r="11203" spans="1:15" x14ac:dyDescent="0.25">
      <c r="A11203" t="s">
        <v>10809</v>
      </c>
      <c r="B11203" t="s">
        <v>10808</v>
      </c>
      <c r="C11203" t="s">
        <v>923</v>
      </c>
      <c r="D11203" t="s">
        <v>3063</v>
      </c>
      <c r="E11203" t="s">
        <v>3053</v>
      </c>
      <c r="F11203" t="s">
        <v>2</v>
      </c>
      <c r="G11203" t="s">
        <v>3040</v>
      </c>
      <c r="H11203" t="s">
        <v>15575</v>
      </c>
      <c r="I11203">
        <v>1</v>
      </c>
      <c r="J11203">
        <v>1</v>
      </c>
      <c r="K11203">
        <v>0</v>
      </c>
      <c r="L11203">
        <v>0</v>
      </c>
      <c r="M11203">
        <v>0</v>
      </c>
      <c r="N11203">
        <v>0</v>
      </c>
      <c r="O11203">
        <v>0</v>
      </c>
    </row>
    <row r="11204" spans="1:15" x14ac:dyDescent="0.25">
      <c r="A11204" t="s">
        <v>1648</v>
      </c>
      <c r="B11204" t="s">
        <v>2934</v>
      </c>
      <c r="C11204" t="s">
        <v>923</v>
      </c>
      <c r="D11204" t="s">
        <v>3063</v>
      </c>
      <c r="E11204" t="s">
        <v>3053</v>
      </c>
      <c r="F11204" t="s">
        <v>2</v>
      </c>
      <c r="G11204" t="s">
        <v>3040</v>
      </c>
      <c r="H11204" t="s">
        <v>13782</v>
      </c>
      <c r="I11204">
        <v>126</v>
      </c>
      <c r="J11204">
        <v>0</v>
      </c>
      <c r="K11204">
        <v>0</v>
      </c>
      <c r="L11204">
        <v>0</v>
      </c>
      <c r="M11204">
        <v>126</v>
      </c>
      <c r="N11204">
        <v>0</v>
      </c>
      <c r="O11204">
        <v>0</v>
      </c>
    </row>
    <row r="11205" spans="1:15" x14ac:dyDescent="0.25">
      <c r="A11205" t="s">
        <v>1651</v>
      </c>
      <c r="B11205" t="s">
        <v>2123</v>
      </c>
      <c r="C11205" t="s">
        <v>923</v>
      </c>
      <c r="D11205" t="s">
        <v>3063</v>
      </c>
      <c r="E11205" t="s">
        <v>3053</v>
      </c>
      <c r="F11205" t="s">
        <v>2</v>
      </c>
      <c r="G11205" t="s">
        <v>3040</v>
      </c>
      <c r="H11205" t="s">
        <v>13787</v>
      </c>
      <c r="I11205">
        <v>5</v>
      </c>
      <c r="J11205">
        <v>5</v>
      </c>
      <c r="K11205">
        <v>0</v>
      </c>
      <c r="L11205">
        <v>0</v>
      </c>
      <c r="M11205">
        <v>0</v>
      </c>
      <c r="N11205">
        <v>0</v>
      </c>
      <c r="O11205">
        <v>0</v>
      </c>
    </row>
    <row r="11206" spans="1:15" x14ac:dyDescent="0.25">
      <c r="A11206" t="s">
        <v>1652</v>
      </c>
      <c r="B11206" t="s">
        <v>15270</v>
      </c>
      <c r="C11206" t="s">
        <v>923</v>
      </c>
      <c r="D11206" t="s">
        <v>3063</v>
      </c>
      <c r="E11206" t="s">
        <v>3053</v>
      </c>
      <c r="F11206" t="s">
        <v>2</v>
      </c>
      <c r="G11206" t="s">
        <v>3040</v>
      </c>
      <c r="H11206" t="s">
        <v>13790</v>
      </c>
      <c r="I11206">
        <v>25</v>
      </c>
      <c r="J11206">
        <v>0</v>
      </c>
      <c r="K11206">
        <v>0</v>
      </c>
      <c r="L11206">
        <v>0</v>
      </c>
      <c r="M11206">
        <v>25</v>
      </c>
      <c r="N11206">
        <v>0</v>
      </c>
      <c r="O11206">
        <v>0</v>
      </c>
    </row>
    <row r="11207" spans="1:15" x14ac:dyDescent="0.25">
      <c r="A11207" t="s">
        <v>1652</v>
      </c>
      <c r="B11207" t="s">
        <v>2291</v>
      </c>
      <c r="C11207" t="s">
        <v>923</v>
      </c>
      <c r="D11207" t="s">
        <v>3063</v>
      </c>
      <c r="E11207" t="s">
        <v>3053</v>
      </c>
      <c r="F11207" t="s">
        <v>2</v>
      </c>
      <c r="G11207" t="s">
        <v>3040</v>
      </c>
      <c r="H11207" t="s">
        <v>13790</v>
      </c>
      <c r="I11207">
        <v>25</v>
      </c>
      <c r="J11207">
        <v>0</v>
      </c>
      <c r="K11207">
        <v>0</v>
      </c>
      <c r="L11207">
        <v>0</v>
      </c>
      <c r="M11207">
        <v>25</v>
      </c>
      <c r="N11207">
        <v>0</v>
      </c>
      <c r="O11207">
        <v>0</v>
      </c>
    </row>
    <row r="11208" spans="1:15" x14ac:dyDescent="0.25">
      <c r="A11208" t="s">
        <v>1653</v>
      </c>
      <c r="B11208" t="s">
        <v>2741</v>
      </c>
      <c r="C11208" t="s">
        <v>923</v>
      </c>
      <c r="D11208" t="s">
        <v>3063</v>
      </c>
      <c r="E11208" t="s">
        <v>3053</v>
      </c>
      <c r="F11208" t="s">
        <v>2</v>
      </c>
      <c r="G11208" t="s">
        <v>3040</v>
      </c>
      <c r="H11208" t="s">
        <v>13791</v>
      </c>
      <c r="I11208">
        <v>32</v>
      </c>
      <c r="J11208">
        <v>0</v>
      </c>
      <c r="K11208">
        <v>0</v>
      </c>
      <c r="L11208">
        <v>0</v>
      </c>
      <c r="M11208">
        <v>32</v>
      </c>
      <c r="N11208">
        <v>0</v>
      </c>
      <c r="O11208">
        <v>0</v>
      </c>
    </row>
    <row r="11209" spans="1:15" x14ac:dyDescent="0.25">
      <c r="A11209" t="s">
        <v>11720</v>
      </c>
      <c r="B11209" t="s">
        <v>10718</v>
      </c>
      <c r="C11209" t="s">
        <v>927</v>
      </c>
      <c r="D11209" t="s">
        <v>3052</v>
      </c>
      <c r="E11209" t="s">
        <v>3053</v>
      </c>
      <c r="F11209" t="s">
        <v>2</v>
      </c>
      <c r="G11209" t="s">
        <v>3040</v>
      </c>
      <c r="H11209" t="s">
        <v>15576</v>
      </c>
      <c r="I11209">
        <v>1577</v>
      </c>
      <c r="J11209">
        <v>828</v>
      </c>
      <c r="K11209">
        <v>0</v>
      </c>
      <c r="L11209">
        <v>0</v>
      </c>
      <c r="M11209">
        <v>0</v>
      </c>
      <c r="N11209">
        <v>0</v>
      </c>
      <c r="O11209">
        <v>749</v>
      </c>
    </row>
    <row r="11210" spans="1:15" x14ac:dyDescent="0.25">
      <c r="A11210" t="s">
        <v>9788</v>
      </c>
      <c r="B11210" t="s">
        <v>9871</v>
      </c>
      <c r="C11210" t="s">
        <v>927</v>
      </c>
      <c r="D11210" t="s">
        <v>3052</v>
      </c>
      <c r="E11210" t="s">
        <v>3053</v>
      </c>
      <c r="F11210" t="s">
        <v>2</v>
      </c>
      <c r="G11210" t="s">
        <v>3040</v>
      </c>
      <c r="H11210" t="s">
        <v>13800</v>
      </c>
      <c r="I11210">
        <v>1997</v>
      </c>
      <c r="J11210">
        <v>1997</v>
      </c>
      <c r="K11210">
        <v>0</v>
      </c>
      <c r="L11210">
        <v>0</v>
      </c>
      <c r="M11210">
        <v>0</v>
      </c>
      <c r="N11210">
        <v>0</v>
      </c>
      <c r="O11210">
        <v>0</v>
      </c>
    </row>
    <row r="11211" spans="1:15" x14ac:dyDescent="0.25">
      <c r="A11211" t="s">
        <v>1056</v>
      </c>
      <c r="B11211" t="s">
        <v>2966</v>
      </c>
      <c r="C11211" t="s">
        <v>927</v>
      </c>
      <c r="D11211" t="s">
        <v>3052</v>
      </c>
      <c r="E11211" t="s">
        <v>3053</v>
      </c>
      <c r="F11211" t="s">
        <v>2</v>
      </c>
      <c r="G11211" t="s">
        <v>3040</v>
      </c>
      <c r="H11211" t="s">
        <v>13811</v>
      </c>
      <c r="I11211">
        <v>338</v>
      </c>
      <c r="J11211">
        <v>142</v>
      </c>
      <c r="K11211">
        <v>0</v>
      </c>
      <c r="L11211">
        <v>160</v>
      </c>
      <c r="M11211">
        <v>36</v>
      </c>
      <c r="N11211">
        <v>12</v>
      </c>
      <c r="O11211">
        <v>0</v>
      </c>
    </row>
    <row r="11212" spans="1:15" x14ac:dyDescent="0.25">
      <c r="A11212" t="s">
        <v>1057</v>
      </c>
      <c r="B11212" t="s">
        <v>1972</v>
      </c>
      <c r="C11212" t="s">
        <v>927</v>
      </c>
      <c r="D11212" t="s">
        <v>3052</v>
      </c>
      <c r="E11212" t="s">
        <v>3053</v>
      </c>
      <c r="F11212" t="s">
        <v>2</v>
      </c>
      <c r="G11212" t="s">
        <v>3040</v>
      </c>
      <c r="H11212" t="s">
        <v>13821</v>
      </c>
      <c r="I11212">
        <v>640</v>
      </c>
      <c r="J11212">
        <v>287</v>
      </c>
      <c r="K11212">
        <v>0</v>
      </c>
      <c r="L11212">
        <v>31</v>
      </c>
      <c r="M11212">
        <v>105</v>
      </c>
      <c r="N11212">
        <v>0</v>
      </c>
      <c r="O11212">
        <v>217</v>
      </c>
    </row>
    <row r="11213" spans="1:15" x14ac:dyDescent="0.25">
      <c r="A11213" t="s">
        <v>955</v>
      </c>
      <c r="B11213" t="s">
        <v>2660</v>
      </c>
      <c r="C11213" t="s">
        <v>927</v>
      </c>
      <c r="D11213" t="s">
        <v>3052</v>
      </c>
      <c r="E11213" t="s">
        <v>3053</v>
      </c>
      <c r="F11213" t="s">
        <v>2</v>
      </c>
      <c r="G11213" t="s">
        <v>3040</v>
      </c>
      <c r="H11213" t="s">
        <v>13830</v>
      </c>
      <c r="I11213">
        <v>10069</v>
      </c>
      <c r="J11213">
        <v>7454</v>
      </c>
      <c r="K11213">
        <v>9</v>
      </c>
      <c r="L11213">
        <v>609</v>
      </c>
      <c r="M11213">
        <v>1530</v>
      </c>
      <c r="N11213">
        <v>5</v>
      </c>
      <c r="O11213">
        <v>467</v>
      </c>
    </row>
    <row r="11214" spans="1:15" x14ac:dyDescent="0.25">
      <c r="A11214" t="s">
        <v>957</v>
      </c>
      <c r="B11214" t="s">
        <v>2925</v>
      </c>
      <c r="C11214" t="s">
        <v>923</v>
      </c>
      <c r="D11214" t="s">
        <v>3063</v>
      </c>
      <c r="E11214" t="s">
        <v>3053</v>
      </c>
      <c r="F11214" t="s">
        <v>2</v>
      </c>
      <c r="G11214" t="s">
        <v>3040</v>
      </c>
      <c r="H11214" t="s">
        <v>13834</v>
      </c>
      <c r="I11214">
        <v>45</v>
      </c>
      <c r="J11214">
        <v>45</v>
      </c>
      <c r="K11214">
        <v>0</v>
      </c>
      <c r="L11214">
        <v>0</v>
      </c>
      <c r="M11214">
        <v>0</v>
      </c>
      <c r="N11214">
        <v>0</v>
      </c>
      <c r="O11214">
        <v>0</v>
      </c>
    </row>
    <row r="11215" spans="1:15" x14ac:dyDescent="0.25">
      <c r="A11215" t="s">
        <v>1654</v>
      </c>
      <c r="B11215" t="s">
        <v>2850</v>
      </c>
      <c r="C11215" t="s">
        <v>927</v>
      </c>
      <c r="D11215" t="s">
        <v>3052</v>
      </c>
      <c r="E11215" t="s">
        <v>3053</v>
      </c>
      <c r="F11215" t="s">
        <v>2</v>
      </c>
      <c r="G11215" t="s">
        <v>3040</v>
      </c>
      <c r="H11215" t="s">
        <v>13839</v>
      </c>
      <c r="I11215">
        <v>6195</v>
      </c>
      <c r="J11215">
        <v>4285</v>
      </c>
      <c r="K11215">
        <v>0</v>
      </c>
      <c r="L11215">
        <v>74</v>
      </c>
      <c r="M11215">
        <v>1385</v>
      </c>
      <c r="N11215">
        <v>0</v>
      </c>
      <c r="O11215">
        <v>451</v>
      </c>
    </row>
    <row r="11216" spans="1:15" x14ac:dyDescent="0.25">
      <c r="A11216" t="s">
        <v>1655</v>
      </c>
      <c r="B11216" t="s">
        <v>2463</v>
      </c>
      <c r="C11216" t="s">
        <v>923</v>
      </c>
      <c r="D11216" t="s">
        <v>3063</v>
      </c>
      <c r="E11216" t="s">
        <v>3053</v>
      </c>
      <c r="F11216" t="s">
        <v>2</v>
      </c>
      <c r="G11216" t="s">
        <v>3040</v>
      </c>
      <c r="H11216" t="s">
        <v>13842</v>
      </c>
      <c r="I11216">
        <v>77</v>
      </c>
      <c r="J11216">
        <v>77</v>
      </c>
      <c r="K11216">
        <v>0</v>
      </c>
      <c r="L11216">
        <v>0</v>
      </c>
      <c r="M11216">
        <v>0</v>
      </c>
      <c r="N11216">
        <v>0</v>
      </c>
      <c r="O11216">
        <v>0</v>
      </c>
    </row>
    <row r="11217" spans="1:15" x14ac:dyDescent="0.25">
      <c r="A11217" t="s">
        <v>1154</v>
      </c>
      <c r="B11217" t="s">
        <v>2861</v>
      </c>
      <c r="C11217" t="s">
        <v>927</v>
      </c>
      <c r="D11217" t="s">
        <v>3052</v>
      </c>
      <c r="E11217" t="s">
        <v>3053</v>
      </c>
      <c r="F11217" t="s">
        <v>2</v>
      </c>
      <c r="G11217" t="s">
        <v>3040</v>
      </c>
      <c r="H11217" t="s">
        <v>13845</v>
      </c>
      <c r="I11217">
        <v>6</v>
      </c>
      <c r="J11217">
        <v>0</v>
      </c>
      <c r="K11217">
        <v>0</v>
      </c>
      <c r="L11217">
        <v>0</v>
      </c>
      <c r="M11217">
        <v>0</v>
      </c>
      <c r="N11217">
        <v>0</v>
      </c>
      <c r="O11217">
        <v>6</v>
      </c>
    </row>
    <row r="11218" spans="1:15" x14ac:dyDescent="0.25">
      <c r="A11218" t="s">
        <v>1155</v>
      </c>
      <c r="B11218" t="s">
        <v>2912</v>
      </c>
      <c r="C11218" t="s">
        <v>927</v>
      </c>
      <c r="D11218" t="s">
        <v>3052</v>
      </c>
      <c r="E11218" t="s">
        <v>3053</v>
      </c>
      <c r="F11218" t="s">
        <v>2</v>
      </c>
      <c r="G11218" t="s">
        <v>3040</v>
      </c>
      <c r="H11218" t="s">
        <v>13855</v>
      </c>
      <c r="I11218">
        <v>12</v>
      </c>
      <c r="J11218">
        <v>0</v>
      </c>
      <c r="K11218">
        <v>0</v>
      </c>
      <c r="L11218">
        <v>0</v>
      </c>
      <c r="M11218">
        <v>0</v>
      </c>
      <c r="N11218">
        <v>0</v>
      </c>
      <c r="O11218">
        <v>12</v>
      </c>
    </row>
    <row r="11219" spans="1:15" x14ac:dyDescent="0.25">
      <c r="A11219" t="s">
        <v>1656</v>
      </c>
      <c r="B11219" t="s">
        <v>2696</v>
      </c>
      <c r="C11219" t="s">
        <v>923</v>
      </c>
      <c r="D11219" t="s">
        <v>3063</v>
      </c>
      <c r="E11219" t="s">
        <v>3053</v>
      </c>
      <c r="F11219" t="s">
        <v>2</v>
      </c>
      <c r="G11219" t="s">
        <v>3040</v>
      </c>
      <c r="H11219" t="s">
        <v>13858</v>
      </c>
      <c r="I11219">
        <v>93</v>
      </c>
      <c r="J11219">
        <v>0</v>
      </c>
      <c r="K11219">
        <v>0</v>
      </c>
      <c r="L11219">
        <v>0</v>
      </c>
      <c r="M11219">
        <v>93</v>
      </c>
      <c r="N11219">
        <v>0</v>
      </c>
      <c r="O11219">
        <v>0</v>
      </c>
    </row>
    <row r="11220" spans="1:15" x14ac:dyDescent="0.25">
      <c r="A11220" t="s">
        <v>1657</v>
      </c>
      <c r="B11220" t="s">
        <v>2521</v>
      </c>
      <c r="C11220" t="s">
        <v>923</v>
      </c>
      <c r="D11220" t="s">
        <v>3063</v>
      </c>
      <c r="E11220" t="s">
        <v>3053</v>
      </c>
      <c r="F11220" t="s">
        <v>2</v>
      </c>
      <c r="G11220" t="s">
        <v>3040</v>
      </c>
      <c r="H11220" t="s">
        <v>13862</v>
      </c>
      <c r="I11220">
        <v>19</v>
      </c>
      <c r="J11220">
        <v>19</v>
      </c>
      <c r="K11220">
        <v>0</v>
      </c>
      <c r="L11220">
        <v>0</v>
      </c>
      <c r="M11220">
        <v>0</v>
      </c>
      <c r="N11220">
        <v>0</v>
      </c>
      <c r="O11220">
        <v>0</v>
      </c>
    </row>
    <row r="11221" spans="1:15" x14ac:dyDescent="0.25">
      <c r="A11221" t="s">
        <v>1658</v>
      </c>
      <c r="B11221" t="s">
        <v>2892</v>
      </c>
      <c r="C11221" t="s">
        <v>927</v>
      </c>
      <c r="D11221" t="s">
        <v>3052</v>
      </c>
      <c r="E11221" t="s">
        <v>3053</v>
      </c>
      <c r="F11221" t="s">
        <v>2</v>
      </c>
      <c r="G11221" t="s">
        <v>3040</v>
      </c>
      <c r="H11221" t="s">
        <v>13867</v>
      </c>
      <c r="I11221">
        <v>7215</v>
      </c>
      <c r="J11221">
        <v>6314</v>
      </c>
      <c r="K11221">
        <v>0</v>
      </c>
      <c r="L11221">
        <v>47</v>
      </c>
      <c r="M11221">
        <v>350</v>
      </c>
      <c r="N11221">
        <v>7</v>
      </c>
      <c r="O11221">
        <v>504</v>
      </c>
    </row>
    <row r="11222" spans="1:15" x14ac:dyDescent="0.25">
      <c r="A11222" t="s">
        <v>1659</v>
      </c>
      <c r="B11222" t="s">
        <v>2215</v>
      </c>
      <c r="C11222" t="s">
        <v>923</v>
      </c>
      <c r="D11222" t="s">
        <v>3063</v>
      </c>
      <c r="E11222" t="s">
        <v>3053</v>
      </c>
      <c r="F11222" t="s">
        <v>2</v>
      </c>
      <c r="G11222" t="s">
        <v>3040</v>
      </c>
      <c r="H11222" t="s">
        <v>13872</v>
      </c>
      <c r="I11222">
        <v>52</v>
      </c>
      <c r="J11222">
        <v>0</v>
      </c>
      <c r="K11222">
        <v>0</v>
      </c>
      <c r="L11222">
        <v>0</v>
      </c>
      <c r="M11222">
        <v>52</v>
      </c>
      <c r="N11222">
        <v>0</v>
      </c>
      <c r="O11222">
        <v>0</v>
      </c>
    </row>
    <row r="11223" spans="1:15" x14ac:dyDescent="0.25">
      <c r="A11223" t="s">
        <v>1660</v>
      </c>
      <c r="B11223" t="s">
        <v>2827</v>
      </c>
      <c r="C11223" t="s">
        <v>927</v>
      </c>
      <c r="D11223" t="s">
        <v>3052</v>
      </c>
      <c r="E11223" t="s">
        <v>3053</v>
      </c>
      <c r="F11223" t="s">
        <v>2</v>
      </c>
      <c r="G11223" t="s">
        <v>3040</v>
      </c>
      <c r="H11223" t="s">
        <v>13878</v>
      </c>
      <c r="I11223">
        <v>7356</v>
      </c>
      <c r="J11223">
        <v>5748</v>
      </c>
      <c r="K11223">
        <v>0</v>
      </c>
      <c r="L11223">
        <v>154</v>
      </c>
      <c r="M11223">
        <v>575</v>
      </c>
      <c r="N11223">
        <v>3</v>
      </c>
      <c r="O11223">
        <v>879</v>
      </c>
    </row>
    <row r="11224" spans="1:15" x14ac:dyDescent="0.25">
      <c r="A11224" t="s">
        <v>1661</v>
      </c>
      <c r="B11224" t="s">
        <v>2764</v>
      </c>
      <c r="C11224" t="s">
        <v>923</v>
      </c>
      <c r="D11224" t="s">
        <v>3063</v>
      </c>
      <c r="E11224" t="s">
        <v>3053</v>
      </c>
      <c r="F11224" t="s">
        <v>2</v>
      </c>
      <c r="G11224" t="s">
        <v>3040</v>
      </c>
      <c r="H11224" t="s">
        <v>13893</v>
      </c>
      <c r="I11224">
        <v>448</v>
      </c>
      <c r="J11224">
        <v>0</v>
      </c>
      <c r="K11224">
        <v>0</v>
      </c>
      <c r="L11224">
        <v>448</v>
      </c>
      <c r="M11224">
        <v>0</v>
      </c>
      <c r="N11224">
        <v>1</v>
      </c>
      <c r="O11224">
        <v>0</v>
      </c>
    </row>
    <row r="11225" spans="1:15" x14ac:dyDescent="0.25">
      <c r="A11225" t="s">
        <v>1341</v>
      </c>
      <c r="B11225" t="s">
        <v>2954</v>
      </c>
      <c r="C11225" t="s">
        <v>923</v>
      </c>
      <c r="D11225" t="s">
        <v>3063</v>
      </c>
      <c r="E11225" t="s">
        <v>3053</v>
      </c>
      <c r="F11225" t="s">
        <v>2</v>
      </c>
      <c r="G11225" t="s">
        <v>3040</v>
      </c>
      <c r="H11225" t="s">
        <v>13897</v>
      </c>
      <c r="I11225">
        <v>163</v>
      </c>
      <c r="J11225">
        <v>163</v>
      </c>
      <c r="K11225">
        <v>0</v>
      </c>
      <c r="L11225">
        <v>0</v>
      </c>
      <c r="M11225">
        <v>0</v>
      </c>
      <c r="N11225">
        <v>0</v>
      </c>
      <c r="O11225">
        <v>0</v>
      </c>
    </row>
    <row r="11226" spans="1:15" x14ac:dyDescent="0.25">
      <c r="A11226" t="s">
        <v>11663</v>
      </c>
      <c r="B11226" t="s">
        <v>11768</v>
      </c>
      <c r="C11226" t="s">
        <v>927</v>
      </c>
      <c r="D11226" t="s">
        <v>3052</v>
      </c>
      <c r="E11226" t="s">
        <v>3053</v>
      </c>
      <c r="F11226" t="s">
        <v>2</v>
      </c>
      <c r="G11226" t="s">
        <v>3040</v>
      </c>
      <c r="H11226" t="s">
        <v>13901</v>
      </c>
      <c r="I11226">
        <v>36132</v>
      </c>
      <c r="J11226">
        <v>28664</v>
      </c>
      <c r="K11226">
        <v>625</v>
      </c>
      <c r="L11226">
        <v>667</v>
      </c>
      <c r="M11226">
        <v>3158</v>
      </c>
      <c r="N11226">
        <v>99</v>
      </c>
      <c r="O11226">
        <v>3018</v>
      </c>
    </row>
    <row r="11227" spans="1:15" x14ac:dyDescent="0.25">
      <c r="A11227" t="s">
        <v>1662</v>
      </c>
      <c r="B11227" t="s">
        <v>2465</v>
      </c>
      <c r="C11227" t="s">
        <v>923</v>
      </c>
      <c r="D11227" t="s">
        <v>3063</v>
      </c>
      <c r="E11227" t="s">
        <v>3053</v>
      </c>
      <c r="F11227" t="s">
        <v>2</v>
      </c>
      <c r="G11227" t="s">
        <v>3040</v>
      </c>
      <c r="H11227" t="s">
        <v>13905</v>
      </c>
      <c r="I11227">
        <v>36</v>
      </c>
      <c r="J11227">
        <v>34</v>
      </c>
      <c r="K11227">
        <v>2</v>
      </c>
      <c r="L11227">
        <v>0</v>
      </c>
      <c r="M11227">
        <v>0</v>
      </c>
      <c r="N11227">
        <v>0</v>
      </c>
      <c r="O11227">
        <v>0</v>
      </c>
    </row>
    <row r="11228" spans="1:15" x14ac:dyDescent="0.25">
      <c r="A11228" t="s">
        <v>960</v>
      </c>
      <c r="B11228" t="s">
        <v>2080</v>
      </c>
      <c r="C11228" t="s">
        <v>927</v>
      </c>
      <c r="D11228" t="s">
        <v>3052</v>
      </c>
      <c r="E11228" t="s">
        <v>3053</v>
      </c>
      <c r="F11228" t="s">
        <v>2</v>
      </c>
      <c r="G11228" t="s">
        <v>3040</v>
      </c>
      <c r="H11228" t="s">
        <v>13910</v>
      </c>
      <c r="I11228">
        <v>33287</v>
      </c>
      <c r="J11228">
        <v>27554</v>
      </c>
      <c r="K11228">
        <v>0</v>
      </c>
      <c r="L11228">
        <v>634</v>
      </c>
      <c r="M11228">
        <v>1603</v>
      </c>
      <c r="N11228">
        <v>124</v>
      </c>
      <c r="O11228">
        <v>3496</v>
      </c>
    </row>
    <row r="11229" spans="1:15" x14ac:dyDescent="0.25">
      <c r="A11229" t="s">
        <v>14380</v>
      </c>
      <c r="B11229" t="s">
        <v>2074</v>
      </c>
      <c r="C11229" t="s">
        <v>927</v>
      </c>
      <c r="D11229" t="s">
        <v>3052</v>
      </c>
      <c r="E11229" t="s">
        <v>3053</v>
      </c>
      <c r="F11229" t="s">
        <v>2</v>
      </c>
      <c r="G11229" t="s">
        <v>3040</v>
      </c>
      <c r="H11229" t="s">
        <v>15577</v>
      </c>
      <c r="I11229">
        <v>315</v>
      </c>
      <c r="J11229">
        <v>72</v>
      </c>
      <c r="K11229">
        <v>0</v>
      </c>
      <c r="L11229">
        <v>0</v>
      </c>
      <c r="M11229">
        <v>0</v>
      </c>
      <c r="N11229">
        <v>0</v>
      </c>
      <c r="O11229">
        <v>243</v>
      </c>
    </row>
    <row r="11230" spans="1:15" x14ac:dyDescent="0.25">
      <c r="A11230" t="s">
        <v>14374</v>
      </c>
      <c r="B11230" t="s">
        <v>1943</v>
      </c>
      <c r="C11230" t="s">
        <v>927</v>
      </c>
      <c r="D11230" t="s">
        <v>3052</v>
      </c>
      <c r="E11230" t="s">
        <v>3053</v>
      </c>
      <c r="F11230" t="s">
        <v>2</v>
      </c>
      <c r="G11230" t="s">
        <v>3040</v>
      </c>
      <c r="H11230" t="s">
        <v>15578</v>
      </c>
      <c r="I11230">
        <v>976</v>
      </c>
      <c r="J11230">
        <v>0</v>
      </c>
      <c r="K11230">
        <v>0</v>
      </c>
      <c r="L11230">
        <v>0</v>
      </c>
      <c r="M11230">
        <v>0</v>
      </c>
      <c r="N11230">
        <v>0</v>
      </c>
      <c r="O11230">
        <v>976</v>
      </c>
    </row>
    <row r="11231" spans="1:15" x14ac:dyDescent="0.25">
      <c r="A11231" t="s">
        <v>1663</v>
      </c>
      <c r="B11231" t="s">
        <v>2763</v>
      </c>
      <c r="C11231" t="s">
        <v>923</v>
      </c>
      <c r="D11231" t="s">
        <v>3063</v>
      </c>
      <c r="E11231" t="s">
        <v>3053</v>
      </c>
      <c r="F11231" t="s">
        <v>2</v>
      </c>
      <c r="G11231" t="s">
        <v>3040</v>
      </c>
      <c r="H11231" t="s">
        <v>13926</v>
      </c>
      <c r="I11231">
        <v>38</v>
      </c>
      <c r="J11231">
        <v>0</v>
      </c>
      <c r="K11231">
        <v>0</v>
      </c>
      <c r="L11231">
        <v>0</v>
      </c>
      <c r="M11231">
        <v>38</v>
      </c>
      <c r="N11231">
        <v>0</v>
      </c>
      <c r="O11231">
        <v>0</v>
      </c>
    </row>
    <row r="11232" spans="1:15" x14ac:dyDescent="0.25">
      <c r="A11232" t="s">
        <v>1158</v>
      </c>
      <c r="B11232" t="s">
        <v>2922</v>
      </c>
      <c r="C11232" t="s">
        <v>927</v>
      </c>
      <c r="D11232" t="s">
        <v>3052</v>
      </c>
      <c r="E11232" t="s">
        <v>3053</v>
      </c>
      <c r="F11232" t="s">
        <v>2</v>
      </c>
      <c r="G11232" t="s">
        <v>3040</v>
      </c>
      <c r="H11232" t="s">
        <v>13930</v>
      </c>
      <c r="I11232">
        <v>33</v>
      </c>
      <c r="J11232">
        <v>23</v>
      </c>
      <c r="K11232">
        <v>0</v>
      </c>
      <c r="L11232">
        <v>10</v>
      </c>
      <c r="M11232">
        <v>0</v>
      </c>
      <c r="N11232">
        <v>0</v>
      </c>
      <c r="O11232">
        <v>0</v>
      </c>
    </row>
    <row r="11233" spans="1:15" x14ac:dyDescent="0.25">
      <c r="A11233" t="s">
        <v>9829</v>
      </c>
      <c r="B11233" t="s">
        <v>2008</v>
      </c>
      <c r="C11233" t="s">
        <v>923</v>
      </c>
      <c r="D11233" t="s">
        <v>3063</v>
      </c>
      <c r="E11233" t="s">
        <v>3053</v>
      </c>
      <c r="F11233" t="s">
        <v>2</v>
      </c>
      <c r="G11233" t="s">
        <v>3040</v>
      </c>
      <c r="H11233" t="s">
        <v>13933</v>
      </c>
      <c r="I11233">
        <v>98</v>
      </c>
      <c r="J11233">
        <v>0</v>
      </c>
      <c r="K11233">
        <v>0</v>
      </c>
      <c r="L11233">
        <v>98</v>
      </c>
      <c r="M11233">
        <v>0</v>
      </c>
      <c r="N11233">
        <v>0</v>
      </c>
      <c r="O11233">
        <v>0</v>
      </c>
    </row>
    <row r="11234" spans="1:15" x14ac:dyDescent="0.25">
      <c r="A11234" t="s">
        <v>1664</v>
      </c>
      <c r="B11234" t="s">
        <v>2308</v>
      </c>
      <c r="C11234" t="s">
        <v>923</v>
      </c>
      <c r="D11234" t="s">
        <v>3063</v>
      </c>
      <c r="E11234" t="s">
        <v>3053</v>
      </c>
      <c r="F11234" t="s">
        <v>2</v>
      </c>
      <c r="G11234" t="s">
        <v>3040</v>
      </c>
      <c r="H11234" t="s">
        <v>13937</v>
      </c>
      <c r="I11234">
        <v>11</v>
      </c>
      <c r="J11234">
        <v>11</v>
      </c>
      <c r="K11234">
        <v>0</v>
      </c>
      <c r="L11234">
        <v>0</v>
      </c>
      <c r="M11234">
        <v>0</v>
      </c>
      <c r="N11234">
        <v>0</v>
      </c>
      <c r="O11234">
        <v>0</v>
      </c>
    </row>
    <row r="11235" spans="1:15" x14ac:dyDescent="0.25">
      <c r="A11235" t="s">
        <v>1062</v>
      </c>
      <c r="B11235" t="s">
        <v>1993</v>
      </c>
      <c r="C11235" t="s">
        <v>927</v>
      </c>
      <c r="D11235" t="s">
        <v>3052</v>
      </c>
      <c r="E11235" t="s">
        <v>3053</v>
      </c>
      <c r="F11235" t="s">
        <v>2</v>
      </c>
      <c r="G11235" t="s">
        <v>3040</v>
      </c>
      <c r="H11235" t="s">
        <v>13942</v>
      </c>
      <c r="I11235">
        <v>168</v>
      </c>
      <c r="J11235">
        <v>159</v>
      </c>
      <c r="K11235">
        <v>0</v>
      </c>
      <c r="L11235">
        <v>0</v>
      </c>
      <c r="M11235">
        <v>0</v>
      </c>
      <c r="N11235">
        <v>1</v>
      </c>
      <c r="O11235">
        <v>9</v>
      </c>
    </row>
    <row r="11236" spans="1:15" x14ac:dyDescent="0.25">
      <c r="A11236" t="s">
        <v>962</v>
      </c>
      <c r="B11236" t="s">
        <v>2752</v>
      </c>
      <c r="C11236" t="s">
        <v>927</v>
      </c>
      <c r="D11236" t="s">
        <v>3052</v>
      </c>
      <c r="E11236" t="s">
        <v>3053</v>
      </c>
      <c r="F11236" t="s">
        <v>2</v>
      </c>
      <c r="G11236" t="s">
        <v>3040</v>
      </c>
      <c r="H11236" t="s">
        <v>13948</v>
      </c>
      <c r="I11236">
        <v>7270</v>
      </c>
      <c r="J11236">
        <v>5679</v>
      </c>
      <c r="K11236">
        <v>8</v>
      </c>
      <c r="L11236">
        <v>78</v>
      </c>
      <c r="M11236">
        <v>672</v>
      </c>
      <c r="N11236">
        <v>0</v>
      </c>
      <c r="O11236">
        <v>833</v>
      </c>
    </row>
    <row r="11237" spans="1:15" x14ac:dyDescent="0.25">
      <c r="A11237" t="s">
        <v>10810</v>
      </c>
      <c r="B11237" t="s">
        <v>2015</v>
      </c>
      <c r="C11237" t="s">
        <v>923</v>
      </c>
      <c r="D11237" t="s">
        <v>3063</v>
      </c>
      <c r="E11237" t="s">
        <v>3053</v>
      </c>
      <c r="F11237" t="s">
        <v>2</v>
      </c>
      <c r="G11237" t="s">
        <v>3040</v>
      </c>
      <c r="H11237" t="s">
        <v>13958</v>
      </c>
      <c r="I11237">
        <v>4</v>
      </c>
      <c r="J11237">
        <v>0</v>
      </c>
      <c r="K11237">
        <v>0</v>
      </c>
      <c r="L11237">
        <v>4</v>
      </c>
      <c r="M11237">
        <v>0</v>
      </c>
      <c r="N11237">
        <v>0</v>
      </c>
      <c r="O11237">
        <v>0</v>
      </c>
    </row>
    <row r="11238" spans="1:15" x14ac:dyDescent="0.25">
      <c r="A11238" t="s">
        <v>11709</v>
      </c>
      <c r="B11238" t="s">
        <v>2913</v>
      </c>
      <c r="C11238" t="s">
        <v>923</v>
      </c>
      <c r="D11238" t="s">
        <v>3063</v>
      </c>
      <c r="E11238" t="s">
        <v>3053</v>
      </c>
      <c r="F11238" t="s">
        <v>2</v>
      </c>
      <c r="G11238" t="s">
        <v>3040</v>
      </c>
      <c r="H11238" t="s">
        <v>13960</v>
      </c>
      <c r="I11238">
        <v>430</v>
      </c>
      <c r="J11238">
        <v>0</v>
      </c>
      <c r="K11238">
        <v>0</v>
      </c>
      <c r="L11238">
        <v>0</v>
      </c>
      <c r="M11238">
        <v>430</v>
      </c>
      <c r="N11238">
        <v>0</v>
      </c>
      <c r="O11238">
        <v>0</v>
      </c>
    </row>
    <row r="11239" spans="1:15" x14ac:dyDescent="0.25">
      <c r="A11239" t="s">
        <v>1665</v>
      </c>
      <c r="B11239" t="s">
        <v>2958</v>
      </c>
      <c r="C11239" t="s">
        <v>923</v>
      </c>
      <c r="D11239" t="s">
        <v>3063</v>
      </c>
      <c r="E11239" t="s">
        <v>3053</v>
      </c>
      <c r="F11239" t="s">
        <v>2</v>
      </c>
      <c r="G11239" t="s">
        <v>3040</v>
      </c>
      <c r="H11239" t="s">
        <v>13961</v>
      </c>
      <c r="I11239">
        <v>14</v>
      </c>
      <c r="J11239">
        <v>14</v>
      </c>
      <c r="K11239">
        <v>0</v>
      </c>
      <c r="L11239">
        <v>0</v>
      </c>
      <c r="M11239">
        <v>0</v>
      </c>
      <c r="N11239">
        <v>0</v>
      </c>
      <c r="O11239">
        <v>0</v>
      </c>
    </row>
    <row r="11240" spans="1:15" x14ac:dyDescent="0.25">
      <c r="A11240" t="s">
        <v>1159</v>
      </c>
      <c r="B11240" t="s">
        <v>2829</v>
      </c>
      <c r="C11240" t="s">
        <v>927</v>
      </c>
      <c r="D11240" t="s">
        <v>3052</v>
      </c>
      <c r="E11240" t="s">
        <v>3053</v>
      </c>
      <c r="F11240" t="s">
        <v>2</v>
      </c>
      <c r="G11240" t="s">
        <v>3040</v>
      </c>
      <c r="H11240" t="s">
        <v>13968</v>
      </c>
      <c r="I11240">
        <v>1</v>
      </c>
      <c r="J11240">
        <v>0</v>
      </c>
      <c r="K11240">
        <v>0</v>
      </c>
      <c r="L11240">
        <v>0</v>
      </c>
      <c r="M11240">
        <v>0</v>
      </c>
      <c r="N11240">
        <v>0</v>
      </c>
      <c r="O11240">
        <v>1</v>
      </c>
    </row>
    <row r="11241" spans="1:15" x14ac:dyDescent="0.25">
      <c r="A11241" t="s">
        <v>964</v>
      </c>
      <c r="B11241" t="s">
        <v>1969</v>
      </c>
      <c r="C11241" t="s">
        <v>927</v>
      </c>
      <c r="D11241" t="s">
        <v>3052</v>
      </c>
      <c r="E11241" t="s">
        <v>3053</v>
      </c>
      <c r="F11241" t="s">
        <v>2</v>
      </c>
      <c r="G11241" t="s">
        <v>3040</v>
      </c>
      <c r="H11241" t="s">
        <v>13972</v>
      </c>
      <c r="I11241">
        <v>1395</v>
      </c>
      <c r="J11241">
        <v>828</v>
      </c>
      <c r="K11241">
        <v>0</v>
      </c>
      <c r="L11241">
        <v>82</v>
      </c>
      <c r="M11241">
        <v>23</v>
      </c>
      <c r="N11241">
        <v>0</v>
      </c>
      <c r="O11241">
        <v>462</v>
      </c>
    </row>
    <row r="11242" spans="1:15" x14ac:dyDescent="0.25">
      <c r="A11242" t="s">
        <v>1353</v>
      </c>
      <c r="B11242" t="s">
        <v>2927</v>
      </c>
      <c r="C11242" t="s">
        <v>923</v>
      </c>
      <c r="D11242" t="s">
        <v>3063</v>
      </c>
      <c r="E11242" t="s">
        <v>3053</v>
      </c>
      <c r="F11242" t="s">
        <v>2</v>
      </c>
      <c r="G11242" t="s">
        <v>3040</v>
      </c>
      <c r="H11242" t="s">
        <v>13986</v>
      </c>
      <c r="I11242">
        <v>27</v>
      </c>
      <c r="J11242">
        <v>0</v>
      </c>
      <c r="K11242">
        <v>0</v>
      </c>
      <c r="L11242">
        <v>0</v>
      </c>
      <c r="M11242">
        <v>27</v>
      </c>
      <c r="N11242">
        <v>0</v>
      </c>
      <c r="O11242">
        <v>0</v>
      </c>
    </row>
    <row r="11243" spans="1:15" x14ac:dyDescent="0.25">
      <c r="A11243" t="s">
        <v>1666</v>
      </c>
      <c r="B11243" t="s">
        <v>2748</v>
      </c>
      <c r="C11243" t="s">
        <v>923</v>
      </c>
      <c r="D11243" t="s">
        <v>3063</v>
      </c>
      <c r="E11243" t="s">
        <v>3053</v>
      </c>
      <c r="F11243" t="s">
        <v>2</v>
      </c>
      <c r="G11243" t="s">
        <v>3040</v>
      </c>
      <c r="H11243" t="s">
        <v>13991</v>
      </c>
      <c r="I11243">
        <v>99</v>
      </c>
      <c r="J11243">
        <v>0</v>
      </c>
      <c r="K11243">
        <v>0</v>
      </c>
      <c r="L11243">
        <v>0</v>
      </c>
      <c r="M11243">
        <v>99</v>
      </c>
      <c r="N11243">
        <v>0</v>
      </c>
      <c r="O11243">
        <v>0</v>
      </c>
    </row>
    <row r="11244" spans="1:15" x14ac:dyDescent="0.25">
      <c r="A11244" t="s">
        <v>1667</v>
      </c>
      <c r="B11244" t="s">
        <v>2657</v>
      </c>
      <c r="C11244" t="s">
        <v>923</v>
      </c>
      <c r="D11244" t="s">
        <v>3063</v>
      </c>
      <c r="E11244" t="s">
        <v>3053</v>
      </c>
      <c r="F11244" t="s">
        <v>2</v>
      </c>
      <c r="G11244" t="s">
        <v>3040</v>
      </c>
      <c r="H11244" t="s">
        <v>13992</v>
      </c>
      <c r="I11244">
        <v>15</v>
      </c>
      <c r="J11244">
        <v>0</v>
      </c>
      <c r="K11244">
        <v>0</v>
      </c>
      <c r="L11244">
        <v>0</v>
      </c>
      <c r="M11244">
        <v>15</v>
      </c>
      <c r="N11244">
        <v>0</v>
      </c>
      <c r="O11244">
        <v>0</v>
      </c>
    </row>
    <row r="11245" spans="1:15" x14ac:dyDescent="0.25">
      <c r="A11245" t="s">
        <v>1354</v>
      </c>
      <c r="B11245" t="s">
        <v>2676</v>
      </c>
      <c r="C11245" t="s">
        <v>927</v>
      </c>
      <c r="D11245" t="s">
        <v>3052</v>
      </c>
      <c r="E11245" t="s">
        <v>3053</v>
      </c>
      <c r="F11245" t="s">
        <v>2</v>
      </c>
      <c r="G11245" t="s">
        <v>3040</v>
      </c>
      <c r="H11245" t="s">
        <v>13994</v>
      </c>
      <c r="I11245">
        <v>224</v>
      </c>
      <c r="J11245">
        <v>224</v>
      </c>
      <c r="K11245">
        <v>0</v>
      </c>
      <c r="L11245">
        <v>0</v>
      </c>
      <c r="M11245">
        <v>0</v>
      </c>
      <c r="N11245">
        <v>0</v>
      </c>
      <c r="O11245">
        <v>0</v>
      </c>
    </row>
    <row r="11246" spans="1:15" x14ac:dyDescent="0.25">
      <c r="A11246" t="s">
        <v>11710</v>
      </c>
      <c r="B11246" t="s">
        <v>2605</v>
      </c>
      <c r="C11246" t="s">
        <v>923</v>
      </c>
      <c r="D11246" t="s">
        <v>3063</v>
      </c>
      <c r="E11246" t="s">
        <v>3053</v>
      </c>
      <c r="F11246" t="s">
        <v>2</v>
      </c>
      <c r="G11246" t="s">
        <v>3040</v>
      </c>
      <c r="H11246" t="s">
        <v>14001</v>
      </c>
      <c r="I11246">
        <v>10</v>
      </c>
      <c r="J11246">
        <v>0</v>
      </c>
      <c r="K11246">
        <v>0</v>
      </c>
      <c r="L11246">
        <v>0</v>
      </c>
      <c r="M11246">
        <v>10</v>
      </c>
      <c r="N11246">
        <v>0</v>
      </c>
      <c r="O11246">
        <v>0</v>
      </c>
    </row>
    <row r="11247" spans="1:15" x14ac:dyDescent="0.25">
      <c r="A11247" t="s">
        <v>1668</v>
      </c>
      <c r="B11247" t="s">
        <v>2564</v>
      </c>
      <c r="C11247" t="s">
        <v>923</v>
      </c>
      <c r="D11247" t="s">
        <v>3063</v>
      </c>
      <c r="E11247" t="s">
        <v>3053</v>
      </c>
      <c r="F11247" t="s">
        <v>2</v>
      </c>
      <c r="G11247" t="s">
        <v>3040</v>
      </c>
      <c r="H11247" t="s">
        <v>14012</v>
      </c>
      <c r="I11247">
        <v>11</v>
      </c>
      <c r="J11247">
        <v>0</v>
      </c>
      <c r="K11247">
        <v>0</v>
      </c>
      <c r="L11247">
        <v>11</v>
      </c>
      <c r="M11247">
        <v>0</v>
      </c>
      <c r="N11247">
        <v>0</v>
      </c>
      <c r="O11247">
        <v>0</v>
      </c>
    </row>
    <row r="11248" spans="1:15" x14ac:dyDescent="0.25">
      <c r="A11248" t="s">
        <v>1669</v>
      </c>
      <c r="B11248" t="s">
        <v>2576</v>
      </c>
      <c r="C11248" t="s">
        <v>923</v>
      </c>
      <c r="D11248" t="s">
        <v>3063</v>
      </c>
      <c r="E11248" t="s">
        <v>3053</v>
      </c>
      <c r="F11248" t="s">
        <v>2</v>
      </c>
      <c r="G11248" t="s">
        <v>3040</v>
      </c>
      <c r="H11248" t="s">
        <v>14015</v>
      </c>
      <c r="I11248">
        <v>9</v>
      </c>
      <c r="J11248">
        <v>0</v>
      </c>
      <c r="K11248">
        <v>0</v>
      </c>
      <c r="L11248">
        <v>9</v>
      </c>
      <c r="M11248">
        <v>0</v>
      </c>
      <c r="N11248">
        <v>0</v>
      </c>
      <c r="O11248">
        <v>0</v>
      </c>
    </row>
    <row r="11249" spans="1:15" x14ac:dyDescent="0.25">
      <c r="A11249" t="s">
        <v>1670</v>
      </c>
      <c r="B11249" t="s">
        <v>2536</v>
      </c>
      <c r="C11249" t="s">
        <v>923</v>
      </c>
      <c r="D11249" t="s">
        <v>3063</v>
      </c>
      <c r="E11249" t="s">
        <v>3053</v>
      </c>
      <c r="F11249" t="s">
        <v>2</v>
      </c>
      <c r="G11249" t="s">
        <v>3040</v>
      </c>
      <c r="H11249" t="s">
        <v>14019</v>
      </c>
      <c r="I11249">
        <v>16</v>
      </c>
      <c r="J11249">
        <v>0</v>
      </c>
      <c r="K11249">
        <v>0</v>
      </c>
      <c r="L11249">
        <v>0</v>
      </c>
      <c r="M11249">
        <v>16</v>
      </c>
      <c r="N11249">
        <v>0</v>
      </c>
      <c r="O11249">
        <v>0</v>
      </c>
    </row>
    <row r="11250" spans="1:15" x14ac:dyDescent="0.25">
      <c r="A11250" t="s">
        <v>9830</v>
      </c>
      <c r="B11250" t="s">
        <v>2588</v>
      </c>
      <c r="C11250" t="s">
        <v>923</v>
      </c>
      <c r="D11250" t="s">
        <v>3063</v>
      </c>
      <c r="E11250" t="s">
        <v>3053</v>
      </c>
      <c r="F11250" t="s">
        <v>2</v>
      </c>
      <c r="G11250" t="s">
        <v>3040</v>
      </c>
      <c r="H11250" t="s">
        <v>14024</v>
      </c>
      <c r="I11250">
        <v>11</v>
      </c>
      <c r="J11250">
        <v>0</v>
      </c>
      <c r="K11250">
        <v>0</v>
      </c>
      <c r="L11250">
        <v>0</v>
      </c>
      <c r="M11250">
        <v>11</v>
      </c>
      <c r="N11250">
        <v>0</v>
      </c>
      <c r="O11250">
        <v>0</v>
      </c>
    </row>
    <row r="11251" spans="1:15" x14ac:dyDescent="0.25">
      <c r="A11251" t="s">
        <v>1673</v>
      </c>
      <c r="B11251" t="s">
        <v>2591</v>
      </c>
      <c r="C11251" t="s">
        <v>923</v>
      </c>
      <c r="D11251" t="s">
        <v>3063</v>
      </c>
      <c r="E11251" t="s">
        <v>3053</v>
      </c>
      <c r="F11251" t="s">
        <v>2</v>
      </c>
      <c r="G11251" t="s">
        <v>3040</v>
      </c>
      <c r="H11251" t="s">
        <v>14025</v>
      </c>
      <c r="I11251">
        <v>9</v>
      </c>
      <c r="J11251">
        <v>0</v>
      </c>
      <c r="K11251">
        <v>0</v>
      </c>
      <c r="L11251">
        <v>0</v>
      </c>
      <c r="M11251">
        <v>9</v>
      </c>
      <c r="N11251">
        <v>0</v>
      </c>
      <c r="O11251">
        <v>0</v>
      </c>
    </row>
    <row r="11252" spans="1:15" x14ac:dyDescent="0.25">
      <c r="A11252" t="s">
        <v>1066</v>
      </c>
      <c r="B11252" t="s">
        <v>2557</v>
      </c>
      <c r="C11252" t="s">
        <v>927</v>
      </c>
      <c r="D11252" t="s">
        <v>3052</v>
      </c>
      <c r="E11252" t="s">
        <v>3053</v>
      </c>
      <c r="F11252" t="s">
        <v>2</v>
      </c>
      <c r="G11252" t="s">
        <v>3040</v>
      </c>
      <c r="H11252" t="s">
        <v>14033</v>
      </c>
      <c r="I11252">
        <v>177</v>
      </c>
      <c r="J11252">
        <v>0</v>
      </c>
      <c r="K11252">
        <v>0</v>
      </c>
      <c r="L11252">
        <v>0</v>
      </c>
      <c r="M11252">
        <v>175</v>
      </c>
      <c r="N11252">
        <v>0</v>
      </c>
      <c r="O11252">
        <v>2</v>
      </c>
    </row>
    <row r="11253" spans="1:15" x14ac:dyDescent="0.25">
      <c r="A11253" t="s">
        <v>1674</v>
      </c>
      <c r="B11253" t="s">
        <v>2177</v>
      </c>
      <c r="C11253" t="s">
        <v>923</v>
      </c>
      <c r="D11253" t="s">
        <v>3063</v>
      </c>
      <c r="E11253" t="s">
        <v>3053</v>
      </c>
      <c r="F11253" t="s">
        <v>2</v>
      </c>
      <c r="G11253" t="s">
        <v>3040</v>
      </c>
      <c r="H11253" t="s">
        <v>14048</v>
      </c>
      <c r="I11253">
        <v>18</v>
      </c>
      <c r="J11253">
        <v>18</v>
      </c>
      <c r="K11253">
        <v>0</v>
      </c>
      <c r="L11253">
        <v>0</v>
      </c>
      <c r="M11253">
        <v>0</v>
      </c>
      <c r="N11253">
        <v>0</v>
      </c>
      <c r="O11253">
        <v>0</v>
      </c>
    </row>
    <row r="11254" spans="1:15" x14ac:dyDescent="0.25">
      <c r="A11254" t="s">
        <v>1675</v>
      </c>
      <c r="B11254" t="s">
        <v>2083</v>
      </c>
      <c r="C11254" t="s">
        <v>923</v>
      </c>
      <c r="D11254" t="s">
        <v>3063</v>
      </c>
      <c r="E11254" t="s">
        <v>3053</v>
      </c>
      <c r="F11254" t="s">
        <v>2</v>
      </c>
      <c r="G11254" t="s">
        <v>3040</v>
      </c>
      <c r="H11254" t="s">
        <v>14059</v>
      </c>
      <c r="I11254">
        <v>16</v>
      </c>
      <c r="J11254">
        <v>16</v>
      </c>
      <c r="K11254">
        <v>0</v>
      </c>
      <c r="L11254">
        <v>0</v>
      </c>
      <c r="M11254">
        <v>0</v>
      </c>
      <c r="N11254">
        <v>0</v>
      </c>
      <c r="O11254">
        <v>0</v>
      </c>
    </row>
    <row r="11255" spans="1:15" x14ac:dyDescent="0.25">
      <c r="A11255" t="s">
        <v>10755</v>
      </c>
      <c r="B11255" t="s">
        <v>2313</v>
      </c>
      <c r="C11255" t="s">
        <v>923</v>
      </c>
      <c r="D11255" t="s">
        <v>3063</v>
      </c>
      <c r="E11255" t="s">
        <v>3053</v>
      </c>
      <c r="F11255" t="s">
        <v>2</v>
      </c>
      <c r="G11255" t="s">
        <v>3040</v>
      </c>
      <c r="H11255" t="s">
        <v>14063</v>
      </c>
      <c r="I11255">
        <v>6</v>
      </c>
      <c r="J11255">
        <v>6</v>
      </c>
      <c r="K11255">
        <v>0</v>
      </c>
      <c r="L11255">
        <v>0</v>
      </c>
      <c r="M11255">
        <v>0</v>
      </c>
      <c r="N11255">
        <v>0</v>
      </c>
      <c r="O11255">
        <v>0</v>
      </c>
    </row>
    <row r="11256" spans="1:15" x14ac:dyDescent="0.25">
      <c r="A11256" t="s">
        <v>11667</v>
      </c>
      <c r="B11256" t="s">
        <v>1986</v>
      </c>
      <c r="C11256" t="s">
        <v>923</v>
      </c>
      <c r="D11256" t="s">
        <v>3063</v>
      </c>
      <c r="E11256" t="s">
        <v>3053</v>
      </c>
      <c r="F11256" t="s">
        <v>2</v>
      </c>
      <c r="G11256" t="s">
        <v>3040</v>
      </c>
      <c r="H11256" t="s">
        <v>14071</v>
      </c>
      <c r="I11256">
        <v>133</v>
      </c>
      <c r="J11256">
        <v>0</v>
      </c>
      <c r="K11256">
        <v>0</v>
      </c>
      <c r="L11256">
        <v>0</v>
      </c>
      <c r="M11256">
        <v>133</v>
      </c>
      <c r="N11256">
        <v>0</v>
      </c>
      <c r="O11256">
        <v>0</v>
      </c>
    </row>
    <row r="11257" spans="1:15" x14ac:dyDescent="0.25">
      <c r="A11257" t="s">
        <v>9876</v>
      </c>
      <c r="B11257" t="s">
        <v>2205</v>
      </c>
      <c r="C11257" t="s">
        <v>923</v>
      </c>
      <c r="D11257" t="s">
        <v>3063</v>
      </c>
      <c r="E11257" t="s">
        <v>3053</v>
      </c>
      <c r="F11257" t="s">
        <v>2</v>
      </c>
      <c r="G11257" t="s">
        <v>3040</v>
      </c>
      <c r="H11257" t="s">
        <v>14076</v>
      </c>
      <c r="I11257">
        <v>69</v>
      </c>
      <c r="J11257">
        <v>0</v>
      </c>
      <c r="K11257">
        <v>0</v>
      </c>
      <c r="L11257">
        <v>0</v>
      </c>
      <c r="M11257">
        <v>69</v>
      </c>
      <c r="N11257">
        <v>0</v>
      </c>
      <c r="O11257">
        <v>0</v>
      </c>
    </row>
    <row r="11258" spans="1:15" x14ac:dyDescent="0.25">
      <c r="A11258" t="s">
        <v>1676</v>
      </c>
      <c r="B11258" t="s">
        <v>2762</v>
      </c>
      <c r="C11258" t="s">
        <v>923</v>
      </c>
      <c r="D11258" t="s">
        <v>3063</v>
      </c>
      <c r="E11258" t="s">
        <v>3053</v>
      </c>
      <c r="F11258" t="s">
        <v>2</v>
      </c>
      <c r="G11258" t="s">
        <v>3040</v>
      </c>
      <c r="H11258" t="s">
        <v>14077</v>
      </c>
      <c r="I11258">
        <v>58</v>
      </c>
      <c r="J11258">
        <v>58</v>
      </c>
      <c r="K11258">
        <v>0</v>
      </c>
      <c r="L11258">
        <v>0</v>
      </c>
      <c r="M11258">
        <v>0</v>
      </c>
      <c r="N11258">
        <v>0</v>
      </c>
      <c r="O11258">
        <v>0</v>
      </c>
    </row>
    <row r="11259" spans="1:15" x14ac:dyDescent="0.25">
      <c r="A11259" t="s">
        <v>1170</v>
      </c>
      <c r="B11259" t="s">
        <v>2968</v>
      </c>
      <c r="C11259" t="s">
        <v>923</v>
      </c>
      <c r="D11259" t="s">
        <v>3063</v>
      </c>
      <c r="E11259" t="s">
        <v>3053</v>
      </c>
      <c r="F11259" t="s">
        <v>2</v>
      </c>
      <c r="G11259" t="s">
        <v>3040</v>
      </c>
      <c r="H11259" t="s">
        <v>14081</v>
      </c>
      <c r="I11259">
        <v>63</v>
      </c>
      <c r="J11259">
        <v>0</v>
      </c>
      <c r="K11259">
        <v>0</v>
      </c>
      <c r="L11259">
        <v>58</v>
      </c>
      <c r="M11259">
        <v>5</v>
      </c>
      <c r="N11259">
        <v>0</v>
      </c>
      <c r="O11259">
        <v>0</v>
      </c>
    </row>
    <row r="11260" spans="1:15" x14ac:dyDescent="0.25">
      <c r="A11260" t="s">
        <v>1677</v>
      </c>
      <c r="B11260" t="s">
        <v>2608</v>
      </c>
      <c r="C11260" t="s">
        <v>923</v>
      </c>
      <c r="D11260" t="s">
        <v>3063</v>
      </c>
      <c r="E11260" t="s">
        <v>3053</v>
      </c>
      <c r="F11260" t="s">
        <v>2</v>
      </c>
      <c r="G11260" t="s">
        <v>3040</v>
      </c>
      <c r="H11260" t="s">
        <v>14087</v>
      </c>
      <c r="I11260">
        <v>66</v>
      </c>
      <c r="J11260">
        <v>0</v>
      </c>
      <c r="K11260">
        <v>0</v>
      </c>
      <c r="L11260">
        <v>66</v>
      </c>
      <c r="M11260">
        <v>0</v>
      </c>
      <c r="N11260">
        <v>0</v>
      </c>
      <c r="O11260">
        <v>0</v>
      </c>
    </row>
    <row r="11261" spans="1:15" x14ac:dyDescent="0.25">
      <c r="A11261" t="s">
        <v>1069</v>
      </c>
      <c r="B11261" t="s">
        <v>2001</v>
      </c>
      <c r="C11261" t="s">
        <v>927</v>
      </c>
      <c r="D11261" t="s">
        <v>3052</v>
      </c>
      <c r="E11261" t="s">
        <v>3053</v>
      </c>
      <c r="F11261" t="s">
        <v>2</v>
      </c>
      <c r="G11261" t="s">
        <v>3040</v>
      </c>
      <c r="H11261" t="s">
        <v>14093</v>
      </c>
      <c r="I11261">
        <v>12807</v>
      </c>
      <c r="J11261">
        <v>8504</v>
      </c>
      <c r="K11261">
        <v>0</v>
      </c>
      <c r="L11261">
        <v>88</v>
      </c>
      <c r="M11261">
        <v>1244</v>
      </c>
      <c r="N11261">
        <v>0</v>
      </c>
      <c r="O11261">
        <v>2971</v>
      </c>
    </row>
    <row r="11262" spans="1:15" x14ac:dyDescent="0.25">
      <c r="A11262" t="s">
        <v>9831</v>
      </c>
      <c r="B11262" t="s">
        <v>2320</v>
      </c>
      <c r="C11262" t="s">
        <v>923</v>
      </c>
      <c r="D11262" t="s">
        <v>3063</v>
      </c>
      <c r="E11262" t="s">
        <v>3053</v>
      </c>
      <c r="F11262" t="s">
        <v>2</v>
      </c>
      <c r="G11262" t="s">
        <v>3040</v>
      </c>
      <c r="H11262" t="s">
        <v>14104</v>
      </c>
      <c r="I11262">
        <v>66</v>
      </c>
      <c r="J11262">
        <v>66</v>
      </c>
      <c r="K11262">
        <v>0</v>
      </c>
      <c r="L11262">
        <v>0</v>
      </c>
      <c r="M11262">
        <v>0</v>
      </c>
      <c r="N11262">
        <v>0</v>
      </c>
      <c r="O11262">
        <v>0</v>
      </c>
    </row>
    <row r="11263" spans="1:15" x14ac:dyDescent="0.25">
      <c r="A11263" t="s">
        <v>1678</v>
      </c>
      <c r="B11263" t="s">
        <v>2326</v>
      </c>
      <c r="C11263" t="s">
        <v>923</v>
      </c>
      <c r="D11263" t="s">
        <v>3063</v>
      </c>
      <c r="E11263" t="s">
        <v>3053</v>
      </c>
      <c r="F11263" t="s">
        <v>2</v>
      </c>
      <c r="G11263" t="s">
        <v>3040</v>
      </c>
      <c r="H11263" t="s">
        <v>14105</v>
      </c>
      <c r="I11263">
        <v>29</v>
      </c>
      <c r="J11263">
        <v>29</v>
      </c>
      <c r="K11263">
        <v>0</v>
      </c>
      <c r="L11263">
        <v>0</v>
      </c>
      <c r="M11263">
        <v>0</v>
      </c>
      <c r="N11263">
        <v>0</v>
      </c>
      <c r="O11263">
        <v>0</v>
      </c>
    </row>
    <row r="11264" spans="1:15" x14ac:dyDescent="0.25">
      <c r="A11264" t="s">
        <v>1679</v>
      </c>
      <c r="B11264" t="s">
        <v>2292</v>
      </c>
      <c r="C11264" t="s">
        <v>923</v>
      </c>
      <c r="D11264" t="s">
        <v>3063</v>
      </c>
      <c r="E11264" t="s">
        <v>3053</v>
      </c>
      <c r="F11264" t="s">
        <v>2</v>
      </c>
      <c r="G11264" t="s">
        <v>3040</v>
      </c>
      <c r="H11264" t="s">
        <v>14110</v>
      </c>
      <c r="I11264">
        <v>14</v>
      </c>
      <c r="J11264">
        <v>0</v>
      </c>
      <c r="K11264">
        <v>0</v>
      </c>
      <c r="L11264">
        <v>0</v>
      </c>
      <c r="M11264">
        <v>14</v>
      </c>
      <c r="N11264">
        <v>0</v>
      </c>
      <c r="O11264">
        <v>0</v>
      </c>
    </row>
    <row r="11265" spans="1:15" x14ac:dyDescent="0.25">
      <c r="A11265" t="s">
        <v>10760</v>
      </c>
      <c r="B11265" t="s">
        <v>10759</v>
      </c>
      <c r="C11265" t="s">
        <v>923</v>
      </c>
      <c r="D11265" t="s">
        <v>3063</v>
      </c>
      <c r="E11265" t="s">
        <v>3053</v>
      </c>
      <c r="F11265" t="s">
        <v>2</v>
      </c>
      <c r="G11265" t="s">
        <v>3040</v>
      </c>
      <c r="H11265" t="s">
        <v>14111</v>
      </c>
      <c r="I11265">
        <v>14</v>
      </c>
      <c r="J11265">
        <v>0</v>
      </c>
      <c r="K11265">
        <v>0</v>
      </c>
      <c r="L11265">
        <v>0</v>
      </c>
      <c r="M11265">
        <v>14</v>
      </c>
      <c r="N11265">
        <v>0</v>
      </c>
      <c r="O11265">
        <v>0</v>
      </c>
    </row>
    <row r="11266" spans="1:15" x14ac:dyDescent="0.25">
      <c r="A11266" t="s">
        <v>9832</v>
      </c>
      <c r="B11266" t="s">
        <v>2837</v>
      </c>
      <c r="C11266" t="s">
        <v>923</v>
      </c>
      <c r="D11266" t="s">
        <v>3063</v>
      </c>
      <c r="E11266" t="s">
        <v>3053</v>
      </c>
      <c r="F11266" t="s">
        <v>2</v>
      </c>
      <c r="G11266" t="s">
        <v>3040</v>
      </c>
      <c r="H11266" t="s">
        <v>14118</v>
      </c>
      <c r="I11266">
        <v>82</v>
      </c>
      <c r="J11266">
        <v>0</v>
      </c>
      <c r="K11266">
        <v>0</v>
      </c>
      <c r="L11266">
        <v>0</v>
      </c>
      <c r="M11266">
        <v>82</v>
      </c>
      <c r="N11266">
        <v>0</v>
      </c>
      <c r="O11266">
        <v>0</v>
      </c>
    </row>
    <row r="11267" spans="1:15" x14ac:dyDescent="0.25">
      <c r="A11267" t="s">
        <v>1680</v>
      </c>
      <c r="B11267" t="s">
        <v>2342</v>
      </c>
      <c r="C11267" t="s">
        <v>923</v>
      </c>
      <c r="D11267" t="s">
        <v>3063</v>
      </c>
      <c r="E11267" t="s">
        <v>3053</v>
      </c>
      <c r="F11267" t="s">
        <v>2</v>
      </c>
      <c r="G11267" t="s">
        <v>3040</v>
      </c>
      <c r="H11267" t="s">
        <v>14127</v>
      </c>
      <c r="I11267">
        <v>16</v>
      </c>
      <c r="J11267">
        <v>16</v>
      </c>
      <c r="K11267">
        <v>0</v>
      </c>
      <c r="L11267">
        <v>0</v>
      </c>
      <c r="M11267">
        <v>0</v>
      </c>
      <c r="N11267">
        <v>0</v>
      </c>
      <c r="O11267">
        <v>0</v>
      </c>
    </row>
    <row r="11268" spans="1:15" x14ac:dyDescent="0.25">
      <c r="A11268" t="s">
        <v>9880</v>
      </c>
      <c r="B11268" t="s">
        <v>2144</v>
      </c>
      <c r="C11268" t="s">
        <v>923</v>
      </c>
      <c r="D11268" t="s">
        <v>3063</v>
      </c>
      <c r="E11268" t="s">
        <v>3053</v>
      </c>
      <c r="F11268" t="s">
        <v>2</v>
      </c>
      <c r="G11268" t="s">
        <v>3040</v>
      </c>
      <c r="H11268" t="s">
        <v>14128</v>
      </c>
      <c r="I11268">
        <v>43</v>
      </c>
      <c r="J11268">
        <v>0</v>
      </c>
      <c r="K11268">
        <v>0</v>
      </c>
      <c r="L11268">
        <v>0</v>
      </c>
      <c r="M11268">
        <v>43</v>
      </c>
      <c r="N11268">
        <v>0</v>
      </c>
      <c r="O11268">
        <v>0</v>
      </c>
    </row>
    <row r="11269" spans="1:15" x14ac:dyDescent="0.25">
      <c r="A11269" t="s">
        <v>1071</v>
      </c>
      <c r="B11269" t="s">
        <v>2571</v>
      </c>
      <c r="C11269" t="s">
        <v>923</v>
      </c>
      <c r="D11269" t="s">
        <v>3063</v>
      </c>
      <c r="E11269" t="s">
        <v>3053</v>
      </c>
      <c r="F11269" t="s">
        <v>2</v>
      </c>
      <c r="G11269" t="s">
        <v>3040</v>
      </c>
      <c r="H11269" t="s">
        <v>14143</v>
      </c>
      <c r="I11269">
        <v>51</v>
      </c>
      <c r="J11269">
        <v>0</v>
      </c>
      <c r="K11269">
        <v>0</v>
      </c>
      <c r="L11269">
        <v>51</v>
      </c>
      <c r="M11269">
        <v>0</v>
      </c>
      <c r="N11269">
        <v>0</v>
      </c>
      <c r="O11269">
        <v>0</v>
      </c>
    </row>
    <row r="11270" spans="1:15" x14ac:dyDescent="0.25">
      <c r="A11270" t="s">
        <v>1072</v>
      </c>
      <c r="B11270" t="s">
        <v>2907</v>
      </c>
      <c r="C11270" t="s">
        <v>927</v>
      </c>
      <c r="D11270" t="s">
        <v>3052</v>
      </c>
      <c r="E11270" t="s">
        <v>3053</v>
      </c>
      <c r="F11270" t="s">
        <v>2</v>
      </c>
      <c r="G11270" t="s">
        <v>3040</v>
      </c>
      <c r="H11270" t="s">
        <v>14150</v>
      </c>
      <c r="I11270">
        <v>2553</v>
      </c>
      <c r="J11270">
        <v>1665</v>
      </c>
      <c r="K11270">
        <v>0</v>
      </c>
      <c r="L11270">
        <v>455</v>
      </c>
      <c r="M11270">
        <v>249</v>
      </c>
      <c r="N11270">
        <v>4</v>
      </c>
      <c r="O11270">
        <v>184</v>
      </c>
    </row>
    <row r="11271" spans="1:15" x14ac:dyDescent="0.25">
      <c r="A11271" t="s">
        <v>10765</v>
      </c>
      <c r="B11271" t="s">
        <v>2281</v>
      </c>
      <c r="C11271" t="s">
        <v>923</v>
      </c>
      <c r="D11271" t="s">
        <v>3063</v>
      </c>
      <c r="E11271" t="s">
        <v>3053</v>
      </c>
      <c r="F11271" t="s">
        <v>2</v>
      </c>
      <c r="G11271" t="s">
        <v>3040</v>
      </c>
      <c r="H11271" t="s">
        <v>14157</v>
      </c>
      <c r="I11271">
        <v>34</v>
      </c>
      <c r="J11271">
        <v>0</v>
      </c>
      <c r="K11271">
        <v>0</v>
      </c>
      <c r="L11271">
        <v>34</v>
      </c>
      <c r="M11271">
        <v>0</v>
      </c>
      <c r="N11271">
        <v>4</v>
      </c>
      <c r="O11271">
        <v>0</v>
      </c>
    </row>
    <row r="11272" spans="1:15" x14ac:dyDescent="0.25">
      <c r="A11272" t="s">
        <v>1681</v>
      </c>
      <c r="B11272" t="s">
        <v>3021</v>
      </c>
      <c r="C11272" t="s">
        <v>923</v>
      </c>
      <c r="D11272" t="s">
        <v>3063</v>
      </c>
      <c r="E11272" t="s">
        <v>3053</v>
      </c>
      <c r="F11272" t="s">
        <v>2</v>
      </c>
      <c r="G11272" t="s">
        <v>3040</v>
      </c>
      <c r="H11272" t="s">
        <v>14160</v>
      </c>
      <c r="I11272">
        <v>434</v>
      </c>
      <c r="J11272">
        <v>150</v>
      </c>
      <c r="K11272">
        <v>40</v>
      </c>
      <c r="L11272">
        <v>244</v>
      </c>
      <c r="M11272">
        <v>0</v>
      </c>
      <c r="N11272">
        <v>0</v>
      </c>
      <c r="O11272">
        <v>0</v>
      </c>
    </row>
    <row r="11273" spans="1:15" x14ac:dyDescent="0.25">
      <c r="A11273" t="s">
        <v>1368</v>
      </c>
      <c r="B11273" t="s">
        <v>3022</v>
      </c>
      <c r="C11273" t="s">
        <v>923</v>
      </c>
      <c r="D11273" t="s">
        <v>3063</v>
      </c>
      <c r="E11273" t="s">
        <v>3053</v>
      </c>
      <c r="F11273" t="s">
        <v>2</v>
      </c>
      <c r="G11273" t="s">
        <v>3040</v>
      </c>
      <c r="H11273" t="s">
        <v>14163</v>
      </c>
      <c r="I11273">
        <v>18</v>
      </c>
      <c r="J11273">
        <v>2</v>
      </c>
      <c r="K11273">
        <v>16</v>
      </c>
      <c r="L11273">
        <v>0</v>
      </c>
      <c r="M11273">
        <v>0</v>
      </c>
      <c r="N11273">
        <v>2</v>
      </c>
      <c r="O11273">
        <v>0</v>
      </c>
    </row>
    <row r="11274" spans="1:15" x14ac:dyDescent="0.25">
      <c r="A11274" t="s">
        <v>11711</v>
      </c>
      <c r="B11274" t="s">
        <v>2219</v>
      </c>
      <c r="C11274" t="s">
        <v>923</v>
      </c>
      <c r="D11274" t="s">
        <v>3063</v>
      </c>
      <c r="E11274" t="s">
        <v>3053</v>
      </c>
      <c r="F11274" t="s">
        <v>2</v>
      </c>
      <c r="G11274" t="s">
        <v>3040</v>
      </c>
      <c r="H11274" t="s">
        <v>14164</v>
      </c>
      <c r="I11274">
        <v>10</v>
      </c>
      <c r="J11274">
        <v>10</v>
      </c>
      <c r="K11274">
        <v>0</v>
      </c>
      <c r="L11274">
        <v>0</v>
      </c>
      <c r="M11274">
        <v>0</v>
      </c>
      <c r="N11274">
        <v>0</v>
      </c>
      <c r="O11274">
        <v>0</v>
      </c>
    </row>
    <row r="11275" spans="1:15" x14ac:dyDescent="0.25">
      <c r="A11275" t="s">
        <v>966</v>
      </c>
      <c r="B11275" t="s">
        <v>2684</v>
      </c>
      <c r="C11275" t="s">
        <v>927</v>
      </c>
      <c r="D11275" t="s">
        <v>3052</v>
      </c>
      <c r="E11275" t="s">
        <v>3053</v>
      </c>
      <c r="F11275" t="s">
        <v>2</v>
      </c>
      <c r="G11275" t="s">
        <v>3040</v>
      </c>
      <c r="H11275" t="s">
        <v>14166</v>
      </c>
      <c r="I11275">
        <v>5883</v>
      </c>
      <c r="J11275">
        <v>4164</v>
      </c>
      <c r="K11275">
        <v>0</v>
      </c>
      <c r="L11275">
        <v>21</v>
      </c>
      <c r="M11275">
        <v>171</v>
      </c>
      <c r="N11275">
        <v>0</v>
      </c>
      <c r="O11275">
        <v>1527</v>
      </c>
    </row>
    <row r="11276" spans="1:15" x14ac:dyDescent="0.25">
      <c r="A11276" t="s">
        <v>1682</v>
      </c>
      <c r="B11276" t="s">
        <v>10770</v>
      </c>
      <c r="C11276" t="s">
        <v>923</v>
      </c>
      <c r="D11276" t="s">
        <v>3063</v>
      </c>
      <c r="E11276" t="s">
        <v>3053</v>
      </c>
      <c r="F11276" t="s">
        <v>2</v>
      </c>
      <c r="G11276" t="s">
        <v>3040</v>
      </c>
      <c r="H11276" t="s">
        <v>14181</v>
      </c>
      <c r="I11276">
        <v>102</v>
      </c>
      <c r="J11276">
        <v>0</v>
      </c>
      <c r="K11276">
        <v>0</v>
      </c>
      <c r="L11276">
        <v>0</v>
      </c>
      <c r="M11276">
        <v>102</v>
      </c>
      <c r="N11276">
        <v>0</v>
      </c>
      <c r="O11276">
        <v>0</v>
      </c>
    </row>
    <row r="11277" spans="1:15" x14ac:dyDescent="0.25">
      <c r="A11277" t="s">
        <v>1683</v>
      </c>
      <c r="B11277" t="s">
        <v>2082</v>
      </c>
      <c r="C11277" t="s">
        <v>923</v>
      </c>
      <c r="D11277" t="s">
        <v>3063</v>
      </c>
      <c r="E11277" t="s">
        <v>3053</v>
      </c>
      <c r="F11277" t="s">
        <v>2</v>
      </c>
      <c r="G11277" t="s">
        <v>3040</v>
      </c>
      <c r="H11277" t="s">
        <v>14182</v>
      </c>
      <c r="I11277">
        <v>124</v>
      </c>
      <c r="J11277">
        <v>0</v>
      </c>
      <c r="K11277">
        <v>0</v>
      </c>
      <c r="L11277">
        <v>0</v>
      </c>
      <c r="M11277">
        <v>124</v>
      </c>
      <c r="N11277">
        <v>0</v>
      </c>
      <c r="O11277">
        <v>0</v>
      </c>
    </row>
    <row r="11278" spans="1:15" x14ac:dyDescent="0.25">
      <c r="A11278" t="s">
        <v>1181</v>
      </c>
      <c r="B11278" t="s">
        <v>2894</v>
      </c>
      <c r="C11278" t="s">
        <v>927</v>
      </c>
      <c r="D11278" t="s">
        <v>3052</v>
      </c>
      <c r="E11278" t="s">
        <v>3053</v>
      </c>
      <c r="F11278" t="s">
        <v>2</v>
      </c>
      <c r="G11278" t="s">
        <v>3040</v>
      </c>
      <c r="H11278" t="s">
        <v>14187</v>
      </c>
      <c r="I11278">
        <v>704</v>
      </c>
      <c r="J11278">
        <v>539</v>
      </c>
      <c r="K11278">
        <v>0</v>
      </c>
      <c r="L11278">
        <v>0</v>
      </c>
      <c r="M11278">
        <v>0</v>
      </c>
      <c r="N11278">
        <v>0</v>
      </c>
      <c r="O11278">
        <v>165</v>
      </c>
    </row>
    <row r="11279" spans="1:15" x14ac:dyDescent="0.25">
      <c r="A11279" t="s">
        <v>14396</v>
      </c>
      <c r="B11279" t="s">
        <v>15348</v>
      </c>
      <c r="C11279" t="s">
        <v>923</v>
      </c>
      <c r="D11279" t="s">
        <v>3063</v>
      </c>
      <c r="E11279" t="s">
        <v>3053</v>
      </c>
      <c r="F11279" t="s">
        <v>2</v>
      </c>
      <c r="G11279" t="s">
        <v>3040</v>
      </c>
      <c r="H11279" t="s">
        <v>15579</v>
      </c>
      <c r="I11279">
        <v>6</v>
      </c>
      <c r="J11279">
        <v>6</v>
      </c>
      <c r="K11279">
        <v>0</v>
      </c>
      <c r="L11279">
        <v>0</v>
      </c>
      <c r="M11279">
        <v>0</v>
      </c>
      <c r="N11279">
        <v>0</v>
      </c>
      <c r="O11279">
        <v>0</v>
      </c>
    </row>
    <row r="11280" spans="1:15" x14ac:dyDescent="0.25">
      <c r="A11280" t="s">
        <v>1684</v>
      </c>
      <c r="B11280" t="s">
        <v>2845</v>
      </c>
      <c r="C11280" t="s">
        <v>927</v>
      </c>
      <c r="D11280" t="s">
        <v>3052</v>
      </c>
      <c r="E11280" t="s">
        <v>3053</v>
      </c>
      <c r="F11280" t="s">
        <v>2</v>
      </c>
      <c r="G11280" t="s">
        <v>3040</v>
      </c>
      <c r="H11280" t="s">
        <v>14198</v>
      </c>
      <c r="I11280">
        <v>12551</v>
      </c>
      <c r="J11280">
        <v>10241</v>
      </c>
      <c r="K11280">
        <v>0</v>
      </c>
      <c r="L11280">
        <v>77</v>
      </c>
      <c r="M11280">
        <v>858</v>
      </c>
      <c r="N11280">
        <v>14</v>
      </c>
      <c r="O11280">
        <v>1375</v>
      </c>
    </row>
    <row r="11281" spans="1:15" x14ac:dyDescent="0.25">
      <c r="A11281" t="s">
        <v>1374</v>
      </c>
      <c r="B11281" t="s">
        <v>2580</v>
      </c>
      <c r="C11281" t="s">
        <v>923</v>
      </c>
      <c r="D11281" t="s">
        <v>3063</v>
      </c>
      <c r="E11281" t="s">
        <v>3053</v>
      </c>
      <c r="F11281" t="s">
        <v>2</v>
      </c>
      <c r="G11281" t="s">
        <v>3040</v>
      </c>
      <c r="H11281" t="s">
        <v>14203</v>
      </c>
      <c r="I11281">
        <v>854</v>
      </c>
      <c r="J11281">
        <v>2</v>
      </c>
      <c r="K11281">
        <v>0</v>
      </c>
      <c r="L11281">
        <v>739</v>
      </c>
      <c r="M11281">
        <v>113</v>
      </c>
      <c r="N11281">
        <v>16</v>
      </c>
      <c r="O11281">
        <v>0</v>
      </c>
    </row>
    <row r="11282" spans="1:15" x14ac:dyDescent="0.25">
      <c r="A11282" t="s">
        <v>1078</v>
      </c>
      <c r="B11282" t="s">
        <v>1950</v>
      </c>
      <c r="C11282" t="s">
        <v>923</v>
      </c>
      <c r="D11282" t="s">
        <v>3063</v>
      </c>
      <c r="E11282" t="s">
        <v>3053</v>
      </c>
      <c r="F11282" t="s">
        <v>2</v>
      </c>
      <c r="G11282" t="s">
        <v>3040</v>
      </c>
      <c r="H11282" t="s">
        <v>14215</v>
      </c>
      <c r="I11282">
        <v>49</v>
      </c>
      <c r="J11282">
        <v>0</v>
      </c>
      <c r="K11282">
        <v>0</v>
      </c>
      <c r="L11282">
        <v>49</v>
      </c>
      <c r="M11282">
        <v>0</v>
      </c>
      <c r="N11282">
        <v>0</v>
      </c>
      <c r="O11282">
        <v>0</v>
      </c>
    </row>
    <row r="11283" spans="1:15" x14ac:dyDescent="0.25">
      <c r="A11283" t="s">
        <v>1182</v>
      </c>
      <c r="B11283" t="s">
        <v>2583</v>
      </c>
      <c r="C11283" t="s">
        <v>923</v>
      </c>
      <c r="D11283" t="s">
        <v>3063</v>
      </c>
      <c r="E11283" t="s">
        <v>3053</v>
      </c>
      <c r="F11283" t="s">
        <v>2</v>
      </c>
      <c r="G11283" t="s">
        <v>3040</v>
      </c>
      <c r="H11283" t="s">
        <v>14224</v>
      </c>
      <c r="I11283">
        <v>23</v>
      </c>
      <c r="J11283">
        <v>0</v>
      </c>
      <c r="K11283">
        <v>0</v>
      </c>
      <c r="L11283">
        <v>23</v>
      </c>
      <c r="M11283">
        <v>0</v>
      </c>
      <c r="N11283">
        <v>0</v>
      </c>
      <c r="O11283">
        <v>0</v>
      </c>
    </row>
    <row r="11284" spans="1:15" x14ac:dyDescent="0.25">
      <c r="A11284" t="s">
        <v>10774</v>
      </c>
      <c r="B11284" t="s">
        <v>10773</v>
      </c>
      <c r="C11284" t="s">
        <v>923</v>
      </c>
      <c r="D11284" t="s">
        <v>3063</v>
      </c>
      <c r="E11284" t="s">
        <v>3053</v>
      </c>
      <c r="F11284" t="s">
        <v>2</v>
      </c>
      <c r="G11284" t="s">
        <v>3040</v>
      </c>
      <c r="H11284" t="s">
        <v>14225</v>
      </c>
      <c r="I11284">
        <v>66</v>
      </c>
      <c r="J11284">
        <v>12</v>
      </c>
      <c r="K11284">
        <v>54</v>
      </c>
      <c r="L11284">
        <v>0</v>
      </c>
      <c r="M11284">
        <v>0</v>
      </c>
      <c r="N11284">
        <v>0</v>
      </c>
      <c r="O11284">
        <v>0</v>
      </c>
    </row>
    <row r="11285" spans="1:15" x14ac:dyDescent="0.25">
      <c r="A11285" t="s">
        <v>1686</v>
      </c>
      <c r="B11285" t="s">
        <v>2988</v>
      </c>
      <c r="C11285" t="s">
        <v>923</v>
      </c>
      <c r="D11285" t="s">
        <v>3063</v>
      </c>
      <c r="E11285" t="s">
        <v>3053</v>
      </c>
      <c r="F11285" t="s">
        <v>2</v>
      </c>
      <c r="G11285" t="s">
        <v>3040</v>
      </c>
      <c r="H11285" t="s">
        <v>14228</v>
      </c>
      <c r="I11285">
        <v>727</v>
      </c>
      <c r="J11285">
        <v>0</v>
      </c>
      <c r="K11285">
        <v>0</v>
      </c>
      <c r="L11285">
        <v>727</v>
      </c>
      <c r="M11285">
        <v>0</v>
      </c>
      <c r="N11285">
        <v>0</v>
      </c>
      <c r="O11285">
        <v>0</v>
      </c>
    </row>
    <row r="11286" spans="1:15" x14ac:dyDescent="0.25">
      <c r="A11286" t="s">
        <v>9833</v>
      </c>
      <c r="B11286" t="s">
        <v>2669</v>
      </c>
      <c r="C11286" t="s">
        <v>923</v>
      </c>
      <c r="D11286" t="s">
        <v>3063</v>
      </c>
      <c r="E11286" t="s">
        <v>3053</v>
      </c>
      <c r="F11286" t="s">
        <v>2</v>
      </c>
      <c r="G11286" t="s">
        <v>3040</v>
      </c>
      <c r="H11286" t="s">
        <v>14231</v>
      </c>
      <c r="I11286">
        <v>17</v>
      </c>
      <c r="J11286">
        <v>0</v>
      </c>
      <c r="K11286">
        <v>0</v>
      </c>
      <c r="L11286">
        <v>0</v>
      </c>
      <c r="M11286">
        <v>17</v>
      </c>
      <c r="N11286">
        <v>0</v>
      </c>
      <c r="O11286">
        <v>0</v>
      </c>
    </row>
    <row r="11287" spans="1:15" x14ac:dyDescent="0.25">
      <c r="A11287" t="s">
        <v>1687</v>
      </c>
      <c r="B11287" t="s">
        <v>2716</v>
      </c>
      <c r="C11287" t="s">
        <v>923</v>
      </c>
      <c r="D11287" t="s">
        <v>3063</v>
      </c>
      <c r="E11287" t="s">
        <v>3053</v>
      </c>
      <c r="F11287" t="s">
        <v>2</v>
      </c>
      <c r="G11287" t="s">
        <v>3040</v>
      </c>
      <c r="H11287" t="s">
        <v>14234</v>
      </c>
      <c r="I11287">
        <v>437</v>
      </c>
      <c r="J11287">
        <v>428</v>
      </c>
      <c r="K11287">
        <v>0</v>
      </c>
      <c r="L11287">
        <v>9</v>
      </c>
      <c r="M11287">
        <v>0</v>
      </c>
      <c r="N11287">
        <v>0</v>
      </c>
      <c r="O11287">
        <v>0</v>
      </c>
    </row>
    <row r="11288" spans="1:15" x14ac:dyDescent="0.25">
      <c r="A11288" t="s">
        <v>14397</v>
      </c>
      <c r="B11288" t="s">
        <v>2052</v>
      </c>
      <c r="C11288" t="s">
        <v>923</v>
      </c>
      <c r="D11288" t="s">
        <v>3063</v>
      </c>
      <c r="E11288" t="s">
        <v>3053</v>
      </c>
      <c r="F11288" t="s">
        <v>2</v>
      </c>
      <c r="G11288" t="s">
        <v>3040</v>
      </c>
      <c r="H11288" t="s">
        <v>15580</v>
      </c>
      <c r="I11288">
        <v>91</v>
      </c>
      <c r="J11288">
        <v>91</v>
      </c>
      <c r="K11288">
        <v>0</v>
      </c>
      <c r="L11288">
        <v>0</v>
      </c>
      <c r="M11288">
        <v>0</v>
      </c>
      <c r="N11288">
        <v>0</v>
      </c>
      <c r="O11288">
        <v>0</v>
      </c>
    </row>
    <row r="11289" spans="1:15" x14ac:dyDescent="0.25">
      <c r="A11289" t="s">
        <v>968</v>
      </c>
      <c r="B11289" t="s">
        <v>2091</v>
      </c>
      <c r="C11289" t="s">
        <v>927</v>
      </c>
      <c r="D11289" t="s">
        <v>3052</v>
      </c>
      <c r="E11289" t="s">
        <v>3053</v>
      </c>
      <c r="F11289" t="s">
        <v>2</v>
      </c>
      <c r="G11289" t="s">
        <v>3040</v>
      </c>
      <c r="H11289" t="s">
        <v>14239</v>
      </c>
      <c r="I11289">
        <v>32016</v>
      </c>
      <c r="J11289">
        <v>26248</v>
      </c>
      <c r="K11289">
        <v>0</v>
      </c>
      <c r="L11289">
        <v>251</v>
      </c>
      <c r="M11289">
        <v>1234</v>
      </c>
      <c r="N11289">
        <v>4</v>
      </c>
      <c r="O11289">
        <v>4283</v>
      </c>
    </row>
    <row r="11290" spans="1:15" x14ac:dyDescent="0.25">
      <c r="A11290" t="s">
        <v>1688</v>
      </c>
      <c r="B11290" t="s">
        <v>2148</v>
      </c>
      <c r="C11290" t="s">
        <v>923</v>
      </c>
      <c r="D11290" t="s">
        <v>3063</v>
      </c>
      <c r="E11290" t="s">
        <v>3053</v>
      </c>
      <c r="F11290" t="s">
        <v>2</v>
      </c>
      <c r="G11290" t="s">
        <v>3040</v>
      </c>
      <c r="H11290" t="s">
        <v>14248</v>
      </c>
      <c r="I11290">
        <v>115</v>
      </c>
      <c r="J11290">
        <v>0</v>
      </c>
      <c r="K11290">
        <v>0</v>
      </c>
      <c r="L11290">
        <v>10</v>
      </c>
      <c r="M11290">
        <v>105</v>
      </c>
      <c r="N11290">
        <v>0</v>
      </c>
      <c r="O11290">
        <v>0</v>
      </c>
    </row>
    <row r="11291" spans="1:15" x14ac:dyDescent="0.25">
      <c r="A11291" t="s">
        <v>1380</v>
      </c>
      <c r="B11291" t="s">
        <v>2664</v>
      </c>
      <c r="C11291" t="s">
        <v>927</v>
      </c>
      <c r="D11291" t="s">
        <v>3052</v>
      </c>
      <c r="E11291" t="s">
        <v>3053</v>
      </c>
      <c r="F11291" t="s">
        <v>2</v>
      </c>
      <c r="G11291" t="s">
        <v>3040</v>
      </c>
      <c r="H11291" t="s">
        <v>14250</v>
      </c>
      <c r="I11291">
        <v>2</v>
      </c>
      <c r="J11291">
        <v>0</v>
      </c>
      <c r="K11291">
        <v>0</v>
      </c>
      <c r="L11291">
        <v>0</v>
      </c>
      <c r="M11291">
        <v>0</v>
      </c>
      <c r="N11291">
        <v>0</v>
      </c>
      <c r="O11291">
        <v>2</v>
      </c>
    </row>
    <row r="11292" spans="1:15" x14ac:dyDescent="0.25">
      <c r="A11292" t="s">
        <v>1689</v>
      </c>
      <c r="B11292" t="s">
        <v>2646</v>
      </c>
      <c r="C11292" t="s">
        <v>923</v>
      </c>
      <c r="D11292" t="s">
        <v>3063</v>
      </c>
      <c r="E11292" t="s">
        <v>3053</v>
      </c>
      <c r="F11292" t="s">
        <v>2</v>
      </c>
      <c r="G11292" t="s">
        <v>3040</v>
      </c>
      <c r="H11292" t="s">
        <v>14251</v>
      </c>
      <c r="I11292">
        <v>42</v>
      </c>
      <c r="J11292">
        <v>0</v>
      </c>
      <c r="K11292">
        <v>0</v>
      </c>
      <c r="L11292">
        <v>0</v>
      </c>
      <c r="M11292">
        <v>42</v>
      </c>
      <c r="N11292">
        <v>0</v>
      </c>
      <c r="O11292">
        <v>0</v>
      </c>
    </row>
    <row r="11293" spans="1:15" x14ac:dyDescent="0.25">
      <c r="A11293" t="s">
        <v>1690</v>
      </c>
      <c r="B11293" t="s">
        <v>2514</v>
      </c>
      <c r="C11293" t="s">
        <v>923</v>
      </c>
      <c r="D11293" t="s">
        <v>3063</v>
      </c>
      <c r="E11293" t="s">
        <v>3053</v>
      </c>
      <c r="F11293" t="s">
        <v>2</v>
      </c>
      <c r="G11293" t="s">
        <v>3040</v>
      </c>
      <c r="H11293" t="s">
        <v>14253</v>
      </c>
      <c r="I11293">
        <v>40</v>
      </c>
      <c r="J11293">
        <v>40</v>
      </c>
      <c r="K11293">
        <v>0</v>
      </c>
      <c r="L11293">
        <v>0</v>
      </c>
      <c r="M11293">
        <v>0</v>
      </c>
      <c r="N11293">
        <v>0</v>
      </c>
      <c r="O11293">
        <v>0</v>
      </c>
    </row>
    <row r="11294" spans="1:15" x14ac:dyDescent="0.25">
      <c r="A11294" t="s">
        <v>1691</v>
      </c>
      <c r="B11294" t="s">
        <v>2980</v>
      </c>
      <c r="C11294" t="s">
        <v>927</v>
      </c>
      <c r="D11294" t="s">
        <v>3052</v>
      </c>
      <c r="E11294" t="s">
        <v>3053</v>
      </c>
      <c r="F11294" t="s">
        <v>2</v>
      </c>
      <c r="G11294" t="s">
        <v>3040</v>
      </c>
      <c r="H11294" t="s">
        <v>14270</v>
      </c>
      <c r="I11294">
        <v>8268</v>
      </c>
      <c r="J11294">
        <v>6466</v>
      </c>
      <c r="K11294">
        <v>0</v>
      </c>
      <c r="L11294">
        <v>79</v>
      </c>
      <c r="M11294">
        <v>776</v>
      </c>
      <c r="N11294">
        <v>0</v>
      </c>
      <c r="O11294">
        <v>947</v>
      </c>
    </row>
    <row r="11295" spans="1:15" x14ac:dyDescent="0.25">
      <c r="A11295" t="s">
        <v>1080</v>
      </c>
      <c r="B11295" t="s">
        <v>2030</v>
      </c>
      <c r="C11295" t="s">
        <v>923</v>
      </c>
      <c r="D11295" t="s">
        <v>3063</v>
      </c>
      <c r="E11295" t="s">
        <v>3053</v>
      </c>
      <c r="F11295" t="s">
        <v>2</v>
      </c>
      <c r="G11295" t="s">
        <v>3040</v>
      </c>
      <c r="H11295" t="s">
        <v>14282</v>
      </c>
      <c r="I11295">
        <v>147</v>
      </c>
      <c r="J11295">
        <v>0</v>
      </c>
      <c r="K11295">
        <v>0</v>
      </c>
      <c r="L11295">
        <v>147</v>
      </c>
      <c r="M11295">
        <v>0</v>
      </c>
      <c r="N11295">
        <v>0</v>
      </c>
      <c r="O11295">
        <v>0</v>
      </c>
    </row>
    <row r="11296" spans="1:15" x14ac:dyDescent="0.25">
      <c r="A11296" t="s">
        <v>1692</v>
      </c>
      <c r="B11296" t="s">
        <v>2528</v>
      </c>
      <c r="C11296" t="s">
        <v>923</v>
      </c>
      <c r="D11296" t="s">
        <v>3063</v>
      </c>
      <c r="E11296" t="s">
        <v>3053</v>
      </c>
      <c r="F11296" t="s">
        <v>2</v>
      </c>
      <c r="G11296" t="s">
        <v>3040</v>
      </c>
      <c r="H11296" t="s">
        <v>14286</v>
      </c>
      <c r="I11296">
        <v>34</v>
      </c>
      <c r="J11296">
        <v>34</v>
      </c>
      <c r="K11296">
        <v>0</v>
      </c>
      <c r="L11296">
        <v>0</v>
      </c>
      <c r="M11296">
        <v>0</v>
      </c>
      <c r="N11296">
        <v>0</v>
      </c>
      <c r="O11296">
        <v>0</v>
      </c>
    </row>
    <row r="11297" spans="1:15" x14ac:dyDescent="0.25">
      <c r="A11297" t="s">
        <v>1693</v>
      </c>
      <c r="B11297" t="s">
        <v>2443</v>
      </c>
      <c r="C11297" t="s">
        <v>923</v>
      </c>
      <c r="D11297" t="s">
        <v>3063</v>
      </c>
      <c r="E11297" t="s">
        <v>3053</v>
      </c>
      <c r="F11297" t="s">
        <v>2</v>
      </c>
      <c r="G11297" t="s">
        <v>3040</v>
      </c>
      <c r="H11297" t="s">
        <v>14290</v>
      </c>
      <c r="I11297">
        <v>48</v>
      </c>
      <c r="J11297">
        <v>48</v>
      </c>
      <c r="K11297">
        <v>0</v>
      </c>
      <c r="L11297">
        <v>0</v>
      </c>
      <c r="M11297">
        <v>0</v>
      </c>
      <c r="N11297">
        <v>0</v>
      </c>
      <c r="O11297">
        <v>0</v>
      </c>
    </row>
    <row r="11298" spans="1:15" x14ac:dyDescent="0.25">
      <c r="A11298" t="s">
        <v>1694</v>
      </c>
      <c r="B11298" t="s">
        <v>1979</v>
      </c>
      <c r="C11298" t="s">
        <v>923</v>
      </c>
      <c r="D11298" t="s">
        <v>3063</v>
      </c>
      <c r="E11298" t="s">
        <v>3053</v>
      </c>
      <c r="F11298" t="s">
        <v>2</v>
      </c>
      <c r="G11298" t="s">
        <v>3040</v>
      </c>
      <c r="H11298" t="s">
        <v>14295</v>
      </c>
      <c r="I11298">
        <v>14</v>
      </c>
      <c r="J11298">
        <v>14</v>
      </c>
      <c r="K11298">
        <v>0</v>
      </c>
      <c r="L11298">
        <v>0</v>
      </c>
      <c r="M11298">
        <v>0</v>
      </c>
      <c r="N11298">
        <v>0</v>
      </c>
      <c r="O11298">
        <v>0</v>
      </c>
    </row>
    <row r="11299" spans="1:15" x14ac:dyDescent="0.25">
      <c r="A11299" t="s">
        <v>1695</v>
      </c>
      <c r="B11299" t="s">
        <v>2788</v>
      </c>
      <c r="C11299" t="s">
        <v>923</v>
      </c>
      <c r="D11299" t="s">
        <v>3063</v>
      </c>
      <c r="E11299" t="s">
        <v>3053</v>
      </c>
      <c r="F11299" t="s">
        <v>2</v>
      </c>
      <c r="G11299" t="s">
        <v>3040</v>
      </c>
      <c r="H11299" t="s">
        <v>14302</v>
      </c>
      <c r="I11299">
        <v>92</v>
      </c>
      <c r="J11299">
        <v>92</v>
      </c>
      <c r="K11299">
        <v>0</v>
      </c>
      <c r="L11299">
        <v>0</v>
      </c>
      <c r="M11299">
        <v>0</v>
      </c>
      <c r="N11299">
        <v>0</v>
      </c>
      <c r="O11299">
        <v>0</v>
      </c>
    </row>
    <row r="11300" spans="1:15" x14ac:dyDescent="0.25">
      <c r="A11300" t="s">
        <v>14377</v>
      </c>
      <c r="B11300" t="s">
        <v>14444</v>
      </c>
      <c r="C11300" t="s">
        <v>923</v>
      </c>
      <c r="D11300" t="s">
        <v>3063</v>
      </c>
      <c r="E11300" t="s">
        <v>3053</v>
      </c>
      <c r="F11300" t="s">
        <v>2</v>
      </c>
      <c r="G11300" t="s">
        <v>3040</v>
      </c>
      <c r="H11300" t="s">
        <v>15581</v>
      </c>
      <c r="I11300">
        <v>49</v>
      </c>
      <c r="J11300">
        <v>0</v>
      </c>
      <c r="K11300">
        <v>0</v>
      </c>
      <c r="L11300">
        <v>49</v>
      </c>
      <c r="M11300">
        <v>0</v>
      </c>
      <c r="N11300">
        <v>0</v>
      </c>
      <c r="O11300">
        <v>0</v>
      </c>
    </row>
    <row r="11301" spans="1:15" x14ac:dyDescent="0.25">
      <c r="A11301" t="s">
        <v>1696</v>
      </c>
      <c r="B11301" t="s">
        <v>2230</v>
      </c>
      <c r="C11301" t="s">
        <v>923</v>
      </c>
      <c r="D11301" t="s">
        <v>3063</v>
      </c>
      <c r="E11301" t="s">
        <v>3053</v>
      </c>
      <c r="F11301" t="s">
        <v>2</v>
      </c>
      <c r="G11301" t="s">
        <v>3040</v>
      </c>
      <c r="H11301" t="s">
        <v>14316</v>
      </c>
      <c r="I11301">
        <v>18</v>
      </c>
      <c r="J11301">
        <v>18</v>
      </c>
      <c r="K11301">
        <v>0</v>
      </c>
      <c r="L11301">
        <v>0</v>
      </c>
      <c r="M11301">
        <v>0</v>
      </c>
      <c r="N11301">
        <v>0</v>
      </c>
      <c r="O11301">
        <v>0</v>
      </c>
    </row>
    <row r="11302" spans="1:15" x14ac:dyDescent="0.25">
      <c r="A11302" t="s">
        <v>1697</v>
      </c>
      <c r="B11302" t="s">
        <v>3009</v>
      </c>
      <c r="C11302" t="s">
        <v>927</v>
      </c>
      <c r="D11302" t="s">
        <v>3052</v>
      </c>
      <c r="E11302" t="s">
        <v>3053</v>
      </c>
      <c r="F11302" t="s">
        <v>2</v>
      </c>
      <c r="G11302" t="s">
        <v>3040</v>
      </c>
      <c r="H11302" t="s">
        <v>14321</v>
      </c>
      <c r="I11302">
        <v>3842</v>
      </c>
      <c r="J11302">
        <v>3360</v>
      </c>
      <c r="K11302">
        <v>0</v>
      </c>
      <c r="L11302">
        <v>11</v>
      </c>
      <c r="M11302">
        <v>232</v>
      </c>
      <c r="N11302">
        <v>9</v>
      </c>
      <c r="O11302">
        <v>239</v>
      </c>
    </row>
    <row r="11303" spans="1:15" x14ac:dyDescent="0.25">
      <c r="A11303" t="s">
        <v>1699</v>
      </c>
      <c r="B11303" t="s">
        <v>1949</v>
      </c>
      <c r="C11303" t="s">
        <v>923</v>
      </c>
      <c r="D11303" t="s">
        <v>3063</v>
      </c>
      <c r="E11303" t="s">
        <v>3053</v>
      </c>
      <c r="F11303" t="s">
        <v>2</v>
      </c>
      <c r="G11303" t="s">
        <v>3040</v>
      </c>
      <c r="H11303" t="s">
        <v>14329</v>
      </c>
      <c r="I11303">
        <v>265</v>
      </c>
      <c r="J11303">
        <v>0</v>
      </c>
      <c r="K11303">
        <v>0</v>
      </c>
      <c r="L11303">
        <v>265</v>
      </c>
      <c r="M11303">
        <v>0</v>
      </c>
      <c r="N11303">
        <v>0</v>
      </c>
      <c r="O11303">
        <v>0</v>
      </c>
    </row>
    <row r="11304" spans="1:15" x14ac:dyDescent="0.25">
      <c r="A11304" t="s">
        <v>1700</v>
      </c>
      <c r="B11304" t="s">
        <v>2095</v>
      </c>
      <c r="C11304" t="s">
        <v>923</v>
      </c>
      <c r="D11304" t="s">
        <v>3063</v>
      </c>
      <c r="E11304" t="s">
        <v>3053</v>
      </c>
      <c r="F11304" t="s">
        <v>2</v>
      </c>
      <c r="G11304" t="s">
        <v>3040</v>
      </c>
      <c r="H11304" t="s">
        <v>14330</v>
      </c>
      <c r="I11304">
        <v>69</v>
      </c>
      <c r="J11304">
        <v>0</v>
      </c>
      <c r="K11304">
        <v>0</v>
      </c>
      <c r="L11304">
        <v>69</v>
      </c>
      <c r="M11304">
        <v>0</v>
      </c>
      <c r="N11304">
        <v>0</v>
      </c>
      <c r="O11304">
        <v>0</v>
      </c>
    </row>
    <row r="11305" spans="1:15" x14ac:dyDescent="0.25">
      <c r="A11305" t="s">
        <v>1701</v>
      </c>
      <c r="B11305" t="s">
        <v>2114</v>
      </c>
      <c r="C11305" t="s">
        <v>923</v>
      </c>
      <c r="D11305" t="s">
        <v>3063</v>
      </c>
      <c r="E11305" t="s">
        <v>3053</v>
      </c>
      <c r="F11305" t="s">
        <v>2</v>
      </c>
      <c r="G11305" t="s">
        <v>3040</v>
      </c>
      <c r="H11305" t="s">
        <v>14331</v>
      </c>
      <c r="I11305">
        <v>145</v>
      </c>
      <c r="J11305">
        <v>0</v>
      </c>
      <c r="K11305">
        <v>3</v>
      </c>
      <c r="L11305">
        <v>142</v>
      </c>
      <c r="M11305">
        <v>0</v>
      </c>
      <c r="N11305">
        <v>0</v>
      </c>
      <c r="O11305">
        <v>0</v>
      </c>
    </row>
    <row r="11306" spans="1:15" x14ac:dyDescent="0.25">
      <c r="A11306" t="s">
        <v>1398</v>
      </c>
      <c r="B11306" t="s">
        <v>2998</v>
      </c>
      <c r="C11306" t="s">
        <v>927</v>
      </c>
      <c r="D11306" t="s">
        <v>3052</v>
      </c>
      <c r="E11306" t="s">
        <v>3053</v>
      </c>
      <c r="F11306" t="s">
        <v>2</v>
      </c>
      <c r="G11306" t="s">
        <v>3040</v>
      </c>
      <c r="H11306" t="s">
        <v>14341</v>
      </c>
      <c r="I11306">
        <v>105</v>
      </c>
      <c r="J11306">
        <v>0</v>
      </c>
      <c r="K11306">
        <v>0</v>
      </c>
      <c r="L11306">
        <v>105</v>
      </c>
      <c r="M11306">
        <v>0</v>
      </c>
      <c r="N11306">
        <v>0</v>
      </c>
      <c r="O11306">
        <v>0</v>
      </c>
    </row>
    <row r="11307" spans="1:15" x14ac:dyDescent="0.25">
      <c r="A11307" t="s">
        <v>1399</v>
      </c>
      <c r="B11307" t="s">
        <v>2903</v>
      </c>
      <c r="C11307" t="s">
        <v>923</v>
      </c>
      <c r="D11307" t="s">
        <v>3063</v>
      </c>
      <c r="E11307" t="s">
        <v>3053</v>
      </c>
      <c r="F11307" t="s">
        <v>2</v>
      </c>
      <c r="G11307" t="s">
        <v>3040</v>
      </c>
      <c r="H11307" t="s">
        <v>14344</v>
      </c>
      <c r="I11307">
        <v>132</v>
      </c>
      <c r="J11307">
        <v>9</v>
      </c>
      <c r="K11307">
        <v>9</v>
      </c>
      <c r="L11307">
        <v>114</v>
      </c>
      <c r="M11307">
        <v>0</v>
      </c>
      <c r="N11307">
        <v>0</v>
      </c>
      <c r="O11307">
        <v>0</v>
      </c>
    </row>
    <row r="11308" spans="1:15" x14ac:dyDescent="0.25">
      <c r="A11308" t="s">
        <v>1195</v>
      </c>
      <c r="B11308" t="s">
        <v>2924</v>
      </c>
      <c r="C11308" t="s">
        <v>927</v>
      </c>
      <c r="D11308" t="s">
        <v>3052</v>
      </c>
      <c r="E11308" t="s">
        <v>3053</v>
      </c>
      <c r="F11308" t="s">
        <v>287</v>
      </c>
      <c r="G11308" t="s">
        <v>3040</v>
      </c>
      <c r="H11308" t="s">
        <v>12533</v>
      </c>
      <c r="I11308">
        <v>38</v>
      </c>
      <c r="J11308">
        <v>35</v>
      </c>
      <c r="K11308">
        <v>0</v>
      </c>
      <c r="L11308">
        <v>0</v>
      </c>
      <c r="M11308">
        <v>0</v>
      </c>
      <c r="N11308">
        <v>0</v>
      </c>
      <c r="O11308">
        <v>3</v>
      </c>
    </row>
    <row r="11309" spans="1:15" x14ac:dyDescent="0.25">
      <c r="A11309" t="s">
        <v>1196</v>
      </c>
      <c r="B11309" t="s">
        <v>3004</v>
      </c>
      <c r="C11309" t="s">
        <v>927</v>
      </c>
      <c r="D11309" t="s">
        <v>3052</v>
      </c>
      <c r="E11309" t="s">
        <v>3053</v>
      </c>
      <c r="F11309" t="s">
        <v>287</v>
      </c>
      <c r="G11309" t="s">
        <v>3040</v>
      </c>
      <c r="H11309" t="s">
        <v>12539</v>
      </c>
      <c r="I11309">
        <v>210</v>
      </c>
      <c r="J11309">
        <v>173</v>
      </c>
      <c r="K11309">
        <v>0</v>
      </c>
      <c r="L11309">
        <v>28</v>
      </c>
      <c r="M11309">
        <v>0</v>
      </c>
      <c r="N11309">
        <v>1</v>
      </c>
      <c r="O11309">
        <v>9</v>
      </c>
    </row>
    <row r="11310" spans="1:15" x14ac:dyDescent="0.25">
      <c r="A11310" t="s">
        <v>14398</v>
      </c>
      <c r="B11310" t="s">
        <v>2587</v>
      </c>
      <c r="C11310" t="s">
        <v>923</v>
      </c>
      <c r="D11310" t="s">
        <v>3063</v>
      </c>
      <c r="E11310" t="s">
        <v>3053</v>
      </c>
      <c r="F11310" t="s">
        <v>287</v>
      </c>
      <c r="G11310" t="s">
        <v>3040</v>
      </c>
      <c r="H11310" t="s">
        <v>15582</v>
      </c>
      <c r="I11310">
        <v>39</v>
      </c>
      <c r="J11310">
        <v>0</v>
      </c>
      <c r="K11310">
        <v>0</v>
      </c>
      <c r="L11310">
        <v>39</v>
      </c>
      <c r="M11310">
        <v>0</v>
      </c>
      <c r="N11310">
        <v>0</v>
      </c>
      <c r="O11310">
        <v>0</v>
      </c>
    </row>
    <row r="11311" spans="1:15" x14ac:dyDescent="0.25">
      <c r="A11311" t="s">
        <v>1702</v>
      </c>
      <c r="B11311" t="s">
        <v>2538</v>
      </c>
      <c r="C11311" t="s">
        <v>923</v>
      </c>
      <c r="D11311" t="s">
        <v>3063</v>
      </c>
      <c r="E11311" t="s">
        <v>3053</v>
      </c>
      <c r="F11311" t="s">
        <v>287</v>
      </c>
      <c r="G11311" t="s">
        <v>3040</v>
      </c>
      <c r="H11311" t="s">
        <v>12541</v>
      </c>
      <c r="I11311">
        <v>76</v>
      </c>
      <c r="J11311">
        <v>0</v>
      </c>
      <c r="K11311">
        <v>0</v>
      </c>
      <c r="L11311">
        <v>0</v>
      </c>
      <c r="M11311">
        <v>76</v>
      </c>
      <c r="N11311">
        <v>0</v>
      </c>
      <c r="O11311">
        <v>0</v>
      </c>
    </row>
    <row r="11312" spans="1:15" x14ac:dyDescent="0.25">
      <c r="A11312" t="s">
        <v>9834</v>
      </c>
      <c r="B11312" t="s">
        <v>2597</v>
      </c>
      <c r="C11312" t="s">
        <v>923</v>
      </c>
      <c r="D11312" t="s">
        <v>3063</v>
      </c>
      <c r="E11312" t="s">
        <v>3053</v>
      </c>
      <c r="F11312" t="s">
        <v>287</v>
      </c>
      <c r="G11312" t="s">
        <v>3040</v>
      </c>
      <c r="H11312" t="s">
        <v>12542</v>
      </c>
      <c r="I11312">
        <v>8</v>
      </c>
      <c r="J11312">
        <v>0</v>
      </c>
      <c r="K11312">
        <v>0</v>
      </c>
      <c r="L11312">
        <v>0</v>
      </c>
      <c r="M11312">
        <v>8</v>
      </c>
      <c r="N11312">
        <v>0</v>
      </c>
      <c r="O11312">
        <v>0</v>
      </c>
    </row>
    <row r="11313" spans="1:15" x14ac:dyDescent="0.25">
      <c r="A11313" t="s">
        <v>14399</v>
      </c>
      <c r="B11313" t="s">
        <v>2586</v>
      </c>
      <c r="C11313" t="s">
        <v>923</v>
      </c>
      <c r="D11313" t="s">
        <v>3063</v>
      </c>
      <c r="E11313" t="s">
        <v>3053</v>
      </c>
      <c r="F11313" t="s">
        <v>287</v>
      </c>
      <c r="G11313" t="s">
        <v>3040</v>
      </c>
      <c r="H11313" t="s">
        <v>15583</v>
      </c>
      <c r="I11313">
        <v>18</v>
      </c>
      <c r="J11313">
        <v>0</v>
      </c>
      <c r="K11313">
        <v>0</v>
      </c>
      <c r="L11313">
        <v>0</v>
      </c>
      <c r="M11313">
        <v>18</v>
      </c>
      <c r="N11313">
        <v>0</v>
      </c>
      <c r="O11313">
        <v>0</v>
      </c>
    </row>
    <row r="11314" spans="1:15" x14ac:dyDescent="0.25">
      <c r="A11314" t="s">
        <v>922</v>
      </c>
      <c r="B11314" t="s">
        <v>2573</v>
      </c>
      <c r="C11314" t="s">
        <v>923</v>
      </c>
      <c r="D11314" t="s">
        <v>3063</v>
      </c>
      <c r="E11314" t="s">
        <v>3053</v>
      </c>
      <c r="F11314" t="s">
        <v>287</v>
      </c>
      <c r="G11314" t="s">
        <v>3040</v>
      </c>
      <c r="H11314" t="s">
        <v>12548</v>
      </c>
      <c r="I11314">
        <v>78</v>
      </c>
      <c r="J11314">
        <v>0</v>
      </c>
      <c r="K11314">
        <v>0</v>
      </c>
      <c r="L11314">
        <v>0</v>
      </c>
      <c r="M11314">
        <v>78</v>
      </c>
      <c r="N11314">
        <v>0</v>
      </c>
      <c r="O11314">
        <v>0</v>
      </c>
    </row>
    <row r="11315" spans="1:15" x14ac:dyDescent="0.25">
      <c r="A11315" t="s">
        <v>924</v>
      </c>
      <c r="B11315" t="s">
        <v>2963</v>
      </c>
      <c r="C11315" t="s">
        <v>923</v>
      </c>
      <c r="D11315" t="s">
        <v>3063</v>
      </c>
      <c r="E11315" t="s">
        <v>3053</v>
      </c>
      <c r="F11315" t="s">
        <v>287</v>
      </c>
      <c r="G11315" t="s">
        <v>3040</v>
      </c>
      <c r="H11315" t="s">
        <v>12554</v>
      </c>
      <c r="I11315">
        <v>124</v>
      </c>
      <c r="J11315">
        <v>79</v>
      </c>
      <c r="K11315">
        <v>0</v>
      </c>
      <c r="L11315">
        <v>45</v>
      </c>
      <c r="M11315">
        <v>0</v>
      </c>
      <c r="N11315">
        <v>0</v>
      </c>
      <c r="O11315">
        <v>0</v>
      </c>
    </row>
    <row r="11316" spans="1:15" x14ac:dyDescent="0.25">
      <c r="A11316" t="s">
        <v>10568</v>
      </c>
      <c r="B11316" t="s">
        <v>10567</v>
      </c>
      <c r="C11316" t="s">
        <v>927</v>
      </c>
      <c r="D11316" t="s">
        <v>3052</v>
      </c>
      <c r="E11316" t="s">
        <v>3053</v>
      </c>
      <c r="F11316" t="s">
        <v>287</v>
      </c>
      <c r="G11316" t="s">
        <v>3040</v>
      </c>
      <c r="H11316" t="s">
        <v>12556</v>
      </c>
      <c r="I11316">
        <v>11732</v>
      </c>
      <c r="J11316">
        <v>8807</v>
      </c>
      <c r="K11316">
        <v>48</v>
      </c>
      <c r="L11316">
        <v>35</v>
      </c>
      <c r="M11316">
        <v>1695</v>
      </c>
      <c r="N11316">
        <v>0</v>
      </c>
      <c r="O11316">
        <v>1147</v>
      </c>
    </row>
    <row r="11317" spans="1:15" x14ac:dyDescent="0.25">
      <c r="A11317" t="s">
        <v>926</v>
      </c>
      <c r="B11317" t="s">
        <v>2923</v>
      </c>
      <c r="C11317" t="s">
        <v>927</v>
      </c>
      <c r="D11317" t="s">
        <v>3052</v>
      </c>
      <c r="E11317" t="s">
        <v>3053</v>
      </c>
      <c r="F11317" t="s">
        <v>287</v>
      </c>
      <c r="G11317" t="s">
        <v>3040</v>
      </c>
      <c r="H11317" t="s">
        <v>12581</v>
      </c>
      <c r="I11317">
        <v>712</v>
      </c>
      <c r="J11317">
        <v>0</v>
      </c>
      <c r="K11317">
        <v>0</v>
      </c>
      <c r="L11317">
        <v>419</v>
      </c>
      <c r="M11317">
        <v>0</v>
      </c>
      <c r="N11317">
        <v>0</v>
      </c>
      <c r="O11317">
        <v>293</v>
      </c>
    </row>
    <row r="11318" spans="1:15" x14ac:dyDescent="0.25">
      <c r="A11318" t="s">
        <v>929</v>
      </c>
      <c r="B11318" t="s">
        <v>2999</v>
      </c>
      <c r="C11318" t="s">
        <v>927</v>
      </c>
      <c r="D11318" t="s">
        <v>3052</v>
      </c>
      <c r="E11318" t="s">
        <v>3053</v>
      </c>
      <c r="F11318" t="s">
        <v>287</v>
      </c>
      <c r="G11318" t="s">
        <v>3040</v>
      </c>
      <c r="H11318" t="s">
        <v>12608</v>
      </c>
      <c r="I11318">
        <v>2819</v>
      </c>
      <c r="J11318">
        <v>14</v>
      </c>
      <c r="K11318">
        <v>0</v>
      </c>
      <c r="L11318">
        <v>0</v>
      </c>
      <c r="M11318">
        <v>2562</v>
      </c>
      <c r="N11318">
        <v>13</v>
      </c>
      <c r="O11318">
        <v>243</v>
      </c>
    </row>
    <row r="11319" spans="1:15" x14ac:dyDescent="0.25">
      <c r="A11319" t="s">
        <v>978</v>
      </c>
      <c r="B11319" t="s">
        <v>1999</v>
      </c>
      <c r="C11319" t="s">
        <v>923</v>
      </c>
      <c r="D11319" t="s">
        <v>3063</v>
      </c>
      <c r="E11319" t="s">
        <v>3053</v>
      </c>
      <c r="F11319" t="s">
        <v>287</v>
      </c>
      <c r="G11319" t="s">
        <v>3040</v>
      </c>
      <c r="H11319" t="s">
        <v>12628</v>
      </c>
      <c r="I11319">
        <v>2</v>
      </c>
      <c r="J11319">
        <v>0</v>
      </c>
      <c r="K11319">
        <v>0</v>
      </c>
      <c r="L11319">
        <v>2</v>
      </c>
      <c r="M11319">
        <v>0</v>
      </c>
      <c r="N11319">
        <v>0</v>
      </c>
      <c r="O11319">
        <v>0</v>
      </c>
    </row>
    <row r="11320" spans="1:15" x14ac:dyDescent="0.25">
      <c r="A11320" t="s">
        <v>1703</v>
      </c>
      <c r="B11320" t="s">
        <v>1992</v>
      </c>
      <c r="C11320" t="s">
        <v>923</v>
      </c>
      <c r="D11320" t="s">
        <v>3063</v>
      </c>
      <c r="E11320" t="s">
        <v>3053</v>
      </c>
      <c r="F11320" t="s">
        <v>287</v>
      </c>
      <c r="G11320" t="s">
        <v>3040</v>
      </c>
      <c r="H11320" t="s">
        <v>12635</v>
      </c>
      <c r="I11320">
        <v>217</v>
      </c>
      <c r="J11320">
        <v>7</v>
      </c>
      <c r="K11320">
        <v>30</v>
      </c>
      <c r="L11320">
        <v>180</v>
      </c>
      <c r="M11320">
        <v>0</v>
      </c>
      <c r="N11320">
        <v>0</v>
      </c>
      <c r="O11320">
        <v>0</v>
      </c>
    </row>
    <row r="11321" spans="1:15" x14ac:dyDescent="0.25">
      <c r="A11321" t="s">
        <v>1575</v>
      </c>
      <c r="B11321" t="s">
        <v>2112</v>
      </c>
      <c r="C11321" t="s">
        <v>927</v>
      </c>
      <c r="D11321" t="s">
        <v>3052</v>
      </c>
      <c r="E11321" t="s">
        <v>3053</v>
      </c>
      <c r="F11321" t="s">
        <v>287</v>
      </c>
      <c r="G11321" t="s">
        <v>3040</v>
      </c>
      <c r="H11321" t="s">
        <v>12643</v>
      </c>
      <c r="I11321">
        <v>1000</v>
      </c>
      <c r="J11321">
        <v>802</v>
      </c>
      <c r="K11321">
        <v>0</v>
      </c>
      <c r="L11321">
        <v>0</v>
      </c>
      <c r="M11321">
        <v>23</v>
      </c>
      <c r="N11321">
        <v>1</v>
      </c>
      <c r="O11321">
        <v>175</v>
      </c>
    </row>
    <row r="11322" spans="1:15" x14ac:dyDescent="0.25">
      <c r="A11322" t="s">
        <v>931</v>
      </c>
      <c r="B11322" t="s">
        <v>1978</v>
      </c>
      <c r="C11322" t="s">
        <v>927</v>
      </c>
      <c r="D11322" t="s">
        <v>3052</v>
      </c>
      <c r="E11322" t="s">
        <v>3053</v>
      </c>
      <c r="F11322" t="s">
        <v>287</v>
      </c>
      <c r="G11322" t="s">
        <v>3040</v>
      </c>
      <c r="H11322" t="s">
        <v>12645</v>
      </c>
      <c r="I11322">
        <v>13389</v>
      </c>
      <c r="J11322">
        <v>9953</v>
      </c>
      <c r="K11322">
        <v>0</v>
      </c>
      <c r="L11322">
        <v>425</v>
      </c>
      <c r="M11322">
        <v>1240</v>
      </c>
      <c r="N11322">
        <v>10</v>
      </c>
      <c r="O11322">
        <v>1771</v>
      </c>
    </row>
    <row r="11323" spans="1:15" x14ac:dyDescent="0.25">
      <c r="A11323" t="s">
        <v>10577</v>
      </c>
      <c r="B11323" t="s">
        <v>10576</v>
      </c>
      <c r="C11323" t="s">
        <v>923</v>
      </c>
      <c r="D11323" t="s">
        <v>3063</v>
      </c>
      <c r="E11323" t="s">
        <v>3053</v>
      </c>
      <c r="F11323" t="s">
        <v>287</v>
      </c>
      <c r="G11323" t="s">
        <v>3040</v>
      </c>
      <c r="H11323" t="s">
        <v>15584</v>
      </c>
      <c r="I11323">
        <v>2</v>
      </c>
      <c r="J11323">
        <v>2</v>
      </c>
      <c r="K11323">
        <v>0</v>
      </c>
      <c r="L11323">
        <v>0</v>
      </c>
      <c r="M11323">
        <v>0</v>
      </c>
      <c r="N11323">
        <v>0</v>
      </c>
      <c r="O11323">
        <v>0</v>
      </c>
    </row>
    <row r="11324" spans="1:15" x14ac:dyDescent="0.25">
      <c r="A11324" t="s">
        <v>9790</v>
      </c>
      <c r="B11324" t="s">
        <v>1977</v>
      </c>
      <c r="C11324" t="s">
        <v>923</v>
      </c>
      <c r="D11324" t="s">
        <v>3063</v>
      </c>
      <c r="E11324" t="s">
        <v>3053</v>
      </c>
      <c r="F11324" t="s">
        <v>287</v>
      </c>
      <c r="G11324" t="s">
        <v>3040</v>
      </c>
      <c r="H11324" t="s">
        <v>12654</v>
      </c>
      <c r="I11324">
        <v>155</v>
      </c>
      <c r="J11324">
        <v>0</v>
      </c>
      <c r="K11324">
        <v>0</v>
      </c>
      <c r="L11324">
        <v>155</v>
      </c>
      <c r="M11324">
        <v>0</v>
      </c>
      <c r="N11324">
        <v>1</v>
      </c>
      <c r="O11324">
        <v>0</v>
      </c>
    </row>
    <row r="11325" spans="1:15" x14ac:dyDescent="0.25">
      <c r="A11325" t="s">
        <v>1704</v>
      </c>
      <c r="B11325" t="s">
        <v>2059</v>
      </c>
      <c r="C11325" t="s">
        <v>923</v>
      </c>
      <c r="D11325" t="s">
        <v>3063</v>
      </c>
      <c r="E11325" t="s">
        <v>3053</v>
      </c>
      <c r="F11325" t="s">
        <v>287</v>
      </c>
      <c r="G11325" t="s">
        <v>3040</v>
      </c>
      <c r="H11325" t="s">
        <v>12673</v>
      </c>
      <c r="I11325">
        <v>7</v>
      </c>
      <c r="J11325">
        <v>7</v>
      </c>
      <c r="K11325">
        <v>0</v>
      </c>
      <c r="L11325">
        <v>0</v>
      </c>
      <c r="M11325">
        <v>0</v>
      </c>
      <c r="N11325">
        <v>0</v>
      </c>
      <c r="O11325">
        <v>0</v>
      </c>
    </row>
    <row r="11326" spans="1:15" x14ac:dyDescent="0.25">
      <c r="A11326" t="s">
        <v>9784</v>
      </c>
      <c r="B11326" t="s">
        <v>1994</v>
      </c>
      <c r="C11326" t="s">
        <v>927</v>
      </c>
      <c r="D11326" t="s">
        <v>3052</v>
      </c>
      <c r="E11326" t="s">
        <v>3053</v>
      </c>
      <c r="F11326" t="s">
        <v>287</v>
      </c>
      <c r="G11326" t="s">
        <v>3040</v>
      </c>
      <c r="H11326" t="s">
        <v>12687</v>
      </c>
      <c r="I11326">
        <v>108</v>
      </c>
      <c r="J11326">
        <v>0</v>
      </c>
      <c r="K11326">
        <v>0</v>
      </c>
      <c r="L11326">
        <v>108</v>
      </c>
      <c r="M11326">
        <v>0</v>
      </c>
      <c r="N11326">
        <v>18</v>
      </c>
      <c r="O11326">
        <v>0</v>
      </c>
    </row>
    <row r="11327" spans="1:15" x14ac:dyDescent="0.25">
      <c r="A11327" t="s">
        <v>14400</v>
      </c>
      <c r="B11327" t="s">
        <v>14521</v>
      </c>
      <c r="C11327" t="s">
        <v>923</v>
      </c>
      <c r="D11327" t="s">
        <v>3063</v>
      </c>
      <c r="E11327" t="s">
        <v>3053</v>
      </c>
      <c r="F11327" t="s">
        <v>287</v>
      </c>
      <c r="G11327" t="s">
        <v>3040</v>
      </c>
      <c r="H11327" t="s">
        <v>15585</v>
      </c>
      <c r="I11327">
        <v>10</v>
      </c>
      <c r="J11327">
        <v>10</v>
      </c>
      <c r="K11327">
        <v>0</v>
      </c>
      <c r="L11327">
        <v>0</v>
      </c>
      <c r="M11327">
        <v>0</v>
      </c>
      <c r="N11327">
        <v>0</v>
      </c>
      <c r="O11327">
        <v>0</v>
      </c>
    </row>
    <row r="11328" spans="1:15" x14ac:dyDescent="0.25">
      <c r="A11328" t="s">
        <v>1094</v>
      </c>
      <c r="B11328" t="s">
        <v>2742</v>
      </c>
      <c r="C11328" t="s">
        <v>923</v>
      </c>
      <c r="D11328" t="s">
        <v>3063</v>
      </c>
      <c r="E11328" t="s">
        <v>3053</v>
      </c>
      <c r="F11328" t="s">
        <v>287</v>
      </c>
      <c r="G11328" t="s">
        <v>3040</v>
      </c>
      <c r="H11328" t="s">
        <v>12702</v>
      </c>
      <c r="I11328">
        <v>37</v>
      </c>
      <c r="J11328">
        <v>23</v>
      </c>
      <c r="K11328">
        <v>0</v>
      </c>
      <c r="L11328">
        <v>14</v>
      </c>
      <c r="M11328">
        <v>0</v>
      </c>
      <c r="N11328">
        <v>0</v>
      </c>
      <c r="O11328">
        <v>0</v>
      </c>
    </row>
    <row r="11329" spans="1:15" x14ac:dyDescent="0.25">
      <c r="A11329" t="s">
        <v>1095</v>
      </c>
      <c r="B11329" t="s">
        <v>1946</v>
      </c>
      <c r="C11329" t="s">
        <v>923</v>
      </c>
      <c r="D11329" t="s">
        <v>3063</v>
      </c>
      <c r="E11329" t="s">
        <v>3053</v>
      </c>
      <c r="F11329" t="s">
        <v>287</v>
      </c>
      <c r="G11329" t="s">
        <v>3040</v>
      </c>
      <c r="H11329" t="s">
        <v>12709</v>
      </c>
      <c r="I11329">
        <v>12</v>
      </c>
      <c r="J11329">
        <v>0</v>
      </c>
      <c r="K11329">
        <v>0</v>
      </c>
      <c r="L11329">
        <v>12</v>
      </c>
      <c r="M11329">
        <v>0</v>
      </c>
      <c r="N11329">
        <v>0</v>
      </c>
      <c r="O11329">
        <v>0</v>
      </c>
    </row>
    <row r="11330" spans="1:15" x14ac:dyDescent="0.25">
      <c r="A11330" t="s">
        <v>1212</v>
      </c>
      <c r="B11330" t="s">
        <v>2004</v>
      </c>
      <c r="C11330" t="s">
        <v>923</v>
      </c>
      <c r="D11330" t="s">
        <v>3063</v>
      </c>
      <c r="E11330" t="s">
        <v>3053</v>
      </c>
      <c r="F11330" t="s">
        <v>287</v>
      </c>
      <c r="G11330" t="s">
        <v>3040</v>
      </c>
      <c r="H11330" t="s">
        <v>12716</v>
      </c>
      <c r="I11330">
        <v>8</v>
      </c>
      <c r="J11330">
        <v>0</v>
      </c>
      <c r="K11330">
        <v>0</v>
      </c>
      <c r="L11330">
        <v>8</v>
      </c>
      <c r="M11330">
        <v>0</v>
      </c>
      <c r="N11330">
        <v>0</v>
      </c>
      <c r="O11330">
        <v>0</v>
      </c>
    </row>
    <row r="11331" spans="1:15" x14ac:dyDescent="0.25">
      <c r="A11331" t="s">
        <v>1705</v>
      </c>
      <c r="B11331" t="s">
        <v>2715</v>
      </c>
      <c r="C11331" t="s">
        <v>923</v>
      </c>
      <c r="D11331" t="s">
        <v>3063</v>
      </c>
      <c r="E11331" t="s">
        <v>3053</v>
      </c>
      <c r="F11331" t="s">
        <v>287</v>
      </c>
      <c r="G11331" t="s">
        <v>3040</v>
      </c>
      <c r="H11331" t="s">
        <v>12725</v>
      </c>
      <c r="I11331">
        <v>21</v>
      </c>
      <c r="J11331">
        <v>10</v>
      </c>
      <c r="K11331">
        <v>0</v>
      </c>
      <c r="L11331">
        <v>0</v>
      </c>
      <c r="M11331">
        <v>11</v>
      </c>
      <c r="N11331">
        <v>0</v>
      </c>
      <c r="O11331">
        <v>0</v>
      </c>
    </row>
    <row r="11332" spans="1:15" x14ac:dyDescent="0.25">
      <c r="A11332" t="s">
        <v>1581</v>
      </c>
      <c r="B11332" t="s">
        <v>2917</v>
      </c>
      <c r="C11332" t="s">
        <v>927</v>
      </c>
      <c r="D11332" t="s">
        <v>3052</v>
      </c>
      <c r="E11332" t="s">
        <v>3053</v>
      </c>
      <c r="F11332" t="s">
        <v>287</v>
      </c>
      <c r="G11332" t="s">
        <v>3040</v>
      </c>
      <c r="H11332" t="s">
        <v>12728</v>
      </c>
      <c r="I11332">
        <v>1180</v>
      </c>
      <c r="J11332">
        <v>455</v>
      </c>
      <c r="K11332">
        <v>16</v>
      </c>
      <c r="L11332">
        <v>682</v>
      </c>
      <c r="M11332">
        <v>0</v>
      </c>
      <c r="N11332">
        <v>9</v>
      </c>
      <c r="O11332">
        <v>27</v>
      </c>
    </row>
    <row r="11333" spans="1:15" x14ac:dyDescent="0.25">
      <c r="A11333" t="s">
        <v>1706</v>
      </c>
      <c r="B11333" t="s">
        <v>2629</v>
      </c>
      <c r="C11333" t="s">
        <v>923</v>
      </c>
      <c r="D11333" t="s">
        <v>3063</v>
      </c>
      <c r="E11333" t="s">
        <v>3053</v>
      </c>
      <c r="F11333" t="s">
        <v>287</v>
      </c>
      <c r="G11333" t="s">
        <v>3040</v>
      </c>
      <c r="H11333" t="s">
        <v>12729</v>
      </c>
      <c r="I11333">
        <v>114</v>
      </c>
      <c r="J11333">
        <v>0</v>
      </c>
      <c r="K11333">
        <v>0</v>
      </c>
      <c r="L11333">
        <v>114</v>
      </c>
      <c r="M11333">
        <v>0</v>
      </c>
      <c r="N11333">
        <v>0</v>
      </c>
      <c r="O11333">
        <v>0</v>
      </c>
    </row>
    <row r="11334" spans="1:15" x14ac:dyDescent="0.25">
      <c r="A11334" t="s">
        <v>981</v>
      </c>
      <c r="B11334" t="s">
        <v>2985</v>
      </c>
      <c r="C11334" t="s">
        <v>927</v>
      </c>
      <c r="D11334" t="s">
        <v>3052</v>
      </c>
      <c r="E11334" t="s">
        <v>3053</v>
      </c>
      <c r="F11334" t="s">
        <v>287</v>
      </c>
      <c r="G11334" t="s">
        <v>3040</v>
      </c>
      <c r="H11334" t="s">
        <v>12736</v>
      </c>
      <c r="I11334">
        <v>45</v>
      </c>
      <c r="J11334">
        <v>0</v>
      </c>
      <c r="K11334">
        <v>0</v>
      </c>
      <c r="L11334">
        <v>0</v>
      </c>
      <c r="M11334">
        <v>24</v>
      </c>
      <c r="N11334">
        <v>0</v>
      </c>
      <c r="O11334">
        <v>21</v>
      </c>
    </row>
    <row r="11335" spans="1:15" x14ac:dyDescent="0.25">
      <c r="A11335" t="s">
        <v>9835</v>
      </c>
      <c r="B11335" t="s">
        <v>2628</v>
      </c>
      <c r="C11335" t="s">
        <v>923</v>
      </c>
      <c r="D11335" t="s">
        <v>3063</v>
      </c>
      <c r="E11335" t="s">
        <v>3053</v>
      </c>
      <c r="F11335" t="s">
        <v>287</v>
      </c>
      <c r="G11335" t="s">
        <v>3040</v>
      </c>
      <c r="H11335" t="s">
        <v>12748</v>
      </c>
      <c r="I11335">
        <v>265</v>
      </c>
      <c r="J11335">
        <v>0</v>
      </c>
      <c r="K11335">
        <v>0</v>
      </c>
      <c r="L11335">
        <v>265</v>
      </c>
      <c r="M11335">
        <v>0</v>
      </c>
      <c r="N11335">
        <v>0</v>
      </c>
      <c r="O11335">
        <v>0</v>
      </c>
    </row>
    <row r="11336" spans="1:15" x14ac:dyDescent="0.25">
      <c r="A11336" t="s">
        <v>9836</v>
      </c>
      <c r="B11336" t="s">
        <v>2808</v>
      </c>
      <c r="C11336" t="s">
        <v>927</v>
      </c>
      <c r="D11336" t="s">
        <v>3052</v>
      </c>
      <c r="E11336" t="s">
        <v>3053</v>
      </c>
      <c r="F11336" t="s">
        <v>287</v>
      </c>
      <c r="G11336" t="s">
        <v>3040</v>
      </c>
      <c r="H11336" t="s">
        <v>12750</v>
      </c>
      <c r="I11336">
        <v>3293</v>
      </c>
      <c r="J11336">
        <v>2890</v>
      </c>
      <c r="K11336">
        <v>0</v>
      </c>
      <c r="L11336">
        <v>166</v>
      </c>
      <c r="M11336">
        <v>38</v>
      </c>
      <c r="N11336">
        <v>63</v>
      </c>
      <c r="O11336">
        <v>199</v>
      </c>
    </row>
    <row r="11337" spans="1:15" x14ac:dyDescent="0.25">
      <c r="A11337" t="s">
        <v>1707</v>
      </c>
      <c r="B11337" t="s">
        <v>2343</v>
      </c>
      <c r="C11337" t="s">
        <v>923</v>
      </c>
      <c r="D11337" t="s">
        <v>3063</v>
      </c>
      <c r="E11337" t="s">
        <v>3053</v>
      </c>
      <c r="F11337" t="s">
        <v>287</v>
      </c>
      <c r="G11337" t="s">
        <v>3040</v>
      </c>
      <c r="H11337" t="s">
        <v>12755</v>
      </c>
      <c r="I11337">
        <v>22</v>
      </c>
      <c r="J11337">
        <v>0</v>
      </c>
      <c r="K11337">
        <v>0</v>
      </c>
      <c r="L11337">
        <v>22</v>
      </c>
      <c r="M11337">
        <v>0</v>
      </c>
      <c r="N11337">
        <v>0</v>
      </c>
      <c r="O11337">
        <v>0</v>
      </c>
    </row>
    <row r="11338" spans="1:15" x14ac:dyDescent="0.25">
      <c r="A11338" t="s">
        <v>1708</v>
      </c>
      <c r="B11338" t="s">
        <v>2056</v>
      </c>
      <c r="C11338" t="s">
        <v>923</v>
      </c>
      <c r="D11338" t="s">
        <v>3063</v>
      </c>
      <c r="E11338" t="s">
        <v>3053</v>
      </c>
      <c r="F11338" t="s">
        <v>287</v>
      </c>
      <c r="G11338" t="s">
        <v>3040</v>
      </c>
      <c r="H11338" t="s">
        <v>12756</v>
      </c>
      <c r="I11338">
        <v>5</v>
      </c>
      <c r="J11338">
        <v>5</v>
      </c>
      <c r="K11338">
        <v>0</v>
      </c>
      <c r="L11338">
        <v>0</v>
      </c>
      <c r="M11338">
        <v>0</v>
      </c>
      <c r="N11338">
        <v>0</v>
      </c>
      <c r="O11338">
        <v>0</v>
      </c>
    </row>
    <row r="11339" spans="1:15" x14ac:dyDescent="0.25">
      <c r="A11339" t="s">
        <v>1709</v>
      </c>
      <c r="B11339" t="s">
        <v>2769</v>
      </c>
      <c r="C11339" t="s">
        <v>923</v>
      </c>
      <c r="D11339" t="s">
        <v>3063</v>
      </c>
      <c r="E11339" t="s">
        <v>3053</v>
      </c>
      <c r="F11339" t="s">
        <v>287</v>
      </c>
      <c r="G11339" t="s">
        <v>3040</v>
      </c>
      <c r="H11339" t="s">
        <v>12757</v>
      </c>
      <c r="I11339">
        <v>75</v>
      </c>
      <c r="J11339">
        <v>75</v>
      </c>
      <c r="K11339">
        <v>0</v>
      </c>
      <c r="L11339">
        <v>0</v>
      </c>
      <c r="M11339">
        <v>0</v>
      </c>
      <c r="N11339">
        <v>0</v>
      </c>
      <c r="O11339">
        <v>0</v>
      </c>
    </row>
    <row r="11340" spans="1:15" x14ac:dyDescent="0.25">
      <c r="A11340" t="s">
        <v>983</v>
      </c>
      <c r="B11340" t="s">
        <v>2069</v>
      </c>
      <c r="C11340" t="s">
        <v>927</v>
      </c>
      <c r="D11340" t="s">
        <v>3052</v>
      </c>
      <c r="E11340" t="s">
        <v>3053</v>
      </c>
      <c r="F11340" t="s">
        <v>287</v>
      </c>
      <c r="G11340" t="s">
        <v>3040</v>
      </c>
      <c r="H11340" t="s">
        <v>12769</v>
      </c>
      <c r="I11340">
        <v>8382</v>
      </c>
      <c r="J11340">
        <v>6768</v>
      </c>
      <c r="K11340">
        <v>0</v>
      </c>
      <c r="L11340">
        <v>119</v>
      </c>
      <c r="M11340">
        <v>379</v>
      </c>
      <c r="N11340">
        <v>0</v>
      </c>
      <c r="O11340">
        <v>1116</v>
      </c>
    </row>
    <row r="11341" spans="1:15" x14ac:dyDescent="0.25">
      <c r="A11341" t="s">
        <v>1710</v>
      </c>
      <c r="B11341" t="s">
        <v>2921</v>
      </c>
      <c r="C11341" t="s">
        <v>927</v>
      </c>
      <c r="D11341" t="s">
        <v>3052</v>
      </c>
      <c r="E11341" t="s">
        <v>3053</v>
      </c>
      <c r="F11341" t="s">
        <v>287</v>
      </c>
      <c r="G11341" t="s">
        <v>3040</v>
      </c>
      <c r="H11341" t="s">
        <v>12776</v>
      </c>
      <c r="I11341">
        <v>1138</v>
      </c>
      <c r="J11341">
        <v>4</v>
      </c>
      <c r="K11341">
        <v>0</v>
      </c>
      <c r="L11341">
        <v>1110</v>
      </c>
      <c r="M11341">
        <v>0</v>
      </c>
      <c r="N11341">
        <v>46</v>
      </c>
      <c r="O11341">
        <v>24</v>
      </c>
    </row>
    <row r="11342" spans="1:15" x14ac:dyDescent="0.25">
      <c r="A11342" t="s">
        <v>10601</v>
      </c>
      <c r="B11342" t="s">
        <v>11740</v>
      </c>
      <c r="C11342" t="s">
        <v>923</v>
      </c>
      <c r="D11342" t="s">
        <v>3063</v>
      </c>
      <c r="E11342" t="s">
        <v>3053</v>
      </c>
      <c r="F11342" t="s">
        <v>287</v>
      </c>
      <c r="G11342" t="s">
        <v>3040</v>
      </c>
      <c r="H11342" t="s">
        <v>12778</v>
      </c>
      <c r="I11342">
        <v>26</v>
      </c>
      <c r="J11342">
        <v>0</v>
      </c>
      <c r="K11342">
        <v>0</v>
      </c>
      <c r="L11342">
        <v>0</v>
      </c>
      <c r="M11342">
        <v>26</v>
      </c>
      <c r="N11342">
        <v>0</v>
      </c>
      <c r="O11342">
        <v>0</v>
      </c>
    </row>
    <row r="11343" spans="1:15" x14ac:dyDescent="0.25">
      <c r="A11343" t="s">
        <v>1711</v>
      </c>
      <c r="B11343" t="s">
        <v>2255</v>
      </c>
      <c r="C11343" t="s">
        <v>923</v>
      </c>
      <c r="D11343" t="s">
        <v>3063</v>
      </c>
      <c r="E11343" t="s">
        <v>3053</v>
      </c>
      <c r="F11343" t="s">
        <v>287</v>
      </c>
      <c r="G11343" t="s">
        <v>3040</v>
      </c>
      <c r="H11343" t="s">
        <v>12799</v>
      </c>
      <c r="I11343">
        <v>2</v>
      </c>
      <c r="J11343">
        <v>2</v>
      </c>
      <c r="K11343">
        <v>0</v>
      </c>
      <c r="L11343">
        <v>0</v>
      </c>
      <c r="M11343">
        <v>0</v>
      </c>
      <c r="N11343">
        <v>0</v>
      </c>
      <c r="O11343">
        <v>0</v>
      </c>
    </row>
    <row r="11344" spans="1:15" x14ac:dyDescent="0.25">
      <c r="A11344" t="s">
        <v>9837</v>
      </c>
      <c r="B11344" t="s">
        <v>2247</v>
      </c>
      <c r="C11344" t="s">
        <v>923</v>
      </c>
      <c r="D11344" t="s">
        <v>3063</v>
      </c>
      <c r="E11344" t="s">
        <v>3053</v>
      </c>
      <c r="F11344" t="s">
        <v>287</v>
      </c>
      <c r="G11344" t="s">
        <v>3040</v>
      </c>
      <c r="H11344" t="s">
        <v>12801</v>
      </c>
      <c r="I11344">
        <v>11</v>
      </c>
      <c r="J11344">
        <v>0</v>
      </c>
      <c r="K11344">
        <v>0</v>
      </c>
      <c r="L11344">
        <v>0</v>
      </c>
      <c r="M11344">
        <v>11</v>
      </c>
      <c r="N11344">
        <v>0</v>
      </c>
      <c r="O11344">
        <v>0</v>
      </c>
    </row>
    <row r="11345" spans="1:15" x14ac:dyDescent="0.25">
      <c r="A11345" t="s">
        <v>1712</v>
      </c>
      <c r="B11345" t="s">
        <v>1930</v>
      </c>
      <c r="C11345" t="s">
        <v>923</v>
      </c>
      <c r="D11345" t="s">
        <v>3063</v>
      </c>
      <c r="E11345" t="s">
        <v>3053</v>
      </c>
      <c r="F11345" t="s">
        <v>287</v>
      </c>
      <c r="G11345" t="s">
        <v>3040</v>
      </c>
      <c r="H11345" t="s">
        <v>12810</v>
      </c>
      <c r="I11345">
        <v>95</v>
      </c>
      <c r="J11345">
        <v>95</v>
      </c>
      <c r="K11345">
        <v>0</v>
      </c>
      <c r="L11345">
        <v>0</v>
      </c>
      <c r="M11345">
        <v>0</v>
      </c>
      <c r="N11345">
        <v>7</v>
      </c>
      <c r="O11345">
        <v>0</v>
      </c>
    </row>
    <row r="11346" spans="1:15" x14ac:dyDescent="0.25">
      <c r="A11346" t="s">
        <v>1713</v>
      </c>
      <c r="B11346" t="s">
        <v>2630</v>
      </c>
      <c r="C11346" t="s">
        <v>923</v>
      </c>
      <c r="D11346" t="s">
        <v>3063</v>
      </c>
      <c r="E11346" t="s">
        <v>3053</v>
      </c>
      <c r="F11346" t="s">
        <v>287</v>
      </c>
      <c r="G11346" t="s">
        <v>3040</v>
      </c>
      <c r="H11346" t="s">
        <v>12811</v>
      </c>
      <c r="I11346">
        <v>200</v>
      </c>
      <c r="J11346">
        <v>31</v>
      </c>
      <c r="K11346">
        <v>0</v>
      </c>
      <c r="L11346">
        <v>169</v>
      </c>
      <c r="M11346">
        <v>0</v>
      </c>
      <c r="N11346">
        <v>0</v>
      </c>
      <c r="O11346">
        <v>0</v>
      </c>
    </row>
    <row r="11347" spans="1:15" x14ac:dyDescent="0.25">
      <c r="A11347" t="s">
        <v>989</v>
      </c>
      <c r="B11347" t="s">
        <v>2016</v>
      </c>
      <c r="C11347" t="s">
        <v>923</v>
      </c>
      <c r="D11347" t="s">
        <v>3063</v>
      </c>
      <c r="E11347" t="s">
        <v>3053</v>
      </c>
      <c r="F11347" t="s">
        <v>287</v>
      </c>
      <c r="G11347" t="s">
        <v>3040</v>
      </c>
      <c r="H11347" t="s">
        <v>12830</v>
      </c>
      <c r="I11347">
        <v>41</v>
      </c>
      <c r="J11347">
        <v>0</v>
      </c>
      <c r="K11347">
        <v>0</v>
      </c>
      <c r="L11347">
        <v>41</v>
      </c>
      <c r="M11347">
        <v>0</v>
      </c>
      <c r="N11347">
        <v>0</v>
      </c>
      <c r="O11347">
        <v>0</v>
      </c>
    </row>
    <row r="11348" spans="1:15" x14ac:dyDescent="0.25">
      <c r="A11348" t="s">
        <v>1715</v>
      </c>
      <c r="B11348" t="s">
        <v>2136</v>
      </c>
      <c r="C11348" t="s">
        <v>927</v>
      </c>
      <c r="D11348" t="s">
        <v>3052</v>
      </c>
      <c r="E11348" t="s">
        <v>3053</v>
      </c>
      <c r="F11348" t="s">
        <v>287</v>
      </c>
      <c r="G11348" t="s">
        <v>3040</v>
      </c>
      <c r="H11348" t="s">
        <v>12836</v>
      </c>
      <c r="I11348">
        <v>26</v>
      </c>
      <c r="J11348">
        <v>25</v>
      </c>
      <c r="K11348">
        <v>0</v>
      </c>
      <c r="L11348">
        <v>0</v>
      </c>
      <c r="M11348">
        <v>0</v>
      </c>
      <c r="N11348">
        <v>0</v>
      </c>
      <c r="O11348">
        <v>1</v>
      </c>
    </row>
    <row r="11349" spans="1:15" x14ac:dyDescent="0.25">
      <c r="A11349" t="s">
        <v>1716</v>
      </c>
      <c r="B11349" t="s">
        <v>2618</v>
      </c>
      <c r="C11349" t="s">
        <v>923</v>
      </c>
      <c r="D11349" t="s">
        <v>3063</v>
      </c>
      <c r="E11349" t="s">
        <v>3053</v>
      </c>
      <c r="F11349" t="s">
        <v>287</v>
      </c>
      <c r="G11349" t="s">
        <v>3040</v>
      </c>
      <c r="H11349" t="s">
        <v>12838</v>
      </c>
      <c r="I11349">
        <v>85</v>
      </c>
      <c r="J11349">
        <v>0</v>
      </c>
      <c r="K11349">
        <v>0</v>
      </c>
      <c r="L11349">
        <v>85</v>
      </c>
      <c r="M11349">
        <v>0</v>
      </c>
      <c r="N11349">
        <v>0</v>
      </c>
      <c r="O11349">
        <v>0</v>
      </c>
    </row>
    <row r="11350" spans="1:15" x14ac:dyDescent="0.25">
      <c r="A11350" t="s">
        <v>1717</v>
      </c>
      <c r="B11350" t="s">
        <v>2333</v>
      </c>
      <c r="C11350" t="s">
        <v>923</v>
      </c>
      <c r="D11350" t="s">
        <v>3063</v>
      </c>
      <c r="E11350" t="s">
        <v>3053</v>
      </c>
      <c r="F11350" t="s">
        <v>287</v>
      </c>
      <c r="G11350" t="s">
        <v>3040</v>
      </c>
      <c r="H11350" t="s">
        <v>12840</v>
      </c>
      <c r="I11350">
        <v>33</v>
      </c>
      <c r="J11350">
        <v>0</v>
      </c>
      <c r="K11350">
        <v>0</v>
      </c>
      <c r="L11350">
        <v>0</v>
      </c>
      <c r="M11350">
        <v>33</v>
      </c>
      <c r="N11350">
        <v>0</v>
      </c>
      <c r="O11350">
        <v>0</v>
      </c>
    </row>
    <row r="11351" spans="1:15" x14ac:dyDescent="0.25">
      <c r="A11351" t="s">
        <v>933</v>
      </c>
      <c r="B11351" t="s">
        <v>2106</v>
      </c>
      <c r="C11351" t="s">
        <v>927</v>
      </c>
      <c r="D11351" t="s">
        <v>3052</v>
      </c>
      <c r="E11351" t="s">
        <v>3053</v>
      </c>
      <c r="F11351" t="s">
        <v>287</v>
      </c>
      <c r="G11351" t="s">
        <v>3040</v>
      </c>
      <c r="H11351" t="s">
        <v>12846</v>
      </c>
      <c r="I11351">
        <v>2302</v>
      </c>
      <c r="J11351">
        <v>2001</v>
      </c>
      <c r="K11351">
        <v>0</v>
      </c>
      <c r="L11351">
        <v>0</v>
      </c>
      <c r="M11351">
        <v>103</v>
      </c>
      <c r="N11351">
        <v>52</v>
      </c>
      <c r="O11351">
        <v>198</v>
      </c>
    </row>
    <row r="11352" spans="1:15" x14ac:dyDescent="0.25">
      <c r="A11352" t="s">
        <v>1718</v>
      </c>
      <c r="B11352" t="s">
        <v>3006</v>
      </c>
      <c r="C11352" t="s">
        <v>927</v>
      </c>
      <c r="D11352" t="s">
        <v>3052</v>
      </c>
      <c r="E11352" t="s">
        <v>3053</v>
      </c>
      <c r="F11352" t="s">
        <v>287</v>
      </c>
      <c r="G11352" t="s">
        <v>3040</v>
      </c>
      <c r="H11352" t="s">
        <v>12851</v>
      </c>
      <c r="I11352">
        <v>5222</v>
      </c>
      <c r="J11352">
        <v>3656</v>
      </c>
      <c r="K11352">
        <v>0</v>
      </c>
      <c r="L11352">
        <v>162</v>
      </c>
      <c r="M11352">
        <v>798</v>
      </c>
      <c r="N11352">
        <v>0</v>
      </c>
      <c r="O11352">
        <v>606</v>
      </c>
    </row>
    <row r="11353" spans="1:15" x14ac:dyDescent="0.25">
      <c r="A11353" t="s">
        <v>1719</v>
      </c>
      <c r="B11353" t="s">
        <v>2299</v>
      </c>
      <c r="C11353" t="s">
        <v>923</v>
      </c>
      <c r="D11353" t="s">
        <v>3063</v>
      </c>
      <c r="E11353" t="s">
        <v>3053</v>
      </c>
      <c r="F11353" t="s">
        <v>287</v>
      </c>
      <c r="G11353" t="s">
        <v>3040</v>
      </c>
      <c r="H11353" t="s">
        <v>12864</v>
      </c>
      <c r="I11353">
        <v>4</v>
      </c>
      <c r="J11353">
        <v>0</v>
      </c>
      <c r="K11353">
        <v>0</v>
      </c>
      <c r="L11353">
        <v>0</v>
      </c>
      <c r="M11353">
        <v>4</v>
      </c>
      <c r="N11353">
        <v>0</v>
      </c>
      <c r="O11353">
        <v>0</v>
      </c>
    </row>
    <row r="11354" spans="1:15" x14ac:dyDescent="0.25">
      <c r="A11354" t="s">
        <v>1720</v>
      </c>
      <c r="B11354" t="s">
        <v>2655</v>
      </c>
      <c r="C11354" t="s">
        <v>927</v>
      </c>
      <c r="D11354" t="s">
        <v>3052</v>
      </c>
      <c r="E11354" t="s">
        <v>3053</v>
      </c>
      <c r="F11354" t="s">
        <v>287</v>
      </c>
      <c r="G11354" t="s">
        <v>3040</v>
      </c>
      <c r="H11354" t="s">
        <v>12873</v>
      </c>
      <c r="I11354">
        <v>1388</v>
      </c>
      <c r="J11354">
        <v>1333</v>
      </c>
      <c r="K11354">
        <v>0</v>
      </c>
      <c r="L11354">
        <v>0</v>
      </c>
      <c r="M11354">
        <v>0</v>
      </c>
      <c r="N11354">
        <v>0</v>
      </c>
      <c r="O11354">
        <v>55</v>
      </c>
    </row>
    <row r="11355" spans="1:15" x14ac:dyDescent="0.25">
      <c r="A11355" t="s">
        <v>1721</v>
      </c>
      <c r="B11355" t="s">
        <v>2141</v>
      </c>
      <c r="C11355" t="s">
        <v>923</v>
      </c>
      <c r="D11355" t="s">
        <v>3063</v>
      </c>
      <c r="E11355" t="s">
        <v>3053</v>
      </c>
      <c r="F11355" t="s">
        <v>287</v>
      </c>
      <c r="G11355" t="s">
        <v>3040</v>
      </c>
      <c r="H11355" t="s">
        <v>12874</v>
      </c>
      <c r="I11355">
        <v>8</v>
      </c>
      <c r="J11355">
        <v>8</v>
      </c>
      <c r="K11355">
        <v>0</v>
      </c>
      <c r="L11355">
        <v>0</v>
      </c>
      <c r="M11355">
        <v>0</v>
      </c>
      <c r="N11355">
        <v>0</v>
      </c>
      <c r="O11355">
        <v>0</v>
      </c>
    </row>
    <row r="11356" spans="1:15" x14ac:dyDescent="0.25">
      <c r="A11356" t="s">
        <v>1722</v>
      </c>
      <c r="B11356" t="s">
        <v>1929</v>
      </c>
      <c r="C11356" t="s">
        <v>923</v>
      </c>
      <c r="D11356" t="s">
        <v>3063</v>
      </c>
      <c r="E11356" t="s">
        <v>3053</v>
      </c>
      <c r="F11356" t="s">
        <v>287</v>
      </c>
      <c r="G11356" t="s">
        <v>3040</v>
      </c>
      <c r="H11356" t="s">
        <v>12875</v>
      </c>
      <c r="I11356">
        <v>56</v>
      </c>
      <c r="J11356">
        <v>56</v>
      </c>
      <c r="K11356">
        <v>0</v>
      </c>
      <c r="L11356">
        <v>0</v>
      </c>
      <c r="M11356">
        <v>0</v>
      </c>
      <c r="N11356">
        <v>3</v>
      </c>
      <c r="O11356">
        <v>0</v>
      </c>
    </row>
    <row r="11357" spans="1:15" x14ac:dyDescent="0.25">
      <c r="A11357" t="s">
        <v>1723</v>
      </c>
      <c r="B11357" t="s">
        <v>2798</v>
      </c>
      <c r="C11357" t="s">
        <v>923</v>
      </c>
      <c r="D11357" t="s">
        <v>3063</v>
      </c>
      <c r="E11357" t="s">
        <v>3053</v>
      </c>
      <c r="F11357" t="s">
        <v>287</v>
      </c>
      <c r="G11357" t="s">
        <v>3040</v>
      </c>
      <c r="H11357" t="s">
        <v>12876</v>
      </c>
      <c r="I11357">
        <v>341</v>
      </c>
      <c r="J11357">
        <v>341</v>
      </c>
      <c r="K11357">
        <v>0</v>
      </c>
      <c r="L11357">
        <v>0</v>
      </c>
      <c r="M11357">
        <v>0</v>
      </c>
      <c r="N11357">
        <v>9</v>
      </c>
      <c r="O11357">
        <v>0</v>
      </c>
    </row>
    <row r="11358" spans="1:15" x14ac:dyDescent="0.25">
      <c r="A11358" t="s">
        <v>1590</v>
      </c>
      <c r="B11358" t="s">
        <v>2853</v>
      </c>
      <c r="C11358" t="s">
        <v>927</v>
      </c>
      <c r="D11358" t="s">
        <v>3052</v>
      </c>
      <c r="E11358" t="s">
        <v>3053</v>
      </c>
      <c r="F11358" t="s">
        <v>287</v>
      </c>
      <c r="G11358" t="s">
        <v>3040</v>
      </c>
      <c r="H11358" t="s">
        <v>12881</v>
      </c>
      <c r="I11358">
        <v>1219</v>
      </c>
      <c r="J11358">
        <v>953</v>
      </c>
      <c r="K11358">
        <v>0</v>
      </c>
      <c r="L11358">
        <v>0</v>
      </c>
      <c r="M11358">
        <v>0</v>
      </c>
      <c r="N11358">
        <v>4</v>
      </c>
      <c r="O11358">
        <v>266</v>
      </c>
    </row>
    <row r="11359" spans="1:15" x14ac:dyDescent="0.25">
      <c r="A11359" t="s">
        <v>1724</v>
      </c>
      <c r="B11359" t="s">
        <v>3020</v>
      </c>
      <c r="C11359" t="s">
        <v>923</v>
      </c>
      <c r="D11359" t="s">
        <v>3063</v>
      </c>
      <c r="E11359" t="s">
        <v>3053</v>
      </c>
      <c r="F11359" t="s">
        <v>287</v>
      </c>
      <c r="G11359" t="s">
        <v>3040</v>
      </c>
      <c r="H11359" t="s">
        <v>12903</v>
      </c>
      <c r="I11359">
        <v>1</v>
      </c>
      <c r="J11359">
        <v>1</v>
      </c>
      <c r="K11359">
        <v>0</v>
      </c>
      <c r="L11359">
        <v>0</v>
      </c>
      <c r="M11359">
        <v>0</v>
      </c>
      <c r="N11359">
        <v>0</v>
      </c>
      <c r="O11359">
        <v>0</v>
      </c>
    </row>
    <row r="11360" spans="1:15" x14ac:dyDescent="0.25">
      <c r="A11360" t="s">
        <v>1725</v>
      </c>
      <c r="B11360" t="s">
        <v>3010</v>
      </c>
      <c r="C11360" t="s">
        <v>927</v>
      </c>
      <c r="D11360" t="s">
        <v>3052</v>
      </c>
      <c r="E11360" t="s">
        <v>3053</v>
      </c>
      <c r="F11360" t="s">
        <v>287</v>
      </c>
      <c r="G11360" t="s">
        <v>3040</v>
      </c>
      <c r="H11360" t="s">
        <v>12904</v>
      </c>
      <c r="I11360">
        <v>12985</v>
      </c>
      <c r="J11360">
        <v>10035</v>
      </c>
      <c r="K11360">
        <v>0</v>
      </c>
      <c r="L11360">
        <v>229</v>
      </c>
      <c r="M11360">
        <v>1866</v>
      </c>
      <c r="N11360">
        <v>23</v>
      </c>
      <c r="O11360">
        <v>855</v>
      </c>
    </row>
    <row r="11361" spans="1:15" x14ac:dyDescent="0.25">
      <c r="A11361" t="s">
        <v>1726</v>
      </c>
      <c r="B11361" t="s">
        <v>2269</v>
      </c>
      <c r="C11361" t="s">
        <v>923</v>
      </c>
      <c r="D11361" t="s">
        <v>3063</v>
      </c>
      <c r="E11361" t="s">
        <v>3053</v>
      </c>
      <c r="F11361" t="s">
        <v>287</v>
      </c>
      <c r="G11361" t="s">
        <v>3040</v>
      </c>
      <c r="H11361" t="s">
        <v>12907</v>
      </c>
      <c r="I11361">
        <v>4</v>
      </c>
      <c r="J11361">
        <v>0</v>
      </c>
      <c r="K11361">
        <v>0</v>
      </c>
      <c r="L11361">
        <v>0</v>
      </c>
      <c r="M11361">
        <v>4</v>
      </c>
      <c r="N11361">
        <v>0</v>
      </c>
      <c r="O11361">
        <v>0</v>
      </c>
    </row>
    <row r="11362" spans="1:15" x14ac:dyDescent="0.25">
      <c r="A11362" t="s">
        <v>996</v>
      </c>
      <c r="B11362" t="s">
        <v>1952</v>
      </c>
      <c r="C11362" t="s">
        <v>923</v>
      </c>
      <c r="D11362" t="s">
        <v>3063</v>
      </c>
      <c r="E11362" t="s">
        <v>3053</v>
      </c>
      <c r="F11362" t="s">
        <v>287</v>
      </c>
      <c r="G11362" t="s">
        <v>3040</v>
      </c>
      <c r="H11362" t="s">
        <v>12929</v>
      </c>
      <c r="I11362">
        <v>70</v>
      </c>
      <c r="J11362">
        <v>0</v>
      </c>
      <c r="K11362">
        <v>0</v>
      </c>
      <c r="L11362">
        <v>70</v>
      </c>
      <c r="M11362">
        <v>0</v>
      </c>
      <c r="N11362">
        <v>0</v>
      </c>
      <c r="O11362">
        <v>0</v>
      </c>
    </row>
    <row r="11363" spans="1:15" x14ac:dyDescent="0.25">
      <c r="A11363" t="s">
        <v>10617</v>
      </c>
      <c r="B11363" t="s">
        <v>10616</v>
      </c>
      <c r="C11363" t="s">
        <v>923</v>
      </c>
      <c r="D11363" t="s">
        <v>3063</v>
      </c>
      <c r="E11363" t="s">
        <v>3053</v>
      </c>
      <c r="F11363" t="s">
        <v>287</v>
      </c>
      <c r="G11363" t="s">
        <v>3040</v>
      </c>
      <c r="H11363" t="s">
        <v>12936</v>
      </c>
      <c r="I11363">
        <v>20</v>
      </c>
      <c r="J11363">
        <v>0</v>
      </c>
      <c r="K11363">
        <v>0</v>
      </c>
      <c r="L11363">
        <v>20</v>
      </c>
      <c r="M11363">
        <v>0</v>
      </c>
      <c r="N11363">
        <v>0</v>
      </c>
      <c r="O11363">
        <v>0</v>
      </c>
    </row>
    <row r="11364" spans="1:15" x14ac:dyDescent="0.25">
      <c r="A11364" t="s">
        <v>1727</v>
      </c>
      <c r="B11364" t="s">
        <v>2290</v>
      </c>
      <c r="C11364" t="s">
        <v>923</v>
      </c>
      <c r="D11364" t="s">
        <v>3063</v>
      </c>
      <c r="E11364" t="s">
        <v>3053</v>
      </c>
      <c r="F11364" t="s">
        <v>287</v>
      </c>
      <c r="G11364" t="s">
        <v>3040</v>
      </c>
      <c r="H11364" t="s">
        <v>12946</v>
      </c>
      <c r="I11364">
        <v>21</v>
      </c>
      <c r="J11364">
        <v>0</v>
      </c>
      <c r="K11364">
        <v>0</v>
      </c>
      <c r="L11364">
        <v>0</v>
      </c>
      <c r="M11364">
        <v>21</v>
      </c>
      <c r="N11364">
        <v>0</v>
      </c>
      <c r="O11364">
        <v>0</v>
      </c>
    </row>
    <row r="11365" spans="1:15" x14ac:dyDescent="0.25">
      <c r="A11365" t="s">
        <v>1728</v>
      </c>
      <c r="B11365" t="s">
        <v>2679</v>
      </c>
      <c r="C11365" t="s">
        <v>923</v>
      </c>
      <c r="D11365" t="s">
        <v>3063</v>
      </c>
      <c r="E11365" t="s">
        <v>3053</v>
      </c>
      <c r="F11365" t="s">
        <v>287</v>
      </c>
      <c r="G11365" t="s">
        <v>3040</v>
      </c>
      <c r="H11365" t="s">
        <v>12948</v>
      </c>
      <c r="I11365">
        <v>499</v>
      </c>
      <c r="J11365">
        <v>44</v>
      </c>
      <c r="K11365">
        <v>0</v>
      </c>
      <c r="L11365">
        <v>213</v>
      </c>
      <c r="M11365">
        <v>242</v>
      </c>
      <c r="N11365">
        <v>4</v>
      </c>
      <c r="O11365">
        <v>0</v>
      </c>
    </row>
    <row r="11366" spans="1:15" x14ac:dyDescent="0.25">
      <c r="A11366" t="s">
        <v>1729</v>
      </c>
      <c r="B11366" t="s">
        <v>2943</v>
      </c>
      <c r="C11366" t="s">
        <v>923</v>
      </c>
      <c r="D11366" t="s">
        <v>3063</v>
      </c>
      <c r="E11366" t="s">
        <v>3053</v>
      </c>
      <c r="F11366" t="s">
        <v>287</v>
      </c>
      <c r="G11366" t="s">
        <v>3040</v>
      </c>
      <c r="H11366" t="s">
        <v>12961</v>
      </c>
      <c r="I11366">
        <v>653</v>
      </c>
      <c r="J11366">
        <v>397</v>
      </c>
      <c r="K11366">
        <v>11</v>
      </c>
      <c r="L11366">
        <v>245</v>
      </c>
      <c r="M11366">
        <v>0</v>
      </c>
      <c r="N11366">
        <v>20</v>
      </c>
      <c r="O11366">
        <v>0</v>
      </c>
    </row>
    <row r="11367" spans="1:15" x14ac:dyDescent="0.25">
      <c r="A11367" t="s">
        <v>1730</v>
      </c>
      <c r="B11367" t="s">
        <v>2278</v>
      </c>
      <c r="C11367" t="s">
        <v>923</v>
      </c>
      <c r="D11367" t="s">
        <v>3063</v>
      </c>
      <c r="E11367" t="s">
        <v>3053</v>
      </c>
      <c r="F11367" t="s">
        <v>287</v>
      </c>
      <c r="G11367" t="s">
        <v>3040</v>
      </c>
      <c r="H11367" t="s">
        <v>12972</v>
      </c>
      <c r="I11367">
        <v>3</v>
      </c>
      <c r="J11367">
        <v>0</v>
      </c>
      <c r="K11367">
        <v>0</v>
      </c>
      <c r="L11367">
        <v>0</v>
      </c>
      <c r="M11367">
        <v>3</v>
      </c>
      <c r="N11367">
        <v>0</v>
      </c>
      <c r="O11367">
        <v>0</v>
      </c>
    </row>
    <row r="11368" spans="1:15" x14ac:dyDescent="0.25">
      <c r="A11368" t="s">
        <v>935</v>
      </c>
      <c r="B11368" t="s">
        <v>1960</v>
      </c>
      <c r="C11368" t="s">
        <v>923</v>
      </c>
      <c r="D11368" t="s">
        <v>3063</v>
      </c>
      <c r="E11368" t="s">
        <v>3053</v>
      </c>
      <c r="F11368" t="s">
        <v>287</v>
      </c>
      <c r="G11368" t="s">
        <v>3040</v>
      </c>
      <c r="H11368" t="s">
        <v>12979</v>
      </c>
      <c r="I11368">
        <v>35</v>
      </c>
      <c r="J11368">
        <v>0</v>
      </c>
      <c r="K11368">
        <v>0</v>
      </c>
      <c r="L11368">
        <v>35</v>
      </c>
      <c r="M11368">
        <v>0</v>
      </c>
      <c r="N11368">
        <v>0</v>
      </c>
      <c r="O11368">
        <v>0</v>
      </c>
    </row>
    <row r="11369" spans="1:15" x14ac:dyDescent="0.25">
      <c r="A11369" t="s">
        <v>11660</v>
      </c>
      <c r="B11369" t="s">
        <v>2041</v>
      </c>
      <c r="C11369" t="s">
        <v>923</v>
      </c>
      <c r="D11369" t="s">
        <v>3063</v>
      </c>
      <c r="E11369" t="s">
        <v>3053</v>
      </c>
      <c r="F11369" t="s">
        <v>287</v>
      </c>
      <c r="G11369" t="s">
        <v>3040</v>
      </c>
      <c r="H11369" t="s">
        <v>12988</v>
      </c>
      <c r="I11369">
        <v>48</v>
      </c>
      <c r="J11369">
        <v>0</v>
      </c>
      <c r="K11369">
        <v>0</v>
      </c>
      <c r="L11369">
        <v>48</v>
      </c>
      <c r="M11369">
        <v>0</v>
      </c>
      <c r="N11369">
        <v>0</v>
      </c>
      <c r="O11369">
        <v>0</v>
      </c>
    </row>
    <row r="11370" spans="1:15" x14ac:dyDescent="0.25">
      <c r="A11370" t="s">
        <v>998</v>
      </c>
      <c r="B11370" t="s">
        <v>2820</v>
      </c>
      <c r="C11370" t="s">
        <v>927</v>
      </c>
      <c r="D11370" t="s">
        <v>3052</v>
      </c>
      <c r="E11370" t="s">
        <v>3053</v>
      </c>
      <c r="F11370" t="s">
        <v>287</v>
      </c>
      <c r="G11370" t="s">
        <v>3040</v>
      </c>
      <c r="H11370" t="s">
        <v>12995</v>
      </c>
      <c r="I11370">
        <v>257</v>
      </c>
      <c r="J11370">
        <v>217</v>
      </c>
      <c r="K11370">
        <v>0</v>
      </c>
      <c r="L11370">
        <v>0</v>
      </c>
      <c r="M11370">
        <v>0</v>
      </c>
      <c r="N11370">
        <v>1</v>
      </c>
      <c r="O11370">
        <v>40</v>
      </c>
    </row>
    <row r="11371" spans="1:15" x14ac:dyDescent="0.25">
      <c r="A11371" t="s">
        <v>1731</v>
      </c>
      <c r="B11371" t="s">
        <v>2212</v>
      </c>
      <c r="C11371" t="s">
        <v>923</v>
      </c>
      <c r="D11371" t="s">
        <v>3063</v>
      </c>
      <c r="E11371" t="s">
        <v>3053</v>
      </c>
      <c r="F11371" t="s">
        <v>287</v>
      </c>
      <c r="G11371" t="s">
        <v>3040</v>
      </c>
      <c r="H11371" t="s">
        <v>13003</v>
      </c>
      <c r="I11371">
        <v>143</v>
      </c>
      <c r="J11371">
        <v>0</v>
      </c>
      <c r="K11371">
        <v>0</v>
      </c>
      <c r="L11371">
        <v>0</v>
      </c>
      <c r="M11371">
        <v>143</v>
      </c>
      <c r="N11371">
        <v>0</v>
      </c>
      <c r="O11371">
        <v>0</v>
      </c>
    </row>
    <row r="11372" spans="1:15" x14ac:dyDescent="0.25">
      <c r="A11372" t="s">
        <v>1416</v>
      </c>
      <c r="B11372" t="s">
        <v>2029</v>
      </c>
      <c r="C11372" t="s">
        <v>923</v>
      </c>
      <c r="D11372" t="s">
        <v>3063</v>
      </c>
      <c r="E11372" t="s">
        <v>3053</v>
      </c>
      <c r="F11372" t="s">
        <v>287</v>
      </c>
      <c r="G11372" t="s">
        <v>3040</v>
      </c>
      <c r="H11372" t="s">
        <v>13018</v>
      </c>
      <c r="I11372">
        <v>211</v>
      </c>
      <c r="J11372">
        <v>0</v>
      </c>
      <c r="K11372">
        <v>0</v>
      </c>
      <c r="L11372">
        <v>211</v>
      </c>
      <c r="M11372">
        <v>0</v>
      </c>
      <c r="N11372">
        <v>0</v>
      </c>
      <c r="O11372">
        <v>0</v>
      </c>
    </row>
    <row r="11373" spans="1:15" x14ac:dyDescent="0.25">
      <c r="A11373" t="s">
        <v>1732</v>
      </c>
      <c r="B11373" t="s">
        <v>2800</v>
      </c>
      <c r="C11373" t="s">
        <v>923</v>
      </c>
      <c r="D11373" t="s">
        <v>3063</v>
      </c>
      <c r="E11373" t="s">
        <v>3053</v>
      </c>
      <c r="F11373" t="s">
        <v>287</v>
      </c>
      <c r="G11373" t="s">
        <v>3040</v>
      </c>
      <c r="H11373" t="s">
        <v>13021</v>
      </c>
      <c r="I11373">
        <v>293</v>
      </c>
      <c r="J11373">
        <v>293</v>
      </c>
      <c r="K11373">
        <v>0</v>
      </c>
      <c r="L11373">
        <v>0</v>
      </c>
      <c r="M11373">
        <v>0</v>
      </c>
      <c r="N11373">
        <v>0</v>
      </c>
      <c r="O11373">
        <v>0</v>
      </c>
    </row>
    <row r="11374" spans="1:15" x14ac:dyDescent="0.25">
      <c r="A11374" t="s">
        <v>1000</v>
      </c>
      <c r="B11374" t="s">
        <v>1984</v>
      </c>
      <c r="C11374" t="s">
        <v>923</v>
      </c>
      <c r="D11374" t="s">
        <v>3063</v>
      </c>
      <c r="E11374" t="s">
        <v>3053</v>
      </c>
      <c r="F11374" t="s">
        <v>287</v>
      </c>
      <c r="G11374" t="s">
        <v>3040</v>
      </c>
      <c r="H11374" t="s">
        <v>13033</v>
      </c>
      <c r="I11374">
        <v>20</v>
      </c>
      <c r="J11374">
        <v>0</v>
      </c>
      <c r="K11374">
        <v>0</v>
      </c>
      <c r="L11374">
        <v>20</v>
      </c>
      <c r="M11374">
        <v>0</v>
      </c>
      <c r="N11374">
        <v>0</v>
      </c>
      <c r="O11374">
        <v>0</v>
      </c>
    </row>
    <row r="11375" spans="1:15" x14ac:dyDescent="0.25">
      <c r="A11375" t="s">
        <v>1733</v>
      </c>
      <c r="B11375" t="s">
        <v>2289</v>
      </c>
      <c r="C11375" t="s">
        <v>923</v>
      </c>
      <c r="D11375" t="s">
        <v>3063</v>
      </c>
      <c r="E11375" t="s">
        <v>3053</v>
      </c>
      <c r="F11375" t="s">
        <v>287</v>
      </c>
      <c r="G11375" t="s">
        <v>3040</v>
      </c>
      <c r="H11375" t="s">
        <v>13040</v>
      </c>
      <c r="I11375">
        <v>12</v>
      </c>
      <c r="J11375">
        <v>0</v>
      </c>
      <c r="K11375">
        <v>0</v>
      </c>
      <c r="L11375">
        <v>0</v>
      </c>
      <c r="M11375">
        <v>12</v>
      </c>
      <c r="N11375">
        <v>0</v>
      </c>
      <c r="O11375">
        <v>0</v>
      </c>
    </row>
    <row r="11376" spans="1:15" x14ac:dyDescent="0.25">
      <c r="A11376" t="s">
        <v>1734</v>
      </c>
      <c r="B11376" t="s">
        <v>2939</v>
      </c>
      <c r="C11376" t="s">
        <v>923</v>
      </c>
      <c r="D11376" t="s">
        <v>3063</v>
      </c>
      <c r="E11376" t="s">
        <v>3053</v>
      </c>
      <c r="F11376" t="s">
        <v>287</v>
      </c>
      <c r="G11376" t="s">
        <v>3040</v>
      </c>
      <c r="H11376" t="s">
        <v>13045</v>
      </c>
      <c r="I11376">
        <v>7</v>
      </c>
      <c r="J11376">
        <v>7</v>
      </c>
      <c r="K11376">
        <v>0</v>
      </c>
      <c r="L11376">
        <v>0</v>
      </c>
      <c r="M11376">
        <v>0</v>
      </c>
      <c r="N11376">
        <v>0</v>
      </c>
      <c r="O11376">
        <v>0</v>
      </c>
    </row>
    <row r="11377" spans="1:15" x14ac:dyDescent="0.25">
      <c r="A11377" t="s">
        <v>1735</v>
      </c>
      <c r="B11377" t="s">
        <v>2009</v>
      </c>
      <c r="C11377" t="s">
        <v>923</v>
      </c>
      <c r="D11377" t="s">
        <v>3063</v>
      </c>
      <c r="E11377" t="s">
        <v>3053</v>
      </c>
      <c r="F11377" t="s">
        <v>287</v>
      </c>
      <c r="G11377" t="s">
        <v>3040</v>
      </c>
      <c r="H11377" t="s">
        <v>13054</v>
      </c>
      <c r="I11377">
        <v>5</v>
      </c>
      <c r="J11377">
        <v>5</v>
      </c>
      <c r="K11377">
        <v>0</v>
      </c>
      <c r="L11377">
        <v>0</v>
      </c>
      <c r="M11377">
        <v>0</v>
      </c>
      <c r="N11377">
        <v>0</v>
      </c>
      <c r="O11377">
        <v>0</v>
      </c>
    </row>
    <row r="11378" spans="1:15" x14ac:dyDescent="0.25">
      <c r="A11378" t="s">
        <v>1485</v>
      </c>
      <c r="B11378" t="s">
        <v>2836</v>
      </c>
      <c r="C11378" t="s">
        <v>927</v>
      </c>
      <c r="D11378" t="s">
        <v>3052</v>
      </c>
      <c r="E11378" t="s">
        <v>3053</v>
      </c>
      <c r="F11378" t="s">
        <v>287</v>
      </c>
      <c r="G11378" t="s">
        <v>3040</v>
      </c>
      <c r="H11378" t="s">
        <v>13057</v>
      </c>
      <c r="I11378">
        <v>34</v>
      </c>
      <c r="J11378">
        <v>0</v>
      </c>
      <c r="K11378">
        <v>0</v>
      </c>
      <c r="L11378">
        <v>0</v>
      </c>
      <c r="M11378">
        <v>0</v>
      </c>
      <c r="N11378">
        <v>0</v>
      </c>
      <c r="O11378">
        <v>34</v>
      </c>
    </row>
    <row r="11379" spans="1:15" x14ac:dyDescent="0.25">
      <c r="A11379" t="s">
        <v>10635</v>
      </c>
      <c r="B11379" t="s">
        <v>9860</v>
      </c>
      <c r="C11379" t="s">
        <v>923</v>
      </c>
      <c r="D11379" t="s">
        <v>3063</v>
      </c>
      <c r="E11379" t="s">
        <v>3053</v>
      </c>
      <c r="F11379" t="s">
        <v>287</v>
      </c>
      <c r="G11379" t="s">
        <v>3040</v>
      </c>
      <c r="H11379" t="s">
        <v>13069</v>
      </c>
      <c r="I11379">
        <v>2</v>
      </c>
      <c r="J11379">
        <v>2</v>
      </c>
      <c r="K11379">
        <v>0</v>
      </c>
      <c r="L11379">
        <v>0</v>
      </c>
      <c r="M11379">
        <v>0</v>
      </c>
      <c r="N11379">
        <v>0</v>
      </c>
      <c r="O11379">
        <v>0</v>
      </c>
    </row>
    <row r="11380" spans="1:15" x14ac:dyDescent="0.25">
      <c r="A11380" t="s">
        <v>1736</v>
      </c>
      <c r="B11380" t="s">
        <v>2797</v>
      </c>
      <c r="C11380" t="s">
        <v>923</v>
      </c>
      <c r="D11380" t="s">
        <v>3063</v>
      </c>
      <c r="E11380" t="s">
        <v>3053</v>
      </c>
      <c r="F11380" t="s">
        <v>287</v>
      </c>
      <c r="G11380" t="s">
        <v>3040</v>
      </c>
      <c r="H11380" t="s">
        <v>13071</v>
      </c>
      <c r="I11380">
        <v>6</v>
      </c>
      <c r="J11380">
        <v>0</v>
      </c>
      <c r="K11380">
        <v>0</v>
      </c>
      <c r="L11380">
        <v>0</v>
      </c>
      <c r="M11380">
        <v>6</v>
      </c>
      <c r="N11380">
        <v>0</v>
      </c>
      <c r="O11380">
        <v>0</v>
      </c>
    </row>
    <row r="11381" spans="1:15" x14ac:dyDescent="0.25">
      <c r="A11381" t="s">
        <v>1737</v>
      </c>
      <c r="B11381" t="s">
        <v>1933</v>
      </c>
      <c r="C11381" t="s">
        <v>927</v>
      </c>
      <c r="D11381" t="s">
        <v>3052</v>
      </c>
      <c r="E11381" t="s">
        <v>3053</v>
      </c>
      <c r="F11381" t="s">
        <v>287</v>
      </c>
      <c r="G11381" t="s">
        <v>3040</v>
      </c>
      <c r="H11381" t="s">
        <v>13073</v>
      </c>
      <c r="I11381">
        <v>4795</v>
      </c>
      <c r="J11381">
        <v>4304</v>
      </c>
      <c r="K11381">
        <v>0</v>
      </c>
      <c r="L11381">
        <v>77</v>
      </c>
      <c r="M11381">
        <v>269</v>
      </c>
      <c r="N11381">
        <v>7</v>
      </c>
      <c r="O11381">
        <v>145</v>
      </c>
    </row>
    <row r="11382" spans="1:15" x14ac:dyDescent="0.25">
      <c r="A11382" t="s">
        <v>10638</v>
      </c>
      <c r="B11382" t="s">
        <v>2057</v>
      </c>
      <c r="C11382" t="s">
        <v>927</v>
      </c>
      <c r="D11382" t="s">
        <v>3052</v>
      </c>
      <c r="E11382" t="s">
        <v>3053</v>
      </c>
      <c r="F11382" t="s">
        <v>287</v>
      </c>
      <c r="G11382" t="s">
        <v>3040</v>
      </c>
      <c r="H11382" t="s">
        <v>13082</v>
      </c>
      <c r="I11382">
        <v>441</v>
      </c>
      <c r="J11382">
        <v>0</v>
      </c>
      <c r="K11382">
        <v>0</v>
      </c>
      <c r="L11382">
        <v>441</v>
      </c>
      <c r="M11382">
        <v>0</v>
      </c>
      <c r="N11382">
        <v>0</v>
      </c>
      <c r="O11382">
        <v>0</v>
      </c>
    </row>
    <row r="11383" spans="1:15" x14ac:dyDescent="0.25">
      <c r="A11383" t="s">
        <v>10643</v>
      </c>
      <c r="B11383" t="s">
        <v>2987</v>
      </c>
      <c r="C11383" t="s">
        <v>927</v>
      </c>
      <c r="D11383" t="s">
        <v>3052</v>
      </c>
      <c r="E11383" t="s">
        <v>3053</v>
      </c>
      <c r="F11383" t="s">
        <v>287</v>
      </c>
      <c r="G11383" t="s">
        <v>3040</v>
      </c>
      <c r="H11383" t="s">
        <v>13114</v>
      </c>
      <c r="I11383">
        <v>8966</v>
      </c>
      <c r="J11383">
        <v>7566</v>
      </c>
      <c r="K11383">
        <v>0</v>
      </c>
      <c r="L11383">
        <v>365</v>
      </c>
      <c r="M11383">
        <v>272</v>
      </c>
      <c r="N11383">
        <v>277</v>
      </c>
      <c r="O11383">
        <v>763</v>
      </c>
    </row>
    <row r="11384" spans="1:15" x14ac:dyDescent="0.25">
      <c r="A11384" t="s">
        <v>1739</v>
      </c>
      <c r="B11384" t="s">
        <v>2786</v>
      </c>
      <c r="C11384" t="s">
        <v>923</v>
      </c>
      <c r="D11384" t="s">
        <v>3063</v>
      </c>
      <c r="E11384" t="s">
        <v>3053</v>
      </c>
      <c r="F11384" t="s">
        <v>287</v>
      </c>
      <c r="G11384" t="s">
        <v>3040</v>
      </c>
      <c r="H11384" t="s">
        <v>13121</v>
      </c>
      <c r="I11384">
        <v>546</v>
      </c>
      <c r="J11384">
        <v>211</v>
      </c>
      <c r="K11384">
        <v>0</v>
      </c>
      <c r="L11384">
        <v>6</v>
      </c>
      <c r="M11384">
        <v>329</v>
      </c>
      <c r="N11384">
        <v>0</v>
      </c>
      <c r="O11384">
        <v>0</v>
      </c>
    </row>
    <row r="11385" spans="1:15" x14ac:dyDescent="0.25">
      <c r="A11385" t="s">
        <v>1008</v>
      </c>
      <c r="B11385" t="s">
        <v>2928</v>
      </c>
      <c r="C11385" t="s">
        <v>927</v>
      </c>
      <c r="D11385" t="s">
        <v>3052</v>
      </c>
      <c r="E11385" t="s">
        <v>3053</v>
      </c>
      <c r="F11385" t="s">
        <v>287</v>
      </c>
      <c r="G11385" t="s">
        <v>3040</v>
      </c>
      <c r="H11385" t="s">
        <v>13128</v>
      </c>
      <c r="I11385">
        <v>362</v>
      </c>
      <c r="J11385">
        <v>276</v>
      </c>
      <c r="K11385">
        <v>0</v>
      </c>
      <c r="L11385">
        <v>77</v>
      </c>
      <c r="M11385">
        <v>9</v>
      </c>
      <c r="N11385">
        <v>5</v>
      </c>
      <c r="O11385">
        <v>0</v>
      </c>
    </row>
    <row r="11386" spans="1:15" x14ac:dyDescent="0.25">
      <c r="A11386" t="s">
        <v>11712</v>
      </c>
      <c r="B11386" t="s">
        <v>2970</v>
      </c>
      <c r="C11386" t="s">
        <v>923</v>
      </c>
      <c r="D11386" t="s">
        <v>3063</v>
      </c>
      <c r="E11386" t="s">
        <v>3053</v>
      </c>
      <c r="F11386" t="s">
        <v>287</v>
      </c>
      <c r="G11386" t="s">
        <v>3040</v>
      </c>
      <c r="H11386" t="s">
        <v>13147</v>
      </c>
      <c r="I11386">
        <v>19</v>
      </c>
      <c r="J11386">
        <v>0</v>
      </c>
      <c r="K11386">
        <v>0</v>
      </c>
      <c r="L11386">
        <v>19</v>
      </c>
      <c r="M11386">
        <v>0</v>
      </c>
      <c r="N11386">
        <v>0</v>
      </c>
      <c r="O11386">
        <v>0</v>
      </c>
    </row>
    <row r="11387" spans="1:15" x14ac:dyDescent="0.25">
      <c r="A11387" t="s">
        <v>1010</v>
      </c>
      <c r="B11387" t="s">
        <v>2639</v>
      </c>
      <c r="C11387" t="s">
        <v>927</v>
      </c>
      <c r="D11387" t="s">
        <v>3052</v>
      </c>
      <c r="E11387" t="s">
        <v>3053</v>
      </c>
      <c r="F11387" t="s">
        <v>287</v>
      </c>
      <c r="G11387" t="s">
        <v>3040</v>
      </c>
      <c r="H11387" t="s">
        <v>13161</v>
      </c>
      <c r="I11387">
        <v>1512</v>
      </c>
      <c r="J11387">
        <v>1293</v>
      </c>
      <c r="K11387">
        <v>0</v>
      </c>
      <c r="L11387">
        <v>0</v>
      </c>
      <c r="M11387">
        <v>0</v>
      </c>
      <c r="N11387">
        <v>3</v>
      </c>
      <c r="O11387">
        <v>219</v>
      </c>
    </row>
    <row r="11388" spans="1:15" x14ac:dyDescent="0.25">
      <c r="A11388" t="s">
        <v>937</v>
      </c>
      <c r="B11388" t="s">
        <v>1962</v>
      </c>
      <c r="C11388" t="s">
        <v>927</v>
      </c>
      <c r="D11388" t="s">
        <v>3052</v>
      </c>
      <c r="E11388" t="s">
        <v>3053</v>
      </c>
      <c r="F11388" t="s">
        <v>287</v>
      </c>
      <c r="G11388" t="s">
        <v>3040</v>
      </c>
      <c r="H11388" t="s">
        <v>13188</v>
      </c>
      <c r="I11388">
        <v>1386</v>
      </c>
      <c r="J11388">
        <v>0</v>
      </c>
      <c r="K11388">
        <v>0</v>
      </c>
      <c r="L11388">
        <v>0</v>
      </c>
      <c r="M11388">
        <v>0</v>
      </c>
      <c r="N11388">
        <v>0</v>
      </c>
      <c r="O11388">
        <v>1386</v>
      </c>
    </row>
    <row r="11389" spans="1:15" x14ac:dyDescent="0.25">
      <c r="A11389" t="s">
        <v>1011</v>
      </c>
      <c r="B11389" t="s">
        <v>2020</v>
      </c>
      <c r="C11389" t="s">
        <v>927</v>
      </c>
      <c r="D11389" t="s">
        <v>3052</v>
      </c>
      <c r="E11389" t="s">
        <v>3053</v>
      </c>
      <c r="F11389" t="s">
        <v>287</v>
      </c>
      <c r="G11389" t="s">
        <v>3040</v>
      </c>
      <c r="H11389" t="s">
        <v>13203</v>
      </c>
      <c r="I11389">
        <v>87</v>
      </c>
      <c r="J11389">
        <v>0</v>
      </c>
      <c r="K11389">
        <v>0</v>
      </c>
      <c r="L11389">
        <v>87</v>
      </c>
      <c r="M11389">
        <v>0</v>
      </c>
      <c r="N11389">
        <v>0</v>
      </c>
      <c r="O11389">
        <v>0</v>
      </c>
    </row>
    <row r="11390" spans="1:15" x14ac:dyDescent="0.25">
      <c r="A11390" t="s">
        <v>938</v>
      </c>
      <c r="B11390" t="s">
        <v>2791</v>
      </c>
      <c r="C11390" t="s">
        <v>927</v>
      </c>
      <c r="D11390" t="s">
        <v>3052</v>
      </c>
      <c r="E11390" t="s">
        <v>3053</v>
      </c>
      <c r="F11390" t="s">
        <v>287</v>
      </c>
      <c r="G11390" t="s">
        <v>3040</v>
      </c>
      <c r="H11390" t="s">
        <v>13219</v>
      </c>
      <c r="I11390">
        <v>518</v>
      </c>
      <c r="J11390">
        <v>15</v>
      </c>
      <c r="K11390">
        <v>0</v>
      </c>
      <c r="L11390">
        <v>503</v>
      </c>
      <c r="M11390">
        <v>0</v>
      </c>
      <c r="N11390">
        <v>0</v>
      </c>
      <c r="O11390">
        <v>0</v>
      </c>
    </row>
    <row r="11391" spans="1:15" x14ac:dyDescent="0.25">
      <c r="A11391" t="s">
        <v>940</v>
      </c>
      <c r="B11391" t="s">
        <v>2647</v>
      </c>
      <c r="C11391" t="s">
        <v>927</v>
      </c>
      <c r="D11391" t="s">
        <v>3052</v>
      </c>
      <c r="E11391" t="s">
        <v>3053</v>
      </c>
      <c r="F11391" t="s">
        <v>287</v>
      </c>
      <c r="G11391" t="s">
        <v>3040</v>
      </c>
      <c r="H11391" t="s">
        <v>13238</v>
      </c>
      <c r="I11391">
        <v>1730</v>
      </c>
      <c r="J11391">
        <v>0</v>
      </c>
      <c r="K11391">
        <v>0</v>
      </c>
      <c r="L11391">
        <v>3</v>
      </c>
      <c r="M11391">
        <v>1643</v>
      </c>
      <c r="N11391">
        <v>0</v>
      </c>
      <c r="O11391">
        <v>84</v>
      </c>
    </row>
    <row r="11392" spans="1:15" x14ac:dyDescent="0.25">
      <c r="A11392" t="s">
        <v>1013</v>
      </c>
      <c r="B11392" t="s">
        <v>1959</v>
      </c>
      <c r="C11392" t="s">
        <v>927</v>
      </c>
      <c r="D11392" t="s">
        <v>3052</v>
      </c>
      <c r="E11392" t="s">
        <v>3053</v>
      </c>
      <c r="F11392" t="s">
        <v>287</v>
      </c>
      <c r="G11392" t="s">
        <v>3040</v>
      </c>
      <c r="H11392" t="s">
        <v>13276</v>
      </c>
      <c r="I11392">
        <v>230</v>
      </c>
      <c r="J11392">
        <v>0</v>
      </c>
      <c r="K11392">
        <v>0</v>
      </c>
      <c r="L11392">
        <v>230</v>
      </c>
      <c r="M11392">
        <v>0</v>
      </c>
      <c r="N11392">
        <v>0</v>
      </c>
      <c r="O11392">
        <v>0</v>
      </c>
    </row>
    <row r="11393" spans="1:15" x14ac:dyDescent="0.25">
      <c r="A11393" t="s">
        <v>1740</v>
      </c>
      <c r="B11393" t="s">
        <v>2904</v>
      </c>
      <c r="C11393" t="s">
        <v>923</v>
      </c>
      <c r="D11393" t="s">
        <v>3063</v>
      </c>
      <c r="E11393" t="s">
        <v>3053</v>
      </c>
      <c r="F11393" t="s">
        <v>287</v>
      </c>
      <c r="G11393" t="s">
        <v>3040</v>
      </c>
      <c r="H11393" t="s">
        <v>13320</v>
      </c>
      <c r="I11393">
        <v>257</v>
      </c>
      <c r="J11393">
        <v>0</v>
      </c>
      <c r="K11393">
        <v>0</v>
      </c>
      <c r="L11393">
        <v>257</v>
      </c>
      <c r="M11393">
        <v>0</v>
      </c>
      <c r="N11393">
        <v>0</v>
      </c>
      <c r="O11393">
        <v>0</v>
      </c>
    </row>
    <row r="11394" spans="1:15" x14ac:dyDescent="0.25">
      <c r="A11394" t="s">
        <v>1741</v>
      </c>
      <c r="B11394" t="s">
        <v>2759</v>
      </c>
      <c r="C11394" t="s">
        <v>923</v>
      </c>
      <c r="D11394" t="s">
        <v>3063</v>
      </c>
      <c r="E11394" t="s">
        <v>3053</v>
      </c>
      <c r="F11394" t="s">
        <v>287</v>
      </c>
      <c r="G11394" t="s">
        <v>3040</v>
      </c>
      <c r="H11394" t="s">
        <v>13333</v>
      </c>
      <c r="I11394">
        <v>147</v>
      </c>
      <c r="J11394">
        <v>147</v>
      </c>
      <c r="K11394">
        <v>0</v>
      </c>
      <c r="L11394">
        <v>0</v>
      </c>
      <c r="M11394">
        <v>0</v>
      </c>
      <c r="N11394">
        <v>0</v>
      </c>
      <c r="O11394">
        <v>0</v>
      </c>
    </row>
    <row r="11395" spans="1:15" x14ac:dyDescent="0.25">
      <c r="A11395" t="s">
        <v>1018</v>
      </c>
      <c r="B11395" t="s">
        <v>1980</v>
      </c>
      <c r="C11395" t="s">
        <v>923</v>
      </c>
      <c r="D11395" t="s">
        <v>3063</v>
      </c>
      <c r="E11395" t="s">
        <v>3053</v>
      </c>
      <c r="F11395" t="s">
        <v>287</v>
      </c>
      <c r="G11395" t="s">
        <v>3040</v>
      </c>
      <c r="H11395" t="s">
        <v>13350</v>
      </c>
      <c r="I11395">
        <v>49</v>
      </c>
      <c r="J11395">
        <v>1</v>
      </c>
      <c r="K11395">
        <v>0</v>
      </c>
      <c r="L11395">
        <v>48</v>
      </c>
      <c r="M11395">
        <v>0</v>
      </c>
      <c r="N11395">
        <v>0</v>
      </c>
      <c r="O11395">
        <v>0</v>
      </c>
    </row>
    <row r="11396" spans="1:15" x14ac:dyDescent="0.25">
      <c r="A11396" t="s">
        <v>10667</v>
      </c>
      <c r="B11396" t="s">
        <v>10666</v>
      </c>
      <c r="C11396" t="s">
        <v>927</v>
      </c>
      <c r="D11396" t="s">
        <v>3052</v>
      </c>
      <c r="E11396" t="s">
        <v>3053</v>
      </c>
      <c r="F11396" t="s">
        <v>287</v>
      </c>
      <c r="G11396" t="s">
        <v>3040</v>
      </c>
      <c r="H11396" t="s">
        <v>13366</v>
      </c>
      <c r="I11396">
        <v>195</v>
      </c>
      <c r="J11396">
        <v>195</v>
      </c>
      <c r="K11396">
        <v>0</v>
      </c>
      <c r="L11396">
        <v>0</v>
      </c>
      <c r="M11396">
        <v>0</v>
      </c>
      <c r="N11396">
        <v>0</v>
      </c>
      <c r="O11396">
        <v>0</v>
      </c>
    </row>
    <row r="11397" spans="1:15" x14ac:dyDescent="0.25">
      <c r="A11397" t="s">
        <v>1126</v>
      </c>
      <c r="B11397" t="s">
        <v>2130</v>
      </c>
      <c r="C11397" t="s">
        <v>927</v>
      </c>
      <c r="D11397" t="s">
        <v>3052</v>
      </c>
      <c r="E11397" t="s">
        <v>3053</v>
      </c>
      <c r="F11397" t="s">
        <v>287</v>
      </c>
      <c r="G11397" t="s">
        <v>3040</v>
      </c>
      <c r="H11397" t="s">
        <v>13374</v>
      </c>
      <c r="I11397">
        <v>300</v>
      </c>
      <c r="J11397">
        <v>158</v>
      </c>
      <c r="K11397">
        <v>0</v>
      </c>
      <c r="L11397">
        <v>0</v>
      </c>
      <c r="M11397">
        <v>0</v>
      </c>
      <c r="N11397">
        <v>0</v>
      </c>
      <c r="O11397">
        <v>142</v>
      </c>
    </row>
    <row r="11398" spans="1:15" x14ac:dyDescent="0.25">
      <c r="A11398" t="s">
        <v>1020</v>
      </c>
      <c r="B11398" t="s">
        <v>2104</v>
      </c>
      <c r="C11398" t="s">
        <v>923</v>
      </c>
      <c r="D11398" t="s">
        <v>3063</v>
      </c>
      <c r="E11398" t="s">
        <v>3053</v>
      </c>
      <c r="F11398" t="s">
        <v>287</v>
      </c>
      <c r="G11398" t="s">
        <v>3040</v>
      </c>
      <c r="H11398" t="s">
        <v>13383</v>
      </c>
      <c r="I11398">
        <v>38</v>
      </c>
      <c r="J11398">
        <v>0</v>
      </c>
      <c r="K11398">
        <v>0</v>
      </c>
      <c r="L11398">
        <v>38</v>
      </c>
      <c r="M11398">
        <v>0</v>
      </c>
      <c r="N11398">
        <v>0</v>
      </c>
      <c r="O11398">
        <v>0</v>
      </c>
    </row>
    <row r="11399" spans="1:15" x14ac:dyDescent="0.25">
      <c r="A11399" t="s">
        <v>942</v>
      </c>
      <c r="B11399" t="s">
        <v>2113</v>
      </c>
      <c r="C11399" t="s">
        <v>927</v>
      </c>
      <c r="D11399" t="s">
        <v>3052</v>
      </c>
      <c r="E11399" t="s">
        <v>3053</v>
      </c>
      <c r="F11399" t="s">
        <v>287</v>
      </c>
      <c r="G11399" t="s">
        <v>3040</v>
      </c>
      <c r="H11399" t="s">
        <v>13400</v>
      </c>
      <c r="I11399">
        <v>37513</v>
      </c>
      <c r="J11399">
        <v>29170</v>
      </c>
      <c r="K11399">
        <v>8</v>
      </c>
      <c r="L11399">
        <v>1460</v>
      </c>
      <c r="M11399">
        <v>1837</v>
      </c>
      <c r="N11399">
        <v>5</v>
      </c>
      <c r="O11399">
        <v>5038</v>
      </c>
    </row>
    <row r="11400" spans="1:15" x14ac:dyDescent="0.25">
      <c r="A11400" t="s">
        <v>1742</v>
      </c>
      <c r="B11400" t="s">
        <v>2570</v>
      </c>
      <c r="C11400" t="s">
        <v>923</v>
      </c>
      <c r="D11400" t="s">
        <v>3063</v>
      </c>
      <c r="E11400" t="s">
        <v>3053</v>
      </c>
      <c r="F11400" t="s">
        <v>287</v>
      </c>
      <c r="G11400" t="s">
        <v>3040</v>
      </c>
      <c r="H11400" t="s">
        <v>13406</v>
      </c>
      <c r="I11400">
        <v>34</v>
      </c>
      <c r="J11400">
        <v>0</v>
      </c>
      <c r="K11400">
        <v>0</v>
      </c>
      <c r="L11400">
        <v>0</v>
      </c>
      <c r="M11400">
        <v>34</v>
      </c>
      <c r="N11400">
        <v>0</v>
      </c>
      <c r="O11400">
        <v>0</v>
      </c>
    </row>
    <row r="11401" spans="1:15" x14ac:dyDescent="0.25">
      <c r="A11401" t="s">
        <v>1025</v>
      </c>
      <c r="B11401" t="s">
        <v>2893</v>
      </c>
      <c r="C11401" t="s">
        <v>927</v>
      </c>
      <c r="D11401" t="s">
        <v>3052</v>
      </c>
      <c r="E11401" t="s">
        <v>3053</v>
      </c>
      <c r="F11401" t="s">
        <v>287</v>
      </c>
      <c r="G11401" t="s">
        <v>3040</v>
      </c>
      <c r="H11401" t="s">
        <v>13415</v>
      </c>
      <c r="I11401">
        <v>6</v>
      </c>
      <c r="J11401">
        <v>0</v>
      </c>
      <c r="K11401">
        <v>0</v>
      </c>
      <c r="L11401">
        <v>0</v>
      </c>
      <c r="M11401">
        <v>0</v>
      </c>
      <c r="N11401">
        <v>0</v>
      </c>
      <c r="O11401">
        <v>6</v>
      </c>
    </row>
    <row r="11402" spans="1:15" x14ac:dyDescent="0.25">
      <c r="A11402" t="s">
        <v>10681</v>
      </c>
      <c r="B11402" t="s">
        <v>10680</v>
      </c>
      <c r="C11402" t="s">
        <v>927</v>
      </c>
      <c r="D11402" t="s">
        <v>3052</v>
      </c>
      <c r="E11402" t="s">
        <v>3053</v>
      </c>
      <c r="F11402" t="s">
        <v>287</v>
      </c>
      <c r="G11402" t="s">
        <v>3040</v>
      </c>
      <c r="H11402" t="s">
        <v>15586</v>
      </c>
      <c r="I11402">
        <v>45</v>
      </c>
      <c r="J11402">
        <v>0</v>
      </c>
      <c r="K11402">
        <v>0</v>
      </c>
      <c r="L11402">
        <v>0</v>
      </c>
      <c r="M11402">
        <v>0</v>
      </c>
      <c r="N11402">
        <v>0</v>
      </c>
      <c r="O11402">
        <v>45</v>
      </c>
    </row>
    <row r="11403" spans="1:15" x14ac:dyDescent="0.25">
      <c r="A11403" t="s">
        <v>1743</v>
      </c>
      <c r="B11403" t="s">
        <v>2086</v>
      </c>
      <c r="C11403" t="s">
        <v>927</v>
      </c>
      <c r="D11403" t="s">
        <v>3052</v>
      </c>
      <c r="E11403" t="s">
        <v>3053</v>
      </c>
      <c r="F11403" t="s">
        <v>287</v>
      </c>
      <c r="G11403" t="s">
        <v>3040</v>
      </c>
      <c r="H11403" t="s">
        <v>13435</v>
      </c>
      <c r="I11403">
        <v>8467</v>
      </c>
      <c r="J11403">
        <v>6139</v>
      </c>
      <c r="K11403">
        <v>0</v>
      </c>
      <c r="L11403">
        <v>214</v>
      </c>
      <c r="M11403">
        <v>1847</v>
      </c>
      <c r="N11403">
        <v>12</v>
      </c>
      <c r="O11403">
        <v>267</v>
      </c>
    </row>
    <row r="11404" spans="1:15" x14ac:dyDescent="0.25">
      <c r="A11404" t="s">
        <v>11713</v>
      </c>
      <c r="B11404" t="s">
        <v>2720</v>
      </c>
      <c r="C11404" t="s">
        <v>923</v>
      </c>
      <c r="D11404" t="s">
        <v>3063</v>
      </c>
      <c r="E11404" t="s">
        <v>3053</v>
      </c>
      <c r="F11404" t="s">
        <v>287</v>
      </c>
      <c r="G11404" t="s">
        <v>3040</v>
      </c>
      <c r="H11404" t="s">
        <v>13445</v>
      </c>
      <c r="I11404">
        <v>16</v>
      </c>
      <c r="J11404">
        <v>0</v>
      </c>
      <c r="K11404">
        <v>0</v>
      </c>
      <c r="L11404">
        <v>0</v>
      </c>
      <c r="M11404">
        <v>16</v>
      </c>
      <c r="N11404">
        <v>0</v>
      </c>
      <c r="O11404">
        <v>0</v>
      </c>
    </row>
    <row r="11405" spans="1:15" x14ac:dyDescent="0.25">
      <c r="A11405" t="s">
        <v>1744</v>
      </c>
      <c r="B11405" t="s">
        <v>2157</v>
      </c>
      <c r="C11405" t="s">
        <v>923</v>
      </c>
      <c r="D11405" t="s">
        <v>3063</v>
      </c>
      <c r="E11405" t="s">
        <v>3053</v>
      </c>
      <c r="F11405" t="s">
        <v>287</v>
      </c>
      <c r="G11405" t="s">
        <v>3040</v>
      </c>
      <c r="H11405" t="s">
        <v>13447</v>
      </c>
      <c r="I11405">
        <v>8</v>
      </c>
      <c r="J11405">
        <v>8</v>
      </c>
      <c r="K11405">
        <v>0</v>
      </c>
      <c r="L11405">
        <v>0</v>
      </c>
      <c r="M11405">
        <v>0</v>
      </c>
      <c r="N11405">
        <v>0</v>
      </c>
      <c r="O11405">
        <v>0</v>
      </c>
    </row>
    <row r="11406" spans="1:15" x14ac:dyDescent="0.25">
      <c r="A11406" t="s">
        <v>1745</v>
      </c>
      <c r="B11406" t="s">
        <v>2884</v>
      </c>
      <c r="C11406" t="s">
        <v>927</v>
      </c>
      <c r="D11406" t="s">
        <v>3052</v>
      </c>
      <c r="E11406" t="s">
        <v>3053</v>
      </c>
      <c r="F11406" t="s">
        <v>287</v>
      </c>
      <c r="G11406" t="s">
        <v>3040</v>
      </c>
      <c r="H11406" t="s">
        <v>13455</v>
      </c>
      <c r="I11406">
        <v>12567</v>
      </c>
      <c r="J11406">
        <v>10222</v>
      </c>
      <c r="K11406">
        <v>0</v>
      </c>
      <c r="L11406">
        <v>74</v>
      </c>
      <c r="M11406">
        <v>1738</v>
      </c>
      <c r="N11406">
        <v>6</v>
      </c>
      <c r="O11406">
        <v>533</v>
      </c>
    </row>
    <row r="11407" spans="1:15" x14ac:dyDescent="0.25">
      <c r="A11407" t="s">
        <v>1296</v>
      </c>
      <c r="B11407" t="s">
        <v>2965</v>
      </c>
      <c r="C11407" t="s">
        <v>923</v>
      </c>
      <c r="D11407" t="s">
        <v>3063</v>
      </c>
      <c r="E11407" t="s">
        <v>3053</v>
      </c>
      <c r="F11407" t="s">
        <v>287</v>
      </c>
      <c r="G11407" t="s">
        <v>3040</v>
      </c>
      <c r="H11407" t="s">
        <v>13462</v>
      </c>
      <c r="I11407">
        <v>125</v>
      </c>
      <c r="J11407">
        <v>0</v>
      </c>
      <c r="K11407">
        <v>0</v>
      </c>
      <c r="L11407">
        <v>0</v>
      </c>
      <c r="M11407">
        <v>125</v>
      </c>
      <c r="N11407">
        <v>0</v>
      </c>
      <c r="O11407">
        <v>0</v>
      </c>
    </row>
    <row r="11408" spans="1:15" x14ac:dyDescent="0.25">
      <c r="A11408" t="s">
        <v>943</v>
      </c>
      <c r="B11408" t="s">
        <v>2694</v>
      </c>
      <c r="C11408" t="s">
        <v>927</v>
      </c>
      <c r="D11408" t="s">
        <v>3052</v>
      </c>
      <c r="E11408" t="s">
        <v>3053</v>
      </c>
      <c r="F11408" t="s">
        <v>287</v>
      </c>
      <c r="G11408" t="s">
        <v>3040</v>
      </c>
      <c r="H11408" t="s">
        <v>13471</v>
      </c>
      <c r="I11408">
        <v>1</v>
      </c>
      <c r="J11408">
        <v>0</v>
      </c>
      <c r="K11408">
        <v>0</v>
      </c>
      <c r="L11408">
        <v>0</v>
      </c>
      <c r="M11408">
        <v>0</v>
      </c>
      <c r="N11408">
        <v>0</v>
      </c>
      <c r="O11408">
        <v>1</v>
      </c>
    </row>
    <row r="11409" spans="1:15" x14ac:dyDescent="0.25">
      <c r="A11409" t="s">
        <v>1030</v>
      </c>
      <c r="B11409" t="s">
        <v>2880</v>
      </c>
      <c r="C11409" t="s">
        <v>927</v>
      </c>
      <c r="D11409" t="s">
        <v>3052</v>
      </c>
      <c r="E11409" t="s">
        <v>3053</v>
      </c>
      <c r="F11409" t="s">
        <v>287</v>
      </c>
      <c r="G11409" t="s">
        <v>3040</v>
      </c>
      <c r="H11409" t="s">
        <v>13476</v>
      </c>
      <c r="I11409">
        <v>20</v>
      </c>
      <c r="J11409">
        <v>0</v>
      </c>
      <c r="K11409">
        <v>0</v>
      </c>
      <c r="L11409">
        <v>0</v>
      </c>
      <c r="M11409">
        <v>0</v>
      </c>
      <c r="N11409">
        <v>0</v>
      </c>
      <c r="O11409">
        <v>20</v>
      </c>
    </row>
    <row r="11410" spans="1:15" x14ac:dyDescent="0.25">
      <c r="A11410" t="s">
        <v>945</v>
      </c>
      <c r="B11410" t="s">
        <v>2668</v>
      </c>
      <c r="C11410" t="s">
        <v>927</v>
      </c>
      <c r="D11410" t="s">
        <v>3052</v>
      </c>
      <c r="E11410" t="s">
        <v>3053</v>
      </c>
      <c r="F11410" t="s">
        <v>287</v>
      </c>
      <c r="G11410" t="s">
        <v>3040</v>
      </c>
      <c r="H11410" t="s">
        <v>13489</v>
      </c>
      <c r="I11410">
        <v>70</v>
      </c>
      <c r="J11410">
        <v>0</v>
      </c>
      <c r="K11410">
        <v>0</v>
      </c>
      <c r="L11410">
        <v>0</v>
      </c>
      <c r="M11410">
        <v>0</v>
      </c>
      <c r="N11410">
        <v>0</v>
      </c>
      <c r="O11410">
        <v>70</v>
      </c>
    </row>
    <row r="11411" spans="1:15" x14ac:dyDescent="0.25">
      <c r="A11411" t="s">
        <v>1746</v>
      </c>
      <c r="B11411" t="s">
        <v>2274</v>
      </c>
      <c r="C11411" t="s">
        <v>923</v>
      </c>
      <c r="D11411" t="s">
        <v>3063</v>
      </c>
      <c r="E11411" t="s">
        <v>3053</v>
      </c>
      <c r="F11411" t="s">
        <v>287</v>
      </c>
      <c r="G11411" t="s">
        <v>3040</v>
      </c>
      <c r="H11411" t="s">
        <v>13506</v>
      </c>
      <c r="I11411">
        <v>43</v>
      </c>
      <c r="J11411">
        <v>0</v>
      </c>
      <c r="K11411">
        <v>0</v>
      </c>
      <c r="L11411">
        <v>0</v>
      </c>
      <c r="M11411">
        <v>43</v>
      </c>
      <c r="N11411">
        <v>0</v>
      </c>
      <c r="O11411">
        <v>0</v>
      </c>
    </row>
    <row r="11412" spans="1:15" x14ac:dyDescent="0.25">
      <c r="A11412" t="s">
        <v>1747</v>
      </c>
      <c r="B11412" t="s">
        <v>2179</v>
      </c>
      <c r="C11412" t="s">
        <v>923</v>
      </c>
      <c r="D11412" t="s">
        <v>3063</v>
      </c>
      <c r="E11412" t="s">
        <v>3053</v>
      </c>
      <c r="F11412" t="s">
        <v>287</v>
      </c>
      <c r="G11412" t="s">
        <v>3040</v>
      </c>
      <c r="H11412" t="s">
        <v>13507</v>
      </c>
      <c r="I11412">
        <v>16</v>
      </c>
      <c r="J11412">
        <v>0</v>
      </c>
      <c r="K11412">
        <v>0</v>
      </c>
      <c r="L11412">
        <v>0</v>
      </c>
      <c r="M11412">
        <v>16</v>
      </c>
      <c r="N11412">
        <v>0</v>
      </c>
      <c r="O11412">
        <v>0</v>
      </c>
    </row>
    <row r="11413" spans="1:15" x14ac:dyDescent="0.25">
      <c r="A11413" t="s">
        <v>1302</v>
      </c>
      <c r="B11413" t="s">
        <v>1961</v>
      </c>
      <c r="C11413" t="s">
        <v>923</v>
      </c>
      <c r="D11413" t="s">
        <v>3063</v>
      </c>
      <c r="E11413" t="s">
        <v>3053</v>
      </c>
      <c r="F11413" t="s">
        <v>287</v>
      </c>
      <c r="G11413" t="s">
        <v>3040</v>
      </c>
      <c r="H11413" t="s">
        <v>13521</v>
      </c>
      <c r="I11413">
        <v>5</v>
      </c>
      <c r="J11413">
        <v>0</v>
      </c>
      <c r="K11413">
        <v>0</v>
      </c>
      <c r="L11413">
        <v>5</v>
      </c>
      <c r="M11413">
        <v>0</v>
      </c>
      <c r="N11413">
        <v>0</v>
      </c>
      <c r="O11413">
        <v>0</v>
      </c>
    </row>
    <row r="11414" spans="1:15" x14ac:dyDescent="0.25">
      <c r="A11414" t="s">
        <v>1748</v>
      </c>
      <c r="B11414" t="s">
        <v>3013</v>
      </c>
      <c r="C11414" t="s">
        <v>927</v>
      </c>
      <c r="D11414" t="s">
        <v>3052</v>
      </c>
      <c r="E11414" t="s">
        <v>3053</v>
      </c>
      <c r="F11414" t="s">
        <v>287</v>
      </c>
      <c r="G11414" t="s">
        <v>3040</v>
      </c>
      <c r="H11414" t="s">
        <v>13537</v>
      </c>
      <c r="I11414">
        <v>3342</v>
      </c>
      <c r="J11414">
        <v>2717</v>
      </c>
      <c r="K11414">
        <v>0</v>
      </c>
      <c r="L11414">
        <v>0</v>
      </c>
      <c r="M11414">
        <v>541</v>
      </c>
      <c r="N11414">
        <v>0</v>
      </c>
      <c r="O11414">
        <v>84</v>
      </c>
    </row>
    <row r="11415" spans="1:15" x14ac:dyDescent="0.25">
      <c r="A11415" t="s">
        <v>949</v>
      </c>
      <c r="B11415" t="s">
        <v>3035</v>
      </c>
      <c r="C11415" t="s">
        <v>927</v>
      </c>
      <c r="D11415" t="s">
        <v>3052</v>
      </c>
      <c r="E11415" t="s">
        <v>3053</v>
      </c>
      <c r="F11415" t="s">
        <v>287</v>
      </c>
      <c r="G11415" t="s">
        <v>3040</v>
      </c>
      <c r="H11415" t="s">
        <v>13556</v>
      </c>
      <c r="I11415">
        <v>6</v>
      </c>
      <c r="J11415">
        <v>0</v>
      </c>
      <c r="K11415">
        <v>0</v>
      </c>
      <c r="L11415">
        <v>0</v>
      </c>
      <c r="M11415">
        <v>0</v>
      </c>
      <c r="N11415">
        <v>0</v>
      </c>
      <c r="O11415">
        <v>6</v>
      </c>
    </row>
    <row r="11416" spans="1:15" x14ac:dyDescent="0.25">
      <c r="A11416" t="s">
        <v>1749</v>
      </c>
      <c r="B11416" t="s">
        <v>2878</v>
      </c>
      <c r="C11416" t="s">
        <v>927</v>
      </c>
      <c r="D11416" t="s">
        <v>3052</v>
      </c>
      <c r="E11416" t="s">
        <v>3053</v>
      </c>
      <c r="F11416" t="s">
        <v>287</v>
      </c>
      <c r="G11416" t="s">
        <v>3040</v>
      </c>
      <c r="H11416" t="s">
        <v>13560</v>
      </c>
      <c r="I11416">
        <v>7026</v>
      </c>
      <c r="J11416">
        <v>6654</v>
      </c>
      <c r="K11416">
        <v>0</v>
      </c>
      <c r="L11416">
        <v>86</v>
      </c>
      <c r="M11416">
        <v>0</v>
      </c>
      <c r="N11416">
        <v>48</v>
      </c>
      <c r="O11416">
        <v>286</v>
      </c>
    </row>
    <row r="11417" spans="1:15" x14ac:dyDescent="0.25">
      <c r="A11417" t="s">
        <v>1135</v>
      </c>
      <c r="B11417" t="s">
        <v>1996</v>
      </c>
      <c r="C11417" t="s">
        <v>923</v>
      </c>
      <c r="D11417" t="s">
        <v>3063</v>
      </c>
      <c r="E11417" t="s">
        <v>3053</v>
      </c>
      <c r="F11417" t="s">
        <v>287</v>
      </c>
      <c r="G11417" t="s">
        <v>3040</v>
      </c>
      <c r="H11417" t="s">
        <v>13564</v>
      </c>
      <c r="I11417">
        <v>195</v>
      </c>
      <c r="J11417">
        <v>195</v>
      </c>
      <c r="K11417">
        <v>0</v>
      </c>
      <c r="L11417">
        <v>0</v>
      </c>
      <c r="M11417">
        <v>0</v>
      </c>
      <c r="N11417">
        <v>0</v>
      </c>
      <c r="O11417">
        <v>0</v>
      </c>
    </row>
    <row r="11418" spans="1:15" x14ac:dyDescent="0.25">
      <c r="A11418" t="s">
        <v>1750</v>
      </c>
      <c r="B11418" t="s">
        <v>3012</v>
      </c>
      <c r="C11418" t="s">
        <v>927</v>
      </c>
      <c r="D11418" t="s">
        <v>3052</v>
      </c>
      <c r="E11418" t="s">
        <v>3053</v>
      </c>
      <c r="F11418" t="s">
        <v>287</v>
      </c>
      <c r="G11418" t="s">
        <v>3040</v>
      </c>
      <c r="H11418" t="s">
        <v>13567</v>
      </c>
      <c r="I11418">
        <v>4314</v>
      </c>
      <c r="J11418">
        <v>3596</v>
      </c>
      <c r="K11418">
        <v>0</v>
      </c>
      <c r="L11418">
        <v>14</v>
      </c>
      <c r="M11418">
        <v>631</v>
      </c>
      <c r="N11418">
        <v>0</v>
      </c>
      <c r="O11418">
        <v>73</v>
      </c>
    </row>
    <row r="11419" spans="1:15" x14ac:dyDescent="0.25">
      <c r="A11419" t="s">
        <v>1751</v>
      </c>
      <c r="B11419" t="s">
        <v>2168</v>
      </c>
      <c r="C11419" t="s">
        <v>923</v>
      </c>
      <c r="D11419" t="s">
        <v>3063</v>
      </c>
      <c r="E11419" t="s">
        <v>3053</v>
      </c>
      <c r="F11419" t="s">
        <v>287</v>
      </c>
      <c r="G11419" t="s">
        <v>3040</v>
      </c>
      <c r="H11419" t="s">
        <v>13573</v>
      </c>
      <c r="I11419">
        <v>4</v>
      </c>
      <c r="J11419">
        <v>4</v>
      </c>
      <c r="K11419">
        <v>0</v>
      </c>
      <c r="L11419">
        <v>0</v>
      </c>
      <c r="M11419">
        <v>0</v>
      </c>
      <c r="N11419">
        <v>0</v>
      </c>
      <c r="O11419">
        <v>0</v>
      </c>
    </row>
    <row r="11420" spans="1:15" x14ac:dyDescent="0.25">
      <c r="A11420" t="s">
        <v>1752</v>
      </c>
      <c r="B11420" t="s">
        <v>2146</v>
      </c>
      <c r="C11420" t="s">
        <v>923</v>
      </c>
      <c r="D11420" t="s">
        <v>3063</v>
      </c>
      <c r="E11420" t="s">
        <v>3053</v>
      </c>
      <c r="F11420" t="s">
        <v>287</v>
      </c>
      <c r="G11420" t="s">
        <v>3040</v>
      </c>
      <c r="H11420" t="s">
        <v>13600</v>
      </c>
      <c r="I11420">
        <v>117</v>
      </c>
      <c r="J11420">
        <v>5</v>
      </c>
      <c r="K11420">
        <v>0</v>
      </c>
      <c r="L11420">
        <v>0</v>
      </c>
      <c r="M11420">
        <v>112</v>
      </c>
      <c r="N11420">
        <v>0</v>
      </c>
      <c r="O11420">
        <v>0</v>
      </c>
    </row>
    <row r="11421" spans="1:15" x14ac:dyDescent="0.25">
      <c r="A11421" t="s">
        <v>1042</v>
      </c>
      <c r="B11421" t="s">
        <v>2115</v>
      </c>
      <c r="C11421" t="s">
        <v>923</v>
      </c>
      <c r="D11421" t="s">
        <v>3063</v>
      </c>
      <c r="E11421" t="s">
        <v>3053</v>
      </c>
      <c r="F11421" t="s">
        <v>287</v>
      </c>
      <c r="G11421" t="s">
        <v>3040</v>
      </c>
      <c r="H11421" t="s">
        <v>13613</v>
      </c>
      <c r="I11421">
        <v>10</v>
      </c>
      <c r="J11421">
        <v>0</v>
      </c>
      <c r="K11421">
        <v>0</v>
      </c>
      <c r="L11421">
        <v>10</v>
      </c>
      <c r="M11421">
        <v>0</v>
      </c>
      <c r="N11421">
        <v>0</v>
      </c>
      <c r="O11421">
        <v>0</v>
      </c>
    </row>
    <row r="11422" spans="1:15" x14ac:dyDescent="0.25">
      <c r="A11422" t="s">
        <v>1044</v>
      </c>
      <c r="B11422" t="s">
        <v>2000</v>
      </c>
      <c r="C11422" t="s">
        <v>923</v>
      </c>
      <c r="D11422" t="s">
        <v>3063</v>
      </c>
      <c r="E11422" t="s">
        <v>3053</v>
      </c>
      <c r="F11422" t="s">
        <v>287</v>
      </c>
      <c r="G11422" t="s">
        <v>3040</v>
      </c>
      <c r="H11422" t="s">
        <v>13633</v>
      </c>
      <c r="I11422">
        <v>35</v>
      </c>
      <c r="J11422">
        <v>0</v>
      </c>
      <c r="K11422">
        <v>0</v>
      </c>
      <c r="L11422">
        <v>35</v>
      </c>
      <c r="M11422">
        <v>0</v>
      </c>
      <c r="N11422">
        <v>0</v>
      </c>
      <c r="O11422">
        <v>0</v>
      </c>
    </row>
    <row r="11423" spans="1:15" x14ac:dyDescent="0.25">
      <c r="A11423" t="s">
        <v>951</v>
      </c>
      <c r="B11423" t="s">
        <v>2680</v>
      </c>
      <c r="C11423" t="s">
        <v>927</v>
      </c>
      <c r="D11423" t="s">
        <v>3052</v>
      </c>
      <c r="E11423" t="s">
        <v>3053</v>
      </c>
      <c r="F11423" t="s">
        <v>287</v>
      </c>
      <c r="G11423" t="s">
        <v>3040</v>
      </c>
      <c r="H11423" t="s">
        <v>13689</v>
      </c>
      <c r="I11423">
        <v>934</v>
      </c>
      <c r="J11423">
        <v>620</v>
      </c>
      <c r="K11423">
        <v>0</v>
      </c>
      <c r="L11423">
        <v>10</v>
      </c>
      <c r="M11423">
        <v>28</v>
      </c>
      <c r="N11423">
        <v>2</v>
      </c>
      <c r="O11423">
        <v>276</v>
      </c>
    </row>
    <row r="11424" spans="1:15" x14ac:dyDescent="0.25">
      <c r="A11424" t="s">
        <v>1048</v>
      </c>
      <c r="B11424" t="s">
        <v>2989</v>
      </c>
      <c r="C11424" t="s">
        <v>927</v>
      </c>
      <c r="D11424" t="s">
        <v>3052</v>
      </c>
      <c r="E11424" t="s">
        <v>3053</v>
      </c>
      <c r="F11424" t="s">
        <v>287</v>
      </c>
      <c r="G11424" t="s">
        <v>3040</v>
      </c>
      <c r="H11424" t="s">
        <v>13698</v>
      </c>
      <c r="I11424">
        <v>2278</v>
      </c>
      <c r="J11424">
        <v>1722</v>
      </c>
      <c r="K11424">
        <v>0</v>
      </c>
      <c r="L11424">
        <v>464</v>
      </c>
      <c r="M11424">
        <v>46</v>
      </c>
      <c r="N11424">
        <v>11</v>
      </c>
      <c r="O11424">
        <v>46</v>
      </c>
    </row>
    <row r="11425" spans="1:15" x14ac:dyDescent="0.25">
      <c r="A11425" t="s">
        <v>1049</v>
      </c>
      <c r="B11425" t="s">
        <v>2138</v>
      </c>
      <c r="C11425" t="s">
        <v>927</v>
      </c>
      <c r="D11425" t="s">
        <v>3052</v>
      </c>
      <c r="E11425" t="s">
        <v>3053</v>
      </c>
      <c r="F11425" t="s">
        <v>287</v>
      </c>
      <c r="G11425" t="s">
        <v>3040</v>
      </c>
      <c r="H11425" t="s">
        <v>13706</v>
      </c>
      <c r="I11425">
        <v>408</v>
      </c>
      <c r="J11425">
        <v>243</v>
      </c>
      <c r="K11425">
        <v>0</v>
      </c>
      <c r="L11425">
        <v>0</v>
      </c>
      <c r="M11425">
        <v>0</v>
      </c>
      <c r="N11425">
        <v>0</v>
      </c>
      <c r="O11425">
        <v>165</v>
      </c>
    </row>
    <row r="11426" spans="1:15" x14ac:dyDescent="0.25">
      <c r="A11426" t="s">
        <v>1753</v>
      </c>
      <c r="B11426" t="s">
        <v>2346</v>
      </c>
      <c r="C11426" t="s">
        <v>923</v>
      </c>
      <c r="D11426" t="s">
        <v>3063</v>
      </c>
      <c r="E11426" t="s">
        <v>3053</v>
      </c>
      <c r="F11426" t="s">
        <v>287</v>
      </c>
      <c r="G11426" t="s">
        <v>3040</v>
      </c>
      <c r="H11426" t="s">
        <v>13714</v>
      </c>
      <c r="I11426">
        <v>73</v>
      </c>
      <c r="J11426">
        <v>0</v>
      </c>
      <c r="K11426">
        <v>0</v>
      </c>
      <c r="L11426">
        <v>0</v>
      </c>
      <c r="M11426">
        <v>73</v>
      </c>
      <c r="N11426">
        <v>0</v>
      </c>
      <c r="O11426">
        <v>0</v>
      </c>
    </row>
    <row r="11427" spans="1:15" x14ac:dyDescent="0.25">
      <c r="A11427" t="s">
        <v>1754</v>
      </c>
      <c r="B11427" t="s">
        <v>2902</v>
      </c>
      <c r="C11427" t="s">
        <v>927</v>
      </c>
      <c r="D11427" t="s">
        <v>3052</v>
      </c>
      <c r="E11427" t="s">
        <v>3053</v>
      </c>
      <c r="F11427" t="s">
        <v>287</v>
      </c>
      <c r="G11427" t="s">
        <v>3040</v>
      </c>
      <c r="H11427" t="s">
        <v>13715</v>
      </c>
      <c r="I11427">
        <v>14663</v>
      </c>
      <c r="J11427">
        <v>12473</v>
      </c>
      <c r="K11427">
        <v>0</v>
      </c>
      <c r="L11427">
        <v>1781</v>
      </c>
      <c r="M11427">
        <v>0</v>
      </c>
      <c r="N11427">
        <v>291</v>
      </c>
      <c r="O11427">
        <v>409</v>
      </c>
    </row>
    <row r="11428" spans="1:15" x14ac:dyDescent="0.25">
      <c r="A11428" t="s">
        <v>1755</v>
      </c>
      <c r="B11428" t="s">
        <v>2781</v>
      </c>
      <c r="C11428" t="s">
        <v>923</v>
      </c>
      <c r="D11428" t="s">
        <v>3063</v>
      </c>
      <c r="E11428" t="s">
        <v>3053</v>
      </c>
      <c r="F11428" t="s">
        <v>287</v>
      </c>
      <c r="G11428" t="s">
        <v>3040</v>
      </c>
      <c r="H11428" t="s">
        <v>13716</v>
      </c>
      <c r="I11428">
        <v>12</v>
      </c>
      <c r="J11428">
        <v>12</v>
      </c>
      <c r="K11428">
        <v>0</v>
      </c>
      <c r="L11428">
        <v>0</v>
      </c>
      <c r="M11428">
        <v>0</v>
      </c>
      <c r="N11428">
        <v>0</v>
      </c>
      <c r="O11428">
        <v>0</v>
      </c>
    </row>
    <row r="11429" spans="1:15" x14ac:dyDescent="0.25">
      <c r="A11429" t="s">
        <v>1051</v>
      </c>
      <c r="B11429" t="s">
        <v>2995</v>
      </c>
      <c r="C11429" t="s">
        <v>927</v>
      </c>
      <c r="D11429" t="s">
        <v>3052</v>
      </c>
      <c r="E11429" t="s">
        <v>3053</v>
      </c>
      <c r="F11429" t="s">
        <v>287</v>
      </c>
      <c r="G11429" t="s">
        <v>3040</v>
      </c>
      <c r="H11429" t="s">
        <v>13733</v>
      </c>
      <c r="I11429">
        <v>90</v>
      </c>
      <c r="J11429">
        <v>0</v>
      </c>
      <c r="K11429">
        <v>0</v>
      </c>
      <c r="L11429">
        <v>87</v>
      </c>
      <c r="M11429">
        <v>0</v>
      </c>
      <c r="N11429">
        <v>0</v>
      </c>
      <c r="O11429">
        <v>3</v>
      </c>
    </row>
    <row r="11430" spans="1:15" x14ac:dyDescent="0.25">
      <c r="A11430" t="s">
        <v>1756</v>
      </c>
      <c r="B11430" t="s">
        <v>2552</v>
      </c>
      <c r="C11430" t="s">
        <v>923</v>
      </c>
      <c r="D11430" t="s">
        <v>3063</v>
      </c>
      <c r="E11430" t="s">
        <v>3053</v>
      </c>
      <c r="F11430" t="s">
        <v>287</v>
      </c>
      <c r="G11430" t="s">
        <v>3040</v>
      </c>
      <c r="H11430" t="s">
        <v>13753</v>
      </c>
      <c r="I11430">
        <v>37</v>
      </c>
      <c r="J11430">
        <v>0</v>
      </c>
      <c r="K11430">
        <v>0</v>
      </c>
      <c r="L11430">
        <v>21</v>
      </c>
      <c r="M11430">
        <v>16</v>
      </c>
      <c r="N11430">
        <v>0</v>
      </c>
      <c r="O11430">
        <v>0</v>
      </c>
    </row>
    <row r="11431" spans="1:15" x14ac:dyDescent="0.25">
      <c r="A11431" t="s">
        <v>953</v>
      </c>
      <c r="B11431" t="s">
        <v>2014</v>
      </c>
      <c r="C11431" t="s">
        <v>927</v>
      </c>
      <c r="D11431" t="s">
        <v>3052</v>
      </c>
      <c r="E11431" t="s">
        <v>3053</v>
      </c>
      <c r="F11431" t="s">
        <v>287</v>
      </c>
      <c r="G11431" t="s">
        <v>3040</v>
      </c>
      <c r="H11431" t="s">
        <v>13767</v>
      </c>
      <c r="I11431">
        <v>32</v>
      </c>
      <c r="J11431">
        <v>0</v>
      </c>
      <c r="K11431">
        <v>0</v>
      </c>
      <c r="L11431">
        <v>32</v>
      </c>
      <c r="M11431">
        <v>0</v>
      </c>
      <c r="N11431">
        <v>0</v>
      </c>
      <c r="O11431">
        <v>0</v>
      </c>
    </row>
    <row r="11432" spans="1:15" x14ac:dyDescent="0.25">
      <c r="A11432" t="s">
        <v>1757</v>
      </c>
      <c r="B11432" t="s">
        <v>2107</v>
      </c>
      <c r="C11432" t="s">
        <v>923</v>
      </c>
      <c r="D11432" t="s">
        <v>3063</v>
      </c>
      <c r="E11432" t="s">
        <v>3053</v>
      </c>
      <c r="F11432" t="s">
        <v>287</v>
      </c>
      <c r="G11432" t="s">
        <v>3040</v>
      </c>
      <c r="H11432" t="s">
        <v>13780</v>
      </c>
      <c r="I11432">
        <v>4</v>
      </c>
      <c r="J11432">
        <v>4</v>
      </c>
      <c r="K11432">
        <v>0</v>
      </c>
      <c r="L11432">
        <v>0</v>
      </c>
      <c r="M11432">
        <v>0</v>
      </c>
      <c r="N11432">
        <v>0</v>
      </c>
      <c r="O11432">
        <v>0</v>
      </c>
    </row>
    <row r="11433" spans="1:15" x14ac:dyDescent="0.25">
      <c r="A11433" t="s">
        <v>1758</v>
      </c>
      <c r="B11433" t="s">
        <v>2997</v>
      </c>
      <c r="C11433" t="s">
        <v>927</v>
      </c>
      <c r="D11433" t="s">
        <v>3052</v>
      </c>
      <c r="E11433" t="s">
        <v>3053</v>
      </c>
      <c r="F11433" t="s">
        <v>287</v>
      </c>
      <c r="G11433" t="s">
        <v>3040</v>
      </c>
      <c r="H11433" t="s">
        <v>13784</v>
      </c>
      <c r="I11433">
        <v>1288</v>
      </c>
      <c r="J11433">
        <v>863</v>
      </c>
      <c r="K11433">
        <v>65</v>
      </c>
      <c r="L11433">
        <v>93</v>
      </c>
      <c r="M11433">
        <v>124</v>
      </c>
      <c r="N11433">
        <v>11</v>
      </c>
      <c r="O11433">
        <v>143</v>
      </c>
    </row>
    <row r="11434" spans="1:15" x14ac:dyDescent="0.25">
      <c r="A11434" t="s">
        <v>11720</v>
      </c>
      <c r="B11434" t="s">
        <v>10718</v>
      </c>
      <c r="C11434" t="s">
        <v>927</v>
      </c>
      <c r="D11434" t="s">
        <v>3052</v>
      </c>
      <c r="E11434" t="s">
        <v>3053</v>
      </c>
      <c r="F11434" t="s">
        <v>287</v>
      </c>
      <c r="G11434" t="s">
        <v>3040</v>
      </c>
      <c r="H11434" t="s">
        <v>15587</v>
      </c>
      <c r="I11434">
        <v>245</v>
      </c>
      <c r="J11434">
        <v>62</v>
      </c>
      <c r="K11434">
        <v>0</v>
      </c>
      <c r="L11434">
        <v>0</v>
      </c>
      <c r="M11434">
        <v>0</v>
      </c>
      <c r="N11434">
        <v>0</v>
      </c>
      <c r="O11434">
        <v>183</v>
      </c>
    </row>
    <row r="11435" spans="1:15" x14ac:dyDescent="0.25">
      <c r="A11435" t="s">
        <v>9788</v>
      </c>
      <c r="B11435" t="s">
        <v>9871</v>
      </c>
      <c r="C11435" t="s">
        <v>927</v>
      </c>
      <c r="D11435" t="s">
        <v>3052</v>
      </c>
      <c r="E11435" t="s">
        <v>3053</v>
      </c>
      <c r="F11435" t="s">
        <v>287</v>
      </c>
      <c r="G11435" t="s">
        <v>3040</v>
      </c>
      <c r="H11435" t="s">
        <v>13801</v>
      </c>
      <c r="I11435">
        <v>188</v>
      </c>
      <c r="J11435">
        <v>188</v>
      </c>
      <c r="K11435">
        <v>0</v>
      </c>
      <c r="L11435">
        <v>0</v>
      </c>
      <c r="M11435">
        <v>0</v>
      </c>
      <c r="N11435">
        <v>0</v>
      </c>
      <c r="O11435">
        <v>0</v>
      </c>
    </row>
    <row r="11436" spans="1:15" x14ac:dyDescent="0.25">
      <c r="A11436" t="s">
        <v>1759</v>
      </c>
      <c r="B11436" t="s">
        <v>2151</v>
      </c>
      <c r="C11436" t="s">
        <v>923</v>
      </c>
      <c r="D11436" t="s">
        <v>3063</v>
      </c>
      <c r="E11436" t="s">
        <v>3053</v>
      </c>
      <c r="F11436" t="s">
        <v>287</v>
      </c>
      <c r="G11436" t="s">
        <v>3040</v>
      </c>
      <c r="H11436" t="s">
        <v>13804</v>
      </c>
      <c r="I11436">
        <v>227</v>
      </c>
      <c r="J11436">
        <v>36</v>
      </c>
      <c r="K11436">
        <v>0</v>
      </c>
      <c r="L11436">
        <v>0</v>
      </c>
      <c r="M11436">
        <v>191</v>
      </c>
      <c r="N11436">
        <v>0</v>
      </c>
      <c r="O11436">
        <v>0</v>
      </c>
    </row>
    <row r="11437" spans="1:15" x14ac:dyDescent="0.25">
      <c r="A11437" t="s">
        <v>1056</v>
      </c>
      <c r="B11437" t="s">
        <v>2966</v>
      </c>
      <c r="C11437" t="s">
        <v>927</v>
      </c>
      <c r="D11437" t="s">
        <v>3052</v>
      </c>
      <c r="E11437" t="s">
        <v>3053</v>
      </c>
      <c r="F11437" t="s">
        <v>287</v>
      </c>
      <c r="G11437" t="s">
        <v>3040</v>
      </c>
      <c r="H11437" t="s">
        <v>13812</v>
      </c>
      <c r="I11437">
        <v>460</v>
      </c>
      <c r="J11437">
        <v>241</v>
      </c>
      <c r="K11437">
        <v>11</v>
      </c>
      <c r="L11437">
        <v>208</v>
      </c>
      <c r="M11437">
        <v>0</v>
      </c>
      <c r="N11437">
        <v>48</v>
      </c>
      <c r="O11437">
        <v>0</v>
      </c>
    </row>
    <row r="11438" spans="1:15" x14ac:dyDescent="0.25">
      <c r="A11438" t="s">
        <v>1057</v>
      </c>
      <c r="B11438" t="s">
        <v>1972</v>
      </c>
      <c r="C11438" t="s">
        <v>927</v>
      </c>
      <c r="D11438" t="s">
        <v>3052</v>
      </c>
      <c r="E11438" t="s">
        <v>3053</v>
      </c>
      <c r="F11438" t="s">
        <v>287</v>
      </c>
      <c r="G11438" t="s">
        <v>3040</v>
      </c>
      <c r="H11438" t="s">
        <v>13822</v>
      </c>
      <c r="I11438">
        <v>1211</v>
      </c>
      <c r="J11438">
        <v>858</v>
      </c>
      <c r="K11438">
        <v>0</v>
      </c>
      <c r="L11438">
        <v>3</v>
      </c>
      <c r="M11438">
        <v>78</v>
      </c>
      <c r="N11438">
        <v>0</v>
      </c>
      <c r="O11438">
        <v>272</v>
      </c>
    </row>
    <row r="11439" spans="1:15" x14ac:dyDescent="0.25">
      <c r="A11439" t="s">
        <v>955</v>
      </c>
      <c r="B11439" t="s">
        <v>2660</v>
      </c>
      <c r="C11439" t="s">
        <v>927</v>
      </c>
      <c r="D11439" t="s">
        <v>3052</v>
      </c>
      <c r="E11439" t="s">
        <v>3053</v>
      </c>
      <c r="F11439" t="s">
        <v>287</v>
      </c>
      <c r="G11439" t="s">
        <v>3040</v>
      </c>
      <c r="H11439" t="s">
        <v>13831</v>
      </c>
      <c r="I11439">
        <v>9299</v>
      </c>
      <c r="J11439">
        <v>7161</v>
      </c>
      <c r="K11439">
        <v>0</v>
      </c>
      <c r="L11439">
        <v>395</v>
      </c>
      <c r="M11439">
        <v>1475</v>
      </c>
      <c r="N11439">
        <v>49</v>
      </c>
      <c r="O11439">
        <v>268</v>
      </c>
    </row>
    <row r="11440" spans="1:15" x14ac:dyDescent="0.25">
      <c r="A11440" t="s">
        <v>957</v>
      </c>
      <c r="B11440" t="s">
        <v>2925</v>
      </c>
      <c r="C11440" t="s">
        <v>923</v>
      </c>
      <c r="D11440" t="s">
        <v>3063</v>
      </c>
      <c r="E11440" t="s">
        <v>3053</v>
      </c>
      <c r="F11440" t="s">
        <v>287</v>
      </c>
      <c r="G11440" t="s">
        <v>3040</v>
      </c>
      <c r="H11440" t="s">
        <v>13835</v>
      </c>
      <c r="I11440">
        <v>381</v>
      </c>
      <c r="J11440">
        <v>349</v>
      </c>
      <c r="K11440">
        <v>0</v>
      </c>
      <c r="L11440">
        <v>0</v>
      </c>
      <c r="M11440">
        <v>32</v>
      </c>
      <c r="N11440">
        <v>0</v>
      </c>
      <c r="O11440">
        <v>0</v>
      </c>
    </row>
    <row r="11441" spans="1:15" x14ac:dyDescent="0.25">
      <c r="A11441" t="s">
        <v>1760</v>
      </c>
      <c r="B11441" t="s">
        <v>3000</v>
      </c>
      <c r="C11441" t="s">
        <v>927</v>
      </c>
      <c r="D11441" t="s">
        <v>3052</v>
      </c>
      <c r="E11441" t="s">
        <v>3053</v>
      </c>
      <c r="F11441" t="s">
        <v>287</v>
      </c>
      <c r="G11441" t="s">
        <v>3040</v>
      </c>
      <c r="H11441" t="s">
        <v>13841</v>
      </c>
      <c r="I11441">
        <v>7058</v>
      </c>
      <c r="J11441">
        <v>5125</v>
      </c>
      <c r="K11441">
        <v>0</v>
      </c>
      <c r="L11441">
        <v>86</v>
      </c>
      <c r="M11441">
        <v>1414</v>
      </c>
      <c r="N11441">
        <v>106</v>
      </c>
      <c r="O11441">
        <v>433</v>
      </c>
    </row>
    <row r="11442" spans="1:15" x14ac:dyDescent="0.25">
      <c r="A11442" t="s">
        <v>1761</v>
      </c>
      <c r="B11442" t="s">
        <v>2996</v>
      </c>
      <c r="C11442" t="s">
        <v>923</v>
      </c>
      <c r="D11442" t="s">
        <v>3063</v>
      </c>
      <c r="E11442" t="s">
        <v>3053</v>
      </c>
      <c r="F11442" t="s">
        <v>287</v>
      </c>
      <c r="G11442" t="s">
        <v>3040</v>
      </c>
      <c r="H11442" t="s">
        <v>13851</v>
      </c>
      <c r="I11442">
        <v>774</v>
      </c>
      <c r="J11442">
        <v>774</v>
      </c>
      <c r="K11442">
        <v>0</v>
      </c>
      <c r="L11442">
        <v>0</v>
      </c>
      <c r="M11442">
        <v>0</v>
      </c>
      <c r="N11442">
        <v>0</v>
      </c>
      <c r="O11442">
        <v>0</v>
      </c>
    </row>
    <row r="11443" spans="1:15" x14ac:dyDescent="0.25">
      <c r="A11443" t="s">
        <v>1155</v>
      </c>
      <c r="B11443" t="s">
        <v>2912</v>
      </c>
      <c r="C11443" t="s">
        <v>927</v>
      </c>
      <c r="D11443" t="s">
        <v>3052</v>
      </c>
      <c r="E11443" t="s">
        <v>3053</v>
      </c>
      <c r="F11443" t="s">
        <v>287</v>
      </c>
      <c r="G11443" t="s">
        <v>3040</v>
      </c>
      <c r="H11443" t="s">
        <v>13856</v>
      </c>
      <c r="I11443">
        <v>2</v>
      </c>
      <c r="J11443">
        <v>0</v>
      </c>
      <c r="K11443">
        <v>0</v>
      </c>
      <c r="L11443">
        <v>0</v>
      </c>
      <c r="M11443">
        <v>0</v>
      </c>
      <c r="N11443">
        <v>0</v>
      </c>
      <c r="O11443">
        <v>2</v>
      </c>
    </row>
    <row r="11444" spans="1:15" x14ac:dyDescent="0.25">
      <c r="A11444" t="s">
        <v>1762</v>
      </c>
      <c r="B11444" t="s">
        <v>10729</v>
      </c>
      <c r="C11444" t="s">
        <v>923</v>
      </c>
      <c r="D11444" t="s">
        <v>3063</v>
      </c>
      <c r="E11444" t="s">
        <v>3053</v>
      </c>
      <c r="F11444" t="s">
        <v>287</v>
      </c>
      <c r="G11444" t="s">
        <v>3040</v>
      </c>
      <c r="H11444" t="s">
        <v>13857</v>
      </c>
      <c r="I11444">
        <v>12</v>
      </c>
      <c r="J11444">
        <v>0</v>
      </c>
      <c r="K11444">
        <v>0</v>
      </c>
      <c r="L11444">
        <v>0</v>
      </c>
      <c r="M11444">
        <v>12</v>
      </c>
      <c r="N11444">
        <v>0</v>
      </c>
      <c r="O11444">
        <v>0</v>
      </c>
    </row>
    <row r="11445" spans="1:15" x14ac:dyDescent="0.25">
      <c r="A11445" t="s">
        <v>1763</v>
      </c>
      <c r="B11445" t="s">
        <v>2535</v>
      </c>
      <c r="C11445" t="s">
        <v>923</v>
      </c>
      <c r="D11445" t="s">
        <v>3063</v>
      </c>
      <c r="E11445" t="s">
        <v>3053</v>
      </c>
      <c r="F11445" t="s">
        <v>287</v>
      </c>
      <c r="G11445" t="s">
        <v>3040</v>
      </c>
      <c r="H11445" t="s">
        <v>13866</v>
      </c>
      <c r="I11445">
        <v>26</v>
      </c>
      <c r="J11445">
        <v>0</v>
      </c>
      <c r="K11445">
        <v>0</v>
      </c>
      <c r="L11445">
        <v>0</v>
      </c>
      <c r="M11445">
        <v>26</v>
      </c>
      <c r="N11445">
        <v>0</v>
      </c>
      <c r="O11445">
        <v>0</v>
      </c>
    </row>
    <row r="11446" spans="1:15" x14ac:dyDescent="0.25">
      <c r="A11446" t="s">
        <v>14401</v>
      </c>
      <c r="B11446" t="s">
        <v>2539</v>
      </c>
      <c r="C11446" t="s">
        <v>923</v>
      </c>
      <c r="D11446" t="s">
        <v>3063</v>
      </c>
      <c r="E11446" t="s">
        <v>3053</v>
      </c>
      <c r="F11446" t="s">
        <v>287</v>
      </c>
      <c r="G11446" t="s">
        <v>3040</v>
      </c>
      <c r="H11446" t="s">
        <v>15588</v>
      </c>
      <c r="I11446">
        <v>32</v>
      </c>
      <c r="J11446">
        <v>0</v>
      </c>
      <c r="K11446">
        <v>0</v>
      </c>
      <c r="L11446">
        <v>0</v>
      </c>
      <c r="M11446">
        <v>32</v>
      </c>
      <c r="N11446">
        <v>0</v>
      </c>
      <c r="O11446">
        <v>0</v>
      </c>
    </row>
    <row r="11447" spans="1:15" x14ac:dyDescent="0.25">
      <c r="A11447" t="s">
        <v>1660</v>
      </c>
      <c r="B11447" t="s">
        <v>2827</v>
      </c>
      <c r="C11447" t="s">
        <v>927</v>
      </c>
      <c r="D11447" t="s">
        <v>3052</v>
      </c>
      <c r="E11447" t="s">
        <v>3053</v>
      </c>
      <c r="F11447" t="s">
        <v>287</v>
      </c>
      <c r="G11447" t="s">
        <v>3040</v>
      </c>
      <c r="H11447" t="s">
        <v>13879</v>
      </c>
      <c r="I11447">
        <v>233</v>
      </c>
      <c r="J11447">
        <v>195</v>
      </c>
      <c r="K11447">
        <v>0</v>
      </c>
      <c r="L11447">
        <v>0</v>
      </c>
      <c r="M11447">
        <v>0</v>
      </c>
      <c r="N11447">
        <v>0</v>
      </c>
      <c r="O11447">
        <v>38</v>
      </c>
    </row>
    <row r="11448" spans="1:15" x14ac:dyDescent="0.25">
      <c r="A11448" t="s">
        <v>1764</v>
      </c>
      <c r="B11448" t="s">
        <v>2414</v>
      </c>
      <c r="C11448" t="s">
        <v>923</v>
      </c>
      <c r="D11448" t="s">
        <v>3063</v>
      </c>
      <c r="E11448" t="s">
        <v>3053</v>
      </c>
      <c r="F11448" t="s">
        <v>287</v>
      </c>
      <c r="G11448" t="s">
        <v>3040</v>
      </c>
      <c r="H11448" t="s">
        <v>13883</v>
      </c>
      <c r="I11448">
        <v>17</v>
      </c>
      <c r="J11448">
        <v>13</v>
      </c>
      <c r="K11448">
        <v>4</v>
      </c>
      <c r="L11448">
        <v>0</v>
      </c>
      <c r="M11448">
        <v>0</v>
      </c>
      <c r="N11448">
        <v>0</v>
      </c>
      <c r="O11448">
        <v>0</v>
      </c>
    </row>
    <row r="11449" spans="1:15" x14ac:dyDescent="0.25">
      <c r="A11449" t="s">
        <v>1765</v>
      </c>
      <c r="B11449" t="s">
        <v>2940</v>
      </c>
      <c r="C11449" t="s">
        <v>923</v>
      </c>
      <c r="D11449" t="s">
        <v>3063</v>
      </c>
      <c r="E11449" t="s">
        <v>3053</v>
      </c>
      <c r="F11449" t="s">
        <v>287</v>
      </c>
      <c r="G11449" t="s">
        <v>3040</v>
      </c>
      <c r="H11449" t="s">
        <v>13886</v>
      </c>
      <c r="I11449">
        <v>302</v>
      </c>
      <c r="J11449">
        <v>279</v>
      </c>
      <c r="K11449">
        <v>0</v>
      </c>
      <c r="L11449">
        <v>23</v>
      </c>
      <c r="M11449">
        <v>0</v>
      </c>
      <c r="N11449">
        <v>0</v>
      </c>
      <c r="O11449">
        <v>0</v>
      </c>
    </row>
    <row r="11450" spans="1:15" x14ac:dyDescent="0.25">
      <c r="A11450" t="s">
        <v>11663</v>
      </c>
      <c r="B11450" t="s">
        <v>11768</v>
      </c>
      <c r="C11450" t="s">
        <v>927</v>
      </c>
      <c r="D11450" t="s">
        <v>3052</v>
      </c>
      <c r="E11450" t="s">
        <v>3053</v>
      </c>
      <c r="F11450" t="s">
        <v>287</v>
      </c>
      <c r="G11450" t="s">
        <v>3040</v>
      </c>
      <c r="H11450" t="s">
        <v>13902</v>
      </c>
      <c r="I11450">
        <v>3</v>
      </c>
      <c r="J11450">
        <v>0</v>
      </c>
      <c r="K11450">
        <v>0</v>
      </c>
      <c r="L11450">
        <v>0</v>
      </c>
      <c r="M11450">
        <v>0</v>
      </c>
      <c r="N11450">
        <v>0</v>
      </c>
      <c r="O11450">
        <v>3</v>
      </c>
    </row>
    <row r="11451" spans="1:15" x14ac:dyDescent="0.25">
      <c r="A11451" t="s">
        <v>960</v>
      </c>
      <c r="B11451" t="s">
        <v>2080</v>
      </c>
      <c r="C11451" t="s">
        <v>927</v>
      </c>
      <c r="D11451" t="s">
        <v>3052</v>
      </c>
      <c r="E11451" t="s">
        <v>3053</v>
      </c>
      <c r="F11451" t="s">
        <v>287</v>
      </c>
      <c r="G11451" t="s">
        <v>3040</v>
      </c>
      <c r="H11451" t="s">
        <v>13911</v>
      </c>
      <c r="I11451">
        <v>25156</v>
      </c>
      <c r="J11451">
        <v>19450</v>
      </c>
      <c r="K11451">
        <v>1</v>
      </c>
      <c r="L11451">
        <v>484</v>
      </c>
      <c r="M11451">
        <v>658</v>
      </c>
      <c r="N11451">
        <v>38</v>
      </c>
      <c r="O11451">
        <v>4563</v>
      </c>
    </row>
    <row r="11452" spans="1:15" x14ac:dyDescent="0.25">
      <c r="A11452" t="s">
        <v>1766</v>
      </c>
      <c r="B11452" t="s">
        <v>2816</v>
      </c>
      <c r="C11452" t="s">
        <v>923</v>
      </c>
      <c r="D11452" t="s">
        <v>3063</v>
      </c>
      <c r="E11452" t="s">
        <v>3053</v>
      </c>
      <c r="F11452" t="s">
        <v>287</v>
      </c>
      <c r="G11452" t="s">
        <v>3040</v>
      </c>
      <c r="H11452" t="s">
        <v>13912</v>
      </c>
      <c r="I11452">
        <v>3</v>
      </c>
      <c r="J11452">
        <v>3</v>
      </c>
      <c r="K11452">
        <v>0</v>
      </c>
      <c r="L11452">
        <v>0</v>
      </c>
      <c r="M11452">
        <v>0</v>
      </c>
      <c r="N11452">
        <v>0</v>
      </c>
      <c r="O11452">
        <v>0</v>
      </c>
    </row>
    <row r="11453" spans="1:15" x14ac:dyDescent="0.25">
      <c r="A11453" t="s">
        <v>14374</v>
      </c>
      <c r="B11453" t="s">
        <v>1943</v>
      </c>
      <c r="C11453" t="s">
        <v>927</v>
      </c>
      <c r="D11453" t="s">
        <v>3052</v>
      </c>
      <c r="E11453" t="s">
        <v>3053</v>
      </c>
      <c r="F11453" t="s">
        <v>287</v>
      </c>
      <c r="G11453" t="s">
        <v>3040</v>
      </c>
      <c r="H11453" t="s">
        <v>15589</v>
      </c>
      <c r="I11453">
        <v>160</v>
      </c>
      <c r="J11453">
        <v>0</v>
      </c>
      <c r="K11453">
        <v>0</v>
      </c>
      <c r="L11453">
        <v>0</v>
      </c>
      <c r="M11453">
        <v>0</v>
      </c>
      <c r="N11453">
        <v>0</v>
      </c>
      <c r="O11453">
        <v>160</v>
      </c>
    </row>
    <row r="11454" spans="1:15" x14ac:dyDescent="0.25">
      <c r="A11454" t="s">
        <v>1158</v>
      </c>
      <c r="B11454" t="s">
        <v>2922</v>
      </c>
      <c r="C11454" t="s">
        <v>927</v>
      </c>
      <c r="D11454" t="s">
        <v>3052</v>
      </c>
      <c r="E11454" t="s">
        <v>3053</v>
      </c>
      <c r="F11454" t="s">
        <v>287</v>
      </c>
      <c r="G11454" t="s">
        <v>3040</v>
      </c>
      <c r="H11454" t="s">
        <v>13931</v>
      </c>
      <c r="I11454">
        <v>101</v>
      </c>
      <c r="J11454">
        <v>0</v>
      </c>
      <c r="K11454">
        <v>2</v>
      </c>
      <c r="L11454">
        <v>99</v>
      </c>
      <c r="M11454">
        <v>0</v>
      </c>
      <c r="N11454">
        <v>0</v>
      </c>
      <c r="O11454">
        <v>0</v>
      </c>
    </row>
    <row r="11455" spans="1:15" x14ac:dyDescent="0.25">
      <c r="A11455" t="s">
        <v>1062</v>
      </c>
      <c r="B11455" t="s">
        <v>1993</v>
      </c>
      <c r="C11455" t="s">
        <v>927</v>
      </c>
      <c r="D11455" t="s">
        <v>3052</v>
      </c>
      <c r="E11455" t="s">
        <v>3053</v>
      </c>
      <c r="F11455" t="s">
        <v>287</v>
      </c>
      <c r="G11455" t="s">
        <v>3040</v>
      </c>
      <c r="H11455" t="s">
        <v>13943</v>
      </c>
      <c r="I11455">
        <v>734</v>
      </c>
      <c r="J11455">
        <v>548</v>
      </c>
      <c r="K11455">
        <v>0</v>
      </c>
      <c r="L11455">
        <v>8</v>
      </c>
      <c r="M11455">
        <v>133</v>
      </c>
      <c r="N11455">
        <v>9</v>
      </c>
      <c r="O11455">
        <v>45</v>
      </c>
    </row>
    <row r="11456" spans="1:15" x14ac:dyDescent="0.25">
      <c r="A11456" t="s">
        <v>962</v>
      </c>
      <c r="B11456" t="s">
        <v>2752</v>
      </c>
      <c r="C11456" t="s">
        <v>927</v>
      </c>
      <c r="D11456" t="s">
        <v>3052</v>
      </c>
      <c r="E11456" t="s">
        <v>3053</v>
      </c>
      <c r="F11456" t="s">
        <v>287</v>
      </c>
      <c r="G11456" t="s">
        <v>3040</v>
      </c>
      <c r="H11456" t="s">
        <v>13949</v>
      </c>
      <c r="I11456">
        <v>8839</v>
      </c>
      <c r="J11456">
        <v>7141</v>
      </c>
      <c r="K11456">
        <v>0</v>
      </c>
      <c r="L11456">
        <v>378</v>
      </c>
      <c r="M11456">
        <v>416</v>
      </c>
      <c r="N11456">
        <v>1</v>
      </c>
      <c r="O11456">
        <v>904</v>
      </c>
    </row>
    <row r="11457" spans="1:15" x14ac:dyDescent="0.25">
      <c r="A11457" t="s">
        <v>1767</v>
      </c>
      <c r="B11457" t="s">
        <v>2142</v>
      </c>
      <c r="C11457" t="s">
        <v>923</v>
      </c>
      <c r="D11457" t="s">
        <v>3063</v>
      </c>
      <c r="E11457" t="s">
        <v>3053</v>
      </c>
      <c r="F11457" t="s">
        <v>287</v>
      </c>
      <c r="G11457" t="s">
        <v>3040</v>
      </c>
      <c r="H11457" t="s">
        <v>13954</v>
      </c>
      <c r="I11457">
        <v>34</v>
      </c>
      <c r="J11457">
        <v>9</v>
      </c>
      <c r="K11457">
        <v>0</v>
      </c>
      <c r="L11457">
        <v>25</v>
      </c>
      <c r="M11457">
        <v>0</v>
      </c>
      <c r="N11457">
        <v>0</v>
      </c>
      <c r="O11457">
        <v>0</v>
      </c>
    </row>
    <row r="11458" spans="1:15" x14ac:dyDescent="0.25">
      <c r="A11458" t="s">
        <v>10810</v>
      </c>
      <c r="B11458" t="s">
        <v>2015</v>
      </c>
      <c r="C11458" t="s">
        <v>923</v>
      </c>
      <c r="D11458" t="s">
        <v>3063</v>
      </c>
      <c r="E11458" t="s">
        <v>3053</v>
      </c>
      <c r="F11458" t="s">
        <v>287</v>
      </c>
      <c r="G11458" t="s">
        <v>3040</v>
      </c>
      <c r="H11458" t="s">
        <v>13959</v>
      </c>
      <c r="I11458">
        <v>6</v>
      </c>
      <c r="J11458">
        <v>0</v>
      </c>
      <c r="K11458">
        <v>0</v>
      </c>
      <c r="L11458">
        <v>6</v>
      </c>
      <c r="M11458">
        <v>0</v>
      </c>
      <c r="N11458">
        <v>0</v>
      </c>
      <c r="O11458">
        <v>0</v>
      </c>
    </row>
    <row r="11459" spans="1:15" x14ac:dyDescent="0.25">
      <c r="A11459" t="s">
        <v>964</v>
      </c>
      <c r="B11459" t="s">
        <v>1969</v>
      </c>
      <c r="C11459" t="s">
        <v>927</v>
      </c>
      <c r="D11459" t="s">
        <v>3052</v>
      </c>
      <c r="E11459" t="s">
        <v>3053</v>
      </c>
      <c r="F11459" t="s">
        <v>287</v>
      </c>
      <c r="G11459" t="s">
        <v>3040</v>
      </c>
      <c r="H11459" t="s">
        <v>13973</v>
      </c>
      <c r="I11459">
        <v>8997</v>
      </c>
      <c r="J11459">
        <v>6735</v>
      </c>
      <c r="K11459">
        <v>0</v>
      </c>
      <c r="L11459">
        <v>404</v>
      </c>
      <c r="M11459">
        <v>1276</v>
      </c>
      <c r="N11459">
        <v>4</v>
      </c>
      <c r="O11459">
        <v>582</v>
      </c>
    </row>
    <row r="11460" spans="1:15" x14ac:dyDescent="0.25">
      <c r="A11460" t="s">
        <v>1769</v>
      </c>
      <c r="B11460" t="s">
        <v>2127</v>
      </c>
      <c r="C11460" t="s">
        <v>923</v>
      </c>
      <c r="D11460" t="s">
        <v>3063</v>
      </c>
      <c r="E11460" t="s">
        <v>3053</v>
      </c>
      <c r="F11460" t="s">
        <v>287</v>
      </c>
      <c r="G11460" t="s">
        <v>3040</v>
      </c>
      <c r="H11460" t="s">
        <v>13980</v>
      </c>
      <c r="I11460">
        <v>65</v>
      </c>
      <c r="J11460">
        <v>0</v>
      </c>
      <c r="K11460">
        <v>0</v>
      </c>
      <c r="L11460">
        <v>0</v>
      </c>
      <c r="M11460">
        <v>65</v>
      </c>
      <c r="N11460">
        <v>0</v>
      </c>
      <c r="O11460">
        <v>0</v>
      </c>
    </row>
    <row r="11461" spans="1:15" x14ac:dyDescent="0.25">
      <c r="A11461" t="s">
        <v>1353</v>
      </c>
      <c r="B11461" t="s">
        <v>2927</v>
      </c>
      <c r="C11461" t="s">
        <v>923</v>
      </c>
      <c r="D11461" t="s">
        <v>3063</v>
      </c>
      <c r="E11461" t="s">
        <v>3053</v>
      </c>
      <c r="F11461" t="s">
        <v>287</v>
      </c>
      <c r="G11461" t="s">
        <v>3040</v>
      </c>
      <c r="H11461" t="s">
        <v>13987</v>
      </c>
      <c r="I11461">
        <v>88</v>
      </c>
      <c r="J11461">
        <v>0</v>
      </c>
      <c r="K11461">
        <v>0</v>
      </c>
      <c r="L11461">
        <v>0</v>
      </c>
      <c r="M11461">
        <v>88</v>
      </c>
      <c r="N11461">
        <v>0</v>
      </c>
      <c r="O11461">
        <v>0</v>
      </c>
    </row>
    <row r="11462" spans="1:15" x14ac:dyDescent="0.25">
      <c r="A11462" t="s">
        <v>1770</v>
      </c>
      <c r="B11462" t="s">
        <v>3030</v>
      </c>
      <c r="C11462" t="s">
        <v>927</v>
      </c>
      <c r="D11462" t="s">
        <v>3052</v>
      </c>
      <c r="E11462" t="s">
        <v>3053</v>
      </c>
      <c r="F11462" t="s">
        <v>287</v>
      </c>
      <c r="G11462" t="s">
        <v>3040</v>
      </c>
      <c r="H11462" t="s">
        <v>13990</v>
      </c>
      <c r="I11462">
        <v>3905</v>
      </c>
      <c r="J11462">
        <v>2743</v>
      </c>
      <c r="K11462">
        <v>0</v>
      </c>
      <c r="L11462">
        <v>0</v>
      </c>
      <c r="M11462">
        <v>997</v>
      </c>
      <c r="N11462">
        <v>31</v>
      </c>
      <c r="O11462">
        <v>165</v>
      </c>
    </row>
    <row r="11463" spans="1:15" x14ac:dyDescent="0.25">
      <c r="A11463" t="s">
        <v>1771</v>
      </c>
      <c r="B11463" t="s">
        <v>2581</v>
      </c>
      <c r="C11463" t="s">
        <v>923</v>
      </c>
      <c r="D11463" t="s">
        <v>3063</v>
      </c>
      <c r="E11463" t="s">
        <v>3053</v>
      </c>
      <c r="F11463" t="s">
        <v>287</v>
      </c>
      <c r="G11463" t="s">
        <v>3040</v>
      </c>
      <c r="H11463" t="s">
        <v>13999</v>
      </c>
      <c r="I11463">
        <v>9</v>
      </c>
      <c r="J11463">
        <v>0</v>
      </c>
      <c r="K11463">
        <v>0</v>
      </c>
      <c r="L11463">
        <v>0</v>
      </c>
      <c r="M11463">
        <v>9</v>
      </c>
      <c r="N11463">
        <v>0</v>
      </c>
      <c r="O11463">
        <v>0</v>
      </c>
    </row>
    <row r="11464" spans="1:15" x14ac:dyDescent="0.25">
      <c r="A11464" t="s">
        <v>1772</v>
      </c>
      <c r="B11464" t="s">
        <v>2530</v>
      </c>
      <c r="C11464" t="s">
        <v>923</v>
      </c>
      <c r="D11464" t="s">
        <v>3063</v>
      </c>
      <c r="E11464" t="s">
        <v>3053</v>
      </c>
      <c r="F11464" t="s">
        <v>287</v>
      </c>
      <c r="G11464" t="s">
        <v>3040</v>
      </c>
      <c r="H11464" t="s">
        <v>14000</v>
      </c>
      <c r="I11464">
        <v>10</v>
      </c>
      <c r="J11464">
        <v>0</v>
      </c>
      <c r="K11464">
        <v>0</v>
      </c>
      <c r="L11464">
        <v>0</v>
      </c>
      <c r="M11464">
        <v>10</v>
      </c>
      <c r="N11464">
        <v>0</v>
      </c>
      <c r="O11464">
        <v>0</v>
      </c>
    </row>
    <row r="11465" spans="1:15" x14ac:dyDescent="0.25">
      <c r="A11465" t="s">
        <v>1773</v>
      </c>
      <c r="B11465" t="s">
        <v>2592</v>
      </c>
      <c r="C11465" t="s">
        <v>923</v>
      </c>
      <c r="D11465" t="s">
        <v>3063</v>
      </c>
      <c r="E11465" t="s">
        <v>3053</v>
      </c>
      <c r="F11465" t="s">
        <v>287</v>
      </c>
      <c r="G11465" t="s">
        <v>3040</v>
      </c>
      <c r="H11465" t="s">
        <v>14006</v>
      </c>
      <c r="I11465">
        <v>12</v>
      </c>
      <c r="J11465">
        <v>0</v>
      </c>
      <c r="K11465">
        <v>0</v>
      </c>
      <c r="L11465">
        <v>0</v>
      </c>
      <c r="M11465">
        <v>12</v>
      </c>
      <c r="N11465">
        <v>0</v>
      </c>
      <c r="O11465">
        <v>0</v>
      </c>
    </row>
    <row r="11466" spans="1:15" x14ac:dyDescent="0.25">
      <c r="A11466" t="s">
        <v>1774</v>
      </c>
      <c r="B11466" t="s">
        <v>2561</v>
      </c>
      <c r="C11466" t="s">
        <v>923</v>
      </c>
      <c r="D11466" t="s">
        <v>3063</v>
      </c>
      <c r="E11466" t="s">
        <v>3053</v>
      </c>
      <c r="F11466" t="s">
        <v>287</v>
      </c>
      <c r="G11466" t="s">
        <v>3040</v>
      </c>
      <c r="H11466" t="s">
        <v>14007</v>
      </c>
      <c r="I11466">
        <v>7</v>
      </c>
      <c r="J11466">
        <v>0</v>
      </c>
      <c r="K11466">
        <v>0</v>
      </c>
      <c r="L11466">
        <v>0</v>
      </c>
      <c r="M11466">
        <v>7</v>
      </c>
      <c r="N11466">
        <v>0</v>
      </c>
      <c r="O11466">
        <v>0</v>
      </c>
    </row>
    <row r="11467" spans="1:15" x14ac:dyDescent="0.25">
      <c r="A11467" t="s">
        <v>10740</v>
      </c>
      <c r="B11467" t="s">
        <v>10739</v>
      </c>
      <c r="C11467" t="s">
        <v>923</v>
      </c>
      <c r="D11467" t="s">
        <v>3063</v>
      </c>
      <c r="E11467" t="s">
        <v>3053</v>
      </c>
      <c r="F11467" t="s">
        <v>287</v>
      </c>
      <c r="G11467" t="s">
        <v>3040</v>
      </c>
      <c r="H11467" t="s">
        <v>14008</v>
      </c>
      <c r="I11467">
        <v>9</v>
      </c>
      <c r="J11467">
        <v>0</v>
      </c>
      <c r="K11467">
        <v>0</v>
      </c>
      <c r="L11467">
        <v>0</v>
      </c>
      <c r="M11467">
        <v>9</v>
      </c>
      <c r="N11467">
        <v>0</v>
      </c>
      <c r="O11467">
        <v>0</v>
      </c>
    </row>
    <row r="11468" spans="1:15" x14ac:dyDescent="0.25">
      <c r="A11468" t="s">
        <v>9838</v>
      </c>
      <c r="B11468" t="s">
        <v>2544</v>
      </c>
      <c r="C11468" t="s">
        <v>923</v>
      </c>
      <c r="D11468" t="s">
        <v>3063</v>
      </c>
      <c r="E11468" t="s">
        <v>3053</v>
      </c>
      <c r="F11468" t="s">
        <v>287</v>
      </c>
      <c r="G11468" t="s">
        <v>3040</v>
      </c>
      <c r="H11468" t="s">
        <v>14010</v>
      </c>
      <c r="I11468">
        <v>8</v>
      </c>
      <c r="J11468">
        <v>0</v>
      </c>
      <c r="K11468">
        <v>0</v>
      </c>
      <c r="L11468">
        <v>0</v>
      </c>
      <c r="M11468">
        <v>8</v>
      </c>
      <c r="N11468">
        <v>0</v>
      </c>
      <c r="O11468">
        <v>0</v>
      </c>
    </row>
    <row r="11469" spans="1:15" x14ac:dyDescent="0.25">
      <c r="A11469" t="s">
        <v>1775</v>
      </c>
      <c r="B11469" t="s">
        <v>2593</v>
      </c>
      <c r="C11469" t="s">
        <v>923</v>
      </c>
      <c r="D11469" t="s">
        <v>3063</v>
      </c>
      <c r="E11469" t="s">
        <v>3053</v>
      </c>
      <c r="F11469" t="s">
        <v>287</v>
      </c>
      <c r="G11469" t="s">
        <v>3040</v>
      </c>
      <c r="H11469" t="s">
        <v>14020</v>
      </c>
      <c r="I11469">
        <v>11</v>
      </c>
      <c r="J11469">
        <v>0</v>
      </c>
      <c r="K11469">
        <v>0</v>
      </c>
      <c r="L11469">
        <v>0</v>
      </c>
      <c r="M11469">
        <v>11</v>
      </c>
      <c r="N11469">
        <v>0</v>
      </c>
      <c r="O11469">
        <v>0</v>
      </c>
    </row>
    <row r="11470" spans="1:15" x14ac:dyDescent="0.25">
      <c r="A11470" t="s">
        <v>1776</v>
      </c>
      <c r="B11470" t="s">
        <v>2577</v>
      </c>
      <c r="C11470" t="s">
        <v>923</v>
      </c>
      <c r="D11470" t="s">
        <v>3063</v>
      </c>
      <c r="E11470" t="s">
        <v>3053</v>
      </c>
      <c r="F11470" t="s">
        <v>287</v>
      </c>
      <c r="G11470" t="s">
        <v>3040</v>
      </c>
      <c r="H11470" t="s">
        <v>14026</v>
      </c>
      <c r="I11470">
        <v>13</v>
      </c>
      <c r="J11470">
        <v>0</v>
      </c>
      <c r="K11470">
        <v>0</v>
      </c>
      <c r="L11470">
        <v>0</v>
      </c>
      <c r="M11470">
        <v>13</v>
      </c>
      <c r="N11470">
        <v>0</v>
      </c>
      <c r="O11470">
        <v>0</v>
      </c>
    </row>
    <row r="11471" spans="1:15" x14ac:dyDescent="0.25">
      <c r="A11471" t="s">
        <v>1066</v>
      </c>
      <c r="B11471" t="s">
        <v>2557</v>
      </c>
      <c r="C11471" t="s">
        <v>927</v>
      </c>
      <c r="D11471" t="s">
        <v>3052</v>
      </c>
      <c r="E11471" t="s">
        <v>3053</v>
      </c>
      <c r="F11471" t="s">
        <v>287</v>
      </c>
      <c r="G11471" t="s">
        <v>3040</v>
      </c>
      <c r="H11471" t="s">
        <v>14034</v>
      </c>
      <c r="I11471">
        <v>260</v>
      </c>
      <c r="J11471">
        <v>0</v>
      </c>
      <c r="K11471">
        <v>0</v>
      </c>
      <c r="L11471">
        <v>0</v>
      </c>
      <c r="M11471">
        <v>260</v>
      </c>
      <c r="N11471">
        <v>0</v>
      </c>
      <c r="O11471">
        <v>0</v>
      </c>
    </row>
    <row r="11472" spans="1:15" x14ac:dyDescent="0.25">
      <c r="A11472" t="s">
        <v>1777</v>
      </c>
      <c r="B11472" t="s">
        <v>2598</v>
      </c>
      <c r="C11472" t="s">
        <v>923</v>
      </c>
      <c r="D11472" t="s">
        <v>3063</v>
      </c>
      <c r="E11472" t="s">
        <v>3053</v>
      </c>
      <c r="F11472" t="s">
        <v>287</v>
      </c>
      <c r="G11472" t="s">
        <v>3040</v>
      </c>
      <c r="H11472" t="s">
        <v>14037</v>
      </c>
      <c r="I11472">
        <v>9</v>
      </c>
      <c r="J11472">
        <v>0</v>
      </c>
      <c r="K11472">
        <v>0</v>
      </c>
      <c r="L11472">
        <v>0</v>
      </c>
      <c r="M11472">
        <v>9</v>
      </c>
      <c r="N11472">
        <v>0</v>
      </c>
      <c r="O11472">
        <v>0</v>
      </c>
    </row>
    <row r="11473" spans="1:15" x14ac:dyDescent="0.25">
      <c r="A11473" t="s">
        <v>1778</v>
      </c>
      <c r="B11473" t="s">
        <v>2602</v>
      </c>
      <c r="C11473" t="s">
        <v>923</v>
      </c>
      <c r="D11473" t="s">
        <v>3063</v>
      </c>
      <c r="E11473" t="s">
        <v>3053</v>
      </c>
      <c r="F11473" t="s">
        <v>287</v>
      </c>
      <c r="G11473" t="s">
        <v>3040</v>
      </c>
      <c r="H11473" t="s">
        <v>14038</v>
      </c>
      <c r="I11473">
        <v>57</v>
      </c>
      <c r="J11473">
        <v>0</v>
      </c>
      <c r="K11473">
        <v>0</v>
      </c>
      <c r="L11473">
        <v>0</v>
      </c>
      <c r="M11473">
        <v>57</v>
      </c>
      <c r="N11473">
        <v>0</v>
      </c>
      <c r="O11473">
        <v>0</v>
      </c>
    </row>
    <row r="11474" spans="1:15" x14ac:dyDescent="0.25">
      <c r="A11474" t="s">
        <v>1779</v>
      </c>
      <c r="B11474" t="s">
        <v>2549</v>
      </c>
      <c r="C11474" t="s">
        <v>923</v>
      </c>
      <c r="D11474" t="s">
        <v>3063</v>
      </c>
      <c r="E11474" t="s">
        <v>3053</v>
      </c>
      <c r="F11474" t="s">
        <v>287</v>
      </c>
      <c r="G11474" t="s">
        <v>3040</v>
      </c>
      <c r="H11474" t="s">
        <v>14040</v>
      </c>
      <c r="I11474">
        <v>10</v>
      </c>
      <c r="J11474">
        <v>0</v>
      </c>
      <c r="K11474">
        <v>0</v>
      </c>
      <c r="L11474">
        <v>0</v>
      </c>
      <c r="M11474">
        <v>10</v>
      </c>
      <c r="N11474">
        <v>0</v>
      </c>
      <c r="O11474">
        <v>0</v>
      </c>
    </row>
    <row r="11475" spans="1:15" x14ac:dyDescent="0.25">
      <c r="A11475" t="s">
        <v>11714</v>
      </c>
      <c r="B11475" t="s">
        <v>10575</v>
      </c>
      <c r="C11475" t="s">
        <v>923</v>
      </c>
      <c r="D11475" t="s">
        <v>3063</v>
      </c>
      <c r="E11475" t="s">
        <v>3053</v>
      </c>
      <c r="F11475" t="s">
        <v>287</v>
      </c>
      <c r="G11475" t="s">
        <v>3040</v>
      </c>
      <c r="H11475" t="s">
        <v>14047</v>
      </c>
      <c r="I11475">
        <v>18</v>
      </c>
      <c r="J11475">
        <v>0</v>
      </c>
      <c r="K11475">
        <v>0</v>
      </c>
      <c r="L11475">
        <v>0</v>
      </c>
      <c r="M11475">
        <v>18</v>
      </c>
      <c r="N11475">
        <v>0</v>
      </c>
      <c r="O11475">
        <v>0</v>
      </c>
    </row>
    <row r="11476" spans="1:15" x14ac:dyDescent="0.25">
      <c r="A11476" t="s">
        <v>1780</v>
      </c>
      <c r="B11476" t="s">
        <v>2256</v>
      </c>
      <c r="C11476" t="s">
        <v>923</v>
      </c>
      <c r="D11476" t="s">
        <v>3063</v>
      </c>
      <c r="E11476" t="s">
        <v>3053</v>
      </c>
      <c r="F11476" t="s">
        <v>287</v>
      </c>
      <c r="G11476" t="s">
        <v>3040</v>
      </c>
      <c r="H11476" t="s">
        <v>14051</v>
      </c>
      <c r="I11476">
        <v>2</v>
      </c>
      <c r="J11476">
        <v>2</v>
      </c>
      <c r="K11476">
        <v>0</v>
      </c>
      <c r="L11476">
        <v>0</v>
      </c>
      <c r="M11476">
        <v>0</v>
      </c>
      <c r="N11476">
        <v>0</v>
      </c>
      <c r="O11476">
        <v>0</v>
      </c>
    </row>
    <row r="11477" spans="1:15" x14ac:dyDescent="0.25">
      <c r="A11477" t="s">
        <v>1781</v>
      </c>
      <c r="B11477" t="s">
        <v>2100</v>
      </c>
      <c r="C11477" t="s">
        <v>923</v>
      </c>
      <c r="D11477" t="s">
        <v>3063</v>
      </c>
      <c r="E11477" t="s">
        <v>3053</v>
      </c>
      <c r="F11477" t="s">
        <v>287</v>
      </c>
      <c r="G11477" t="s">
        <v>3040</v>
      </c>
      <c r="H11477" t="s">
        <v>14055</v>
      </c>
      <c r="I11477">
        <v>17</v>
      </c>
      <c r="J11477">
        <v>0</v>
      </c>
      <c r="K11477">
        <v>0</v>
      </c>
      <c r="L11477">
        <v>0</v>
      </c>
      <c r="M11477">
        <v>17</v>
      </c>
      <c r="N11477">
        <v>0</v>
      </c>
      <c r="O11477">
        <v>0</v>
      </c>
    </row>
    <row r="11478" spans="1:15" x14ac:dyDescent="0.25">
      <c r="A11478" t="s">
        <v>1782</v>
      </c>
      <c r="B11478" t="s">
        <v>2271</v>
      </c>
      <c r="C11478" t="s">
        <v>923</v>
      </c>
      <c r="D11478" t="s">
        <v>3063</v>
      </c>
      <c r="E11478" t="s">
        <v>3053</v>
      </c>
      <c r="F11478" t="s">
        <v>287</v>
      </c>
      <c r="G11478" t="s">
        <v>3040</v>
      </c>
      <c r="H11478" t="s">
        <v>14065</v>
      </c>
      <c r="I11478">
        <v>49</v>
      </c>
      <c r="J11478">
        <v>0</v>
      </c>
      <c r="K11478">
        <v>0</v>
      </c>
      <c r="L11478">
        <v>0</v>
      </c>
      <c r="M11478">
        <v>49</v>
      </c>
      <c r="N11478">
        <v>0</v>
      </c>
      <c r="O11478">
        <v>0</v>
      </c>
    </row>
    <row r="11479" spans="1:15" x14ac:dyDescent="0.25">
      <c r="A11479" t="s">
        <v>11667</v>
      </c>
      <c r="B11479" t="s">
        <v>1986</v>
      </c>
      <c r="C11479" t="s">
        <v>923</v>
      </c>
      <c r="D11479" t="s">
        <v>3063</v>
      </c>
      <c r="E11479" t="s">
        <v>3053</v>
      </c>
      <c r="F11479" t="s">
        <v>287</v>
      </c>
      <c r="G11479" t="s">
        <v>3040</v>
      </c>
      <c r="H11479" t="s">
        <v>14072</v>
      </c>
      <c r="I11479">
        <v>81</v>
      </c>
      <c r="J11479">
        <v>0</v>
      </c>
      <c r="K11479">
        <v>0</v>
      </c>
      <c r="L11479">
        <v>0</v>
      </c>
      <c r="M11479">
        <v>81</v>
      </c>
      <c r="N11479">
        <v>0</v>
      </c>
      <c r="O11479">
        <v>0</v>
      </c>
    </row>
    <row r="11480" spans="1:15" x14ac:dyDescent="0.25">
      <c r="A11480" t="s">
        <v>10757</v>
      </c>
      <c r="B11480" t="s">
        <v>10756</v>
      </c>
      <c r="C11480" t="s">
        <v>923</v>
      </c>
      <c r="D11480" t="s">
        <v>3063</v>
      </c>
      <c r="E11480" t="s">
        <v>3053</v>
      </c>
      <c r="F11480" t="s">
        <v>287</v>
      </c>
      <c r="G11480" t="s">
        <v>3040</v>
      </c>
      <c r="H11480" t="s">
        <v>14078</v>
      </c>
      <c r="I11480">
        <v>8</v>
      </c>
      <c r="J11480">
        <v>0</v>
      </c>
      <c r="K11480">
        <v>0</v>
      </c>
      <c r="L11480">
        <v>0</v>
      </c>
      <c r="M11480">
        <v>8</v>
      </c>
      <c r="N11480">
        <v>0</v>
      </c>
      <c r="O11480">
        <v>0</v>
      </c>
    </row>
    <row r="11481" spans="1:15" x14ac:dyDescent="0.25">
      <c r="A11481" t="s">
        <v>1783</v>
      </c>
      <c r="B11481" t="s">
        <v>2331</v>
      </c>
      <c r="C11481" t="s">
        <v>923</v>
      </c>
      <c r="D11481" t="s">
        <v>3063</v>
      </c>
      <c r="E11481" t="s">
        <v>3053</v>
      </c>
      <c r="F11481" t="s">
        <v>287</v>
      </c>
      <c r="G11481" t="s">
        <v>3040</v>
      </c>
      <c r="H11481" t="s">
        <v>14084</v>
      </c>
      <c r="I11481">
        <v>12</v>
      </c>
      <c r="J11481">
        <v>12</v>
      </c>
      <c r="K11481">
        <v>0</v>
      </c>
      <c r="L11481">
        <v>0</v>
      </c>
      <c r="M11481">
        <v>0</v>
      </c>
      <c r="N11481">
        <v>0</v>
      </c>
      <c r="O11481">
        <v>0</v>
      </c>
    </row>
    <row r="11482" spans="1:15" x14ac:dyDescent="0.25">
      <c r="A11482" t="s">
        <v>1784</v>
      </c>
      <c r="B11482" t="s">
        <v>2154</v>
      </c>
      <c r="C11482" t="s">
        <v>923</v>
      </c>
      <c r="D11482" t="s">
        <v>3063</v>
      </c>
      <c r="E11482" t="s">
        <v>3053</v>
      </c>
      <c r="F11482" t="s">
        <v>287</v>
      </c>
      <c r="G11482" t="s">
        <v>3040</v>
      </c>
      <c r="H11482" t="s">
        <v>14086</v>
      </c>
      <c r="I11482">
        <v>137</v>
      </c>
      <c r="J11482">
        <v>0</v>
      </c>
      <c r="K11482">
        <v>0</v>
      </c>
      <c r="L11482">
        <v>0</v>
      </c>
      <c r="M11482">
        <v>137</v>
      </c>
      <c r="N11482">
        <v>0</v>
      </c>
      <c r="O11482">
        <v>0</v>
      </c>
    </row>
    <row r="11483" spans="1:15" x14ac:dyDescent="0.25">
      <c r="A11483" t="s">
        <v>1069</v>
      </c>
      <c r="B11483" t="s">
        <v>2001</v>
      </c>
      <c r="C11483" t="s">
        <v>927</v>
      </c>
      <c r="D11483" t="s">
        <v>3052</v>
      </c>
      <c r="E11483" t="s">
        <v>3053</v>
      </c>
      <c r="F11483" t="s">
        <v>287</v>
      </c>
      <c r="G11483" t="s">
        <v>3040</v>
      </c>
      <c r="H11483" t="s">
        <v>14094</v>
      </c>
      <c r="I11483">
        <v>9702</v>
      </c>
      <c r="J11483">
        <v>7069</v>
      </c>
      <c r="K11483">
        <v>0</v>
      </c>
      <c r="L11483">
        <v>235</v>
      </c>
      <c r="M11483">
        <v>1276</v>
      </c>
      <c r="N11483">
        <v>0</v>
      </c>
      <c r="O11483">
        <v>1122</v>
      </c>
    </row>
    <row r="11484" spans="1:15" x14ac:dyDescent="0.25">
      <c r="A11484" t="s">
        <v>1785</v>
      </c>
      <c r="B11484" t="s">
        <v>2325</v>
      </c>
      <c r="C11484" t="s">
        <v>923</v>
      </c>
      <c r="D11484" t="s">
        <v>3063</v>
      </c>
      <c r="E11484" t="s">
        <v>3053</v>
      </c>
      <c r="F11484" t="s">
        <v>287</v>
      </c>
      <c r="G11484" t="s">
        <v>3040</v>
      </c>
      <c r="H11484" t="s">
        <v>14122</v>
      </c>
      <c r="I11484">
        <v>3</v>
      </c>
      <c r="J11484">
        <v>3</v>
      </c>
      <c r="K11484">
        <v>0</v>
      </c>
      <c r="L11484">
        <v>0</v>
      </c>
      <c r="M11484">
        <v>0</v>
      </c>
      <c r="N11484">
        <v>0</v>
      </c>
      <c r="O11484">
        <v>0</v>
      </c>
    </row>
    <row r="11485" spans="1:15" x14ac:dyDescent="0.25">
      <c r="A11485" t="s">
        <v>9839</v>
      </c>
      <c r="B11485" t="s">
        <v>9882</v>
      </c>
      <c r="C11485" t="s">
        <v>923</v>
      </c>
      <c r="D11485" t="s">
        <v>3063</v>
      </c>
      <c r="E11485" t="s">
        <v>3053</v>
      </c>
      <c r="F11485" t="s">
        <v>287</v>
      </c>
      <c r="G11485" t="s">
        <v>3040</v>
      </c>
      <c r="H11485" t="s">
        <v>14133</v>
      </c>
      <c r="I11485">
        <v>3</v>
      </c>
      <c r="J11485">
        <v>3</v>
      </c>
      <c r="K11485">
        <v>0</v>
      </c>
      <c r="L11485">
        <v>0</v>
      </c>
      <c r="M11485">
        <v>0</v>
      </c>
      <c r="N11485">
        <v>0</v>
      </c>
      <c r="O11485">
        <v>0</v>
      </c>
    </row>
    <row r="11486" spans="1:15" x14ac:dyDescent="0.25">
      <c r="A11486" t="s">
        <v>10812</v>
      </c>
      <c r="B11486" t="s">
        <v>2173</v>
      </c>
      <c r="C11486" t="s">
        <v>923</v>
      </c>
      <c r="D11486" t="s">
        <v>3063</v>
      </c>
      <c r="E11486" t="s">
        <v>3053</v>
      </c>
      <c r="F11486" t="s">
        <v>287</v>
      </c>
      <c r="G11486" t="s">
        <v>3040</v>
      </c>
      <c r="H11486" t="s">
        <v>14134</v>
      </c>
      <c r="I11486">
        <v>10</v>
      </c>
      <c r="J11486">
        <v>10</v>
      </c>
      <c r="K11486">
        <v>0</v>
      </c>
      <c r="L11486">
        <v>0</v>
      </c>
      <c r="M11486">
        <v>0</v>
      </c>
      <c r="N11486">
        <v>0</v>
      </c>
      <c r="O11486">
        <v>0</v>
      </c>
    </row>
    <row r="11487" spans="1:15" x14ac:dyDescent="0.25">
      <c r="A11487" t="s">
        <v>1786</v>
      </c>
      <c r="B11487" t="s">
        <v>2158</v>
      </c>
      <c r="C11487" t="s">
        <v>923</v>
      </c>
      <c r="D11487" t="s">
        <v>3063</v>
      </c>
      <c r="E11487" t="s">
        <v>3053</v>
      </c>
      <c r="F11487" t="s">
        <v>287</v>
      </c>
      <c r="G11487" t="s">
        <v>3040</v>
      </c>
      <c r="H11487" t="s">
        <v>14137</v>
      </c>
      <c r="I11487">
        <v>7</v>
      </c>
      <c r="J11487">
        <v>7</v>
      </c>
      <c r="K11487">
        <v>0</v>
      </c>
      <c r="L11487">
        <v>0</v>
      </c>
      <c r="M11487">
        <v>0</v>
      </c>
      <c r="N11487">
        <v>0</v>
      </c>
      <c r="O11487">
        <v>0</v>
      </c>
    </row>
    <row r="11488" spans="1:15" x14ac:dyDescent="0.25">
      <c r="A11488" t="s">
        <v>1071</v>
      </c>
      <c r="B11488" t="s">
        <v>2571</v>
      </c>
      <c r="C11488" t="s">
        <v>923</v>
      </c>
      <c r="D11488" t="s">
        <v>3063</v>
      </c>
      <c r="E11488" t="s">
        <v>3053</v>
      </c>
      <c r="F11488" t="s">
        <v>287</v>
      </c>
      <c r="G11488" t="s">
        <v>3040</v>
      </c>
      <c r="H11488" t="s">
        <v>14144</v>
      </c>
      <c r="I11488">
        <v>10</v>
      </c>
      <c r="J11488">
        <v>0</v>
      </c>
      <c r="K11488">
        <v>0</v>
      </c>
      <c r="L11488">
        <v>10</v>
      </c>
      <c r="M11488">
        <v>0</v>
      </c>
      <c r="N11488">
        <v>0</v>
      </c>
      <c r="O11488">
        <v>0</v>
      </c>
    </row>
    <row r="11489" spans="1:15" x14ac:dyDescent="0.25">
      <c r="A11489" t="s">
        <v>1072</v>
      </c>
      <c r="B11489" t="s">
        <v>2907</v>
      </c>
      <c r="C11489" t="s">
        <v>927</v>
      </c>
      <c r="D11489" t="s">
        <v>3052</v>
      </c>
      <c r="E11489" t="s">
        <v>3053</v>
      </c>
      <c r="F11489" t="s">
        <v>287</v>
      </c>
      <c r="G11489" t="s">
        <v>3040</v>
      </c>
      <c r="H11489" t="s">
        <v>14151</v>
      </c>
      <c r="I11489">
        <v>332</v>
      </c>
      <c r="J11489">
        <v>0</v>
      </c>
      <c r="K11489">
        <v>0</v>
      </c>
      <c r="L11489">
        <v>227</v>
      </c>
      <c r="M11489">
        <v>105</v>
      </c>
      <c r="N11489">
        <v>0</v>
      </c>
      <c r="O11489">
        <v>0</v>
      </c>
    </row>
    <row r="11490" spans="1:15" x14ac:dyDescent="0.25">
      <c r="A11490" t="s">
        <v>1787</v>
      </c>
      <c r="B11490" t="s">
        <v>2297</v>
      </c>
      <c r="C11490" t="s">
        <v>923</v>
      </c>
      <c r="D11490" t="s">
        <v>3063</v>
      </c>
      <c r="E11490" t="s">
        <v>3053</v>
      </c>
      <c r="F11490" t="s">
        <v>287</v>
      </c>
      <c r="G11490" t="s">
        <v>3040</v>
      </c>
      <c r="H11490" t="s">
        <v>14159</v>
      </c>
      <c r="I11490">
        <v>12</v>
      </c>
      <c r="J11490">
        <v>12</v>
      </c>
      <c r="K11490">
        <v>0</v>
      </c>
      <c r="L11490">
        <v>0</v>
      </c>
      <c r="M11490">
        <v>0</v>
      </c>
      <c r="N11490">
        <v>0</v>
      </c>
      <c r="O11490">
        <v>0</v>
      </c>
    </row>
    <row r="11491" spans="1:15" x14ac:dyDescent="0.25">
      <c r="A11491" t="s">
        <v>966</v>
      </c>
      <c r="B11491" t="s">
        <v>2684</v>
      </c>
      <c r="C11491" t="s">
        <v>927</v>
      </c>
      <c r="D11491" t="s">
        <v>3052</v>
      </c>
      <c r="E11491" t="s">
        <v>3053</v>
      </c>
      <c r="F11491" t="s">
        <v>287</v>
      </c>
      <c r="G11491" t="s">
        <v>3040</v>
      </c>
      <c r="H11491" t="s">
        <v>14167</v>
      </c>
      <c r="I11491">
        <v>1694</v>
      </c>
      <c r="J11491">
        <v>1097</v>
      </c>
      <c r="K11491">
        <v>0</v>
      </c>
      <c r="L11491">
        <v>4</v>
      </c>
      <c r="M11491">
        <v>0</v>
      </c>
      <c r="N11491">
        <v>0</v>
      </c>
      <c r="O11491">
        <v>593</v>
      </c>
    </row>
    <row r="11492" spans="1:15" x14ac:dyDescent="0.25">
      <c r="A11492" t="s">
        <v>1788</v>
      </c>
      <c r="B11492" t="s">
        <v>2188</v>
      </c>
      <c r="C11492" t="s">
        <v>923</v>
      </c>
      <c r="D11492" t="s">
        <v>3063</v>
      </c>
      <c r="E11492" t="s">
        <v>3053</v>
      </c>
      <c r="F11492" t="s">
        <v>287</v>
      </c>
      <c r="G11492" t="s">
        <v>3040</v>
      </c>
      <c r="H11492" t="s">
        <v>14188</v>
      </c>
      <c r="I11492">
        <v>85</v>
      </c>
      <c r="J11492">
        <v>0</v>
      </c>
      <c r="K11492">
        <v>0</v>
      </c>
      <c r="L11492">
        <v>0</v>
      </c>
      <c r="M11492">
        <v>85</v>
      </c>
      <c r="N11492">
        <v>0</v>
      </c>
      <c r="O11492">
        <v>0</v>
      </c>
    </row>
    <row r="11493" spans="1:15" x14ac:dyDescent="0.25">
      <c r="A11493" t="s">
        <v>9840</v>
      </c>
      <c r="B11493" t="s">
        <v>9884</v>
      </c>
      <c r="C11493" t="s">
        <v>923</v>
      </c>
      <c r="D11493" t="s">
        <v>3063</v>
      </c>
      <c r="E11493" t="s">
        <v>3053</v>
      </c>
      <c r="F11493" t="s">
        <v>287</v>
      </c>
      <c r="G11493" t="s">
        <v>3040</v>
      </c>
      <c r="H11493" t="s">
        <v>14195</v>
      </c>
      <c r="I11493">
        <v>32</v>
      </c>
      <c r="J11493">
        <v>18</v>
      </c>
      <c r="K11493">
        <v>0</v>
      </c>
      <c r="L11493">
        <v>14</v>
      </c>
      <c r="M11493">
        <v>0</v>
      </c>
      <c r="N11493">
        <v>0</v>
      </c>
      <c r="O11493">
        <v>0</v>
      </c>
    </row>
    <row r="11494" spans="1:15" x14ac:dyDescent="0.25">
      <c r="A11494" t="s">
        <v>1684</v>
      </c>
      <c r="B11494" t="s">
        <v>2845</v>
      </c>
      <c r="C11494" t="s">
        <v>927</v>
      </c>
      <c r="D11494" t="s">
        <v>3052</v>
      </c>
      <c r="E11494" t="s">
        <v>3053</v>
      </c>
      <c r="F11494" t="s">
        <v>287</v>
      </c>
      <c r="G11494" t="s">
        <v>3040</v>
      </c>
      <c r="H11494" t="s">
        <v>14199</v>
      </c>
      <c r="I11494">
        <v>6</v>
      </c>
      <c r="J11494">
        <v>0</v>
      </c>
      <c r="K11494">
        <v>0</v>
      </c>
      <c r="L11494">
        <v>0</v>
      </c>
      <c r="M11494">
        <v>0</v>
      </c>
      <c r="N11494">
        <v>0</v>
      </c>
      <c r="O11494">
        <v>6</v>
      </c>
    </row>
    <row r="11495" spans="1:15" x14ac:dyDescent="0.25">
      <c r="A11495" t="s">
        <v>1789</v>
      </c>
      <c r="B11495" t="s">
        <v>2145</v>
      </c>
      <c r="C11495" t="s">
        <v>923</v>
      </c>
      <c r="D11495" t="s">
        <v>3063</v>
      </c>
      <c r="E11495" t="s">
        <v>3053</v>
      </c>
      <c r="F11495" t="s">
        <v>287</v>
      </c>
      <c r="G11495" t="s">
        <v>3040</v>
      </c>
      <c r="H11495" t="s">
        <v>14204</v>
      </c>
      <c r="I11495">
        <v>4</v>
      </c>
      <c r="J11495">
        <v>0</v>
      </c>
      <c r="K11495">
        <v>0</v>
      </c>
      <c r="L11495">
        <v>0</v>
      </c>
      <c r="M11495">
        <v>4</v>
      </c>
      <c r="N11495">
        <v>0</v>
      </c>
      <c r="O11495">
        <v>0</v>
      </c>
    </row>
    <row r="11496" spans="1:15" x14ac:dyDescent="0.25">
      <c r="A11496" t="s">
        <v>1078</v>
      </c>
      <c r="B11496" t="s">
        <v>1950</v>
      </c>
      <c r="C11496" t="s">
        <v>923</v>
      </c>
      <c r="D11496" t="s">
        <v>3063</v>
      </c>
      <c r="E11496" t="s">
        <v>3053</v>
      </c>
      <c r="F11496" t="s">
        <v>287</v>
      </c>
      <c r="G11496" t="s">
        <v>3040</v>
      </c>
      <c r="H11496" t="s">
        <v>14216</v>
      </c>
      <c r="I11496">
        <v>42</v>
      </c>
      <c r="J11496">
        <v>0</v>
      </c>
      <c r="K11496">
        <v>0</v>
      </c>
      <c r="L11496">
        <v>42</v>
      </c>
      <c r="M11496">
        <v>0</v>
      </c>
      <c r="N11496">
        <v>0</v>
      </c>
      <c r="O11496">
        <v>0</v>
      </c>
    </row>
    <row r="11497" spans="1:15" x14ac:dyDescent="0.25">
      <c r="A11497" t="s">
        <v>1790</v>
      </c>
      <c r="B11497" t="s">
        <v>2865</v>
      </c>
      <c r="C11497" t="s">
        <v>927</v>
      </c>
      <c r="D11497" t="s">
        <v>3052</v>
      </c>
      <c r="E11497" t="s">
        <v>3053</v>
      </c>
      <c r="F11497" t="s">
        <v>287</v>
      </c>
      <c r="G11497" t="s">
        <v>3040</v>
      </c>
      <c r="H11497" t="s">
        <v>14226</v>
      </c>
      <c r="I11497">
        <v>4501</v>
      </c>
      <c r="J11497">
        <v>3606</v>
      </c>
      <c r="K11497">
        <v>0</v>
      </c>
      <c r="L11497">
        <v>0</v>
      </c>
      <c r="M11497">
        <v>595</v>
      </c>
      <c r="N11497">
        <v>3</v>
      </c>
      <c r="O11497">
        <v>300</v>
      </c>
    </row>
    <row r="11498" spans="1:15" x14ac:dyDescent="0.25">
      <c r="A11498" t="s">
        <v>1791</v>
      </c>
      <c r="B11498" t="s">
        <v>2102</v>
      </c>
      <c r="C11498" t="s">
        <v>923</v>
      </c>
      <c r="D11498" t="s">
        <v>3063</v>
      </c>
      <c r="E11498" t="s">
        <v>3053</v>
      </c>
      <c r="F11498" t="s">
        <v>287</v>
      </c>
      <c r="G11498" t="s">
        <v>3040</v>
      </c>
      <c r="H11498" t="s">
        <v>14230</v>
      </c>
      <c r="I11498">
        <v>4</v>
      </c>
      <c r="J11498">
        <v>4</v>
      </c>
      <c r="K11498">
        <v>0</v>
      </c>
      <c r="L11498">
        <v>0</v>
      </c>
      <c r="M11498">
        <v>0</v>
      </c>
      <c r="N11498">
        <v>0</v>
      </c>
      <c r="O11498">
        <v>0</v>
      </c>
    </row>
    <row r="11499" spans="1:15" x14ac:dyDescent="0.25">
      <c r="A11499" t="s">
        <v>968</v>
      </c>
      <c r="B11499" t="s">
        <v>2091</v>
      </c>
      <c r="C11499" t="s">
        <v>927</v>
      </c>
      <c r="D11499" t="s">
        <v>3052</v>
      </c>
      <c r="E11499" t="s">
        <v>3053</v>
      </c>
      <c r="F11499" t="s">
        <v>287</v>
      </c>
      <c r="G11499" t="s">
        <v>3040</v>
      </c>
      <c r="H11499" t="s">
        <v>14240</v>
      </c>
      <c r="I11499">
        <v>513</v>
      </c>
      <c r="J11499">
        <v>14</v>
      </c>
      <c r="K11499">
        <v>0</v>
      </c>
      <c r="L11499">
        <v>0</v>
      </c>
      <c r="M11499">
        <v>0</v>
      </c>
      <c r="N11499">
        <v>0</v>
      </c>
      <c r="O11499">
        <v>499</v>
      </c>
    </row>
    <row r="11500" spans="1:15" x14ac:dyDescent="0.25">
      <c r="A11500" t="s">
        <v>10813</v>
      </c>
      <c r="B11500" t="s">
        <v>2167</v>
      </c>
      <c r="C11500" t="s">
        <v>923</v>
      </c>
      <c r="D11500" t="s">
        <v>3063</v>
      </c>
      <c r="E11500" t="s">
        <v>3053</v>
      </c>
      <c r="F11500" t="s">
        <v>287</v>
      </c>
      <c r="G11500" t="s">
        <v>3040</v>
      </c>
      <c r="H11500" t="s">
        <v>14241</v>
      </c>
      <c r="I11500">
        <v>21</v>
      </c>
      <c r="J11500">
        <v>0</v>
      </c>
      <c r="K11500">
        <v>0</v>
      </c>
      <c r="L11500">
        <v>0</v>
      </c>
      <c r="M11500">
        <v>21</v>
      </c>
      <c r="N11500">
        <v>0</v>
      </c>
      <c r="O11500">
        <v>0</v>
      </c>
    </row>
    <row r="11501" spans="1:15" x14ac:dyDescent="0.25">
      <c r="A11501" t="s">
        <v>1792</v>
      </c>
      <c r="B11501" t="s">
        <v>2964</v>
      </c>
      <c r="C11501" t="s">
        <v>923</v>
      </c>
      <c r="D11501" t="s">
        <v>3063</v>
      </c>
      <c r="E11501" t="s">
        <v>3053</v>
      </c>
      <c r="F11501" t="s">
        <v>287</v>
      </c>
      <c r="G11501" t="s">
        <v>3040</v>
      </c>
      <c r="H11501" t="s">
        <v>14273</v>
      </c>
      <c r="I11501">
        <v>18</v>
      </c>
      <c r="J11501">
        <v>0</v>
      </c>
      <c r="K11501">
        <v>0</v>
      </c>
      <c r="L11501">
        <v>0</v>
      </c>
      <c r="M11501">
        <v>18</v>
      </c>
      <c r="N11501">
        <v>0</v>
      </c>
      <c r="O11501">
        <v>0</v>
      </c>
    </row>
    <row r="11502" spans="1:15" x14ac:dyDescent="0.25">
      <c r="A11502" t="s">
        <v>1080</v>
      </c>
      <c r="B11502" t="s">
        <v>2030</v>
      </c>
      <c r="C11502" t="s">
        <v>923</v>
      </c>
      <c r="D11502" t="s">
        <v>3063</v>
      </c>
      <c r="E11502" t="s">
        <v>3053</v>
      </c>
      <c r="F11502" t="s">
        <v>287</v>
      </c>
      <c r="G11502" t="s">
        <v>3040</v>
      </c>
      <c r="H11502" t="s">
        <v>14283</v>
      </c>
      <c r="I11502">
        <v>205</v>
      </c>
      <c r="J11502">
        <v>0</v>
      </c>
      <c r="K11502">
        <v>0</v>
      </c>
      <c r="L11502">
        <v>205</v>
      </c>
      <c r="M11502">
        <v>0</v>
      </c>
      <c r="N11502">
        <v>0</v>
      </c>
      <c r="O11502">
        <v>0</v>
      </c>
    </row>
    <row r="11503" spans="1:15" x14ac:dyDescent="0.25">
      <c r="A11503" t="s">
        <v>1793</v>
      </c>
      <c r="B11503" t="s">
        <v>2075</v>
      </c>
      <c r="C11503" t="s">
        <v>927</v>
      </c>
      <c r="D11503" t="s">
        <v>3052</v>
      </c>
      <c r="E11503" t="s">
        <v>3053</v>
      </c>
      <c r="F11503" t="s">
        <v>287</v>
      </c>
      <c r="G11503" t="s">
        <v>3040</v>
      </c>
      <c r="H11503" t="s">
        <v>14288</v>
      </c>
      <c r="I11503">
        <v>7261</v>
      </c>
      <c r="J11503">
        <v>5347</v>
      </c>
      <c r="K11503">
        <v>0</v>
      </c>
      <c r="L11503">
        <v>324</v>
      </c>
      <c r="M11503">
        <v>657</v>
      </c>
      <c r="N11503">
        <v>2</v>
      </c>
      <c r="O11503">
        <v>933</v>
      </c>
    </row>
    <row r="11504" spans="1:15" x14ac:dyDescent="0.25">
      <c r="A11504" t="s">
        <v>1794</v>
      </c>
      <c r="B11504" t="s">
        <v>2796</v>
      </c>
      <c r="C11504" t="s">
        <v>923</v>
      </c>
      <c r="D11504" t="s">
        <v>3063</v>
      </c>
      <c r="E11504" t="s">
        <v>3053</v>
      </c>
      <c r="F11504" t="s">
        <v>287</v>
      </c>
      <c r="G11504" t="s">
        <v>3040</v>
      </c>
      <c r="H11504" t="s">
        <v>14292</v>
      </c>
      <c r="I11504">
        <v>387</v>
      </c>
      <c r="J11504">
        <v>387</v>
      </c>
      <c r="K11504">
        <v>0</v>
      </c>
      <c r="L11504">
        <v>0</v>
      </c>
      <c r="M11504">
        <v>0</v>
      </c>
      <c r="N11504">
        <v>0</v>
      </c>
      <c r="O11504">
        <v>0</v>
      </c>
    </row>
    <row r="11505" spans="1:15" x14ac:dyDescent="0.25">
      <c r="A11505" t="s">
        <v>11715</v>
      </c>
      <c r="B11505" t="s">
        <v>2784</v>
      </c>
      <c r="C11505" t="s">
        <v>927</v>
      </c>
      <c r="D11505" t="s">
        <v>3052</v>
      </c>
      <c r="E11505" t="s">
        <v>3053</v>
      </c>
      <c r="F11505" t="s">
        <v>287</v>
      </c>
      <c r="G11505" t="s">
        <v>3040</v>
      </c>
      <c r="H11505" t="s">
        <v>14301</v>
      </c>
      <c r="I11505">
        <v>1496</v>
      </c>
      <c r="J11505">
        <v>1394</v>
      </c>
      <c r="K11505">
        <v>0</v>
      </c>
      <c r="L11505">
        <v>0</v>
      </c>
      <c r="M11505">
        <v>0</v>
      </c>
      <c r="N11505">
        <v>0</v>
      </c>
      <c r="O11505">
        <v>102</v>
      </c>
    </row>
    <row r="11506" spans="1:15" x14ac:dyDescent="0.25">
      <c r="A11506" t="s">
        <v>14377</v>
      </c>
      <c r="B11506" t="s">
        <v>14444</v>
      </c>
      <c r="C11506" t="s">
        <v>923</v>
      </c>
      <c r="D11506" t="s">
        <v>3063</v>
      </c>
      <c r="E11506" t="s">
        <v>3053</v>
      </c>
      <c r="F11506" t="s">
        <v>287</v>
      </c>
      <c r="G11506" t="s">
        <v>3040</v>
      </c>
      <c r="H11506" t="s">
        <v>15590</v>
      </c>
      <c r="I11506">
        <v>21</v>
      </c>
      <c r="J11506">
        <v>0</v>
      </c>
      <c r="K11506">
        <v>0</v>
      </c>
      <c r="L11506">
        <v>21</v>
      </c>
      <c r="M11506">
        <v>0</v>
      </c>
      <c r="N11506">
        <v>0</v>
      </c>
      <c r="O11506">
        <v>0</v>
      </c>
    </row>
    <row r="11507" spans="1:15" x14ac:dyDescent="0.25">
      <c r="A11507" t="s">
        <v>11716</v>
      </c>
      <c r="B11507" t="s">
        <v>2348</v>
      </c>
      <c r="C11507" t="s">
        <v>923</v>
      </c>
      <c r="D11507" t="s">
        <v>3063</v>
      </c>
      <c r="E11507" t="s">
        <v>3053</v>
      </c>
      <c r="F11507" t="s">
        <v>287</v>
      </c>
      <c r="G11507" t="s">
        <v>3040</v>
      </c>
      <c r="H11507" t="s">
        <v>14312</v>
      </c>
      <c r="I11507">
        <v>8</v>
      </c>
      <c r="J11507">
        <v>0</v>
      </c>
      <c r="K11507">
        <v>0</v>
      </c>
      <c r="L11507">
        <v>0</v>
      </c>
      <c r="M11507">
        <v>8</v>
      </c>
      <c r="N11507">
        <v>0</v>
      </c>
      <c r="O11507">
        <v>0</v>
      </c>
    </row>
    <row r="11508" spans="1:15" x14ac:dyDescent="0.25">
      <c r="A11508" t="s">
        <v>10786</v>
      </c>
      <c r="B11508" t="s">
        <v>10785</v>
      </c>
      <c r="C11508" t="s">
        <v>923</v>
      </c>
      <c r="D11508" t="s">
        <v>3063</v>
      </c>
      <c r="E11508" t="s">
        <v>3053</v>
      </c>
      <c r="F11508" t="s">
        <v>287</v>
      </c>
      <c r="G11508" t="s">
        <v>3040</v>
      </c>
      <c r="H11508" t="s">
        <v>14318</v>
      </c>
      <c r="I11508">
        <v>4</v>
      </c>
      <c r="J11508">
        <v>4</v>
      </c>
      <c r="K11508">
        <v>0</v>
      </c>
      <c r="L11508">
        <v>0</v>
      </c>
      <c r="M11508">
        <v>0</v>
      </c>
      <c r="N11508">
        <v>0</v>
      </c>
      <c r="O11508">
        <v>0</v>
      </c>
    </row>
    <row r="11509" spans="1:15" x14ac:dyDescent="0.25">
      <c r="A11509" t="s">
        <v>1795</v>
      </c>
      <c r="B11509" t="s">
        <v>2766</v>
      </c>
      <c r="C11509" t="s">
        <v>923</v>
      </c>
      <c r="D11509" t="s">
        <v>3063</v>
      </c>
      <c r="E11509" t="s">
        <v>3053</v>
      </c>
      <c r="F11509" t="s">
        <v>287</v>
      </c>
      <c r="G11509" t="s">
        <v>3040</v>
      </c>
      <c r="H11509" t="s">
        <v>14322</v>
      </c>
      <c r="I11509">
        <v>422</v>
      </c>
      <c r="J11509">
        <v>400</v>
      </c>
      <c r="K11509">
        <v>0</v>
      </c>
      <c r="L11509">
        <v>0</v>
      </c>
      <c r="M11509">
        <v>22</v>
      </c>
      <c r="N11509">
        <v>17</v>
      </c>
      <c r="O11509">
        <v>0</v>
      </c>
    </row>
    <row r="11510" spans="1:15" x14ac:dyDescent="0.25">
      <c r="A11510" t="s">
        <v>1796</v>
      </c>
      <c r="B11510" t="s">
        <v>2111</v>
      </c>
      <c r="C11510" t="s">
        <v>923</v>
      </c>
      <c r="D11510" t="s">
        <v>3063</v>
      </c>
      <c r="E11510" t="s">
        <v>3053</v>
      </c>
      <c r="F11510" t="s">
        <v>287</v>
      </c>
      <c r="G11510" t="s">
        <v>3040</v>
      </c>
      <c r="H11510" t="s">
        <v>14327</v>
      </c>
      <c r="I11510">
        <v>41</v>
      </c>
      <c r="J11510">
        <v>0</v>
      </c>
      <c r="K11510">
        <v>0</v>
      </c>
      <c r="L11510">
        <v>41</v>
      </c>
      <c r="M11510">
        <v>0</v>
      </c>
      <c r="N11510">
        <v>0</v>
      </c>
      <c r="O11510">
        <v>0</v>
      </c>
    </row>
    <row r="11511" spans="1:15" x14ac:dyDescent="0.25">
      <c r="A11511" t="s">
        <v>1797</v>
      </c>
      <c r="B11511" t="s">
        <v>2457</v>
      </c>
      <c r="C11511" t="s">
        <v>923</v>
      </c>
      <c r="D11511" t="s">
        <v>3063</v>
      </c>
      <c r="E11511" t="s">
        <v>3053</v>
      </c>
      <c r="F11511" t="s">
        <v>288</v>
      </c>
      <c r="G11511" t="s">
        <v>3040</v>
      </c>
      <c r="H11511" t="s">
        <v>12527</v>
      </c>
      <c r="I11511">
        <v>49</v>
      </c>
      <c r="J11511">
        <v>49</v>
      </c>
      <c r="K11511">
        <v>0</v>
      </c>
      <c r="L11511">
        <v>0</v>
      </c>
      <c r="M11511">
        <v>0</v>
      </c>
      <c r="N11511">
        <v>0</v>
      </c>
      <c r="O11511">
        <v>0</v>
      </c>
    </row>
    <row r="11512" spans="1:15" x14ac:dyDescent="0.25">
      <c r="A11512" t="s">
        <v>974</v>
      </c>
      <c r="B11512" t="s">
        <v>2949</v>
      </c>
      <c r="C11512" t="s">
        <v>923</v>
      </c>
      <c r="D11512" t="s">
        <v>3063</v>
      </c>
      <c r="E11512" t="s">
        <v>3053</v>
      </c>
      <c r="F11512" t="s">
        <v>288</v>
      </c>
      <c r="G11512" t="s">
        <v>3040</v>
      </c>
      <c r="H11512" t="s">
        <v>12574</v>
      </c>
      <c r="I11512">
        <v>276</v>
      </c>
      <c r="J11512">
        <v>0</v>
      </c>
      <c r="K11512">
        <v>5</v>
      </c>
      <c r="L11512">
        <v>271</v>
      </c>
      <c r="M11512">
        <v>0</v>
      </c>
      <c r="N11512">
        <v>0</v>
      </c>
      <c r="O11512">
        <v>0</v>
      </c>
    </row>
    <row r="11513" spans="1:15" x14ac:dyDescent="0.25">
      <c r="A11513" t="s">
        <v>926</v>
      </c>
      <c r="B11513" t="s">
        <v>2923</v>
      </c>
      <c r="C11513" t="s">
        <v>927</v>
      </c>
      <c r="D11513" t="s">
        <v>3052</v>
      </c>
      <c r="E11513" t="s">
        <v>3053</v>
      </c>
      <c r="F11513" t="s">
        <v>288</v>
      </c>
      <c r="G11513" t="s">
        <v>3040</v>
      </c>
      <c r="H11513" t="s">
        <v>12582</v>
      </c>
      <c r="I11513">
        <v>197</v>
      </c>
      <c r="J11513">
        <v>0</v>
      </c>
      <c r="K11513">
        <v>0</v>
      </c>
      <c r="L11513">
        <v>101</v>
      </c>
      <c r="M11513">
        <v>0</v>
      </c>
      <c r="N11513">
        <v>0</v>
      </c>
      <c r="O11513">
        <v>96</v>
      </c>
    </row>
    <row r="11514" spans="1:15" x14ac:dyDescent="0.25">
      <c r="A11514" t="s">
        <v>1452</v>
      </c>
      <c r="B11514" t="s">
        <v>2721</v>
      </c>
      <c r="C11514" t="s">
        <v>923</v>
      </c>
      <c r="D11514" t="s">
        <v>3063</v>
      </c>
      <c r="E11514" t="s">
        <v>3053</v>
      </c>
      <c r="F11514" t="s">
        <v>288</v>
      </c>
      <c r="G11514" t="s">
        <v>3040</v>
      </c>
      <c r="H11514" t="s">
        <v>12597</v>
      </c>
      <c r="I11514">
        <v>114</v>
      </c>
      <c r="J11514">
        <v>0</v>
      </c>
      <c r="K11514">
        <v>0</v>
      </c>
      <c r="L11514">
        <v>0</v>
      </c>
      <c r="M11514">
        <v>114</v>
      </c>
      <c r="N11514">
        <v>0</v>
      </c>
      <c r="O11514">
        <v>0</v>
      </c>
    </row>
    <row r="11515" spans="1:15" x14ac:dyDescent="0.25">
      <c r="A11515" t="s">
        <v>1798</v>
      </c>
      <c r="B11515" t="s">
        <v>2429</v>
      </c>
      <c r="C11515" t="s">
        <v>923</v>
      </c>
      <c r="D11515" t="s">
        <v>3063</v>
      </c>
      <c r="E11515" t="s">
        <v>3053</v>
      </c>
      <c r="F11515" t="s">
        <v>288</v>
      </c>
      <c r="G11515" t="s">
        <v>3040</v>
      </c>
      <c r="H11515" t="s">
        <v>12599</v>
      </c>
      <c r="I11515">
        <v>33</v>
      </c>
      <c r="J11515">
        <v>33</v>
      </c>
      <c r="K11515">
        <v>0</v>
      </c>
      <c r="L11515">
        <v>0</v>
      </c>
      <c r="M11515">
        <v>0</v>
      </c>
      <c r="N11515">
        <v>0</v>
      </c>
      <c r="O11515">
        <v>0</v>
      </c>
    </row>
    <row r="11516" spans="1:15" x14ac:dyDescent="0.25">
      <c r="A11516" t="s">
        <v>929</v>
      </c>
      <c r="B11516" t="s">
        <v>2999</v>
      </c>
      <c r="C11516" t="s">
        <v>927</v>
      </c>
      <c r="D11516" t="s">
        <v>3052</v>
      </c>
      <c r="E11516" t="s">
        <v>3053</v>
      </c>
      <c r="F11516" t="s">
        <v>288</v>
      </c>
      <c r="G11516" t="s">
        <v>3040</v>
      </c>
      <c r="H11516" t="s">
        <v>12609</v>
      </c>
      <c r="I11516">
        <v>2648</v>
      </c>
      <c r="J11516">
        <v>3</v>
      </c>
      <c r="K11516">
        <v>0</v>
      </c>
      <c r="L11516">
        <v>0</v>
      </c>
      <c r="M11516">
        <v>2420</v>
      </c>
      <c r="N11516">
        <v>12</v>
      </c>
      <c r="O11516">
        <v>225</v>
      </c>
    </row>
    <row r="11517" spans="1:15" x14ac:dyDescent="0.25">
      <c r="A11517" t="s">
        <v>978</v>
      </c>
      <c r="B11517" t="s">
        <v>1999</v>
      </c>
      <c r="C11517" t="s">
        <v>923</v>
      </c>
      <c r="D11517" t="s">
        <v>3063</v>
      </c>
      <c r="E11517" t="s">
        <v>3053</v>
      </c>
      <c r="F11517" t="s">
        <v>288</v>
      </c>
      <c r="G11517" t="s">
        <v>3040</v>
      </c>
      <c r="H11517" t="s">
        <v>12629</v>
      </c>
      <c r="I11517">
        <v>64</v>
      </c>
      <c r="J11517">
        <v>0</v>
      </c>
      <c r="K11517">
        <v>0</v>
      </c>
      <c r="L11517">
        <v>64</v>
      </c>
      <c r="M11517">
        <v>0</v>
      </c>
      <c r="N11517">
        <v>0</v>
      </c>
      <c r="O11517">
        <v>0</v>
      </c>
    </row>
    <row r="11518" spans="1:15" x14ac:dyDescent="0.25">
      <c r="A11518" t="s">
        <v>1703</v>
      </c>
      <c r="B11518" t="s">
        <v>1992</v>
      </c>
      <c r="C11518" t="s">
        <v>923</v>
      </c>
      <c r="D11518" t="s">
        <v>3063</v>
      </c>
      <c r="E11518" t="s">
        <v>3053</v>
      </c>
      <c r="F11518" t="s">
        <v>288</v>
      </c>
      <c r="G11518" t="s">
        <v>3040</v>
      </c>
      <c r="H11518" t="s">
        <v>12636</v>
      </c>
      <c r="I11518">
        <v>538</v>
      </c>
      <c r="J11518">
        <v>1</v>
      </c>
      <c r="K11518">
        <v>9</v>
      </c>
      <c r="L11518">
        <v>528</v>
      </c>
      <c r="M11518">
        <v>0</v>
      </c>
      <c r="N11518">
        <v>0</v>
      </c>
      <c r="O11518">
        <v>0</v>
      </c>
    </row>
    <row r="11519" spans="1:15" x14ac:dyDescent="0.25">
      <c r="A11519" t="s">
        <v>1456</v>
      </c>
      <c r="B11519" t="s">
        <v>2844</v>
      </c>
      <c r="C11519" t="s">
        <v>927</v>
      </c>
      <c r="D11519" t="s">
        <v>3052</v>
      </c>
      <c r="E11519" t="s">
        <v>3053</v>
      </c>
      <c r="F11519" t="s">
        <v>288</v>
      </c>
      <c r="G11519" t="s">
        <v>3040</v>
      </c>
      <c r="H11519" t="s">
        <v>12640</v>
      </c>
      <c r="I11519">
        <v>8441</v>
      </c>
      <c r="J11519">
        <v>7660</v>
      </c>
      <c r="K11519">
        <v>0</v>
      </c>
      <c r="L11519">
        <v>6</v>
      </c>
      <c r="M11519">
        <v>582</v>
      </c>
      <c r="N11519">
        <v>24</v>
      </c>
      <c r="O11519">
        <v>193</v>
      </c>
    </row>
    <row r="11520" spans="1:15" x14ac:dyDescent="0.25">
      <c r="A11520" t="s">
        <v>9790</v>
      </c>
      <c r="B11520" t="s">
        <v>1977</v>
      </c>
      <c r="C11520" t="s">
        <v>923</v>
      </c>
      <c r="D11520" t="s">
        <v>3063</v>
      </c>
      <c r="E11520" t="s">
        <v>3053</v>
      </c>
      <c r="F11520" t="s">
        <v>288</v>
      </c>
      <c r="G11520" t="s">
        <v>3040</v>
      </c>
      <c r="H11520" t="s">
        <v>12655</v>
      </c>
      <c r="I11520">
        <v>92</v>
      </c>
      <c r="J11520">
        <v>0</v>
      </c>
      <c r="K11520">
        <v>0</v>
      </c>
      <c r="L11520">
        <v>92</v>
      </c>
      <c r="M11520">
        <v>0</v>
      </c>
      <c r="N11520">
        <v>1</v>
      </c>
      <c r="O11520">
        <v>0</v>
      </c>
    </row>
    <row r="11521" spans="1:15" x14ac:dyDescent="0.25">
      <c r="A11521" t="s">
        <v>1458</v>
      </c>
      <c r="B11521" t="s">
        <v>2024</v>
      </c>
      <c r="C11521" t="s">
        <v>923</v>
      </c>
      <c r="D11521" t="s">
        <v>3063</v>
      </c>
      <c r="E11521" t="s">
        <v>3053</v>
      </c>
      <c r="F11521" t="s">
        <v>288</v>
      </c>
      <c r="G11521" t="s">
        <v>3040</v>
      </c>
      <c r="H11521" t="s">
        <v>12659</v>
      </c>
      <c r="I11521">
        <v>38</v>
      </c>
      <c r="J11521">
        <v>38</v>
      </c>
      <c r="K11521">
        <v>0</v>
      </c>
      <c r="L11521">
        <v>0</v>
      </c>
      <c r="M11521">
        <v>0</v>
      </c>
      <c r="N11521">
        <v>0</v>
      </c>
      <c r="O11521">
        <v>0</v>
      </c>
    </row>
    <row r="11522" spans="1:15" x14ac:dyDescent="0.25">
      <c r="A11522" t="s">
        <v>1799</v>
      </c>
      <c r="B11522" t="s">
        <v>2374</v>
      </c>
      <c r="C11522" t="s">
        <v>923</v>
      </c>
      <c r="D11522" t="s">
        <v>3063</v>
      </c>
      <c r="E11522" t="s">
        <v>3053</v>
      </c>
      <c r="F11522" t="s">
        <v>288</v>
      </c>
      <c r="G11522" t="s">
        <v>3040</v>
      </c>
      <c r="H11522" t="s">
        <v>12666</v>
      </c>
      <c r="I11522">
        <v>77</v>
      </c>
      <c r="J11522">
        <v>77</v>
      </c>
      <c r="K11522">
        <v>0</v>
      </c>
      <c r="L11522">
        <v>0</v>
      </c>
      <c r="M11522">
        <v>0</v>
      </c>
      <c r="N11522">
        <v>0</v>
      </c>
      <c r="O11522">
        <v>0</v>
      </c>
    </row>
    <row r="11523" spans="1:15" x14ac:dyDescent="0.25">
      <c r="A11523" t="s">
        <v>11687</v>
      </c>
      <c r="B11523" t="s">
        <v>2977</v>
      </c>
      <c r="C11523" t="s">
        <v>923</v>
      </c>
      <c r="D11523" t="s">
        <v>3063</v>
      </c>
      <c r="E11523" t="s">
        <v>3053</v>
      </c>
      <c r="F11523" t="s">
        <v>288</v>
      </c>
      <c r="G11523" t="s">
        <v>3040</v>
      </c>
      <c r="H11523" t="s">
        <v>12679</v>
      </c>
      <c r="I11523">
        <v>22</v>
      </c>
      <c r="J11523">
        <v>0</v>
      </c>
      <c r="K11523">
        <v>0</v>
      </c>
      <c r="L11523">
        <v>0</v>
      </c>
      <c r="M11523">
        <v>22</v>
      </c>
      <c r="N11523">
        <v>0</v>
      </c>
      <c r="O11523">
        <v>0</v>
      </c>
    </row>
    <row r="11524" spans="1:15" x14ac:dyDescent="0.25">
      <c r="A11524" t="s">
        <v>14402</v>
      </c>
      <c r="B11524" t="s">
        <v>15155</v>
      </c>
      <c r="C11524" t="s">
        <v>923</v>
      </c>
      <c r="D11524" t="s">
        <v>3063</v>
      </c>
      <c r="E11524" t="s">
        <v>3053</v>
      </c>
      <c r="F11524" t="s">
        <v>288</v>
      </c>
      <c r="G11524" t="s">
        <v>3040</v>
      </c>
      <c r="H11524" t="s">
        <v>15591</v>
      </c>
      <c r="I11524">
        <v>14</v>
      </c>
      <c r="J11524">
        <v>14</v>
      </c>
      <c r="K11524">
        <v>0</v>
      </c>
      <c r="L11524">
        <v>0</v>
      </c>
      <c r="M11524">
        <v>0</v>
      </c>
      <c r="N11524">
        <v>0</v>
      </c>
      <c r="O11524">
        <v>0</v>
      </c>
    </row>
    <row r="11525" spans="1:15" x14ac:dyDescent="0.25">
      <c r="A11525" t="s">
        <v>9784</v>
      </c>
      <c r="B11525" t="s">
        <v>1994</v>
      </c>
      <c r="C11525" t="s">
        <v>927</v>
      </c>
      <c r="D11525" t="s">
        <v>3052</v>
      </c>
      <c r="E11525" t="s">
        <v>3053</v>
      </c>
      <c r="F11525" t="s">
        <v>288</v>
      </c>
      <c r="G11525" t="s">
        <v>3040</v>
      </c>
      <c r="H11525" t="s">
        <v>12688</v>
      </c>
      <c r="I11525">
        <v>133</v>
      </c>
      <c r="J11525">
        <v>0</v>
      </c>
      <c r="K11525">
        <v>0</v>
      </c>
      <c r="L11525">
        <v>133</v>
      </c>
      <c r="M11525">
        <v>0</v>
      </c>
      <c r="N11525">
        <v>0</v>
      </c>
      <c r="O11525">
        <v>0</v>
      </c>
    </row>
    <row r="11526" spans="1:15" x14ac:dyDescent="0.25">
      <c r="A11526" t="s">
        <v>1800</v>
      </c>
      <c r="B11526" t="s">
        <v>2735</v>
      </c>
      <c r="C11526" t="s">
        <v>923</v>
      </c>
      <c r="D11526" t="s">
        <v>3063</v>
      </c>
      <c r="E11526" t="s">
        <v>3053</v>
      </c>
      <c r="F11526" t="s">
        <v>288</v>
      </c>
      <c r="G11526" t="s">
        <v>3040</v>
      </c>
      <c r="H11526" t="s">
        <v>12697</v>
      </c>
      <c r="I11526">
        <v>217</v>
      </c>
      <c r="J11526">
        <v>217</v>
      </c>
      <c r="K11526">
        <v>0</v>
      </c>
      <c r="L11526">
        <v>0</v>
      </c>
      <c r="M11526">
        <v>0</v>
      </c>
      <c r="N11526">
        <v>0</v>
      </c>
      <c r="O11526">
        <v>0</v>
      </c>
    </row>
    <row r="11527" spans="1:15" x14ac:dyDescent="0.25">
      <c r="A11527" t="s">
        <v>1801</v>
      </c>
      <c r="B11527" t="s">
        <v>2790</v>
      </c>
      <c r="C11527" t="s">
        <v>923</v>
      </c>
      <c r="D11527" t="s">
        <v>3063</v>
      </c>
      <c r="E11527" t="s">
        <v>3053</v>
      </c>
      <c r="F11527" t="s">
        <v>288</v>
      </c>
      <c r="G11527" t="s">
        <v>3040</v>
      </c>
      <c r="H11527" t="s">
        <v>12698</v>
      </c>
      <c r="I11527">
        <v>42</v>
      </c>
      <c r="J11527">
        <v>8</v>
      </c>
      <c r="K11527">
        <v>0</v>
      </c>
      <c r="L11527">
        <v>0</v>
      </c>
      <c r="M11527">
        <v>34</v>
      </c>
      <c r="N11527">
        <v>0</v>
      </c>
      <c r="O11527">
        <v>0</v>
      </c>
    </row>
    <row r="11528" spans="1:15" x14ac:dyDescent="0.25">
      <c r="A11528" t="s">
        <v>1094</v>
      </c>
      <c r="B11528" t="s">
        <v>2742</v>
      </c>
      <c r="C11528" t="s">
        <v>923</v>
      </c>
      <c r="D11528" t="s">
        <v>3063</v>
      </c>
      <c r="E11528" t="s">
        <v>3053</v>
      </c>
      <c r="F11528" t="s">
        <v>288</v>
      </c>
      <c r="G11528" t="s">
        <v>3040</v>
      </c>
      <c r="H11528" t="s">
        <v>12703</v>
      </c>
      <c r="I11528">
        <v>30</v>
      </c>
      <c r="J11528">
        <v>15</v>
      </c>
      <c r="K11528">
        <v>0</v>
      </c>
      <c r="L11528">
        <v>15</v>
      </c>
      <c r="M11528">
        <v>0</v>
      </c>
      <c r="N11528">
        <v>0</v>
      </c>
      <c r="O11528">
        <v>0</v>
      </c>
    </row>
    <row r="11529" spans="1:15" x14ac:dyDescent="0.25">
      <c r="A11529" t="s">
        <v>1802</v>
      </c>
      <c r="B11529" t="s">
        <v>2754</v>
      </c>
      <c r="C11529" t="s">
        <v>927</v>
      </c>
      <c r="D11529" t="s">
        <v>3052</v>
      </c>
      <c r="E11529" t="s">
        <v>3053</v>
      </c>
      <c r="F11529" t="s">
        <v>288</v>
      </c>
      <c r="G11529" t="s">
        <v>3040</v>
      </c>
      <c r="H11529" t="s">
        <v>12704</v>
      </c>
      <c r="I11529">
        <v>2114</v>
      </c>
      <c r="J11529">
        <v>1666</v>
      </c>
      <c r="K11529">
        <v>0</v>
      </c>
      <c r="L11529">
        <v>87</v>
      </c>
      <c r="M11529">
        <v>229</v>
      </c>
      <c r="N11529">
        <v>0</v>
      </c>
      <c r="O11529">
        <v>132</v>
      </c>
    </row>
    <row r="11530" spans="1:15" x14ac:dyDescent="0.25">
      <c r="A11530" t="s">
        <v>1095</v>
      </c>
      <c r="B11530" t="s">
        <v>1946</v>
      </c>
      <c r="C11530" t="s">
        <v>923</v>
      </c>
      <c r="D11530" t="s">
        <v>3063</v>
      </c>
      <c r="E11530" t="s">
        <v>3053</v>
      </c>
      <c r="F11530" t="s">
        <v>288</v>
      </c>
      <c r="G11530" t="s">
        <v>3040</v>
      </c>
      <c r="H11530" t="s">
        <v>12710</v>
      </c>
      <c r="I11530">
        <v>298</v>
      </c>
      <c r="J11530">
        <v>0</v>
      </c>
      <c r="K11530">
        <v>0</v>
      </c>
      <c r="L11530">
        <v>298</v>
      </c>
      <c r="M11530">
        <v>0</v>
      </c>
      <c r="N11530">
        <v>0</v>
      </c>
      <c r="O11530">
        <v>0</v>
      </c>
    </row>
    <row r="11531" spans="1:15" x14ac:dyDescent="0.25">
      <c r="A11531" t="s">
        <v>1212</v>
      </c>
      <c r="B11531" t="s">
        <v>2004</v>
      </c>
      <c r="C11531" t="s">
        <v>923</v>
      </c>
      <c r="D11531" t="s">
        <v>3063</v>
      </c>
      <c r="E11531" t="s">
        <v>3053</v>
      </c>
      <c r="F11531" t="s">
        <v>288</v>
      </c>
      <c r="G11531" t="s">
        <v>3040</v>
      </c>
      <c r="H11531" t="s">
        <v>12717</v>
      </c>
      <c r="I11531">
        <v>61</v>
      </c>
      <c r="J11531">
        <v>0</v>
      </c>
      <c r="K11531">
        <v>0</v>
      </c>
      <c r="L11531">
        <v>61</v>
      </c>
      <c r="M11531">
        <v>0</v>
      </c>
      <c r="N11531">
        <v>0</v>
      </c>
      <c r="O11531">
        <v>0</v>
      </c>
    </row>
    <row r="11532" spans="1:15" x14ac:dyDescent="0.25">
      <c r="A11532" t="s">
        <v>1803</v>
      </c>
      <c r="B11532" t="s">
        <v>2453</v>
      </c>
      <c r="C11532" t="s">
        <v>923</v>
      </c>
      <c r="D11532" t="s">
        <v>3063</v>
      </c>
      <c r="E11532" t="s">
        <v>3053</v>
      </c>
      <c r="F11532" t="s">
        <v>288</v>
      </c>
      <c r="G11532" t="s">
        <v>3040</v>
      </c>
      <c r="H11532" t="s">
        <v>12724</v>
      </c>
      <c r="I11532">
        <v>34</v>
      </c>
      <c r="J11532">
        <v>34</v>
      </c>
      <c r="K11532">
        <v>0</v>
      </c>
      <c r="L11532">
        <v>0</v>
      </c>
      <c r="M11532">
        <v>0</v>
      </c>
      <c r="N11532">
        <v>0</v>
      </c>
      <c r="O11532">
        <v>0</v>
      </c>
    </row>
    <row r="11533" spans="1:15" x14ac:dyDescent="0.25">
      <c r="A11533" t="s">
        <v>10584</v>
      </c>
      <c r="B11533" t="s">
        <v>10583</v>
      </c>
      <c r="C11533" t="s">
        <v>923</v>
      </c>
      <c r="D11533" t="s">
        <v>3063</v>
      </c>
      <c r="E11533" t="s">
        <v>3053</v>
      </c>
      <c r="F11533" t="s">
        <v>288</v>
      </c>
      <c r="G11533" t="s">
        <v>3040</v>
      </c>
      <c r="H11533" t="s">
        <v>12726</v>
      </c>
      <c r="I11533">
        <v>42</v>
      </c>
      <c r="J11533">
        <v>0</v>
      </c>
      <c r="K11533">
        <v>0</v>
      </c>
      <c r="L11533">
        <v>0</v>
      </c>
      <c r="M11533">
        <v>42</v>
      </c>
      <c r="N11533">
        <v>0</v>
      </c>
      <c r="O11533">
        <v>0</v>
      </c>
    </row>
    <row r="11534" spans="1:15" x14ac:dyDescent="0.25">
      <c r="A11534" t="s">
        <v>1804</v>
      </c>
      <c r="B11534" t="s">
        <v>2688</v>
      </c>
      <c r="C11534" t="s">
        <v>927</v>
      </c>
      <c r="D11534" t="s">
        <v>3052</v>
      </c>
      <c r="E11534" t="s">
        <v>3053</v>
      </c>
      <c r="F11534" t="s">
        <v>288</v>
      </c>
      <c r="G11534" t="s">
        <v>3040</v>
      </c>
      <c r="H11534" t="s">
        <v>12730</v>
      </c>
      <c r="I11534">
        <v>3458</v>
      </c>
      <c r="J11534">
        <v>3050</v>
      </c>
      <c r="K11534">
        <v>0</v>
      </c>
      <c r="L11534">
        <v>9</v>
      </c>
      <c r="M11534">
        <v>262</v>
      </c>
      <c r="N11534">
        <v>17</v>
      </c>
      <c r="O11534">
        <v>137</v>
      </c>
    </row>
    <row r="11535" spans="1:15" x14ac:dyDescent="0.25">
      <c r="A11535" t="s">
        <v>1805</v>
      </c>
      <c r="B11535" t="s">
        <v>2357</v>
      </c>
      <c r="C11535" t="s">
        <v>923</v>
      </c>
      <c r="D11535" t="s">
        <v>3063</v>
      </c>
      <c r="E11535" t="s">
        <v>3053</v>
      </c>
      <c r="F11535" t="s">
        <v>288</v>
      </c>
      <c r="G11535" t="s">
        <v>3040</v>
      </c>
      <c r="H11535" t="s">
        <v>12731</v>
      </c>
      <c r="I11535">
        <v>313</v>
      </c>
      <c r="J11535">
        <v>313</v>
      </c>
      <c r="K11535">
        <v>0</v>
      </c>
      <c r="L11535">
        <v>0</v>
      </c>
      <c r="M11535">
        <v>0</v>
      </c>
      <c r="N11535">
        <v>0</v>
      </c>
      <c r="O11535">
        <v>0</v>
      </c>
    </row>
    <row r="11536" spans="1:15" x14ac:dyDescent="0.25">
      <c r="A11536" t="s">
        <v>981</v>
      </c>
      <c r="B11536" t="s">
        <v>2985</v>
      </c>
      <c r="C11536" t="s">
        <v>927</v>
      </c>
      <c r="D11536" t="s">
        <v>3052</v>
      </c>
      <c r="E11536" t="s">
        <v>3053</v>
      </c>
      <c r="F11536" t="s">
        <v>288</v>
      </c>
      <c r="G11536" t="s">
        <v>3040</v>
      </c>
      <c r="H11536" t="s">
        <v>12737</v>
      </c>
      <c r="I11536">
        <v>1</v>
      </c>
      <c r="J11536">
        <v>0</v>
      </c>
      <c r="K11536">
        <v>0</v>
      </c>
      <c r="L11536">
        <v>0</v>
      </c>
      <c r="M11536">
        <v>0</v>
      </c>
      <c r="N11536">
        <v>0</v>
      </c>
      <c r="O11536">
        <v>1</v>
      </c>
    </row>
    <row r="11537" spans="1:15" x14ac:dyDescent="0.25">
      <c r="A11537" t="s">
        <v>1806</v>
      </c>
      <c r="B11537" t="s">
        <v>2633</v>
      </c>
      <c r="C11537" t="s">
        <v>923</v>
      </c>
      <c r="D11537" t="s">
        <v>3063</v>
      </c>
      <c r="E11537" t="s">
        <v>3053</v>
      </c>
      <c r="F11537" t="s">
        <v>288</v>
      </c>
      <c r="G11537" t="s">
        <v>3040</v>
      </c>
      <c r="H11537" t="s">
        <v>12749</v>
      </c>
      <c r="I11537">
        <v>197</v>
      </c>
      <c r="J11537">
        <v>0</v>
      </c>
      <c r="K11537">
        <v>0</v>
      </c>
      <c r="L11537">
        <v>197</v>
      </c>
      <c r="M11537">
        <v>0</v>
      </c>
      <c r="N11537">
        <v>1</v>
      </c>
      <c r="O11537">
        <v>0</v>
      </c>
    </row>
    <row r="11538" spans="1:15" x14ac:dyDescent="0.25">
      <c r="A11538" t="s">
        <v>1807</v>
      </c>
      <c r="B11538" t="s">
        <v>2839</v>
      </c>
      <c r="C11538" t="s">
        <v>923</v>
      </c>
      <c r="D11538" t="s">
        <v>3063</v>
      </c>
      <c r="E11538" t="s">
        <v>3053</v>
      </c>
      <c r="F11538" t="s">
        <v>288</v>
      </c>
      <c r="G11538" t="s">
        <v>3040</v>
      </c>
      <c r="H11538" t="s">
        <v>12761</v>
      </c>
      <c r="I11538">
        <v>143</v>
      </c>
      <c r="J11538">
        <v>0</v>
      </c>
      <c r="K11538">
        <v>0</v>
      </c>
      <c r="L11538">
        <v>0</v>
      </c>
      <c r="M11538">
        <v>143</v>
      </c>
      <c r="N11538">
        <v>0</v>
      </c>
      <c r="O11538">
        <v>0</v>
      </c>
    </row>
    <row r="11539" spans="1:15" x14ac:dyDescent="0.25">
      <c r="A11539" t="s">
        <v>982</v>
      </c>
      <c r="B11539" t="s">
        <v>2874</v>
      </c>
      <c r="C11539" t="s">
        <v>923</v>
      </c>
      <c r="D11539" t="s">
        <v>3063</v>
      </c>
      <c r="E11539" t="s">
        <v>3053</v>
      </c>
      <c r="F11539" t="s">
        <v>288</v>
      </c>
      <c r="G11539" t="s">
        <v>3040</v>
      </c>
      <c r="H11539" t="s">
        <v>12766</v>
      </c>
      <c r="I11539">
        <v>130</v>
      </c>
      <c r="J11539">
        <v>130</v>
      </c>
      <c r="K11539">
        <v>0</v>
      </c>
      <c r="L11539">
        <v>0</v>
      </c>
      <c r="M11539">
        <v>0</v>
      </c>
      <c r="N11539">
        <v>0</v>
      </c>
      <c r="O11539">
        <v>0</v>
      </c>
    </row>
    <row r="11540" spans="1:15" x14ac:dyDescent="0.25">
      <c r="A11540" t="s">
        <v>983</v>
      </c>
      <c r="B11540" t="s">
        <v>2069</v>
      </c>
      <c r="C11540" t="s">
        <v>927</v>
      </c>
      <c r="D11540" t="s">
        <v>3052</v>
      </c>
      <c r="E11540" t="s">
        <v>3053</v>
      </c>
      <c r="F11540" t="s">
        <v>288</v>
      </c>
      <c r="G11540" t="s">
        <v>3040</v>
      </c>
      <c r="H11540" t="s">
        <v>12770</v>
      </c>
      <c r="I11540">
        <v>20255</v>
      </c>
      <c r="J11540">
        <v>17009</v>
      </c>
      <c r="K11540">
        <v>0</v>
      </c>
      <c r="L11540">
        <v>465</v>
      </c>
      <c r="M11540">
        <v>428</v>
      </c>
      <c r="N11540">
        <v>2</v>
      </c>
      <c r="O11540">
        <v>2353</v>
      </c>
    </row>
    <row r="11541" spans="1:15" x14ac:dyDescent="0.25">
      <c r="A11541" t="s">
        <v>1808</v>
      </c>
      <c r="B11541" t="s">
        <v>3032</v>
      </c>
      <c r="C11541" t="s">
        <v>927</v>
      </c>
      <c r="D11541" t="s">
        <v>3052</v>
      </c>
      <c r="E11541" t="s">
        <v>3053</v>
      </c>
      <c r="F11541" t="s">
        <v>288</v>
      </c>
      <c r="G11541" t="s">
        <v>3040</v>
      </c>
      <c r="H11541" t="s">
        <v>12773</v>
      </c>
      <c r="I11541">
        <v>4063</v>
      </c>
      <c r="J11541">
        <v>2882</v>
      </c>
      <c r="K11541">
        <v>0</v>
      </c>
      <c r="L11541">
        <v>3</v>
      </c>
      <c r="M11541">
        <v>914</v>
      </c>
      <c r="N11541">
        <v>0</v>
      </c>
      <c r="O11541">
        <v>264</v>
      </c>
    </row>
    <row r="11542" spans="1:15" x14ac:dyDescent="0.25">
      <c r="A11542" t="s">
        <v>1809</v>
      </c>
      <c r="B11542" t="s">
        <v>2187</v>
      </c>
      <c r="C11542" t="s">
        <v>923</v>
      </c>
      <c r="D11542" t="s">
        <v>3063</v>
      </c>
      <c r="E11542" t="s">
        <v>3053</v>
      </c>
      <c r="F11542" t="s">
        <v>288</v>
      </c>
      <c r="G11542" t="s">
        <v>3040</v>
      </c>
      <c r="H11542" t="s">
        <v>12774</v>
      </c>
      <c r="I11542">
        <v>42</v>
      </c>
      <c r="J11542">
        <v>0</v>
      </c>
      <c r="K11542">
        <v>0</v>
      </c>
      <c r="L11542">
        <v>0</v>
      </c>
      <c r="M11542">
        <v>42</v>
      </c>
      <c r="N11542">
        <v>0</v>
      </c>
      <c r="O11542">
        <v>0</v>
      </c>
    </row>
    <row r="11543" spans="1:15" x14ac:dyDescent="0.25">
      <c r="A11543" t="s">
        <v>1810</v>
      </c>
      <c r="B11543" t="s">
        <v>2119</v>
      </c>
      <c r="C11543" t="s">
        <v>923</v>
      </c>
      <c r="D11543" t="s">
        <v>3063</v>
      </c>
      <c r="E11543" t="s">
        <v>3053</v>
      </c>
      <c r="F11543" t="s">
        <v>288</v>
      </c>
      <c r="G11543" t="s">
        <v>3040</v>
      </c>
      <c r="H11543" t="s">
        <v>12779</v>
      </c>
      <c r="I11543">
        <v>12</v>
      </c>
      <c r="J11543">
        <v>12</v>
      </c>
      <c r="K11543">
        <v>0</v>
      </c>
      <c r="L11543">
        <v>0</v>
      </c>
      <c r="M11543">
        <v>0</v>
      </c>
      <c r="N11543">
        <v>0</v>
      </c>
      <c r="O11543">
        <v>0</v>
      </c>
    </row>
    <row r="11544" spans="1:15" x14ac:dyDescent="0.25">
      <c r="A11544" t="s">
        <v>1811</v>
      </c>
      <c r="B11544" t="s">
        <v>2352</v>
      </c>
      <c r="C11544" t="s">
        <v>923</v>
      </c>
      <c r="D11544" t="s">
        <v>3063</v>
      </c>
      <c r="E11544" t="s">
        <v>3053</v>
      </c>
      <c r="F11544" t="s">
        <v>288</v>
      </c>
      <c r="G11544" t="s">
        <v>3040</v>
      </c>
      <c r="H11544" t="s">
        <v>12804</v>
      </c>
      <c r="I11544">
        <v>6</v>
      </c>
      <c r="J11544">
        <v>6</v>
      </c>
      <c r="K11544">
        <v>0</v>
      </c>
      <c r="L11544">
        <v>0</v>
      </c>
      <c r="M11544">
        <v>0</v>
      </c>
      <c r="N11544">
        <v>0</v>
      </c>
      <c r="O11544">
        <v>0</v>
      </c>
    </row>
    <row r="11545" spans="1:15" x14ac:dyDescent="0.25">
      <c r="A11545" t="s">
        <v>1812</v>
      </c>
      <c r="B11545" t="s">
        <v>2833</v>
      </c>
      <c r="C11545" t="s">
        <v>923</v>
      </c>
      <c r="D11545" t="s">
        <v>3063</v>
      </c>
      <c r="E11545" t="s">
        <v>3053</v>
      </c>
      <c r="F11545" t="s">
        <v>288</v>
      </c>
      <c r="G11545" t="s">
        <v>3040</v>
      </c>
      <c r="H11545" t="s">
        <v>12823</v>
      </c>
      <c r="I11545">
        <v>19</v>
      </c>
      <c r="J11545">
        <v>0</v>
      </c>
      <c r="K11545">
        <v>0</v>
      </c>
      <c r="L11545">
        <v>19</v>
      </c>
      <c r="M11545">
        <v>0</v>
      </c>
      <c r="N11545">
        <v>0</v>
      </c>
      <c r="O11545">
        <v>0</v>
      </c>
    </row>
    <row r="11546" spans="1:15" x14ac:dyDescent="0.25">
      <c r="A11546" t="s">
        <v>989</v>
      </c>
      <c r="B11546" t="s">
        <v>2016</v>
      </c>
      <c r="C11546" t="s">
        <v>923</v>
      </c>
      <c r="D11546" t="s">
        <v>3063</v>
      </c>
      <c r="E11546" t="s">
        <v>3053</v>
      </c>
      <c r="F11546" t="s">
        <v>288</v>
      </c>
      <c r="G11546" t="s">
        <v>3040</v>
      </c>
      <c r="H11546" t="s">
        <v>12831</v>
      </c>
      <c r="I11546">
        <v>14</v>
      </c>
      <c r="J11546">
        <v>0</v>
      </c>
      <c r="K11546">
        <v>0</v>
      </c>
      <c r="L11546">
        <v>14</v>
      </c>
      <c r="M11546">
        <v>0</v>
      </c>
      <c r="N11546">
        <v>0</v>
      </c>
      <c r="O11546">
        <v>0</v>
      </c>
    </row>
    <row r="11547" spans="1:15" x14ac:dyDescent="0.25">
      <c r="A11547" t="s">
        <v>11717</v>
      </c>
      <c r="B11547" t="s">
        <v>2967</v>
      </c>
      <c r="C11547" t="s">
        <v>923</v>
      </c>
      <c r="D11547" t="s">
        <v>3063</v>
      </c>
      <c r="E11547" t="s">
        <v>3053</v>
      </c>
      <c r="F11547" t="s">
        <v>288</v>
      </c>
      <c r="G11547" t="s">
        <v>3040</v>
      </c>
      <c r="H11547" t="s">
        <v>12835</v>
      </c>
      <c r="I11547">
        <v>254</v>
      </c>
      <c r="J11547">
        <v>0</v>
      </c>
      <c r="K11547">
        <v>0</v>
      </c>
      <c r="L11547">
        <v>159</v>
      </c>
      <c r="M11547">
        <v>95</v>
      </c>
      <c r="N11547">
        <v>0</v>
      </c>
      <c r="O11547">
        <v>0</v>
      </c>
    </row>
    <row r="11548" spans="1:15" x14ac:dyDescent="0.25">
      <c r="A11548" t="s">
        <v>1715</v>
      </c>
      <c r="B11548" t="s">
        <v>2136</v>
      </c>
      <c r="C11548" t="s">
        <v>927</v>
      </c>
      <c r="D11548" t="s">
        <v>3052</v>
      </c>
      <c r="E11548" t="s">
        <v>3053</v>
      </c>
      <c r="F11548" t="s">
        <v>288</v>
      </c>
      <c r="G11548" t="s">
        <v>3040</v>
      </c>
      <c r="H11548" t="s">
        <v>12837</v>
      </c>
      <c r="I11548">
        <v>29647</v>
      </c>
      <c r="J11548">
        <v>26824</v>
      </c>
      <c r="K11548">
        <v>0</v>
      </c>
      <c r="L11548">
        <v>445</v>
      </c>
      <c r="M11548">
        <v>709</v>
      </c>
      <c r="N11548">
        <v>200</v>
      </c>
      <c r="O11548">
        <v>1669</v>
      </c>
    </row>
    <row r="11549" spans="1:15" x14ac:dyDescent="0.25">
      <c r="A11549" t="s">
        <v>933</v>
      </c>
      <c r="B11549" t="s">
        <v>2106</v>
      </c>
      <c r="C11549" t="s">
        <v>927</v>
      </c>
      <c r="D11549" t="s">
        <v>3052</v>
      </c>
      <c r="E11549" t="s">
        <v>3053</v>
      </c>
      <c r="F11549" t="s">
        <v>288</v>
      </c>
      <c r="G11549" t="s">
        <v>3040</v>
      </c>
      <c r="H11549" t="s">
        <v>12847</v>
      </c>
      <c r="I11549">
        <v>5305</v>
      </c>
      <c r="J11549">
        <v>4226</v>
      </c>
      <c r="K11549">
        <v>0</v>
      </c>
      <c r="L11549">
        <v>85</v>
      </c>
      <c r="M11549">
        <v>276</v>
      </c>
      <c r="N11549">
        <v>26</v>
      </c>
      <c r="O11549">
        <v>718</v>
      </c>
    </row>
    <row r="11550" spans="1:15" x14ac:dyDescent="0.25">
      <c r="A11550" t="s">
        <v>11718</v>
      </c>
      <c r="B11550" t="s">
        <v>2185</v>
      </c>
      <c r="C11550" t="s">
        <v>923</v>
      </c>
      <c r="D11550" t="s">
        <v>3063</v>
      </c>
      <c r="E11550" t="s">
        <v>3053</v>
      </c>
      <c r="F11550" t="s">
        <v>288</v>
      </c>
      <c r="G11550" t="s">
        <v>3040</v>
      </c>
      <c r="H11550" t="s">
        <v>12849</v>
      </c>
      <c r="I11550">
        <v>16</v>
      </c>
      <c r="J11550">
        <v>16</v>
      </c>
      <c r="K11550">
        <v>0</v>
      </c>
      <c r="L11550">
        <v>0</v>
      </c>
      <c r="M11550">
        <v>0</v>
      </c>
      <c r="N11550">
        <v>0</v>
      </c>
      <c r="O11550">
        <v>0</v>
      </c>
    </row>
    <row r="11551" spans="1:15" x14ac:dyDescent="0.25">
      <c r="A11551" t="s">
        <v>1814</v>
      </c>
      <c r="B11551" t="s">
        <v>2266</v>
      </c>
      <c r="C11551" t="s">
        <v>923</v>
      </c>
      <c r="D11551" t="s">
        <v>3063</v>
      </c>
      <c r="E11551" t="s">
        <v>3053</v>
      </c>
      <c r="F11551" t="s">
        <v>288</v>
      </c>
      <c r="G11551" t="s">
        <v>3040</v>
      </c>
      <c r="H11551" t="s">
        <v>12860</v>
      </c>
      <c r="I11551">
        <v>8</v>
      </c>
      <c r="J11551">
        <v>8</v>
      </c>
      <c r="K11551">
        <v>0</v>
      </c>
      <c r="L11551">
        <v>0</v>
      </c>
      <c r="M11551">
        <v>0</v>
      </c>
      <c r="N11551">
        <v>0</v>
      </c>
      <c r="O11551">
        <v>0</v>
      </c>
    </row>
    <row r="11552" spans="1:15" x14ac:dyDescent="0.25">
      <c r="A11552" t="s">
        <v>9841</v>
      </c>
      <c r="B11552" t="s">
        <v>3026</v>
      </c>
      <c r="C11552" t="s">
        <v>927</v>
      </c>
      <c r="D11552" t="s">
        <v>3052</v>
      </c>
      <c r="E11552" t="s">
        <v>3053</v>
      </c>
      <c r="F11552" t="s">
        <v>288</v>
      </c>
      <c r="G11552" t="s">
        <v>3040</v>
      </c>
      <c r="H11552" t="s">
        <v>12862</v>
      </c>
      <c r="I11552">
        <v>10781</v>
      </c>
      <c r="J11552">
        <v>8666</v>
      </c>
      <c r="K11552">
        <v>0</v>
      </c>
      <c r="L11552">
        <v>123</v>
      </c>
      <c r="M11552">
        <v>1514</v>
      </c>
      <c r="N11552">
        <v>137</v>
      </c>
      <c r="O11552">
        <v>478</v>
      </c>
    </row>
    <row r="11553" spans="1:15" x14ac:dyDescent="0.25">
      <c r="A11553" t="s">
        <v>1590</v>
      </c>
      <c r="B11553" t="s">
        <v>2853</v>
      </c>
      <c r="C11553" t="s">
        <v>927</v>
      </c>
      <c r="D11553" t="s">
        <v>3052</v>
      </c>
      <c r="E11553" t="s">
        <v>3053</v>
      </c>
      <c r="F11553" t="s">
        <v>288</v>
      </c>
      <c r="G11553" t="s">
        <v>3040</v>
      </c>
      <c r="H11553" t="s">
        <v>12882</v>
      </c>
      <c r="I11553">
        <v>88</v>
      </c>
      <c r="J11553">
        <v>67</v>
      </c>
      <c r="K11553">
        <v>0</v>
      </c>
      <c r="L11553">
        <v>0</v>
      </c>
      <c r="M11553">
        <v>0</v>
      </c>
      <c r="N11553">
        <v>0</v>
      </c>
      <c r="O11553">
        <v>21</v>
      </c>
    </row>
    <row r="11554" spans="1:15" x14ac:dyDescent="0.25">
      <c r="A11554" t="s">
        <v>1815</v>
      </c>
      <c r="B11554" t="s">
        <v>2171</v>
      </c>
      <c r="C11554" t="s">
        <v>923</v>
      </c>
      <c r="D11554" t="s">
        <v>3063</v>
      </c>
      <c r="E11554" t="s">
        <v>3053</v>
      </c>
      <c r="F11554" t="s">
        <v>288</v>
      </c>
      <c r="G11554" t="s">
        <v>3040</v>
      </c>
      <c r="H11554" t="s">
        <v>12884</v>
      </c>
      <c r="I11554">
        <v>118</v>
      </c>
      <c r="J11554">
        <v>0</v>
      </c>
      <c r="K11554">
        <v>0</v>
      </c>
      <c r="L11554">
        <v>0</v>
      </c>
      <c r="M11554">
        <v>118</v>
      </c>
      <c r="N11554">
        <v>0</v>
      </c>
      <c r="O11554">
        <v>0</v>
      </c>
    </row>
    <row r="11555" spans="1:15" x14ac:dyDescent="0.25">
      <c r="A11555" t="s">
        <v>991</v>
      </c>
      <c r="B11555" t="s">
        <v>1976</v>
      </c>
      <c r="C11555" t="s">
        <v>923</v>
      </c>
      <c r="D11555" t="s">
        <v>3063</v>
      </c>
      <c r="E11555" t="s">
        <v>3053</v>
      </c>
      <c r="F11555" t="s">
        <v>288</v>
      </c>
      <c r="G11555" t="s">
        <v>3040</v>
      </c>
      <c r="H11555" t="s">
        <v>12891</v>
      </c>
      <c r="I11555">
        <v>69</v>
      </c>
      <c r="J11555">
        <v>0</v>
      </c>
      <c r="K11555">
        <v>0</v>
      </c>
      <c r="L11555">
        <v>69</v>
      </c>
      <c r="M11555">
        <v>0</v>
      </c>
      <c r="N11555">
        <v>0</v>
      </c>
      <c r="O11555">
        <v>0</v>
      </c>
    </row>
    <row r="11556" spans="1:15" x14ac:dyDescent="0.25">
      <c r="A11556" t="s">
        <v>996</v>
      </c>
      <c r="B11556" t="s">
        <v>1952</v>
      </c>
      <c r="C11556" t="s">
        <v>923</v>
      </c>
      <c r="D11556" t="s">
        <v>3063</v>
      </c>
      <c r="E11556" t="s">
        <v>3053</v>
      </c>
      <c r="F11556" t="s">
        <v>288</v>
      </c>
      <c r="G11556" t="s">
        <v>3040</v>
      </c>
      <c r="H11556" t="s">
        <v>12930</v>
      </c>
      <c r="I11556">
        <v>58</v>
      </c>
      <c r="J11556">
        <v>0</v>
      </c>
      <c r="K11556">
        <v>0</v>
      </c>
      <c r="L11556">
        <v>58</v>
      </c>
      <c r="M11556">
        <v>0</v>
      </c>
      <c r="N11556">
        <v>0</v>
      </c>
      <c r="O11556">
        <v>0</v>
      </c>
    </row>
    <row r="11557" spans="1:15" x14ac:dyDescent="0.25">
      <c r="A11557" t="s">
        <v>10623</v>
      </c>
      <c r="B11557" t="s">
        <v>1963</v>
      </c>
      <c r="C11557" t="s">
        <v>923</v>
      </c>
      <c r="D11557" t="s">
        <v>3063</v>
      </c>
      <c r="E11557" t="s">
        <v>3053</v>
      </c>
      <c r="F11557" t="s">
        <v>288</v>
      </c>
      <c r="G11557" t="s">
        <v>3040</v>
      </c>
      <c r="H11557" t="s">
        <v>12951</v>
      </c>
      <c r="I11557">
        <v>280</v>
      </c>
      <c r="J11557">
        <v>0</v>
      </c>
      <c r="K11557">
        <v>280</v>
      </c>
      <c r="L11557">
        <v>0</v>
      </c>
      <c r="M11557">
        <v>0</v>
      </c>
      <c r="N11557">
        <v>0</v>
      </c>
      <c r="O11557">
        <v>0</v>
      </c>
    </row>
    <row r="11558" spans="1:15" x14ac:dyDescent="0.25">
      <c r="A11558" t="s">
        <v>1729</v>
      </c>
      <c r="B11558" t="s">
        <v>2943</v>
      </c>
      <c r="C11558" t="s">
        <v>923</v>
      </c>
      <c r="D11558" t="s">
        <v>3063</v>
      </c>
      <c r="E11558" t="s">
        <v>3053</v>
      </c>
      <c r="F11558" t="s">
        <v>288</v>
      </c>
      <c r="G11558" t="s">
        <v>3040</v>
      </c>
      <c r="H11558" t="s">
        <v>12962</v>
      </c>
      <c r="I11558">
        <v>48</v>
      </c>
      <c r="J11558">
        <v>48</v>
      </c>
      <c r="K11558">
        <v>0</v>
      </c>
      <c r="L11558">
        <v>0</v>
      </c>
      <c r="M11558">
        <v>0</v>
      </c>
      <c r="N11558">
        <v>0</v>
      </c>
      <c r="O11558">
        <v>0</v>
      </c>
    </row>
    <row r="11559" spans="1:15" x14ac:dyDescent="0.25">
      <c r="A11559" t="s">
        <v>1816</v>
      </c>
      <c r="B11559" t="s">
        <v>2252</v>
      </c>
      <c r="C11559" t="s">
        <v>923</v>
      </c>
      <c r="D11559" t="s">
        <v>3063</v>
      </c>
      <c r="E11559" t="s">
        <v>3053</v>
      </c>
      <c r="F11559" t="s">
        <v>288</v>
      </c>
      <c r="G11559" t="s">
        <v>3040</v>
      </c>
      <c r="H11559" t="s">
        <v>12963</v>
      </c>
      <c r="I11559">
        <v>32</v>
      </c>
      <c r="J11559">
        <v>0</v>
      </c>
      <c r="K11559">
        <v>0</v>
      </c>
      <c r="L11559">
        <v>0</v>
      </c>
      <c r="M11559">
        <v>32</v>
      </c>
      <c r="N11559">
        <v>0</v>
      </c>
      <c r="O11559">
        <v>0</v>
      </c>
    </row>
    <row r="11560" spans="1:15" x14ac:dyDescent="0.25">
      <c r="A11560" t="s">
        <v>997</v>
      </c>
      <c r="B11560" t="s">
        <v>2033</v>
      </c>
      <c r="C11560" t="s">
        <v>927</v>
      </c>
      <c r="D11560" t="s">
        <v>3052</v>
      </c>
      <c r="E11560" t="s">
        <v>3053</v>
      </c>
      <c r="F11560" t="s">
        <v>288</v>
      </c>
      <c r="G11560" t="s">
        <v>3040</v>
      </c>
      <c r="H11560" t="s">
        <v>12969</v>
      </c>
      <c r="I11560">
        <v>43</v>
      </c>
      <c r="J11560">
        <v>37</v>
      </c>
      <c r="K11560">
        <v>0</v>
      </c>
      <c r="L11560">
        <v>0</v>
      </c>
      <c r="M11560">
        <v>0</v>
      </c>
      <c r="N11560">
        <v>0</v>
      </c>
      <c r="O11560">
        <v>6</v>
      </c>
    </row>
    <row r="11561" spans="1:15" x14ac:dyDescent="0.25">
      <c r="A11561" t="s">
        <v>935</v>
      </c>
      <c r="B11561" t="s">
        <v>1960</v>
      </c>
      <c r="C11561" t="s">
        <v>923</v>
      </c>
      <c r="D11561" t="s">
        <v>3063</v>
      </c>
      <c r="E11561" t="s">
        <v>3053</v>
      </c>
      <c r="F11561" t="s">
        <v>288</v>
      </c>
      <c r="G11561" t="s">
        <v>3040</v>
      </c>
      <c r="H11561" t="s">
        <v>12980</v>
      </c>
      <c r="I11561">
        <v>8</v>
      </c>
      <c r="J11561">
        <v>0</v>
      </c>
      <c r="K11561">
        <v>0</v>
      </c>
      <c r="L11561">
        <v>8</v>
      </c>
      <c r="M11561">
        <v>0</v>
      </c>
      <c r="N11561">
        <v>0</v>
      </c>
      <c r="O11561">
        <v>0</v>
      </c>
    </row>
    <row r="11562" spans="1:15" x14ac:dyDescent="0.25">
      <c r="A11562" t="s">
        <v>1817</v>
      </c>
      <c r="B11562" t="s">
        <v>2831</v>
      </c>
      <c r="C11562" t="s">
        <v>927</v>
      </c>
      <c r="D11562" t="s">
        <v>3052</v>
      </c>
      <c r="E11562" t="s">
        <v>3053</v>
      </c>
      <c r="F11562" t="s">
        <v>288</v>
      </c>
      <c r="G11562" t="s">
        <v>3040</v>
      </c>
      <c r="H11562" t="s">
        <v>12981</v>
      </c>
      <c r="I11562">
        <v>1382</v>
      </c>
      <c r="J11562">
        <v>1360</v>
      </c>
      <c r="K11562">
        <v>0</v>
      </c>
      <c r="L11562">
        <v>20</v>
      </c>
      <c r="M11562">
        <v>0</v>
      </c>
      <c r="N11562">
        <v>0</v>
      </c>
      <c r="O11562">
        <v>2</v>
      </c>
    </row>
    <row r="11563" spans="1:15" x14ac:dyDescent="0.25">
      <c r="A11563" t="s">
        <v>11660</v>
      </c>
      <c r="B11563" t="s">
        <v>2041</v>
      </c>
      <c r="C11563" t="s">
        <v>923</v>
      </c>
      <c r="D11563" t="s">
        <v>3063</v>
      </c>
      <c r="E11563" t="s">
        <v>3053</v>
      </c>
      <c r="F11563" t="s">
        <v>288</v>
      </c>
      <c r="G11563" t="s">
        <v>3040</v>
      </c>
      <c r="H11563" t="s">
        <v>12989</v>
      </c>
      <c r="I11563">
        <v>36</v>
      </c>
      <c r="J11563">
        <v>0</v>
      </c>
      <c r="K11563">
        <v>0</v>
      </c>
      <c r="L11563">
        <v>36</v>
      </c>
      <c r="M11563">
        <v>0</v>
      </c>
      <c r="N11563">
        <v>0</v>
      </c>
      <c r="O11563">
        <v>0</v>
      </c>
    </row>
    <row r="11564" spans="1:15" x14ac:dyDescent="0.25">
      <c r="A11564" t="s">
        <v>1818</v>
      </c>
      <c r="B11564" t="s">
        <v>2032</v>
      </c>
      <c r="C11564" t="s">
        <v>923</v>
      </c>
      <c r="D11564" t="s">
        <v>3063</v>
      </c>
      <c r="E11564" t="s">
        <v>3053</v>
      </c>
      <c r="F11564" t="s">
        <v>288</v>
      </c>
      <c r="G11564" t="s">
        <v>3040</v>
      </c>
      <c r="H11564" t="s">
        <v>13004</v>
      </c>
      <c r="I11564">
        <v>1</v>
      </c>
      <c r="J11564">
        <v>1</v>
      </c>
      <c r="K11564">
        <v>0</v>
      </c>
      <c r="L11564">
        <v>0</v>
      </c>
      <c r="M11564">
        <v>0</v>
      </c>
      <c r="N11564">
        <v>0</v>
      </c>
      <c r="O11564">
        <v>0</v>
      </c>
    </row>
    <row r="11565" spans="1:15" x14ac:dyDescent="0.25">
      <c r="A11565" t="s">
        <v>1603</v>
      </c>
      <c r="B11565" t="s">
        <v>2053</v>
      </c>
      <c r="C11565" t="s">
        <v>923</v>
      </c>
      <c r="D11565" t="s">
        <v>3063</v>
      </c>
      <c r="E11565" t="s">
        <v>3053</v>
      </c>
      <c r="F11565" t="s">
        <v>288</v>
      </c>
      <c r="G11565" t="s">
        <v>3040</v>
      </c>
      <c r="H11565" t="s">
        <v>13011</v>
      </c>
      <c r="I11565">
        <v>25</v>
      </c>
      <c r="J11565">
        <v>0</v>
      </c>
      <c r="K11565">
        <v>0</v>
      </c>
      <c r="L11565">
        <v>25</v>
      </c>
      <c r="M11565">
        <v>0</v>
      </c>
      <c r="N11565">
        <v>0</v>
      </c>
      <c r="O11565">
        <v>0</v>
      </c>
    </row>
    <row r="11566" spans="1:15" x14ac:dyDescent="0.25">
      <c r="A11566" t="s">
        <v>1416</v>
      </c>
      <c r="B11566" t="s">
        <v>2029</v>
      </c>
      <c r="C11566" t="s">
        <v>923</v>
      </c>
      <c r="D11566" t="s">
        <v>3063</v>
      </c>
      <c r="E11566" t="s">
        <v>3053</v>
      </c>
      <c r="F11566" t="s">
        <v>288</v>
      </c>
      <c r="G11566" t="s">
        <v>3040</v>
      </c>
      <c r="H11566" t="s">
        <v>13019</v>
      </c>
      <c r="I11566">
        <v>21</v>
      </c>
      <c r="J11566">
        <v>0</v>
      </c>
      <c r="K11566">
        <v>0</v>
      </c>
      <c r="L11566">
        <v>21</v>
      </c>
      <c r="M11566">
        <v>0</v>
      </c>
      <c r="N11566">
        <v>0</v>
      </c>
      <c r="O11566">
        <v>0</v>
      </c>
    </row>
    <row r="11567" spans="1:15" x14ac:dyDescent="0.25">
      <c r="A11567" t="s">
        <v>1000</v>
      </c>
      <c r="B11567" t="s">
        <v>1984</v>
      </c>
      <c r="C11567" t="s">
        <v>923</v>
      </c>
      <c r="D11567" t="s">
        <v>3063</v>
      </c>
      <c r="E11567" t="s">
        <v>3053</v>
      </c>
      <c r="F11567" t="s">
        <v>288</v>
      </c>
      <c r="G11567" t="s">
        <v>3040</v>
      </c>
      <c r="H11567" t="s">
        <v>13034</v>
      </c>
      <c r="I11567">
        <v>1</v>
      </c>
      <c r="J11567">
        <v>0</v>
      </c>
      <c r="K11567">
        <v>0</v>
      </c>
      <c r="L11567">
        <v>1</v>
      </c>
      <c r="M11567">
        <v>0</v>
      </c>
      <c r="N11567">
        <v>0</v>
      </c>
      <c r="O11567">
        <v>0</v>
      </c>
    </row>
    <row r="11568" spans="1:15" x14ac:dyDescent="0.25">
      <c r="A11568" t="s">
        <v>10630</v>
      </c>
      <c r="B11568" t="s">
        <v>10629</v>
      </c>
      <c r="C11568" t="s">
        <v>923</v>
      </c>
      <c r="D11568" t="s">
        <v>3063</v>
      </c>
      <c r="E11568" t="s">
        <v>3053</v>
      </c>
      <c r="F11568" t="s">
        <v>288</v>
      </c>
      <c r="G11568" t="s">
        <v>3040</v>
      </c>
      <c r="H11568" t="s">
        <v>13039</v>
      </c>
      <c r="I11568">
        <v>17</v>
      </c>
      <c r="J11568">
        <v>17</v>
      </c>
      <c r="K11568">
        <v>0</v>
      </c>
      <c r="L11568">
        <v>0</v>
      </c>
      <c r="M11568">
        <v>0</v>
      </c>
      <c r="N11568">
        <v>0</v>
      </c>
      <c r="O11568">
        <v>0</v>
      </c>
    </row>
    <row r="11569" spans="1:15" x14ac:dyDescent="0.25">
      <c r="A11569" t="s">
        <v>1001</v>
      </c>
      <c r="B11569" t="s">
        <v>3007</v>
      </c>
      <c r="C11569" t="s">
        <v>927</v>
      </c>
      <c r="D11569" t="s">
        <v>3052</v>
      </c>
      <c r="E11569" t="s">
        <v>3053</v>
      </c>
      <c r="F11569" t="s">
        <v>288</v>
      </c>
      <c r="G11569" t="s">
        <v>3040</v>
      </c>
      <c r="H11569" t="s">
        <v>13047</v>
      </c>
      <c r="I11569">
        <v>4</v>
      </c>
      <c r="J11569">
        <v>0</v>
      </c>
      <c r="K11569">
        <v>0</v>
      </c>
      <c r="L11569">
        <v>4</v>
      </c>
      <c r="M11569">
        <v>0</v>
      </c>
      <c r="N11569">
        <v>0</v>
      </c>
      <c r="O11569">
        <v>0</v>
      </c>
    </row>
    <row r="11570" spans="1:15" x14ac:dyDescent="0.25">
      <c r="A11570" t="s">
        <v>1485</v>
      </c>
      <c r="B11570" t="s">
        <v>2836</v>
      </c>
      <c r="C11570" t="s">
        <v>927</v>
      </c>
      <c r="D11570" t="s">
        <v>3052</v>
      </c>
      <c r="E11570" t="s">
        <v>3053</v>
      </c>
      <c r="F11570" t="s">
        <v>288</v>
      </c>
      <c r="G11570" t="s">
        <v>3040</v>
      </c>
      <c r="H11570" t="s">
        <v>13058</v>
      </c>
      <c r="I11570">
        <v>1</v>
      </c>
      <c r="J11570">
        <v>0</v>
      </c>
      <c r="K11570">
        <v>0</v>
      </c>
      <c r="L11570">
        <v>0</v>
      </c>
      <c r="M11570">
        <v>0</v>
      </c>
      <c r="N11570">
        <v>0</v>
      </c>
      <c r="O11570">
        <v>1</v>
      </c>
    </row>
    <row r="11571" spans="1:15" x14ac:dyDescent="0.25">
      <c r="A11571" t="s">
        <v>1819</v>
      </c>
      <c r="B11571" t="s">
        <v>2275</v>
      </c>
      <c r="C11571" t="s">
        <v>923</v>
      </c>
      <c r="D11571" t="s">
        <v>3063</v>
      </c>
      <c r="E11571" t="s">
        <v>3053</v>
      </c>
      <c r="F11571" t="s">
        <v>288</v>
      </c>
      <c r="G11571" t="s">
        <v>3040</v>
      </c>
      <c r="H11571" t="s">
        <v>13074</v>
      </c>
      <c r="I11571">
        <v>33</v>
      </c>
      <c r="J11571">
        <v>0</v>
      </c>
      <c r="K11571">
        <v>0</v>
      </c>
      <c r="L11571">
        <v>33</v>
      </c>
      <c r="M11571">
        <v>0</v>
      </c>
      <c r="N11571">
        <v>0</v>
      </c>
      <c r="O11571">
        <v>0</v>
      </c>
    </row>
    <row r="11572" spans="1:15" x14ac:dyDescent="0.25">
      <c r="A11572" t="s">
        <v>10638</v>
      </c>
      <c r="B11572" t="s">
        <v>2057</v>
      </c>
      <c r="C11572" t="s">
        <v>927</v>
      </c>
      <c r="D11572" t="s">
        <v>3052</v>
      </c>
      <c r="E11572" t="s">
        <v>3053</v>
      </c>
      <c r="F11572" t="s">
        <v>288</v>
      </c>
      <c r="G11572" t="s">
        <v>3040</v>
      </c>
      <c r="H11572" t="s">
        <v>13083</v>
      </c>
      <c r="I11572">
        <v>198</v>
      </c>
      <c r="J11572">
        <v>0</v>
      </c>
      <c r="K11572">
        <v>0</v>
      </c>
      <c r="L11572">
        <v>198</v>
      </c>
      <c r="M11572">
        <v>0</v>
      </c>
      <c r="N11572">
        <v>0</v>
      </c>
      <c r="O11572">
        <v>0</v>
      </c>
    </row>
    <row r="11573" spans="1:15" x14ac:dyDescent="0.25">
      <c r="A11573" t="s">
        <v>1006</v>
      </c>
      <c r="B11573" t="s">
        <v>2724</v>
      </c>
      <c r="C11573" t="s">
        <v>927</v>
      </c>
      <c r="D11573" t="s">
        <v>3052</v>
      </c>
      <c r="E11573" t="s">
        <v>3053</v>
      </c>
      <c r="F11573" t="s">
        <v>288</v>
      </c>
      <c r="G11573" t="s">
        <v>3040</v>
      </c>
      <c r="H11573" t="s">
        <v>13104</v>
      </c>
      <c r="I11573">
        <v>88</v>
      </c>
      <c r="J11573">
        <v>5</v>
      </c>
      <c r="K11573">
        <v>0</v>
      </c>
      <c r="L11573">
        <v>0</v>
      </c>
      <c r="M11573">
        <v>0</v>
      </c>
      <c r="N11573">
        <v>0</v>
      </c>
      <c r="O11573">
        <v>83</v>
      </c>
    </row>
    <row r="11574" spans="1:15" x14ac:dyDescent="0.25">
      <c r="A11574" t="s">
        <v>10643</v>
      </c>
      <c r="B11574" t="s">
        <v>2987</v>
      </c>
      <c r="C11574" t="s">
        <v>927</v>
      </c>
      <c r="D11574" t="s">
        <v>3052</v>
      </c>
      <c r="E11574" t="s">
        <v>3053</v>
      </c>
      <c r="F11574" t="s">
        <v>288</v>
      </c>
      <c r="G11574" t="s">
        <v>3040</v>
      </c>
      <c r="H11574" t="s">
        <v>13115</v>
      </c>
      <c r="I11574">
        <v>12554</v>
      </c>
      <c r="J11574">
        <v>9893</v>
      </c>
      <c r="K11574">
        <v>14</v>
      </c>
      <c r="L11574">
        <v>520</v>
      </c>
      <c r="M11574">
        <v>1066</v>
      </c>
      <c r="N11574">
        <v>218</v>
      </c>
      <c r="O11574">
        <v>1061</v>
      </c>
    </row>
    <row r="11575" spans="1:15" x14ac:dyDescent="0.25">
      <c r="A11575" t="s">
        <v>10645</v>
      </c>
      <c r="B11575" t="s">
        <v>10644</v>
      </c>
      <c r="C11575" t="s">
        <v>923</v>
      </c>
      <c r="D11575" t="s">
        <v>3063</v>
      </c>
      <c r="E11575" t="s">
        <v>3053</v>
      </c>
      <c r="F11575" t="s">
        <v>288</v>
      </c>
      <c r="G11575" t="s">
        <v>3040</v>
      </c>
      <c r="H11575" t="s">
        <v>13117</v>
      </c>
      <c r="I11575">
        <v>1</v>
      </c>
      <c r="J11575">
        <v>1</v>
      </c>
      <c r="K11575">
        <v>0</v>
      </c>
      <c r="L11575">
        <v>0</v>
      </c>
      <c r="M11575">
        <v>0</v>
      </c>
      <c r="N11575">
        <v>0</v>
      </c>
      <c r="O11575">
        <v>0</v>
      </c>
    </row>
    <row r="11576" spans="1:15" x14ac:dyDescent="0.25">
      <c r="A11576" t="s">
        <v>1008</v>
      </c>
      <c r="B11576" t="s">
        <v>2928</v>
      </c>
      <c r="C11576" t="s">
        <v>927</v>
      </c>
      <c r="D11576" t="s">
        <v>3052</v>
      </c>
      <c r="E11576" t="s">
        <v>3053</v>
      </c>
      <c r="F11576" t="s">
        <v>288</v>
      </c>
      <c r="G11576" t="s">
        <v>3040</v>
      </c>
      <c r="H11576" t="s">
        <v>13129</v>
      </c>
      <c r="I11576">
        <v>136</v>
      </c>
      <c r="J11576">
        <v>90</v>
      </c>
      <c r="K11576">
        <v>0</v>
      </c>
      <c r="L11576">
        <v>43</v>
      </c>
      <c r="M11576">
        <v>3</v>
      </c>
      <c r="N11576">
        <v>6</v>
      </c>
      <c r="O11576">
        <v>0</v>
      </c>
    </row>
    <row r="11577" spans="1:15" x14ac:dyDescent="0.25">
      <c r="A11577" t="s">
        <v>1009</v>
      </c>
      <c r="B11577" t="s">
        <v>1958</v>
      </c>
      <c r="C11577" t="s">
        <v>923</v>
      </c>
      <c r="D11577" t="s">
        <v>3063</v>
      </c>
      <c r="E11577" t="s">
        <v>3053</v>
      </c>
      <c r="F11577" t="s">
        <v>288</v>
      </c>
      <c r="G11577" t="s">
        <v>3040</v>
      </c>
      <c r="H11577" t="s">
        <v>13140</v>
      </c>
      <c r="I11577">
        <v>54</v>
      </c>
      <c r="J11577">
        <v>0</v>
      </c>
      <c r="K11577">
        <v>0</v>
      </c>
      <c r="L11577">
        <v>54</v>
      </c>
      <c r="M11577">
        <v>0</v>
      </c>
      <c r="N11577">
        <v>0</v>
      </c>
      <c r="O11577">
        <v>0</v>
      </c>
    </row>
    <row r="11578" spans="1:15" x14ac:dyDescent="0.25">
      <c r="A11578" t="s">
        <v>1820</v>
      </c>
      <c r="B11578" t="s">
        <v>2161</v>
      </c>
      <c r="C11578" t="s">
        <v>923</v>
      </c>
      <c r="D11578" t="s">
        <v>3063</v>
      </c>
      <c r="E11578" t="s">
        <v>3053</v>
      </c>
      <c r="F11578" t="s">
        <v>288</v>
      </c>
      <c r="G11578" t="s">
        <v>3040</v>
      </c>
      <c r="H11578" t="s">
        <v>13151</v>
      </c>
      <c r="I11578">
        <v>13</v>
      </c>
      <c r="J11578">
        <v>13</v>
      </c>
      <c r="K11578">
        <v>0</v>
      </c>
      <c r="L11578">
        <v>0</v>
      </c>
      <c r="M11578">
        <v>0</v>
      </c>
      <c r="N11578">
        <v>0</v>
      </c>
      <c r="O11578">
        <v>0</v>
      </c>
    </row>
    <row r="11579" spans="1:15" x14ac:dyDescent="0.25">
      <c r="A11579" t="s">
        <v>1821</v>
      </c>
      <c r="B11579" t="s">
        <v>1987</v>
      </c>
      <c r="C11579" t="s">
        <v>923</v>
      </c>
      <c r="D11579" t="s">
        <v>3063</v>
      </c>
      <c r="E11579" t="s">
        <v>3053</v>
      </c>
      <c r="F11579" t="s">
        <v>288</v>
      </c>
      <c r="G11579" t="s">
        <v>3040</v>
      </c>
      <c r="H11579" t="s">
        <v>13165</v>
      </c>
      <c r="I11579">
        <v>29</v>
      </c>
      <c r="J11579">
        <v>29</v>
      </c>
      <c r="K11579">
        <v>0</v>
      </c>
      <c r="L11579">
        <v>0</v>
      </c>
      <c r="M11579">
        <v>0</v>
      </c>
      <c r="N11579">
        <v>0</v>
      </c>
      <c r="O11579">
        <v>0</v>
      </c>
    </row>
    <row r="11580" spans="1:15" x14ac:dyDescent="0.25">
      <c r="A11580" t="s">
        <v>1822</v>
      </c>
      <c r="B11580" t="s">
        <v>2040</v>
      </c>
      <c r="C11580" t="s">
        <v>923</v>
      </c>
      <c r="D11580" t="s">
        <v>3063</v>
      </c>
      <c r="E11580" t="s">
        <v>3053</v>
      </c>
      <c r="F11580" t="s">
        <v>288</v>
      </c>
      <c r="G11580" t="s">
        <v>3040</v>
      </c>
      <c r="H11580" t="s">
        <v>13167</v>
      </c>
      <c r="I11580">
        <v>267</v>
      </c>
      <c r="J11580">
        <v>93</v>
      </c>
      <c r="K11580">
        <v>0</v>
      </c>
      <c r="L11580">
        <v>174</v>
      </c>
      <c r="M11580">
        <v>0</v>
      </c>
      <c r="N11580">
        <v>0</v>
      </c>
      <c r="O11580">
        <v>0</v>
      </c>
    </row>
    <row r="11581" spans="1:15" x14ac:dyDescent="0.25">
      <c r="A11581" t="s">
        <v>1823</v>
      </c>
      <c r="B11581" t="s">
        <v>1955</v>
      </c>
      <c r="C11581" t="s">
        <v>923</v>
      </c>
      <c r="D11581" t="s">
        <v>3063</v>
      </c>
      <c r="E11581" t="s">
        <v>3053</v>
      </c>
      <c r="F11581" t="s">
        <v>288</v>
      </c>
      <c r="G11581" t="s">
        <v>3040</v>
      </c>
      <c r="H11581" t="s">
        <v>13169</v>
      </c>
      <c r="I11581">
        <v>598</v>
      </c>
      <c r="J11581">
        <v>0</v>
      </c>
      <c r="K11581">
        <v>4</v>
      </c>
      <c r="L11581">
        <v>594</v>
      </c>
      <c r="M11581">
        <v>0</v>
      </c>
      <c r="N11581">
        <v>0</v>
      </c>
      <c r="O11581">
        <v>0</v>
      </c>
    </row>
    <row r="11582" spans="1:15" x14ac:dyDescent="0.25">
      <c r="A11582" t="s">
        <v>937</v>
      </c>
      <c r="B11582" t="s">
        <v>1962</v>
      </c>
      <c r="C11582" t="s">
        <v>927</v>
      </c>
      <c r="D11582" t="s">
        <v>3052</v>
      </c>
      <c r="E11582" t="s">
        <v>3053</v>
      </c>
      <c r="F11582" t="s">
        <v>288</v>
      </c>
      <c r="G11582" t="s">
        <v>3040</v>
      </c>
      <c r="H11582" t="s">
        <v>13189</v>
      </c>
      <c r="I11582">
        <v>676</v>
      </c>
      <c r="J11582">
        <v>0</v>
      </c>
      <c r="K11582">
        <v>0</v>
      </c>
      <c r="L11582">
        <v>0</v>
      </c>
      <c r="M11582">
        <v>0</v>
      </c>
      <c r="N11582">
        <v>0</v>
      </c>
      <c r="O11582">
        <v>676</v>
      </c>
    </row>
    <row r="11583" spans="1:15" x14ac:dyDescent="0.25">
      <c r="A11583" t="s">
        <v>1824</v>
      </c>
      <c r="B11583" t="s">
        <v>2614</v>
      </c>
      <c r="C11583" t="s">
        <v>923</v>
      </c>
      <c r="D11583" t="s">
        <v>3063</v>
      </c>
      <c r="E11583" t="s">
        <v>3053</v>
      </c>
      <c r="F11583" t="s">
        <v>288</v>
      </c>
      <c r="G11583" t="s">
        <v>3040</v>
      </c>
      <c r="H11583" t="s">
        <v>13193</v>
      </c>
      <c r="I11583">
        <v>12</v>
      </c>
      <c r="J11583">
        <v>12</v>
      </c>
      <c r="K11583">
        <v>0</v>
      </c>
      <c r="L11583">
        <v>0</v>
      </c>
      <c r="M11583">
        <v>0</v>
      </c>
      <c r="N11583">
        <v>0</v>
      </c>
      <c r="O11583">
        <v>0</v>
      </c>
    </row>
    <row r="11584" spans="1:15" x14ac:dyDescent="0.25">
      <c r="A11584" t="s">
        <v>1011</v>
      </c>
      <c r="B11584" t="s">
        <v>2020</v>
      </c>
      <c r="C11584" t="s">
        <v>927</v>
      </c>
      <c r="D11584" t="s">
        <v>3052</v>
      </c>
      <c r="E11584" t="s">
        <v>3053</v>
      </c>
      <c r="F11584" t="s">
        <v>288</v>
      </c>
      <c r="G11584" t="s">
        <v>3040</v>
      </c>
      <c r="H11584" t="s">
        <v>13204</v>
      </c>
      <c r="I11584">
        <v>47</v>
      </c>
      <c r="J11584">
        <v>0</v>
      </c>
      <c r="K11584">
        <v>0</v>
      </c>
      <c r="L11584">
        <v>47</v>
      </c>
      <c r="M11584">
        <v>0</v>
      </c>
      <c r="N11584">
        <v>0</v>
      </c>
      <c r="O11584">
        <v>0</v>
      </c>
    </row>
    <row r="11585" spans="1:15" x14ac:dyDescent="0.25">
      <c r="A11585" t="s">
        <v>1825</v>
      </c>
      <c r="B11585" t="s">
        <v>2362</v>
      </c>
      <c r="C11585" t="s">
        <v>923</v>
      </c>
      <c r="D11585" t="s">
        <v>3063</v>
      </c>
      <c r="E11585" t="s">
        <v>3053</v>
      </c>
      <c r="F11585" t="s">
        <v>288</v>
      </c>
      <c r="G11585" t="s">
        <v>3040</v>
      </c>
      <c r="H11585" t="s">
        <v>13208</v>
      </c>
      <c r="I11585">
        <v>58</v>
      </c>
      <c r="J11585">
        <v>58</v>
      </c>
      <c r="K11585">
        <v>0</v>
      </c>
      <c r="L11585">
        <v>0</v>
      </c>
      <c r="M11585">
        <v>0</v>
      </c>
      <c r="N11585">
        <v>0</v>
      </c>
      <c r="O11585">
        <v>0</v>
      </c>
    </row>
    <row r="11586" spans="1:15" x14ac:dyDescent="0.25">
      <c r="A11586" t="s">
        <v>938</v>
      </c>
      <c r="B11586" t="s">
        <v>2791</v>
      </c>
      <c r="C11586" t="s">
        <v>927</v>
      </c>
      <c r="D11586" t="s">
        <v>3052</v>
      </c>
      <c r="E11586" t="s">
        <v>3053</v>
      </c>
      <c r="F11586" t="s">
        <v>288</v>
      </c>
      <c r="G11586" t="s">
        <v>3040</v>
      </c>
      <c r="H11586" t="s">
        <v>13220</v>
      </c>
      <c r="I11586">
        <v>208</v>
      </c>
      <c r="J11586">
        <v>0</v>
      </c>
      <c r="K11586">
        <v>0</v>
      </c>
      <c r="L11586">
        <v>208</v>
      </c>
      <c r="M11586">
        <v>0</v>
      </c>
      <c r="N11586">
        <v>1</v>
      </c>
      <c r="O11586">
        <v>0</v>
      </c>
    </row>
    <row r="11587" spans="1:15" x14ac:dyDescent="0.25">
      <c r="A11587" t="s">
        <v>10652</v>
      </c>
      <c r="B11587" t="s">
        <v>3002</v>
      </c>
      <c r="C11587" t="s">
        <v>927</v>
      </c>
      <c r="D11587" t="s">
        <v>3052</v>
      </c>
      <c r="E11587" t="s">
        <v>3053</v>
      </c>
      <c r="F11587" t="s">
        <v>288</v>
      </c>
      <c r="G11587" t="s">
        <v>3040</v>
      </c>
      <c r="H11587" t="s">
        <v>13225</v>
      </c>
      <c r="I11587">
        <v>19038</v>
      </c>
      <c r="J11587">
        <v>15882</v>
      </c>
      <c r="K11587">
        <v>0</v>
      </c>
      <c r="L11587">
        <v>299</v>
      </c>
      <c r="M11587">
        <v>1970</v>
      </c>
      <c r="N11587">
        <v>95</v>
      </c>
      <c r="O11587">
        <v>887</v>
      </c>
    </row>
    <row r="11588" spans="1:15" x14ac:dyDescent="0.25">
      <c r="A11588" t="s">
        <v>1493</v>
      </c>
      <c r="B11588" t="s">
        <v>2962</v>
      </c>
      <c r="C11588" t="s">
        <v>927</v>
      </c>
      <c r="D11588" t="s">
        <v>3052</v>
      </c>
      <c r="E11588" t="s">
        <v>3053</v>
      </c>
      <c r="F11588" t="s">
        <v>288</v>
      </c>
      <c r="G11588" t="s">
        <v>3040</v>
      </c>
      <c r="H11588" t="s">
        <v>13228</v>
      </c>
      <c r="I11588">
        <v>2978</v>
      </c>
      <c r="J11588">
        <v>2193</v>
      </c>
      <c r="K11588">
        <v>21</v>
      </c>
      <c r="L11588">
        <v>153</v>
      </c>
      <c r="M11588">
        <v>456</v>
      </c>
      <c r="N11588">
        <v>54</v>
      </c>
      <c r="O11588">
        <v>155</v>
      </c>
    </row>
    <row r="11589" spans="1:15" x14ac:dyDescent="0.25">
      <c r="A11589" t="s">
        <v>940</v>
      </c>
      <c r="B11589" t="s">
        <v>2647</v>
      </c>
      <c r="C11589" t="s">
        <v>927</v>
      </c>
      <c r="D11589" t="s">
        <v>3052</v>
      </c>
      <c r="E11589" t="s">
        <v>3053</v>
      </c>
      <c r="F11589" t="s">
        <v>288</v>
      </c>
      <c r="G11589" t="s">
        <v>3040</v>
      </c>
      <c r="H11589" t="s">
        <v>13239</v>
      </c>
      <c r="I11589">
        <v>2596</v>
      </c>
      <c r="J11589">
        <v>0</v>
      </c>
      <c r="K11589">
        <v>0</v>
      </c>
      <c r="L11589">
        <v>54</v>
      </c>
      <c r="M11589">
        <v>2233</v>
      </c>
      <c r="N11589">
        <v>0</v>
      </c>
      <c r="O11589">
        <v>309</v>
      </c>
    </row>
    <row r="11590" spans="1:15" x14ac:dyDescent="0.25">
      <c r="A11590" t="s">
        <v>1422</v>
      </c>
      <c r="B11590" t="s">
        <v>1990</v>
      </c>
      <c r="C11590" t="s">
        <v>923</v>
      </c>
      <c r="D11590" t="s">
        <v>3063</v>
      </c>
      <c r="E11590" t="s">
        <v>3053</v>
      </c>
      <c r="F11590" t="s">
        <v>288</v>
      </c>
      <c r="G11590" t="s">
        <v>3040</v>
      </c>
      <c r="H11590" t="s">
        <v>13252</v>
      </c>
      <c r="I11590">
        <v>5</v>
      </c>
      <c r="J11590">
        <v>0</v>
      </c>
      <c r="K11590">
        <v>0</v>
      </c>
      <c r="L11590">
        <v>5</v>
      </c>
      <c r="M11590">
        <v>0</v>
      </c>
      <c r="N11590">
        <v>0</v>
      </c>
      <c r="O11590">
        <v>0</v>
      </c>
    </row>
    <row r="11591" spans="1:15" x14ac:dyDescent="0.25">
      <c r="A11591" t="s">
        <v>1423</v>
      </c>
      <c r="B11591" t="s">
        <v>2071</v>
      </c>
      <c r="C11591" t="s">
        <v>923</v>
      </c>
      <c r="D11591" t="s">
        <v>3063</v>
      </c>
      <c r="E11591" t="s">
        <v>3053</v>
      </c>
      <c r="F11591" t="s">
        <v>288</v>
      </c>
      <c r="G11591" t="s">
        <v>3040</v>
      </c>
      <c r="H11591" t="s">
        <v>13266</v>
      </c>
      <c r="I11591">
        <v>21</v>
      </c>
      <c r="J11591">
        <v>0</v>
      </c>
      <c r="K11591">
        <v>0</v>
      </c>
      <c r="L11591">
        <v>21</v>
      </c>
      <c r="M11591">
        <v>0</v>
      </c>
      <c r="N11591">
        <v>0</v>
      </c>
      <c r="O11591">
        <v>0</v>
      </c>
    </row>
    <row r="11592" spans="1:15" x14ac:dyDescent="0.25">
      <c r="A11592" t="s">
        <v>1013</v>
      </c>
      <c r="B11592" t="s">
        <v>1959</v>
      </c>
      <c r="C11592" t="s">
        <v>927</v>
      </c>
      <c r="D11592" t="s">
        <v>3052</v>
      </c>
      <c r="E11592" t="s">
        <v>3053</v>
      </c>
      <c r="F11592" t="s">
        <v>288</v>
      </c>
      <c r="G11592" t="s">
        <v>3040</v>
      </c>
      <c r="H11592" t="s">
        <v>13277</v>
      </c>
      <c r="I11592">
        <v>785</v>
      </c>
      <c r="J11592">
        <v>2</v>
      </c>
      <c r="K11592">
        <v>0</v>
      </c>
      <c r="L11592">
        <v>783</v>
      </c>
      <c r="M11592">
        <v>0</v>
      </c>
      <c r="N11592">
        <v>0</v>
      </c>
      <c r="O11592">
        <v>0</v>
      </c>
    </row>
    <row r="11593" spans="1:15" x14ac:dyDescent="0.25">
      <c r="A11593" t="s">
        <v>9819</v>
      </c>
      <c r="B11593" t="s">
        <v>2916</v>
      </c>
      <c r="C11593" t="s">
        <v>927</v>
      </c>
      <c r="D11593" t="s">
        <v>3052</v>
      </c>
      <c r="E11593" t="s">
        <v>3053</v>
      </c>
      <c r="F11593" t="s">
        <v>288</v>
      </c>
      <c r="G11593" t="s">
        <v>3040</v>
      </c>
      <c r="H11593" t="s">
        <v>15592</v>
      </c>
      <c r="I11593">
        <v>15</v>
      </c>
      <c r="J11593">
        <v>10</v>
      </c>
      <c r="K11593">
        <v>0</v>
      </c>
      <c r="L11593">
        <v>0</v>
      </c>
      <c r="M11593">
        <v>0</v>
      </c>
      <c r="N11593">
        <v>0</v>
      </c>
      <c r="O11593">
        <v>5</v>
      </c>
    </row>
    <row r="11594" spans="1:15" x14ac:dyDescent="0.25">
      <c r="A11594" t="s">
        <v>9820</v>
      </c>
      <c r="B11594" t="s">
        <v>3017</v>
      </c>
      <c r="C11594" t="s">
        <v>927</v>
      </c>
      <c r="D11594" t="s">
        <v>3052</v>
      </c>
      <c r="E11594" t="s">
        <v>3053</v>
      </c>
      <c r="F11594" t="s">
        <v>288</v>
      </c>
      <c r="G11594" t="s">
        <v>3040</v>
      </c>
      <c r="H11594" t="s">
        <v>13304</v>
      </c>
      <c r="I11594">
        <v>13</v>
      </c>
      <c r="J11594">
        <v>7</v>
      </c>
      <c r="K11594">
        <v>0</v>
      </c>
      <c r="L11594">
        <v>0</v>
      </c>
      <c r="M11594">
        <v>0</v>
      </c>
      <c r="N11594">
        <v>0</v>
      </c>
      <c r="O11594">
        <v>6</v>
      </c>
    </row>
    <row r="11595" spans="1:15" x14ac:dyDescent="0.25">
      <c r="A11595" t="s">
        <v>1018</v>
      </c>
      <c r="B11595" t="s">
        <v>1980</v>
      </c>
      <c r="C11595" t="s">
        <v>923</v>
      </c>
      <c r="D11595" t="s">
        <v>3063</v>
      </c>
      <c r="E11595" t="s">
        <v>3053</v>
      </c>
      <c r="F11595" t="s">
        <v>288</v>
      </c>
      <c r="G11595" t="s">
        <v>3040</v>
      </c>
      <c r="H11595" t="s">
        <v>13351</v>
      </c>
      <c r="I11595">
        <v>41</v>
      </c>
      <c r="J11595">
        <v>0</v>
      </c>
      <c r="K11595">
        <v>0</v>
      </c>
      <c r="L11595">
        <v>41</v>
      </c>
      <c r="M11595">
        <v>0</v>
      </c>
      <c r="N11595">
        <v>0</v>
      </c>
      <c r="O11595">
        <v>0</v>
      </c>
    </row>
    <row r="11596" spans="1:15" x14ac:dyDescent="0.25">
      <c r="A11596" t="s">
        <v>10667</v>
      </c>
      <c r="B11596" t="s">
        <v>10666</v>
      </c>
      <c r="C11596" t="s">
        <v>927</v>
      </c>
      <c r="D11596" t="s">
        <v>3052</v>
      </c>
      <c r="E11596" t="s">
        <v>3053</v>
      </c>
      <c r="F11596" t="s">
        <v>288</v>
      </c>
      <c r="G11596" t="s">
        <v>3040</v>
      </c>
      <c r="H11596" t="s">
        <v>13367</v>
      </c>
      <c r="I11596">
        <v>44</v>
      </c>
      <c r="J11596">
        <v>44</v>
      </c>
      <c r="K11596">
        <v>0</v>
      </c>
      <c r="L11596">
        <v>0</v>
      </c>
      <c r="M11596">
        <v>0</v>
      </c>
      <c r="N11596">
        <v>0</v>
      </c>
      <c r="O11596">
        <v>0</v>
      </c>
    </row>
    <row r="11597" spans="1:15" x14ac:dyDescent="0.25">
      <c r="A11597" t="s">
        <v>1126</v>
      </c>
      <c r="B11597" t="s">
        <v>2130</v>
      </c>
      <c r="C11597" t="s">
        <v>927</v>
      </c>
      <c r="D11597" t="s">
        <v>3052</v>
      </c>
      <c r="E11597" t="s">
        <v>3053</v>
      </c>
      <c r="F11597" t="s">
        <v>288</v>
      </c>
      <c r="G11597" t="s">
        <v>3040</v>
      </c>
      <c r="H11597" t="s">
        <v>13375</v>
      </c>
      <c r="I11597">
        <v>529</v>
      </c>
      <c r="J11597">
        <v>215</v>
      </c>
      <c r="K11597">
        <v>0</v>
      </c>
      <c r="L11597">
        <v>0</v>
      </c>
      <c r="M11597">
        <v>0</v>
      </c>
      <c r="N11597">
        <v>0</v>
      </c>
      <c r="O11597">
        <v>314</v>
      </c>
    </row>
    <row r="11598" spans="1:15" x14ac:dyDescent="0.25">
      <c r="A11598" t="s">
        <v>1826</v>
      </c>
      <c r="B11598" t="s">
        <v>2217</v>
      </c>
      <c r="C11598" t="s">
        <v>923</v>
      </c>
      <c r="D11598" t="s">
        <v>3063</v>
      </c>
      <c r="E11598" t="s">
        <v>3053</v>
      </c>
      <c r="F11598" t="s">
        <v>288</v>
      </c>
      <c r="G11598" t="s">
        <v>3040</v>
      </c>
      <c r="H11598" t="s">
        <v>13377</v>
      </c>
      <c r="I11598">
        <v>183</v>
      </c>
      <c r="J11598">
        <v>0</v>
      </c>
      <c r="K11598">
        <v>0</v>
      </c>
      <c r="L11598">
        <v>0</v>
      </c>
      <c r="M11598">
        <v>183</v>
      </c>
      <c r="N11598">
        <v>0</v>
      </c>
      <c r="O11598">
        <v>0</v>
      </c>
    </row>
    <row r="11599" spans="1:15" x14ac:dyDescent="0.25">
      <c r="A11599" t="s">
        <v>1025</v>
      </c>
      <c r="B11599" t="s">
        <v>2893</v>
      </c>
      <c r="C11599" t="s">
        <v>927</v>
      </c>
      <c r="D11599" t="s">
        <v>3052</v>
      </c>
      <c r="E11599" t="s">
        <v>3053</v>
      </c>
      <c r="F11599" t="s">
        <v>288</v>
      </c>
      <c r="G11599" t="s">
        <v>3040</v>
      </c>
      <c r="H11599" t="s">
        <v>13416</v>
      </c>
      <c r="I11599">
        <v>415</v>
      </c>
      <c r="J11599">
        <v>258</v>
      </c>
      <c r="K11599">
        <v>0</v>
      </c>
      <c r="L11599">
        <v>0</v>
      </c>
      <c r="M11599">
        <v>0</v>
      </c>
      <c r="N11599">
        <v>0</v>
      </c>
      <c r="O11599">
        <v>157</v>
      </c>
    </row>
    <row r="11600" spans="1:15" x14ac:dyDescent="0.25">
      <c r="A11600" t="s">
        <v>1026</v>
      </c>
      <c r="B11600" t="s">
        <v>2848</v>
      </c>
      <c r="C11600" t="s">
        <v>927</v>
      </c>
      <c r="D11600" t="s">
        <v>3052</v>
      </c>
      <c r="E11600" t="s">
        <v>3053</v>
      </c>
      <c r="F11600" t="s">
        <v>288</v>
      </c>
      <c r="G11600" t="s">
        <v>3040</v>
      </c>
      <c r="H11600" t="s">
        <v>13421</v>
      </c>
      <c r="I11600">
        <v>2773</v>
      </c>
      <c r="J11600">
        <v>2591</v>
      </c>
      <c r="K11600">
        <v>0</v>
      </c>
      <c r="L11600">
        <v>110</v>
      </c>
      <c r="M11600">
        <v>0</v>
      </c>
      <c r="N11600">
        <v>5</v>
      </c>
      <c r="O11600">
        <v>72</v>
      </c>
    </row>
    <row r="11601" spans="1:15" x14ac:dyDescent="0.25">
      <c r="A11601" t="s">
        <v>1293</v>
      </c>
      <c r="B11601" t="s">
        <v>2910</v>
      </c>
      <c r="C11601" t="s">
        <v>927</v>
      </c>
      <c r="D11601" t="s">
        <v>3052</v>
      </c>
      <c r="E11601" t="s">
        <v>3053</v>
      </c>
      <c r="F11601" t="s">
        <v>288</v>
      </c>
      <c r="G11601" t="s">
        <v>3040</v>
      </c>
      <c r="H11601" t="s">
        <v>15593</v>
      </c>
      <c r="I11601">
        <v>1</v>
      </c>
      <c r="J11601">
        <v>0</v>
      </c>
      <c r="K11601">
        <v>0</v>
      </c>
      <c r="L11601">
        <v>1</v>
      </c>
      <c r="M11601">
        <v>0</v>
      </c>
      <c r="N11601">
        <v>0</v>
      </c>
      <c r="O11601">
        <v>0</v>
      </c>
    </row>
    <row r="11602" spans="1:15" x14ac:dyDescent="0.25">
      <c r="A11602" t="s">
        <v>1827</v>
      </c>
      <c r="B11602" t="s">
        <v>2867</v>
      </c>
      <c r="C11602" t="s">
        <v>923</v>
      </c>
      <c r="D11602" t="s">
        <v>3063</v>
      </c>
      <c r="E11602" t="s">
        <v>3053</v>
      </c>
      <c r="F11602" t="s">
        <v>288</v>
      </c>
      <c r="G11602" t="s">
        <v>3040</v>
      </c>
      <c r="H11602" t="s">
        <v>13431</v>
      </c>
      <c r="I11602">
        <v>200</v>
      </c>
      <c r="J11602">
        <v>200</v>
      </c>
      <c r="K11602">
        <v>0</v>
      </c>
      <c r="L11602">
        <v>0</v>
      </c>
      <c r="M11602">
        <v>0</v>
      </c>
      <c r="N11602">
        <v>0</v>
      </c>
      <c r="O11602">
        <v>0</v>
      </c>
    </row>
    <row r="11603" spans="1:15" x14ac:dyDescent="0.25">
      <c r="A11603" t="s">
        <v>10681</v>
      </c>
      <c r="B11603" t="s">
        <v>10680</v>
      </c>
      <c r="C11603" t="s">
        <v>927</v>
      </c>
      <c r="D11603" t="s">
        <v>3052</v>
      </c>
      <c r="E11603" t="s">
        <v>3053</v>
      </c>
      <c r="F11603" t="s">
        <v>288</v>
      </c>
      <c r="G11603" t="s">
        <v>3040</v>
      </c>
      <c r="H11603" t="s">
        <v>15594</v>
      </c>
      <c r="I11603">
        <v>20</v>
      </c>
      <c r="J11603">
        <v>0</v>
      </c>
      <c r="K11603">
        <v>0</v>
      </c>
      <c r="L11603">
        <v>0</v>
      </c>
      <c r="M11603">
        <v>0</v>
      </c>
      <c r="N11603">
        <v>0</v>
      </c>
      <c r="O11603">
        <v>20</v>
      </c>
    </row>
    <row r="11604" spans="1:15" x14ac:dyDescent="0.25">
      <c r="A11604" t="s">
        <v>1828</v>
      </c>
      <c r="B11604" t="s">
        <v>2304</v>
      </c>
      <c r="C11604" t="s">
        <v>923</v>
      </c>
      <c r="D11604" t="s">
        <v>3063</v>
      </c>
      <c r="E11604" t="s">
        <v>3053</v>
      </c>
      <c r="F11604" t="s">
        <v>288</v>
      </c>
      <c r="G11604" t="s">
        <v>3040</v>
      </c>
      <c r="H11604" t="s">
        <v>13443</v>
      </c>
      <c r="I11604">
        <v>2</v>
      </c>
      <c r="J11604">
        <v>2</v>
      </c>
      <c r="K11604">
        <v>0</v>
      </c>
      <c r="L11604">
        <v>0</v>
      </c>
      <c r="M11604">
        <v>0</v>
      </c>
      <c r="N11604">
        <v>0</v>
      </c>
      <c r="O11604">
        <v>0</v>
      </c>
    </row>
    <row r="11605" spans="1:15" x14ac:dyDescent="0.25">
      <c r="A11605" t="s">
        <v>1028</v>
      </c>
      <c r="B11605" t="s">
        <v>2682</v>
      </c>
      <c r="C11605" t="s">
        <v>923</v>
      </c>
      <c r="D11605" t="s">
        <v>3063</v>
      </c>
      <c r="E11605" t="s">
        <v>3053</v>
      </c>
      <c r="F11605" t="s">
        <v>288</v>
      </c>
      <c r="G11605" t="s">
        <v>3040</v>
      </c>
      <c r="H11605" t="s">
        <v>13452</v>
      </c>
      <c r="I11605">
        <v>80</v>
      </c>
      <c r="J11605">
        <v>0</v>
      </c>
      <c r="K11605">
        <v>0</v>
      </c>
      <c r="L11605">
        <v>0</v>
      </c>
      <c r="M11605">
        <v>80</v>
      </c>
      <c r="N11605">
        <v>0</v>
      </c>
      <c r="O11605">
        <v>0</v>
      </c>
    </row>
    <row r="11606" spans="1:15" x14ac:dyDescent="0.25">
      <c r="A11606" t="s">
        <v>1745</v>
      </c>
      <c r="B11606" t="s">
        <v>2884</v>
      </c>
      <c r="C11606" t="s">
        <v>927</v>
      </c>
      <c r="D11606" t="s">
        <v>3052</v>
      </c>
      <c r="E11606" t="s">
        <v>3053</v>
      </c>
      <c r="F11606" t="s">
        <v>288</v>
      </c>
      <c r="G11606" t="s">
        <v>3040</v>
      </c>
      <c r="H11606" t="s">
        <v>13456</v>
      </c>
      <c r="I11606">
        <v>10</v>
      </c>
      <c r="J11606">
        <v>8</v>
      </c>
      <c r="K11606">
        <v>0</v>
      </c>
      <c r="L11606">
        <v>0</v>
      </c>
      <c r="M11606">
        <v>0</v>
      </c>
      <c r="N11606">
        <v>0</v>
      </c>
      <c r="O11606">
        <v>2</v>
      </c>
    </row>
    <row r="11607" spans="1:15" x14ac:dyDescent="0.25">
      <c r="A11607" t="s">
        <v>1296</v>
      </c>
      <c r="B11607" t="s">
        <v>2965</v>
      </c>
      <c r="C11607" t="s">
        <v>923</v>
      </c>
      <c r="D11607" t="s">
        <v>3063</v>
      </c>
      <c r="E11607" t="s">
        <v>3053</v>
      </c>
      <c r="F11607" t="s">
        <v>288</v>
      </c>
      <c r="G11607" t="s">
        <v>3040</v>
      </c>
      <c r="H11607" t="s">
        <v>13463</v>
      </c>
      <c r="I11607">
        <v>74</v>
      </c>
      <c r="J11607">
        <v>0</v>
      </c>
      <c r="K11607">
        <v>0</v>
      </c>
      <c r="L11607">
        <v>0</v>
      </c>
      <c r="M11607">
        <v>74</v>
      </c>
      <c r="N11607">
        <v>0</v>
      </c>
      <c r="O11607">
        <v>0</v>
      </c>
    </row>
    <row r="11608" spans="1:15" x14ac:dyDescent="0.25">
      <c r="A11608" t="s">
        <v>943</v>
      </c>
      <c r="B11608" t="s">
        <v>2694</v>
      </c>
      <c r="C11608" t="s">
        <v>927</v>
      </c>
      <c r="D11608" t="s">
        <v>3052</v>
      </c>
      <c r="E11608" t="s">
        <v>3053</v>
      </c>
      <c r="F11608" t="s">
        <v>288</v>
      </c>
      <c r="G11608" t="s">
        <v>3040</v>
      </c>
      <c r="H11608" t="s">
        <v>13472</v>
      </c>
      <c r="I11608">
        <v>57</v>
      </c>
      <c r="J11608">
        <v>26</v>
      </c>
      <c r="K11608">
        <v>0</v>
      </c>
      <c r="L11608">
        <v>11</v>
      </c>
      <c r="M11608">
        <v>19</v>
      </c>
      <c r="N11608">
        <v>0</v>
      </c>
      <c r="O11608">
        <v>1</v>
      </c>
    </row>
    <row r="11609" spans="1:15" x14ac:dyDescent="0.25">
      <c r="A11609" t="s">
        <v>1030</v>
      </c>
      <c r="B11609" t="s">
        <v>2880</v>
      </c>
      <c r="C11609" t="s">
        <v>927</v>
      </c>
      <c r="D11609" t="s">
        <v>3052</v>
      </c>
      <c r="E11609" t="s">
        <v>3053</v>
      </c>
      <c r="F11609" t="s">
        <v>288</v>
      </c>
      <c r="G11609" t="s">
        <v>3040</v>
      </c>
      <c r="H11609" t="s">
        <v>13477</v>
      </c>
      <c r="I11609">
        <v>27816</v>
      </c>
      <c r="J11609">
        <v>22818</v>
      </c>
      <c r="K11609">
        <v>2</v>
      </c>
      <c r="L11609">
        <v>841</v>
      </c>
      <c r="M11609">
        <v>2458</v>
      </c>
      <c r="N11609">
        <v>12</v>
      </c>
      <c r="O11609">
        <v>1697</v>
      </c>
    </row>
    <row r="11610" spans="1:15" x14ac:dyDescent="0.25">
      <c r="A11610" t="s">
        <v>1516</v>
      </c>
      <c r="B11610" t="s">
        <v>2098</v>
      </c>
      <c r="C11610" t="s">
        <v>927</v>
      </c>
      <c r="D11610" t="s">
        <v>3052</v>
      </c>
      <c r="E11610" t="s">
        <v>3053</v>
      </c>
      <c r="F11610" t="s">
        <v>288</v>
      </c>
      <c r="G11610" t="s">
        <v>3040</v>
      </c>
      <c r="H11610" t="s">
        <v>13493</v>
      </c>
      <c r="I11610">
        <v>2</v>
      </c>
      <c r="J11610">
        <v>2</v>
      </c>
      <c r="K11610">
        <v>0</v>
      </c>
      <c r="L11610">
        <v>0</v>
      </c>
      <c r="M11610">
        <v>0</v>
      </c>
      <c r="N11610">
        <v>0</v>
      </c>
      <c r="O11610">
        <v>0</v>
      </c>
    </row>
    <row r="11611" spans="1:15" x14ac:dyDescent="0.25">
      <c r="A11611" t="s">
        <v>1031</v>
      </c>
      <c r="B11611" t="s">
        <v>2779</v>
      </c>
      <c r="C11611" t="s">
        <v>927</v>
      </c>
      <c r="D11611" t="s">
        <v>3052</v>
      </c>
      <c r="E11611" t="s">
        <v>3053</v>
      </c>
      <c r="F11611" t="s">
        <v>288</v>
      </c>
      <c r="G11611" t="s">
        <v>3040</v>
      </c>
      <c r="H11611" t="s">
        <v>13502</v>
      </c>
      <c r="I11611">
        <v>70</v>
      </c>
      <c r="J11611">
        <v>67</v>
      </c>
      <c r="K11611">
        <v>0</v>
      </c>
      <c r="L11611">
        <v>0</v>
      </c>
      <c r="M11611">
        <v>0</v>
      </c>
      <c r="N11611">
        <v>1</v>
      </c>
      <c r="O11611">
        <v>3</v>
      </c>
    </row>
    <row r="11612" spans="1:15" x14ac:dyDescent="0.25">
      <c r="A11612" t="s">
        <v>1747</v>
      </c>
      <c r="B11612" t="s">
        <v>2251</v>
      </c>
      <c r="C11612" t="s">
        <v>923</v>
      </c>
      <c r="D11612" t="s">
        <v>3063</v>
      </c>
      <c r="E11612" t="s">
        <v>3053</v>
      </c>
      <c r="F11612" t="s">
        <v>288</v>
      </c>
      <c r="G11612" t="s">
        <v>3040</v>
      </c>
      <c r="H11612" t="s">
        <v>13508</v>
      </c>
      <c r="I11612">
        <v>46</v>
      </c>
      <c r="J11612">
        <v>0</v>
      </c>
      <c r="K11612">
        <v>0</v>
      </c>
      <c r="L11612">
        <v>0</v>
      </c>
      <c r="M11612">
        <v>46</v>
      </c>
      <c r="N11612">
        <v>0</v>
      </c>
      <c r="O11612">
        <v>0</v>
      </c>
    </row>
    <row r="11613" spans="1:15" x14ac:dyDescent="0.25">
      <c r="A11613" t="s">
        <v>1033</v>
      </c>
      <c r="B11613" t="s">
        <v>2039</v>
      </c>
      <c r="C11613" t="s">
        <v>923</v>
      </c>
      <c r="D11613" t="s">
        <v>3063</v>
      </c>
      <c r="E11613" t="s">
        <v>3053</v>
      </c>
      <c r="F11613" t="s">
        <v>288</v>
      </c>
      <c r="G11613" t="s">
        <v>3040</v>
      </c>
      <c r="H11613" t="s">
        <v>13516</v>
      </c>
      <c r="I11613">
        <v>4</v>
      </c>
      <c r="J11613">
        <v>0</v>
      </c>
      <c r="K11613">
        <v>0</v>
      </c>
      <c r="L11613">
        <v>4</v>
      </c>
      <c r="M11613">
        <v>0</v>
      </c>
      <c r="N11613">
        <v>0</v>
      </c>
      <c r="O11613">
        <v>0</v>
      </c>
    </row>
    <row r="11614" spans="1:15" x14ac:dyDescent="0.25">
      <c r="A11614" t="s">
        <v>1829</v>
      </c>
      <c r="B11614" t="s">
        <v>2811</v>
      </c>
      <c r="C11614" t="s">
        <v>927</v>
      </c>
      <c r="D11614" t="s">
        <v>3052</v>
      </c>
      <c r="E11614" t="s">
        <v>3053</v>
      </c>
      <c r="F11614" t="s">
        <v>288</v>
      </c>
      <c r="G11614" t="s">
        <v>3040</v>
      </c>
      <c r="H11614" t="s">
        <v>13517</v>
      </c>
      <c r="I11614">
        <v>1235</v>
      </c>
      <c r="J11614">
        <v>927</v>
      </c>
      <c r="K11614">
        <v>0</v>
      </c>
      <c r="L11614">
        <v>35</v>
      </c>
      <c r="M11614">
        <v>270</v>
      </c>
      <c r="N11614">
        <v>0</v>
      </c>
      <c r="O11614">
        <v>3</v>
      </c>
    </row>
    <row r="11615" spans="1:15" x14ac:dyDescent="0.25">
      <c r="A11615" t="s">
        <v>1302</v>
      </c>
      <c r="B11615" t="s">
        <v>1961</v>
      </c>
      <c r="C11615" t="s">
        <v>923</v>
      </c>
      <c r="D11615" t="s">
        <v>3063</v>
      </c>
      <c r="E11615" t="s">
        <v>3053</v>
      </c>
      <c r="F11615" t="s">
        <v>288</v>
      </c>
      <c r="G11615" t="s">
        <v>3040</v>
      </c>
      <c r="H11615" t="s">
        <v>13522</v>
      </c>
      <c r="I11615">
        <v>13</v>
      </c>
      <c r="J11615">
        <v>0</v>
      </c>
      <c r="K11615">
        <v>0</v>
      </c>
      <c r="L11615">
        <v>13</v>
      </c>
      <c r="M11615">
        <v>0</v>
      </c>
      <c r="N11615">
        <v>0</v>
      </c>
      <c r="O11615">
        <v>0</v>
      </c>
    </row>
    <row r="11616" spans="1:15" x14ac:dyDescent="0.25">
      <c r="A11616" t="s">
        <v>1830</v>
      </c>
      <c r="B11616" t="s">
        <v>2556</v>
      </c>
      <c r="C11616" t="s">
        <v>923</v>
      </c>
      <c r="D11616" t="s">
        <v>3063</v>
      </c>
      <c r="E11616" t="s">
        <v>3053</v>
      </c>
      <c r="F11616" t="s">
        <v>288</v>
      </c>
      <c r="G11616" t="s">
        <v>3040</v>
      </c>
      <c r="H11616" t="s">
        <v>13526</v>
      </c>
      <c r="I11616">
        <v>106</v>
      </c>
      <c r="J11616">
        <v>52</v>
      </c>
      <c r="K11616">
        <v>0</v>
      </c>
      <c r="L11616">
        <v>4</v>
      </c>
      <c r="M11616">
        <v>50</v>
      </c>
      <c r="N11616">
        <v>0</v>
      </c>
      <c r="O11616">
        <v>0</v>
      </c>
    </row>
    <row r="11617" spans="1:15" x14ac:dyDescent="0.25">
      <c r="A11617" t="s">
        <v>11719</v>
      </c>
      <c r="B11617" t="s">
        <v>9866</v>
      </c>
      <c r="C11617" t="s">
        <v>923</v>
      </c>
      <c r="D11617" t="s">
        <v>3063</v>
      </c>
      <c r="E11617" t="s">
        <v>3053</v>
      </c>
      <c r="F11617" t="s">
        <v>288</v>
      </c>
      <c r="G11617" t="s">
        <v>3040</v>
      </c>
      <c r="H11617" t="s">
        <v>13535</v>
      </c>
      <c r="I11617">
        <v>28</v>
      </c>
      <c r="J11617">
        <v>0</v>
      </c>
      <c r="K11617">
        <v>0</v>
      </c>
      <c r="L11617">
        <v>0</v>
      </c>
      <c r="M11617">
        <v>28</v>
      </c>
      <c r="N11617">
        <v>0</v>
      </c>
      <c r="O11617">
        <v>0</v>
      </c>
    </row>
    <row r="11618" spans="1:15" x14ac:dyDescent="0.25">
      <c r="A11618" t="s">
        <v>9827</v>
      </c>
      <c r="B11618" t="s">
        <v>2208</v>
      </c>
      <c r="C11618" t="s">
        <v>923</v>
      </c>
      <c r="D11618" t="s">
        <v>3063</v>
      </c>
      <c r="E11618" t="s">
        <v>3053</v>
      </c>
      <c r="F11618" t="s">
        <v>288</v>
      </c>
      <c r="G11618" t="s">
        <v>3040</v>
      </c>
      <c r="H11618" t="s">
        <v>13572</v>
      </c>
      <c r="I11618">
        <v>37</v>
      </c>
      <c r="J11618">
        <v>0</v>
      </c>
      <c r="K11618">
        <v>0</v>
      </c>
      <c r="L11618">
        <v>0</v>
      </c>
      <c r="M11618">
        <v>37</v>
      </c>
      <c r="N11618">
        <v>0</v>
      </c>
      <c r="O11618">
        <v>0</v>
      </c>
    </row>
    <row r="11619" spans="1:15" x14ac:dyDescent="0.25">
      <c r="A11619" t="s">
        <v>1136</v>
      </c>
      <c r="B11619" t="s">
        <v>1942</v>
      </c>
      <c r="C11619" t="s">
        <v>923</v>
      </c>
      <c r="D11619" t="s">
        <v>3063</v>
      </c>
      <c r="E11619" t="s">
        <v>3053</v>
      </c>
      <c r="F11619" t="s">
        <v>288</v>
      </c>
      <c r="G11619" t="s">
        <v>3040</v>
      </c>
      <c r="H11619" t="s">
        <v>13581</v>
      </c>
      <c r="I11619">
        <v>6</v>
      </c>
      <c r="J11619">
        <v>6</v>
      </c>
      <c r="K11619">
        <v>0</v>
      </c>
      <c r="L11619">
        <v>0</v>
      </c>
      <c r="M11619">
        <v>0</v>
      </c>
      <c r="N11619">
        <v>0</v>
      </c>
      <c r="O11619">
        <v>0</v>
      </c>
    </row>
    <row r="11620" spans="1:15" x14ac:dyDescent="0.25">
      <c r="A11620" t="s">
        <v>1041</v>
      </c>
      <c r="B11620" t="s">
        <v>2826</v>
      </c>
      <c r="C11620" t="s">
        <v>927</v>
      </c>
      <c r="D11620" t="s">
        <v>3052</v>
      </c>
      <c r="E11620" t="s">
        <v>3053</v>
      </c>
      <c r="F11620" t="s">
        <v>288</v>
      </c>
      <c r="G11620" t="s">
        <v>3040</v>
      </c>
      <c r="H11620" t="s">
        <v>13594</v>
      </c>
      <c r="I11620">
        <v>1335</v>
      </c>
      <c r="J11620">
        <v>46</v>
      </c>
      <c r="K11620">
        <v>0</v>
      </c>
      <c r="L11620">
        <v>0</v>
      </c>
      <c r="M11620">
        <v>0</v>
      </c>
      <c r="N11620">
        <v>0</v>
      </c>
      <c r="O11620">
        <v>1289</v>
      </c>
    </row>
    <row r="11621" spans="1:15" x14ac:dyDescent="0.25">
      <c r="A11621" t="s">
        <v>9787</v>
      </c>
      <c r="B11621" t="s">
        <v>2822</v>
      </c>
      <c r="C11621" t="s">
        <v>927</v>
      </c>
      <c r="D11621" t="s">
        <v>3052</v>
      </c>
      <c r="E11621" t="s">
        <v>3053</v>
      </c>
      <c r="F11621" t="s">
        <v>288</v>
      </c>
      <c r="G11621" t="s">
        <v>3040</v>
      </c>
      <c r="H11621" t="s">
        <v>13599</v>
      </c>
      <c r="I11621">
        <v>12185</v>
      </c>
      <c r="J11621">
        <v>10731</v>
      </c>
      <c r="K11621">
        <v>2</v>
      </c>
      <c r="L11621">
        <v>140</v>
      </c>
      <c r="M11621">
        <v>1295</v>
      </c>
      <c r="N11621">
        <v>26</v>
      </c>
      <c r="O11621">
        <v>17</v>
      </c>
    </row>
    <row r="11622" spans="1:15" x14ac:dyDescent="0.25">
      <c r="A11622" t="s">
        <v>1042</v>
      </c>
      <c r="B11622" t="s">
        <v>2115</v>
      </c>
      <c r="C11622" t="s">
        <v>923</v>
      </c>
      <c r="D11622" t="s">
        <v>3063</v>
      </c>
      <c r="E11622" t="s">
        <v>3053</v>
      </c>
      <c r="F11622" t="s">
        <v>288</v>
      </c>
      <c r="G11622" t="s">
        <v>3040</v>
      </c>
      <c r="H11622" t="s">
        <v>13614</v>
      </c>
      <c r="I11622">
        <v>71</v>
      </c>
      <c r="J11622">
        <v>0</v>
      </c>
      <c r="K11622">
        <v>0</v>
      </c>
      <c r="L11622">
        <v>71</v>
      </c>
      <c r="M11622">
        <v>0</v>
      </c>
      <c r="N11622">
        <v>0</v>
      </c>
      <c r="O11622">
        <v>0</v>
      </c>
    </row>
    <row r="11623" spans="1:15" x14ac:dyDescent="0.25">
      <c r="A11623" t="s">
        <v>1831</v>
      </c>
      <c r="B11623" t="s">
        <v>2471</v>
      </c>
      <c r="C11623" t="s">
        <v>923</v>
      </c>
      <c r="D11623" t="s">
        <v>3063</v>
      </c>
      <c r="E11623" t="s">
        <v>3053</v>
      </c>
      <c r="F11623" t="s">
        <v>288</v>
      </c>
      <c r="G11623" t="s">
        <v>3040</v>
      </c>
      <c r="H11623" t="s">
        <v>13615</v>
      </c>
      <c r="I11623">
        <v>24</v>
      </c>
      <c r="J11623">
        <v>24</v>
      </c>
      <c r="K11623">
        <v>0</v>
      </c>
      <c r="L11623">
        <v>0</v>
      </c>
      <c r="M11623">
        <v>0</v>
      </c>
      <c r="N11623">
        <v>0</v>
      </c>
      <c r="O11623">
        <v>0</v>
      </c>
    </row>
    <row r="11624" spans="1:15" x14ac:dyDescent="0.25">
      <c r="A11624" t="s">
        <v>1043</v>
      </c>
      <c r="B11624" t="s">
        <v>2090</v>
      </c>
      <c r="C11624" t="s">
        <v>927</v>
      </c>
      <c r="D11624" t="s">
        <v>3052</v>
      </c>
      <c r="E11624" t="s">
        <v>3053</v>
      </c>
      <c r="F11624" t="s">
        <v>288</v>
      </c>
      <c r="G11624" t="s">
        <v>3040</v>
      </c>
      <c r="H11624" t="s">
        <v>13627</v>
      </c>
      <c r="I11624">
        <v>289</v>
      </c>
      <c r="J11624">
        <v>259</v>
      </c>
      <c r="K11624">
        <v>0</v>
      </c>
      <c r="L11624">
        <v>7</v>
      </c>
      <c r="M11624">
        <v>13</v>
      </c>
      <c r="N11624">
        <v>0</v>
      </c>
      <c r="O11624">
        <v>10</v>
      </c>
    </row>
    <row r="11625" spans="1:15" x14ac:dyDescent="0.25">
      <c r="A11625" t="s">
        <v>1044</v>
      </c>
      <c r="B11625" t="s">
        <v>2000</v>
      </c>
      <c r="C11625" t="s">
        <v>923</v>
      </c>
      <c r="D11625" t="s">
        <v>3063</v>
      </c>
      <c r="E11625" t="s">
        <v>3053</v>
      </c>
      <c r="F11625" t="s">
        <v>288</v>
      </c>
      <c r="G11625" t="s">
        <v>3040</v>
      </c>
      <c r="H11625" t="s">
        <v>13634</v>
      </c>
      <c r="I11625">
        <v>18</v>
      </c>
      <c r="J11625">
        <v>0</v>
      </c>
      <c r="K11625">
        <v>0</v>
      </c>
      <c r="L11625">
        <v>18</v>
      </c>
      <c r="M11625">
        <v>0</v>
      </c>
      <c r="N11625">
        <v>0</v>
      </c>
      <c r="O11625">
        <v>0</v>
      </c>
    </row>
    <row r="11626" spans="1:15" x14ac:dyDescent="0.25">
      <c r="A11626" t="s">
        <v>1144</v>
      </c>
      <c r="B11626" t="s">
        <v>2124</v>
      </c>
      <c r="C11626" t="s">
        <v>923</v>
      </c>
      <c r="D11626" t="s">
        <v>3063</v>
      </c>
      <c r="E11626" t="s">
        <v>3053</v>
      </c>
      <c r="F11626" t="s">
        <v>288</v>
      </c>
      <c r="G11626" t="s">
        <v>3040</v>
      </c>
      <c r="H11626" t="s">
        <v>13640</v>
      </c>
      <c r="I11626">
        <v>11</v>
      </c>
      <c r="J11626">
        <v>11</v>
      </c>
      <c r="K11626">
        <v>0</v>
      </c>
      <c r="L11626">
        <v>0</v>
      </c>
      <c r="M11626">
        <v>0</v>
      </c>
      <c r="N11626">
        <v>0</v>
      </c>
      <c r="O11626">
        <v>0</v>
      </c>
    </row>
    <row r="11627" spans="1:15" x14ac:dyDescent="0.25">
      <c r="A11627" t="s">
        <v>1047</v>
      </c>
      <c r="B11627" t="s">
        <v>2815</v>
      </c>
      <c r="C11627" t="s">
        <v>923</v>
      </c>
      <c r="D11627" t="s">
        <v>3063</v>
      </c>
      <c r="E11627" t="s">
        <v>3053</v>
      </c>
      <c r="F11627" t="s">
        <v>288</v>
      </c>
      <c r="G11627" t="s">
        <v>3040</v>
      </c>
      <c r="H11627" t="s">
        <v>13656</v>
      </c>
      <c r="I11627">
        <v>47</v>
      </c>
      <c r="J11627">
        <v>47</v>
      </c>
      <c r="K11627">
        <v>0</v>
      </c>
      <c r="L11627">
        <v>0</v>
      </c>
      <c r="M11627">
        <v>0</v>
      </c>
      <c r="N11627">
        <v>13</v>
      </c>
      <c r="O11627">
        <v>0</v>
      </c>
    </row>
    <row r="11628" spans="1:15" x14ac:dyDescent="0.25">
      <c r="A11628" t="s">
        <v>951</v>
      </c>
      <c r="B11628" t="s">
        <v>2680</v>
      </c>
      <c r="C11628" t="s">
        <v>927</v>
      </c>
      <c r="D11628" t="s">
        <v>3052</v>
      </c>
      <c r="E11628" t="s">
        <v>3053</v>
      </c>
      <c r="F11628" t="s">
        <v>288</v>
      </c>
      <c r="G11628" t="s">
        <v>3040</v>
      </c>
      <c r="H11628" t="s">
        <v>13690</v>
      </c>
      <c r="I11628">
        <v>85</v>
      </c>
      <c r="J11628">
        <v>73</v>
      </c>
      <c r="K11628">
        <v>0</v>
      </c>
      <c r="L11628">
        <v>0</v>
      </c>
      <c r="M11628">
        <v>0</v>
      </c>
      <c r="N11628">
        <v>0</v>
      </c>
      <c r="O11628">
        <v>12</v>
      </c>
    </row>
    <row r="11629" spans="1:15" x14ac:dyDescent="0.25">
      <c r="A11629" t="s">
        <v>1048</v>
      </c>
      <c r="B11629" t="s">
        <v>2989</v>
      </c>
      <c r="C11629" t="s">
        <v>927</v>
      </c>
      <c r="D11629" t="s">
        <v>3052</v>
      </c>
      <c r="E11629" t="s">
        <v>3053</v>
      </c>
      <c r="F11629" t="s">
        <v>288</v>
      </c>
      <c r="G11629" t="s">
        <v>3040</v>
      </c>
      <c r="H11629" t="s">
        <v>13699</v>
      </c>
      <c r="I11629">
        <v>208</v>
      </c>
      <c r="J11629">
        <v>177</v>
      </c>
      <c r="K11629">
        <v>0</v>
      </c>
      <c r="L11629">
        <v>3</v>
      </c>
      <c r="M11629">
        <v>12</v>
      </c>
      <c r="N11629">
        <v>0</v>
      </c>
      <c r="O11629">
        <v>16</v>
      </c>
    </row>
    <row r="11630" spans="1:15" x14ac:dyDescent="0.25">
      <c r="A11630" t="s">
        <v>1832</v>
      </c>
      <c r="B11630" t="s">
        <v>2045</v>
      </c>
      <c r="C11630" t="s">
        <v>923</v>
      </c>
      <c r="D11630" t="s">
        <v>3063</v>
      </c>
      <c r="E11630" t="s">
        <v>3053</v>
      </c>
      <c r="F11630" t="s">
        <v>288</v>
      </c>
      <c r="G11630" t="s">
        <v>3040</v>
      </c>
      <c r="H11630" t="s">
        <v>13701</v>
      </c>
      <c r="I11630">
        <v>2</v>
      </c>
      <c r="J11630">
        <v>2</v>
      </c>
      <c r="K11630">
        <v>0</v>
      </c>
      <c r="L11630">
        <v>0</v>
      </c>
      <c r="M11630">
        <v>0</v>
      </c>
      <c r="N11630">
        <v>0</v>
      </c>
      <c r="O11630">
        <v>0</v>
      </c>
    </row>
    <row r="11631" spans="1:15" x14ac:dyDescent="0.25">
      <c r="A11631" t="s">
        <v>1049</v>
      </c>
      <c r="B11631" t="s">
        <v>2138</v>
      </c>
      <c r="C11631" t="s">
        <v>927</v>
      </c>
      <c r="D11631" t="s">
        <v>3052</v>
      </c>
      <c r="E11631" t="s">
        <v>3053</v>
      </c>
      <c r="F11631" t="s">
        <v>288</v>
      </c>
      <c r="G11631" t="s">
        <v>3040</v>
      </c>
      <c r="H11631" t="s">
        <v>13707</v>
      </c>
      <c r="I11631">
        <v>25438</v>
      </c>
      <c r="J11631">
        <v>19536</v>
      </c>
      <c r="K11631">
        <v>0</v>
      </c>
      <c r="L11631">
        <v>641</v>
      </c>
      <c r="M11631">
        <v>1771</v>
      </c>
      <c r="N11631">
        <v>0</v>
      </c>
      <c r="O11631">
        <v>3490</v>
      </c>
    </row>
    <row r="11632" spans="1:15" x14ac:dyDescent="0.25">
      <c r="A11632" t="s">
        <v>1525</v>
      </c>
      <c r="B11632" t="s">
        <v>2908</v>
      </c>
      <c r="C11632" t="s">
        <v>927</v>
      </c>
      <c r="D11632" t="s">
        <v>3052</v>
      </c>
      <c r="E11632" t="s">
        <v>3053</v>
      </c>
      <c r="F11632" t="s">
        <v>288</v>
      </c>
      <c r="G11632" t="s">
        <v>3040</v>
      </c>
      <c r="H11632" t="s">
        <v>13713</v>
      </c>
      <c r="I11632">
        <v>19</v>
      </c>
      <c r="J11632">
        <v>15</v>
      </c>
      <c r="K11632">
        <v>0</v>
      </c>
      <c r="L11632">
        <v>4</v>
      </c>
      <c r="M11632">
        <v>0</v>
      </c>
      <c r="N11632">
        <v>0</v>
      </c>
      <c r="O11632">
        <v>0</v>
      </c>
    </row>
    <row r="11633" spans="1:15" x14ac:dyDescent="0.25">
      <c r="A11633" t="s">
        <v>1051</v>
      </c>
      <c r="B11633" t="s">
        <v>2995</v>
      </c>
      <c r="C11633" t="s">
        <v>927</v>
      </c>
      <c r="D11633" t="s">
        <v>3052</v>
      </c>
      <c r="E11633" t="s">
        <v>3053</v>
      </c>
      <c r="F11633" t="s">
        <v>288</v>
      </c>
      <c r="G11633" t="s">
        <v>3040</v>
      </c>
      <c r="H11633" t="s">
        <v>13734</v>
      </c>
      <c r="I11633">
        <v>12</v>
      </c>
      <c r="J11633">
        <v>0</v>
      </c>
      <c r="K11633">
        <v>0</v>
      </c>
      <c r="L11633">
        <v>11</v>
      </c>
      <c r="M11633">
        <v>0</v>
      </c>
      <c r="N11633">
        <v>0</v>
      </c>
      <c r="O11633">
        <v>1</v>
      </c>
    </row>
    <row r="11634" spans="1:15" x14ac:dyDescent="0.25">
      <c r="A11634" t="s">
        <v>1436</v>
      </c>
      <c r="B11634" t="s">
        <v>2209</v>
      </c>
      <c r="C11634" t="s">
        <v>927</v>
      </c>
      <c r="D11634" t="s">
        <v>3052</v>
      </c>
      <c r="E11634" t="s">
        <v>3053</v>
      </c>
      <c r="F11634" t="s">
        <v>288</v>
      </c>
      <c r="G11634" t="s">
        <v>3040</v>
      </c>
      <c r="H11634" t="s">
        <v>13745</v>
      </c>
      <c r="I11634">
        <v>44</v>
      </c>
      <c r="J11634">
        <v>0</v>
      </c>
      <c r="K11634">
        <v>0</v>
      </c>
      <c r="L11634">
        <v>44</v>
      </c>
      <c r="M11634">
        <v>0</v>
      </c>
      <c r="N11634">
        <v>44</v>
      </c>
      <c r="O11634">
        <v>0</v>
      </c>
    </row>
    <row r="11635" spans="1:15" x14ac:dyDescent="0.25">
      <c r="A11635" t="s">
        <v>1833</v>
      </c>
      <c r="B11635" t="s">
        <v>2596</v>
      </c>
      <c r="C11635" t="s">
        <v>923</v>
      </c>
      <c r="D11635" t="s">
        <v>3063</v>
      </c>
      <c r="E11635" t="s">
        <v>3053</v>
      </c>
      <c r="F11635" t="s">
        <v>288</v>
      </c>
      <c r="G11635" t="s">
        <v>3040</v>
      </c>
      <c r="H11635" t="s">
        <v>13750</v>
      </c>
      <c r="I11635">
        <v>22</v>
      </c>
      <c r="J11635">
        <v>0</v>
      </c>
      <c r="K11635">
        <v>0</v>
      </c>
      <c r="L11635">
        <v>0</v>
      </c>
      <c r="M11635">
        <v>22</v>
      </c>
      <c r="N11635">
        <v>0</v>
      </c>
      <c r="O11635">
        <v>0</v>
      </c>
    </row>
    <row r="11636" spans="1:15" x14ac:dyDescent="0.25">
      <c r="A11636" t="s">
        <v>1834</v>
      </c>
      <c r="B11636" t="s">
        <v>2036</v>
      </c>
      <c r="C11636" t="s">
        <v>923</v>
      </c>
      <c r="D11636" t="s">
        <v>3063</v>
      </c>
      <c r="E11636" t="s">
        <v>3053</v>
      </c>
      <c r="F11636" t="s">
        <v>288</v>
      </c>
      <c r="G11636" t="s">
        <v>3040</v>
      </c>
      <c r="H11636" t="s">
        <v>13760</v>
      </c>
      <c r="I11636">
        <v>13</v>
      </c>
      <c r="J11636">
        <v>0</v>
      </c>
      <c r="K11636">
        <v>13</v>
      </c>
      <c r="L11636">
        <v>0</v>
      </c>
      <c r="M11636">
        <v>0</v>
      </c>
      <c r="N11636">
        <v>0</v>
      </c>
      <c r="O11636">
        <v>0</v>
      </c>
    </row>
    <row r="11637" spans="1:15" x14ac:dyDescent="0.25">
      <c r="A11637" t="s">
        <v>953</v>
      </c>
      <c r="B11637" t="s">
        <v>2014</v>
      </c>
      <c r="C11637" t="s">
        <v>927</v>
      </c>
      <c r="D11637" t="s">
        <v>3052</v>
      </c>
      <c r="E11637" t="s">
        <v>3053</v>
      </c>
      <c r="F11637" t="s">
        <v>288</v>
      </c>
      <c r="G11637" t="s">
        <v>3040</v>
      </c>
      <c r="H11637" t="s">
        <v>13768</v>
      </c>
      <c r="I11637">
        <v>39</v>
      </c>
      <c r="J11637">
        <v>0</v>
      </c>
      <c r="K11637">
        <v>0</v>
      </c>
      <c r="L11637">
        <v>39</v>
      </c>
      <c r="M11637">
        <v>0</v>
      </c>
      <c r="N11637">
        <v>0</v>
      </c>
      <c r="O11637">
        <v>0</v>
      </c>
    </row>
    <row r="11638" spans="1:15" x14ac:dyDescent="0.25">
      <c r="A11638" t="s">
        <v>1758</v>
      </c>
      <c r="B11638" t="s">
        <v>2997</v>
      </c>
      <c r="C11638" t="s">
        <v>927</v>
      </c>
      <c r="D11638" t="s">
        <v>3052</v>
      </c>
      <c r="E11638" t="s">
        <v>3053</v>
      </c>
      <c r="F11638" t="s">
        <v>288</v>
      </c>
      <c r="G11638" t="s">
        <v>3040</v>
      </c>
      <c r="H11638" t="s">
        <v>13785</v>
      </c>
      <c r="I11638">
        <v>5294</v>
      </c>
      <c r="J11638">
        <v>4374</v>
      </c>
      <c r="K11638">
        <v>202</v>
      </c>
      <c r="L11638">
        <v>60</v>
      </c>
      <c r="M11638">
        <v>429</v>
      </c>
      <c r="N11638">
        <v>87</v>
      </c>
      <c r="O11638">
        <v>229</v>
      </c>
    </row>
    <row r="11639" spans="1:15" x14ac:dyDescent="0.25">
      <c r="A11639" t="s">
        <v>11720</v>
      </c>
      <c r="B11639" t="s">
        <v>10718</v>
      </c>
      <c r="C11639" t="s">
        <v>927</v>
      </c>
      <c r="D11639" t="s">
        <v>3052</v>
      </c>
      <c r="E11639" t="s">
        <v>3053</v>
      </c>
      <c r="F11639" t="s">
        <v>288</v>
      </c>
      <c r="G11639" t="s">
        <v>3040</v>
      </c>
      <c r="H11639" t="s">
        <v>13795</v>
      </c>
      <c r="I11639">
        <v>482</v>
      </c>
      <c r="J11639">
        <v>180</v>
      </c>
      <c r="K11639">
        <v>0</v>
      </c>
      <c r="L11639">
        <v>0</v>
      </c>
      <c r="M11639">
        <v>0</v>
      </c>
      <c r="N11639">
        <v>0</v>
      </c>
      <c r="O11639">
        <v>302</v>
      </c>
    </row>
    <row r="11640" spans="1:15" x14ac:dyDescent="0.25">
      <c r="A11640" t="s">
        <v>9788</v>
      </c>
      <c r="B11640" t="s">
        <v>9871</v>
      </c>
      <c r="C11640" t="s">
        <v>927</v>
      </c>
      <c r="D11640" t="s">
        <v>3052</v>
      </c>
      <c r="E11640" t="s">
        <v>3053</v>
      </c>
      <c r="F11640" t="s">
        <v>288</v>
      </c>
      <c r="G11640" t="s">
        <v>3040</v>
      </c>
      <c r="H11640" t="s">
        <v>13802</v>
      </c>
      <c r="I11640">
        <v>635</v>
      </c>
      <c r="J11640">
        <v>635</v>
      </c>
      <c r="K11640">
        <v>0</v>
      </c>
      <c r="L11640">
        <v>0</v>
      </c>
      <c r="M11640">
        <v>0</v>
      </c>
      <c r="N11640">
        <v>0</v>
      </c>
      <c r="O11640">
        <v>0</v>
      </c>
    </row>
    <row r="11641" spans="1:15" x14ac:dyDescent="0.25">
      <c r="A11641" t="s">
        <v>1056</v>
      </c>
      <c r="B11641" t="s">
        <v>2966</v>
      </c>
      <c r="C11641" t="s">
        <v>927</v>
      </c>
      <c r="D11641" t="s">
        <v>3052</v>
      </c>
      <c r="E11641" t="s">
        <v>3053</v>
      </c>
      <c r="F11641" t="s">
        <v>288</v>
      </c>
      <c r="G11641" t="s">
        <v>3040</v>
      </c>
      <c r="H11641" t="s">
        <v>13813</v>
      </c>
      <c r="I11641">
        <v>204</v>
      </c>
      <c r="J11641">
        <v>13</v>
      </c>
      <c r="K11641">
        <v>0</v>
      </c>
      <c r="L11641">
        <v>191</v>
      </c>
      <c r="M11641">
        <v>0</v>
      </c>
      <c r="N11641">
        <v>0</v>
      </c>
      <c r="O11641">
        <v>0</v>
      </c>
    </row>
    <row r="11642" spans="1:15" x14ac:dyDescent="0.25">
      <c r="A11642" t="s">
        <v>1835</v>
      </c>
      <c r="B11642" t="s">
        <v>2272</v>
      </c>
      <c r="C11642" t="s">
        <v>923</v>
      </c>
      <c r="D11642" t="s">
        <v>3063</v>
      </c>
      <c r="E11642" t="s">
        <v>3053</v>
      </c>
      <c r="F11642" t="s">
        <v>288</v>
      </c>
      <c r="G11642" t="s">
        <v>3040</v>
      </c>
      <c r="H11642" t="s">
        <v>13815</v>
      </c>
      <c r="I11642">
        <v>10</v>
      </c>
      <c r="J11642">
        <v>10</v>
      </c>
      <c r="K11642">
        <v>0</v>
      </c>
      <c r="L11642">
        <v>0</v>
      </c>
      <c r="M11642">
        <v>0</v>
      </c>
      <c r="N11642">
        <v>0</v>
      </c>
      <c r="O11642">
        <v>0</v>
      </c>
    </row>
    <row r="11643" spans="1:15" x14ac:dyDescent="0.25">
      <c r="A11643" t="s">
        <v>1057</v>
      </c>
      <c r="B11643" t="s">
        <v>1972</v>
      </c>
      <c r="C11643" t="s">
        <v>927</v>
      </c>
      <c r="D11643" t="s">
        <v>3052</v>
      </c>
      <c r="E11643" t="s">
        <v>3053</v>
      </c>
      <c r="F11643" t="s">
        <v>288</v>
      </c>
      <c r="G11643" t="s">
        <v>3040</v>
      </c>
      <c r="H11643" t="s">
        <v>13823</v>
      </c>
      <c r="I11643">
        <v>1120</v>
      </c>
      <c r="J11643">
        <v>651</v>
      </c>
      <c r="K11643">
        <v>0</v>
      </c>
      <c r="L11643">
        <v>36</v>
      </c>
      <c r="M11643">
        <v>221</v>
      </c>
      <c r="N11643">
        <v>0</v>
      </c>
      <c r="O11643">
        <v>212</v>
      </c>
    </row>
    <row r="11644" spans="1:15" x14ac:dyDescent="0.25">
      <c r="A11644" t="s">
        <v>955</v>
      </c>
      <c r="B11644" t="s">
        <v>2660</v>
      </c>
      <c r="C11644" t="s">
        <v>927</v>
      </c>
      <c r="D11644" t="s">
        <v>3052</v>
      </c>
      <c r="E11644" t="s">
        <v>3053</v>
      </c>
      <c r="F11644" t="s">
        <v>288</v>
      </c>
      <c r="G11644" t="s">
        <v>3040</v>
      </c>
      <c r="H11644" t="s">
        <v>13832</v>
      </c>
      <c r="I11644">
        <v>8893</v>
      </c>
      <c r="J11644">
        <v>6615</v>
      </c>
      <c r="K11644">
        <v>0</v>
      </c>
      <c r="L11644">
        <v>332</v>
      </c>
      <c r="M11644">
        <v>1191</v>
      </c>
      <c r="N11644">
        <v>24</v>
      </c>
      <c r="O11644">
        <v>755</v>
      </c>
    </row>
    <row r="11645" spans="1:15" x14ac:dyDescent="0.25">
      <c r="A11645" t="s">
        <v>1836</v>
      </c>
      <c r="B11645" t="s">
        <v>2122</v>
      </c>
      <c r="C11645" t="s">
        <v>923</v>
      </c>
      <c r="D11645" t="s">
        <v>3063</v>
      </c>
      <c r="E11645" t="s">
        <v>3053</v>
      </c>
      <c r="F11645" t="s">
        <v>288</v>
      </c>
      <c r="G11645" t="s">
        <v>3040</v>
      </c>
      <c r="H11645" t="s">
        <v>13836</v>
      </c>
      <c r="I11645">
        <v>21</v>
      </c>
      <c r="J11645">
        <v>2</v>
      </c>
      <c r="K11645">
        <v>0</v>
      </c>
      <c r="L11645">
        <v>19</v>
      </c>
      <c r="M11645">
        <v>0</v>
      </c>
      <c r="N11645">
        <v>0</v>
      </c>
      <c r="O11645">
        <v>0</v>
      </c>
    </row>
    <row r="11646" spans="1:15" x14ac:dyDescent="0.25">
      <c r="A11646" t="s">
        <v>1838</v>
      </c>
      <c r="B11646" t="s">
        <v>2401</v>
      </c>
      <c r="C11646" t="s">
        <v>923</v>
      </c>
      <c r="D11646" t="s">
        <v>3063</v>
      </c>
      <c r="E11646" t="s">
        <v>3053</v>
      </c>
      <c r="F11646" t="s">
        <v>288</v>
      </c>
      <c r="G11646" t="s">
        <v>3040</v>
      </c>
      <c r="H11646" t="s">
        <v>13850</v>
      </c>
      <c r="I11646">
        <v>74</v>
      </c>
      <c r="J11646">
        <v>74</v>
      </c>
      <c r="K11646">
        <v>0</v>
      </c>
      <c r="L11646">
        <v>0</v>
      </c>
      <c r="M11646">
        <v>0</v>
      </c>
      <c r="N11646">
        <v>0</v>
      </c>
      <c r="O11646">
        <v>0</v>
      </c>
    </row>
    <row r="11647" spans="1:15" x14ac:dyDescent="0.25">
      <c r="A11647" t="s">
        <v>1839</v>
      </c>
      <c r="B11647" t="s">
        <v>2061</v>
      </c>
      <c r="C11647" t="s">
        <v>923</v>
      </c>
      <c r="D11647" t="s">
        <v>3063</v>
      </c>
      <c r="E11647" t="s">
        <v>3053</v>
      </c>
      <c r="F11647" t="s">
        <v>288</v>
      </c>
      <c r="G11647" t="s">
        <v>3040</v>
      </c>
      <c r="H11647" t="s">
        <v>13863</v>
      </c>
      <c r="I11647">
        <v>51</v>
      </c>
      <c r="J11647">
        <v>0</v>
      </c>
      <c r="K11647">
        <v>0</v>
      </c>
      <c r="L11647">
        <v>0</v>
      </c>
      <c r="M11647">
        <v>51</v>
      </c>
      <c r="N11647">
        <v>0</v>
      </c>
      <c r="O11647">
        <v>0</v>
      </c>
    </row>
    <row r="11648" spans="1:15" x14ac:dyDescent="0.25">
      <c r="A11648" t="s">
        <v>1840</v>
      </c>
      <c r="B11648" t="s">
        <v>2532</v>
      </c>
      <c r="C11648" t="s">
        <v>923</v>
      </c>
      <c r="D11648" t="s">
        <v>3063</v>
      </c>
      <c r="E11648" t="s">
        <v>3053</v>
      </c>
      <c r="F11648" t="s">
        <v>288</v>
      </c>
      <c r="G11648" t="s">
        <v>3040</v>
      </c>
      <c r="H11648" t="s">
        <v>13864</v>
      </c>
      <c r="I11648">
        <v>22</v>
      </c>
      <c r="J11648">
        <v>0</v>
      </c>
      <c r="K11648">
        <v>0</v>
      </c>
      <c r="L11648">
        <v>22</v>
      </c>
      <c r="M11648">
        <v>0</v>
      </c>
      <c r="N11648">
        <v>0</v>
      </c>
      <c r="O11648">
        <v>0</v>
      </c>
    </row>
    <row r="11649" spans="1:15" x14ac:dyDescent="0.25">
      <c r="A11649" t="s">
        <v>1841</v>
      </c>
      <c r="B11649" t="s">
        <v>2740</v>
      </c>
      <c r="C11649" t="s">
        <v>923</v>
      </c>
      <c r="D11649" t="s">
        <v>3063</v>
      </c>
      <c r="E11649" t="s">
        <v>3053</v>
      </c>
      <c r="F11649" t="s">
        <v>288</v>
      </c>
      <c r="G11649" t="s">
        <v>3040</v>
      </c>
      <c r="H11649" t="s">
        <v>13865</v>
      </c>
      <c r="I11649">
        <v>301</v>
      </c>
      <c r="J11649">
        <v>281</v>
      </c>
      <c r="K11649">
        <v>0</v>
      </c>
      <c r="L11649">
        <v>0</v>
      </c>
      <c r="M11649">
        <v>20</v>
      </c>
      <c r="N11649">
        <v>0</v>
      </c>
      <c r="O11649">
        <v>0</v>
      </c>
    </row>
    <row r="11650" spans="1:15" x14ac:dyDescent="0.25">
      <c r="A11650" t="s">
        <v>9842</v>
      </c>
      <c r="B11650" t="s">
        <v>9873</v>
      </c>
      <c r="C11650" t="s">
        <v>923</v>
      </c>
      <c r="D11650" t="s">
        <v>3063</v>
      </c>
      <c r="E11650" t="s">
        <v>3053</v>
      </c>
      <c r="F11650" t="s">
        <v>288</v>
      </c>
      <c r="G11650" t="s">
        <v>3040</v>
      </c>
      <c r="H11650" t="s">
        <v>13869</v>
      </c>
      <c r="I11650">
        <v>6</v>
      </c>
      <c r="J11650">
        <v>0</v>
      </c>
      <c r="K11650">
        <v>0</v>
      </c>
      <c r="L11650">
        <v>0</v>
      </c>
      <c r="M11650">
        <v>6</v>
      </c>
      <c r="N11650">
        <v>0</v>
      </c>
      <c r="O11650">
        <v>0</v>
      </c>
    </row>
    <row r="11651" spans="1:15" x14ac:dyDescent="0.25">
      <c r="A11651" t="s">
        <v>1842</v>
      </c>
      <c r="B11651" t="s">
        <v>2176</v>
      </c>
      <c r="C11651" t="s">
        <v>923</v>
      </c>
      <c r="D11651" t="s">
        <v>3063</v>
      </c>
      <c r="E11651" t="s">
        <v>3053</v>
      </c>
      <c r="F11651" t="s">
        <v>288</v>
      </c>
      <c r="G11651" t="s">
        <v>3040</v>
      </c>
      <c r="H11651" t="s">
        <v>13870</v>
      </c>
      <c r="I11651">
        <v>182</v>
      </c>
      <c r="J11651">
        <v>0</v>
      </c>
      <c r="K11651">
        <v>0</v>
      </c>
      <c r="L11651">
        <v>0</v>
      </c>
      <c r="M11651">
        <v>182</v>
      </c>
      <c r="N11651">
        <v>0</v>
      </c>
      <c r="O11651">
        <v>0</v>
      </c>
    </row>
    <row r="11652" spans="1:15" x14ac:dyDescent="0.25">
      <c r="A11652" t="s">
        <v>1843</v>
      </c>
      <c r="B11652" t="s">
        <v>2239</v>
      </c>
      <c r="C11652" t="s">
        <v>923</v>
      </c>
      <c r="D11652" t="s">
        <v>3063</v>
      </c>
      <c r="E11652" t="s">
        <v>3053</v>
      </c>
      <c r="F11652" t="s">
        <v>288</v>
      </c>
      <c r="G11652" t="s">
        <v>3040</v>
      </c>
      <c r="H11652" t="s">
        <v>13874</v>
      </c>
      <c r="I11652">
        <v>23</v>
      </c>
      <c r="J11652">
        <v>0</v>
      </c>
      <c r="K11652">
        <v>0</v>
      </c>
      <c r="L11652">
        <v>0</v>
      </c>
      <c r="M11652">
        <v>23</v>
      </c>
      <c r="N11652">
        <v>0</v>
      </c>
      <c r="O11652">
        <v>0</v>
      </c>
    </row>
    <row r="11653" spans="1:15" x14ac:dyDescent="0.25">
      <c r="A11653" t="s">
        <v>1844</v>
      </c>
      <c r="B11653" t="s">
        <v>2380</v>
      </c>
      <c r="C11653" t="s">
        <v>923</v>
      </c>
      <c r="D11653" t="s">
        <v>3063</v>
      </c>
      <c r="E11653" t="s">
        <v>3053</v>
      </c>
      <c r="F11653" t="s">
        <v>288</v>
      </c>
      <c r="G11653" t="s">
        <v>3040</v>
      </c>
      <c r="H11653" t="s">
        <v>13877</v>
      </c>
      <c r="I11653">
        <v>47</v>
      </c>
      <c r="J11653">
        <v>47</v>
      </c>
      <c r="K11653">
        <v>0</v>
      </c>
      <c r="L11653">
        <v>0</v>
      </c>
      <c r="M11653">
        <v>0</v>
      </c>
      <c r="N11653">
        <v>0</v>
      </c>
      <c r="O11653">
        <v>0</v>
      </c>
    </row>
    <row r="11654" spans="1:15" x14ac:dyDescent="0.25">
      <c r="A11654" t="s">
        <v>1845</v>
      </c>
      <c r="B11654" t="s">
        <v>2834</v>
      </c>
      <c r="C11654" t="s">
        <v>923</v>
      </c>
      <c r="D11654" t="s">
        <v>3063</v>
      </c>
      <c r="E11654" t="s">
        <v>3053</v>
      </c>
      <c r="F11654" t="s">
        <v>288</v>
      </c>
      <c r="G11654" t="s">
        <v>3040</v>
      </c>
      <c r="H11654" t="s">
        <v>13881</v>
      </c>
      <c r="I11654">
        <v>113</v>
      </c>
      <c r="J11654">
        <v>0</v>
      </c>
      <c r="K11654">
        <v>0</v>
      </c>
      <c r="L11654">
        <v>32</v>
      </c>
      <c r="M11654">
        <v>81</v>
      </c>
      <c r="N11654">
        <v>0</v>
      </c>
      <c r="O11654">
        <v>0</v>
      </c>
    </row>
    <row r="11655" spans="1:15" x14ac:dyDescent="0.25">
      <c r="A11655" t="s">
        <v>1846</v>
      </c>
      <c r="B11655" t="s">
        <v>2427</v>
      </c>
      <c r="C11655" t="s">
        <v>923</v>
      </c>
      <c r="D11655" t="s">
        <v>3063</v>
      </c>
      <c r="E11655" t="s">
        <v>3053</v>
      </c>
      <c r="F11655" t="s">
        <v>288</v>
      </c>
      <c r="G11655" t="s">
        <v>3040</v>
      </c>
      <c r="H11655" t="s">
        <v>13889</v>
      </c>
      <c r="I11655">
        <v>33</v>
      </c>
      <c r="J11655">
        <v>33</v>
      </c>
      <c r="K11655">
        <v>0</v>
      </c>
      <c r="L11655">
        <v>0</v>
      </c>
      <c r="M11655">
        <v>0</v>
      </c>
      <c r="N11655">
        <v>0</v>
      </c>
      <c r="O11655">
        <v>0</v>
      </c>
    </row>
    <row r="11656" spans="1:15" x14ac:dyDescent="0.25">
      <c r="A11656" t="s">
        <v>11663</v>
      </c>
      <c r="B11656" t="s">
        <v>11768</v>
      </c>
      <c r="C11656" t="s">
        <v>927</v>
      </c>
      <c r="D11656" t="s">
        <v>3052</v>
      </c>
      <c r="E11656" t="s">
        <v>3053</v>
      </c>
      <c r="F11656" t="s">
        <v>288</v>
      </c>
      <c r="G11656" t="s">
        <v>3040</v>
      </c>
      <c r="H11656" t="s">
        <v>13903</v>
      </c>
      <c r="I11656">
        <v>1709</v>
      </c>
      <c r="J11656">
        <v>695</v>
      </c>
      <c r="K11656">
        <v>0</v>
      </c>
      <c r="L11656">
        <v>0</v>
      </c>
      <c r="M11656">
        <v>915</v>
      </c>
      <c r="N11656">
        <v>0</v>
      </c>
      <c r="O11656">
        <v>99</v>
      </c>
    </row>
    <row r="11657" spans="1:15" x14ac:dyDescent="0.25">
      <c r="A11657" t="s">
        <v>14374</v>
      </c>
      <c r="B11657" t="s">
        <v>1943</v>
      </c>
      <c r="C11657" t="s">
        <v>927</v>
      </c>
      <c r="D11657" t="s">
        <v>3052</v>
      </c>
      <c r="E11657" t="s">
        <v>3053</v>
      </c>
      <c r="F11657" t="s">
        <v>288</v>
      </c>
      <c r="G11657" t="s">
        <v>3040</v>
      </c>
      <c r="H11657" t="s">
        <v>15595</v>
      </c>
      <c r="I11657">
        <v>217</v>
      </c>
      <c r="J11657">
        <v>0</v>
      </c>
      <c r="K11657">
        <v>0</v>
      </c>
      <c r="L11657">
        <v>0</v>
      </c>
      <c r="M11657">
        <v>0</v>
      </c>
      <c r="N11657">
        <v>0</v>
      </c>
      <c r="O11657">
        <v>217</v>
      </c>
    </row>
    <row r="11658" spans="1:15" x14ac:dyDescent="0.25">
      <c r="A11658" t="s">
        <v>1847</v>
      </c>
      <c r="B11658" t="s">
        <v>2631</v>
      </c>
      <c r="C11658" t="s">
        <v>923</v>
      </c>
      <c r="D11658" t="s">
        <v>3063</v>
      </c>
      <c r="E11658" t="s">
        <v>3053</v>
      </c>
      <c r="F11658" t="s">
        <v>288</v>
      </c>
      <c r="G11658" t="s">
        <v>3040</v>
      </c>
      <c r="H11658" t="s">
        <v>13919</v>
      </c>
      <c r="I11658">
        <v>51</v>
      </c>
      <c r="J11658">
        <v>0</v>
      </c>
      <c r="K11658">
        <v>0</v>
      </c>
      <c r="L11658">
        <v>51</v>
      </c>
      <c r="M11658">
        <v>0</v>
      </c>
      <c r="N11658">
        <v>0</v>
      </c>
      <c r="O11658">
        <v>0</v>
      </c>
    </row>
    <row r="11659" spans="1:15" x14ac:dyDescent="0.25">
      <c r="A11659" t="s">
        <v>1848</v>
      </c>
      <c r="B11659" t="s">
        <v>2620</v>
      </c>
      <c r="C11659" t="s">
        <v>923</v>
      </c>
      <c r="D11659" t="s">
        <v>3063</v>
      </c>
      <c r="E11659" t="s">
        <v>3053</v>
      </c>
      <c r="F11659" t="s">
        <v>288</v>
      </c>
      <c r="G11659" t="s">
        <v>3040</v>
      </c>
      <c r="H11659" t="s">
        <v>13920</v>
      </c>
      <c r="I11659">
        <v>488</v>
      </c>
      <c r="J11659">
        <v>8</v>
      </c>
      <c r="K11659">
        <v>44</v>
      </c>
      <c r="L11659">
        <v>436</v>
      </c>
      <c r="M11659">
        <v>0</v>
      </c>
      <c r="N11659">
        <v>0</v>
      </c>
      <c r="O11659">
        <v>0</v>
      </c>
    </row>
    <row r="11660" spans="1:15" x14ac:dyDescent="0.25">
      <c r="A11660" t="s">
        <v>1849</v>
      </c>
      <c r="B11660" t="s">
        <v>2794</v>
      </c>
      <c r="C11660" t="s">
        <v>923</v>
      </c>
      <c r="D11660" t="s">
        <v>3063</v>
      </c>
      <c r="E11660" t="s">
        <v>3053</v>
      </c>
      <c r="F11660" t="s">
        <v>288</v>
      </c>
      <c r="G11660" t="s">
        <v>3040</v>
      </c>
      <c r="H11660" t="s">
        <v>13932</v>
      </c>
      <c r="I11660">
        <v>618</v>
      </c>
      <c r="J11660">
        <v>64</v>
      </c>
      <c r="K11660">
        <v>0</v>
      </c>
      <c r="L11660">
        <v>513</v>
      </c>
      <c r="M11660">
        <v>41</v>
      </c>
      <c r="N11660">
        <v>0</v>
      </c>
      <c r="O11660">
        <v>0</v>
      </c>
    </row>
    <row r="11661" spans="1:15" x14ac:dyDescent="0.25">
      <c r="A11661" t="s">
        <v>1850</v>
      </c>
      <c r="B11661" t="s">
        <v>2393</v>
      </c>
      <c r="C11661" t="s">
        <v>923</v>
      </c>
      <c r="D11661" t="s">
        <v>3063</v>
      </c>
      <c r="E11661" t="s">
        <v>3053</v>
      </c>
      <c r="F11661" t="s">
        <v>288</v>
      </c>
      <c r="G11661" t="s">
        <v>3040</v>
      </c>
      <c r="H11661" t="s">
        <v>13935</v>
      </c>
      <c r="I11661">
        <v>125</v>
      </c>
      <c r="J11661">
        <v>125</v>
      </c>
      <c r="K11661">
        <v>0</v>
      </c>
      <c r="L11661">
        <v>0</v>
      </c>
      <c r="M11661">
        <v>0</v>
      </c>
      <c r="N11661">
        <v>0</v>
      </c>
      <c r="O11661">
        <v>0</v>
      </c>
    </row>
    <row r="11662" spans="1:15" x14ac:dyDescent="0.25">
      <c r="A11662" t="s">
        <v>1851</v>
      </c>
      <c r="B11662" t="s">
        <v>2640</v>
      </c>
      <c r="C11662" t="s">
        <v>923</v>
      </c>
      <c r="D11662" t="s">
        <v>3063</v>
      </c>
      <c r="E11662" t="s">
        <v>3053</v>
      </c>
      <c r="F11662" t="s">
        <v>288</v>
      </c>
      <c r="G11662" t="s">
        <v>3040</v>
      </c>
      <c r="H11662" t="s">
        <v>13939</v>
      </c>
      <c r="I11662">
        <v>588</v>
      </c>
      <c r="J11662">
        <v>588</v>
      </c>
      <c r="K11662">
        <v>0</v>
      </c>
      <c r="L11662">
        <v>0</v>
      </c>
      <c r="M11662">
        <v>0</v>
      </c>
      <c r="N11662">
        <v>0</v>
      </c>
      <c r="O11662">
        <v>0</v>
      </c>
    </row>
    <row r="11663" spans="1:15" x14ac:dyDescent="0.25">
      <c r="A11663" t="s">
        <v>1062</v>
      </c>
      <c r="B11663" t="s">
        <v>1993</v>
      </c>
      <c r="C11663" t="s">
        <v>927</v>
      </c>
      <c r="D11663" t="s">
        <v>3052</v>
      </c>
      <c r="E11663" t="s">
        <v>3053</v>
      </c>
      <c r="F11663" t="s">
        <v>288</v>
      </c>
      <c r="G11663" t="s">
        <v>3040</v>
      </c>
      <c r="H11663" t="s">
        <v>13944</v>
      </c>
      <c r="I11663">
        <v>21</v>
      </c>
      <c r="J11663">
        <v>21</v>
      </c>
      <c r="K11663">
        <v>0</v>
      </c>
      <c r="L11663">
        <v>0</v>
      </c>
      <c r="M11663">
        <v>0</v>
      </c>
      <c r="N11663">
        <v>0</v>
      </c>
      <c r="O11663">
        <v>0</v>
      </c>
    </row>
    <row r="11664" spans="1:15" x14ac:dyDescent="0.25">
      <c r="A11664" t="s">
        <v>962</v>
      </c>
      <c r="B11664" t="s">
        <v>2752</v>
      </c>
      <c r="C11664" t="s">
        <v>927</v>
      </c>
      <c r="D11664" t="s">
        <v>3052</v>
      </c>
      <c r="E11664" t="s">
        <v>3053</v>
      </c>
      <c r="F11664" t="s">
        <v>288</v>
      </c>
      <c r="G11664" t="s">
        <v>3040</v>
      </c>
      <c r="H11664" t="s">
        <v>13950</v>
      </c>
      <c r="I11664">
        <v>8567</v>
      </c>
      <c r="J11664">
        <v>6983</v>
      </c>
      <c r="K11664">
        <v>0</v>
      </c>
      <c r="L11664">
        <v>140</v>
      </c>
      <c r="M11664">
        <v>433</v>
      </c>
      <c r="N11664">
        <v>3</v>
      </c>
      <c r="O11664">
        <v>1011</v>
      </c>
    </row>
    <row r="11665" spans="1:15" x14ac:dyDescent="0.25">
      <c r="A11665" t="s">
        <v>11721</v>
      </c>
      <c r="B11665" t="s">
        <v>11773</v>
      </c>
      <c r="C11665" t="s">
        <v>923</v>
      </c>
      <c r="D11665" t="s">
        <v>3063</v>
      </c>
      <c r="E11665" t="s">
        <v>3053</v>
      </c>
      <c r="F11665" t="s">
        <v>288</v>
      </c>
      <c r="G11665" t="s">
        <v>3040</v>
      </c>
      <c r="H11665" t="s">
        <v>13952</v>
      </c>
      <c r="I11665">
        <v>5</v>
      </c>
      <c r="J11665">
        <v>5</v>
      </c>
      <c r="K11665">
        <v>0</v>
      </c>
      <c r="L11665">
        <v>0</v>
      </c>
      <c r="M11665">
        <v>0</v>
      </c>
      <c r="N11665">
        <v>0</v>
      </c>
      <c r="O11665">
        <v>0</v>
      </c>
    </row>
    <row r="11666" spans="1:15" x14ac:dyDescent="0.25">
      <c r="A11666" t="s">
        <v>1063</v>
      </c>
      <c r="B11666" t="s">
        <v>1974</v>
      </c>
      <c r="C11666" t="s">
        <v>927</v>
      </c>
      <c r="D11666" t="s">
        <v>3052</v>
      </c>
      <c r="E11666" t="s">
        <v>3053</v>
      </c>
      <c r="F11666" t="s">
        <v>288</v>
      </c>
      <c r="G11666" t="s">
        <v>3040</v>
      </c>
      <c r="H11666" t="s">
        <v>13962</v>
      </c>
      <c r="I11666">
        <v>1852</v>
      </c>
      <c r="J11666">
        <v>0</v>
      </c>
      <c r="K11666">
        <v>0</v>
      </c>
      <c r="L11666">
        <v>1852</v>
      </c>
      <c r="M11666">
        <v>0</v>
      </c>
      <c r="N11666">
        <v>0</v>
      </c>
      <c r="O11666">
        <v>0</v>
      </c>
    </row>
    <row r="11667" spans="1:15" x14ac:dyDescent="0.25">
      <c r="A11667" t="s">
        <v>1852</v>
      </c>
      <c r="B11667" t="s">
        <v>1956</v>
      </c>
      <c r="C11667" t="s">
        <v>923</v>
      </c>
      <c r="D11667" t="s">
        <v>3063</v>
      </c>
      <c r="E11667" t="s">
        <v>3053</v>
      </c>
      <c r="F11667" t="s">
        <v>288</v>
      </c>
      <c r="G11667" t="s">
        <v>3040</v>
      </c>
      <c r="H11667" t="s">
        <v>13977</v>
      </c>
      <c r="I11667">
        <v>49</v>
      </c>
      <c r="J11667">
        <v>0</v>
      </c>
      <c r="K11667">
        <v>0</v>
      </c>
      <c r="L11667">
        <v>49</v>
      </c>
      <c r="M11667">
        <v>0</v>
      </c>
      <c r="N11667">
        <v>0</v>
      </c>
      <c r="O11667">
        <v>0</v>
      </c>
    </row>
    <row r="11668" spans="1:15" x14ac:dyDescent="0.25">
      <c r="A11668" t="s">
        <v>1353</v>
      </c>
      <c r="B11668" t="s">
        <v>2927</v>
      </c>
      <c r="C11668" t="s">
        <v>923</v>
      </c>
      <c r="D11668" t="s">
        <v>3063</v>
      </c>
      <c r="E11668" t="s">
        <v>3053</v>
      </c>
      <c r="F11668" t="s">
        <v>288</v>
      </c>
      <c r="G11668" t="s">
        <v>3040</v>
      </c>
      <c r="H11668" t="s">
        <v>13988</v>
      </c>
      <c r="I11668">
        <v>62</v>
      </c>
      <c r="J11668">
        <v>0</v>
      </c>
      <c r="K11668">
        <v>0</v>
      </c>
      <c r="L11668">
        <v>0</v>
      </c>
      <c r="M11668">
        <v>62</v>
      </c>
      <c r="N11668">
        <v>0</v>
      </c>
      <c r="O11668">
        <v>0</v>
      </c>
    </row>
    <row r="11669" spans="1:15" x14ac:dyDescent="0.25">
      <c r="A11669" t="s">
        <v>11722</v>
      </c>
      <c r="B11669" t="s">
        <v>2626</v>
      </c>
      <c r="C11669" t="s">
        <v>923</v>
      </c>
      <c r="D11669" t="s">
        <v>3063</v>
      </c>
      <c r="E11669" t="s">
        <v>3053</v>
      </c>
      <c r="F11669" t="s">
        <v>288</v>
      </c>
      <c r="G11669" t="s">
        <v>3040</v>
      </c>
      <c r="H11669" t="s">
        <v>14005</v>
      </c>
      <c r="I11669">
        <v>11</v>
      </c>
      <c r="J11669">
        <v>0</v>
      </c>
      <c r="K11669">
        <v>0</v>
      </c>
      <c r="L11669">
        <v>0</v>
      </c>
      <c r="M11669">
        <v>11</v>
      </c>
      <c r="N11669">
        <v>0</v>
      </c>
      <c r="O11669">
        <v>0</v>
      </c>
    </row>
    <row r="11670" spans="1:15" x14ac:dyDescent="0.25">
      <c r="A11670" t="s">
        <v>1066</v>
      </c>
      <c r="B11670" t="s">
        <v>2557</v>
      </c>
      <c r="C11670" t="s">
        <v>927</v>
      </c>
      <c r="D11670" t="s">
        <v>3052</v>
      </c>
      <c r="E11670" t="s">
        <v>3053</v>
      </c>
      <c r="F11670" t="s">
        <v>288</v>
      </c>
      <c r="G11670" t="s">
        <v>3040</v>
      </c>
      <c r="H11670" t="s">
        <v>14035</v>
      </c>
      <c r="I11670">
        <v>66</v>
      </c>
      <c r="J11670">
        <v>0</v>
      </c>
      <c r="K11670">
        <v>0</v>
      </c>
      <c r="L11670">
        <v>0</v>
      </c>
      <c r="M11670">
        <v>63</v>
      </c>
      <c r="N11670">
        <v>0</v>
      </c>
      <c r="O11670">
        <v>3</v>
      </c>
    </row>
    <row r="11671" spans="1:15" x14ac:dyDescent="0.25">
      <c r="A11671" t="s">
        <v>1853</v>
      </c>
      <c r="B11671" t="s">
        <v>2590</v>
      </c>
      <c r="C11671" t="s">
        <v>923</v>
      </c>
      <c r="D11671" t="s">
        <v>3063</v>
      </c>
      <c r="E11671" t="s">
        <v>3053</v>
      </c>
      <c r="F11671" t="s">
        <v>288</v>
      </c>
      <c r="G11671" t="s">
        <v>3040</v>
      </c>
      <c r="H11671" t="s">
        <v>14044</v>
      </c>
      <c r="I11671">
        <v>11</v>
      </c>
      <c r="J11671">
        <v>0</v>
      </c>
      <c r="K11671">
        <v>0</v>
      </c>
      <c r="L11671">
        <v>0</v>
      </c>
      <c r="M11671">
        <v>11</v>
      </c>
      <c r="N11671">
        <v>0</v>
      </c>
      <c r="O11671">
        <v>0</v>
      </c>
    </row>
    <row r="11672" spans="1:15" x14ac:dyDescent="0.25">
      <c r="A11672" t="s">
        <v>1854</v>
      </c>
      <c r="B11672" t="s">
        <v>2267</v>
      </c>
      <c r="C11672" t="s">
        <v>923</v>
      </c>
      <c r="D11672" t="s">
        <v>3063</v>
      </c>
      <c r="E11672" t="s">
        <v>3053</v>
      </c>
      <c r="F11672" t="s">
        <v>288</v>
      </c>
      <c r="G11672" t="s">
        <v>3040</v>
      </c>
      <c r="H11672" t="s">
        <v>14049</v>
      </c>
      <c r="I11672">
        <v>14</v>
      </c>
      <c r="J11672">
        <v>14</v>
      </c>
      <c r="K11672">
        <v>0</v>
      </c>
      <c r="L11672">
        <v>0</v>
      </c>
      <c r="M11672">
        <v>0</v>
      </c>
      <c r="N11672">
        <v>0</v>
      </c>
      <c r="O11672">
        <v>0</v>
      </c>
    </row>
    <row r="11673" spans="1:15" x14ac:dyDescent="0.25">
      <c r="A11673" t="s">
        <v>1855</v>
      </c>
      <c r="B11673" t="s">
        <v>2121</v>
      </c>
      <c r="C11673" t="s">
        <v>923</v>
      </c>
      <c r="D11673" t="s">
        <v>3063</v>
      </c>
      <c r="E11673" t="s">
        <v>3053</v>
      </c>
      <c r="F11673" t="s">
        <v>288</v>
      </c>
      <c r="G11673" t="s">
        <v>3040</v>
      </c>
      <c r="H11673" t="s">
        <v>14053</v>
      </c>
      <c r="I11673">
        <v>29</v>
      </c>
      <c r="J11673">
        <v>0</v>
      </c>
      <c r="K11673">
        <v>29</v>
      </c>
      <c r="L11673">
        <v>0</v>
      </c>
      <c r="M11673">
        <v>0</v>
      </c>
      <c r="N11673">
        <v>0</v>
      </c>
      <c r="O11673">
        <v>0</v>
      </c>
    </row>
    <row r="11674" spans="1:15" x14ac:dyDescent="0.25">
      <c r="A11674" t="s">
        <v>1856</v>
      </c>
      <c r="B11674" t="s">
        <v>2329</v>
      </c>
      <c r="C11674" t="s">
        <v>923</v>
      </c>
      <c r="D11674" t="s">
        <v>3063</v>
      </c>
      <c r="E11674" t="s">
        <v>3053</v>
      </c>
      <c r="F11674" t="s">
        <v>288</v>
      </c>
      <c r="G11674" t="s">
        <v>3040</v>
      </c>
      <c r="H11674" t="s">
        <v>14054</v>
      </c>
      <c r="I11674">
        <v>13</v>
      </c>
      <c r="J11674">
        <v>13</v>
      </c>
      <c r="K11674">
        <v>0</v>
      </c>
      <c r="L11674">
        <v>0</v>
      </c>
      <c r="M11674">
        <v>0</v>
      </c>
      <c r="N11674">
        <v>0</v>
      </c>
      <c r="O11674">
        <v>0</v>
      </c>
    </row>
    <row r="11675" spans="1:15" x14ac:dyDescent="0.25">
      <c r="A11675" t="s">
        <v>9843</v>
      </c>
      <c r="B11675" t="s">
        <v>9875</v>
      </c>
      <c r="C11675" t="s">
        <v>923</v>
      </c>
      <c r="D11675" t="s">
        <v>3063</v>
      </c>
      <c r="E11675" t="s">
        <v>3053</v>
      </c>
      <c r="F11675" t="s">
        <v>288</v>
      </c>
      <c r="G11675" t="s">
        <v>3040</v>
      </c>
      <c r="H11675" t="s">
        <v>14056</v>
      </c>
      <c r="I11675">
        <v>8</v>
      </c>
      <c r="J11675">
        <v>8</v>
      </c>
      <c r="K11675">
        <v>0</v>
      </c>
      <c r="L11675">
        <v>0</v>
      </c>
      <c r="M11675">
        <v>0</v>
      </c>
      <c r="N11675">
        <v>0</v>
      </c>
      <c r="O11675">
        <v>0</v>
      </c>
    </row>
    <row r="11676" spans="1:15" x14ac:dyDescent="0.25">
      <c r="A11676" t="s">
        <v>1857</v>
      </c>
      <c r="B11676" t="s">
        <v>3016</v>
      </c>
      <c r="C11676" t="s">
        <v>927</v>
      </c>
      <c r="D11676" t="s">
        <v>3052</v>
      </c>
      <c r="E11676" t="s">
        <v>3053</v>
      </c>
      <c r="F11676" t="s">
        <v>288</v>
      </c>
      <c r="G11676" t="s">
        <v>3040</v>
      </c>
      <c r="H11676" t="s">
        <v>14062</v>
      </c>
      <c r="I11676">
        <v>6047</v>
      </c>
      <c r="J11676">
        <v>3638</v>
      </c>
      <c r="K11676">
        <v>0</v>
      </c>
      <c r="L11676">
        <v>2090</v>
      </c>
      <c r="M11676">
        <v>0</v>
      </c>
      <c r="N11676">
        <v>0</v>
      </c>
      <c r="O11676">
        <v>319</v>
      </c>
    </row>
    <row r="11677" spans="1:15" x14ac:dyDescent="0.25">
      <c r="A11677" t="s">
        <v>1068</v>
      </c>
      <c r="B11677" t="s">
        <v>2081</v>
      </c>
      <c r="C11677" t="s">
        <v>923</v>
      </c>
      <c r="D11677" t="s">
        <v>3063</v>
      </c>
      <c r="E11677" t="s">
        <v>3053</v>
      </c>
      <c r="F11677" t="s">
        <v>288</v>
      </c>
      <c r="G11677" t="s">
        <v>3040</v>
      </c>
      <c r="H11677" t="s">
        <v>14068</v>
      </c>
      <c r="I11677">
        <v>52</v>
      </c>
      <c r="J11677">
        <v>0</v>
      </c>
      <c r="K11677">
        <v>0</v>
      </c>
      <c r="L11677">
        <v>52</v>
      </c>
      <c r="M11677">
        <v>0</v>
      </c>
      <c r="N11677">
        <v>0</v>
      </c>
      <c r="O11677">
        <v>0</v>
      </c>
    </row>
    <row r="11678" spans="1:15" x14ac:dyDescent="0.25">
      <c r="A11678" t="s">
        <v>11667</v>
      </c>
      <c r="B11678" t="s">
        <v>1986</v>
      </c>
      <c r="C11678" t="s">
        <v>923</v>
      </c>
      <c r="D11678" t="s">
        <v>3063</v>
      </c>
      <c r="E11678" t="s">
        <v>3053</v>
      </c>
      <c r="F11678" t="s">
        <v>288</v>
      </c>
      <c r="G11678" t="s">
        <v>3040</v>
      </c>
      <c r="H11678" t="s">
        <v>14073</v>
      </c>
      <c r="I11678">
        <v>494</v>
      </c>
      <c r="J11678">
        <v>0</v>
      </c>
      <c r="K11678">
        <v>0</v>
      </c>
      <c r="L11678">
        <v>0</v>
      </c>
      <c r="M11678">
        <v>494</v>
      </c>
      <c r="N11678">
        <v>0</v>
      </c>
      <c r="O11678">
        <v>0</v>
      </c>
    </row>
    <row r="11679" spans="1:15" x14ac:dyDescent="0.25">
      <c r="A11679" t="s">
        <v>1069</v>
      </c>
      <c r="B11679" t="s">
        <v>2001</v>
      </c>
      <c r="C11679" t="s">
        <v>927</v>
      </c>
      <c r="D11679" t="s">
        <v>3052</v>
      </c>
      <c r="E11679" t="s">
        <v>3053</v>
      </c>
      <c r="F11679" t="s">
        <v>288</v>
      </c>
      <c r="G11679" t="s">
        <v>3040</v>
      </c>
      <c r="H11679" t="s">
        <v>14095</v>
      </c>
      <c r="I11679">
        <v>95</v>
      </c>
      <c r="J11679">
        <v>76</v>
      </c>
      <c r="K11679">
        <v>0</v>
      </c>
      <c r="L11679">
        <v>0</v>
      </c>
      <c r="M11679">
        <v>0</v>
      </c>
      <c r="N11679">
        <v>0</v>
      </c>
      <c r="O11679">
        <v>19</v>
      </c>
    </row>
    <row r="11680" spans="1:15" x14ac:dyDescent="0.25">
      <c r="A11680" t="s">
        <v>1858</v>
      </c>
      <c r="B11680" t="s">
        <v>2268</v>
      </c>
      <c r="C11680" t="s">
        <v>923</v>
      </c>
      <c r="D11680" t="s">
        <v>3063</v>
      </c>
      <c r="E11680" t="s">
        <v>3053</v>
      </c>
      <c r="F11680" t="s">
        <v>288</v>
      </c>
      <c r="G11680" t="s">
        <v>3040</v>
      </c>
      <c r="H11680" t="s">
        <v>14098</v>
      </c>
      <c r="I11680">
        <v>99</v>
      </c>
      <c r="J11680">
        <v>0</v>
      </c>
      <c r="K11680">
        <v>0</v>
      </c>
      <c r="L11680">
        <v>0</v>
      </c>
      <c r="M11680">
        <v>99</v>
      </c>
      <c r="N11680">
        <v>0</v>
      </c>
      <c r="O11680">
        <v>0</v>
      </c>
    </row>
    <row r="11681" spans="1:15" x14ac:dyDescent="0.25">
      <c r="A11681" t="s">
        <v>10758</v>
      </c>
      <c r="B11681" t="s">
        <v>2335</v>
      </c>
      <c r="C11681" t="s">
        <v>923</v>
      </c>
      <c r="D11681" t="s">
        <v>3063</v>
      </c>
      <c r="E11681" t="s">
        <v>3053</v>
      </c>
      <c r="F11681" t="s">
        <v>288</v>
      </c>
      <c r="G11681" t="s">
        <v>3040</v>
      </c>
      <c r="H11681" t="s">
        <v>14102</v>
      </c>
      <c r="I11681">
        <v>12</v>
      </c>
      <c r="J11681">
        <v>12</v>
      </c>
      <c r="K11681">
        <v>0</v>
      </c>
      <c r="L11681">
        <v>0</v>
      </c>
      <c r="M11681">
        <v>0</v>
      </c>
      <c r="N11681">
        <v>0</v>
      </c>
      <c r="O11681">
        <v>0</v>
      </c>
    </row>
    <row r="11682" spans="1:15" x14ac:dyDescent="0.25">
      <c r="A11682" t="s">
        <v>9844</v>
      </c>
      <c r="B11682" t="s">
        <v>2241</v>
      </c>
      <c r="C11682" t="s">
        <v>923</v>
      </c>
      <c r="D11682" t="s">
        <v>3063</v>
      </c>
      <c r="E11682" t="s">
        <v>3053</v>
      </c>
      <c r="F11682" t="s">
        <v>288</v>
      </c>
      <c r="G11682" t="s">
        <v>3040</v>
      </c>
      <c r="H11682" t="s">
        <v>14106</v>
      </c>
      <c r="I11682">
        <v>47</v>
      </c>
      <c r="J11682">
        <v>11</v>
      </c>
      <c r="K11682">
        <v>0</v>
      </c>
      <c r="L11682">
        <v>0</v>
      </c>
      <c r="M11682">
        <v>36</v>
      </c>
      <c r="N11682">
        <v>0</v>
      </c>
      <c r="O11682">
        <v>0</v>
      </c>
    </row>
    <row r="11683" spans="1:15" x14ac:dyDescent="0.25">
      <c r="A11683" t="s">
        <v>9845</v>
      </c>
      <c r="B11683" t="s">
        <v>9877</v>
      </c>
      <c r="C11683" t="s">
        <v>923</v>
      </c>
      <c r="D11683" t="s">
        <v>3063</v>
      </c>
      <c r="E11683" t="s">
        <v>3053</v>
      </c>
      <c r="F11683" t="s">
        <v>288</v>
      </c>
      <c r="G11683" t="s">
        <v>3040</v>
      </c>
      <c r="H11683" t="s">
        <v>14112</v>
      </c>
      <c r="I11683">
        <v>22</v>
      </c>
      <c r="J11683">
        <v>0</v>
      </c>
      <c r="K11683">
        <v>0</v>
      </c>
      <c r="L11683">
        <v>0</v>
      </c>
      <c r="M11683">
        <v>22</v>
      </c>
      <c r="N11683">
        <v>0</v>
      </c>
      <c r="O11683">
        <v>0</v>
      </c>
    </row>
    <row r="11684" spans="1:15" x14ac:dyDescent="0.25">
      <c r="A11684" t="s">
        <v>1859</v>
      </c>
      <c r="B11684" t="s">
        <v>2221</v>
      </c>
      <c r="C11684" t="s">
        <v>923</v>
      </c>
      <c r="D11684" t="s">
        <v>3063</v>
      </c>
      <c r="E11684" t="s">
        <v>3053</v>
      </c>
      <c r="F11684" t="s">
        <v>288</v>
      </c>
      <c r="G11684" t="s">
        <v>3040</v>
      </c>
      <c r="H11684" t="s">
        <v>14116</v>
      </c>
      <c r="I11684">
        <v>31</v>
      </c>
      <c r="J11684">
        <v>0</v>
      </c>
      <c r="K11684">
        <v>0</v>
      </c>
      <c r="L11684">
        <v>0</v>
      </c>
      <c r="M11684">
        <v>31</v>
      </c>
      <c r="N11684">
        <v>0</v>
      </c>
      <c r="O11684">
        <v>0</v>
      </c>
    </row>
    <row r="11685" spans="1:15" x14ac:dyDescent="0.25">
      <c r="A11685" t="s">
        <v>1860</v>
      </c>
      <c r="B11685" t="s">
        <v>2825</v>
      </c>
      <c r="C11685" t="s">
        <v>927</v>
      </c>
      <c r="D11685" t="s">
        <v>3052</v>
      </c>
      <c r="E11685" t="s">
        <v>3053</v>
      </c>
      <c r="F11685" t="s">
        <v>288</v>
      </c>
      <c r="G11685" t="s">
        <v>3040</v>
      </c>
      <c r="H11685" t="s">
        <v>14135</v>
      </c>
      <c r="I11685">
        <v>2437</v>
      </c>
      <c r="J11685">
        <v>2269</v>
      </c>
      <c r="K11685">
        <v>0</v>
      </c>
      <c r="L11685">
        <v>0</v>
      </c>
      <c r="M11685">
        <v>128</v>
      </c>
      <c r="N11685">
        <v>6</v>
      </c>
      <c r="O11685">
        <v>40</v>
      </c>
    </row>
    <row r="11686" spans="1:15" x14ac:dyDescent="0.25">
      <c r="A11686" t="s">
        <v>1072</v>
      </c>
      <c r="B11686" t="s">
        <v>2907</v>
      </c>
      <c r="C11686" t="s">
        <v>927</v>
      </c>
      <c r="D11686" t="s">
        <v>3052</v>
      </c>
      <c r="E11686" t="s">
        <v>3053</v>
      </c>
      <c r="F11686" t="s">
        <v>288</v>
      </c>
      <c r="G11686" t="s">
        <v>3040</v>
      </c>
      <c r="H11686" t="s">
        <v>14152</v>
      </c>
      <c r="I11686">
        <v>745</v>
      </c>
      <c r="J11686">
        <v>556</v>
      </c>
      <c r="K11686">
        <v>0</v>
      </c>
      <c r="L11686">
        <v>100</v>
      </c>
      <c r="M11686">
        <v>57</v>
      </c>
      <c r="N11686">
        <v>0</v>
      </c>
      <c r="O11686">
        <v>32</v>
      </c>
    </row>
    <row r="11687" spans="1:15" x14ac:dyDescent="0.25">
      <c r="A11687" t="s">
        <v>1861</v>
      </c>
      <c r="B11687" t="s">
        <v>3011</v>
      </c>
      <c r="C11687" t="s">
        <v>927</v>
      </c>
      <c r="D11687" t="s">
        <v>3052</v>
      </c>
      <c r="E11687" t="s">
        <v>3053</v>
      </c>
      <c r="F11687" t="s">
        <v>288</v>
      </c>
      <c r="G11687" t="s">
        <v>3040</v>
      </c>
      <c r="H11687" t="s">
        <v>14176</v>
      </c>
      <c r="I11687">
        <v>13234</v>
      </c>
      <c r="J11687">
        <v>10714</v>
      </c>
      <c r="K11687">
        <v>0</v>
      </c>
      <c r="L11687">
        <v>782</v>
      </c>
      <c r="M11687">
        <v>1398</v>
      </c>
      <c r="N11687">
        <v>6</v>
      </c>
      <c r="O11687">
        <v>340</v>
      </c>
    </row>
    <row r="11688" spans="1:15" x14ac:dyDescent="0.25">
      <c r="A11688" t="s">
        <v>1076</v>
      </c>
      <c r="B11688" t="s">
        <v>2852</v>
      </c>
      <c r="C11688" t="s">
        <v>927</v>
      </c>
      <c r="D11688" t="s">
        <v>3052</v>
      </c>
      <c r="E11688" t="s">
        <v>3053</v>
      </c>
      <c r="F11688" t="s">
        <v>288</v>
      </c>
      <c r="G11688" t="s">
        <v>3040</v>
      </c>
      <c r="H11688" t="s">
        <v>14206</v>
      </c>
      <c r="I11688">
        <v>6049</v>
      </c>
      <c r="J11688">
        <v>5662</v>
      </c>
      <c r="K11688">
        <v>0</v>
      </c>
      <c r="L11688">
        <v>2</v>
      </c>
      <c r="M11688">
        <v>165</v>
      </c>
      <c r="N11688">
        <v>0</v>
      </c>
      <c r="O11688">
        <v>220</v>
      </c>
    </row>
    <row r="11689" spans="1:15" x14ac:dyDescent="0.25">
      <c r="A11689" t="s">
        <v>1862</v>
      </c>
      <c r="B11689" t="s">
        <v>2386</v>
      </c>
      <c r="C11689" t="s">
        <v>923</v>
      </c>
      <c r="D11689" t="s">
        <v>3063</v>
      </c>
      <c r="E11689" t="s">
        <v>3053</v>
      </c>
      <c r="F11689" t="s">
        <v>288</v>
      </c>
      <c r="G11689" t="s">
        <v>3040</v>
      </c>
      <c r="H11689" t="s">
        <v>14207</v>
      </c>
      <c r="I11689">
        <v>90</v>
      </c>
      <c r="J11689">
        <v>90</v>
      </c>
      <c r="K11689">
        <v>0</v>
      </c>
      <c r="L11689">
        <v>0</v>
      </c>
      <c r="M11689">
        <v>0</v>
      </c>
      <c r="N11689">
        <v>0</v>
      </c>
      <c r="O11689">
        <v>0</v>
      </c>
    </row>
    <row r="11690" spans="1:15" x14ac:dyDescent="0.25">
      <c r="A11690" t="s">
        <v>1077</v>
      </c>
      <c r="B11690" t="s">
        <v>2711</v>
      </c>
      <c r="C11690" t="s">
        <v>927</v>
      </c>
      <c r="D11690" t="s">
        <v>3052</v>
      </c>
      <c r="E11690" t="s">
        <v>3053</v>
      </c>
      <c r="F11690" t="s">
        <v>288</v>
      </c>
      <c r="G11690" t="s">
        <v>3040</v>
      </c>
      <c r="H11690" t="s">
        <v>14209</v>
      </c>
      <c r="I11690">
        <v>2785</v>
      </c>
      <c r="J11690">
        <v>1757</v>
      </c>
      <c r="K11690">
        <v>0</v>
      </c>
      <c r="L11690">
        <v>583</v>
      </c>
      <c r="M11690">
        <v>377</v>
      </c>
      <c r="N11690">
        <v>0</v>
      </c>
      <c r="O11690">
        <v>68</v>
      </c>
    </row>
    <row r="11691" spans="1:15" x14ac:dyDescent="0.25">
      <c r="A11691" t="s">
        <v>1863</v>
      </c>
      <c r="B11691" t="s">
        <v>2328</v>
      </c>
      <c r="C11691" t="s">
        <v>923</v>
      </c>
      <c r="D11691" t="s">
        <v>3063</v>
      </c>
      <c r="E11691" t="s">
        <v>3053</v>
      </c>
      <c r="F11691" t="s">
        <v>288</v>
      </c>
      <c r="G11691" t="s">
        <v>3040</v>
      </c>
      <c r="H11691" t="s">
        <v>14211</v>
      </c>
      <c r="I11691">
        <v>13</v>
      </c>
      <c r="J11691">
        <v>0</v>
      </c>
      <c r="K11691">
        <v>0</v>
      </c>
      <c r="L11691">
        <v>0</v>
      </c>
      <c r="M11691">
        <v>13</v>
      </c>
      <c r="N11691">
        <v>0</v>
      </c>
      <c r="O11691">
        <v>0</v>
      </c>
    </row>
    <row r="11692" spans="1:15" x14ac:dyDescent="0.25">
      <c r="A11692" t="s">
        <v>1078</v>
      </c>
      <c r="B11692" t="s">
        <v>1950</v>
      </c>
      <c r="C11692" t="s">
        <v>923</v>
      </c>
      <c r="D11692" t="s">
        <v>3063</v>
      </c>
      <c r="E11692" t="s">
        <v>3053</v>
      </c>
      <c r="F11692" t="s">
        <v>288</v>
      </c>
      <c r="G11692" t="s">
        <v>3040</v>
      </c>
      <c r="H11692" t="s">
        <v>14217</v>
      </c>
      <c r="I11692">
        <v>127</v>
      </c>
      <c r="J11692">
        <v>0</v>
      </c>
      <c r="K11692">
        <v>0</v>
      </c>
      <c r="L11692">
        <v>127</v>
      </c>
      <c r="M11692">
        <v>0</v>
      </c>
      <c r="N11692">
        <v>0</v>
      </c>
      <c r="O11692">
        <v>0</v>
      </c>
    </row>
    <row r="11693" spans="1:15" x14ac:dyDescent="0.25">
      <c r="A11693" t="s">
        <v>1079</v>
      </c>
      <c r="B11693" t="s">
        <v>2810</v>
      </c>
      <c r="C11693" t="s">
        <v>927</v>
      </c>
      <c r="D11693" t="s">
        <v>3052</v>
      </c>
      <c r="E11693" t="s">
        <v>3053</v>
      </c>
      <c r="F11693" t="s">
        <v>288</v>
      </c>
      <c r="G11693" t="s">
        <v>3040</v>
      </c>
      <c r="H11693" t="s">
        <v>14220</v>
      </c>
      <c r="I11693">
        <v>35</v>
      </c>
      <c r="J11693">
        <v>35</v>
      </c>
      <c r="K11693">
        <v>0</v>
      </c>
      <c r="L11693">
        <v>0</v>
      </c>
      <c r="M11693">
        <v>0</v>
      </c>
      <c r="N11693">
        <v>0</v>
      </c>
      <c r="O11693">
        <v>0</v>
      </c>
    </row>
    <row r="11694" spans="1:15" x14ac:dyDescent="0.25">
      <c r="A11694" t="s">
        <v>1182</v>
      </c>
      <c r="B11694" t="s">
        <v>2583</v>
      </c>
      <c r="C11694" t="s">
        <v>923</v>
      </c>
      <c r="D11694" t="s">
        <v>3063</v>
      </c>
      <c r="E11694" t="s">
        <v>3053</v>
      </c>
      <c r="F11694" t="s">
        <v>288</v>
      </c>
      <c r="G11694" t="s">
        <v>3040</v>
      </c>
      <c r="H11694" t="s">
        <v>15596</v>
      </c>
      <c r="I11694">
        <v>6</v>
      </c>
      <c r="J11694">
        <v>0</v>
      </c>
      <c r="K11694">
        <v>0</v>
      </c>
      <c r="L11694">
        <v>6</v>
      </c>
      <c r="M11694">
        <v>0</v>
      </c>
      <c r="N11694">
        <v>0</v>
      </c>
      <c r="O11694">
        <v>0</v>
      </c>
    </row>
    <row r="11695" spans="1:15" x14ac:dyDescent="0.25">
      <c r="A11695" t="s">
        <v>14389</v>
      </c>
      <c r="B11695" t="s">
        <v>14472</v>
      </c>
      <c r="C11695" t="s">
        <v>923</v>
      </c>
      <c r="D11695" t="s">
        <v>3063</v>
      </c>
      <c r="E11695" t="s">
        <v>3053</v>
      </c>
      <c r="F11695" t="s">
        <v>288</v>
      </c>
      <c r="G11695" t="s">
        <v>3040</v>
      </c>
      <c r="H11695" t="s">
        <v>15597</v>
      </c>
      <c r="I11695">
        <v>369</v>
      </c>
      <c r="J11695">
        <v>0</v>
      </c>
      <c r="K11695">
        <v>0</v>
      </c>
      <c r="L11695">
        <v>369</v>
      </c>
      <c r="M11695">
        <v>0</v>
      </c>
      <c r="N11695">
        <v>0</v>
      </c>
      <c r="O11695">
        <v>0</v>
      </c>
    </row>
    <row r="11696" spans="1:15" x14ac:dyDescent="0.25">
      <c r="A11696" t="s">
        <v>1790</v>
      </c>
      <c r="B11696" t="s">
        <v>2865</v>
      </c>
      <c r="C11696" t="s">
        <v>927</v>
      </c>
      <c r="D11696" t="s">
        <v>3052</v>
      </c>
      <c r="E11696" t="s">
        <v>3053</v>
      </c>
      <c r="F11696" t="s">
        <v>288</v>
      </c>
      <c r="G11696" t="s">
        <v>3040</v>
      </c>
      <c r="H11696" t="s">
        <v>14227</v>
      </c>
      <c r="I11696">
        <v>60</v>
      </c>
      <c r="J11696">
        <v>43</v>
      </c>
      <c r="K11696">
        <v>0</v>
      </c>
      <c r="L11696">
        <v>0</v>
      </c>
      <c r="M11696">
        <v>0</v>
      </c>
      <c r="N11696">
        <v>0</v>
      </c>
      <c r="O11696">
        <v>17</v>
      </c>
    </row>
    <row r="11697" spans="1:15" x14ac:dyDescent="0.25">
      <c r="A11697" t="s">
        <v>1864</v>
      </c>
      <c r="B11697" t="s">
        <v>2379</v>
      </c>
      <c r="C11697" t="s">
        <v>923</v>
      </c>
      <c r="D11697" t="s">
        <v>3063</v>
      </c>
      <c r="E11697" t="s">
        <v>3053</v>
      </c>
      <c r="F11697" t="s">
        <v>288</v>
      </c>
      <c r="G11697" t="s">
        <v>3040</v>
      </c>
      <c r="H11697" t="s">
        <v>14237</v>
      </c>
      <c r="I11697">
        <v>136</v>
      </c>
      <c r="J11697">
        <v>136</v>
      </c>
      <c r="K11697">
        <v>0</v>
      </c>
      <c r="L11697">
        <v>0</v>
      </c>
      <c r="M11697">
        <v>0</v>
      </c>
      <c r="N11697">
        <v>0</v>
      </c>
      <c r="O11697">
        <v>0</v>
      </c>
    </row>
    <row r="11698" spans="1:15" x14ac:dyDescent="0.25">
      <c r="A11698" t="s">
        <v>1865</v>
      </c>
      <c r="B11698" t="s">
        <v>2866</v>
      </c>
      <c r="C11698" t="s">
        <v>927</v>
      </c>
      <c r="D11698" t="s">
        <v>3052</v>
      </c>
      <c r="E11698" t="s">
        <v>3053</v>
      </c>
      <c r="F11698" t="s">
        <v>288</v>
      </c>
      <c r="G11698" t="s">
        <v>3040</v>
      </c>
      <c r="H11698" t="s">
        <v>14245</v>
      </c>
      <c r="I11698">
        <v>21734</v>
      </c>
      <c r="J11698">
        <v>20598</v>
      </c>
      <c r="K11698">
        <v>0</v>
      </c>
      <c r="L11698">
        <v>345</v>
      </c>
      <c r="M11698">
        <v>0</v>
      </c>
      <c r="N11698">
        <v>3</v>
      </c>
      <c r="O11698">
        <v>791</v>
      </c>
    </row>
    <row r="11699" spans="1:15" x14ac:dyDescent="0.25">
      <c r="A11699" t="s">
        <v>1866</v>
      </c>
      <c r="B11699" t="s">
        <v>2813</v>
      </c>
      <c r="C11699" t="s">
        <v>923</v>
      </c>
      <c r="D11699" t="s">
        <v>3063</v>
      </c>
      <c r="E11699" t="s">
        <v>3053</v>
      </c>
      <c r="F11699" t="s">
        <v>288</v>
      </c>
      <c r="G11699" t="s">
        <v>3040</v>
      </c>
      <c r="H11699" t="s">
        <v>14254</v>
      </c>
      <c r="I11699">
        <v>485</v>
      </c>
      <c r="J11699">
        <v>485</v>
      </c>
      <c r="K11699">
        <v>0</v>
      </c>
      <c r="L11699">
        <v>0</v>
      </c>
      <c r="M11699">
        <v>0</v>
      </c>
      <c r="N11699">
        <v>4</v>
      </c>
      <c r="O11699">
        <v>0</v>
      </c>
    </row>
    <row r="11700" spans="1:15" x14ac:dyDescent="0.25">
      <c r="A11700" t="s">
        <v>11684</v>
      </c>
      <c r="B11700" t="s">
        <v>2864</v>
      </c>
      <c r="C11700" t="s">
        <v>927</v>
      </c>
      <c r="D11700" t="s">
        <v>3052</v>
      </c>
      <c r="E11700" t="s">
        <v>3053</v>
      </c>
      <c r="F11700" t="s">
        <v>288</v>
      </c>
      <c r="G11700" t="s">
        <v>3040</v>
      </c>
      <c r="H11700" t="s">
        <v>14259</v>
      </c>
      <c r="I11700">
        <v>1692</v>
      </c>
      <c r="J11700">
        <v>1692</v>
      </c>
      <c r="K11700">
        <v>0</v>
      </c>
      <c r="L11700">
        <v>0</v>
      </c>
      <c r="M11700">
        <v>0</v>
      </c>
      <c r="N11700">
        <v>0</v>
      </c>
      <c r="O11700">
        <v>0</v>
      </c>
    </row>
    <row r="11701" spans="1:15" x14ac:dyDescent="0.25">
      <c r="A11701" t="s">
        <v>1080</v>
      </c>
      <c r="B11701" t="s">
        <v>2030</v>
      </c>
      <c r="C11701" t="s">
        <v>923</v>
      </c>
      <c r="D11701" t="s">
        <v>3063</v>
      </c>
      <c r="E11701" t="s">
        <v>3053</v>
      </c>
      <c r="F11701" t="s">
        <v>288</v>
      </c>
      <c r="G11701" t="s">
        <v>3040</v>
      </c>
      <c r="H11701" t="s">
        <v>14284</v>
      </c>
      <c r="I11701">
        <v>57</v>
      </c>
      <c r="J11701">
        <v>0</v>
      </c>
      <c r="K11701">
        <v>0</v>
      </c>
      <c r="L11701">
        <v>57</v>
      </c>
      <c r="M11701">
        <v>0</v>
      </c>
      <c r="N11701">
        <v>0</v>
      </c>
      <c r="O11701">
        <v>0</v>
      </c>
    </row>
    <row r="11702" spans="1:15" x14ac:dyDescent="0.25">
      <c r="A11702" t="s">
        <v>1867</v>
      </c>
      <c r="B11702" t="s">
        <v>2285</v>
      </c>
      <c r="C11702" t="s">
        <v>923</v>
      </c>
      <c r="D11702" t="s">
        <v>3063</v>
      </c>
      <c r="E11702" t="s">
        <v>3053</v>
      </c>
      <c r="F11702" t="s">
        <v>288</v>
      </c>
      <c r="G11702" t="s">
        <v>3040</v>
      </c>
      <c r="H11702" t="s">
        <v>14293</v>
      </c>
      <c r="I11702">
        <v>12</v>
      </c>
      <c r="J11702">
        <v>12</v>
      </c>
      <c r="K11702">
        <v>0</v>
      </c>
      <c r="L11702">
        <v>0</v>
      </c>
      <c r="M11702">
        <v>0</v>
      </c>
      <c r="N11702">
        <v>0</v>
      </c>
      <c r="O11702">
        <v>0</v>
      </c>
    </row>
    <row r="11703" spans="1:15" x14ac:dyDescent="0.25">
      <c r="A11703" t="s">
        <v>14377</v>
      </c>
      <c r="B11703" t="s">
        <v>14444</v>
      </c>
      <c r="C11703" t="s">
        <v>923</v>
      </c>
      <c r="D11703" t="s">
        <v>3063</v>
      </c>
      <c r="E11703" t="s">
        <v>3053</v>
      </c>
      <c r="F11703" t="s">
        <v>288</v>
      </c>
      <c r="G11703" t="s">
        <v>3040</v>
      </c>
      <c r="H11703" t="s">
        <v>15598</v>
      </c>
      <c r="I11703">
        <v>21</v>
      </c>
      <c r="J11703">
        <v>0</v>
      </c>
      <c r="K11703">
        <v>0</v>
      </c>
      <c r="L11703">
        <v>21</v>
      </c>
      <c r="M11703">
        <v>0</v>
      </c>
      <c r="N11703">
        <v>0</v>
      </c>
      <c r="O11703">
        <v>0</v>
      </c>
    </row>
    <row r="11704" spans="1:15" x14ac:dyDescent="0.25">
      <c r="A11704" t="s">
        <v>10784</v>
      </c>
      <c r="B11704" t="s">
        <v>10783</v>
      </c>
      <c r="C11704" t="s">
        <v>923</v>
      </c>
      <c r="D11704" t="s">
        <v>3063</v>
      </c>
      <c r="E11704" t="s">
        <v>3053</v>
      </c>
      <c r="F11704" t="s">
        <v>288</v>
      </c>
      <c r="G11704" t="s">
        <v>3040</v>
      </c>
      <c r="H11704" t="s">
        <v>14311</v>
      </c>
      <c r="I11704">
        <v>8</v>
      </c>
      <c r="J11704">
        <v>8</v>
      </c>
      <c r="K11704">
        <v>0</v>
      </c>
      <c r="L11704">
        <v>0</v>
      </c>
      <c r="M11704">
        <v>0</v>
      </c>
      <c r="N11704">
        <v>0</v>
      </c>
      <c r="O11704">
        <v>0</v>
      </c>
    </row>
    <row r="11705" spans="1:15" x14ac:dyDescent="0.25">
      <c r="A11705" t="s">
        <v>9846</v>
      </c>
      <c r="B11705" t="s">
        <v>2563</v>
      </c>
      <c r="C11705" t="s">
        <v>923</v>
      </c>
      <c r="D11705" t="s">
        <v>3063</v>
      </c>
      <c r="E11705" t="s">
        <v>3053</v>
      </c>
      <c r="F11705" t="s">
        <v>288</v>
      </c>
      <c r="G11705" t="s">
        <v>3040</v>
      </c>
      <c r="H11705" t="s">
        <v>14315</v>
      </c>
      <c r="I11705">
        <v>25</v>
      </c>
      <c r="J11705">
        <v>0</v>
      </c>
      <c r="K11705">
        <v>0</v>
      </c>
      <c r="L11705">
        <v>25</v>
      </c>
      <c r="M11705">
        <v>0</v>
      </c>
      <c r="N11705">
        <v>0</v>
      </c>
      <c r="O11705">
        <v>0</v>
      </c>
    </row>
    <row r="11706" spans="1:15" x14ac:dyDescent="0.25">
      <c r="A11706" t="s">
        <v>1868</v>
      </c>
      <c r="B11706" t="s">
        <v>2096</v>
      </c>
      <c r="C11706" t="s">
        <v>923</v>
      </c>
      <c r="D11706" t="s">
        <v>3063</v>
      </c>
      <c r="E11706" t="s">
        <v>3053</v>
      </c>
      <c r="F11706" t="s">
        <v>288</v>
      </c>
      <c r="G11706" t="s">
        <v>3040</v>
      </c>
      <c r="H11706" t="s">
        <v>14319</v>
      </c>
      <c r="I11706">
        <v>100</v>
      </c>
      <c r="J11706">
        <v>68</v>
      </c>
      <c r="K11706">
        <v>0</v>
      </c>
      <c r="L11706">
        <v>32</v>
      </c>
      <c r="M11706">
        <v>0</v>
      </c>
      <c r="N11706">
        <v>0</v>
      </c>
      <c r="O11706">
        <v>0</v>
      </c>
    </row>
    <row r="11707" spans="1:15" x14ac:dyDescent="0.25">
      <c r="A11707" t="s">
        <v>1869</v>
      </c>
      <c r="B11707" t="s">
        <v>2974</v>
      </c>
      <c r="C11707" t="s">
        <v>923</v>
      </c>
      <c r="D11707" t="s">
        <v>3063</v>
      </c>
      <c r="E11707" t="s">
        <v>3053</v>
      </c>
      <c r="F11707" t="s">
        <v>288</v>
      </c>
      <c r="G11707" t="s">
        <v>3040</v>
      </c>
      <c r="H11707" t="s">
        <v>14320</v>
      </c>
      <c r="I11707">
        <v>211</v>
      </c>
      <c r="J11707">
        <v>122</v>
      </c>
      <c r="K11707">
        <v>5</v>
      </c>
      <c r="L11707">
        <v>84</v>
      </c>
      <c r="M11707">
        <v>0</v>
      </c>
      <c r="N11707">
        <v>0</v>
      </c>
      <c r="O11707">
        <v>0</v>
      </c>
    </row>
    <row r="11708" spans="1:15" x14ac:dyDescent="0.25">
      <c r="A11708" t="s">
        <v>1795</v>
      </c>
      <c r="B11708" t="s">
        <v>2766</v>
      </c>
      <c r="C11708" t="s">
        <v>923</v>
      </c>
      <c r="D11708" t="s">
        <v>3063</v>
      </c>
      <c r="E11708" t="s">
        <v>3053</v>
      </c>
      <c r="F11708" t="s">
        <v>288</v>
      </c>
      <c r="G11708" t="s">
        <v>3040</v>
      </c>
      <c r="H11708" t="s">
        <v>14323</v>
      </c>
      <c r="I11708">
        <v>31</v>
      </c>
      <c r="J11708">
        <v>31</v>
      </c>
      <c r="K11708">
        <v>0</v>
      </c>
      <c r="L11708">
        <v>0</v>
      </c>
      <c r="M11708">
        <v>0</v>
      </c>
      <c r="N11708">
        <v>4</v>
      </c>
      <c r="O11708">
        <v>0</v>
      </c>
    </row>
    <row r="11709" spans="1:15" x14ac:dyDescent="0.25">
      <c r="A11709" t="s">
        <v>1870</v>
      </c>
      <c r="B11709" t="s">
        <v>2224</v>
      </c>
      <c r="C11709" t="s">
        <v>923</v>
      </c>
      <c r="D11709" t="s">
        <v>3063</v>
      </c>
      <c r="E11709" t="s">
        <v>3053</v>
      </c>
      <c r="F11709" t="s">
        <v>288</v>
      </c>
      <c r="G11709" t="s">
        <v>3040</v>
      </c>
      <c r="H11709" t="s">
        <v>14325</v>
      </c>
      <c r="I11709">
        <v>206</v>
      </c>
      <c r="J11709">
        <v>0</v>
      </c>
      <c r="K11709">
        <v>0</v>
      </c>
      <c r="L11709">
        <v>0</v>
      </c>
      <c r="M11709">
        <v>206</v>
      </c>
      <c r="N11709">
        <v>0</v>
      </c>
      <c r="O11709">
        <v>0</v>
      </c>
    </row>
    <row r="11710" spans="1:15" x14ac:dyDescent="0.25">
      <c r="A11710" t="s">
        <v>1871</v>
      </c>
      <c r="B11710" t="s">
        <v>2905</v>
      </c>
      <c r="C11710" t="s">
        <v>923</v>
      </c>
      <c r="D11710" t="s">
        <v>3063</v>
      </c>
      <c r="E11710" t="s">
        <v>3053</v>
      </c>
      <c r="F11710" t="s">
        <v>288</v>
      </c>
      <c r="G11710" t="s">
        <v>3040</v>
      </c>
      <c r="H11710" t="s">
        <v>14326</v>
      </c>
      <c r="I11710">
        <v>241</v>
      </c>
      <c r="J11710">
        <v>63</v>
      </c>
      <c r="K11710">
        <v>47</v>
      </c>
      <c r="L11710">
        <v>131</v>
      </c>
      <c r="M11710">
        <v>0</v>
      </c>
      <c r="N11710">
        <v>0</v>
      </c>
      <c r="O11710">
        <v>0</v>
      </c>
    </row>
    <row r="11711" spans="1:15" x14ac:dyDescent="0.25">
      <c r="A11711" t="s">
        <v>9847</v>
      </c>
      <c r="B11711" t="s">
        <v>2636</v>
      </c>
      <c r="C11711" t="s">
        <v>923</v>
      </c>
      <c r="D11711" t="s">
        <v>3063</v>
      </c>
      <c r="E11711" t="s">
        <v>3053</v>
      </c>
      <c r="F11711" t="s">
        <v>288</v>
      </c>
      <c r="G11711" t="s">
        <v>3040</v>
      </c>
      <c r="H11711" t="s">
        <v>14335</v>
      </c>
      <c r="I11711">
        <v>209</v>
      </c>
      <c r="J11711">
        <v>0</v>
      </c>
      <c r="K11711">
        <v>0</v>
      </c>
      <c r="L11711">
        <v>209</v>
      </c>
      <c r="M11711">
        <v>0</v>
      </c>
      <c r="N11711">
        <v>0</v>
      </c>
      <c r="O11711">
        <v>0</v>
      </c>
    </row>
    <row r="11712" spans="1:15" x14ac:dyDescent="0.25">
      <c r="A11712" t="s">
        <v>1083</v>
      </c>
      <c r="B11712" t="s">
        <v>2757</v>
      </c>
      <c r="C11712" t="s">
        <v>927</v>
      </c>
      <c r="D11712" t="s">
        <v>3052</v>
      </c>
      <c r="E11712" t="s">
        <v>3053</v>
      </c>
      <c r="F11712" t="s">
        <v>288</v>
      </c>
      <c r="G11712" t="s">
        <v>3040</v>
      </c>
      <c r="H11712" t="s">
        <v>14352</v>
      </c>
      <c r="I11712">
        <v>3223</v>
      </c>
      <c r="J11712">
        <v>2684</v>
      </c>
      <c r="K11712">
        <v>5</v>
      </c>
      <c r="L11712">
        <v>13</v>
      </c>
      <c r="M11712">
        <v>486</v>
      </c>
      <c r="N11712">
        <v>0</v>
      </c>
      <c r="O11712">
        <v>35</v>
      </c>
    </row>
    <row r="11713" spans="1:15" x14ac:dyDescent="0.25">
      <c r="A11713" t="s">
        <v>11723</v>
      </c>
      <c r="B11713" t="s">
        <v>2719</v>
      </c>
      <c r="C11713" t="s">
        <v>927</v>
      </c>
      <c r="D11713" t="s">
        <v>3052</v>
      </c>
      <c r="E11713" t="s">
        <v>3053</v>
      </c>
      <c r="F11713" t="s">
        <v>882</v>
      </c>
      <c r="G11713" t="s">
        <v>3040</v>
      </c>
      <c r="H11713" t="s">
        <v>12529</v>
      </c>
      <c r="I11713">
        <v>2559</v>
      </c>
      <c r="J11713">
        <v>2047</v>
      </c>
      <c r="K11713">
        <v>2</v>
      </c>
      <c r="L11713">
        <v>161</v>
      </c>
      <c r="M11713">
        <v>212</v>
      </c>
      <c r="N11713">
        <v>1</v>
      </c>
      <c r="O11713">
        <v>137</v>
      </c>
    </row>
    <row r="11714" spans="1:15" x14ac:dyDescent="0.25">
      <c r="A11714" t="s">
        <v>1872</v>
      </c>
      <c r="B11714" t="s">
        <v>2133</v>
      </c>
      <c r="C11714" t="s">
        <v>923</v>
      </c>
      <c r="D11714" t="s">
        <v>3063</v>
      </c>
      <c r="E11714" t="s">
        <v>3053</v>
      </c>
      <c r="F11714" t="s">
        <v>882</v>
      </c>
      <c r="G11714" t="s">
        <v>3040</v>
      </c>
      <c r="H11714" t="s">
        <v>12546</v>
      </c>
      <c r="I11714">
        <v>149</v>
      </c>
      <c r="J11714">
        <v>0</v>
      </c>
      <c r="K11714">
        <v>0</v>
      </c>
      <c r="L11714">
        <v>131</v>
      </c>
      <c r="M11714">
        <v>18</v>
      </c>
      <c r="N11714">
        <v>0</v>
      </c>
      <c r="O11714">
        <v>0</v>
      </c>
    </row>
    <row r="11715" spans="1:15" x14ac:dyDescent="0.25">
      <c r="A11715" t="s">
        <v>971</v>
      </c>
      <c r="B11715" t="s">
        <v>2956</v>
      </c>
      <c r="C11715" t="s">
        <v>927</v>
      </c>
      <c r="D11715" t="s">
        <v>3052</v>
      </c>
      <c r="E11715" t="s">
        <v>3053</v>
      </c>
      <c r="F11715" t="s">
        <v>882</v>
      </c>
      <c r="G11715" t="s">
        <v>3040</v>
      </c>
      <c r="H11715" t="s">
        <v>12563</v>
      </c>
      <c r="I11715">
        <v>4176</v>
      </c>
      <c r="J11715">
        <v>3409</v>
      </c>
      <c r="K11715">
        <v>0</v>
      </c>
      <c r="L11715">
        <v>10</v>
      </c>
      <c r="M11715">
        <v>355</v>
      </c>
      <c r="N11715">
        <v>0</v>
      </c>
      <c r="O11715">
        <v>402</v>
      </c>
    </row>
    <row r="11716" spans="1:15" x14ac:dyDescent="0.25">
      <c r="A11716" t="s">
        <v>972</v>
      </c>
      <c r="B11716" t="s">
        <v>2842</v>
      </c>
      <c r="C11716" t="s">
        <v>927</v>
      </c>
      <c r="D11716" t="s">
        <v>3052</v>
      </c>
      <c r="E11716" t="s">
        <v>3053</v>
      </c>
      <c r="F11716" t="s">
        <v>882</v>
      </c>
      <c r="G11716" t="s">
        <v>3040</v>
      </c>
      <c r="H11716" t="s">
        <v>12567</v>
      </c>
      <c r="I11716">
        <v>1545</v>
      </c>
      <c r="J11716">
        <v>1422</v>
      </c>
      <c r="K11716">
        <v>0</v>
      </c>
      <c r="L11716">
        <v>0</v>
      </c>
      <c r="M11716">
        <v>0</v>
      </c>
      <c r="N11716">
        <v>0</v>
      </c>
      <c r="O11716">
        <v>123</v>
      </c>
    </row>
    <row r="11717" spans="1:15" x14ac:dyDescent="0.25">
      <c r="A11717" t="s">
        <v>973</v>
      </c>
      <c r="B11717" t="s">
        <v>1957</v>
      </c>
      <c r="C11717" t="s">
        <v>923</v>
      </c>
      <c r="D11717" t="s">
        <v>3063</v>
      </c>
      <c r="E11717" t="s">
        <v>3053</v>
      </c>
      <c r="F11717" t="s">
        <v>882</v>
      </c>
      <c r="G11717" t="s">
        <v>3040</v>
      </c>
      <c r="H11717" t="s">
        <v>12569</v>
      </c>
      <c r="I11717">
        <v>85</v>
      </c>
      <c r="J11717">
        <v>39</v>
      </c>
      <c r="K11717">
        <v>3</v>
      </c>
      <c r="L11717">
        <v>43</v>
      </c>
      <c r="M11717">
        <v>0</v>
      </c>
      <c r="N11717">
        <v>0</v>
      </c>
      <c r="O11717">
        <v>0</v>
      </c>
    </row>
    <row r="11718" spans="1:15" x14ac:dyDescent="0.25">
      <c r="A11718" t="s">
        <v>926</v>
      </c>
      <c r="B11718" t="s">
        <v>2923</v>
      </c>
      <c r="C11718" t="s">
        <v>927</v>
      </c>
      <c r="D11718" t="s">
        <v>3052</v>
      </c>
      <c r="E11718" t="s">
        <v>3053</v>
      </c>
      <c r="F11718" t="s">
        <v>882</v>
      </c>
      <c r="G11718" t="s">
        <v>3040</v>
      </c>
      <c r="H11718" t="s">
        <v>12583</v>
      </c>
      <c r="I11718">
        <v>3</v>
      </c>
      <c r="J11718">
        <v>0</v>
      </c>
      <c r="K11718">
        <v>0</v>
      </c>
      <c r="L11718">
        <v>0</v>
      </c>
      <c r="M11718">
        <v>0</v>
      </c>
      <c r="N11718">
        <v>0</v>
      </c>
      <c r="O11718">
        <v>3</v>
      </c>
    </row>
    <row r="11719" spans="1:15" x14ac:dyDescent="0.25">
      <c r="A11719" t="s">
        <v>975</v>
      </c>
      <c r="B11719" t="s">
        <v>2010</v>
      </c>
      <c r="C11719" t="s">
        <v>923</v>
      </c>
      <c r="D11719" t="s">
        <v>3063</v>
      </c>
      <c r="E11719" t="s">
        <v>3053</v>
      </c>
      <c r="F11719" t="s">
        <v>882</v>
      </c>
      <c r="G11719" t="s">
        <v>3040</v>
      </c>
      <c r="H11719" t="s">
        <v>12591</v>
      </c>
      <c r="I11719">
        <v>129</v>
      </c>
      <c r="J11719">
        <v>129</v>
      </c>
      <c r="K11719">
        <v>0</v>
      </c>
      <c r="L11719">
        <v>0</v>
      </c>
      <c r="M11719">
        <v>0</v>
      </c>
      <c r="N11719">
        <v>0</v>
      </c>
      <c r="O11719">
        <v>0</v>
      </c>
    </row>
    <row r="11720" spans="1:15" x14ac:dyDescent="0.25">
      <c r="A11720" t="s">
        <v>1452</v>
      </c>
      <c r="B11720" t="s">
        <v>2721</v>
      </c>
      <c r="C11720" t="s">
        <v>923</v>
      </c>
      <c r="D11720" t="s">
        <v>3063</v>
      </c>
      <c r="E11720" t="s">
        <v>3053</v>
      </c>
      <c r="F11720" t="s">
        <v>882</v>
      </c>
      <c r="G11720" t="s">
        <v>3040</v>
      </c>
      <c r="H11720" t="s">
        <v>12598</v>
      </c>
      <c r="I11720">
        <v>140</v>
      </c>
      <c r="J11720">
        <v>0</v>
      </c>
      <c r="K11720">
        <v>0</v>
      </c>
      <c r="L11720">
        <v>0</v>
      </c>
      <c r="M11720">
        <v>140</v>
      </c>
      <c r="N11720">
        <v>0</v>
      </c>
      <c r="O11720">
        <v>0</v>
      </c>
    </row>
    <row r="11721" spans="1:15" x14ac:dyDescent="0.25">
      <c r="A11721" t="s">
        <v>929</v>
      </c>
      <c r="B11721" t="s">
        <v>2999</v>
      </c>
      <c r="C11721" t="s">
        <v>927</v>
      </c>
      <c r="D11721" t="s">
        <v>3052</v>
      </c>
      <c r="E11721" t="s">
        <v>3053</v>
      </c>
      <c r="F11721" t="s">
        <v>882</v>
      </c>
      <c r="G11721" t="s">
        <v>3040</v>
      </c>
      <c r="H11721" t="s">
        <v>12610</v>
      </c>
      <c r="I11721">
        <v>5083</v>
      </c>
      <c r="J11721">
        <v>8</v>
      </c>
      <c r="K11721">
        <v>0</v>
      </c>
      <c r="L11721">
        <v>0</v>
      </c>
      <c r="M11721">
        <v>4841</v>
      </c>
      <c r="N11721">
        <v>27</v>
      </c>
      <c r="O11721">
        <v>234</v>
      </c>
    </row>
    <row r="11722" spans="1:15" x14ac:dyDescent="0.25">
      <c r="A11722" t="s">
        <v>976</v>
      </c>
      <c r="B11722" t="s">
        <v>2936</v>
      </c>
      <c r="C11722" t="s">
        <v>927</v>
      </c>
      <c r="D11722" t="s">
        <v>3052</v>
      </c>
      <c r="E11722" t="s">
        <v>3053</v>
      </c>
      <c r="F11722" t="s">
        <v>882</v>
      </c>
      <c r="G11722" t="s">
        <v>3040</v>
      </c>
      <c r="H11722" t="s">
        <v>12617</v>
      </c>
      <c r="I11722">
        <v>1307</v>
      </c>
      <c r="J11722">
        <v>1165</v>
      </c>
      <c r="K11722">
        <v>0</v>
      </c>
      <c r="L11722">
        <v>44</v>
      </c>
      <c r="M11722">
        <v>0</v>
      </c>
      <c r="N11722">
        <v>0</v>
      </c>
      <c r="O11722">
        <v>98</v>
      </c>
    </row>
    <row r="11723" spans="1:15" x14ac:dyDescent="0.25">
      <c r="A11723" t="s">
        <v>978</v>
      </c>
      <c r="B11723" t="s">
        <v>1999</v>
      </c>
      <c r="C11723" t="s">
        <v>923</v>
      </c>
      <c r="D11723" t="s">
        <v>3063</v>
      </c>
      <c r="E11723" t="s">
        <v>3053</v>
      </c>
      <c r="F11723" t="s">
        <v>882</v>
      </c>
      <c r="G11723" t="s">
        <v>3040</v>
      </c>
      <c r="H11723" t="s">
        <v>12630</v>
      </c>
      <c r="I11723">
        <v>25</v>
      </c>
      <c r="J11723">
        <v>25</v>
      </c>
      <c r="K11723">
        <v>0</v>
      </c>
      <c r="L11723">
        <v>0</v>
      </c>
      <c r="M11723">
        <v>0</v>
      </c>
      <c r="N11723">
        <v>0</v>
      </c>
      <c r="O11723">
        <v>0</v>
      </c>
    </row>
    <row r="11724" spans="1:15" x14ac:dyDescent="0.25">
      <c r="A11724" t="s">
        <v>9790</v>
      </c>
      <c r="B11724" t="s">
        <v>1977</v>
      </c>
      <c r="C11724" t="s">
        <v>923</v>
      </c>
      <c r="D11724" t="s">
        <v>3063</v>
      </c>
      <c r="E11724" t="s">
        <v>3053</v>
      </c>
      <c r="F11724" t="s">
        <v>882</v>
      </c>
      <c r="G11724" t="s">
        <v>3040</v>
      </c>
      <c r="H11724" t="s">
        <v>12656</v>
      </c>
      <c r="I11724">
        <v>24</v>
      </c>
      <c r="J11724">
        <v>0</v>
      </c>
      <c r="K11724">
        <v>0</v>
      </c>
      <c r="L11724">
        <v>24</v>
      </c>
      <c r="M11724">
        <v>0</v>
      </c>
      <c r="N11724">
        <v>0</v>
      </c>
      <c r="O11724">
        <v>0</v>
      </c>
    </row>
    <row r="11725" spans="1:15" x14ac:dyDescent="0.25">
      <c r="A11725" t="s">
        <v>1458</v>
      </c>
      <c r="B11725" t="s">
        <v>2024</v>
      </c>
      <c r="C11725" t="s">
        <v>923</v>
      </c>
      <c r="D11725" t="s">
        <v>3063</v>
      </c>
      <c r="E11725" t="s">
        <v>3053</v>
      </c>
      <c r="F11725" t="s">
        <v>882</v>
      </c>
      <c r="G11725" t="s">
        <v>3040</v>
      </c>
      <c r="H11725" t="s">
        <v>12660</v>
      </c>
      <c r="I11725">
        <v>12</v>
      </c>
      <c r="J11725">
        <v>12</v>
      </c>
      <c r="K11725">
        <v>0</v>
      </c>
      <c r="L11725">
        <v>0</v>
      </c>
      <c r="M11725">
        <v>0</v>
      </c>
      <c r="N11725">
        <v>0</v>
      </c>
      <c r="O11725">
        <v>0</v>
      </c>
    </row>
    <row r="11726" spans="1:15" x14ac:dyDescent="0.25">
      <c r="A11726" t="s">
        <v>9784</v>
      </c>
      <c r="B11726" t="s">
        <v>1994</v>
      </c>
      <c r="C11726" t="s">
        <v>927</v>
      </c>
      <c r="D11726" t="s">
        <v>3052</v>
      </c>
      <c r="E11726" t="s">
        <v>3053</v>
      </c>
      <c r="F11726" t="s">
        <v>882</v>
      </c>
      <c r="G11726" t="s">
        <v>3040</v>
      </c>
      <c r="H11726" t="s">
        <v>12689</v>
      </c>
      <c r="I11726">
        <v>325</v>
      </c>
      <c r="J11726">
        <v>0</v>
      </c>
      <c r="K11726">
        <v>0</v>
      </c>
      <c r="L11726">
        <v>325</v>
      </c>
      <c r="M11726">
        <v>0</v>
      </c>
      <c r="N11726">
        <v>84</v>
      </c>
      <c r="O11726">
        <v>0</v>
      </c>
    </row>
    <row r="11727" spans="1:15" x14ac:dyDescent="0.25">
      <c r="A11727" t="s">
        <v>1408</v>
      </c>
      <c r="B11727" t="s">
        <v>3028</v>
      </c>
      <c r="C11727" t="s">
        <v>927</v>
      </c>
      <c r="D11727" t="s">
        <v>3052</v>
      </c>
      <c r="E11727" t="s">
        <v>3053</v>
      </c>
      <c r="F11727" t="s">
        <v>882</v>
      </c>
      <c r="G11727" t="s">
        <v>3040</v>
      </c>
      <c r="H11727" t="s">
        <v>12693</v>
      </c>
      <c r="I11727">
        <v>4739</v>
      </c>
      <c r="J11727">
        <v>4398</v>
      </c>
      <c r="K11727">
        <v>0</v>
      </c>
      <c r="L11727">
        <v>10</v>
      </c>
      <c r="M11727">
        <v>208</v>
      </c>
      <c r="N11727">
        <v>1</v>
      </c>
      <c r="O11727">
        <v>123</v>
      </c>
    </row>
    <row r="11728" spans="1:15" x14ac:dyDescent="0.25">
      <c r="A11728" t="s">
        <v>1095</v>
      </c>
      <c r="B11728" t="s">
        <v>1946</v>
      </c>
      <c r="C11728" t="s">
        <v>923</v>
      </c>
      <c r="D11728" t="s">
        <v>3063</v>
      </c>
      <c r="E11728" t="s">
        <v>3053</v>
      </c>
      <c r="F11728" t="s">
        <v>882</v>
      </c>
      <c r="G11728" t="s">
        <v>3040</v>
      </c>
      <c r="H11728" t="s">
        <v>12711</v>
      </c>
      <c r="I11728">
        <v>14</v>
      </c>
      <c r="J11728">
        <v>0</v>
      </c>
      <c r="K11728">
        <v>0</v>
      </c>
      <c r="L11728">
        <v>14</v>
      </c>
      <c r="M11728">
        <v>0</v>
      </c>
      <c r="N11728">
        <v>0</v>
      </c>
      <c r="O11728">
        <v>0</v>
      </c>
    </row>
    <row r="11729" spans="1:15" x14ac:dyDescent="0.25">
      <c r="A11729" t="s">
        <v>1212</v>
      </c>
      <c r="B11729" t="s">
        <v>2004</v>
      </c>
      <c r="C11729" t="s">
        <v>923</v>
      </c>
      <c r="D11729" t="s">
        <v>3063</v>
      </c>
      <c r="E11729" t="s">
        <v>3053</v>
      </c>
      <c r="F11729" t="s">
        <v>882</v>
      </c>
      <c r="G11729" t="s">
        <v>3040</v>
      </c>
      <c r="H11729" t="s">
        <v>12718</v>
      </c>
      <c r="I11729">
        <v>137</v>
      </c>
      <c r="J11729">
        <v>0</v>
      </c>
      <c r="K11729">
        <v>0</v>
      </c>
      <c r="L11729">
        <v>137</v>
      </c>
      <c r="M11729">
        <v>0</v>
      </c>
      <c r="N11729">
        <v>0</v>
      </c>
      <c r="O11729">
        <v>0</v>
      </c>
    </row>
    <row r="11730" spans="1:15" x14ac:dyDescent="0.25">
      <c r="A11730" t="s">
        <v>981</v>
      </c>
      <c r="B11730" t="s">
        <v>2985</v>
      </c>
      <c r="C11730" t="s">
        <v>927</v>
      </c>
      <c r="D11730" t="s">
        <v>3052</v>
      </c>
      <c r="E11730" t="s">
        <v>3053</v>
      </c>
      <c r="F11730" t="s">
        <v>882</v>
      </c>
      <c r="G11730" t="s">
        <v>3040</v>
      </c>
      <c r="H11730" t="s">
        <v>12738</v>
      </c>
      <c r="I11730">
        <v>1</v>
      </c>
      <c r="J11730">
        <v>0</v>
      </c>
      <c r="K11730">
        <v>0</v>
      </c>
      <c r="L11730">
        <v>0</v>
      </c>
      <c r="M11730">
        <v>0</v>
      </c>
      <c r="N11730">
        <v>0</v>
      </c>
      <c r="O11730">
        <v>1</v>
      </c>
    </row>
    <row r="11731" spans="1:15" x14ac:dyDescent="0.25">
      <c r="A11731" t="s">
        <v>1873</v>
      </c>
      <c r="B11731" t="s">
        <v>2101</v>
      </c>
      <c r="C11731" t="s">
        <v>923</v>
      </c>
      <c r="D11731" t="s">
        <v>3063</v>
      </c>
      <c r="E11731" t="s">
        <v>3053</v>
      </c>
      <c r="F11731" t="s">
        <v>882</v>
      </c>
      <c r="G11731" t="s">
        <v>3040</v>
      </c>
      <c r="H11731" t="s">
        <v>12739</v>
      </c>
      <c r="I11731">
        <v>105</v>
      </c>
      <c r="J11731">
        <v>0</v>
      </c>
      <c r="K11731">
        <v>0</v>
      </c>
      <c r="L11731">
        <v>105</v>
      </c>
      <c r="M11731">
        <v>0</v>
      </c>
      <c r="N11731">
        <v>0</v>
      </c>
      <c r="O11731">
        <v>0</v>
      </c>
    </row>
    <row r="11732" spans="1:15" x14ac:dyDescent="0.25">
      <c r="A11732" t="s">
        <v>10586</v>
      </c>
      <c r="B11732" t="s">
        <v>10585</v>
      </c>
      <c r="C11732" t="s">
        <v>923</v>
      </c>
      <c r="D11732" t="s">
        <v>3063</v>
      </c>
      <c r="E11732" t="s">
        <v>3053</v>
      </c>
      <c r="F11732" t="s">
        <v>882</v>
      </c>
      <c r="G11732" t="s">
        <v>3040</v>
      </c>
      <c r="H11732" t="s">
        <v>12740</v>
      </c>
      <c r="I11732">
        <v>10</v>
      </c>
      <c r="J11732">
        <v>0</v>
      </c>
      <c r="K11732">
        <v>0</v>
      </c>
      <c r="L11732">
        <v>0</v>
      </c>
      <c r="M11732">
        <v>10</v>
      </c>
      <c r="N11732">
        <v>0</v>
      </c>
      <c r="O11732">
        <v>0</v>
      </c>
    </row>
    <row r="11733" spans="1:15" x14ac:dyDescent="0.25">
      <c r="A11733" t="s">
        <v>1874</v>
      </c>
      <c r="B11733" t="s">
        <v>2006</v>
      </c>
      <c r="C11733" t="s">
        <v>923</v>
      </c>
      <c r="D11733" t="s">
        <v>3063</v>
      </c>
      <c r="E11733" t="s">
        <v>3053</v>
      </c>
      <c r="F11733" t="s">
        <v>882</v>
      </c>
      <c r="G11733" t="s">
        <v>3040</v>
      </c>
      <c r="H11733" t="s">
        <v>12747</v>
      </c>
      <c r="I11733">
        <v>15</v>
      </c>
      <c r="J11733">
        <v>13</v>
      </c>
      <c r="K11733">
        <v>0</v>
      </c>
      <c r="L11733">
        <v>2</v>
      </c>
      <c r="M11733">
        <v>0</v>
      </c>
      <c r="N11733">
        <v>0</v>
      </c>
      <c r="O11733">
        <v>0</v>
      </c>
    </row>
    <row r="11734" spans="1:15" x14ac:dyDescent="0.25">
      <c r="A11734" t="s">
        <v>1411</v>
      </c>
      <c r="B11734" t="s">
        <v>2993</v>
      </c>
      <c r="C11734" t="s">
        <v>927</v>
      </c>
      <c r="D11734" t="s">
        <v>3052</v>
      </c>
      <c r="E11734" t="s">
        <v>3053</v>
      </c>
      <c r="F11734" t="s">
        <v>882</v>
      </c>
      <c r="G11734" t="s">
        <v>3040</v>
      </c>
      <c r="H11734" t="s">
        <v>12760</v>
      </c>
      <c r="I11734">
        <v>6723</v>
      </c>
      <c r="J11734">
        <v>6045</v>
      </c>
      <c r="K11734">
        <v>8</v>
      </c>
      <c r="L11734">
        <v>336</v>
      </c>
      <c r="M11734">
        <v>0</v>
      </c>
      <c r="N11734">
        <v>42</v>
      </c>
      <c r="O11734">
        <v>334</v>
      </c>
    </row>
    <row r="11735" spans="1:15" x14ac:dyDescent="0.25">
      <c r="A11735" t="s">
        <v>14405</v>
      </c>
      <c r="B11735" t="s">
        <v>14498</v>
      </c>
      <c r="C11735" t="s">
        <v>923</v>
      </c>
      <c r="D11735" t="s">
        <v>3063</v>
      </c>
      <c r="E11735" t="s">
        <v>3053</v>
      </c>
      <c r="F11735" t="s">
        <v>882</v>
      </c>
      <c r="G11735" t="s">
        <v>3040</v>
      </c>
      <c r="H11735" t="s">
        <v>15599</v>
      </c>
      <c r="I11735">
        <v>6</v>
      </c>
      <c r="J11735">
        <v>0</v>
      </c>
      <c r="K11735">
        <v>0</v>
      </c>
      <c r="L11735">
        <v>0</v>
      </c>
      <c r="M11735">
        <v>6</v>
      </c>
      <c r="N11735">
        <v>0</v>
      </c>
      <c r="O11735">
        <v>0</v>
      </c>
    </row>
    <row r="11736" spans="1:15" x14ac:dyDescent="0.25">
      <c r="A11736" t="s">
        <v>14403</v>
      </c>
      <c r="B11736" t="s">
        <v>14494</v>
      </c>
      <c r="C11736" t="s">
        <v>923</v>
      </c>
      <c r="D11736" t="s">
        <v>3063</v>
      </c>
      <c r="E11736" t="s">
        <v>3053</v>
      </c>
      <c r="F11736" t="s">
        <v>882</v>
      </c>
      <c r="G11736" t="s">
        <v>3040</v>
      </c>
      <c r="H11736" t="s">
        <v>15600</v>
      </c>
      <c r="I11736">
        <v>6</v>
      </c>
      <c r="J11736">
        <v>0</v>
      </c>
      <c r="K11736">
        <v>0</v>
      </c>
      <c r="L11736">
        <v>0</v>
      </c>
      <c r="M11736">
        <v>6</v>
      </c>
      <c r="N11736">
        <v>0</v>
      </c>
      <c r="O11736">
        <v>0</v>
      </c>
    </row>
    <row r="11737" spans="1:15" x14ac:dyDescent="0.25">
      <c r="A11737" t="s">
        <v>14404</v>
      </c>
      <c r="B11737" t="s">
        <v>14496</v>
      </c>
      <c r="C11737" t="s">
        <v>923</v>
      </c>
      <c r="D11737" t="s">
        <v>3063</v>
      </c>
      <c r="E11737" t="s">
        <v>3053</v>
      </c>
      <c r="F11737" t="s">
        <v>882</v>
      </c>
      <c r="G11737" t="s">
        <v>3040</v>
      </c>
      <c r="H11737" t="s">
        <v>15601</v>
      </c>
      <c r="I11737">
        <v>6</v>
      </c>
      <c r="J11737">
        <v>0</v>
      </c>
      <c r="K11737">
        <v>0</v>
      </c>
      <c r="L11737">
        <v>0</v>
      </c>
      <c r="M11737">
        <v>6</v>
      </c>
      <c r="N11737">
        <v>0</v>
      </c>
      <c r="O11737">
        <v>0</v>
      </c>
    </row>
    <row r="11738" spans="1:15" x14ac:dyDescent="0.25">
      <c r="A11738" t="s">
        <v>1875</v>
      </c>
      <c r="B11738" t="s">
        <v>2120</v>
      </c>
      <c r="C11738" t="s">
        <v>923</v>
      </c>
      <c r="D11738" t="s">
        <v>3063</v>
      </c>
      <c r="E11738" t="s">
        <v>3053</v>
      </c>
      <c r="F11738" t="s">
        <v>882</v>
      </c>
      <c r="G11738" t="s">
        <v>3040</v>
      </c>
      <c r="H11738" t="s">
        <v>12780</v>
      </c>
      <c r="I11738">
        <v>6</v>
      </c>
      <c r="J11738">
        <v>6</v>
      </c>
      <c r="K11738">
        <v>0</v>
      </c>
      <c r="L11738">
        <v>0</v>
      </c>
      <c r="M11738">
        <v>0</v>
      </c>
      <c r="N11738">
        <v>0</v>
      </c>
      <c r="O11738">
        <v>0</v>
      </c>
    </row>
    <row r="11739" spans="1:15" x14ac:dyDescent="0.25">
      <c r="A11739" t="s">
        <v>985</v>
      </c>
      <c r="B11739" t="s">
        <v>1964</v>
      </c>
      <c r="C11739" t="s">
        <v>923</v>
      </c>
      <c r="D11739" t="s">
        <v>3063</v>
      </c>
      <c r="E11739" t="s">
        <v>3053</v>
      </c>
      <c r="F11739" t="s">
        <v>882</v>
      </c>
      <c r="G11739" t="s">
        <v>3040</v>
      </c>
      <c r="H11739" t="s">
        <v>12786</v>
      </c>
      <c r="I11739">
        <v>99</v>
      </c>
      <c r="J11739">
        <v>0</v>
      </c>
      <c r="K11739">
        <v>0</v>
      </c>
      <c r="L11739">
        <v>99</v>
      </c>
      <c r="M11739">
        <v>0</v>
      </c>
      <c r="N11739">
        <v>0</v>
      </c>
      <c r="O11739">
        <v>0</v>
      </c>
    </row>
    <row r="11740" spans="1:15" x14ac:dyDescent="0.25">
      <c r="A11740" t="s">
        <v>1412</v>
      </c>
      <c r="B11740" t="s">
        <v>2099</v>
      </c>
      <c r="C11740" t="s">
        <v>927</v>
      </c>
      <c r="D11740" t="s">
        <v>3052</v>
      </c>
      <c r="E11740" t="s">
        <v>3053</v>
      </c>
      <c r="F11740" t="s">
        <v>882</v>
      </c>
      <c r="G11740" t="s">
        <v>3040</v>
      </c>
      <c r="H11740" t="s">
        <v>12790</v>
      </c>
      <c r="I11740">
        <v>4</v>
      </c>
      <c r="J11740">
        <v>4</v>
      </c>
      <c r="K11740">
        <v>0</v>
      </c>
      <c r="L11740">
        <v>0</v>
      </c>
      <c r="M11740">
        <v>0</v>
      </c>
      <c r="N11740">
        <v>0</v>
      </c>
      <c r="O11740">
        <v>0</v>
      </c>
    </row>
    <row r="11741" spans="1:15" x14ac:dyDescent="0.25">
      <c r="A11741" t="s">
        <v>1219</v>
      </c>
      <c r="B11741" t="s">
        <v>2569</v>
      </c>
      <c r="C11741" t="s">
        <v>923</v>
      </c>
      <c r="D11741" t="s">
        <v>3063</v>
      </c>
      <c r="E11741" t="s">
        <v>3053</v>
      </c>
      <c r="F11741" t="s">
        <v>882</v>
      </c>
      <c r="G11741" t="s">
        <v>3040</v>
      </c>
      <c r="H11741" t="s">
        <v>12797</v>
      </c>
      <c r="I11741">
        <v>25</v>
      </c>
      <c r="J11741">
        <v>0</v>
      </c>
      <c r="K11741">
        <v>0</v>
      </c>
      <c r="L11741">
        <v>25</v>
      </c>
      <c r="M11741">
        <v>0</v>
      </c>
      <c r="N11741">
        <v>0</v>
      </c>
      <c r="O11741">
        <v>0</v>
      </c>
    </row>
    <row r="11742" spans="1:15" x14ac:dyDescent="0.25">
      <c r="A11742" t="s">
        <v>1876</v>
      </c>
      <c r="B11742" t="s">
        <v>2303</v>
      </c>
      <c r="C11742" t="s">
        <v>923</v>
      </c>
      <c r="D11742" t="s">
        <v>3063</v>
      </c>
      <c r="E11742" t="s">
        <v>3053</v>
      </c>
      <c r="F11742" t="s">
        <v>882</v>
      </c>
      <c r="G11742" t="s">
        <v>3040</v>
      </c>
      <c r="H11742" t="s">
        <v>12800</v>
      </c>
      <c r="I11742">
        <v>4</v>
      </c>
      <c r="J11742">
        <v>0</v>
      </c>
      <c r="K11742">
        <v>0</v>
      </c>
      <c r="L11742">
        <v>0</v>
      </c>
      <c r="M11742">
        <v>4</v>
      </c>
      <c r="N11742">
        <v>0</v>
      </c>
      <c r="O11742">
        <v>0</v>
      </c>
    </row>
    <row r="11743" spans="1:15" x14ac:dyDescent="0.25">
      <c r="A11743" t="s">
        <v>9848</v>
      </c>
      <c r="B11743" t="s">
        <v>2323</v>
      </c>
      <c r="C11743" t="s">
        <v>923</v>
      </c>
      <c r="D11743" t="s">
        <v>3063</v>
      </c>
      <c r="E11743" t="s">
        <v>3053</v>
      </c>
      <c r="F11743" t="s">
        <v>882</v>
      </c>
      <c r="G11743" t="s">
        <v>3040</v>
      </c>
      <c r="H11743" t="s">
        <v>12806</v>
      </c>
      <c r="I11743">
        <v>7</v>
      </c>
      <c r="J11743">
        <v>0</v>
      </c>
      <c r="K11743">
        <v>0</v>
      </c>
      <c r="L11743">
        <v>0</v>
      </c>
      <c r="M11743">
        <v>7</v>
      </c>
      <c r="N11743">
        <v>0</v>
      </c>
      <c r="O11743">
        <v>0</v>
      </c>
    </row>
    <row r="11744" spans="1:15" x14ac:dyDescent="0.25">
      <c r="A11744" t="s">
        <v>1877</v>
      </c>
      <c r="B11744" t="s">
        <v>2070</v>
      </c>
      <c r="C11744" t="s">
        <v>923</v>
      </c>
      <c r="D11744" t="s">
        <v>3063</v>
      </c>
      <c r="E11744" t="s">
        <v>3053</v>
      </c>
      <c r="F11744" t="s">
        <v>882</v>
      </c>
      <c r="G11744" t="s">
        <v>3040</v>
      </c>
      <c r="H11744" t="s">
        <v>12808</v>
      </c>
      <c r="I11744">
        <v>483</v>
      </c>
      <c r="J11744">
        <v>0</v>
      </c>
      <c r="K11744">
        <v>0</v>
      </c>
      <c r="L11744">
        <v>483</v>
      </c>
      <c r="M11744">
        <v>0</v>
      </c>
      <c r="N11744">
        <v>0</v>
      </c>
      <c r="O11744">
        <v>0</v>
      </c>
    </row>
    <row r="11745" spans="1:15" x14ac:dyDescent="0.25">
      <c r="A11745" t="s">
        <v>989</v>
      </c>
      <c r="B11745" t="s">
        <v>2016</v>
      </c>
      <c r="C11745" t="s">
        <v>923</v>
      </c>
      <c r="D11745" t="s">
        <v>3063</v>
      </c>
      <c r="E11745" t="s">
        <v>3053</v>
      </c>
      <c r="F11745" t="s">
        <v>882</v>
      </c>
      <c r="G11745" t="s">
        <v>3040</v>
      </c>
      <c r="H11745" t="s">
        <v>12832</v>
      </c>
      <c r="I11745">
        <v>12</v>
      </c>
      <c r="J11745">
        <v>0</v>
      </c>
      <c r="K11745">
        <v>0</v>
      </c>
      <c r="L11745">
        <v>12</v>
      </c>
      <c r="M11745">
        <v>0</v>
      </c>
      <c r="N11745">
        <v>0</v>
      </c>
      <c r="O11745">
        <v>0</v>
      </c>
    </row>
    <row r="11746" spans="1:15" x14ac:dyDescent="0.25">
      <c r="A11746" t="s">
        <v>933</v>
      </c>
      <c r="B11746" t="s">
        <v>2106</v>
      </c>
      <c r="C11746" t="s">
        <v>927</v>
      </c>
      <c r="D11746" t="s">
        <v>3052</v>
      </c>
      <c r="E11746" t="s">
        <v>3053</v>
      </c>
      <c r="F11746" t="s">
        <v>882</v>
      </c>
      <c r="G11746" t="s">
        <v>3040</v>
      </c>
      <c r="H11746" t="s">
        <v>12848</v>
      </c>
      <c r="I11746">
        <v>1643</v>
      </c>
      <c r="J11746">
        <v>1543</v>
      </c>
      <c r="K11746">
        <v>0</v>
      </c>
      <c r="L11746">
        <v>9</v>
      </c>
      <c r="M11746">
        <v>19</v>
      </c>
      <c r="N11746">
        <v>14</v>
      </c>
      <c r="O11746">
        <v>72</v>
      </c>
    </row>
    <row r="11747" spans="1:15" x14ac:dyDescent="0.25">
      <c r="A11747" t="s">
        <v>1878</v>
      </c>
      <c r="B11747" t="s">
        <v>11743</v>
      </c>
      <c r="C11747" t="s">
        <v>923</v>
      </c>
      <c r="D11747" t="s">
        <v>3063</v>
      </c>
      <c r="E11747" t="s">
        <v>3053</v>
      </c>
      <c r="F11747" t="s">
        <v>882</v>
      </c>
      <c r="G11747" t="s">
        <v>3040</v>
      </c>
      <c r="H11747" t="s">
        <v>12855</v>
      </c>
      <c r="I11747">
        <v>12</v>
      </c>
      <c r="J11747">
        <v>0</v>
      </c>
      <c r="K11747">
        <v>0</v>
      </c>
      <c r="L11747">
        <v>0</v>
      </c>
      <c r="M11747">
        <v>12</v>
      </c>
      <c r="N11747">
        <v>0</v>
      </c>
      <c r="O11747">
        <v>0</v>
      </c>
    </row>
    <row r="11748" spans="1:15" x14ac:dyDescent="0.25">
      <c r="A11748" t="s">
        <v>1879</v>
      </c>
      <c r="B11748" t="s">
        <v>2783</v>
      </c>
      <c r="C11748" t="s">
        <v>927</v>
      </c>
      <c r="D11748" t="s">
        <v>3052</v>
      </c>
      <c r="E11748" t="s">
        <v>3053</v>
      </c>
      <c r="F11748" t="s">
        <v>882</v>
      </c>
      <c r="G11748" t="s">
        <v>3040</v>
      </c>
      <c r="H11748" t="s">
        <v>12861</v>
      </c>
      <c r="I11748">
        <v>3331</v>
      </c>
      <c r="J11748">
        <v>2023</v>
      </c>
      <c r="K11748">
        <v>8</v>
      </c>
      <c r="L11748">
        <v>226</v>
      </c>
      <c r="M11748">
        <v>812</v>
      </c>
      <c r="N11748">
        <v>23</v>
      </c>
      <c r="O11748">
        <v>262</v>
      </c>
    </row>
    <row r="11749" spans="1:15" x14ac:dyDescent="0.25">
      <c r="A11749" t="s">
        <v>1880</v>
      </c>
      <c r="B11749" t="s">
        <v>2340</v>
      </c>
      <c r="C11749" t="s">
        <v>923</v>
      </c>
      <c r="D11749" t="s">
        <v>3063</v>
      </c>
      <c r="E11749" t="s">
        <v>3053</v>
      </c>
      <c r="F11749" t="s">
        <v>882</v>
      </c>
      <c r="G11749" t="s">
        <v>3040</v>
      </c>
      <c r="H11749" t="s">
        <v>12863</v>
      </c>
      <c r="I11749">
        <v>6</v>
      </c>
      <c r="J11749">
        <v>0</v>
      </c>
      <c r="K11749">
        <v>0</v>
      </c>
      <c r="L11749">
        <v>0</v>
      </c>
      <c r="M11749">
        <v>6</v>
      </c>
      <c r="N11749">
        <v>0</v>
      </c>
      <c r="O11749">
        <v>0</v>
      </c>
    </row>
    <row r="11750" spans="1:15" x14ac:dyDescent="0.25">
      <c r="A11750" t="s">
        <v>991</v>
      </c>
      <c r="B11750" t="s">
        <v>1976</v>
      </c>
      <c r="C11750" t="s">
        <v>923</v>
      </c>
      <c r="D11750" t="s">
        <v>3063</v>
      </c>
      <c r="E11750" t="s">
        <v>3053</v>
      </c>
      <c r="F11750" t="s">
        <v>882</v>
      </c>
      <c r="G11750" t="s">
        <v>3040</v>
      </c>
      <c r="H11750" t="s">
        <v>12892</v>
      </c>
      <c r="I11750">
        <v>44</v>
      </c>
      <c r="J11750">
        <v>0</v>
      </c>
      <c r="K11750">
        <v>0</v>
      </c>
      <c r="L11750">
        <v>44</v>
      </c>
      <c r="M11750">
        <v>0</v>
      </c>
      <c r="N11750">
        <v>0</v>
      </c>
      <c r="O11750">
        <v>0</v>
      </c>
    </row>
    <row r="11751" spans="1:15" x14ac:dyDescent="0.25">
      <c r="A11751" t="s">
        <v>996</v>
      </c>
      <c r="B11751" t="s">
        <v>1952</v>
      </c>
      <c r="C11751" t="s">
        <v>923</v>
      </c>
      <c r="D11751" t="s">
        <v>3063</v>
      </c>
      <c r="E11751" t="s">
        <v>3053</v>
      </c>
      <c r="F11751" t="s">
        <v>882</v>
      </c>
      <c r="G11751" t="s">
        <v>3040</v>
      </c>
      <c r="H11751" t="s">
        <v>12931</v>
      </c>
      <c r="I11751">
        <v>122</v>
      </c>
      <c r="J11751">
        <v>0</v>
      </c>
      <c r="K11751">
        <v>0</v>
      </c>
      <c r="L11751">
        <v>122</v>
      </c>
      <c r="M11751">
        <v>0</v>
      </c>
      <c r="N11751">
        <v>0</v>
      </c>
      <c r="O11751">
        <v>0</v>
      </c>
    </row>
    <row r="11752" spans="1:15" x14ac:dyDescent="0.25">
      <c r="A11752" t="s">
        <v>1881</v>
      </c>
      <c r="B11752" t="s">
        <v>2607</v>
      </c>
      <c r="C11752" t="s">
        <v>923</v>
      </c>
      <c r="D11752" t="s">
        <v>3063</v>
      </c>
      <c r="E11752" t="s">
        <v>3053</v>
      </c>
      <c r="F11752" t="s">
        <v>882</v>
      </c>
      <c r="G11752" t="s">
        <v>3040</v>
      </c>
      <c r="H11752" t="s">
        <v>12935</v>
      </c>
      <c r="I11752">
        <v>30</v>
      </c>
      <c r="J11752">
        <v>0</v>
      </c>
      <c r="K11752">
        <v>0</v>
      </c>
      <c r="L11752">
        <v>30</v>
      </c>
      <c r="M11752">
        <v>0</v>
      </c>
      <c r="N11752">
        <v>0</v>
      </c>
      <c r="O11752">
        <v>0</v>
      </c>
    </row>
    <row r="11753" spans="1:15" x14ac:dyDescent="0.25">
      <c r="A11753" t="s">
        <v>997</v>
      </c>
      <c r="B11753" t="s">
        <v>2033</v>
      </c>
      <c r="C11753" t="s">
        <v>927</v>
      </c>
      <c r="D11753" t="s">
        <v>3052</v>
      </c>
      <c r="E11753" t="s">
        <v>3053</v>
      </c>
      <c r="F11753" t="s">
        <v>882</v>
      </c>
      <c r="G11753" t="s">
        <v>3040</v>
      </c>
      <c r="H11753" t="s">
        <v>12970</v>
      </c>
      <c r="I11753">
        <v>2</v>
      </c>
      <c r="J11753">
        <v>0</v>
      </c>
      <c r="K11753">
        <v>0</v>
      </c>
      <c r="L11753">
        <v>0</v>
      </c>
      <c r="M11753">
        <v>0</v>
      </c>
      <c r="N11753">
        <v>0</v>
      </c>
      <c r="O11753">
        <v>2</v>
      </c>
    </row>
    <row r="11754" spans="1:15" x14ac:dyDescent="0.25">
      <c r="A11754" t="s">
        <v>1882</v>
      </c>
      <c r="B11754" t="s">
        <v>2315</v>
      </c>
      <c r="C11754" t="s">
        <v>923</v>
      </c>
      <c r="D11754" t="s">
        <v>3063</v>
      </c>
      <c r="E11754" t="s">
        <v>3053</v>
      </c>
      <c r="F11754" t="s">
        <v>882</v>
      </c>
      <c r="G11754" t="s">
        <v>3040</v>
      </c>
      <c r="H11754" t="s">
        <v>12971</v>
      </c>
      <c r="I11754">
        <v>4</v>
      </c>
      <c r="J11754">
        <v>0</v>
      </c>
      <c r="K11754">
        <v>0</v>
      </c>
      <c r="L11754">
        <v>0</v>
      </c>
      <c r="M11754">
        <v>4</v>
      </c>
      <c r="N11754">
        <v>0</v>
      </c>
      <c r="O11754">
        <v>0</v>
      </c>
    </row>
    <row r="11755" spans="1:15" x14ac:dyDescent="0.25">
      <c r="A11755" t="s">
        <v>11660</v>
      </c>
      <c r="B11755" t="s">
        <v>2041</v>
      </c>
      <c r="C11755" t="s">
        <v>923</v>
      </c>
      <c r="D11755" t="s">
        <v>3063</v>
      </c>
      <c r="E11755" t="s">
        <v>3053</v>
      </c>
      <c r="F11755" t="s">
        <v>882</v>
      </c>
      <c r="G11755" t="s">
        <v>3040</v>
      </c>
      <c r="H11755" t="s">
        <v>12990</v>
      </c>
      <c r="I11755">
        <v>70</v>
      </c>
      <c r="J11755">
        <v>0</v>
      </c>
      <c r="K11755">
        <v>0</v>
      </c>
      <c r="L11755">
        <v>70</v>
      </c>
      <c r="M11755">
        <v>0</v>
      </c>
      <c r="N11755">
        <v>0</v>
      </c>
      <c r="O11755">
        <v>0</v>
      </c>
    </row>
    <row r="11756" spans="1:15" x14ac:dyDescent="0.25">
      <c r="A11756" t="s">
        <v>1416</v>
      </c>
      <c r="B11756" t="s">
        <v>2029</v>
      </c>
      <c r="C11756" t="s">
        <v>923</v>
      </c>
      <c r="D11756" t="s">
        <v>3063</v>
      </c>
      <c r="E11756" t="s">
        <v>3053</v>
      </c>
      <c r="F11756" t="s">
        <v>882</v>
      </c>
      <c r="G11756" t="s">
        <v>3040</v>
      </c>
      <c r="H11756" t="s">
        <v>13020</v>
      </c>
      <c r="I11756">
        <v>59</v>
      </c>
      <c r="J11756">
        <v>0</v>
      </c>
      <c r="K11756">
        <v>0</v>
      </c>
      <c r="L11756">
        <v>59</v>
      </c>
      <c r="M11756">
        <v>0</v>
      </c>
      <c r="N11756">
        <v>0</v>
      </c>
      <c r="O11756">
        <v>0</v>
      </c>
    </row>
    <row r="11757" spans="1:15" x14ac:dyDescent="0.25">
      <c r="A11757" t="s">
        <v>1483</v>
      </c>
      <c r="B11757" t="s">
        <v>1932</v>
      </c>
      <c r="C11757" t="s">
        <v>927</v>
      </c>
      <c r="D11757" t="s">
        <v>3052</v>
      </c>
      <c r="E11757" t="s">
        <v>3053</v>
      </c>
      <c r="F11757" t="s">
        <v>882</v>
      </c>
      <c r="G11757" t="s">
        <v>3040</v>
      </c>
      <c r="H11757" t="s">
        <v>15602</v>
      </c>
      <c r="I11757">
        <v>15</v>
      </c>
      <c r="J11757">
        <v>5</v>
      </c>
      <c r="K11757">
        <v>0</v>
      </c>
      <c r="L11757">
        <v>0</v>
      </c>
      <c r="M11757">
        <v>0</v>
      </c>
      <c r="N11757">
        <v>0</v>
      </c>
      <c r="O11757">
        <v>10</v>
      </c>
    </row>
    <row r="11758" spans="1:15" x14ac:dyDescent="0.25">
      <c r="A11758" t="s">
        <v>11724</v>
      </c>
      <c r="B11758" t="s">
        <v>2945</v>
      </c>
      <c r="C11758" t="s">
        <v>923</v>
      </c>
      <c r="D11758" t="s">
        <v>3063</v>
      </c>
      <c r="E11758" t="s">
        <v>3053</v>
      </c>
      <c r="F11758" t="s">
        <v>882</v>
      </c>
      <c r="G11758" t="s">
        <v>3040</v>
      </c>
      <c r="H11758" t="s">
        <v>13041</v>
      </c>
      <c r="I11758">
        <v>30</v>
      </c>
      <c r="J11758">
        <v>0</v>
      </c>
      <c r="K11758">
        <v>0</v>
      </c>
      <c r="L11758">
        <v>0</v>
      </c>
      <c r="M11758">
        <v>30</v>
      </c>
      <c r="N11758">
        <v>0</v>
      </c>
      <c r="O11758">
        <v>0</v>
      </c>
    </row>
    <row r="11759" spans="1:15" x14ac:dyDescent="0.25">
      <c r="A11759" t="s">
        <v>1883</v>
      </c>
      <c r="B11759" t="s">
        <v>1975</v>
      </c>
      <c r="C11759" t="s">
        <v>923</v>
      </c>
      <c r="D11759" t="s">
        <v>3063</v>
      </c>
      <c r="E11759" t="s">
        <v>3053</v>
      </c>
      <c r="F11759" t="s">
        <v>882</v>
      </c>
      <c r="G11759" t="s">
        <v>3040</v>
      </c>
      <c r="H11759" t="s">
        <v>13044</v>
      </c>
      <c r="I11759">
        <v>18</v>
      </c>
      <c r="J11759">
        <v>5</v>
      </c>
      <c r="K11759">
        <v>0</v>
      </c>
      <c r="L11759">
        <v>13</v>
      </c>
      <c r="M11759">
        <v>0</v>
      </c>
      <c r="N11759">
        <v>0</v>
      </c>
      <c r="O11759">
        <v>0</v>
      </c>
    </row>
    <row r="11760" spans="1:15" x14ac:dyDescent="0.25">
      <c r="A11760" t="s">
        <v>1001</v>
      </c>
      <c r="B11760" t="s">
        <v>3007</v>
      </c>
      <c r="C11760" t="s">
        <v>927</v>
      </c>
      <c r="D11760" t="s">
        <v>3052</v>
      </c>
      <c r="E11760" t="s">
        <v>3053</v>
      </c>
      <c r="F11760" t="s">
        <v>882</v>
      </c>
      <c r="G11760" t="s">
        <v>3040</v>
      </c>
      <c r="H11760" t="s">
        <v>13048</v>
      </c>
      <c r="I11760">
        <v>28</v>
      </c>
      <c r="J11760">
        <v>0</v>
      </c>
      <c r="K11760">
        <v>0</v>
      </c>
      <c r="L11760">
        <v>28</v>
      </c>
      <c r="M11760">
        <v>0</v>
      </c>
      <c r="N11760">
        <v>0</v>
      </c>
      <c r="O11760">
        <v>0</v>
      </c>
    </row>
    <row r="11761" spans="1:15" x14ac:dyDescent="0.25">
      <c r="A11761" t="s">
        <v>1884</v>
      </c>
      <c r="B11761" t="s">
        <v>2178</v>
      </c>
      <c r="C11761" t="s">
        <v>923</v>
      </c>
      <c r="D11761" t="s">
        <v>3063</v>
      </c>
      <c r="E11761" t="s">
        <v>3053</v>
      </c>
      <c r="F11761" t="s">
        <v>882</v>
      </c>
      <c r="G11761" t="s">
        <v>3040</v>
      </c>
      <c r="H11761" t="s">
        <v>13050</v>
      </c>
      <c r="I11761">
        <v>21</v>
      </c>
      <c r="J11761">
        <v>21</v>
      </c>
      <c r="K11761">
        <v>0</v>
      </c>
      <c r="L11761">
        <v>0</v>
      </c>
      <c r="M11761">
        <v>0</v>
      </c>
      <c r="N11761">
        <v>0</v>
      </c>
      <c r="O11761">
        <v>0</v>
      </c>
    </row>
    <row r="11762" spans="1:15" x14ac:dyDescent="0.25">
      <c r="A11762" t="s">
        <v>1485</v>
      </c>
      <c r="B11762" t="s">
        <v>2836</v>
      </c>
      <c r="C11762" t="s">
        <v>927</v>
      </c>
      <c r="D11762" t="s">
        <v>3052</v>
      </c>
      <c r="E11762" t="s">
        <v>3053</v>
      </c>
      <c r="F11762" t="s">
        <v>882</v>
      </c>
      <c r="G11762" t="s">
        <v>3040</v>
      </c>
      <c r="H11762" t="s">
        <v>13059</v>
      </c>
      <c r="I11762">
        <v>59</v>
      </c>
      <c r="J11762">
        <v>20</v>
      </c>
      <c r="K11762">
        <v>0</v>
      </c>
      <c r="L11762">
        <v>0</v>
      </c>
      <c r="M11762">
        <v>0</v>
      </c>
      <c r="N11762">
        <v>0</v>
      </c>
      <c r="O11762">
        <v>39</v>
      </c>
    </row>
    <row r="11763" spans="1:15" x14ac:dyDescent="0.25">
      <c r="A11763" t="s">
        <v>1885</v>
      </c>
      <c r="B11763" t="s">
        <v>2337</v>
      </c>
      <c r="C11763" t="s">
        <v>923</v>
      </c>
      <c r="D11763" t="s">
        <v>3063</v>
      </c>
      <c r="E11763" t="s">
        <v>3053</v>
      </c>
      <c r="F11763" t="s">
        <v>882</v>
      </c>
      <c r="G11763" t="s">
        <v>3040</v>
      </c>
      <c r="H11763" t="s">
        <v>13070</v>
      </c>
      <c r="I11763">
        <v>8</v>
      </c>
      <c r="J11763">
        <v>8</v>
      </c>
      <c r="K11763">
        <v>0</v>
      </c>
      <c r="L11763">
        <v>0</v>
      </c>
      <c r="M11763">
        <v>0</v>
      </c>
      <c r="N11763">
        <v>0</v>
      </c>
      <c r="O11763">
        <v>0</v>
      </c>
    </row>
    <row r="11764" spans="1:15" x14ac:dyDescent="0.25">
      <c r="A11764" t="s">
        <v>10638</v>
      </c>
      <c r="B11764" t="s">
        <v>2057</v>
      </c>
      <c r="C11764" t="s">
        <v>927</v>
      </c>
      <c r="D11764" t="s">
        <v>3052</v>
      </c>
      <c r="E11764" t="s">
        <v>3053</v>
      </c>
      <c r="F11764" t="s">
        <v>882</v>
      </c>
      <c r="G11764" t="s">
        <v>3040</v>
      </c>
      <c r="H11764" t="s">
        <v>13084</v>
      </c>
      <c r="I11764">
        <v>446</v>
      </c>
      <c r="J11764">
        <v>0</v>
      </c>
      <c r="K11764">
        <v>0</v>
      </c>
      <c r="L11764">
        <v>446</v>
      </c>
      <c r="M11764">
        <v>0</v>
      </c>
      <c r="N11764">
        <v>0</v>
      </c>
      <c r="O11764">
        <v>0</v>
      </c>
    </row>
    <row r="11765" spans="1:15" x14ac:dyDescent="0.25">
      <c r="A11765" t="s">
        <v>1886</v>
      </c>
      <c r="B11765" t="s">
        <v>2054</v>
      </c>
      <c r="C11765" t="s">
        <v>923</v>
      </c>
      <c r="D11765" t="s">
        <v>3063</v>
      </c>
      <c r="E11765" t="s">
        <v>3053</v>
      </c>
      <c r="F11765" t="s">
        <v>882</v>
      </c>
      <c r="G11765" t="s">
        <v>3040</v>
      </c>
      <c r="H11765" t="s">
        <v>13087</v>
      </c>
      <c r="I11765">
        <v>68</v>
      </c>
      <c r="J11765">
        <v>62</v>
      </c>
      <c r="K11765">
        <v>0</v>
      </c>
      <c r="L11765">
        <v>6</v>
      </c>
      <c r="M11765">
        <v>0</v>
      </c>
      <c r="N11765">
        <v>0</v>
      </c>
      <c r="O11765">
        <v>0</v>
      </c>
    </row>
    <row r="11766" spans="1:15" x14ac:dyDescent="0.25">
      <c r="A11766" t="s">
        <v>1887</v>
      </c>
      <c r="B11766" t="s">
        <v>2295</v>
      </c>
      <c r="C11766" t="s">
        <v>923</v>
      </c>
      <c r="D11766" t="s">
        <v>3063</v>
      </c>
      <c r="E11766" t="s">
        <v>3053</v>
      </c>
      <c r="F11766" t="s">
        <v>882</v>
      </c>
      <c r="G11766" t="s">
        <v>3040</v>
      </c>
      <c r="H11766" t="s">
        <v>13097</v>
      </c>
      <c r="I11766">
        <v>6</v>
      </c>
      <c r="J11766">
        <v>0</v>
      </c>
      <c r="K11766">
        <v>0</v>
      </c>
      <c r="L11766">
        <v>0</v>
      </c>
      <c r="M11766">
        <v>6</v>
      </c>
      <c r="N11766">
        <v>0</v>
      </c>
      <c r="O11766">
        <v>0</v>
      </c>
    </row>
    <row r="11767" spans="1:15" x14ac:dyDescent="0.25">
      <c r="A11767" t="s">
        <v>1006</v>
      </c>
      <c r="B11767" t="s">
        <v>2724</v>
      </c>
      <c r="C11767" t="s">
        <v>927</v>
      </c>
      <c r="D11767" t="s">
        <v>3052</v>
      </c>
      <c r="E11767" t="s">
        <v>3053</v>
      </c>
      <c r="F11767" t="s">
        <v>882</v>
      </c>
      <c r="G11767" t="s">
        <v>3040</v>
      </c>
      <c r="H11767" t="s">
        <v>13105</v>
      </c>
      <c r="I11767">
        <v>3035</v>
      </c>
      <c r="J11767">
        <v>2714</v>
      </c>
      <c r="K11767">
        <v>0</v>
      </c>
      <c r="L11767">
        <v>43</v>
      </c>
      <c r="M11767">
        <v>30</v>
      </c>
      <c r="N11767">
        <v>2</v>
      </c>
      <c r="O11767">
        <v>248</v>
      </c>
    </row>
    <row r="11768" spans="1:15" x14ac:dyDescent="0.25">
      <c r="A11768" t="s">
        <v>11725</v>
      </c>
      <c r="B11768" t="s">
        <v>3005</v>
      </c>
      <c r="C11768" t="s">
        <v>923</v>
      </c>
      <c r="D11768" t="s">
        <v>3063</v>
      </c>
      <c r="E11768" t="s">
        <v>3053</v>
      </c>
      <c r="F11768" t="s">
        <v>882</v>
      </c>
      <c r="G11768" t="s">
        <v>3040</v>
      </c>
      <c r="H11768" t="s">
        <v>13118</v>
      </c>
      <c r="I11768">
        <v>106</v>
      </c>
      <c r="J11768">
        <v>0</v>
      </c>
      <c r="K11768">
        <v>0</v>
      </c>
      <c r="L11768">
        <v>106</v>
      </c>
      <c r="M11768">
        <v>0</v>
      </c>
      <c r="N11768">
        <v>0</v>
      </c>
      <c r="O11768">
        <v>0</v>
      </c>
    </row>
    <row r="11769" spans="1:15" x14ac:dyDescent="0.25">
      <c r="A11769" t="s">
        <v>1008</v>
      </c>
      <c r="B11769" t="s">
        <v>2928</v>
      </c>
      <c r="C11769" t="s">
        <v>927</v>
      </c>
      <c r="D11769" t="s">
        <v>3052</v>
      </c>
      <c r="E11769" t="s">
        <v>3053</v>
      </c>
      <c r="F11769" t="s">
        <v>882</v>
      </c>
      <c r="G11769" t="s">
        <v>3040</v>
      </c>
      <c r="H11769" t="s">
        <v>13130</v>
      </c>
      <c r="I11769">
        <v>585</v>
      </c>
      <c r="J11769">
        <v>459</v>
      </c>
      <c r="K11769">
        <v>0</v>
      </c>
      <c r="L11769">
        <v>74</v>
      </c>
      <c r="M11769">
        <v>52</v>
      </c>
      <c r="N11769">
        <v>11</v>
      </c>
      <c r="O11769">
        <v>0</v>
      </c>
    </row>
    <row r="11770" spans="1:15" x14ac:dyDescent="0.25">
      <c r="A11770" t="s">
        <v>1009</v>
      </c>
      <c r="B11770" t="s">
        <v>1958</v>
      </c>
      <c r="C11770" t="s">
        <v>923</v>
      </c>
      <c r="D11770" t="s">
        <v>3063</v>
      </c>
      <c r="E11770" t="s">
        <v>3053</v>
      </c>
      <c r="F11770" t="s">
        <v>882</v>
      </c>
      <c r="G11770" t="s">
        <v>3040</v>
      </c>
      <c r="H11770" t="s">
        <v>13141</v>
      </c>
      <c r="I11770">
        <v>37</v>
      </c>
      <c r="J11770">
        <v>0</v>
      </c>
      <c r="K11770">
        <v>0</v>
      </c>
      <c r="L11770">
        <v>37</v>
      </c>
      <c r="M11770">
        <v>0</v>
      </c>
      <c r="N11770">
        <v>0</v>
      </c>
      <c r="O11770">
        <v>0</v>
      </c>
    </row>
    <row r="11771" spans="1:15" x14ac:dyDescent="0.25">
      <c r="A11771" t="s">
        <v>10650</v>
      </c>
      <c r="B11771" t="s">
        <v>2211</v>
      </c>
      <c r="C11771" t="s">
        <v>923</v>
      </c>
      <c r="D11771" t="s">
        <v>3063</v>
      </c>
      <c r="E11771" t="s">
        <v>3053</v>
      </c>
      <c r="F11771" t="s">
        <v>882</v>
      </c>
      <c r="G11771" t="s">
        <v>3040</v>
      </c>
      <c r="H11771" t="s">
        <v>13152</v>
      </c>
      <c r="I11771">
        <v>52</v>
      </c>
      <c r="J11771">
        <v>0</v>
      </c>
      <c r="K11771">
        <v>0</v>
      </c>
      <c r="L11771">
        <v>0</v>
      </c>
      <c r="M11771">
        <v>52</v>
      </c>
      <c r="N11771">
        <v>0</v>
      </c>
      <c r="O11771">
        <v>0</v>
      </c>
    </row>
    <row r="11772" spans="1:15" x14ac:dyDescent="0.25">
      <c r="A11772" t="s">
        <v>1888</v>
      </c>
      <c r="B11772" t="s">
        <v>2718</v>
      </c>
      <c r="C11772" t="s">
        <v>923</v>
      </c>
      <c r="D11772" t="s">
        <v>3063</v>
      </c>
      <c r="E11772" t="s">
        <v>3053</v>
      </c>
      <c r="F11772" t="s">
        <v>882</v>
      </c>
      <c r="G11772" t="s">
        <v>3040</v>
      </c>
      <c r="H11772" t="s">
        <v>13154</v>
      </c>
      <c r="I11772">
        <v>33</v>
      </c>
      <c r="J11772">
        <v>33</v>
      </c>
      <c r="K11772">
        <v>0</v>
      </c>
      <c r="L11772">
        <v>0</v>
      </c>
      <c r="M11772">
        <v>0</v>
      </c>
      <c r="N11772">
        <v>0</v>
      </c>
      <c r="O11772">
        <v>0</v>
      </c>
    </row>
    <row r="11773" spans="1:15" x14ac:dyDescent="0.25">
      <c r="A11773" t="s">
        <v>1889</v>
      </c>
      <c r="B11773" t="s">
        <v>2778</v>
      </c>
      <c r="C11773" t="s">
        <v>923</v>
      </c>
      <c r="D11773" t="s">
        <v>3063</v>
      </c>
      <c r="E11773" t="s">
        <v>3053</v>
      </c>
      <c r="F11773" t="s">
        <v>882</v>
      </c>
      <c r="G11773" t="s">
        <v>3040</v>
      </c>
      <c r="H11773" t="s">
        <v>13155</v>
      </c>
      <c r="I11773">
        <v>248</v>
      </c>
      <c r="J11773">
        <v>236</v>
      </c>
      <c r="K11773">
        <v>0</v>
      </c>
      <c r="L11773">
        <v>12</v>
      </c>
      <c r="M11773">
        <v>0</v>
      </c>
      <c r="N11773">
        <v>0</v>
      </c>
      <c r="O11773">
        <v>0</v>
      </c>
    </row>
    <row r="11774" spans="1:15" x14ac:dyDescent="0.25">
      <c r="A11774" t="s">
        <v>1890</v>
      </c>
      <c r="B11774" t="s">
        <v>2553</v>
      </c>
      <c r="C11774" t="s">
        <v>923</v>
      </c>
      <c r="D11774" t="s">
        <v>3063</v>
      </c>
      <c r="E11774" t="s">
        <v>3053</v>
      </c>
      <c r="F11774" t="s">
        <v>882</v>
      </c>
      <c r="G11774" t="s">
        <v>3040</v>
      </c>
      <c r="H11774" t="s">
        <v>13156</v>
      </c>
      <c r="I11774">
        <v>55</v>
      </c>
      <c r="J11774">
        <v>0</v>
      </c>
      <c r="K11774">
        <v>0</v>
      </c>
      <c r="L11774">
        <v>0</v>
      </c>
      <c r="M11774">
        <v>55</v>
      </c>
      <c r="N11774">
        <v>0</v>
      </c>
      <c r="O11774">
        <v>0</v>
      </c>
    </row>
    <row r="11775" spans="1:15" x14ac:dyDescent="0.25">
      <c r="A11775" t="s">
        <v>1419</v>
      </c>
      <c r="B11775" t="s">
        <v>2013</v>
      </c>
      <c r="C11775" t="s">
        <v>923</v>
      </c>
      <c r="D11775" t="s">
        <v>3063</v>
      </c>
      <c r="E11775" t="s">
        <v>3053</v>
      </c>
      <c r="F11775" t="s">
        <v>882</v>
      </c>
      <c r="G11775" t="s">
        <v>3040</v>
      </c>
      <c r="H11775" t="s">
        <v>13173</v>
      </c>
      <c r="I11775">
        <v>52</v>
      </c>
      <c r="J11775">
        <v>52</v>
      </c>
      <c r="K11775">
        <v>0</v>
      </c>
      <c r="L11775">
        <v>0</v>
      </c>
      <c r="M11775">
        <v>0</v>
      </c>
      <c r="N11775">
        <v>0</v>
      </c>
      <c r="O11775">
        <v>0</v>
      </c>
    </row>
    <row r="11776" spans="1:15" x14ac:dyDescent="0.25">
      <c r="A11776" t="s">
        <v>937</v>
      </c>
      <c r="B11776" t="s">
        <v>1962</v>
      </c>
      <c r="C11776" t="s">
        <v>927</v>
      </c>
      <c r="D11776" t="s">
        <v>3052</v>
      </c>
      <c r="E11776" t="s">
        <v>3053</v>
      </c>
      <c r="F11776" t="s">
        <v>882</v>
      </c>
      <c r="G11776" t="s">
        <v>3040</v>
      </c>
      <c r="H11776" t="s">
        <v>13190</v>
      </c>
      <c r="I11776">
        <v>904</v>
      </c>
      <c r="J11776">
        <v>0</v>
      </c>
      <c r="K11776">
        <v>0</v>
      </c>
      <c r="L11776">
        <v>0</v>
      </c>
      <c r="M11776">
        <v>0</v>
      </c>
      <c r="N11776">
        <v>0</v>
      </c>
      <c r="O11776">
        <v>904</v>
      </c>
    </row>
    <row r="11777" spans="1:15" x14ac:dyDescent="0.25">
      <c r="A11777" t="s">
        <v>1891</v>
      </c>
      <c r="B11777" t="s">
        <v>2034</v>
      </c>
      <c r="C11777" t="s">
        <v>923</v>
      </c>
      <c r="D11777" t="s">
        <v>3063</v>
      </c>
      <c r="E11777" t="s">
        <v>3053</v>
      </c>
      <c r="F11777" t="s">
        <v>882</v>
      </c>
      <c r="G11777" t="s">
        <v>3040</v>
      </c>
      <c r="H11777" t="s">
        <v>13194</v>
      </c>
      <c r="I11777">
        <v>266</v>
      </c>
      <c r="J11777">
        <v>28</v>
      </c>
      <c r="K11777">
        <v>0</v>
      </c>
      <c r="L11777">
        <v>238</v>
      </c>
      <c r="M11777">
        <v>0</v>
      </c>
      <c r="N11777">
        <v>0</v>
      </c>
      <c r="O11777">
        <v>0</v>
      </c>
    </row>
    <row r="11778" spans="1:15" x14ac:dyDescent="0.25">
      <c r="A11778" t="s">
        <v>1011</v>
      </c>
      <c r="B11778" t="s">
        <v>2020</v>
      </c>
      <c r="C11778" t="s">
        <v>927</v>
      </c>
      <c r="D11778" t="s">
        <v>3052</v>
      </c>
      <c r="E11778" t="s">
        <v>3053</v>
      </c>
      <c r="F11778" t="s">
        <v>882</v>
      </c>
      <c r="G11778" t="s">
        <v>3040</v>
      </c>
      <c r="H11778" t="s">
        <v>13205</v>
      </c>
      <c r="I11778">
        <v>160</v>
      </c>
      <c r="J11778">
        <v>0</v>
      </c>
      <c r="K11778">
        <v>0</v>
      </c>
      <c r="L11778">
        <v>160</v>
      </c>
      <c r="M11778">
        <v>0</v>
      </c>
      <c r="N11778">
        <v>0</v>
      </c>
      <c r="O11778">
        <v>0</v>
      </c>
    </row>
    <row r="11779" spans="1:15" x14ac:dyDescent="0.25">
      <c r="A11779" t="s">
        <v>938</v>
      </c>
      <c r="B11779" t="s">
        <v>2791</v>
      </c>
      <c r="C11779" t="s">
        <v>927</v>
      </c>
      <c r="D11779" t="s">
        <v>3052</v>
      </c>
      <c r="E11779" t="s">
        <v>3053</v>
      </c>
      <c r="F11779" t="s">
        <v>882</v>
      </c>
      <c r="G11779" t="s">
        <v>3040</v>
      </c>
      <c r="H11779" t="s">
        <v>13221</v>
      </c>
      <c r="I11779">
        <v>5515</v>
      </c>
      <c r="J11779">
        <v>4414</v>
      </c>
      <c r="K11779">
        <v>0</v>
      </c>
      <c r="L11779">
        <v>358</v>
      </c>
      <c r="M11779">
        <v>190</v>
      </c>
      <c r="N11779">
        <v>19</v>
      </c>
      <c r="O11779">
        <v>553</v>
      </c>
    </row>
    <row r="11780" spans="1:15" x14ac:dyDescent="0.25">
      <c r="A11780" t="s">
        <v>940</v>
      </c>
      <c r="B11780" t="s">
        <v>2647</v>
      </c>
      <c r="C11780" t="s">
        <v>927</v>
      </c>
      <c r="D11780" t="s">
        <v>3052</v>
      </c>
      <c r="E11780" t="s">
        <v>3053</v>
      </c>
      <c r="F11780" t="s">
        <v>882</v>
      </c>
      <c r="G11780" t="s">
        <v>3040</v>
      </c>
      <c r="H11780" t="s">
        <v>13240</v>
      </c>
      <c r="I11780">
        <v>2518</v>
      </c>
      <c r="J11780">
        <v>0</v>
      </c>
      <c r="K11780">
        <v>0</v>
      </c>
      <c r="L11780">
        <v>2</v>
      </c>
      <c r="M11780">
        <v>2184</v>
      </c>
      <c r="N11780">
        <v>0</v>
      </c>
      <c r="O11780">
        <v>332</v>
      </c>
    </row>
    <row r="11781" spans="1:15" x14ac:dyDescent="0.25">
      <c r="A11781" t="s">
        <v>1892</v>
      </c>
      <c r="B11781" t="s">
        <v>2077</v>
      </c>
      <c r="C11781" t="s">
        <v>923</v>
      </c>
      <c r="D11781" t="s">
        <v>3063</v>
      </c>
      <c r="E11781" t="s">
        <v>3053</v>
      </c>
      <c r="F11781" t="s">
        <v>882</v>
      </c>
      <c r="G11781" t="s">
        <v>3040</v>
      </c>
      <c r="H11781" t="s">
        <v>13245</v>
      </c>
      <c r="I11781">
        <v>74</v>
      </c>
      <c r="J11781">
        <v>4</v>
      </c>
      <c r="K11781">
        <v>0</v>
      </c>
      <c r="L11781">
        <v>70</v>
      </c>
      <c r="M11781">
        <v>0</v>
      </c>
      <c r="N11781">
        <v>0</v>
      </c>
      <c r="O11781">
        <v>0</v>
      </c>
    </row>
    <row r="11782" spans="1:15" x14ac:dyDescent="0.25">
      <c r="A11782" t="s">
        <v>1893</v>
      </c>
      <c r="B11782" t="s">
        <v>2793</v>
      </c>
      <c r="C11782" t="s">
        <v>923</v>
      </c>
      <c r="D11782" t="s">
        <v>3063</v>
      </c>
      <c r="E11782" t="s">
        <v>3053</v>
      </c>
      <c r="F11782" t="s">
        <v>882</v>
      </c>
      <c r="G11782" t="s">
        <v>3040</v>
      </c>
      <c r="H11782" t="s">
        <v>13246</v>
      </c>
      <c r="I11782">
        <v>472</v>
      </c>
      <c r="J11782">
        <v>224</v>
      </c>
      <c r="K11782">
        <v>0</v>
      </c>
      <c r="L11782">
        <v>44</v>
      </c>
      <c r="M11782">
        <v>204</v>
      </c>
      <c r="N11782">
        <v>0</v>
      </c>
      <c r="O11782">
        <v>0</v>
      </c>
    </row>
    <row r="11783" spans="1:15" x14ac:dyDescent="0.25">
      <c r="A11783" t="s">
        <v>1894</v>
      </c>
      <c r="B11783" t="s">
        <v>2785</v>
      </c>
      <c r="C11783" t="s">
        <v>923</v>
      </c>
      <c r="D11783" t="s">
        <v>3063</v>
      </c>
      <c r="E11783" t="s">
        <v>3053</v>
      </c>
      <c r="F11783" t="s">
        <v>882</v>
      </c>
      <c r="G11783" t="s">
        <v>3040</v>
      </c>
      <c r="H11783" t="s">
        <v>13247</v>
      </c>
      <c r="I11783">
        <v>45</v>
      </c>
      <c r="J11783">
        <v>45</v>
      </c>
      <c r="K11783">
        <v>0</v>
      </c>
      <c r="L11783">
        <v>0</v>
      </c>
      <c r="M11783">
        <v>0</v>
      </c>
      <c r="N11783">
        <v>0</v>
      </c>
      <c r="O11783">
        <v>0</v>
      </c>
    </row>
    <row r="11784" spans="1:15" x14ac:dyDescent="0.25">
      <c r="A11784" t="s">
        <v>1895</v>
      </c>
      <c r="B11784" t="s">
        <v>2632</v>
      </c>
      <c r="C11784" t="s">
        <v>923</v>
      </c>
      <c r="D11784" t="s">
        <v>3063</v>
      </c>
      <c r="E11784" t="s">
        <v>3053</v>
      </c>
      <c r="F11784" t="s">
        <v>882</v>
      </c>
      <c r="G11784" t="s">
        <v>3040</v>
      </c>
      <c r="H11784" t="s">
        <v>13248</v>
      </c>
      <c r="I11784">
        <v>73</v>
      </c>
      <c r="J11784">
        <v>0</v>
      </c>
      <c r="K11784">
        <v>0</v>
      </c>
      <c r="L11784">
        <v>73</v>
      </c>
      <c r="M11784">
        <v>0</v>
      </c>
      <c r="N11784">
        <v>0</v>
      </c>
      <c r="O11784">
        <v>0</v>
      </c>
    </row>
    <row r="11785" spans="1:15" x14ac:dyDescent="0.25">
      <c r="A11785" t="s">
        <v>1896</v>
      </c>
      <c r="B11785" t="s">
        <v>2147</v>
      </c>
      <c r="C11785" t="s">
        <v>923</v>
      </c>
      <c r="D11785" t="s">
        <v>3063</v>
      </c>
      <c r="E11785" t="s">
        <v>3053</v>
      </c>
      <c r="F11785" t="s">
        <v>882</v>
      </c>
      <c r="G11785" t="s">
        <v>3040</v>
      </c>
      <c r="H11785" t="s">
        <v>13249</v>
      </c>
      <c r="I11785">
        <v>62</v>
      </c>
      <c r="J11785">
        <v>0</v>
      </c>
      <c r="K11785">
        <v>0</v>
      </c>
      <c r="L11785">
        <v>0</v>
      </c>
      <c r="M11785">
        <v>62</v>
      </c>
      <c r="N11785">
        <v>0</v>
      </c>
      <c r="O11785">
        <v>0</v>
      </c>
    </row>
    <row r="11786" spans="1:15" x14ac:dyDescent="0.25">
      <c r="A11786" t="s">
        <v>1422</v>
      </c>
      <c r="B11786" t="s">
        <v>1990</v>
      </c>
      <c r="C11786" t="s">
        <v>923</v>
      </c>
      <c r="D11786" t="s">
        <v>3063</v>
      </c>
      <c r="E11786" t="s">
        <v>3053</v>
      </c>
      <c r="F11786" t="s">
        <v>882</v>
      </c>
      <c r="G11786" t="s">
        <v>3040</v>
      </c>
      <c r="H11786" t="s">
        <v>13253</v>
      </c>
      <c r="I11786">
        <v>46</v>
      </c>
      <c r="J11786">
        <v>1</v>
      </c>
      <c r="K11786">
        <v>0</v>
      </c>
      <c r="L11786">
        <v>45</v>
      </c>
      <c r="M11786">
        <v>0</v>
      </c>
      <c r="N11786">
        <v>0</v>
      </c>
      <c r="O11786">
        <v>0</v>
      </c>
    </row>
    <row r="11787" spans="1:15" x14ac:dyDescent="0.25">
      <c r="A11787" t="s">
        <v>11726</v>
      </c>
      <c r="B11787" t="s">
        <v>11752</v>
      </c>
      <c r="C11787" t="s">
        <v>923</v>
      </c>
      <c r="D11787" t="s">
        <v>3063</v>
      </c>
      <c r="E11787" t="s">
        <v>3053</v>
      </c>
      <c r="F11787" t="s">
        <v>882</v>
      </c>
      <c r="G11787" t="s">
        <v>3040</v>
      </c>
      <c r="H11787" t="s">
        <v>13257</v>
      </c>
      <c r="I11787">
        <v>18</v>
      </c>
      <c r="J11787">
        <v>18</v>
      </c>
      <c r="K11787">
        <v>0</v>
      </c>
      <c r="L11787">
        <v>0</v>
      </c>
      <c r="M11787">
        <v>0</v>
      </c>
      <c r="N11787">
        <v>0</v>
      </c>
      <c r="O11787">
        <v>0</v>
      </c>
    </row>
    <row r="11788" spans="1:15" x14ac:dyDescent="0.25">
      <c r="A11788" t="s">
        <v>1423</v>
      </c>
      <c r="B11788" t="s">
        <v>2071</v>
      </c>
      <c r="C11788" t="s">
        <v>923</v>
      </c>
      <c r="D11788" t="s">
        <v>3063</v>
      </c>
      <c r="E11788" t="s">
        <v>3053</v>
      </c>
      <c r="F11788" t="s">
        <v>882</v>
      </c>
      <c r="G11788" t="s">
        <v>3040</v>
      </c>
      <c r="H11788" t="s">
        <v>13267</v>
      </c>
      <c r="I11788">
        <v>66</v>
      </c>
      <c r="J11788">
        <v>0</v>
      </c>
      <c r="K11788">
        <v>0</v>
      </c>
      <c r="L11788">
        <v>66</v>
      </c>
      <c r="M11788">
        <v>0</v>
      </c>
      <c r="N11788">
        <v>0</v>
      </c>
      <c r="O11788">
        <v>0</v>
      </c>
    </row>
    <row r="11789" spans="1:15" x14ac:dyDescent="0.25">
      <c r="A11789" t="s">
        <v>1013</v>
      </c>
      <c r="B11789" t="s">
        <v>1959</v>
      </c>
      <c r="C11789" t="s">
        <v>927</v>
      </c>
      <c r="D11789" t="s">
        <v>3052</v>
      </c>
      <c r="E11789" t="s">
        <v>3053</v>
      </c>
      <c r="F11789" t="s">
        <v>882</v>
      </c>
      <c r="G11789" t="s">
        <v>3040</v>
      </c>
      <c r="H11789" t="s">
        <v>13278</v>
      </c>
      <c r="I11789">
        <v>515</v>
      </c>
      <c r="J11789">
        <v>6</v>
      </c>
      <c r="K11789">
        <v>0</v>
      </c>
      <c r="L11789">
        <v>449</v>
      </c>
      <c r="M11789">
        <v>60</v>
      </c>
      <c r="N11789">
        <v>0</v>
      </c>
      <c r="O11789">
        <v>0</v>
      </c>
    </row>
    <row r="11790" spans="1:15" x14ac:dyDescent="0.25">
      <c r="A11790" t="s">
        <v>1897</v>
      </c>
      <c r="B11790" t="s">
        <v>2883</v>
      </c>
      <c r="C11790" t="s">
        <v>927</v>
      </c>
      <c r="D11790" t="s">
        <v>3052</v>
      </c>
      <c r="E11790" t="s">
        <v>3053</v>
      </c>
      <c r="F11790" t="s">
        <v>882</v>
      </c>
      <c r="G11790" t="s">
        <v>3040</v>
      </c>
      <c r="H11790" t="s">
        <v>13280</v>
      </c>
      <c r="I11790">
        <v>21299</v>
      </c>
      <c r="J11790">
        <v>20335</v>
      </c>
      <c r="K11790">
        <v>0</v>
      </c>
      <c r="L11790">
        <v>61</v>
      </c>
      <c r="M11790">
        <v>713</v>
      </c>
      <c r="N11790">
        <v>199</v>
      </c>
      <c r="O11790">
        <v>190</v>
      </c>
    </row>
    <row r="11791" spans="1:15" x14ac:dyDescent="0.25">
      <c r="A11791" t="s">
        <v>1496</v>
      </c>
      <c r="B11791" t="s">
        <v>2007</v>
      </c>
      <c r="C11791" t="s">
        <v>923</v>
      </c>
      <c r="D11791" t="s">
        <v>3063</v>
      </c>
      <c r="E11791" t="s">
        <v>3053</v>
      </c>
      <c r="F11791" t="s">
        <v>882</v>
      </c>
      <c r="G11791" t="s">
        <v>3040</v>
      </c>
      <c r="H11791" t="s">
        <v>13290</v>
      </c>
      <c r="I11791">
        <v>6</v>
      </c>
      <c r="J11791">
        <v>6</v>
      </c>
      <c r="K11791">
        <v>0</v>
      </c>
      <c r="L11791">
        <v>0</v>
      </c>
      <c r="M11791">
        <v>0</v>
      </c>
      <c r="N11791">
        <v>0</v>
      </c>
      <c r="O11791">
        <v>0</v>
      </c>
    </row>
    <row r="11792" spans="1:15" x14ac:dyDescent="0.25">
      <c r="A11792" t="s">
        <v>9819</v>
      </c>
      <c r="B11792" t="s">
        <v>2916</v>
      </c>
      <c r="C11792" t="s">
        <v>927</v>
      </c>
      <c r="D11792" t="s">
        <v>3052</v>
      </c>
      <c r="E11792" t="s">
        <v>3053</v>
      </c>
      <c r="F11792" t="s">
        <v>882</v>
      </c>
      <c r="G11792" t="s">
        <v>3040</v>
      </c>
      <c r="H11792" t="s">
        <v>13301</v>
      </c>
      <c r="I11792">
        <v>20</v>
      </c>
      <c r="J11792">
        <v>9</v>
      </c>
      <c r="K11792">
        <v>0</v>
      </c>
      <c r="L11792">
        <v>0</v>
      </c>
      <c r="M11792">
        <v>0</v>
      </c>
      <c r="N11792">
        <v>0</v>
      </c>
      <c r="O11792">
        <v>11</v>
      </c>
    </row>
    <row r="11793" spans="1:15" x14ac:dyDescent="0.25">
      <c r="A11793" t="s">
        <v>1898</v>
      </c>
      <c r="B11793" t="s">
        <v>2321</v>
      </c>
      <c r="C11793" t="s">
        <v>923</v>
      </c>
      <c r="D11793" t="s">
        <v>3063</v>
      </c>
      <c r="E11793" t="s">
        <v>3053</v>
      </c>
      <c r="F11793" t="s">
        <v>882</v>
      </c>
      <c r="G11793" t="s">
        <v>3040</v>
      </c>
      <c r="H11793" t="s">
        <v>13308</v>
      </c>
      <c r="I11793">
        <v>4</v>
      </c>
      <c r="J11793">
        <v>4</v>
      </c>
      <c r="K11793">
        <v>0</v>
      </c>
      <c r="L11793">
        <v>0</v>
      </c>
      <c r="M11793">
        <v>0</v>
      </c>
      <c r="N11793">
        <v>0</v>
      </c>
      <c r="O11793">
        <v>0</v>
      </c>
    </row>
    <row r="11794" spans="1:15" x14ac:dyDescent="0.25">
      <c r="A11794" t="s">
        <v>1016</v>
      </c>
      <c r="B11794" t="s">
        <v>2725</v>
      </c>
      <c r="C11794" t="s">
        <v>927</v>
      </c>
      <c r="D11794" t="s">
        <v>3052</v>
      </c>
      <c r="E11794" t="s">
        <v>3053</v>
      </c>
      <c r="F11794" t="s">
        <v>882</v>
      </c>
      <c r="G11794" t="s">
        <v>3040</v>
      </c>
      <c r="H11794" t="s">
        <v>13313</v>
      </c>
      <c r="I11794">
        <v>1215</v>
      </c>
      <c r="J11794">
        <v>528</v>
      </c>
      <c r="K11794">
        <v>0</v>
      </c>
      <c r="L11794">
        <v>4</v>
      </c>
      <c r="M11794">
        <v>486</v>
      </c>
      <c r="N11794">
        <v>0</v>
      </c>
      <c r="O11794">
        <v>197</v>
      </c>
    </row>
    <row r="11795" spans="1:15" x14ac:dyDescent="0.25">
      <c r="A11795" t="s">
        <v>1899</v>
      </c>
      <c r="B11795" t="s">
        <v>2196</v>
      </c>
      <c r="C11795" t="s">
        <v>923</v>
      </c>
      <c r="D11795" t="s">
        <v>3063</v>
      </c>
      <c r="E11795" t="s">
        <v>3053</v>
      </c>
      <c r="F11795" t="s">
        <v>882</v>
      </c>
      <c r="G11795" t="s">
        <v>3040</v>
      </c>
      <c r="H11795" t="s">
        <v>13316</v>
      </c>
      <c r="I11795">
        <v>32</v>
      </c>
      <c r="J11795">
        <v>0</v>
      </c>
      <c r="K11795">
        <v>0</v>
      </c>
      <c r="L11795">
        <v>0</v>
      </c>
      <c r="M11795">
        <v>32</v>
      </c>
      <c r="N11795">
        <v>0</v>
      </c>
      <c r="O11795">
        <v>0</v>
      </c>
    </row>
    <row r="11796" spans="1:15" x14ac:dyDescent="0.25">
      <c r="A11796" t="s">
        <v>1426</v>
      </c>
      <c r="B11796" t="s">
        <v>2137</v>
      </c>
      <c r="C11796" t="s">
        <v>927</v>
      </c>
      <c r="D11796" t="s">
        <v>3052</v>
      </c>
      <c r="E11796" t="s">
        <v>3053</v>
      </c>
      <c r="F11796" t="s">
        <v>882</v>
      </c>
      <c r="G11796" t="s">
        <v>3040</v>
      </c>
      <c r="H11796" t="s">
        <v>13318</v>
      </c>
      <c r="I11796">
        <v>2046</v>
      </c>
      <c r="J11796">
        <v>1251</v>
      </c>
      <c r="K11796">
        <v>0</v>
      </c>
      <c r="L11796">
        <v>50</v>
      </c>
      <c r="M11796">
        <v>161</v>
      </c>
      <c r="N11796">
        <v>64</v>
      </c>
      <c r="O11796">
        <v>584</v>
      </c>
    </row>
    <row r="11797" spans="1:15" x14ac:dyDescent="0.25">
      <c r="A11797" t="s">
        <v>1427</v>
      </c>
      <c r="B11797" t="s">
        <v>2087</v>
      </c>
      <c r="C11797" t="s">
        <v>927</v>
      </c>
      <c r="D11797" t="s">
        <v>3052</v>
      </c>
      <c r="E11797" t="s">
        <v>3053</v>
      </c>
      <c r="F11797" t="s">
        <v>882</v>
      </c>
      <c r="G11797" t="s">
        <v>3040</v>
      </c>
      <c r="H11797" t="s">
        <v>13323</v>
      </c>
      <c r="I11797">
        <v>1073</v>
      </c>
      <c r="J11797">
        <v>857</v>
      </c>
      <c r="K11797">
        <v>0</v>
      </c>
      <c r="L11797">
        <v>0</v>
      </c>
      <c r="M11797">
        <v>0</v>
      </c>
      <c r="N11797">
        <v>0</v>
      </c>
      <c r="O11797">
        <v>216</v>
      </c>
    </row>
    <row r="11798" spans="1:15" x14ac:dyDescent="0.25">
      <c r="A11798" t="s">
        <v>1900</v>
      </c>
      <c r="B11798" t="s">
        <v>2005</v>
      </c>
      <c r="C11798" t="s">
        <v>923</v>
      </c>
      <c r="D11798" t="s">
        <v>3063</v>
      </c>
      <c r="E11798" t="s">
        <v>3053</v>
      </c>
      <c r="F11798" t="s">
        <v>882</v>
      </c>
      <c r="G11798" t="s">
        <v>3040</v>
      </c>
      <c r="H11798" t="s">
        <v>13337</v>
      </c>
      <c r="I11798">
        <v>8</v>
      </c>
      <c r="J11798">
        <v>8</v>
      </c>
      <c r="K11798">
        <v>0</v>
      </c>
      <c r="L11798">
        <v>0</v>
      </c>
      <c r="M11798">
        <v>0</v>
      </c>
      <c r="N11798">
        <v>0</v>
      </c>
      <c r="O11798">
        <v>0</v>
      </c>
    </row>
    <row r="11799" spans="1:15" x14ac:dyDescent="0.25">
      <c r="A11799" t="s">
        <v>1017</v>
      </c>
      <c r="B11799" t="s">
        <v>2671</v>
      </c>
      <c r="C11799" t="s">
        <v>923</v>
      </c>
      <c r="D11799" t="s">
        <v>3063</v>
      </c>
      <c r="E11799" t="s">
        <v>3053</v>
      </c>
      <c r="F11799" t="s">
        <v>882</v>
      </c>
      <c r="G11799" t="s">
        <v>3040</v>
      </c>
      <c r="H11799" t="s">
        <v>15603</v>
      </c>
      <c r="I11799">
        <v>16</v>
      </c>
      <c r="J11799">
        <v>16</v>
      </c>
      <c r="K11799">
        <v>0</v>
      </c>
      <c r="L11799">
        <v>0</v>
      </c>
      <c r="M11799">
        <v>0</v>
      </c>
      <c r="N11799">
        <v>0</v>
      </c>
      <c r="O11799">
        <v>0</v>
      </c>
    </row>
    <row r="11800" spans="1:15" x14ac:dyDescent="0.25">
      <c r="A11800" t="s">
        <v>1901</v>
      </c>
      <c r="B11800" t="s">
        <v>2293</v>
      </c>
      <c r="C11800" t="s">
        <v>923</v>
      </c>
      <c r="D11800" t="s">
        <v>3063</v>
      </c>
      <c r="E11800" t="s">
        <v>3053</v>
      </c>
      <c r="F11800" t="s">
        <v>882</v>
      </c>
      <c r="G11800" t="s">
        <v>3040</v>
      </c>
      <c r="H11800" t="s">
        <v>13340</v>
      </c>
      <c r="I11800">
        <v>12</v>
      </c>
      <c r="J11800">
        <v>0</v>
      </c>
      <c r="K11800">
        <v>0</v>
      </c>
      <c r="L11800">
        <v>0</v>
      </c>
      <c r="M11800">
        <v>12</v>
      </c>
      <c r="N11800">
        <v>0</v>
      </c>
      <c r="O11800">
        <v>0</v>
      </c>
    </row>
    <row r="11801" spans="1:15" x14ac:dyDescent="0.25">
      <c r="A11801" t="s">
        <v>1018</v>
      </c>
      <c r="B11801" t="s">
        <v>1980</v>
      </c>
      <c r="C11801" t="s">
        <v>923</v>
      </c>
      <c r="D11801" t="s">
        <v>3063</v>
      </c>
      <c r="E11801" t="s">
        <v>3053</v>
      </c>
      <c r="F11801" t="s">
        <v>882</v>
      </c>
      <c r="G11801" t="s">
        <v>3040</v>
      </c>
      <c r="H11801" t="s">
        <v>13352</v>
      </c>
      <c r="I11801">
        <v>67</v>
      </c>
      <c r="J11801">
        <v>0</v>
      </c>
      <c r="K11801">
        <v>0</v>
      </c>
      <c r="L11801">
        <v>67</v>
      </c>
      <c r="M11801">
        <v>0</v>
      </c>
      <c r="N11801">
        <v>0</v>
      </c>
      <c r="O11801">
        <v>0</v>
      </c>
    </row>
    <row r="11802" spans="1:15" x14ac:dyDescent="0.25">
      <c r="A11802" t="s">
        <v>1019</v>
      </c>
      <c r="B11802" t="s">
        <v>2944</v>
      </c>
      <c r="C11802" t="s">
        <v>927</v>
      </c>
      <c r="D11802" t="s">
        <v>3052</v>
      </c>
      <c r="E11802" t="s">
        <v>3053</v>
      </c>
      <c r="F11802" t="s">
        <v>882</v>
      </c>
      <c r="G11802" t="s">
        <v>3040</v>
      </c>
      <c r="H11802" t="s">
        <v>13359</v>
      </c>
      <c r="I11802">
        <v>4584</v>
      </c>
      <c r="J11802">
        <v>3661</v>
      </c>
      <c r="K11802">
        <v>0</v>
      </c>
      <c r="L11802">
        <v>208</v>
      </c>
      <c r="M11802">
        <v>254</v>
      </c>
      <c r="N11802">
        <v>2</v>
      </c>
      <c r="O11802">
        <v>461</v>
      </c>
    </row>
    <row r="11803" spans="1:15" x14ac:dyDescent="0.25">
      <c r="A11803" t="s">
        <v>1902</v>
      </c>
      <c r="B11803" t="s">
        <v>2672</v>
      </c>
      <c r="C11803" t="s">
        <v>923</v>
      </c>
      <c r="D11803" t="s">
        <v>3063</v>
      </c>
      <c r="E11803" t="s">
        <v>3053</v>
      </c>
      <c r="F11803" t="s">
        <v>882</v>
      </c>
      <c r="G11803" t="s">
        <v>3040</v>
      </c>
      <c r="H11803" t="s">
        <v>13360</v>
      </c>
      <c r="I11803">
        <v>549</v>
      </c>
      <c r="J11803">
        <v>280</v>
      </c>
      <c r="K11803">
        <v>0</v>
      </c>
      <c r="L11803">
        <v>0</v>
      </c>
      <c r="M11803">
        <v>269</v>
      </c>
      <c r="N11803">
        <v>0</v>
      </c>
      <c r="O11803">
        <v>0</v>
      </c>
    </row>
    <row r="11804" spans="1:15" x14ac:dyDescent="0.25">
      <c r="A11804" t="s">
        <v>10667</v>
      </c>
      <c r="B11804" t="s">
        <v>10666</v>
      </c>
      <c r="C11804" t="s">
        <v>927</v>
      </c>
      <c r="D11804" t="s">
        <v>3052</v>
      </c>
      <c r="E11804" t="s">
        <v>3053</v>
      </c>
      <c r="F11804" t="s">
        <v>882</v>
      </c>
      <c r="G11804" t="s">
        <v>3040</v>
      </c>
      <c r="H11804" t="s">
        <v>13368</v>
      </c>
      <c r="I11804">
        <v>23</v>
      </c>
      <c r="J11804">
        <v>23</v>
      </c>
      <c r="K11804">
        <v>0</v>
      </c>
      <c r="L11804">
        <v>0</v>
      </c>
      <c r="M11804">
        <v>0</v>
      </c>
      <c r="N11804">
        <v>0</v>
      </c>
      <c r="O11804">
        <v>0</v>
      </c>
    </row>
    <row r="11805" spans="1:15" x14ac:dyDescent="0.25">
      <c r="A11805" t="s">
        <v>1126</v>
      </c>
      <c r="B11805" t="s">
        <v>2130</v>
      </c>
      <c r="C11805" t="s">
        <v>927</v>
      </c>
      <c r="D11805" t="s">
        <v>3052</v>
      </c>
      <c r="E11805" t="s">
        <v>3053</v>
      </c>
      <c r="F11805" t="s">
        <v>882</v>
      </c>
      <c r="G11805" t="s">
        <v>3040</v>
      </c>
      <c r="H11805" t="s">
        <v>13376</v>
      </c>
      <c r="I11805">
        <v>55</v>
      </c>
      <c r="J11805">
        <v>35</v>
      </c>
      <c r="K11805">
        <v>0</v>
      </c>
      <c r="L11805">
        <v>0</v>
      </c>
      <c r="M11805">
        <v>0</v>
      </c>
      <c r="N11805">
        <v>0</v>
      </c>
      <c r="O11805">
        <v>20</v>
      </c>
    </row>
    <row r="11806" spans="1:15" x14ac:dyDescent="0.25">
      <c r="A11806" t="s">
        <v>1020</v>
      </c>
      <c r="B11806" t="s">
        <v>2104</v>
      </c>
      <c r="C11806" t="s">
        <v>923</v>
      </c>
      <c r="D11806" t="s">
        <v>3063</v>
      </c>
      <c r="E11806" t="s">
        <v>3053</v>
      </c>
      <c r="F11806" t="s">
        <v>882</v>
      </c>
      <c r="G11806" t="s">
        <v>3040</v>
      </c>
      <c r="H11806" t="s">
        <v>13384</v>
      </c>
      <c r="I11806">
        <v>13</v>
      </c>
      <c r="J11806">
        <v>0</v>
      </c>
      <c r="K11806">
        <v>0</v>
      </c>
      <c r="L11806">
        <v>13</v>
      </c>
      <c r="M11806">
        <v>0</v>
      </c>
      <c r="N11806">
        <v>0</v>
      </c>
      <c r="O11806">
        <v>0</v>
      </c>
    </row>
    <row r="11807" spans="1:15" x14ac:dyDescent="0.25">
      <c r="A11807" t="s">
        <v>1022</v>
      </c>
      <c r="B11807" t="s">
        <v>2116</v>
      </c>
      <c r="C11807" t="s">
        <v>927</v>
      </c>
      <c r="D11807" t="s">
        <v>3052</v>
      </c>
      <c r="E11807" t="s">
        <v>3053</v>
      </c>
      <c r="F11807" t="s">
        <v>882</v>
      </c>
      <c r="G11807" t="s">
        <v>3040</v>
      </c>
      <c r="H11807" t="s">
        <v>13390</v>
      </c>
      <c r="I11807">
        <v>7142</v>
      </c>
      <c r="J11807">
        <v>6128</v>
      </c>
      <c r="K11807">
        <v>0</v>
      </c>
      <c r="L11807">
        <v>0</v>
      </c>
      <c r="M11807">
        <v>881</v>
      </c>
      <c r="N11807">
        <v>0</v>
      </c>
      <c r="O11807">
        <v>133</v>
      </c>
    </row>
    <row r="11808" spans="1:15" x14ac:dyDescent="0.25">
      <c r="A11808" t="s">
        <v>1023</v>
      </c>
      <c r="B11808" t="s">
        <v>2803</v>
      </c>
      <c r="C11808" t="s">
        <v>923</v>
      </c>
      <c r="D11808" t="s">
        <v>3063</v>
      </c>
      <c r="E11808" t="s">
        <v>3053</v>
      </c>
      <c r="F11808" t="s">
        <v>882</v>
      </c>
      <c r="G11808" t="s">
        <v>3040</v>
      </c>
      <c r="H11808" t="s">
        <v>13393</v>
      </c>
      <c r="I11808">
        <v>39</v>
      </c>
      <c r="J11808">
        <v>39</v>
      </c>
      <c r="K11808">
        <v>0</v>
      </c>
      <c r="L11808">
        <v>0</v>
      </c>
      <c r="M11808">
        <v>0</v>
      </c>
      <c r="N11808">
        <v>0</v>
      </c>
      <c r="O11808">
        <v>0</v>
      </c>
    </row>
    <row r="11809" spans="1:15" x14ac:dyDescent="0.25">
      <c r="A11809" t="s">
        <v>1026</v>
      </c>
      <c r="B11809" t="s">
        <v>2848</v>
      </c>
      <c r="C11809" t="s">
        <v>927</v>
      </c>
      <c r="D11809" t="s">
        <v>3052</v>
      </c>
      <c r="E11809" t="s">
        <v>3053</v>
      </c>
      <c r="F11809" t="s">
        <v>882</v>
      </c>
      <c r="G11809" t="s">
        <v>3040</v>
      </c>
      <c r="H11809" t="s">
        <v>13422</v>
      </c>
      <c r="I11809">
        <v>1964</v>
      </c>
      <c r="J11809">
        <v>1819</v>
      </c>
      <c r="K11809">
        <v>0</v>
      </c>
      <c r="L11809">
        <v>68</v>
      </c>
      <c r="M11809">
        <v>0</v>
      </c>
      <c r="N11809">
        <v>6</v>
      </c>
      <c r="O11809">
        <v>77</v>
      </c>
    </row>
    <row r="11810" spans="1:15" x14ac:dyDescent="0.25">
      <c r="A11810" t="s">
        <v>1510</v>
      </c>
      <c r="B11810" t="s">
        <v>2812</v>
      </c>
      <c r="C11810" t="s">
        <v>923</v>
      </c>
      <c r="D11810" t="s">
        <v>3063</v>
      </c>
      <c r="E11810" t="s">
        <v>3053</v>
      </c>
      <c r="F11810" t="s">
        <v>882</v>
      </c>
      <c r="G11810" t="s">
        <v>3040</v>
      </c>
      <c r="H11810" t="s">
        <v>13429</v>
      </c>
      <c r="I11810">
        <v>31</v>
      </c>
      <c r="J11810">
        <v>31</v>
      </c>
      <c r="K11810">
        <v>0</v>
      </c>
      <c r="L11810">
        <v>0</v>
      </c>
      <c r="M11810">
        <v>0</v>
      </c>
      <c r="N11810">
        <v>0</v>
      </c>
      <c r="O11810">
        <v>0</v>
      </c>
    </row>
    <row r="11811" spans="1:15" x14ac:dyDescent="0.25">
      <c r="A11811" t="s">
        <v>10681</v>
      </c>
      <c r="B11811" t="s">
        <v>10680</v>
      </c>
      <c r="C11811" t="s">
        <v>927</v>
      </c>
      <c r="D11811" t="s">
        <v>3052</v>
      </c>
      <c r="E11811" t="s">
        <v>3053</v>
      </c>
      <c r="F11811" t="s">
        <v>882</v>
      </c>
      <c r="G11811" t="s">
        <v>3040</v>
      </c>
      <c r="H11811" t="s">
        <v>15604</v>
      </c>
      <c r="I11811">
        <v>42</v>
      </c>
      <c r="J11811">
        <v>0</v>
      </c>
      <c r="K11811">
        <v>0</v>
      </c>
      <c r="L11811">
        <v>0</v>
      </c>
      <c r="M11811">
        <v>0</v>
      </c>
      <c r="N11811">
        <v>0</v>
      </c>
      <c r="O11811">
        <v>42</v>
      </c>
    </row>
    <row r="11812" spans="1:15" x14ac:dyDescent="0.25">
      <c r="A11812" t="s">
        <v>1903</v>
      </c>
      <c r="B11812" t="s">
        <v>2806</v>
      </c>
      <c r="C11812" t="s">
        <v>927</v>
      </c>
      <c r="D11812" t="s">
        <v>3052</v>
      </c>
      <c r="E11812" t="s">
        <v>3053</v>
      </c>
      <c r="F11812" t="s">
        <v>882</v>
      </c>
      <c r="G11812" t="s">
        <v>3040</v>
      </c>
      <c r="H11812" t="s">
        <v>13441</v>
      </c>
      <c r="I11812">
        <v>1394</v>
      </c>
      <c r="J11812">
        <v>1351</v>
      </c>
      <c r="K11812">
        <v>0</v>
      </c>
      <c r="L11812">
        <v>0</v>
      </c>
      <c r="M11812">
        <v>0</v>
      </c>
      <c r="N11812">
        <v>4</v>
      </c>
      <c r="O11812">
        <v>43</v>
      </c>
    </row>
    <row r="11813" spans="1:15" x14ac:dyDescent="0.25">
      <c r="A11813" t="s">
        <v>1904</v>
      </c>
      <c r="B11813" t="s">
        <v>2314</v>
      </c>
      <c r="C11813" t="s">
        <v>923</v>
      </c>
      <c r="D11813" t="s">
        <v>3063</v>
      </c>
      <c r="E11813" t="s">
        <v>3053</v>
      </c>
      <c r="F11813" t="s">
        <v>882</v>
      </c>
      <c r="G11813" t="s">
        <v>3040</v>
      </c>
      <c r="H11813" t="s">
        <v>13446</v>
      </c>
      <c r="I11813">
        <v>6</v>
      </c>
      <c r="J11813">
        <v>0</v>
      </c>
      <c r="K11813">
        <v>0</v>
      </c>
      <c r="L11813">
        <v>0</v>
      </c>
      <c r="M11813">
        <v>6</v>
      </c>
      <c r="N11813">
        <v>0</v>
      </c>
      <c r="O11813">
        <v>0</v>
      </c>
    </row>
    <row r="11814" spans="1:15" x14ac:dyDescent="0.25">
      <c r="A11814" t="s">
        <v>1296</v>
      </c>
      <c r="B11814" t="s">
        <v>2965</v>
      </c>
      <c r="C11814" t="s">
        <v>923</v>
      </c>
      <c r="D11814" t="s">
        <v>3063</v>
      </c>
      <c r="E11814" t="s">
        <v>3053</v>
      </c>
      <c r="F11814" t="s">
        <v>882</v>
      </c>
      <c r="G11814" t="s">
        <v>3040</v>
      </c>
      <c r="H11814" t="s">
        <v>13464</v>
      </c>
      <c r="I11814">
        <v>259</v>
      </c>
      <c r="J11814">
        <v>0</v>
      </c>
      <c r="K11814">
        <v>0</v>
      </c>
      <c r="L11814">
        <v>0</v>
      </c>
      <c r="M11814">
        <v>259</v>
      </c>
      <c r="N11814">
        <v>0</v>
      </c>
      <c r="O11814">
        <v>0</v>
      </c>
    </row>
    <row r="11815" spans="1:15" x14ac:dyDescent="0.25">
      <c r="A11815" t="s">
        <v>943</v>
      </c>
      <c r="B11815" t="s">
        <v>2694</v>
      </c>
      <c r="C11815" t="s">
        <v>927</v>
      </c>
      <c r="D11815" t="s">
        <v>3052</v>
      </c>
      <c r="E11815" t="s">
        <v>3053</v>
      </c>
      <c r="F11815" t="s">
        <v>882</v>
      </c>
      <c r="G11815" t="s">
        <v>3040</v>
      </c>
      <c r="H11815" t="s">
        <v>13473</v>
      </c>
      <c r="I11815">
        <v>11</v>
      </c>
      <c r="J11815">
        <v>0</v>
      </c>
      <c r="K11815">
        <v>0</v>
      </c>
      <c r="L11815">
        <v>11</v>
      </c>
      <c r="M11815">
        <v>0</v>
      </c>
      <c r="N11815">
        <v>0</v>
      </c>
      <c r="O11815">
        <v>0</v>
      </c>
    </row>
    <row r="11816" spans="1:15" x14ac:dyDescent="0.25">
      <c r="A11816" t="s">
        <v>1516</v>
      </c>
      <c r="B11816" t="s">
        <v>2098</v>
      </c>
      <c r="C11816" t="s">
        <v>927</v>
      </c>
      <c r="D11816" t="s">
        <v>3052</v>
      </c>
      <c r="E11816" t="s">
        <v>3053</v>
      </c>
      <c r="F11816" t="s">
        <v>882</v>
      </c>
      <c r="G11816" t="s">
        <v>3040</v>
      </c>
      <c r="H11816" t="s">
        <v>13494</v>
      </c>
      <c r="I11816">
        <v>158</v>
      </c>
      <c r="J11816">
        <v>119</v>
      </c>
      <c r="K11816">
        <v>0</v>
      </c>
      <c r="L11816">
        <v>26</v>
      </c>
      <c r="M11816">
        <v>0</v>
      </c>
      <c r="N11816">
        <v>0</v>
      </c>
      <c r="O11816">
        <v>13</v>
      </c>
    </row>
    <row r="11817" spans="1:15" x14ac:dyDescent="0.25">
      <c r="A11817" t="s">
        <v>1031</v>
      </c>
      <c r="B11817" t="s">
        <v>2779</v>
      </c>
      <c r="C11817" t="s">
        <v>927</v>
      </c>
      <c r="D11817" t="s">
        <v>3052</v>
      </c>
      <c r="E11817" t="s">
        <v>3053</v>
      </c>
      <c r="F11817" t="s">
        <v>882</v>
      </c>
      <c r="G11817" t="s">
        <v>3040</v>
      </c>
      <c r="H11817" t="s">
        <v>13503</v>
      </c>
      <c r="I11817">
        <v>217</v>
      </c>
      <c r="J11817">
        <v>212</v>
      </c>
      <c r="K11817">
        <v>0</v>
      </c>
      <c r="L11817">
        <v>0</v>
      </c>
      <c r="M11817">
        <v>0</v>
      </c>
      <c r="N11817">
        <v>0</v>
      </c>
      <c r="O11817">
        <v>5</v>
      </c>
    </row>
    <row r="11818" spans="1:15" x14ac:dyDescent="0.25">
      <c r="A11818" t="s">
        <v>1302</v>
      </c>
      <c r="B11818" t="s">
        <v>1961</v>
      </c>
      <c r="C11818" t="s">
        <v>923</v>
      </c>
      <c r="D11818" t="s">
        <v>3063</v>
      </c>
      <c r="E11818" t="s">
        <v>3053</v>
      </c>
      <c r="F11818" t="s">
        <v>882</v>
      </c>
      <c r="G11818" t="s">
        <v>3040</v>
      </c>
      <c r="H11818" t="s">
        <v>13523</v>
      </c>
      <c r="I11818">
        <v>3</v>
      </c>
      <c r="J11818">
        <v>0</v>
      </c>
      <c r="K11818">
        <v>0</v>
      </c>
      <c r="L11818">
        <v>3</v>
      </c>
      <c r="M11818">
        <v>0</v>
      </c>
      <c r="N11818">
        <v>0</v>
      </c>
      <c r="O11818">
        <v>0</v>
      </c>
    </row>
    <row r="11819" spans="1:15" x14ac:dyDescent="0.25">
      <c r="A11819" t="s">
        <v>1433</v>
      </c>
      <c r="B11819" t="s">
        <v>2914</v>
      </c>
      <c r="C11819" t="s">
        <v>927</v>
      </c>
      <c r="D11819" t="s">
        <v>3052</v>
      </c>
      <c r="E11819" t="s">
        <v>3053</v>
      </c>
      <c r="F11819" t="s">
        <v>882</v>
      </c>
      <c r="G11819" t="s">
        <v>3040</v>
      </c>
      <c r="H11819" t="s">
        <v>13541</v>
      </c>
      <c r="I11819">
        <v>108</v>
      </c>
      <c r="J11819">
        <v>102</v>
      </c>
      <c r="K11819">
        <v>0</v>
      </c>
      <c r="L11819">
        <v>6</v>
      </c>
      <c r="M11819">
        <v>0</v>
      </c>
      <c r="N11819">
        <v>0</v>
      </c>
      <c r="O11819">
        <v>0</v>
      </c>
    </row>
    <row r="11820" spans="1:15" x14ac:dyDescent="0.25">
      <c r="A11820" t="s">
        <v>949</v>
      </c>
      <c r="B11820" t="s">
        <v>3035</v>
      </c>
      <c r="C11820" t="s">
        <v>927</v>
      </c>
      <c r="D11820" t="s">
        <v>3052</v>
      </c>
      <c r="E11820" t="s">
        <v>3053</v>
      </c>
      <c r="F11820" t="s">
        <v>882</v>
      </c>
      <c r="G11820" t="s">
        <v>3040</v>
      </c>
      <c r="H11820" t="s">
        <v>13557</v>
      </c>
      <c r="I11820">
        <v>1</v>
      </c>
      <c r="J11820">
        <v>0</v>
      </c>
      <c r="K11820">
        <v>0</v>
      </c>
      <c r="L11820">
        <v>0</v>
      </c>
      <c r="M11820">
        <v>0</v>
      </c>
      <c r="N11820">
        <v>0</v>
      </c>
      <c r="O11820">
        <v>1</v>
      </c>
    </row>
    <row r="11821" spans="1:15" x14ac:dyDescent="0.25">
      <c r="A11821" t="s">
        <v>1039</v>
      </c>
      <c r="B11821" t="s">
        <v>2885</v>
      </c>
      <c r="C11821" t="s">
        <v>927</v>
      </c>
      <c r="D11821" t="s">
        <v>3052</v>
      </c>
      <c r="E11821" t="s">
        <v>3053</v>
      </c>
      <c r="F11821" t="s">
        <v>882</v>
      </c>
      <c r="G11821" t="s">
        <v>3040</v>
      </c>
      <c r="H11821" t="s">
        <v>13587</v>
      </c>
      <c r="I11821">
        <v>10852</v>
      </c>
      <c r="J11821">
        <v>10579</v>
      </c>
      <c r="K11821">
        <v>2</v>
      </c>
      <c r="L11821">
        <v>89</v>
      </c>
      <c r="M11821">
        <v>79</v>
      </c>
      <c r="N11821">
        <v>136</v>
      </c>
      <c r="O11821">
        <v>103</v>
      </c>
    </row>
    <row r="11822" spans="1:15" x14ac:dyDescent="0.25">
      <c r="A11822" t="s">
        <v>1144</v>
      </c>
      <c r="B11822" t="s">
        <v>2124</v>
      </c>
      <c r="C11822" t="s">
        <v>923</v>
      </c>
      <c r="D11822" t="s">
        <v>3063</v>
      </c>
      <c r="E11822" t="s">
        <v>3053</v>
      </c>
      <c r="F11822" t="s">
        <v>882</v>
      </c>
      <c r="G11822" t="s">
        <v>3040</v>
      </c>
      <c r="H11822" t="s">
        <v>13641</v>
      </c>
      <c r="I11822">
        <v>12</v>
      </c>
      <c r="J11822">
        <v>12</v>
      </c>
      <c r="K11822">
        <v>0</v>
      </c>
      <c r="L11822">
        <v>0</v>
      </c>
      <c r="M11822">
        <v>0</v>
      </c>
      <c r="N11822">
        <v>0</v>
      </c>
      <c r="O11822">
        <v>0</v>
      </c>
    </row>
    <row r="11823" spans="1:15" x14ac:dyDescent="0.25">
      <c r="A11823" t="s">
        <v>1046</v>
      </c>
      <c r="B11823" t="s">
        <v>2027</v>
      </c>
      <c r="C11823" t="s">
        <v>923</v>
      </c>
      <c r="D11823" t="s">
        <v>3063</v>
      </c>
      <c r="E11823" t="s">
        <v>3053</v>
      </c>
      <c r="F11823" t="s">
        <v>882</v>
      </c>
      <c r="G11823" t="s">
        <v>3040</v>
      </c>
      <c r="H11823" t="s">
        <v>13646</v>
      </c>
      <c r="I11823">
        <v>70</v>
      </c>
      <c r="J11823">
        <v>0</v>
      </c>
      <c r="K11823">
        <v>0</v>
      </c>
      <c r="L11823">
        <v>70</v>
      </c>
      <c r="M11823">
        <v>0</v>
      </c>
      <c r="N11823">
        <v>0</v>
      </c>
      <c r="O11823">
        <v>0</v>
      </c>
    </row>
    <row r="11824" spans="1:15" x14ac:dyDescent="0.25">
      <c r="A11824" t="s">
        <v>1047</v>
      </c>
      <c r="B11824" t="s">
        <v>2815</v>
      </c>
      <c r="C11824" t="s">
        <v>923</v>
      </c>
      <c r="D11824" t="s">
        <v>3063</v>
      </c>
      <c r="E11824" t="s">
        <v>3053</v>
      </c>
      <c r="F11824" t="s">
        <v>882</v>
      </c>
      <c r="G11824" t="s">
        <v>3040</v>
      </c>
      <c r="H11824" t="s">
        <v>13657</v>
      </c>
      <c r="I11824">
        <v>8</v>
      </c>
      <c r="J11824">
        <v>8</v>
      </c>
      <c r="K11824">
        <v>0</v>
      </c>
      <c r="L11824">
        <v>0</v>
      </c>
      <c r="M11824">
        <v>0</v>
      </c>
      <c r="N11824">
        <v>0</v>
      </c>
      <c r="O11824">
        <v>0</v>
      </c>
    </row>
    <row r="11825" spans="1:15" x14ac:dyDescent="0.25">
      <c r="A11825" t="s">
        <v>1905</v>
      </c>
      <c r="B11825" t="s">
        <v>2327</v>
      </c>
      <c r="C11825" t="s">
        <v>927</v>
      </c>
      <c r="D11825" t="s">
        <v>3052</v>
      </c>
      <c r="E11825" t="s">
        <v>3053</v>
      </c>
      <c r="F11825" t="s">
        <v>882</v>
      </c>
      <c r="G11825" t="s">
        <v>3040</v>
      </c>
      <c r="H11825" t="s">
        <v>13673</v>
      </c>
      <c r="I11825">
        <v>1429</v>
      </c>
      <c r="J11825">
        <v>1238</v>
      </c>
      <c r="K11825">
        <v>0</v>
      </c>
      <c r="L11825">
        <v>0</v>
      </c>
      <c r="M11825">
        <v>191</v>
      </c>
      <c r="N11825">
        <v>0</v>
      </c>
      <c r="O11825">
        <v>0</v>
      </c>
    </row>
    <row r="11826" spans="1:15" x14ac:dyDescent="0.25">
      <c r="A11826" t="s">
        <v>1906</v>
      </c>
      <c r="B11826" t="s">
        <v>1983</v>
      </c>
      <c r="C11826" t="s">
        <v>923</v>
      </c>
      <c r="D11826" t="s">
        <v>3063</v>
      </c>
      <c r="E11826" t="s">
        <v>3053</v>
      </c>
      <c r="F11826" t="s">
        <v>882</v>
      </c>
      <c r="G11826" t="s">
        <v>3040</v>
      </c>
      <c r="H11826" t="s">
        <v>13681</v>
      </c>
      <c r="I11826">
        <v>1</v>
      </c>
      <c r="J11826">
        <v>1</v>
      </c>
      <c r="K11826">
        <v>0</v>
      </c>
      <c r="L11826">
        <v>0</v>
      </c>
      <c r="M11826">
        <v>0</v>
      </c>
      <c r="N11826">
        <v>0</v>
      </c>
      <c r="O11826">
        <v>0</v>
      </c>
    </row>
    <row r="11827" spans="1:15" x14ac:dyDescent="0.25">
      <c r="A11827" t="s">
        <v>951</v>
      </c>
      <c r="B11827" t="s">
        <v>2680</v>
      </c>
      <c r="C11827" t="s">
        <v>927</v>
      </c>
      <c r="D11827" t="s">
        <v>3052</v>
      </c>
      <c r="E11827" t="s">
        <v>3053</v>
      </c>
      <c r="F11827" t="s">
        <v>882</v>
      </c>
      <c r="G11827" t="s">
        <v>3040</v>
      </c>
      <c r="H11827" t="s">
        <v>13691</v>
      </c>
      <c r="I11827">
        <v>9367</v>
      </c>
      <c r="J11827">
        <v>7882</v>
      </c>
      <c r="K11827">
        <v>0</v>
      </c>
      <c r="L11827">
        <v>93</v>
      </c>
      <c r="M11827">
        <v>586</v>
      </c>
      <c r="N11827">
        <v>1</v>
      </c>
      <c r="O11827">
        <v>806</v>
      </c>
    </row>
    <row r="11828" spans="1:15" x14ac:dyDescent="0.25">
      <c r="A11828" t="s">
        <v>1048</v>
      </c>
      <c r="B11828" t="s">
        <v>2989</v>
      </c>
      <c r="C11828" t="s">
        <v>927</v>
      </c>
      <c r="D11828" t="s">
        <v>3052</v>
      </c>
      <c r="E11828" t="s">
        <v>3053</v>
      </c>
      <c r="F11828" t="s">
        <v>882</v>
      </c>
      <c r="G11828" t="s">
        <v>3040</v>
      </c>
      <c r="H11828" t="s">
        <v>13700</v>
      </c>
      <c r="I11828">
        <v>822</v>
      </c>
      <c r="J11828">
        <v>355</v>
      </c>
      <c r="K11828">
        <v>1</v>
      </c>
      <c r="L11828">
        <v>341</v>
      </c>
      <c r="M11828">
        <v>102</v>
      </c>
      <c r="N11828">
        <v>1</v>
      </c>
      <c r="O11828">
        <v>23</v>
      </c>
    </row>
    <row r="11829" spans="1:15" x14ac:dyDescent="0.25">
      <c r="A11829" t="s">
        <v>1049</v>
      </c>
      <c r="B11829" t="s">
        <v>2138</v>
      </c>
      <c r="C11829" t="s">
        <v>927</v>
      </c>
      <c r="D11829" t="s">
        <v>3052</v>
      </c>
      <c r="E11829" t="s">
        <v>3053</v>
      </c>
      <c r="F11829" t="s">
        <v>882</v>
      </c>
      <c r="G11829" t="s">
        <v>3040</v>
      </c>
      <c r="H11829" t="s">
        <v>15605</v>
      </c>
      <c r="I11829">
        <v>48</v>
      </c>
      <c r="J11829">
        <v>5</v>
      </c>
      <c r="K11829">
        <v>0</v>
      </c>
      <c r="L11829">
        <v>0</v>
      </c>
      <c r="M11829">
        <v>0</v>
      </c>
      <c r="N11829">
        <v>0</v>
      </c>
      <c r="O11829">
        <v>43</v>
      </c>
    </row>
    <row r="11830" spans="1:15" x14ac:dyDescent="0.25">
      <c r="A11830" t="s">
        <v>1050</v>
      </c>
      <c r="B11830" t="s">
        <v>2018</v>
      </c>
      <c r="C11830" t="s">
        <v>923</v>
      </c>
      <c r="D11830" t="s">
        <v>3063</v>
      </c>
      <c r="E11830" t="s">
        <v>3053</v>
      </c>
      <c r="F11830" t="s">
        <v>882</v>
      </c>
      <c r="G11830" t="s">
        <v>3040</v>
      </c>
      <c r="H11830" t="s">
        <v>13711</v>
      </c>
      <c r="I11830">
        <v>120</v>
      </c>
      <c r="J11830">
        <v>51</v>
      </c>
      <c r="K11830">
        <v>0</v>
      </c>
      <c r="L11830">
        <v>0</v>
      </c>
      <c r="M11830">
        <v>69</v>
      </c>
      <c r="N11830">
        <v>0</v>
      </c>
      <c r="O11830">
        <v>0</v>
      </c>
    </row>
    <row r="11831" spans="1:15" x14ac:dyDescent="0.25">
      <c r="A11831" t="s">
        <v>1051</v>
      </c>
      <c r="B11831" t="s">
        <v>2995</v>
      </c>
      <c r="C11831" t="s">
        <v>927</v>
      </c>
      <c r="D11831" t="s">
        <v>3052</v>
      </c>
      <c r="E11831" t="s">
        <v>3053</v>
      </c>
      <c r="F11831" t="s">
        <v>882</v>
      </c>
      <c r="G11831" t="s">
        <v>3040</v>
      </c>
      <c r="H11831" t="s">
        <v>13735</v>
      </c>
      <c r="I11831">
        <v>815</v>
      </c>
      <c r="J11831">
        <v>50</v>
      </c>
      <c r="K11831">
        <v>0</v>
      </c>
      <c r="L11831">
        <v>736</v>
      </c>
      <c r="M11831">
        <v>0</v>
      </c>
      <c r="N11831">
        <v>0</v>
      </c>
      <c r="O11831">
        <v>29</v>
      </c>
    </row>
    <row r="11832" spans="1:15" x14ac:dyDescent="0.25">
      <c r="A11832" t="s">
        <v>1436</v>
      </c>
      <c r="B11832" t="s">
        <v>2209</v>
      </c>
      <c r="C11832" t="s">
        <v>927</v>
      </c>
      <c r="D11832" t="s">
        <v>3052</v>
      </c>
      <c r="E11832" t="s">
        <v>3053</v>
      </c>
      <c r="F11832" t="s">
        <v>882</v>
      </c>
      <c r="G11832" t="s">
        <v>3040</v>
      </c>
      <c r="H11832" t="s">
        <v>13746</v>
      </c>
      <c r="I11832">
        <v>643</v>
      </c>
      <c r="J11832">
        <v>143</v>
      </c>
      <c r="K11832">
        <v>0</v>
      </c>
      <c r="L11832">
        <v>259</v>
      </c>
      <c r="M11832">
        <v>197</v>
      </c>
      <c r="N11832">
        <v>395</v>
      </c>
      <c r="O11832">
        <v>44</v>
      </c>
    </row>
    <row r="11833" spans="1:15" x14ac:dyDescent="0.25">
      <c r="A11833" t="s">
        <v>953</v>
      </c>
      <c r="B11833" t="s">
        <v>2014</v>
      </c>
      <c r="C11833" t="s">
        <v>927</v>
      </c>
      <c r="D11833" t="s">
        <v>3052</v>
      </c>
      <c r="E11833" t="s">
        <v>3053</v>
      </c>
      <c r="F11833" t="s">
        <v>882</v>
      </c>
      <c r="G11833" t="s">
        <v>3040</v>
      </c>
      <c r="H11833" t="s">
        <v>13769</v>
      </c>
      <c r="I11833">
        <v>69</v>
      </c>
      <c r="J11833">
        <v>0</v>
      </c>
      <c r="K11833">
        <v>0</v>
      </c>
      <c r="L11833">
        <v>69</v>
      </c>
      <c r="M11833">
        <v>0</v>
      </c>
      <c r="N11833">
        <v>0</v>
      </c>
      <c r="O11833">
        <v>0</v>
      </c>
    </row>
    <row r="11834" spans="1:15" x14ac:dyDescent="0.25">
      <c r="A11834" t="s">
        <v>1907</v>
      </c>
      <c r="B11834" t="s">
        <v>2971</v>
      </c>
      <c r="C11834" t="s">
        <v>923</v>
      </c>
      <c r="D11834" t="s">
        <v>3063</v>
      </c>
      <c r="E11834" t="s">
        <v>3053</v>
      </c>
      <c r="F11834" t="s">
        <v>882</v>
      </c>
      <c r="G11834" t="s">
        <v>3040</v>
      </c>
      <c r="H11834" t="s">
        <v>13778</v>
      </c>
      <c r="I11834">
        <v>22</v>
      </c>
      <c r="J11834">
        <v>5</v>
      </c>
      <c r="K11834">
        <v>0</v>
      </c>
      <c r="L11834">
        <v>17</v>
      </c>
      <c r="M11834">
        <v>0</v>
      </c>
      <c r="N11834">
        <v>0</v>
      </c>
      <c r="O11834">
        <v>0</v>
      </c>
    </row>
    <row r="11835" spans="1:15" x14ac:dyDescent="0.25">
      <c r="A11835" t="s">
        <v>1908</v>
      </c>
      <c r="B11835" t="s">
        <v>2180</v>
      </c>
      <c r="C11835" t="s">
        <v>923</v>
      </c>
      <c r="D11835" t="s">
        <v>3063</v>
      </c>
      <c r="E11835" t="s">
        <v>3053</v>
      </c>
      <c r="F11835" t="s">
        <v>882</v>
      </c>
      <c r="G11835" t="s">
        <v>3040</v>
      </c>
      <c r="H11835" t="s">
        <v>13783</v>
      </c>
      <c r="I11835">
        <v>15</v>
      </c>
      <c r="J11835">
        <v>0</v>
      </c>
      <c r="K11835">
        <v>0</v>
      </c>
      <c r="L11835">
        <v>0</v>
      </c>
      <c r="M11835">
        <v>15</v>
      </c>
      <c r="N11835">
        <v>0</v>
      </c>
      <c r="O11835">
        <v>0</v>
      </c>
    </row>
    <row r="11836" spans="1:15" x14ac:dyDescent="0.25">
      <c r="A11836" t="s">
        <v>11720</v>
      </c>
      <c r="B11836" t="s">
        <v>10718</v>
      </c>
      <c r="C11836" t="s">
        <v>927</v>
      </c>
      <c r="D11836" t="s">
        <v>3052</v>
      </c>
      <c r="E11836" t="s">
        <v>3053</v>
      </c>
      <c r="F11836" t="s">
        <v>882</v>
      </c>
      <c r="G11836" t="s">
        <v>3040</v>
      </c>
      <c r="H11836" t="s">
        <v>15606</v>
      </c>
      <c r="I11836">
        <v>260</v>
      </c>
      <c r="J11836">
        <v>206</v>
      </c>
      <c r="K11836">
        <v>0</v>
      </c>
      <c r="L11836">
        <v>0</v>
      </c>
      <c r="M11836">
        <v>0</v>
      </c>
      <c r="N11836">
        <v>0</v>
      </c>
      <c r="O11836">
        <v>54</v>
      </c>
    </row>
    <row r="11837" spans="1:15" x14ac:dyDescent="0.25">
      <c r="A11837" t="s">
        <v>9788</v>
      </c>
      <c r="B11837" t="s">
        <v>9871</v>
      </c>
      <c r="C11837" t="s">
        <v>927</v>
      </c>
      <c r="D11837" t="s">
        <v>3052</v>
      </c>
      <c r="E11837" t="s">
        <v>3053</v>
      </c>
      <c r="F11837" t="s">
        <v>882</v>
      </c>
      <c r="G11837" t="s">
        <v>3040</v>
      </c>
      <c r="H11837" t="s">
        <v>13803</v>
      </c>
      <c r="I11837">
        <v>227</v>
      </c>
      <c r="J11837">
        <v>227</v>
      </c>
      <c r="K11837">
        <v>0</v>
      </c>
      <c r="L11837">
        <v>0</v>
      </c>
      <c r="M11837">
        <v>0</v>
      </c>
      <c r="N11837">
        <v>0</v>
      </c>
      <c r="O11837">
        <v>0</v>
      </c>
    </row>
    <row r="11838" spans="1:15" x14ac:dyDescent="0.25">
      <c r="A11838" t="s">
        <v>1056</v>
      </c>
      <c r="B11838" t="s">
        <v>2966</v>
      </c>
      <c r="C11838" t="s">
        <v>927</v>
      </c>
      <c r="D11838" t="s">
        <v>3052</v>
      </c>
      <c r="E11838" t="s">
        <v>3053</v>
      </c>
      <c r="F11838" t="s">
        <v>882</v>
      </c>
      <c r="G11838" t="s">
        <v>3040</v>
      </c>
      <c r="H11838" t="s">
        <v>13814</v>
      </c>
      <c r="I11838">
        <v>187</v>
      </c>
      <c r="J11838">
        <v>82</v>
      </c>
      <c r="K11838">
        <v>0</v>
      </c>
      <c r="L11838">
        <v>97</v>
      </c>
      <c r="M11838">
        <v>8</v>
      </c>
      <c r="N11838">
        <v>0</v>
      </c>
      <c r="O11838">
        <v>0</v>
      </c>
    </row>
    <row r="11839" spans="1:15" x14ac:dyDescent="0.25">
      <c r="A11839" t="s">
        <v>1057</v>
      </c>
      <c r="B11839" t="s">
        <v>1972</v>
      </c>
      <c r="C11839" t="s">
        <v>927</v>
      </c>
      <c r="D11839" t="s">
        <v>3052</v>
      </c>
      <c r="E11839" t="s">
        <v>3053</v>
      </c>
      <c r="F11839" t="s">
        <v>882</v>
      </c>
      <c r="G11839" t="s">
        <v>3040</v>
      </c>
      <c r="H11839" t="s">
        <v>13824</v>
      </c>
      <c r="I11839">
        <v>983</v>
      </c>
      <c r="J11839">
        <v>730</v>
      </c>
      <c r="K11839">
        <v>0</v>
      </c>
      <c r="L11839">
        <v>155</v>
      </c>
      <c r="M11839">
        <v>71</v>
      </c>
      <c r="N11839">
        <v>1</v>
      </c>
      <c r="O11839">
        <v>27</v>
      </c>
    </row>
    <row r="11840" spans="1:15" x14ac:dyDescent="0.25">
      <c r="A11840" t="s">
        <v>955</v>
      </c>
      <c r="B11840" t="s">
        <v>2660</v>
      </c>
      <c r="C11840" t="s">
        <v>927</v>
      </c>
      <c r="D11840" t="s">
        <v>3052</v>
      </c>
      <c r="E11840" t="s">
        <v>3053</v>
      </c>
      <c r="F11840" t="s">
        <v>882</v>
      </c>
      <c r="G11840" t="s">
        <v>3040</v>
      </c>
      <c r="H11840" t="s">
        <v>13833</v>
      </c>
      <c r="I11840">
        <v>8051</v>
      </c>
      <c r="J11840">
        <v>6767</v>
      </c>
      <c r="K11840">
        <v>0</v>
      </c>
      <c r="L11840">
        <v>221</v>
      </c>
      <c r="M11840">
        <v>727</v>
      </c>
      <c r="N11840">
        <v>19</v>
      </c>
      <c r="O11840">
        <v>336</v>
      </c>
    </row>
    <row r="11841" spans="1:15" x14ac:dyDescent="0.25">
      <c r="A11841" t="s">
        <v>1060</v>
      </c>
      <c r="B11841" t="s">
        <v>2651</v>
      </c>
      <c r="C11841" t="s">
        <v>927</v>
      </c>
      <c r="D11841" t="s">
        <v>3052</v>
      </c>
      <c r="E11841" t="s">
        <v>3053</v>
      </c>
      <c r="F11841" t="s">
        <v>882</v>
      </c>
      <c r="G11841" t="s">
        <v>3040</v>
      </c>
      <c r="H11841" t="s">
        <v>13891</v>
      </c>
      <c r="I11841">
        <v>4465</v>
      </c>
      <c r="J11841">
        <v>3110</v>
      </c>
      <c r="K11841">
        <v>0</v>
      </c>
      <c r="L11841">
        <v>901</v>
      </c>
      <c r="M11841">
        <v>257</v>
      </c>
      <c r="N11841">
        <v>3</v>
      </c>
      <c r="O11841">
        <v>197</v>
      </c>
    </row>
    <row r="11842" spans="1:15" x14ac:dyDescent="0.25">
      <c r="A11842" t="s">
        <v>11663</v>
      </c>
      <c r="B11842" t="s">
        <v>11768</v>
      </c>
      <c r="C11842" t="s">
        <v>927</v>
      </c>
      <c r="D11842" t="s">
        <v>3052</v>
      </c>
      <c r="E11842" t="s">
        <v>3053</v>
      </c>
      <c r="F11842" t="s">
        <v>882</v>
      </c>
      <c r="G11842" t="s">
        <v>3040</v>
      </c>
      <c r="H11842" t="s">
        <v>13904</v>
      </c>
      <c r="I11842">
        <v>1</v>
      </c>
      <c r="J11842">
        <v>0</v>
      </c>
      <c r="K11842">
        <v>0</v>
      </c>
      <c r="L11842">
        <v>0</v>
      </c>
      <c r="M11842">
        <v>0</v>
      </c>
      <c r="N11842">
        <v>0</v>
      </c>
      <c r="O11842">
        <v>1</v>
      </c>
    </row>
    <row r="11843" spans="1:15" x14ac:dyDescent="0.25">
      <c r="A11843" t="s">
        <v>14374</v>
      </c>
      <c r="B11843" t="s">
        <v>1943</v>
      </c>
      <c r="C11843" t="s">
        <v>927</v>
      </c>
      <c r="D11843" t="s">
        <v>3052</v>
      </c>
      <c r="E11843" t="s">
        <v>3053</v>
      </c>
      <c r="F11843" t="s">
        <v>882</v>
      </c>
      <c r="G11843" t="s">
        <v>3040</v>
      </c>
      <c r="H11843" t="s">
        <v>15607</v>
      </c>
      <c r="I11843">
        <v>56</v>
      </c>
      <c r="J11843">
        <v>0</v>
      </c>
      <c r="K11843">
        <v>0</v>
      </c>
      <c r="L11843">
        <v>0</v>
      </c>
      <c r="M11843">
        <v>0</v>
      </c>
      <c r="N11843">
        <v>0</v>
      </c>
      <c r="O11843">
        <v>56</v>
      </c>
    </row>
    <row r="11844" spans="1:15" x14ac:dyDescent="0.25">
      <c r="A11844" t="s">
        <v>1909</v>
      </c>
      <c r="B11844" t="s">
        <v>2378</v>
      </c>
      <c r="C11844" t="s">
        <v>923</v>
      </c>
      <c r="D11844" t="s">
        <v>3063</v>
      </c>
      <c r="E11844" t="s">
        <v>3053</v>
      </c>
      <c r="F11844" t="s">
        <v>882</v>
      </c>
      <c r="G11844" t="s">
        <v>3040</v>
      </c>
      <c r="H11844" t="s">
        <v>13917</v>
      </c>
      <c r="I11844">
        <v>78</v>
      </c>
      <c r="J11844">
        <v>41</v>
      </c>
      <c r="K11844">
        <v>0</v>
      </c>
      <c r="L11844">
        <v>0</v>
      </c>
      <c r="M11844">
        <v>37</v>
      </c>
      <c r="N11844">
        <v>1</v>
      </c>
      <c r="O11844">
        <v>0</v>
      </c>
    </row>
    <row r="11845" spans="1:15" x14ac:dyDescent="0.25">
      <c r="A11845" t="s">
        <v>9849</v>
      </c>
      <c r="B11845" t="s">
        <v>2595</v>
      </c>
      <c r="C11845" t="s">
        <v>923</v>
      </c>
      <c r="D11845" t="s">
        <v>3063</v>
      </c>
      <c r="E11845" t="s">
        <v>3053</v>
      </c>
      <c r="F11845" t="s">
        <v>882</v>
      </c>
      <c r="G11845" t="s">
        <v>3040</v>
      </c>
      <c r="H11845" t="s">
        <v>13918</v>
      </c>
      <c r="I11845">
        <v>272</v>
      </c>
      <c r="J11845">
        <v>0</v>
      </c>
      <c r="K11845">
        <v>0</v>
      </c>
      <c r="L11845">
        <v>272</v>
      </c>
      <c r="M11845">
        <v>0</v>
      </c>
      <c r="N11845">
        <v>0</v>
      </c>
      <c r="O11845">
        <v>0</v>
      </c>
    </row>
    <row r="11846" spans="1:15" x14ac:dyDescent="0.25">
      <c r="A11846" t="s">
        <v>962</v>
      </c>
      <c r="B11846" t="s">
        <v>2752</v>
      </c>
      <c r="C11846" t="s">
        <v>927</v>
      </c>
      <c r="D11846" t="s">
        <v>3052</v>
      </c>
      <c r="E11846" t="s">
        <v>3053</v>
      </c>
      <c r="F11846" t="s">
        <v>882</v>
      </c>
      <c r="G11846" t="s">
        <v>3040</v>
      </c>
      <c r="H11846" t="s">
        <v>13951</v>
      </c>
      <c r="I11846">
        <v>1928</v>
      </c>
      <c r="J11846">
        <v>1616</v>
      </c>
      <c r="K11846">
        <v>0</v>
      </c>
      <c r="L11846">
        <v>32</v>
      </c>
      <c r="M11846">
        <v>56</v>
      </c>
      <c r="N11846">
        <v>0</v>
      </c>
      <c r="O11846">
        <v>224</v>
      </c>
    </row>
    <row r="11847" spans="1:15" x14ac:dyDescent="0.25">
      <c r="A11847" t="s">
        <v>1910</v>
      </c>
      <c r="B11847" t="s">
        <v>2409</v>
      </c>
      <c r="C11847" t="s">
        <v>923</v>
      </c>
      <c r="D11847" t="s">
        <v>3063</v>
      </c>
      <c r="E11847" t="s">
        <v>3053</v>
      </c>
      <c r="F11847" t="s">
        <v>882</v>
      </c>
      <c r="G11847" t="s">
        <v>3040</v>
      </c>
      <c r="H11847" t="s">
        <v>13978</v>
      </c>
      <c r="I11847">
        <v>38</v>
      </c>
      <c r="J11847">
        <v>38</v>
      </c>
      <c r="K11847">
        <v>0</v>
      </c>
      <c r="L11847">
        <v>0</v>
      </c>
      <c r="M11847">
        <v>0</v>
      </c>
      <c r="N11847">
        <v>0</v>
      </c>
      <c r="O11847">
        <v>0</v>
      </c>
    </row>
    <row r="11848" spans="1:15" x14ac:dyDescent="0.25">
      <c r="A11848" t="s">
        <v>1911</v>
      </c>
      <c r="B11848" t="s">
        <v>1968</v>
      </c>
      <c r="C11848" t="s">
        <v>923</v>
      </c>
      <c r="D11848" t="s">
        <v>3063</v>
      </c>
      <c r="E11848" t="s">
        <v>3053</v>
      </c>
      <c r="F11848" t="s">
        <v>882</v>
      </c>
      <c r="G11848" t="s">
        <v>3040</v>
      </c>
      <c r="H11848" t="s">
        <v>13979</v>
      </c>
      <c r="I11848">
        <v>114</v>
      </c>
      <c r="J11848">
        <v>0</v>
      </c>
      <c r="K11848">
        <v>0</v>
      </c>
      <c r="L11848">
        <v>114</v>
      </c>
      <c r="M11848">
        <v>0</v>
      </c>
      <c r="N11848">
        <v>0</v>
      </c>
      <c r="O11848">
        <v>0</v>
      </c>
    </row>
    <row r="11849" spans="1:15" x14ac:dyDescent="0.25">
      <c r="A11849" t="s">
        <v>1442</v>
      </c>
      <c r="B11849" t="s">
        <v>2017</v>
      </c>
      <c r="C11849" t="s">
        <v>923</v>
      </c>
      <c r="D11849" t="s">
        <v>3063</v>
      </c>
      <c r="E11849" t="s">
        <v>3053</v>
      </c>
      <c r="F11849" t="s">
        <v>882</v>
      </c>
      <c r="G11849" t="s">
        <v>3040</v>
      </c>
      <c r="H11849" t="s">
        <v>13984</v>
      </c>
      <c r="I11849">
        <v>2</v>
      </c>
      <c r="J11849">
        <v>0</v>
      </c>
      <c r="K11849">
        <v>0</v>
      </c>
      <c r="L11849">
        <v>2</v>
      </c>
      <c r="M11849">
        <v>0</v>
      </c>
      <c r="N11849">
        <v>0</v>
      </c>
      <c r="O11849">
        <v>0</v>
      </c>
    </row>
    <row r="11850" spans="1:15" x14ac:dyDescent="0.25">
      <c r="A11850" t="s">
        <v>1353</v>
      </c>
      <c r="B11850" t="s">
        <v>2927</v>
      </c>
      <c r="C11850" t="s">
        <v>923</v>
      </c>
      <c r="D11850" t="s">
        <v>3063</v>
      </c>
      <c r="E11850" t="s">
        <v>3053</v>
      </c>
      <c r="F11850" t="s">
        <v>882</v>
      </c>
      <c r="G11850" t="s">
        <v>3040</v>
      </c>
      <c r="H11850" t="s">
        <v>13989</v>
      </c>
      <c r="I11850">
        <v>35</v>
      </c>
      <c r="J11850">
        <v>0</v>
      </c>
      <c r="K11850">
        <v>0</v>
      </c>
      <c r="L11850">
        <v>0</v>
      </c>
      <c r="M11850">
        <v>35</v>
      </c>
      <c r="N11850">
        <v>0</v>
      </c>
      <c r="O11850">
        <v>0</v>
      </c>
    </row>
    <row r="11851" spans="1:15" x14ac:dyDescent="0.25">
      <c r="A11851" t="s">
        <v>11727</v>
      </c>
      <c r="B11851" t="s">
        <v>2534</v>
      </c>
      <c r="C11851" t="s">
        <v>923</v>
      </c>
      <c r="D11851" t="s">
        <v>3063</v>
      </c>
      <c r="E11851" t="s">
        <v>3053</v>
      </c>
      <c r="F11851" t="s">
        <v>882</v>
      </c>
      <c r="G11851" t="s">
        <v>3040</v>
      </c>
      <c r="H11851" t="s">
        <v>13997</v>
      </c>
      <c r="I11851">
        <v>10</v>
      </c>
      <c r="J11851">
        <v>0</v>
      </c>
      <c r="K11851">
        <v>0</v>
      </c>
      <c r="L11851">
        <v>10</v>
      </c>
      <c r="M11851">
        <v>0</v>
      </c>
      <c r="N11851">
        <v>0</v>
      </c>
      <c r="O11851">
        <v>0</v>
      </c>
    </row>
    <row r="11852" spans="1:15" x14ac:dyDescent="0.25">
      <c r="A11852" t="s">
        <v>1066</v>
      </c>
      <c r="B11852" t="s">
        <v>2557</v>
      </c>
      <c r="C11852" t="s">
        <v>927</v>
      </c>
      <c r="D11852" t="s">
        <v>3052</v>
      </c>
      <c r="E11852" t="s">
        <v>3053</v>
      </c>
      <c r="F11852" t="s">
        <v>882</v>
      </c>
      <c r="G11852" t="s">
        <v>3040</v>
      </c>
      <c r="H11852" t="s">
        <v>14036</v>
      </c>
      <c r="I11852">
        <v>118</v>
      </c>
      <c r="J11852">
        <v>0</v>
      </c>
      <c r="K11852">
        <v>0</v>
      </c>
      <c r="L11852">
        <v>0</v>
      </c>
      <c r="M11852">
        <v>103</v>
      </c>
      <c r="N11852">
        <v>0</v>
      </c>
      <c r="O11852">
        <v>15</v>
      </c>
    </row>
    <row r="11853" spans="1:15" x14ac:dyDescent="0.25">
      <c r="A11853" t="s">
        <v>1912</v>
      </c>
      <c r="B11853" t="s">
        <v>2603</v>
      </c>
      <c r="C11853" t="s">
        <v>923</v>
      </c>
      <c r="D11853" t="s">
        <v>3063</v>
      </c>
      <c r="E11853" t="s">
        <v>3053</v>
      </c>
      <c r="F11853" t="s">
        <v>882</v>
      </c>
      <c r="G11853" t="s">
        <v>3040</v>
      </c>
      <c r="H11853" t="s">
        <v>14039</v>
      </c>
      <c r="I11853">
        <v>20</v>
      </c>
      <c r="J11853">
        <v>8</v>
      </c>
      <c r="K11853">
        <v>0</v>
      </c>
      <c r="L11853">
        <v>12</v>
      </c>
      <c r="M11853">
        <v>0</v>
      </c>
      <c r="N11853">
        <v>0</v>
      </c>
      <c r="O11853">
        <v>0</v>
      </c>
    </row>
    <row r="11854" spans="1:15" x14ac:dyDescent="0.25">
      <c r="A11854" t="s">
        <v>1913</v>
      </c>
      <c r="B11854" t="s">
        <v>2572</v>
      </c>
      <c r="C11854" t="s">
        <v>923</v>
      </c>
      <c r="D11854" t="s">
        <v>3063</v>
      </c>
      <c r="E11854" t="s">
        <v>3053</v>
      </c>
      <c r="F11854" t="s">
        <v>882</v>
      </c>
      <c r="G11854" t="s">
        <v>3040</v>
      </c>
      <c r="H11854" t="s">
        <v>14045</v>
      </c>
      <c r="I11854">
        <v>31</v>
      </c>
      <c r="J11854">
        <v>0</v>
      </c>
      <c r="K11854">
        <v>0</v>
      </c>
      <c r="L11854">
        <v>0</v>
      </c>
      <c r="M11854">
        <v>31</v>
      </c>
      <c r="N11854">
        <v>0</v>
      </c>
      <c r="O11854">
        <v>0</v>
      </c>
    </row>
    <row r="11855" spans="1:15" x14ac:dyDescent="0.25">
      <c r="A11855" t="s">
        <v>9874</v>
      </c>
      <c r="B11855" t="s">
        <v>2155</v>
      </c>
      <c r="C11855" t="s">
        <v>923</v>
      </c>
      <c r="D11855" t="s">
        <v>3063</v>
      </c>
      <c r="E11855" t="s">
        <v>3053</v>
      </c>
      <c r="F11855" t="s">
        <v>882</v>
      </c>
      <c r="G11855" t="s">
        <v>3040</v>
      </c>
      <c r="H11855" t="s">
        <v>14046</v>
      </c>
      <c r="I11855">
        <v>28</v>
      </c>
      <c r="J11855">
        <v>0</v>
      </c>
      <c r="K11855">
        <v>0</v>
      </c>
      <c r="L11855">
        <v>0</v>
      </c>
      <c r="M11855">
        <v>28</v>
      </c>
      <c r="N11855">
        <v>0</v>
      </c>
      <c r="O11855">
        <v>0</v>
      </c>
    </row>
    <row r="11856" spans="1:15" x14ac:dyDescent="0.25">
      <c r="A11856" t="s">
        <v>14406</v>
      </c>
      <c r="B11856" t="s">
        <v>15376</v>
      </c>
      <c r="C11856" t="s">
        <v>923</v>
      </c>
      <c r="D11856" t="s">
        <v>3063</v>
      </c>
      <c r="E11856" t="s">
        <v>3053</v>
      </c>
      <c r="F11856" t="s">
        <v>882</v>
      </c>
      <c r="G11856" t="s">
        <v>3040</v>
      </c>
      <c r="H11856" t="s">
        <v>15608</v>
      </c>
      <c r="I11856">
        <v>4</v>
      </c>
      <c r="J11856">
        <v>0</v>
      </c>
      <c r="K11856">
        <v>0</v>
      </c>
      <c r="L11856">
        <v>0</v>
      </c>
      <c r="M11856">
        <v>4</v>
      </c>
      <c r="N11856">
        <v>0</v>
      </c>
      <c r="O11856">
        <v>0</v>
      </c>
    </row>
    <row r="11857" spans="1:15" x14ac:dyDescent="0.25">
      <c r="A11857" t="s">
        <v>1069</v>
      </c>
      <c r="B11857" t="s">
        <v>2001</v>
      </c>
      <c r="C11857" t="s">
        <v>927</v>
      </c>
      <c r="D11857" t="s">
        <v>3052</v>
      </c>
      <c r="E11857" t="s">
        <v>3053</v>
      </c>
      <c r="F11857" t="s">
        <v>882</v>
      </c>
      <c r="G11857" t="s">
        <v>3040</v>
      </c>
      <c r="H11857" t="s">
        <v>14096</v>
      </c>
      <c r="I11857">
        <v>5533</v>
      </c>
      <c r="J11857">
        <v>3639</v>
      </c>
      <c r="K11857">
        <v>1</v>
      </c>
      <c r="L11857">
        <v>184</v>
      </c>
      <c r="M11857">
        <v>1147</v>
      </c>
      <c r="N11857">
        <v>4</v>
      </c>
      <c r="O11857">
        <v>562</v>
      </c>
    </row>
    <row r="11858" spans="1:15" x14ac:dyDescent="0.25">
      <c r="A11858" t="s">
        <v>1914</v>
      </c>
      <c r="B11858" t="s">
        <v>2324</v>
      </c>
      <c r="C11858" t="s">
        <v>923</v>
      </c>
      <c r="D11858" t="s">
        <v>3063</v>
      </c>
      <c r="E11858" t="s">
        <v>3053</v>
      </c>
      <c r="F11858" t="s">
        <v>882</v>
      </c>
      <c r="G11858" t="s">
        <v>3040</v>
      </c>
      <c r="H11858" t="s">
        <v>14099</v>
      </c>
      <c r="I11858">
        <v>8</v>
      </c>
      <c r="J11858">
        <v>0</v>
      </c>
      <c r="K11858">
        <v>0</v>
      </c>
      <c r="L11858">
        <v>0</v>
      </c>
      <c r="M11858">
        <v>8</v>
      </c>
      <c r="N11858">
        <v>0</v>
      </c>
      <c r="O11858">
        <v>0</v>
      </c>
    </row>
    <row r="11859" spans="1:15" x14ac:dyDescent="0.25">
      <c r="A11859" t="s">
        <v>1915</v>
      </c>
      <c r="B11859" t="s">
        <v>2257</v>
      </c>
      <c r="C11859" t="s">
        <v>923</v>
      </c>
      <c r="D11859" t="s">
        <v>3063</v>
      </c>
      <c r="E11859" t="s">
        <v>3053</v>
      </c>
      <c r="F11859" t="s">
        <v>882</v>
      </c>
      <c r="G11859" t="s">
        <v>3040</v>
      </c>
      <c r="H11859" t="s">
        <v>14107</v>
      </c>
      <c r="I11859">
        <v>20</v>
      </c>
      <c r="J11859">
        <v>20</v>
      </c>
      <c r="K11859">
        <v>0</v>
      </c>
      <c r="L11859">
        <v>0</v>
      </c>
      <c r="M11859">
        <v>0</v>
      </c>
      <c r="N11859">
        <v>0</v>
      </c>
      <c r="O11859">
        <v>0</v>
      </c>
    </row>
    <row r="11860" spans="1:15" x14ac:dyDescent="0.25">
      <c r="A11860" t="s">
        <v>1916</v>
      </c>
      <c r="B11860" t="s">
        <v>2198</v>
      </c>
      <c r="C11860" t="s">
        <v>923</v>
      </c>
      <c r="D11860" t="s">
        <v>3063</v>
      </c>
      <c r="E11860" t="s">
        <v>3053</v>
      </c>
      <c r="F11860" t="s">
        <v>882</v>
      </c>
      <c r="G11860" t="s">
        <v>3040</v>
      </c>
      <c r="H11860" t="s">
        <v>14109</v>
      </c>
      <c r="I11860">
        <v>15</v>
      </c>
      <c r="J11860">
        <v>15</v>
      </c>
      <c r="K11860">
        <v>0</v>
      </c>
      <c r="L11860">
        <v>0</v>
      </c>
      <c r="M11860">
        <v>0</v>
      </c>
      <c r="N11860">
        <v>0</v>
      </c>
      <c r="O11860">
        <v>0</v>
      </c>
    </row>
    <row r="11861" spans="1:15" x14ac:dyDescent="0.25">
      <c r="A11861" t="s">
        <v>1071</v>
      </c>
      <c r="B11861" t="s">
        <v>2571</v>
      </c>
      <c r="C11861" t="s">
        <v>923</v>
      </c>
      <c r="D11861" t="s">
        <v>3063</v>
      </c>
      <c r="E11861" t="s">
        <v>3053</v>
      </c>
      <c r="F11861" t="s">
        <v>882</v>
      </c>
      <c r="G11861" t="s">
        <v>3040</v>
      </c>
      <c r="H11861" t="s">
        <v>15609</v>
      </c>
      <c r="I11861">
        <v>3</v>
      </c>
      <c r="J11861">
        <v>0</v>
      </c>
      <c r="K11861">
        <v>0</v>
      </c>
      <c r="L11861">
        <v>3</v>
      </c>
      <c r="M11861">
        <v>0</v>
      </c>
      <c r="N11861">
        <v>0</v>
      </c>
      <c r="O11861">
        <v>0</v>
      </c>
    </row>
    <row r="11862" spans="1:15" x14ac:dyDescent="0.25">
      <c r="A11862" t="s">
        <v>1072</v>
      </c>
      <c r="B11862" t="s">
        <v>2907</v>
      </c>
      <c r="C11862" t="s">
        <v>927</v>
      </c>
      <c r="D11862" t="s">
        <v>3052</v>
      </c>
      <c r="E11862" t="s">
        <v>3053</v>
      </c>
      <c r="F11862" t="s">
        <v>882</v>
      </c>
      <c r="G11862" t="s">
        <v>3040</v>
      </c>
      <c r="H11862" t="s">
        <v>14153</v>
      </c>
      <c r="I11862">
        <v>2497</v>
      </c>
      <c r="J11862">
        <v>1605</v>
      </c>
      <c r="K11862">
        <v>0</v>
      </c>
      <c r="L11862">
        <v>645</v>
      </c>
      <c r="M11862">
        <v>237</v>
      </c>
      <c r="N11862">
        <v>0</v>
      </c>
      <c r="O11862">
        <v>10</v>
      </c>
    </row>
    <row r="11863" spans="1:15" x14ac:dyDescent="0.25">
      <c r="A11863" t="s">
        <v>1917</v>
      </c>
      <c r="B11863" t="s">
        <v>2296</v>
      </c>
      <c r="C11863" t="s">
        <v>923</v>
      </c>
      <c r="D11863" t="s">
        <v>3063</v>
      </c>
      <c r="E11863" t="s">
        <v>3053</v>
      </c>
      <c r="F11863" t="s">
        <v>882</v>
      </c>
      <c r="G11863" t="s">
        <v>3040</v>
      </c>
      <c r="H11863" t="s">
        <v>14154</v>
      </c>
      <c r="I11863">
        <v>7</v>
      </c>
      <c r="J11863">
        <v>0</v>
      </c>
      <c r="K11863">
        <v>0</v>
      </c>
      <c r="L11863">
        <v>0</v>
      </c>
      <c r="M11863">
        <v>7</v>
      </c>
      <c r="N11863">
        <v>0</v>
      </c>
      <c r="O11863">
        <v>0</v>
      </c>
    </row>
    <row r="11864" spans="1:15" x14ac:dyDescent="0.25">
      <c r="A11864" t="s">
        <v>9883</v>
      </c>
      <c r="B11864" t="s">
        <v>2351</v>
      </c>
      <c r="C11864" t="s">
        <v>923</v>
      </c>
      <c r="D11864" t="s">
        <v>3063</v>
      </c>
      <c r="E11864" t="s">
        <v>3053</v>
      </c>
      <c r="F11864" t="s">
        <v>882</v>
      </c>
      <c r="G11864" t="s">
        <v>3040</v>
      </c>
      <c r="H11864" t="s">
        <v>14170</v>
      </c>
      <c r="I11864">
        <v>4</v>
      </c>
      <c r="J11864">
        <v>0</v>
      </c>
      <c r="K11864">
        <v>0</v>
      </c>
      <c r="L11864">
        <v>0</v>
      </c>
      <c r="M11864">
        <v>4</v>
      </c>
      <c r="N11864">
        <v>0</v>
      </c>
      <c r="O11864">
        <v>0</v>
      </c>
    </row>
    <row r="11865" spans="1:15" x14ac:dyDescent="0.25">
      <c r="A11865" t="s">
        <v>1918</v>
      </c>
      <c r="B11865" t="s">
        <v>2197</v>
      </c>
      <c r="C11865" t="s">
        <v>923</v>
      </c>
      <c r="D11865" t="s">
        <v>3063</v>
      </c>
      <c r="E11865" t="s">
        <v>3053</v>
      </c>
      <c r="F11865" t="s">
        <v>882</v>
      </c>
      <c r="G11865" t="s">
        <v>3040</v>
      </c>
      <c r="H11865" t="s">
        <v>14173</v>
      </c>
      <c r="I11865">
        <v>19</v>
      </c>
      <c r="J11865">
        <v>0</v>
      </c>
      <c r="K11865">
        <v>0</v>
      </c>
      <c r="L11865">
        <v>0</v>
      </c>
      <c r="M11865">
        <v>19</v>
      </c>
      <c r="N11865">
        <v>0</v>
      </c>
      <c r="O11865">
        <v>0</v>
      </c>
    </row>
    <row r="11866" spans="1:15" x14ac:dyDescent="0.25">
      <c r="A11866" t="s">
        <v>1180</v>
      </c>
      <c r="B11866" t="s">
        <v>2896</v>
      </c>
      <c r="C11866" t="s">
        <v>927</v>
      </c>
      <c r="D11866" t="s">
        <v>3052</v>
      </c>
      <c r="E11866" t="s">
        <v>3053</v>
      </c>
      <c r="F11866" t="s">
        <v>882</v>
      </c>
      <c r="G11866" t="s">
        <v>3040</v>
      </c>
      <c r="H11866" t="s">
        <v>14180</v>
      </c>
      <c r="I11866">
        <v>1740</v>
      </c>
      <c r="J11866">
        <v>1411</v>
      </c>
      <c r="K11866">
        <v>0</v>
      </c>
      <c r="L11866">
        <v>0</v>
      </c>
      <c r="M11866">
        <v>107</v>
      </c>
      <c r="N11866">
        <v>0</v>
      </c>
      <c r="O11866">
        <v>222</v>
      </c>
    </row>
    <row r="11867" spans="1:15" x14ac:dyDescent="0.25">
      <c r="A11867" t="s">
        <v>1075</v>
      </c>
      <c r="B11867" t="s">
        <v>2830</v>
      </c>
      <c r="C11867" t="s">
        <v>927</v>
      </c>
      <c r="D11867" t="s">
        <v>3052</v>
      </c>
      <c r="E11867" t="s">
        <v>3053</v>
      </c>
      <c r="F11867" t="s">
        <v>882</v>
      </c>
      <c r="G11867" t="s">
        <v>3040</v>
      </c>
      <c r="H11867" t="s">
        <v>14192</v>
      </c>
      <c r="I11867">
        <v>21172</v>
      </c>
      <c r="J11867">
        <v>19101</v>
      </c>
      <c r="K11867">
        <v>0</v>
      </c>
      <c r="L11867">
        <v>436</v>
      </c>
      <c r="M11867">
        <v>458</v>
      </c>
      <c r="N11867">
        <v>6</v>
      </c>
      <c r="O11867">
        <v>1177</v>
      </c>
    </row>
    <row r="11868" spans="1:15" x14ac:dyDescent="0.25">
      <c r="A11868" t="s">
        <v>1684</v>
      </c>
      <c r="B11868" t="s">
        <v>2845</v>
      </c>
      <c r="C11868" t="s">
        <v>927</v>
      </c>
      <c r="D11868" t="s">
        <v>3052</v>
      </c>
      <c r="E11868" t="s">
        <v>3053</v>
      </c>
      <c r="F11868" t="s">
        <v>882</v>
      </c>
      <c r="G11868" t="s">
        <v>3040</v>
      </c>
      <c r="H11868" t="s">
        <v>14200</v>
      </c>
      <c r="I11868">
        <v>1</v>
      </c>
      <c r="J11868">
        <v>0</v>
      </c>
      <c r="K11868">
        <v>0</v>
      </c>
      <c r="L11868">
        <v>0</v>
      </c>
      <c r="M11868">
        <v>0</v>
      </c>
      <c r="N11868">
        <v>0</v>
      </c>
      <c r="O11868">
        <v>1</v>
      </c>
    </row>
    <row r="11869" spans="1:15" x14ac:dyDescent="0.25">
      <c r="A11869" t="s">
        <v>1078</v>
      </c>
      <c r="B11869" t="s">
        <v>1950</v>
      </c>
      <c r="C11869" t="s">
        <v>923</v>
      </c>
      <c r="D11869" t="s">
        <v>3063</v>
      </c>
      <c r="E11869" t="s">
        <v>3053</v>
      </c>
      <c r="F11869" t="s">
        <v>882</v>
      </c>
      <c r="G11869" t="s">
        <v>3040</v>
      </c>
      <c r="H11869" t="s">
        <v>14218</v>
      </c>
      <c r="I11869">
        <v>23</v>
      </c>
      <c r="J11869">
        <v>0</v>
      </c>
      <c r="K11869">
        <v>0</v>
      </c>
      <c r="L11869">
        <v>23</v>
      </c>
      <c r="M11869">
        <v>0</v>
      </c>
      <c r="N11869">
        <v>0</v>
      </c>
      <c r="O11869">
        <v>0</v>
      </c>
    </row>
    <row r="11870" spans="1:15" x14ac:dyDescent="0.25">
      <c r="A11870" t="s">
        <v>1919</v>
      </c>
      <c r="B11870" t="s">
        <v>2976</v>
      </c>
      <c r="C11870" t="s">
        <v>927</v>
      </c>
      <c r="D11870" t="s">
        <v>3052</v>
      </c>
      <c r="E11870" t="s">
        <v>3053</v>
      </c>
      <c r="F11870" t="s">
        <v>882</v>
      </c>
      <c r="G11870" t="s">
        <v>3040</v>
      </c>
      <c r="H11870" t="s">
        <v>14232</v>
      </c>
      <c r="I11870">
        <v>1383</v>
      </c>
      <c r="J11870">
        <v>1299</v>
      </c>
      <c r="K11870">
        <v>0</v>
      </c>
      <c r="L11870">
        <v>24</v>
      </c>
      <c r="M11870">
        <v>0</v>
      </c>
      <c r="N11870">
        <v>7</v>
      </c>
      <c r="O11870">
        <v>60</v>
      </c>
    </row>
    <row r="11871" spans="1:15" x14ac:dyDescent="0.25">
      <c r="A11871" t="s">
        <v>1920</v>
      </c>
      <c r="B11871" t="s">
        <v>2871</v>
      </c>
      <c r="C11871" t="s">
        <v>927</v>
      </c>
      <c r="D11871" t="s">
        <v>3052</v>
      </c>
      <c r="E11871" t="s">
        <v>3053</v>
      </c>
      <c r="F11871" t="s">
        <v>882</v>
      </c>
      <c r="G11871" t="s">
        <v>3040</v>
      </c>
      <c r="H11871" t="s">
        <v>14243</v>
      </c>
      <c r="I11871">
        <v>32139</v>
      </c>
      <c r="J11871">
        <v>29594</v>
      </c>
      <c r="K11871">
        <v>0</v>
      </c>
      <c r="L11871">
        <v>1513</v>
      </c>
      <c r="M11871">
        <v>0</v>
      </c>
      <c r="N11871">
        <v>11</v>
      </c>
      <c r="O11871">
        <v>1032</v>
      </c>
    </row>
    <row r="11872" spans="1:15" x14ac:dyDescent="0.25">
      <c r="A11872" t="s">
        <v>1921</v>
      </c>
      <c r="B11872" t="s">
        <v>2261</v>
      </c>
      <c r="C11872" t="s">
        <v>923</v>
      </c>
      <c r="D11872" t="s">
        <v>3063</v>
      </c>
      <c r="E11872" t="s">
        <v>3053</v>
      </c>
      <c r="F11872" t="s">
        <v>882</v>
      </c>
      <c r="G11872" t="s">
        <v>3040</v>
      </c>
      <c r="H11872" t="s">
        <v>14244</v>
      </c>
      <c r="I11872">
        <v>31</v>
      </c>
      <c r="J11872">
        <v>0</v>
      </c>
      <c r="K11872">
        <v>0</v>
      </c>
      <c r="L11872">
        <v>0</v>
      </c>
      <c r="M11872">
        <v>31</v>
      </c>
      <c r="N11872">
        <v>0</v>
      </c>
      <c r="O11872">
        <v>0</v>
      </c>
    </row>
    <row r="11873" spans="1:15" x14ac:dyDescent="0.25">
      <c r="A11873" t="s">
        <v>1080</v>
      </c>
      <c r="B11873" t="s">
        <v>2030</v>
      </c>
      <c r="C11873" t="s">
        <v>923</v>
      </c>
      <c r="D11873" t="s">
        <v>3063</v>
      </c>
      <c r="E11873" t="s">
        <v>3053</v>
      </c>
      <c r="F11873" t="s">
        <v>882</v>
      </c>
      <c r="G11873" t="s">
        <v>3040</v>
      </c>
      <c r="H11873" t="s">
        <v>14285</v>
      </c>
      <c r="I11873">
        <v>53</v>
      </c>
      <c r="J11873">
        <v>0</v>
      </c>
      <c r="K11873">
        <v>0</v>
      </c>
      <c r="L11873">
        <v>53</v>
      </c>
      <c r="M11873">
        <v>0</v>
      </c>
      <c r="N11873">
        <v>0</v>
      </c>
      <c r="O11873">
        <v>0</v>
      </c>
    </row>
    <row r="11874" spans="1:15" x14ac:dyDescent="0.25">
      <c r="A11874" t="s">
        <v>1922</v>
      </c>
      <c r="B11874" t="s">
        <v>2330</v>
      </c>
      <c r="C11874" t="s">
        <v>923</v>
      </c>
      <c r="D11874" t="s">
        <v>3063</v>
      </c>
      <c r="E11874" t="s">
        <v>3053</v>
      </c>
      <c r="F11874" t="s">
        <v>882</v>
      </c>
      <c r="G11874" t="s">
        <v>3040</v>
      </c>
      <c r="H11874" t="s">
        <v>14291</v>
      </c>
      <c r="I11874">
        <v>20</v>
      </c>
      <c r="J11874">
        <v>0</v>
      </c>
      <c r="K11874">
        <v>0</v>
      </c>
      <c r="L11874">
        <v>0</v>
      </c>
      <c r="M11874">
        <v>20</v>
      </c>
      <c r="N11874">
        <v>0</v>
      </c>
      <c r="O11874">
        <v>0</v>
      </c>
    </row>
    <row r="11875" spans="1:15" x14ac:dyDescent="0.25">
      <c r="A11875" t="s">
        <v>11728</v>
      </c>
      <c r="B11875" t="s">
        <v>2021</v>
      </c>
      <c r="C11875" t="s">
        <v>923</v>
      </c>
      <c r="D11875" t="s">
        <v>3063</v>
      </c>
      <c r="E11875" t="s">
        <v>3053</v>
      </c>
      <c r="F11875" t="s">
        <v>882</v>
      </c>
      <c r="G11875" t="s">
        <v>3040</v>
      </c>
      <c r="H11875" t="s">
        <v>14304</v>
      </c>
      <c r="I11875">
        <v>54</v>
      </c>
      <c r="J11875">
        <v>9</v>
      </c>
      <c r="K11875">
        <v>0</v>
      </c>
      <c r="L11875">
        <v>45</v>
      </c>
      <c r="M11875">
        <v>0</v>
      </c>
      <c r="N11875">
        <v>0</v>
      </c>
      <c r="O11875">
        <v>0</v>
      </c>
    </row>
    <row r="11876" spans="1:15" x14ac:dyDescent="0.25">
      <c r="A11876" t="s">
        <v>10787</v>
      </c>
      <c r="B11876" t="s">
        <v>2599</v>
      </c>
      <c r="C11876" t="s">
        <v>923</v>
      </c>
      <c r="D11876" t="s">
        <v>3063</v>
      </c>
      <c r="E11876" t="s">
        <v>3053</v>
      </c>
      <c r="F11876" t="s">
        <v>882</v>
      </c>
      <c r="G11876" t="s">
        <v>3040</v>
      </c>
      <c r="H11876" t="s">
        <v>14338</v>
      </c>
      <c r="I11876">
        <v>21</v>
      </c>
      <c r="J11876">
        <v>0</v>
      </c>
      <c r="K11876">
        <v>0</v>
      </c>
      <c r="L11876">
        <v>21</v>
      </c>
      <c r="M11876">
        <v>0</v>
      </c>
      <c r="N11876">
        <v>0</v>
      </c>
      <c r="O11876">
        <v>0</v>
      </c>
    </row>
    <row r="11877" spans="1:15" x14ac:dyDescent="0.25">
      <c r="A11877" t="s">
        <v>1563</v>
      </c>
      <c r="B11877" t="s">
        <v>2895</v>
      </c>
      <c r="C11877" t="s">
        <v>927</v>
      </c>
      <c r="D11877" t="s">
        <v>3052</v>
      </c>
      <c r="E11877" t="s">
        <v>3053</v>
      </c>
      <c r="F11877" t="s">
        <v>882</v>
      </c>
      <c r="G11877" t="s">
        <v>3040</v>
      </c>
      <c r="H11877" t="s">
        <v>14348</v>
      </c>
      <c r="I11877">
        <v>18370</v>
      </c>
      <c r="J11877">
        <v>15765</v>
      </c>
      <c r="K11877">
        <v>7</v>
      </c>
      <c r="L11877">
        <v>403</v>
      </c>
      <c r="M11877">
        <v>814</v>
      </c>
      <c r="N11877">
        <v>0</v>
      </c>
      <c r="O11877">
        <v>1381</v>
      </c>
    </row>
    <row r="11878" spans="1:15" x14ac:dyDescent="0.25">
      <c r="A11878" t="s">
        <v>1083</v>
      </c>
      <c r="B11878" t="s">
        <v>2757</v>
      </c>
      <c r="C11878" t="s">
        <v>927</v>
      </c>
      <c r="D11878" t="s">
        <v>3052</v>
      </c>
      <c r="E11878" t="s">
        <v>3053</v>
      </c>
      <c r="F11878" t="s">
        <v>882</v>
      </c>
      <c r="G11878" t="s">
        <v>3040</v>
      </c>
      <c r="H11878" t="s">
        <v>14353</v>
      </c>
      <c r="I11878">
        <v>911</v>
      </c>
      <c r="J11878">
        <v>473</v>
      </c>
      <c r="K11878">
        <v>0</v>
      </c>
      <c r="L11878">
        <v>0</v>
      </c>
      <c r="M11878">
        <v>330</v>
      </c>
      <c r="N11878">
        <v>0</v>
      </c>
      <c r="O11878">
        <v>108</v>
      </c>
    </row>
  </sheetData>
  <sortState xmlns:xlrd2="http://schemas.microsoft.com/office/spreadsheetml/2017/richdata2" ref="A11:O9857">
    <sortCondition ref="F11:F9857"/>
    <sortCondition ref="A11:A9857"/>
  </sortState>
  <pageMargins left="0.7" right="0.7" top="0.75" bottom="0.75" header="0.3" footer="0.3"/>
  <pageSetup paperSize="9" orientation="portrait" r:id="rId1"/>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F8A-BC59-44CD-AD9F-99C7E2041D88}">
  <sheetPr codeName="Sheet12">
    <tabColor rgb="FFFFC000"/>
  </sheetPr>
  <dimension ref="A1:D329"/>
  <sheetViews>
    <sheetView workbookViewId="0">
      <selection activeCell="D2" sqref="D2"/>
    </sheetView>
  </sheetViews>
  <sheetFormatPr defaultColWidth="8.7109375" defaultRowHeight="12.75" x14ac:dyDescent="0.2"/>
  <cols>
    <col min="1" max="1" width="18" style="354" customWidth="1"/>
    <col min="2" max="2" width="28.5703125" style="354" customWidth="1"/>
    <col min="3" max="3" width="9.5703125" style="354" customWidth="1"/>
    <col min="4" max="4" width="36.140625" style="354" customWidth="1"/>
    <col min="5" max="16384" width="8.7109375" style="354"/>
  </cols>
  <sheetData>
    <row r="1" spans="1:4" x14ac:dyDescent="0.2">
      <c r="A1" s="211" t="s">
        <v>9685</v>
      </c>
      <c r="B1" s="211" t="s">
        <v>871</v>
      </c>
      <c r="C1" s="354">
        <f>COUNTIF(D2:D329,"?*")</f>
        <v>306</v>
      </c>
      <c r="D1" s="211" t="s">
        <v>9686</v>
      </c>
    </row>
    <row r="2" spans="1:4" x14ac:dyDescent="0.2">
      <c r="A2" s="354">
        <f>IF(ISNUMBER(SEARCH('Area summary'!$E$3,B2)),MAX($A$1:A1)+1,0)</f>
        <v>0</v>
      </c>
      <c r="B2" s="218"/>
      <c r="C2" s="354" t="str">
        <f ca="1">OFFSET($D$2,,,COUNTIF($D$2:$D$329,"?*"))</f>
        <v>England</v>
      </c>
      <c r="D2" s="354" t="str">
        <f>IFERROR(VLOOKUP(ROWS($D$2:D2),$A$2:$B$1424,2,0),"")</f>
        <v>England</v>
      </c>
    </row>
    <row r="3" spans="1:4" x14ac:dyDescent="0.2">
      <c r="A3" s="354">
        <f>IF(ISNUMBER(SEARCH('Area summary'!$E$3,B3)),MAX($A$1:A2)+1,0)</f>
        <v>1</v>
      </c>
      <c r="B3" s="354" t="s">
        <v>6</v>
      </c>
      <c r="D3" s="354" t="str">
        <f>IFERROR(VLOOKUP(ROWS($D$2:D3),$A$2:$B$1424,2,0),"")</f>
        <v>East Midlands</v>
      </c>
    </row>
    <row r="4" spans="1:4" x14ac:dyDescent="0.2">
      <c r="A4" s="354">
        <f>IF(ISNUMBER(SEARCH('Area summary'!$E$3,B4)),MAX($A$1:A3)+1,0)</f>
        <v>2</v>
      </c>
      <c r="B4" s="354" t="s">
        <v>282</v>
      </c>
      <c r="D4" s="354" t="str">
        <f>IFERROR(VLOOKUP(ROWS($D$2:D4),$A$2:$B$1424,2,0),"")</f>
        <v>East of England</v>
      </c>
    </row>
    <row r="5" spans="1:4" x14ac:dyDescent="0.2">
      <c r="A5" s="354">
        <f>IF(ISNUMBER(SEARCH('Area summary'!$E$3,B5)),MAX($A$1:A4)+1,0)</f>
        <v>3</v>
      </c>
      <c r="B5" s="354" t="s">
        <v>283</v>
      </c>
      <c r="D5" s="354" t="str">
        <f>IFERROR(VLOOKUP(ROWS($D$2:D5),$A$2:$B$1424,2,0),"")</f>
        <v>London</v>
      </c>
    </row>
    <row r="6" spans="1:4" x14ac:dyDescent="0.2">
      <c r="A6" s="354">
        <f>IF(ISNUMBER(SEARCH('Area summary'!$E$3,B6)),MAX($A$1:A5)+1,0)</f>
        <v>4</v>
      </c>
      <c r="B6" s="354" t="s">
        <v>284</v>
      </c>
      <c r="D6" s="354" t="str">
        <f>IFERROR(VLOOKUP(ROWS($D$2:D6),$A$2:$B$1424,2,0),"")</f>
        <v>North East</v>
      </c>
    </row>
    <row r="7" spans="1:4" x14ac:dyDescent="0.2">
      <c r="A7" s="354">
        <f>IF(ISNUMBER(SEARCH('Area summary'!$E$3,B7)),MAX($A$1:A6)+1,0)</f>
        <v>5</v>
      </c>
      <c r="B7" s="354" t="s">
        <v>285</v>
      </c>
      <c r="D7" s="354" t="str">
        <f>IFERROR(VLOOKUP(ROWS($D$2:D7),$A$2:$B$1424,2,0),"")</f>
        <v>North West</v>
      </c>
    </row>
    <row r="8" spans="1:4" x14ac:dyDescent="0.2">
      <c r="A8" s="354">
        <f>IF(ISNUMBER(SEARCH('Area summary'!$E$3,B8)),MAX($A$1:A7)+1,0)</f>
        <v>6</v>
      </c>
      <c r="B8" s="354" t="s">
        <v>286</v>
      </c>
      <c r="D8" s="354" t="str">
        <f>IFERROR(VLOOKUP(ROWS($D$2:D8),$A$2:$B$1424,2,0),"")</f>
        <v>South East</v>
      </c>
    </row>
    <row r="9" spans="1:4" x14ac:dyDescent="0.2">
      <c r="A9" s="354">
        <f>IF(ISNUMBER(SEARCH('Area summary'!$E$3,B9)),MAX($A$1:A8)+1,0)</f>
        <v>7</v>
      </c>
      <c r="B9" s="354" t="s">
        <v>2</v>
      </c>
      <c r="D9" s="354" t="str">
        <f>IFERROR(VLOOKUP(ROWS($D$2:D9),$A$2:$B$1424,2,0),"")</f>
        <v>South West</v>
      </c>
    </row>
    <row r="10" spans="1:4" x14ac:dyDescent="0.2">
      <c r="A10" s="354">
        <f>IF(ISNUMBER(SEARCH('Area summary'!$E$3,B10)),MAX($A$1:A9)+1,0)</f>
        <v>8</v>
      </c>
      <c r="B10" s="354" t="s">
        <v>287</v>
      </c>
      <c r="D10" s="354" t="str">
        <f>IFERROR(VLOOKUP(ROWS($D$2:D10),$A$2:$B$1424,2,0),"")</f>
        <v>West Midlands</v>
      </c>
    </row>
    <row r="11" spans="1:4" x14ac:dyDescent="0.2">
      <c r="A11" s="354">
        <f>IF(ISNUMBER(SEARCH('Area summary'!$E$3,B11)),MAX($A$1:A10)+1,0)</f>
        <v>9</v>
      </c>
      <c r="B11" s="354" t="s">
        <v>288</v>
      </c>
      <c r="D11" s="354" t="str">
        <f>IFERROR(VLOOKUP(ROWS($D$2:D11),$A$2:$B$1424,2,0),"")</f>
        <v>Yorkshire and the Humber</v>
      </c>
    </row>
    <row r="12" spans="1:4" x14ac:dyDescent="0.2">
      <c r="A12" s="354">
        <f>IF(ISNUMBER(SEARCH('Area summary'!$E$3,B12)),MAX($A$1:A11)+1,0)</f>
        <v>10</v>
      </c>
      <c r="B12" s="354" t="s">
        <v>882</v>
      </c>
      <c r="D12" s="354" t="str">
        <f>IFERROR(VLOOKUP(ROWS($D$2:D12),$A$2:$B$1424,2,0),"")</f>
        <v>Adur</v>
      </c>
    </row>
    <row r="13" spans="1:4" x14ac:dyDescent="0.2">
      <c r="A13" s="354">
        <f>IF(ISNUMBER(SEARCH('Area summary'!$E$3,B13)),MAX($A$1:A12)+1,0)</f>
        <v>11</v>
      </c>
      <c r="B13" s="354" t="s">
        <v>290</v>
      </c>
      <c r="D13" s="354" t="str">
        <f>IFERROR(VLOOKUP(ROWS($D$2:D13),$A$2:$B$1424,2,0),"")</f>
        <v>Amber Valley</v>
      </c>
    </row>
    <row r="14" spans="1:4" x14ac:dyDescent="0.2">
      <c r="A14" s="354">
        <f>IF(ISNUMBER(SEARCH('Area summary'!$E$3,B14)),MAX($A$1:A13)+1,0)</f>
        <v>12</v>
      </c>
      <c r="B14" s="354" t="s">
        <v>292</v>
      </c>
      <c r="D14" s="354" t="str">
        <f>IFERROR(VLOOKUP(ROWS($D$2:D14),$A$2:$B$1424,2,0),"")</f>
        <v>Arun</v>
      </c>
    </row>
    <row r="15" spans="1:4" x14ac:dyDescent="0.2">
      <c r="A15" s="354">
        <f>IF(ISNUMBER(SEARCH('Area summary'!$E$3,B15)),MAX($A$1:A14)+1,0)</f>
        <v>13</v>
      </c>
      <c r="B15" s="354" t="s">
        <v>294</v>
      </c>
      <c r="D15" s="354" t="str">
        <f>IFERROR(VLOOKUP(ROWS($D$2:D15),$A$2:$B$1424,2,0),"")</f>
        <v>Ashfield</v>
      </c>
    </row>
    <row r="16" spans="1:4" x14ac:dyDescent="0.2">
      <c r="A16" s="354">
        <f>IF(ISNUMBER(SEARCH('Area summary'!$E$3,B16)),MAX($A$1:A15)+1,0)</f>
        <v>14</v>
      </c>
      <c r="B16" s="354" t="s">
        <v>296</v>
      </c>
      <c r="D16" s="354" t="str">
        <f>IFERROR(VLOOKUP(ROWS($D$2:D16),$A$2:$B$1424,2,0),"")</f>
        <v>Ashford</v>
      </c>
    </row>
    <row r="17" spans="1:4" x14ac:dyDescent="0.2">
      <c r="A17" s="354">
        <f>IF(ISNUMBER(SEARCH('Area summary'!$E$3,B17)),MAX($A$1:A16)+1,0)</f>
        <v>15</v>
      </c>
      <c r="B17" s="354" t="s">
        <v>298</v>
      </c>
      <c r="D17" s="354" t="str">
        <f>IFERROR(VLOOKUP(ROWS($D$2:D17),$A$2:$B$1424,2,0),"")</f>
        <v>Babergh</v>
      </c>
    </row>
    <row r="18" spans="1:4" x14ac:dyDescent="0.2">
      <c r="A18" s="354">
        <f>IF(ISNUMBER(SEARCH('Area summary'!$E$3,B18)),MAX($A$1:A17)+1,0)</f>
        <v>16</v>
      </c>
      <c r="B18" s="354" t="s">
        <v>300</v>
      </c>
      <c r="D18" s="354" t="str">
        <f>IFERROR(VLOOKUP(ROWS($D$2:D18),$A$2:$B$1424,2,0),"")</f>
        <v>Barking and Dagenham</v>
      </c>
    </row>
    <row r="19" spans="1:4" x14ac:dyDescent="0.2">
      <c r="A19" s="354">
        <f>IF(ISNUMBER(SEARCH('Area summary'!$E$3,B19)),MAX($A$1:A18)+1,0)</f>
        <v>17</v>
      </c>
      <c r="B19" s="354" t="s">
        <v>302</v>
      </c>
      <c r="D19" s="354" t="str">
        <f>IFERROR(VLOOKUP(ROWS($D$2:D19),$A$2:$B$1424,2,0),"")</f>
        <v>Barnet</v>
      </c>
    </row>
    <row r="20" spans="1:4" x14ac:dyDescent="0.2">
      <c r="A20" s="354">
        <f>IF(ISNUMBER(SEARCH('Area summary'!$E$3,B20)),MAX($A$1:A19)+1,0)</f>
        <v>18</v>
      </c>
      <c r="B20" s="354" t="s">
        <v>304</v>
      </c>
      <c r="D20" s="354" t="str">
        <f>IFERROR(VLOOKUP(ROWS($D$2:D20),$A$2:$B$1424,2,0),"")</f>
        <v>Barnsley</v>
      </c>
    </row>
    <row r="21" spans="1:4" x14ac:dyDescent="0.2">
      <c r="A21" s="354">
        <f>IF(ISNUMBER(SEARCH('Area summary'!$E$3,B21)),MAX($A$1:A20)+1,0)</f>
        <v>19</v>
      </c>
      <c r="B21" s="354" t="s">
        <v>306</v>
      </c>
      <c r="D21" s="354" t="str">
        <f>IFERROR(VLOOKUP(ROWS($D$2:D21),$A$2:$B$1424,2,0),"")</f>
        <v>Basildon</v>
      </c>
    </row>
    <row r="22" spans="1:4" x14ac:dyDescent="0.2">
      <c r="A22" s="354">
        <f>IF(ISNUMBER(SEARCH('Area summary'!$E$3,B22)),MAX($A$1:A21)+1,0)</f>
        <v>20</v>
      </c>
      <c r="B22" s="354" t="s">
        <v>308</v>
      </c>
      <c r="D22" s="354" t="str">
        <f>IFERROR(VLOOKUP(ROWS($D$2:D22),$A$2:$B$1424,2,0),"")</f>
        <v>Basingstoke and Deane</v>
      </c>
    </row>
    <row r="23" spans="1:4" x14ac:dyDescent="0.2">
      <c r="A23" s="354">
        <f>IF(ISNUMBER(SEARCH('Area summary'!$E$3,B23)),MAX($A$1:A22)+1,0)</f>
        <v>21</v>
      </c>
      <c r="B23" s="354" t="s">
        <v>310</v>
      </c>
      <c r="D23" s="354" t="str">
        <f>IFERROR(VLOOKUP(ROWS($D$2:D23),$A$2:$B$1424,2,0),"")</f>
        <v>Bassetlaw</v>
      </c>
    </row>
    <row r="24" spans="1:4" x14ac:dyDescent="0.2">
      <c r="A24" s="354">
        <f>IF(ISNUMBER(SEARCH('Area summary'!$E$3,B24)),MAX($A$1:A23)+1,0)</f>
        <v>22</v>
      </c>
      <c r="B24" s="354" t="s">
        <v>312</v>
      </c>
      <c r="D24" s="354" t="str">
        <f>IFERROR(VLOOKUP(ROWS($D$2:D24),$A$2:$B$1424,2,0),"")</f>
        <v>Bath and North East Somerset</v>
      </c>
    </row>
    <row r="25" spans="1:4" x14ac:dyDescent="0.2">
      <c r="A25" s="354">
        <f>IF(ISNUMBER(SEARCH('Area summary'!$E$3,B25)),MAX($A$1:A24)+1,0)</f>
        <v>23</v>
      </c>
      <c r="B25" s="354" t="s">
        <v>314</v>
      </c>
      <c r="D25" s="354" t="str">
        <f>IFERROR(VLOOKUP(ROWS($D$2:D25),$A$2:$B$1424,2,0),"")</f>
        <v>Bedford</v>
      </c>
    </row>
    <row r="26" spans="1:4" x14ac:dyDescent="0.2">
      <c r="A26" s="354">
        <f>IF(ISNUMBER(SEARCH('Area summary'!$E$3,B26)),MAX($A$1:A25)+1,0)</f>
        <v>24</v>
      </c>
      <c r="B26" s="354" t="s">
        <v>316</v>
      </c>
      <c r="D26" s="354" t="str">
        <f>IFERROR(VLOOKUP(ROWS($D$2:D26),$A$2:$B$1424,2,0),"")</f>
        <v>Bexley</v>
      </c>
    </row>
    <row r="27" spans="1:4" x14ac:dyDescent="0.2">
      <c r="A27" s="354">
        <f>IF(ISNUMBER(SEARCH('Area summary'!$E$3,B27)),MAX($A$1:A26)+1,0)</f>
        <v>25</v>
      </c>
      <c r="B27" s="354" t="s">
        <v>318</v>
      </c>
      <c r="D27" s="354" t="str">
        <f>IFERROR(VLOOKUP(ROWS($D$2:D27),$A$2:$B$1424,2,0),"")</f>
        <v>Birmingham</v>
      </c>
    </row>
    <row r="28" spans="1:4" x14ac:dyDescent="0.2">
      <c r="A28" s="354">
        <f>IF(ISNUMBER(SEARCH('Area summary'!$E$3,B28)),MAX($A$1:A27)+1,0)</f>
        <v>26</v>
      </c>
      <c r="B28" s="354" t="s">
        <v>320</v>
      </c>
      <c r="D28" s="354" t="str">
        <f>IFERROR(VLOOKUP(ROWS($D$2:D28),$A$2:$B$1424,2,0),"")</f>
        <v>Blaby</v>
      </c>
    </row>
    <row r="29" spans="1:4" x14ac:dyDescent="0.2">
      <c r="A29" s="354">
        <f>IF(ISNUMBER(SEARCH('Area summary'!$E$3,B29)),MAX($A$1:A28)+1,0)</f>
        <v>27</v>
      </c>
      <c r="B29" s="354" t="s">
        <v>322</v>
      </c>
      <c r="D29" s="354" t="str">
        <f>IFERROR(VLOOKUP(ROWS($D$2:D29),$A$2:$B$1424,2,0),"")</f>
        <v>Blackburn with Darwen</v>
      </c>
    </row>
    <row r="30" spans="1:4" x14ac:dyDescent="0.2">
      <c r="A30" s="354">
        <f>IF(ISNUMBER(SEARCH('Area summary'!$E$3,B30)),MAX($A$1:A29)+1,0)</f>
        <v>28</v>
      </c>
      <c r="B30" s="354" t="s">
        <v>324</v>
      </c>
      <c r="D30" s="354" t="str">
        <f>IFERROR(VLOOKUP(ROWS($D$2:D30),$A$2:$B$1424,2,0),"")</f>
        <v>Blackpool</v>
      </c>
    </row>
    <row r="31" spans="1:4" x14ac:dyDescent="0.2">
      <c r="A31" s="354">
        <f>IF(ISNUMBER(SEARCH('Area summary'!$E$3,B31)),MAX($A$1:A30)+1,0)</f>
        <v>29</v>
      </c>
      <c r="B31" s="354" t="s">
        <v>326</v>
      </c>
      <c r="D31" s="354" t="str">
        <f>IFERROR(VLOOKUP(ROWS($D$2:D31),$A$2:$B$1424,2,0),"")</f>
        <v>Bolsover</v>
      </c>
    </row>
    <row r="32" spans="1:4" x14ac:dyDescent="0.2">
      <c r="A32" s="354">
        <f>IF(ISNUMBER(SEARCH('Area summary'!$E$3,B32)),MAX($A$1:A31)+1,0)</f>
        <v>30</v>
      </c>
      <c r="B32" s="354" t="s">
        <v>328</v>
      </c>
      <c r="D32" s="354" t="str">
        <f>IFERROR(VLOOKUP(ROWS($D$2:D32),$A$2:$B$1424,2,0),"")</f>
        <v>Bolton</v>
      </c>
    </row>
    <row r="33" spans="1:4" x14ac:dyDescent="0.2">
      <c r="A33" s="354">
        <f>IF(ISNUMBER(SEARCH('Area summary'!$E$3,B33)),MAX($A$1:A32)+1,0)</f>
        <v>31</v>
      </c>
      <c r="B33" s="354" t="s">
        <v>330</v>
      </c>
      <c r="D33" s="354" t="str">
        <f>IFERROR(VLOOKUP(ROWS($D$2:D33),$A$2:$B$1424,2,0),"")</f>
        <v>Boston</v>
      </c>
    </row>
    <row r="34" spans="1:4" x14ac:dyDescent="0.2">
      <c r="A34" s="354">
        <f>IF(ISNUMBER(SEARCH('Area summary'!$E$3,B34)),MAX($A$1:A33)+1,0)</f>
        <v>32</v>
      </c>
      <c r="B34" s="354" t="s">
        <v>332</v>
      </c>
      <c r="D34" s="354" t="str">
        <f>IFERROR(VLOOKUP(ROWS($D$2:D34),$A$2:$B$1424,2,0),"")</f>
        <v>Bournemouth Christchurch and Poole</v>
      </c>
    </row>
    <row r="35" spans="1:4" x14ac:dyDescent="0.2">
      <c r="A35" s="354">
        <f>IF(ISNUMBER(SEARCH('Area summary'!$E$3,B35)),MAX($A$1:A34)+1,0)</f>
        <v>33</v>
      </c>
      <c r="B35" s="354" t="s">
        <v>11729</v>
      </c>
      <c r="D35" s="354" t="str">
        <f>IFERROR(VLOOKUP(ROWS($D$2:D35),$A$2:$B$1424,2,0),"")</f>
        <v>Bracknell Forest</v>
      </c>
    </row>
    <row r="36" spans="1:4" x14ac:dyDescent="0.2">
      <c r="A36" s="354">
        <f>IF(ISNUMBER(SEARCH('Area summary'!$E$3,B36)),MAX($A$1:A35)+1,0)</f>
        <v>34</v>
      </c>
      <c r="B36" s="354" t="s">
        <v>335</v>
      </c>
      <c r="D36" s="354" t="str">
        <f>IFERROR(VLOOKUP(ROWS($D$2:D36),$A$2:$B$1424,2,0),"")</f>
        <v>Bradford</v>
      </c>
    </row>
    <row r="37" spans="1:4" x14ac:dyDescent="0.2">
      <c r="A37" s="354">
        <f>IF(ISNUMBER(SEARCH('Area summary'!$E$3,B37)),MAX($A$1:A36)+1,0)</f>
        <v>35</v>
      </c>
      <c r="B37" s="354" t="s">
        <v>337</v>
      </c>
      <c r="D37" s="354" t="str">
        <f>IFERROR(VLOOKUP(ROWS($D$2:D37),$A$2:$B$1424,2,0),"")</f>
        <v>Braintree</v>
      </c>
    </row>
    <row r="38" spans="1:4" x14ac:dyDescent="0.2">
      <c r="A38" s="354">
        <f>IF(ISNUMBER(SEARCH('Area summary'!$E$3,B38)),MAX($A$1:A37)+1,0)</f>
        <v>36</v>
      </c>
      <c r="B38" s="354" t="s">
        <v>339</v>
      </c>
      <c r="D38" s="354" t="str">
        <f>IFERROR(VLOOKUP(ROWS($D$2:D38),$A$2:$B$1424,2,0),"")</f>
        <v>Breckland</v>
      </c>
    </row>
    <row r="39" spans="1:4" x14ac:dyDescent="0.2">
      <c r="A39" s="354">
        <f>IF(ISNUMBER(SEARCH('Area summary'!$E$3,B39)),MAX($A$1:A38)+1,0)</f>
        <v>37</v>
      </c>
      <c r="B39" s="354" t="s">
        <v>341</v>
      </c>
      <c r="D39" s="354" t="str">
        <f>IFERROR(VLOOKUP(ROWS($D$2:D39),$A$2:$B$1424,2,0),"")</f>
        <v>Brent</v>
      </c>
    </row>
    <row r="40" spans="1:4" x14ac:dyDescent="0.2">
      <c r="A40" s="354">
        <f>IF(ISNUMBER(SEARCH('Area summary'!$E$3,B40)),MAX($A$1:A39)+1,0)</f>
        <v>38</v>
      </c>
      <c r="B40" s="354" t="s">
        <v>343</v>
      </c>
      <c r="D40" s="354" t="str">
        <f>IFERROR(VLOOKUP(ROWS($D$2:D40),$A$2:$B$1424,2,0),"")</f>
        <v>Brentwood</v>
      </c>
    </row>
    <row r="41" spans="1:4" x14ac:dyDescent="0.2">
      <c r="A41" s="354">
        <f>IF(ISNUMBER(SEARCH('Area summary'!$E$3,B41)),MAX($A$1:A40)+1,0)</f>
        <v>39</v>
      </c>
      <c r="B41" s="354" t="s">
        <v>345</v>
      </c>
      <c r="D41" s="354" t="str">
        <f>IFERROR(VLOOKUP(ROWS($D$2:D41),$A$2:$B$1424,2,0),"")</f>
        <v>Brighton and Hove</v>
      </c>
    </row>
    <row r="42" spans="1:4" x14ac:dyDescent="0.2">
      <c r="A42" s="354">
        <f>IF(ISNUMBER(SEARCH('Area summary'!$E$3,B42)),MAX($A$1:A41)+1,0)</f>
        <v>40</v>
      </c>
      <c r="B42" s="354" t="s">
        <v>347</v>
      </c>
      <c r="D42" s="354" t="str">
        <f>IFERROR(VLOOKUP(ROWS($D$2:D42),$A$2:$B$1424,2,0),"")</f>
        <v>Bristol, City of</v>
      </c>
    </row>
    <row r="43" spans="1:4" x14ac:dyDescent="0.2">
      <c r="A43" s="354">
        <f>IF(ISNUMBER(SEARCH('Area summary'!$E$3,B43)),MAX($A$1:A42)+1,0)</f>
        <v>41</v>
      </c>
      <c r="B43" s="354" t="s">
        <v>349</v>
      </c>
      <c r="D43" s="354" t="str">
        <f>IFERROR(VLOOKUP(ROWS($D$2:D43),$A$2:$B$1424,2,0),"")</f>
        <v>Broadland</v>
      </c>
    </row>
    <row r="44" spans="1:4" x14ac:dyDescent="0.2">
      <c r="A44" s="354">
        <f>IF(ISNUMBER(SEARCH('Area summary'!$E$3,B44)),MAX($A$1:A43)+1,0)</f>
        <v>42</v>
      </c>
      <c r="B44" s="354" t="s">
        <v>351</v>
      </c>
      <c r="D44" s="354" t="str">
        <f>IFERROR(VLOOKUP(ROWS($D$2:D44),$A$2:$B$1424,2,0),"")</f>
        <v>Bromley</v>
      </c>
    </row>
    <row r="45" spans="1:4" x14ac:dyDescent="0.2">
      <c r="A45" s="354">
        <f>IF(ISNUMBER(SEARCH('Area summary'!$E$3,B45)),MAX($A$1:A44)+1,0)</f>
        <v>43</v>
      </c>
      <c r="B45" s="354" t="s">
        <v>353</v>
      </c>
      <c r="D45" s="354" t="str">
        <f>IFERROR(VLOOKUP(ROWS($D$2:D45),$A$2:$B$1424,2,0),"")</f>
        <v>Bromsgrove</v>
      </c>
    </row>
    <row r="46" spans="1:4" x14ac:dyDescent="0.2">
      <c r="A46" s="354">
        <f>IF(ISNUMBER(SEARCH('Area summary'!$E$3,B46)),MAX($A$1:A45)+1,0)</f>
        <v>44</v>
      </c>
      <c r="B46" s="354" t="s">
        <v>355</v>
      </c>
      <c r="D46" s="354" t="str">
        <f>IFERROR(VLOOKUP(ROWS($D$2:D46),$A$2:$B$1424,2,0),"")</f>
        <v>Broxbourne</v>
      </c>
    </row>
    <row r="47" spans="1:4" x14ac:dyDescent="0.2">
      <c r="A47" s="354">
        <f>IF(ISNUMBER(SEARCH('Area summary'!$E$3,B47)),MAX($A$1:A46)+1,0)</f>
        <v>45</v>
      </c>
      <c r="B47" s="354" t="s">
        <v>357</v>
      </c>
      <c r="D47" s="354" t="str">
        <f>IFERROR(VLOOKUP(ROWS($D$2:D47),$A$2:$B$1424,2,0),"")</f>
        <v>Broxtowe</v>
      </c>
    </row>
    <row r="48" spans="1:4" x14ac:dyDescent="0.2">
      <c r="A48" s="354">
        <f>IF(ISNUMBER(SEARCH('Area summary'!$E$3,B48)),MAX($A$1:A47)+1,0)</f>
        <v>46</v>
      </c>
      <c r="B48" s="354" t="s">
        <v>359</v>
      </c>
      <c r="D48" s="354" t="str">
        <f>IFERROR(VLOOKUP(ROWS($D$2:D48),$A$2:$B$1424,2,0),"")</f>
        <v>Buckinghamshire</v>
      </c>
    </row>
    <row r="49" spans="1:4" x14ac:dyDescent="0.2">
      <c r="A49" s="354">
        <f>IF(ISNUMBER(SEARCH('Area summary'!$E$3,B49)),MAX($A$1:A48)+1,0)</f>
        <v>47</v>
      </c>
      <c r="B49" s="354" t="s">
        <v>9851</v>
      </c>
      <c r="D49" s="354" t="str">
        <f>IFERROR(VLOOKUP(ROWS($D$2:D49),$A$2:$B$1424,2,0),"")</f>
        <v>Burnley</v>
      </c>
    </row>
    <row r="50" spans="1:4" x14ac:dyDescent="0.2">
      <c r="A50" s="354">
        <f>IF(ISNUMBER(SEARCH('Area summary'!$E$3,B50)),MAX($A$1:A49)+1,0)</f>
        <v>48</v>
      </c>
      <c r="B50" s="354" t="s">
        <v>361</v>
      </c>
      <c r="D50" s="354" t="str">
        <f>IFERROR(VLOOKUP(ROWS($D$2:D50),$A$2:$B$1424,2,0),"")</f>
        <v>Bury</v>
      </c>
    </row>
    <row r="51" spans="1:4" x14ac:dyDescent="0.2">
      <c r="A51" s="354">
        <f>IF(ISNUMBER(SEARCH('Area summary'!$E$3,B51)),MAX($A$1:A50)+1,0)</f>
        <v>49</v>
      </c>
      <c r="B51" s="354" t="s">
        <v>363</v>
      </c>
      <c r="D51" s="354" t="str">
        <f>IFERROR(VLOOKUP(ROWS($D$2:D51),$A$2:$B$1424,2,0),"")</f>
        <v>Calderdale</v>
      </c>
    </row>
    <row r="52" spans="1:4" x14ac:dyDescent="0.2">
      <c r="A52" s="354">
        <f>IF(ISNUMBER(SEARCH('Area summary'!$E$3,B52)),MAX($A$1:A51)+1,0)</f>
        <v>50</v>
      </c>
      <c r="B52" s="354" t="s">
        <v>365</v>
      </c>
      <c r="D52" s="354" t="str">
        <f>IFERROR(VLOOKUP(ROWS($D$2:D52),$A$2:$B$1424,2,0),"")</f>
        <v>Cambridge</v>
      </c>
    </row>
    <row r="53" spans="1:4" x14ac:dyDescent="0.2">
      <c r="A53" s="354">
        <f>IF(ISNUMBER(SEARCH('Area summary'!$E$3,B53)),MAX($A$1:A52)+1,0)</f>
        <v>51</v>
      </c>
      <c r="B53" s="354" t="s">
        <v>367</v>
      </c>
      <c r="D53" s="354" t="str">
        <f>IFERROR(VLOOKUP(ROWS($D$2:D53),$A$2:$B$1424,2,0),"")</f>
        <v>Camden</v>
      </c>
    </row>
    <row r="54" spans="1:4" x14ac:dyDescent="0.2">
      <c r="A54" s="354">
        <f>IF(ISNUMBER(SEARCH('Area summary'!$E$3,B54)),MAX($A$1:A53)+1,0)</f>
        <v>52</v>
      </c>
      <c r="B54" s="354" t="s">
        <v>369</v>
      </c>
      <c r="D54" s="354" t="str">
        <f>IFERROR(VLOOKUP(ROWS($D$2:D54),$A$2:$B$1424,2,0),"")</f>
        <v>Cannock Chase</v>
      </c>
    </row>
    <row r="55" spans="1:4" x14ac:dyDescent="0.2">
      <c r="A55" s="354">
        <f>IF(ISNUMBER(SEARCH('Area summary'!$E$3,B55)),MAX($A$1:A54)+1,0)</f>
        <v>53</v>
      </c>
      <c r="B55" s="354" t="s">
        <v>371</v>
      </c>
      <c r="D55" s="354" t="str">
        <f>IFERROR(VLOOKUP(ROWS($D$2:D55),$A$2:$B$1424,2,0),"")</f>
        <v>Canterbury</v>
      </c>
    </row>
    <row r="56" spans="1:4" x14ac:dyDescent="0.2">
      <c r="A56" s="354">
        <f>IF(ISNUMBER(SEARCH('Area summary'!$E$3,B56)),MAX($A$1:A55)+1,0)</f>
        <v>54</v>
      </c>
      <c r="B56" s="354" t="s">
        <v>373</v>
      </c>
      <c r="D56" s="354" t="str">
        <f>IFERROR(VLOOKUP(ROWS($D$2:D56),$A$2:$B$1424,2,0),"")</f>
        <v>Castle Point</v>
      </c>
    </row>
    <row r="57" spans="1:4" x14ac:dyDescent="0.2">
      <c r="A57" s="354">
        <f>IF(ISNUMBER(SEARCH('Area summary'!$E$3,B57)),MAX($A$1:A56)+1,0)</f>
        <v>55</v>
      </c>
      <c r="B57" s="354" t="s">
        <v>375</v>
      </c>
      <c r="D57" s="354" t="str">
        <f>IFERROR(VLOOKUP(ROWS($D$2:D57),$A$2:$B$1424,2,0),"")</f>
        <v>Central Bedfordshire</v>
      </c>
    </row>
    <row r="58" spans="1:4" x14ac:dyDescent="0.2">
      <c r="A58" s="354">
        <f>IF(ISNUMBER(SEARCH('Area summary'!$E$3,B58)),MAX($A$1:A57)+1,0)</f>
        <v>56</v>
      </c>
      <c r="B58" s="354" t="s">
        <v>377</v>
      </c>
      <c r="D58" s="354" t="str">
        <f>IFERROR(VLOOKUP(ROWS($D$2:D58),$A$2:$B$1424,2,0),"")</f>
        <v>Charnwood</v>
      </c>
    </row>
    <row r="59" spans="1:4" x14ac:dyDescent="0.2">
      <c r="A59" s="354">
        <f>IF(ISNUMBER(SEARCH('Area summary'!$E$3,B59)),MAX($A$1:A58)+1,0)</f>
        <v>57</v>
      </c>
      <c r="B59" s="354" t="s">
        <v>379</v>
      </c>
      <c r="D59" s="354" t="str">
        <f>IFERROR(VLOOKUP(ROWS($D$2:D59),$A$2:$B$1424,2,0),"")</f>
        <v>Chelmsford</v>
      </c>
    </row>
    <row r="60" spans="1:4" x14ac:dyDescent="0.2">
      <c r="A60" s="354">
        <f>IF(ISNUMBER(SEARCH('Area summary'!$E$3,B60)),MAX($A$1:A59)+1,0)</f>
        <v>58</v>
      </c>
      <c r="B60" s="354" t="s">
        <v>381</v>
      </c>
      <c r="D60" s="354" t="str">
        <f>IFERROR(VLOOKUP(ROWS($D$2:D60),$A$2:$B$1424,2,0),"")</f>
        <v>Cheltenham</v>
      </c>
    </row>
    <row r="61" spans="1:4" x14ac:dyDescent="0.2">
      <c r="A61" s="354">
        <f>IF(ISNUMBER(SEARCH('Area summary'!$E$3,B61)),MAX($A$1:A60)+1,0)</f>
        <v>59</v>
      </c>
      <c r="B61" s="354" t="s">
        <v>383</v>
      </c>
      <c r="D61" s="354" t="str">
        <f>IFERROR(VLOOKUP(ROWS($D$2:D61),$A$2:$B$1424,2,0),"")</f>
        <v>Cherwell</v>
      </c>
    </row>
    <row r="62" spans="1:4" x14ac:dyDescent="0.2">
      <c r="A62" s="354">
        <f>IF(ISNUMBER(SEARCH('Area summary'!$E$3,B62)),MAX($A$1:A61)+1,0)</f>
        <v>60</v>
      </c>
      <c r="B62" s="354" t="s">
        <v>385</v>
      </c>
      <c r="D62" s="354" t="str">
        <f>IFERROR(VLOOKUP(ROWS($D$2:D62),$A$2:$B$1424,2,0),"")</f>
        <v>Cheshire East</v>
      </c>
    </row>
    <row r="63" spans="1:4" x14ac:dyDescent="0.2">
      <c r="A63" s="354">
        <f>IF(ISNUMBER(SEARCH('Area summary'!$E$3,B63)),MAX($A$1:A62)+1,0)</f>
        <v>61</v>
      </c>
      <c r="B63" s="354" t="s">
        <v>387</v>
      </c>
      <c r="D63" s="354" t="str">
        <f>IFERROR(VLOOKUP(ROWS($D$2:D63),$A$2:$B$1424,2,0),"")</f>
        <v>Cheshire West and Chester</v>
      </c>
    </row>
    <row r="64" spans="1:4" x14ac:dyDescent="0.2">
      <c r="A64" s="354">
        <f>IF(ISNUMBER(SEARCH('Area summary'!$E$3,B64)),MAX($A$1:A63)+1,0)</f>
        <v>62</v>
      </c>
      <c r="B64" s="354" t="s">
        <v>389</v>
      </c>
      <c r="D64" s="354" t="str">
        <f>IFERROR(VLOOKUP(ROWS($D$2:D64),$A$2:$B$1424,2,0),"")</f>
        <v>Chesterfield</v>
      </c>
    </row>
    <row r="65" spans="1:4" x14ac:dyDescent="0.2">
      <c r="A65" s="354">
        <f>IF(ISNUMBER(SEARCH('Area summary'!$E$3,B65)),MAX($A$1:A64)+1,0)</f>
        <v>63</v>
      </c>
      <c r="B65" s="354" t="s">
        <v>391</v>
      </c>
      <c r="D65" s="354" t="str">
        <f>IFERROR(VLOOKUP(ROWS($D$2:D65),$A$2:$B$1424,2,0),"")</f>
        <v>Chichester</v>
      </c>
    </row>
    <row r="66" spans="1:4" x14ac:dyDescent="0.2">
      <c r="A66" s="354">
        <f>IF(ISNUMBER(SEARCH('Area summary'!$E$3,B66)),MAX($A$1:A65)+1,0)</f>
        <v>64</v>
      </c>
      <c r="B66" s="354" t="s">
        <v>393</v>
      </c>
      <c r="D66" s="354" t="str">
        <f>IFERROR(VLOOKUP(ROWS($D$2:D66),$A$2:$B$1424,2,0),"")</f>
        <v>Chorley</v>
      </c>
    </row>
    <row r="67" spans="1:4" x14ac:dyDescent="0.2">
      <c r="A67" s="354">
        <f>IF(ISNUMBER(SEARCH('Area summary'!$E$3,B67)),MAX($A$1:A66)+1,0)</f>
        <v>65</v>
      </c>
      <c r="B67" s="354" t="s">
        <v>395</v>
      </c>
      <c r="D67" s="354" t="str">
        <f>IFERROR(VLOOKUP(ROWS($D$2:D67),$A$2:$B$1424,2,0),"")</f>
        <v>City of London</v>
      </c>
    </row>
    <row r="68" spans="1:4" x14ac:dyDescent="0.2">
      <c r="A68" s="354">
        <f>IF(ISNUMBER(SEARCH('Area summary'!$E$3,B68)),MAX($A$1:A67)+1,0)</f>
        <v>66</v>
      </c>
      <c r="B68" s="354" t="s">
        <v>397</v>
      </c>
      <c r="D68" s="354" t="str">
        <f>IFERROR(VLOOKUP(ROWS($D$2:D68),$A$2:$B$1424,2,0),"")</f>
        <v>Colchester</v>
      </c>
    </row>
    <row r="69" spans="1:4" x14ac:dyDescent="0.2">
      <c r="A69" s="354">
        <f>IF(ISNUMBER(SEARCH('Area summary'!$E$3,B69)),MAX($A$1:A68)+1,0)</f>
        <v>67</v>
      </c>
      <c r="B69" s="354" t="s">
        <v>399</v>
      </c>
      <c r="D69" s="354" t="str">
        <f>IFERROR(VLOOKUP(ROWS($D$2:D69),$A$2:$B$1424,2,0),"")</f>
        <v>Cornwall</v>
      </c>
    </row>
    <row r="70" spans="1:4" x14ac:dyDescent="0.2">
      <c r="A70" s="354">
        <f>IF(ISNUMBER(SEARCH('Area summary'!$E$3,B70)),MAX($A$1:A69)+1,0)</f>
        <v>68</v>
      </c>
      <c r="B70" s="354" t="s">
        <v>401</v>
      </c>
      <c r="D70" s="354" t="str">
        <f>IFERROR(VLOOKUP(ROWS($D$2:D70),$A$2:$B$1424,2,0),"")</f>
        <v>Cotswold</v>
      </c>
    </row>
    <row r="71" spans="1:4" x14ac:dyDescent="0.2">
      <c r="A71" s="354">
        <f>IF(ISNUMBER(SEARCH('Area summary'!$E$3,B71)),MAX($A$1:A70)+1,0)</f>
        <v>69</v>
      </c>
      <c r="B71" s="354" t="s">
        <v>403</v>
      </c>
      <c r="D71" s="354" t="str">
        <f>IFERROR(VLOOKUP(ROWS($D$2:D71),$A$2:$B$1424,2,0),"")</f>
        <v>County Durham</v>
      </c>
    </row>
    <row r="72" spans="1:4" x14ac:dyDescent="0.2">
      <c r="A72" s="354">
        <f>IF(ISNUMBER(SEARCH('Area summary'!$E$3,B72)),MAX($A$1:A71)+1,0)</f>
        <v>70</v>
      </c>
      <c r="B72" s="354" t="s">
        <v>405</v>
      </c>
      <c r="D72" s="354" t="str">
        <f>IFERROR(VLOOKUP(ROWS($D$2:D72),$A$2:$B$1424,2,0),"")</f>
        <v>Coventry</v>
      </c>
    </row>
    <row r="73" spans="1:4" x14ac:dyDescent="0.2">
      <c r="A73" s="354">
        <f>IF(ISNUMBER(SEARCH('Area summary'!$E$3,B73)),MAX($A$1:A72)+1,0)</f>
        <v>71</v>
      </c>
      <c r="B73" s="354" t="s">
        <v>407</v>
      </c>
      <c r="D73" s="354" t="str">
        <f>IFERROR(VLOOKUP(ROWS($D$2:D73),$A$2:$B$1424,2,0),"")</f>
        <v>Crawley</v>
      </c>
    </row>
    <row r="74" spans="1:4" x14ac:dyDescent="0.2">
      <c r="A74" s="354">
        <f>IF(ISNUMBER(SEARCH('Area summary'!$E$3,B74)),MAX($A$1:A73)+1,0)</f>
        <v>72</v>
      </c>
      <c r="B74" s="354" t="s">
        <v>409</v>
      </c>
      <c r="D74" s="354" t="str">
        <f>IFERROR(VLOOKUP(ROWS($D$2:D74),$A$2:$B$1424,2,0),"")</f>
        <v>Croydon</v>
      </c>
    </row>
    <row r="75" spans="1:4" x14ac:dyDescent="0.2">
      <c r="A75" s="354">
        <f>IF(ISNUMBER(SEARCH('Area summary'!$E$3,B75)),MAX($A$1:A74)+1,0)</f>
        <v>73</v>
      </c>
      <c r="B75" s="354" t="s">
        <v>411</v>
      </c>
      <c r="D75" s="354" t="str">
        <f>IFERROR(VLOOKUP(ROWS($D$2:D75),$A$2:$B$1424,2,0),"")</f>
        <v>Cumberland</v>
      </c>
    </row>
    <row r="76" spans="1:4" x14ac:dyDescent="0.2">
      <c r="A76" s="354">
        <f>IF(ISNUMBER(SEARCH('Area summary'!$E$3,B76)),MAX($A$1:A75)+1,0)</f>
        <v>74</v>
      </c>
      <c r="B76" s="354" t="s">
        <v>14365</v>
      </c>
      <c r="D76" s="354" t="str">
        <f>IFERROR(VLOOKUP(ROWS($D$2:D76),$A$2:$B$1424,2,0),"")</f>
        <v>Dacorum</v>
      </c>
    </row>
    <row r="77" spans="1:4" x14ac:dyDescent="0.2">
      <c r="A77" s="354">
        <f>IF(ISNUMBER(SEARCH('Area summary'!$E$3,B77)),MAX($A$1:A76)+1,0)</f>
        <v>75</v>
      </c>
      <c r="B77" s="354" t="s">
        <v>413</v>
      </c>
      <c r="D77" s="354" t="str">
        <f>IFERROR(VLOOKUP(ROWS($D$2:D77),$A$2:$B$1424,2,0),"")</f>
        <v>Darlington</v>
      </c>
    </row>
    <row r="78" spans="1:4" x14ac:dyDescent="0.2">
      <c r="A78" s="354">
        <f>IF(ISNUMBER(SEARCH('Area summary'!$E$3,B78)),MAX($A$1:A77)+1,0)</f>
        <v>76</v>
      </c>
      <c r="B78" s="354" t="s">
        <v>415</v>
      </c>
      <c r="D78" s="354" t="str">
        <f>IFERROR(VLOOKUP(ROWS($D$2:D78),$A$2:$B$1424,2,0),"")</f>
        <v>Dartford</v>
      </c>
    </row>
    <row r="79" spans="1:4" x14ac:dyDescent="0.2">
      <c r="A79" s="354">
        <f>IF(ISNUMBER(SEARCH('Area summary'!$E$3,B79)),MAX($A$1:A78)+1,0)</f>
        <v>77</v>
      </c>
      <c r="B79" s="354" t="s">
        <v>417</v>
      </c>
      <c r="D79" s="354" t="str">
        <f>IFERROR(VLOOKUP(ROWS($D$2:D79),$A$2:$B$1424,2,0),"")</f>
        <v>Derby</v>
      </c>
    </row>
    <row r="80" spans="1:4" x14ac:dyDescent="0.2">
      <c r="A80" s="354">
        <f>IF(ISNUMBER(SEARCH('Area summary'!$E$3,B80)),MAX($A$1:A79)+1,0)</f>
        <v>78</v>
      </c>
      <c r="B80" s="354" t="s">
        <v>419</v>
      </c>
      <c r="D80" s="354" t="str">
        <f>IFERROR(VLOOKUP(ROWS($D$2:D80),$A$2:$B$1424,2,0),"")</f>
        <v>Derbyshire Dales</v>
      </c>
    </row>
    <row r="81" spans="1:4" x14ac:dyDescent="0.2">
      <c r="A81" s="354">
        <f>IF(ISNUMBER(SEARCH('Area summary'!$E$3,B81)),MAX($A$1:A80)+1,0)</f>
        <v>79</v>
      </c>
      <c r="B81" s="354" t="s">
        <v>421</v>
      </c>
      <c r="D81" s="354" t="str">
        <f>IFERROR(VLOOKUP(ROWS($D$2:D81),$A$2:$B$1424,2,0),"")</f>
        <v>Doncaster</v>
      </c>
    </row>
    <row r="82" spans="1:4" x14ac:dyDescent="0.2">
      <c r="A82" s="354">
        <f>IF(ISNUMBER(SEARCH('Area summary'!$E$3,B82)),MAX($A$1:A81)+1,0)</f>
        <v>80</v>
      </c>
      <c r="B82" s="354" t="s">
        <v>423</v>
      </c>
      <c r="D82" s="354" t="str">
        <f>IFERROR(VLOOKUP(ROWS($D$2:D82),$A$2:$B$1424,2,0),"")</f>
        <v>Dorset</v>
      </c>
    </row>
    <row r="83" spans="1:4" x14ac:dyDescent="0.2">
      <c r="A83" s="354">
        <f>IF(ISNUMBER(SEARCH('Area summary'!$E$3,B83)),MAX($A$1:A82)+1,0)</f>
        <v>81</v>
      </c>
      <c r="B83" s="354" t="s">
        <v>425</v>
      </c>
      <c r="D83" s="354" t="str">
        <f>IFERROR(VLOOKUP(ROWS($D$2:D83),$A$2:$B$1424,2,0),"")</f>
        <v>Dover</v>
      </c>
    </row>
    <row r="84" spans="1:4" x14ac:dyDescent="0.2">
      <c r="A84" s="354">
        <f>IF(ISNUMBER(SEARCH('Area summary'!$E$3,B84)),MAX($A$1:A83)+1,0)</f>
        <v>82</v>
      </c>
      <c r="B84" s="354" t="s">
        <v>427</v>
      </c>
      <c r="D84" s="354" t="str">
        <f>IFERROR(VLOOKUP(ROWS($D$2:D84),$A$2:$B$1424,2,0),"")</f>
        <v>Dudley</v>
      </c>
    </row>
    <row r="85" spans="1:4" x14ac:dyDescent="0.2">
      <c r="A85" s="354">
        <f>IF(ISNUMBER(SEARCH('Area summary'!$E$3,B85)),MAX($A$1:A84)+1,0)</f>
        <v>83</v>
      </c>
      <c r="B85" s="354" t="s">
        <v>429</v>
      </c>
      <c r="D85" s="354" t="str">
        <f>IFERROR(VLOOKUP(ROWS($D$2:D85),$A$2:$B$1424,2,0),"")</f>
        <v>Ealing</v>
      </c>
    </row>
    <row r="86" spans="1:4" x14ac:dyDescent="0.2">
      <c r="A86" s="354">
        <f>IF(ISNUMBER(SEARCH('Area summary'!$E$3,B86)),MAX($A$1:A85)+1,0)</f>
        <v>84</v>
      </c>
      <c r="B86" s="354" t="s">
        <v>431</v>
      </c>
      <c r="D86" s="354" t="str">
        <f>IFERROR(VLOOKUP(ROWS($D$2:D86),$A$2:$B$1424,2,0),"")</f>
        <v>East Cambridgeshire</v>
      </c>
    </row>
    <row r="87" spans="1:4" x14ac:dyDescent="0.2">
      <c r="A87" s="354">
        <f>IF(ISNUMBER(SEARCH('Area summary'!$E$3,B87)),MAX($A$1:A86)+1,0)</f>
        <v>85</v>
      </c>
      <c r="B87" s="354" t="s">
        <v>433</v>
      </c>
      <c r="D87" s="354" t="str">
        <f>IFERROR(VLOOKUP(ROWS($D$2:D87),$A$2:$B$1424,2,0),"")</f>
        <v>East Devon</v>
      </c>
    </row>
    <row r="88" spans="1:4" x14ac:dyDescent="0.2">
      <c r="A88" s="354">
        <f>IF(ISNUMBER(SEARCH('Area summary'!$E$3,B88)),MAX($A$1:A87)+1,0)</f>
        <v>86</v>
      </c>
      <c r="B88" s="354" t="s">
        <v>435</v>
      </c>
      <c r="D88" s="354" t="str">
        <f>IFERROR(VLOOKUP(ROWS($D$2:D88),$A$2:$B$1424,2,0),"")</f>
        <v>East Hampshire</v>
      </c>
    </row>
    <row r="89" spans="1:4" x14ac:dyDescent="0.2">
      <c r="A89" s="354">
        <f>IF(ISNUMBER(SEARCH('Area summary'!$E$3,B89)),MAX($A$1:A88)+1,0)</f>
        <v>87</v>
      </c>
      <c r="B89" s="354" t="s">
        <v>437</v>
      </c>
      <c r="D89" s="354" t="str">
        <f>IFERROR(VLOOKUP(ROWS($D$2:D89),$A$2:$B$1424,2,0),"")</f>
        <v>East Hertfordshire</v>
      </c>
    </row>
    <row r="90" spans="1:4" x14ac:dyDescent="0.2">
      <c r="A90" s="354">
        <f>IF(ISNUMBER(SEARCH('Area summary'!$E$3,B90)),MAX($A$1:A89)+1,0)</f>
        <v>88</v>
      </c>
      <c r="B90" s="354" t="s">
        <v>439</v>
      </c>
      <c r="D90" s="354" t="str">
        <f>IFERROR(VLOOKUP(ROWS($D$2:D90),$A$2:$B$1424,2,0),"")</f>
        <v>East Lindsey</v>
      </c>
    </row>
    <row r="91" spans="1:4" x14ac:dyDescent="0.2">
      <c r="A91" s="354">
        <f>IF(ISNUMBER(SEARCH('Area summary'!$E$3,B91)),MAX($A$1:A90)+1,0)</f>
        <v>89</v>
      </c>
      <c r="B91" s="354" t="s">
        <v>441</v>
      </c>
      <c r="D91" s="354" t="str">
        <f>IFERROR(VLOOKUP(ROWS($D$2:D91),$A$2:$B$1424,2,0),"")</f>
        <v>East Riding of Yorkshire</v>
      </c>
    </row>
    <row r="92" spans="1:4" x14ac:dyDescent="0.2">
      <c r="A92" s="354">
        <f>IF(ISNUMBER(SEARCH('Area summary'!$E$3,B92)),MAX($A$1:A91)+1,0)</f>
        <v>90</v>
      </c>
      <c r="B92" s="354" t="s">
        <v>443</v>
      </c>
      <c r="D92" s="354" t="str">
        <f>IFERROR(VLOOKUP(ROWS($D$2:D92),$A$2:$B$1424,2,0),"")</f>
        <v>East Staffordshire</v>
      </c>
    </row>
    <row r="93" spans="1:4" x14ac:dyDescent="0.2">
      <c r="A93" s="354">
        <f>IF(ISNUMBER(SEARCH('Area summary'!$E$3,B93)),MAX($A$1:A92)+1,0)</f>
        <v>91</v>
      </c>
      <c r="B93" s="354" t="s">
        <v>445</v>
      </c>
      <c r="D93" s="354" t="str">
        <f>IFERROR(VLOOKUP(ROWS($D$2:D93),$A$2:$B$1424,2,0),"")</f>
        <v>East Suffolk</v>
      </c>
    </row>
    <row r="94" spans="1:4" x14ac:dyDescent="0.2">
      <c r="A94" s="354">
        <f>IF(ISNUMBER(SEARCH('Area summary'!$E$3,B94)),MAX($A$1:A93)+1,0)</f>
        <v>92</v>
      </c>
      <c r="B94" s="354" t="s">
        <v>447</v>
      </c>
      <c r="D94" s="354" t="str">
        <f>IFERROR(VLOOKUP(ROWS($D$2:D94),$A$2:$B$1424,2,0),"")</f>
        <v>Eastbourne</v>
      </c>
    </row>
    <row r="95" spans="1:4" x14ac:dyDescent="0.2">
      <c r="A95" s="354">
        <f>IF(ISNUMBER(SEARCH('Area summary'!$E$3,B95)),MAX($A$1:A94)+1,0)</f>
        <v>93</v>
      </c>
      <c r="B95" s="354" t="s">
        <v>449</v>
      </c>
      <c r="D95" s="354" t="str">
        <f>IFERROR(VLOOKUP(ROWS($D$2:D95),$A$2:$B$1424,2,0),"")</f>
        <v>Eastleigh</v>
      </c>
    </row>
    <row r="96" spans="1:4" x14ac:dyDescent="0.2">
      <c r="A96" s="354">
        <f>IF(ISNUMBER(SEARCH('Area summary'!$E$3,B96)),MAX($A$1:A95)+1,0)</f>
        <v>94</v>
      </c>
      <c r="B96" s="354" t="s">
        <v>451</v>
      </c>
      <c r="D96" s="354" t="str">
        <f>IFERROR(VLOOKUP(ROWS($D$2:D96),$A$2:$B$1424,2,0),"")</f>
        <v>Elmbridge</v>
      </c>
    </row>
    <row r="97" spans="1:4" x14ac:dyDescent="0.2">
      <c r="A97" s="354">
        <f>IF(ISNUMBER(SEARCH('Area summary'!$E$3,B97)),MAX($A$1:A96)+1,0)</f>
        <v>95</v>
      </c>
      <c r="B97" s="354" t="s">
        <v>453</v>
      </c>
      <c r="D97" s="354" t="str">
        <f>IFERROR(VLOOKUP(ROWS($D$2:D97),$A$2:$B$1424,2,0),"")</f>
        <v>Enfield</v>
      </c>
    </row>
    <row r="98" spans="1:4" x14ac:dyDescent="0.2">
      <c r="A98" s="354">
        <f>IF(ISNUMBER(SEARCH('Area summary'!$E$3,B98)),MAX($A$1:A97)+1,0)</f>
        <v>96</v>
      </c>
      <c r="B98" s="354" t="s">
        <v>455</v>
      </c>
      <c r="D98" s="354" t="str">
        <f>IFERROR(VLOOKUP(ROWS($D$2:D98),$A$2:$B$1424,2,0),"")</f>
        <v>Epping Forest</v>
      </c>
    </row>
    <row r="99" spans="1:4" x14ac:dyDescent="0.2">
      <c r="A99" s="354">
        <f>IF(ISNUMBER(SEARCH('Area summary'!$E$3,B99)),MAX($A$1:A98)+1,0)</f>
        <v>97</v>
      </c>
      <c r="B99" s="354" t="s">
        <v>457</v>
      </c>
      <c r="D99" s="354" t="str">
        <f>IFERROR(VLOOKUP(ROWS($D$2:D99),$A$2:$B$1424,2,0),"")</f>
        <v>Epsom and Ewell</v>
      </c>
    </row>
    <row r="100" spans="1:4" x14ac:dyDescent="0.2">
      <c r="A100" s="354">
        <f>IF(ISNUMBER(SEARCH('Area summary'!$E$3,B100)),MAX($A$1:A99)+1,0)</f>
        <v>98</v>
      </c>
      <c r="B100" s="354" t="s">
        <v>459</v>
      </c>
      <c r="D100" s="354" t="str">
        <f>IFERROR(VLOOKUP(ROWS($D$2:D100),$A$2:$B$1424,2,0),"")</f>
        <v>Erewash</v>
      </c>
    </row>
    <row r="101" spans="1:4" x14ac:dyDescent="0.2">
      <c r="A101" s="354">
        <f>IF(ISNUMBER(SEARCH('Area summary'!$E$3,B101)),MAX($A$1:A100)+1,0)</f>
        <v>99</v>
      </c>
      <c r="B101" s="354" t="s">
        <v>461</v>
      </c>
      <c r="D101" s="354" t="str">
        <f>IFERROR(VLOOKUP(ROWS($D$2:D101),$A$2:$B$1424,2,0),"")</f>
        <v>Exeter</v>
      </c>
    </row>
    <row r="102" spans="1:4" x14ac:dyDescent="0.2">
      <c r="A102" s="354">
        <f>IF(ISNUMBER(SEARCH('Area summary'!$E$3,B102)),MAX($A$1:A101)+1,0)</f>
        <v>100</v>
      </c>
      <c r="B102" s="354" t="s">
        <v>463</v>
      </c>
      <c r="D102" s="354" t="str">
        <f>IFERROR(VLOOKUP(ROWS($D$2:D102),$A$2:$B$1424,2,0),"")</f>
        <v>Fareham</v>
      </c>
    </row>
    <row r="103" spans="1:4" x14ac:dyDescent="0.2">
      <c r="A103" s="354">
        <f>IF(ISNUMBER(SEARCH('Area summary'!$E$3,B103)),MAX($A$1:A102)+1,0)</f>
        <v>101</v>
      </c>
      <c r="B103" s="354" t="s">
        <v>465</v>
      </c>
      <c r="D103" s="354" t="str">
        <f>IFERROR(VLOOKUP(ROWS($D$2:D103),$A$2:$B$1424,2,0),"")</f>
        <v>Fenland</v>
      </c>
    </row>
    <row r="104" spans="1:4" x14ac:dyDescent="0.2">
      <c r="A104" s="354">
        <f>IF(ISNUMBER(SEARCH('Area summary'!$E$3,B104)),MAX($A$1:A103)+1,0)</f>
        <v>102</v>
      </c>
      <c r="B104" s="354" t="s">
        <v>467</v>
      </c>
      <c r="D104" s="354" t="str">
        <f>IFERROR(VLOOKUP(ROWS($D$2:D104),$A$2:$B$1424,2,0),"")</f>
        <v>Folkestone and Hythe</v>
      </c>
    </row>
    <row r="105" spans="1:4" x14ac:dyDescent="0.2">
      <c r="A105" s="354">
        <f>IF(ISNUMBER(SEARCH('Area summary'!$E$3,B105)),MAX($A$1:A104)+1,0)</f>
        <v>103</v>
      </c>
      <c r="B105" s="354" t="s">
        <v>469</v>
      </c>
      <c r="D105" s="354" t="str">
        <f>IFERROR(VLOOKUP(ROWS($D$2:D105),$A$2:$B$1424,2,0),"")</f>
        <v>Forest of Dean</v>
      </c>
    </row>
    <row r="106" spans="1:4" x14ac:dyDescent="0.2">
      <c r="A106" s="354">
        <f>IF(ISNUMBER(SEARCH('Area summary'!$E$3,B106)),MAX($A$1:A105)+1,0)</f>
        <v>104</v>
      </c>
      <c r="B106" s="354" t="s">
        <v>471</v>
      </c>
      <c r="D106" s="354" t="str">
        <f>IFERROR(VLOOKUP(ROWS($D$2:D106),$A$2:$B$1424,2,0),"")</f>
        <v>Fylde</v>
      </c>
    </row>
    <row r="107" spans="1:4" x14ac:dyDescent="0.2">
      <c r="A107" s="354">
        <f>IF(ISNUMBER(SEARCH('Area summary'!$E$3,B107)),MAX($A$1:A106)+1,0)</f>
        <v>105</v>
      </c>
      <c r="B107" s="354" t="s">
        <v>473</v>
      </c>
      <c r="D107" s="354" t="str">
        <f>IFERROR(VLOOKUP(ROWS($D$2:D107),$A$2:$B$1424,2,0),"")</f>
        <v>Gateshead</v>
      </c>
    </row>
    <row r="108" spans="1:4" x14ac:dyDescent="0.2">
      <c r="A108" s="354">
        <f>IF(ISNUMBER(SEARCH('Area summary'!$E$3,B108)),MAX($A$1:A107)+1,0)</f>
        <v>106</v>
      </c>
      <c r="B108" s="354" t="s">
        <v>475</v>
      </c>
      <c r="D108" s="354" t="str">
        <f>IFERROR(VLOOKUP(ROWS($D$2:D108),$A$2:$B$1424,2,0),"")</f>
        <v>Gedling</v>
      </c>
    </row>
    <row r="109" spans="1:4" x14ac:dyDescent="0.2">
      <c r="A109" s="354">
        <f>IF(ISNUMBER(SEARCH('Area summary'!$E$3,B109)),MAX($A$1:A108)+1,0)</f>
        <v>107</v>
      </c>
      <c r="B109" s="354" t="s">
        <v>477</v>
      </c>
      <c r="D109" s="354" t="str">
        <f>IFERROR(VLOOKUP(ROWS($D$2:D109),$A$2:$B$1424,2,0),"")</f>
        <v>Gloucester</v>
      </c>
    </row>
    <row r="110" spans="1:4" x14ac:dyDescent="0.2">
      <c r="A110" s="354">
        <f>IF(ISNUMBER(SEARCH('Area summary'!$E$3,B110)),MAX($A$1:A109)+1,0)</f>
        <v>108</v>
      </c>
      <c r="B110" s="354" t="s">
        <v>479</v>
      </c>
      <c r="D110" s="354" t="str">
        <f>IFERROR(VLOOKUP(ROWS($D$2:D110),$A$2:$B$1424,2,0),"")</f>
        <v>Gosport</v>
      </c>
    </row>
    <row r="111" spans="1:4" x14ac:dyDescent="0.2">
      <c r="A111" s="354">
        <f>IF(ISNUMBER(SEARCH('Area summary'!$E$3,B111)),MAX($A$1:A110)+1,0)</f>
        <v>109</v>
      </c>
      <c r="B111" s="354" t="s">
        <v>481</v>
      </c>
      <c r="D111" s="354" t="str">
        <f>IFERROR(VLOOKUP(ROWS($D$2:D111),$A$2:$B$1424,2,0),"")</f>
        <v>Gravesham</v>
      </c>
    </row>
    <row r="112" spans="1:4" x14ac:dyDescent="0.2">
      <c r="A112" s="354">
        <f>IF(ISNUMBER(SEARCH('Area summary'!$E$3,B112)),MAX($A$1:A111)+1,0)</f>
        <v>110</v>
      </c>
      <c r="B112" s="354" t="s">
        <v>483</v>
      </c>
      <c r="D112" s="354" t="str">
        <f>IFERROR(VLOOKUP(ROWS($D$2:D112),$A$2:$B$1424,2,0),"")</f>
        <v>Great Yarmouth</v>
      </c>
    </row>
    <row r="113" spans="1:4" x14ac:dyDescent="0.2">
      <c r="A113" s="354">
        <f>IF(ISNUMBER(SEARCH('Area summary'!$E$3,B113)),MAX($A$1:A112)+1,0)</f>
        <v>111</v>
      </c>
      <c r="B113" s="354" t="s">
        <v>485</v>
      </c>
      <c r="D113" s="354" t="str">
        <f>IFERROR(VLOOKUP(ROWS($D$2:D113),$A$2:$B$1424,2,0),"")</f>
        <v>Greenwich</v>
      </c>
    </row>
    <row r="114" spans="1:4" x14ac:dyDescent="0.2">
      <c r="A114" s="354">
        <f>IF(ISNUMBER(SEARCH('Area summary'!$E$3,B114)),MAX($A$1:A113)+1,0)</f>
        <v>112</v>
      </c>
      <c r="B114" s="354" t="s">
        <v>487</v>
      </c>
      <c r="D114" s="354" t="str">
        <f>IFERROR(VLOOKUP(ROWS($D$2:D114),$A$2:$B$1424,2,0),"")</f>
        <v>Guildford</v>
      </c>
    </row>
    <row r="115" spans="1:4" x14ac:dyDescent="0.2">
      <c r="A115" s="354">
        <f>IF(ISNUMBER(SEARCH('Area summary'!$E$3,B115)),MAX($A$1:A114)+1,0)</f>
        <v>113</v>
      </c>
      <c r="B115" s="354" t="s">
        <v>489</v>
      </c>
      <c r="D115" s="354" t="str">
        <f>IFERROR(VLOOKUP(ROWS($D$2:D115),$A$2:$B$1424,2,0),"")</f>
        <v>Hackney</v>
      </c>
    </row>
    <row r="116" spans="1:4" x14ac:dyDescent="0.2">
      <c r="A116" s="354">
        <f>IF(ISNUMBER(SEARCH('Area summary'!$E$3,B116)),MAX($A$1:A115)+1,0)</f>
        <v>114</v>
      </c>
      <c r="B116" s="354" t="s">
        <v>491</v>
      </c>
      <c r="D116" s="354" t="str">
        <f>IFERROR(VLOOKUP(ROWS($D$2:D116),$A$2:$B$1424,2,0),"")</f>
        <v>Halton</v>
      </c>
    </row>
    <row r="117" spans="1:4" x14ac:dyDescent="0.2">
      <c r="A117" s="354">
        <f>IF(ISNUMBER(SEARCH('Area summary'!$E$3,B117)),MAX($A$1:A116)+1,0)</f>
        <v>115</v>
      </c>
      <c r="B117" s="354" t="s">
        <v>493</v>
      </c>
      <c r="D117" s="354" t="str">
        <f>IFERROR(VLOOKUP(ROWS($D$2:D117),$A$2:$B$1424,2,0),"")</f>
        <v>Hammersmith and Fulham</v>
      </c>
    </row>
    <row r="118" spans="1:4" x14ac:dyDescent="0.2">
      <c r="A118" s="354">
        <f>IF(ISNUMBER(SEARCH('Area summary'!$E$3,B118)),MAX($A$1:A117)+1,0)</f>
        <v>116</v>
      </c>
      <c r="B118" s="354" t="s">
        <v>495</v>
      </c>
      <c r="D118" s="354" t="str">
        <f>IFERROR(VLOOKUP(ROWS($D$2:D118),$A$2:$B$1424,2,0),"")</f>
        <v>Harborough</v>
      </c>
    </row>
    <row r="119" spans="1:4" x14ac:dyDescent="0.2">
      <c r="A119" s="354">
        <f>IF(ISNUMBER(SEARCH('Area summary'!$E$3,B119)),MAX($A$1:A118)+1,0)</f>
        <v>117</v>
      </c>
      <c r="B119" s="354" t="s">
        <v>497</v>
      </c>
      <c r="D119" s="354" t="str">
        <f>IFERROR(VLOOKUP(ROWS($D$2:D119),$A$2:$B$1424,2,0),"")</f>
        <v>Haringey</v>
      </c>
    </row>
    <row r="120" spans="1:4" x14ac:dyDescent="0.2">
      <c r="A120" s="354">
        <f>IF(ISNUMBER(SEARCH('Area summary'!$E$3,B120)),MAX($A$1:A119)+1,0)</f>
        <v>118</v>
      </c>
      <c r="B120" s="354" t="s">
        <v>499</v>
      </c>
      <c r="D120" s="354" t="str">
        <f>IFERROR(VLOOKUP(ROWS($D$2:D120),$A$2:$B$1424,2,0),"")</f>
        <v>Harlow</v>
      </c>
    </row>
    <row r="121" spans="1:4" x14ac:dyDescent="0.2">
      <c r="A121" s="354">
        <f>IF(ISNUMBER(SEARCH('Area summary'!$E$3,B121)),MAX($A$1:A120)+1,0)</f>
        <v>119</v>
      </c>
      <c r="B121" s="354" t="s">
        <v>501</v>
      </c>
      <c r="D121" s="354" t="str">
        <f>IFERROR(VLOOKUP(ROWS($D$2:D121),$A$2:$B$1424,2,0),"")</f>
        <v>Harrow</v>
      </c>
    </row>
    <row r="122" spans="1:4" x14ac:dyDescent="0.2">
      <c r="A122" s="354">
        <f>IF(ISNUMBER(SEARCH('Area summary'!$E$3,B122)),MAX($A$1:A121)+1,0)</f>
        <v>120</v>
      </c>
      <c r="B122" s="354" t="s">
        <v>503</v>
      </c>
      <c r="D122" s="354" t="str">
        <f>IFERROR(VLOOKUP(ROWS($D$2:D122),$A$2:$B$1424,2,0),"")</f>
        <v>Hart</v>
      </c>
    </row>
    <row r="123" spans="1:4" x14ac:dyDescent="0.2">
      <c r="A123" s="354">
        <f>IF(ISNUMBER(SEARCH('Area summary'!$E$3,B123)),MAX($A$1:A122)+1,0)</f>
        <v>121</v>
      </c>
      <c r="B123" s="354" t="s">
        <v>505</v>
      </c>
      <c r="D123" s="354" t="str">
        <f>IFERROR(VLOOKUP(ROWS($D$2:D123),$A$2:$B$1424,2,0),"")</f>
        <v>Hartlepool</v>
      </c>
    </row>
    <row r="124" spans="1:4" x14ac:dyDescent="0.2">
      <c r="A124" s="354">
        <f>IF(ISNUMBER(SEARCH('Area summary'!$E$3,B124)),MAX($A$1:A123)+1,0)</f>
        <v>122</v>
      </c>
      <c r="B124" s="354" t="s">
        <v>507</v>
      </c>
      <c r="D124" s="354" t="str">
        <f>IFERROR(VLOOKUP(ROWS($D$2:D124),$A$2:$B$1424,2,0),"")</f>
        <v>Hastings</v>
      </c>
    </row>
    <row r="125" spans="1:4" x14ac:dyDescent="0.2">
      <c r="A125" s="354">
        <f>IF(ISNUMBER(SEARCH('Area summary'!$E$3,B125)),MAX($A$1:A124)+1,0)</f>
        <v>123</v>
      </c>
      <c r="B125" s="354" t="s">
        <v>509</v>
      </c>
      <c r="D125" s="354" t="str">
        <f>IFERROR(VLOOKUP(ROWS($D$2:D125),$A$2:$B$1424,2,0),"")</f>
        <v>Havant</v>
      </c>
    </row>
    <row r="126" spans="1:4" x14ac:dyDescent="0.2">
      <c r="A126" s="354">
        <f>IF(ISNUMBER(SEARCH('Area summary'!$E$3,B126)),MAX($A$1:A125)+1,0)</f>
        <v>124</v>
      </c>
      <c r="B126" s="354" t="s">
        <v>511</v>
      </c>
      <c r="D126" s="354" t="str">
        <f>IFERROR(VLOOKUP(ROWS($D$2:D126),$A$2:$B$1424,2,0),"")</f>
        <v>Havering</v>
      </c>
    </row>
    <row r="127" spans="1:4" x14ac:dyDescent="0.2">
      <c r="A127" s="354">
        <f>IF(ISNUMBER(SEARCH('Area summary'!$E$3,B127)),MAX($A$1:A126)+1,0)</f>
        <v>125</v>
      </c>
      <c r="B127" s="354" t="s">
        <v>513</v>
      </c>
      <c r="D127" s="354" t="str">
        <f>IFERROR(VLOOKUP(ROWS($D$2:D127),$A$2:$B$1424,2,0),"")</f>
        <v>Herefordshire, County of</v>
      </c>
    </row>
    <row r="128" spans="1:4" x14ac:dyDescent="0.2">
      <c r="A128" s="354">
        <f>IF(ISNUMBER(SEARCH('Area summary'!$E$3,B128)),MAX($A$1:A127)+1,0)</f>
        <v>126</v>
      </c>
      <c r="B128" s="354" t="s">
        <v>515</v>
      </c>
      <c r="D128" s="354" t="str">
        <f>IFERROR(VLOOKUP(ROWS($D$2:D128),$A$2:$B$1424,2,0),"")</f>
        <v>Hertsmere</v>
      </c>
    </row>
    <row r="129" spans="1:4" x14ac:dyDescent="0.2">
      <c r="A129" s="354">
        <f>IF(ISNUMBER(SEARCH('Area summary'!$E$3,B129)),MAX($A$1:A128)+1,0)</f>
        <v>127</v>
      </c>
      <c r="B129" s="354" t="s">
        <v>517</v>
      </c>
      <c r="D129" s="354" t="str">
        <f>IFERROR(VLOOKUP(ROWS($D$2:D129),$A$2:$B$1424,2,0),"")</f>
        <v>High Peak</v>
      </c>
    </row>
    <row r="130" spans="1:4" x14ac:dyDescent="0.2">
      <c r="A130" s="354">
        <f>IF(ISNUMBER(SEARCH('Area summary'!$E$3,B130)),MAX($A$1:A129)+1,0)</f>
        <v>128</v>
      </c>
      <c r="B130" s="354" t="s">
        <v>519</v>
      </c>
      <c r="D130" s="354" t="str">
        <f>IFERROR(VLOOKUP(ROWS($D$2:D130),$A$2:$B$1424,2,0),"")</f>
        <v>Hillingdon</v>
      </c>
    </row>
    <row r="131" spans="1:4" x14ac:dyDescent="0.2">
      <c r="A131" s="354">
        <f>IF(ISNUMBER(SEARCH('Area summary'!$E$3,B131)),MAX($A$1:A130)+1,0)</f>
        <v>129</v>
      </c>
      <c r="B131" s="354" t="s">
        <v>521</v>
      </c>
      <c r="D131" s="354" t="str">
        <f>IFERROR(VLOOKUP(ROWS($D$2:D131),$A$2:$B$1424,2,0),"")</f>
        <v>Hinckley and Bosworth</v>
      </c>
    </row>
    <row r="132" spans="1:4" x14ac:dyDescent="0.2">
      <c r="A132" s="354">
        <f>IF(ISNUMBER(SEARCH('Area summary'!$E$3,B132)),MAX($A$1:A131)+1,0)</f>
        <v>130</v>
      </c>
      <c r="B132" s="354" t="s">
        <v>523</v>
      </c>
      <c r="D132" s="354" t="str">
        <f>IFERROR(VLOOKUP(ROWS($D$2:D132),$A$2:$B$1424,2,0),"")</f>
        <v>Horsham</v>
      </c>
    </row>
    <row r="133" spans="1:4" x14ac:dyDescent="0.2">
      <c r="A133" s="354">
        <f>IF(ISNUMBER(SEARCH('Area summary'!$E$3,B133)),MAX($A$1:A132)+1,0)</f>
        <v>131</v>
      </c>
      <c r="B133" s="354" t="s">
        <v>525</v>
      </c>
      <c r="D133" s="354" t="str">
        <f>IFERROR(VLOOKUP(ROWS($D$2:D133),$A$2:$B$1424,2,0),"")</f>
        <v>Hounslow</v>
      </c>
    </row>
    <row r="134" spans="1:4" x14ac:dyDescent="0.2">
      <c r="A134" s="354">
        <f>IF(ISNUMBER(SEARCH('Area summary'!$E$3,B134)),MAX($A$1:A133)+1,0)</f>
        <v>132</v>
      </c>
      <c r="B134" s="354" t="s">
        <v>527</v>
      </c>
      <c r="D134" s="354" t="str">
        <f>IFERROR(VLOOKUP(ROWS($D$2:D134),$A$2:$B$1424,2,0),"")</f>
        <v>Huntingdonshire</v>
      </c>
    </row>
    <row r="135" spans="1:4" x14ac:dyDescent="0.2">
      <c r="A135" s="354">
        <f>IF(ISNUMBER(SEARCH('Area summary'!$E$3,B135)),MAX($A$1:A134)+1,0)</f>
        <v>133</v>
      </c>
      <c r="B135" s="354" t="s">
        <v>529</v>
      </c>
      <c r="D135" s="354" t="str">
        <f>IFERROR(VLOOKUP(ROWS($D$2:D135),$A$2:$B$1424,2,0),"")</f>
        <v>Hyndburn</v>
      </c>
    </row>
    <row r="136" spans="1:4" x14ac:dyDescent="0.2">
      <c r="A136" s="354">
        <f>IF(ISNUMBER(SEARCH('Area summary'!$E$3,B136)),MAX($A$1:A135)+1,0)</f>
        <v>134</v>
      </c>
      <c r="B136" s="354" t="s">
        <v>531</v>
      </c>
      <c r="D136" s="354" t="str">
        <f>IFERROR(VLOOKUP(ROWS($D$2:D136),$A$2:$B$1424,2,0),"")</f>
        <v>Ipswich</v>
      </c>
    </row>
    <row r="137" spans="1:4" x14ac:dyDescent="0.2">
      <c r="A137" s="354">
        <f>IF(ISNUMBER(SEARCH('Area summary'!$E$3,B137)),MAX($A$1:A136)+1,0)</f>
        <v>135</v>
      </c>
      <c r="B137" s="354" t="s">
        <v>533</v>
      </c>
      <c r="D137" s="354" t="str">
        <f>IFERROR(VLOOKUP(ROWS($D$2:D137),$A$2:$B$1424,2,0),"")</f>
        <v>Isle of Wight</v>
      </c>
    </row>
    <row r="138" spans="1:4" x14ac:dyDescent="0.2">
      <c r="A138" s="354">
        <f>IF(ISNUMBER(SEARCH('Area summary'!$E$3,B138)),MAX($A$1:A137)+1,0)</f>
        <v>136</v>
      </c>
      <c r="B138" s="354" t="s">
        <v>535</v>
      </c>
      <c r="D138" s="354" t="str">
        <f>IFERROR(VLOOKUP(ROWS($D$2:D138),$A$2:$B$1424,2,0),"")</f>
        <v>Isles of Scilly</v>
      </c>
    </row>
    <row r="139" spans="1:4" x14ac:dyDescent="0.2">
      <c r="A139" s="354">
        <f>IF(ISNUMBER(SEARCH('Area summary'!$E$3,B139)),MAX($A$1:A138)+1,0)</f>
        <v>137</v>
      </c>
      <c r="B139" s="354" t="s">
        <v>537</v>
      </c>
      <c r="D139" s="354" t="str">
        <f>IFERROR(VLOOKUP(ROWS($D$2:D139),$A$2:$B$1424,2,0),"")</f>
        <v>Islington</v>
      </c>
    </row>
    <row r="140" spans="1:4" x14ac:dyDescent="0.2">
      <c r="A140" s="354">
        <f>IF(ISNUMBER(SEARCH('Area summary'!$E$3,B140)),MAX($A$1:A139)+1,0)</f>
        <v>138</v>
      </c>
      <c r="B140" s="354" t="s">
        <v>539</v>
      </c>
      <c r="D140" s="354" t="str">
        <f>IFERROR(VLOOKUP(ROWS($D$2:D140),$A$2:$B$1424,2,0),"")</f>
        <v>Kensington and Chelsea</v>
      </c>
    </row>
    <row r="141" spans="1:4" x14ac:dyDescent="0.2">
      <c r="A141" s="354">
        <f>IF(ISNUMBER(SEARCH('Area summary'!$E$3,B141)),MAX($A$1:A140)+1,0)</f>
        <v>139</v>
      </c>
      <c r="B141" s="354" t="s">
        <v>541</v>
      </c>
      <c r="D141" s="354" t="str">
        <f>IFERROR(VLOOKUP(ROWS($D$2:D141),$A$2:$B$1424,2,0),"")</f>
        <v>King's Lynn and West Norfolk</v>
      </c>
    </row>
    <row r="142" spans="1:4" x14ac:dyDescent="0.2">
      <c r="A142" s="354">
        <f>IF(ISNUMBER(SEARCH('Area summary'!$E$3,B142)),MAX($A$1:A141)+1,0)</f>
        <v>140</v>
      </c>
      <c r="B142" s="354" t="s">
        <v>543</v>
      </c>
      <c r="D142" s="354" t="str">
        <f>IFERROR(VLOOKUP(ROWS($D$2:D142),$A$2:$B$1424,2,0),"")</f>
        <v>Kingston upon Hull, City of</v>
      </c>
    </row>
    <row r="143" spans="1:4" x14ac:dyDescent="0.2">
      <c r="A143" s="354">
        <f>IF(ISNUMBER(SEARCH('Area summary'!$E$3,B143)),MAX($A$1:A142)+1,0)</f>
        <v>141</v>
      </c>
      <c r="B143" s="354" t="s">
        <v>545</v>
      </c>
      <c r="D143" s="354" t="str">
        <f>IFERROR(VLOOKUP(ROWS($D$2:D143),$A$2:$B$1424,2,0),"")</f>
        <v>Kingston upon Thames</v>
      </c>
    </row>
    <row r="144" spans="1:4" x14ac:dyDescent="0.2">
      <c r="A144" s="354">
        <f>IF(ISNUMBER(SEARCH('Area summary'!$E$3,B144)),MAX($A$1:A143)+1,0)</f>
        <v>142</v>
      </c>
      <c r="B144" s="354" t="s">
        <v>547</v>
      </c>
      <c r="D144" s="354" t="str">
        <f>IFERROR(VLOOKUP(ROWS($D$2:D144),$A$2:$B$1424,2,0),"")</f>
        <v>Kirklees</v>
      </c>
    </row>
    <row r="145" spans="1:4" x14ac:dyDescent="0.2">
      <c r="A145" s="354">
        <f>IF(ISNUMBER(SEARCH('Area summary'!$E$3,B145)),MAX($A$1:A144)+1,0)</f>
        <v>143</v>
      </c>
      <c r="B145" s="354" t="s">
        <v>549</v>
      </c>
      <c r="D145" s="354" t="str">
        <f>IFERROR(VLOOKUP(ROWS($D$2:D145),$A$2:$B$1424,2,0),"")</f>
        <v>Knowsley</v>
      </c>
    </row>
    <row r="146" spans="1:4" x14ac:dyDescent="0.2">
      <c r="A146" s="354">
        <f>IF(ISNUMBER(SEARCH('Area summary'!$E$3,B146)),MAX($A$1:A145)+1,0)</f>
        <v>144</v>
      </c>
      <c r="B146" s="354" t="s">
        <v>551</v>
      </c>
      <c r="D146" s="354" t="str">
        <f>IFERROR(VLOOKUP(ROWS($D$2:D146),$A$2:$B$1424,2,0),"")</f>
        <v>Lambeth</v>
      </c>
    </row>
    <row r="147" spans="1:4" x14ac:dyDescent="0.2">
      <c r="A147" s="354">
        <f>IF(ISNUMBER(SEARCH('Area summary'!$E$3,B147)),MAX($A$1:A146)+1,0)</f>
        <v>145</v>
      </c>
      <c r="B147" s="354" t="s">
        <v>553</v>
      </c>
      <c r="D147" s="354" t="str">
        <f>IFERROR(VLOOKUP(ROWS($D$2:D147),$A$2:$B$1424,2,0),"")</f>
        <v>Lancaster</v>
      </c>
    </row>
    <row r="148" spans="1:4" x14ac:dyDescent="0.2">
      <c r="A148" s="354">
        <f>IF(ISNUMBER(SEARCH('Area summary'!$E$3,B148)),MAX($A$1:A147)+1,0)</f>
        <v>146</v>
      </c>
      <c r="B148" s="354" t="s">
        <v>555</v>
      </c>
      <c r="D148" s="354" t="str">
        <f>IFERROR(VLOOKUP(ROWS($D$2:D148),$A$2:$B$1424,2,0),"")</f>
        <v>Leeds</v>
      </c>
    </row>
    <row r="149" spans="1:4" x14ac:dyDescent="0.2">
      <c r="A149" s="354">
        <f>IF(ISNUMBER(SEARCH('Area summary'!$E$3,B149)),MAX($A$1:A148)+1,0)</f>
        <v>147</v>
      </c>
      <c r="B149" s="354" t="s">
        <v>557</v>
      </c>
      <c r="D149" s="354" t="str">
        <f>IFERROR(VLOOKUP(ROWS($D$2:D149),$A$2:$B$1424,2,0),"")</f>
        <v>Leicester</v>
      </c>
    </row>
    <row r="150" spans="1:4" x14ac:dyDescent="0.2">
      <c r="A150" s="354">
        <f>IF(ISNUMBER(SEARCH('Area summary'!$E$3,B150)),MAX($A$1:A149)+1,0)</f>
        <v>148</v>
      </c>
      <c r="B150" s="354" t="s">
        <v>559</v>
      </c>
      <c r="D150" s="354" t="str">
        <f>IFERROR(VLOOKUP(ROWS($D$2:D150),$A$2:$B$1424,2,0),"")</f>
        <v>Lewes</v>
      </c>
    </row>
    <row r="151" spans="1:4" x14ac:dyDescent="0.2">
      <c r="A151" s="354">
        <f>IF(ISNUMBER(SEARCH('Area summary'!$E$3,B151)),MAX($A$1:A150)+1,0)</f>
        <v>149</v>
      </c>
      <c r="B151" s="354" t="s">
        <v>561</v>
      </c>
      <c r="D151" s="354" t="str">
        <f>IFERROR(VLOOKUP(ROWS($D$2:D151),$A$2:$B$1424,2,0),"")</f>
        <v>Lewisham</v>
      </c>
    </row>
    <row r="152" spans="1:4" x14ac:dyDescent="0.2">
      <c r="A152" s="354">
        <f>IF(ISNUMBER(SEARCH('Area summary'!$E$3,B152)),MAX($A$1:A151)+1,0)</f>
        <v>150</v>
      </c>
      <c r="B152" s="354" t="s">
        <v>563</v>
      </c>
      <c r="D152" s="354" t="str">
        <f>IFERROR(VLOOKUP(ROWS($D$2:D152),$A$2:$B$1424,2,0),"")</f>
        <v>Lichfield</v>
      </c>
    </row>
    <row r="153" spans="1:4" x14ac:dyDescent="0.2">
      <c r="A153" s="354">
        <f>IF(ISNUMBER(SEARCH('Area summary'!$E$3,B153)),MAX($A$1:A152)+1,0)</f>
        <v>151</v>
      </c>
      <c r="B153" s="354" t="s">
        <v>565</v>
      </c>
      <c r="D153" s="354" t="str">
        <f>IFERROR(VLOOKUP(ROWS($D$2:D153),$A$2:$B$1424,2,0),"")</f>
        <v>Lincoln</v>
      </c>
    </row>
    <row r="154" spans="1:4" x14ac:dyDescent="0.2">
      <c r="A154" s="354">
        <f>IF(ISNUMBER(SEARCH('Area summary'!$E$3,B154)),MAX($A$1:A153)+1,0)</f>
        <v>152</v>
      </c>
      <c r="B154" s="354" t="s">
        <v>567</v>
      </c>
      <c r="D154" s="354" t="str">
        <f>IFERROR(VLOOKUP(ROWS($D$2:D154),$A$2:$B$1424,2,0),"")</f>
        <v>Liverpool</v>
      </c>
    </row>
    <row r="155" spans="1:4" x14ac:dyDescent="0.2">
      <c r="A155" s="354">
        <f>IF(ISNUMBER(SEARCH('Area summary'!$E$3,B155)),MAX($A$1:A154)+1,0)</f>
        <v>153</v>
      </c>
      <c r="B155" s="354" t="s">
        <v>569</v>
      </c>
      <c r="D155" s="354" t="str">
        <f>IFERROR(VLOOKUP(ROWS($D$2:D155),$A$2:$B$1424,2,0),"")</f>
        <v>Luton</v>
      </c>
    </row>
    <row r="156" spans="1:4" x14ac:dyDescent="0.2">
      <c r="A156" s="354">
        <f>IF(ISNUMBER(SEARCH('Area summary'!$E$3,B156)),MAX($A$1:A155)+1,0)</f>
        <v>154</v>
      </c>
      <c r="B156" s="354" t="s">
        <v>571</v>
      </c>
      <c r="D156" s="354" t="str">
        <f>IFERROR(VLOOKUP(ROWS($D$2:D156),$A$2:$B$1424,2,0),"")</f>
        <v>Maidstone</v>
      </c>
    </row>
    <row r="157" spans="1:4" x14ac:dyDescent="0.2">
      <c r="A157" s="354">
        <f>IF(ISNUMBER(SEARCH('Area summary'!$E$3,B157)),MAX($A$1:A156)+1,0)</f>
        <v>155</v>
      </c>
      <c r="B157" s="354" t="s">
        <v>573</v>
      </c>
      <c r="D157" s="354" t="str">
        <f>IFERROR(VLOOKUP(ROWS($D$2:D157),$A$2:$B$1424,2,0),"")</f>
        <v>Maldon</v>
      </c>
    </row>
    <row r="158" spans="1:4" x14ac:dyDescent="0.2">
      <c r="A158" s="354">
        <f>IF(ISNUMBER(SEARCH('Area summary'!$E$3,B158)),MAX($A$1:A157)+1,0)</f>
        <v>156</v>
      </c>
      <c r="B158" s="354" t="s">
        <v>575</v>
      </c>
      <c r="D158" s="354" t="str">
        <f>IFERROR(VLOOKUP(ROWS($D$2:D158),$A$2:$B$1424,2,0),"")</f>
        <v>Malvern Hills</v>
      </c>
    </row>
    <row r="159" spans="1:4" x14ac:dyDescent="0.2">
      <c r="A159" s="354">
        <f>IF(ISNUMBER(SEARCH('Area summary'!$E$3,B159)),MAX($A$1:A158)+1,0)</f>
        <v>157</v>
      </c>
      <c r="B159" s="354" t="s">
        <v>577</v>
      </c>
      <c r="D159" s="354" t="str">
        <f>IFERROR(VLOOKUP(ROWS($D$2:D159),$A$2:$B$1424,2,0),"")</f>
        <v>Manchester</v>
      </c>
    </row>
    <row r="160" spans="1:4" x14ac:dyDescent="0.2">
      <c r="A160" s="354">
        <f>IF(ISNUMBER(SEARCH('Area summary'!$E$3,B160)),MAX($A$1:A159)+1,0)</f>
        <v>158</v>
      </c>
      <c r="B160" s="354" t="s">
        <v>579</v>
      </c>
      <c r="D160" s="354" t="str">
        <f>IFERROR(VLOOKUP(ROWS($D$2:D160),$A$2:$B$1424,2,0),"")</f>
        <v>Mansfield</v>
      </c>
    </row>
    <row r="161" spans="1:4" x14ac:dyDescent="0.2">
      <c r="A161" s="354">
        <f>IF(ISNUMBER(SEARCH('Area summary'!$E$3,B161)),MAX($A$1:A160)+1,0)</f>
        <v>159</v>
      </c>
      <c r="B161" s="354" t="s">
        <v>581</v>
      </c>
      <c r="D161" s="354" t="str">
        <f>IFERROR(VLOOKUP(ROWS($D$2:D161),$A$2:$B$1424,2,0),"")</f>
        <v>Medway</v>
      </c>
    </row>
    <row r="162" spans="1:4" x14ac:dyDescent="0.2">
      <c r="A162" s="354">
        <f>IF(ISNUMBER(SEARCH('Area summary'!$E$3,B162)),MAX($A$1:A161)+1,0)</f>
        <v>160</v>
      </c>
      <c r="B162" s="354" t="s">
        <v>583</v>
      </c>
      <c r="D162" s="354" t="str">
        <f>IFERROR(VLOOKUP(ROWS($D$2:D162),$A$2:$B$1424,2,0),"")</f>
        <v>Melton</v>
      </c>
    </row>
    <row r="163" spans="1:4" x14ac:dyDescent="0.2">
      <c r="A163" s="354">
        <f>IF(ISNUMBER(SEARCH('Area summary'!$E$3,B163)),MAX($A$1:A162)+1,0)</f>
        <v>161</v>
      </c>
      <c r="B163" s="354" t="s">
        <v>585</v>
      </c>
      <c r="D163" s="354" t="str">
        <f>IFERROR(VLOOKUP(ROWS($D$2:D163),$A$2:$B$1424,2,0),"")</f>
        <v>Merton</v>
      </c>
    </row>
    <row r="164" spans="1:4" x14ac:dyDescent="0.2">
      <c r="A164" s="354">
        <f>IF(ISNUMBER(SEARCH('Area summary'!$E$3,B164)),MAX($A$1:A163)+1,0)</f>
        <v>162</v>
      </c>
      <c r="B164" s="354" t="s">
        <v>587</v>
      </c>
      <c r="D164" s="354" t="str">
        <f>IFERROR(VLOOKUP(ROWS($D$2:D164),$A$2:$B$1424,2,0),"")</f>
        <v>Mid Devon</v>
      </c>
    </row>
    <row r="165" spans="1:4" x14ac:dyDescent="0.2">
      <c r="A165" s="354">
        <f>IF(ISNUMBER(SEARCH('Area summary'!$E$3,B165)),MAX($A$1:A164)+1,0)</f>
        <v>163</v>
      </c>
      <c r="B165" s="354" t="s">
        <v>589</v>
      </c>
      <c r="D165" s="354" t="str">
        <f>IFERROR(VLOOKUP(ROWS($D$2:D165),$A$2:$B$1424,2,0),"")</f>
        <v>Mid Suffolk</v>
      </c>
    </row>
    <row r="166" spans="1:4" x14ac:dyDescent="0.2">
      <c r="A166" s="354">
        <f>IF(ISNUMBER(SEARCH('Area summary'!$E$3,B166)),MAX($A$1:A165)+1,0)</f>
        <v>164</v>
      </c>
      <c r="B166" s="354" t="s">
        <v>591</v>
      </c>
      <c r="D166" s="354" t="str">
        <f>IFERROR(VLOOKUP(ROWS($D$2:D166),$A$2:$B$1424,2,0),"")</f>
        <v>Mid Sussex</v>
      </c>
    </row>
    <row r="167" spans="1:4" x14ac:dyDescent="0.2">
      <c r="A167" s="354">
        <f>IF(ISNUMBER(SEARCH('Area summary'!$E$3,B167)),MAX($A$1:A166)+1,0)</f>
        <v>165</v>
      </c>
      <c r="B167" s="354" t="s">
        <v>593</v>
      </c>
      <c r="D167" s="354" t="str">
        <f>IFERROR(VLOOKUP(ROWS($D$2:D167),$A$2:$B$1424,2,0),"")</f>
        <v>Middlesbrough</v>
      </c>
    </row>
    <row r="168" spans="1:4" x14ac:dyDescent="0.2">
      <c r="A168" s="354">
        <f>IF(ISNUMBER(SEARCH('Area summary'!$E$3,B168)),MAX($A$1:A167)+1,0)</f>
        <v>166</v>
      </c>
      <c r="B168" s="354" t="s">
        <v>595</v>
      </c>
      <c r="D168" s="354" t="str">
        <f>IFERROR(VLOOKUP(ROWS($D$2:D168),$A$2:$B$1424,2,0),"")</f>
        <v>Milton Keynes</v>
      </c>
    </row>
    <row r="169" spans="1:4" x14ac:dyDescent="0.2">
      <c r="A169" s="354">
        <f>IF(ISNUMBER(SEARCH('Area summary'!$E$3,B169)),MAX($A$1:A168)+1,0)</f>
        <v>167</v>
      </c>
      <c r="B169" s="354" t="s">
        <v>597</v>
      </c>
      <c r="D169" s="354" t="str">
        <f>IFERROR(VLOOKUP(ROWS($D$2:D169),$A$2:$B$1424,2,0),"")</f>
        <v>Mole Valley</v>
      </c>
    </row>
    <row r="170" spans="1:4" x14ac:dyDescent="0.2">
      <c r="A170" s="354">
        <f>IF(ISNUMBER(SEARCH('Area summary'!$E$3,B170)),MAX($A$1:A169)+1,0)</f>
        <v>168</v>
      </c>
      <c r="B170" s="354" t="s">
        <v>599</v>
      </c>
      <c r="D170" s="354" t="str">
        <f>IFERROR(VLOOKUP(ROWS($D$2:D170),$A$2:$B$1424,2,0),"")</f>
        <v>New Forest</v>
      </c>
    </row>
    <row r="171" spans="1:4" x14ac:dyDescent="0.2">
      <c r="A171" s="354">
        <f>IF(ISNUMBER(SEARCH('Area summary'!$E$3,B171)),MAX($A$1:A170)+1,0)</f>
        <v>169</v>
      </c>
      <c r="B171" s="354" t="s">
        <v>1</v>
      </c>
      <c r="D171" s="354" t="str">
        <f>IFERROR(VLOOKUP(ROWS($D$2:D171),$A$2:$B$1424,2,0),"")</f>
        <v>Newark and Sherwood</v>
      </c>
    </row>
    <row r="172" spans="1:4" x14ac:dyDescent="0.2">
      <c r="A172" s="354">
        <f>IF(ISNUMBER(SEARCH('Area summary'!$E$3,B172)),MAX($A$1:A171)+1,0)</f>
        <v>170</v>
      </c>
      <c r="B172" s="354" t="s">
        <v>602</v>
      </c>
      <c r="D172" s="354" t="str">
        <f>IFERROR(VLOOKUP(ROWS($D$2:D172),$A$2:$B$1424,2,0),"")</f>
        <v>Newcastle upon Tyne</v>
      </c>
    </row>
    <row r="173" spans="1:4" x14ac:dyDescent="0.2">
      <c r="A173" s="354">
        <f>IF(ISNUMBER(SEARCH('Area summary'!$E$3,B173)),MAX($A$1:A172)+1,0)</f>
        <v>171</v>
      </c>
      <c r="B173" s="354" t="s">
        <v>604</v>
      </c>
      <c r="D173" s="354" t="str">
        <f>IFERROR(VLOOKUP(ROWS($D$2:D173),$A$2:$B$1424,2,0),"")</f>
        <v>Newcastle-under-Lyme</v>
      </c>
    </row>
    <row r="174" spans="1:4" x14ac:dyDescent="0.2">
      <c r="A174" s="354">
        <f>IF(ISNUMBER(SEARCH('Area summary'!$E$3,B174)),MAX($A$1:A173)+1,0)</f>
        <v>172</v>
      </c>
      <c r="B174" s="354" t="s">
        <v>606</v>
      </c>
      <c r="D174" s="354" t="str">
        <f>IFERROR(VLOOKUP(ROWS($D$2:D174),$A$2:$B$1424,2,0),"")</f>
        <v>Newham</v>
      </c>
    </row>
    <row r="175" spans="1:4" x14ac:dyDescent="0.2">
      <c r="A175" s="354">
        <f>IF(ISNUMBER(SEARCH('Area summary'!$E$3,B175)),MAX($A$1:A174)+1,0)</f>
        <v>173</v>
      </c>
      <c r="B175" s="354" t="s">
        <v>608</v>
      </c>
      <c r="D175" s="354" t="str">
        <f>IFERROR(VLOOKUP(ROWS($D$2:D175),$A$2:$B$1424,2,0),"")</f>
        <v>North Devon</v>
      </c>
    </row>
    <row r="176" spans="1:4" x14ac:dyDescent="0.2">
      <c r="A176" s="354">
        <f>IF(ISNUMBER(SEARCH('Area summary'!$E$3,B176)),MAX($A$1:A175)+1,0)</f>
        <v>174</v>
      </c>
      <c r="B176" s="354" t="s">
        <v>610</v>
      </c>
      <c r="D176" s="354" t="str">
        <f>IFERROR(VLOOKUP(ROWS($D$2:D176),$A$2:$B$1424,2,0),"")</f>
        <v>North East Derbyshire</v>
      </c>
    </row>
    <row r="177" spans="1:4" x14ac:dyDescent="0.2">
      <c r="A177" s="354">
        <f>IF(ISNUMBER(SEARCH('Area summary'!$E$3,B177)),MAX($A$1:A176)+1,0)</f>
        <v>175</v>
      </c>
      <c r="B177" s="354" t="s">
        <v>612</v>
      </c>
      <c r="D177" s="354" t="str">
        <f>IFERROR(VLOOKUP(ROWS($D$2:D177),$A$2:$B$1424,2,0),"")</f>
        <v>North East Lincolnshire</v>
      </c>
    </row>
    <row r="178" spans="1:4" x14ac:dyDescent="0.2">
      <c r="A178" s="354">
        <f>IF(ISNUMBER(SEARCH('Area summary'!$E$3,B178)),MAX($A$1:A177)+1,0)</f>
        <v>176</v>
      </c>
      <c r="B178" s="354" t="s">
        <v>614</v>
      </c>
      <c r="D178" s="354" t="str">
        <f>IFERROR(VLOOKUP(ROWS($D$2:D178),$A$2:$B$1424,2,0),"")</f>
        <v>North Hertfordshire</v>
      </c>
    </row>
    <row r="179" spans="1:4" x14ac:dyDescent="0.2">
      <c r="A179" s="354">
        <f>IF(ISNUMBER(SEARCH('Area summary'!$E$3,B179)),MAX($A$1:A178)+1,0)</f>
        <v>177</v>
      </c>
      <c r="B179" s="354" t="s">
        <v>616</v>
      </c>
      <c r="D179" s="354" t="str">
        <f>IFERROR(VLOOKUP(ROWS($D$2:D179),$A$2:$B$1424,2,0),"")</f>
        <v>North Kesteven</v>
      </c>
    </row>
    <row r="180" spans="1:4" x14ac:dyDescent="0.2">
      <c r="A180" s="354">
        <f>IF(ISNUMBER(SEARCH('Area summary'!$E$3,B180)),MAX($A$1:A179)+1,0)</f>
        <v>178</v>
      </c>
      <c r="B180" s="354" t="s">
        <v>618</v>
      </c>
      <c r="D180" s="354" t="str">
        <f>IFERROR(VLOOKUP(ROWS($D$2:D180),$A$2:$B$1424,2,0),"")</f>
        <v>North Lincolnshire</v>
      </c>
    </row>
    <row r="181" spans="1:4" x14ac:dyDescent="0.2">
      <c r="A181" s="354">
        <f>IF(ISNUMBER(SEARCH('Area summary'!$E$3,B181)),MAX($A$1:A180)+1,0)</f>
        <v>179</v>
      </c>
      <c r="B181" s="354" t="s">
        <v>620</v>
      </c>
      <c r="D181" s="354" t="str">
        <f>IFERROR(VLOOKUP(ROWS($D$2:D181),$A$2:$B$1424,2,0),"")</f>
        <v>North Norfolk</v>
      </c>
    </row>
    <row r="182" spans="1:4" x14ac:dyDescent="0.2">
      <c r="A182" s="354">
        <f>IF(ISNUMBER(SEARCH('Area summary'!$E$3,B182)),MAX($A$1:A181)+1,0)</f>
        <v>180</v>
      </c>
      <c r="B182" s="354" t="s">
        <v>622</v>
      </c>
      <c r="D182" s="354" t="str">
        <f>IFERROR(VLOOKUP(ROWS($D$2:D182),$A$2:$B$1424,2,0),"")</f>
        <v>North Northamptonshire</v>
      </c>
    </row>
    <row r="183" spans="1:4" x14ac:dyDescent="0.2">
      <c r="A183" s="354">
        <f>IF(ISNUMBER(SEARCH('Area summary'!$E$3,B183)),MAX($A$1:A182)+1,0)</f>
        <v>181</v>
      </c>
      <c r="B183" s="354" t="s">
        <v>10558</v>
      </c>
      <c r="D183" s="354" t="str">
        <f>IFERROR(VLOOKUP(ROWS($D$2:D183),$A$2:$B$1424,2,0),"")</f>
        <v>North Somerset</v>
      </c>
    </row>
    <row r="184" spans="1:4" x14ac:dyDescent="0.2">
      <c r="A184" s="354">
        <f>IF(ISNUMBER(SEARCH('Area summary'!$E$3,B184)),MAX($A$1:A183)+1,0)</f>
        <v>182</v>
      </c>
      <c r="B184" s="354" t="s">
        <v>624</v>
      </c>
      <c r="D184" s="354" t="str">
        <f>IFERROR(VLOOKUP(ROWS($D$2:D184),$A$2:$B$1424,2,0),"")</f>
        <v>North Tyneside</v>
      </c>
    </row>
    <row r="185" spans="1:4" x14ac:dyDescent="0.2">
      <c r="A185" s="354">
        <f>IF(ISNUMBER(SEARCH('Area summary'!$E$3,B185)),MAX($A$1:A184)+1,0)</f>
        <v>183</v>
      </c>
      <c r="B185" s="354" t="s">
        <v>626</v>
      </c>
      <c r="D185" s="354" t="str">
        <f>IFERROR(VLOOKUP(ROWS($D$2:D185),$A$2:$B$1424,2,0),"")</f>
        <v>North Warwickshire</v>
      </c>
    </row>
    <row r="186" spans="1:4" x14ac:dyDescent="0.2">
      <c r="A186" s="354">
        <f>IF(ISNUMBER(SEARCH('Area summary'!$E$3,B186)),MAX($A$1:A185)+1,0)</f>
        <v>184</v>
      </c>
      <c r="B186" s="354" t="s">
        <v>628</v>
      </c>
      <c r="D186" s="354" t="str">
        <f>IFERROR(VLOOKUP(ROWS($D$2:D186),$A$2:$B$1424,2,0),"")</f>
        <v>North West Leicestershire</v>
      </c>
    </row>
    <row r="187" spans="1:4" x14ac:dyDescent="0.2">
      <c r="A187" s="354">
        <f>IF(ISNUMBER(SEARCH('Area summary'!$E$3,B187)),MAX($A$1:A186)+1,0)</f>
        <v>185</v>
      </c>
      <c r="B187" s="354" t="s">
        <v>630</v>
      </c>
      <c r="D187" s="354" t="str">
        <f>IFERROR(VLOOKUP(ROWS($D$2:D187),$A$2:$B$1424,2,0),"")</f>
        <v>North Yorkshire</v>
      </c>
    </row>
    <row r="188" spans="1:4" x14ac:dyDescent="0.2">
      <c r="A188" s="354">
        <f>IF(ISNUMBER(SEARCH('Area summary'!$E$3,B188)),MAX($A$1:A187)+1,0)</f>
        <v>186</v>
      </c>
      <c r="B188" s="354" t="s">
        <v>14367</v>
      </c>
      <c r="D188" s="354" t="str">
        <f>IFERROR(VLOOKUP(ROWS($D$2:D188),$A$2:$B$1424,2,0),"")</f>
        <v>Northumberland</v>
      </c>
    </row>
    <row r="189" spans="1:4" x14ac:dyDescent="0.2">
      <c r="A189" s="354">
        <f>IF(ISNUMBER(SEARCH('Area summary'!$E$3,B189)),MAX($A$1:A188)+1,0)</f>
        <v>187</v>
      </c>
      <c r="B189" s="354" t="s">
        <v>632</v>
      </c>
      <c r="D189" s="354" t="str">
        <f>IFERROR(VLOOKUP(ROWS($D$2:D189),$A$2:$B$1424,2,0),"")</f>
        <v>Norwich</v>
      </c>
    </row>
    <row r="190" spans="1:4" x14ac:dyDescent="0.2">
      <c r="A190" s="354">
        <f>IF(ISNUMBER(SEARCH('Area summary'!$E$3,B190)),MAX($A$1:A189)+1,0)</f>
        <v>188</v>
      </c>
      <c r="B190" s="354" t="s">
        <v>634</v>
      </c>
      <c r="D190" s="354" t="str">
        <f>IFERROR(VLOOKUP(ROWS($D$2:D190),$A$2:$B$1424,2,0),"")</f>
        <v>Nottingham</v>
      </c>
    </row>
    <row r="191" spans="1:4" x14ac:dyDescent="0.2">
      <c r="A191" s="354">
        <f>IF(ISNUMBER(SEARCH('Area summary'!$E$3,B191)),MAX($A$1:A190)+1,0)</f>
        <v>189</v>
      </c>
      <c r="B191" s="354" t="s">
        <v>636</v>
      </c>
      <c r="D191" s="354" t="str">
        <f>IFERROR(VLOOKUP(ROWS($D$2:D191),$A$2:$B$1424,2,0),"")</f>
        <v>Nuneaton and Bedworth</v>
      </c>
    </row>
    <row r="192" spans="1:4" x14ac:dyDescent="0.2">
      <c r="A192" s="354">
        <f>IF(ISNUMBER(SEARCH('Area summary'!$E$3,B192)),MAX($A$1:A191)+1,0)</f>
        <v>190</v>
      </c>
      <c r="B192" s="354" t="s">
        <v>638</v>
      </c>
      <c r="D192" s="354" t="str">
        <f>IFERROR(VLOOKUP(ROWS($D$2:D192),$A$2:$B$1424,2,0),"")</f>
        <v>Oadby and Wigston</v>
      </c>
    </row>
    <row r="193" spans="1:4" x14ac:dyDescent="0.2">
      <c r="A193" s="354">
        <f>IF(ISNUMBER(SEARCH('Area summary'!$E$3,B193)),MAX($A$1:A192)+1,0)</f>
        <v>191</v>
      </c>
      <c r="B193" s="354" t="s">
        <v>640</v>
      </c>
      <c r="D193" s="354" t="str">
        <f>IFERROR(VLOOKUP(ROWS($D$2:D193),$A$2:$B$1424,2,0),"")</f>
        <v>Oldham</v>
      </c>
    </row>
    <row r="194" spans="1:4" x14ac:dyDescent="0.2">
      <c r="A194" s="354">
        <f>IF(ISNUMBER(SEARCH('Area summary'!$E$3,B194)),MAX($A$1:A193)+1,0)</f>
        <v>192</v>
      </c>
      <c r="B194" s="354" t="s">
        <v>642</v>
      </c>
      <c r="D194" s="354" t="str">
        <f>IFERROR(VLOOKUP(ROWS($D$2:D194),$A$2:$B$1424,2,0),"")</f>
        <v>Oxford</v>
      </c>
    </row>
    <row r="195" spans="1:4" x14ac:dyDescent="0.2">
      <c r="A195" s="354">
        <f>IF(ISNUMBER(SEARCH('Area summary'!$E$3,B195)),MAX($A$1:A194)+1,0)</f>
        <v>193</v>
      </c>
      <c r="B195" s="354" t="s">
        <v>644</v>
      </c>
      <c r="D195" s="354" t="str">
        <f>IFERROR(VLOOKUP(ROWS($D$2:D195),$A$2:$B$1424,2,0),"")</f>
        <v>Pendle</v>
      </c>
    </row>
    <row r="196" spans="1:4" x14ac:dyDescent="0.2">
      <c r="A196" s="354">
        <f>IF(ISNUMBER(SEARCH('Area summary'!$E$3,B196)),MAX($A$1:A195)+1,0)</f>
        <v>194</v>
      </c>
      <c r="B196" s="354" t="s">
        <v>646</v>
      </c>
      <c r="D196" s="354" t="str">
        <f>IFERROR(VLOOKUP(ROWS($D$2:D196),$A$2:$B$1424,2,0),"")</f>
        <v>Peterborough</v>
      </c>
    </row>
    <row r="197" spans="1:4" x14ac:dyDescent="0.2">
      <c r="A197" s="354">
        <f>IF(ISNUMBER(SEARCH('Area summary'!$E$3,B197)),MAX($A$1:A196)+1,0)</f>
        <v>195</v>
      </c>
      <c r="B197" s="354" t="s">
        <v>648</v>
      </c>
      <c r="D197" s="354" t="str">
        <f>IFERROR(VLOOKUP(ROWS($D$2:D197),$A$2:$B$1424,2,0),"")</f>
        <v>Plymouth</v>
      </c>
    </row>
    <row r="198" spans="1:4" x14ac:dyDescent="0.2">
      <c r="A198" s="354">
        <f>IF(ISNUMBER(SEARCH('Area summary'!$E$3,B198)),MAX($A$1:A197)+1,0)</f>
        <v>196</v>
      </c>
      <c r="B198" s="354" t="s">
        <v>650</v>
      </c>
      <c r="D198" s="354" t="str">
        <f>IFERROR(VLOOKUP(ROWS($D$2:D198),$A$2:$B$1424,2,0),"")</f>
        <v>Portsmouth</v>
      </c>
    </row>
    <row r="199" spans="1:4" x14ac:dyDescent="0.2">
      <c r="A199" s="354">
        <f>IF(ISNUMBER(SEARCH('Area summary'!$E$3,B199)),MAX($A$1:A198)+1,0)</f>
        <v>197</v>
      </c>
      <c r="B199" s="354" t="s">
        <v>652</v>
      </c>
      <c r="D199" s="354" t="str">
        <f>IFERROR(VLOOKUP(ROWS($D$2:D199),$A$2:$B$1424,2,0),"")</f>
        <v>Preston</v>
      </c>
    </row>
    <row r="200" spans="1:4" x14ac:dyDescent="0.2">
      <c r="A200" s="354">
        <f>IF(ISNUMBER(SEARCH('Area summary'!$E$3,B200)),MAX($A$1:A199)+1,0)</f>
        <v>198</v>
      </c>
      <c r="B200" s="354" t="s">
        <v>654</v>
      </c>
      <c r="D200" s="354" t="str">
        <f>IFERROR(VLOOKUP(ROWS($D$2:D200),$A$2:$B$1424,2,0),"")</f>
        <v>Reading</v>
      </c>
    </row>
    <row r="201" spans="1:4" x14ac:dyDescent="0.2">
      <c r="A201" s="354">
        <f>IF(ISNUMBER(SEARCH('Area summary'!$E$3,B201)),MAX($A$1:A200)+1,0)</f>
        <v>199</v>
      </c>
      <c r="B201" s="354" t="s">
        <v>656</v>
      </c>
      <c r="D201" s="354" t="str">
        <f>IFERROR(VLOOKUP(ROWS($D$2:D201),$A$2:$B$1424,2,0),"")</f>
        <v>Redbridge</v>
      </c>
    </row>
    <row r="202" spans="1:4" x14ac:dyDescent="0.2">
      <c r="A202" s="354">
        <f>IF(ISNUMBER(SEARCH('Area summary'!$E$3,B202)),MAX($A$1:A201)+1,0)</f>
        <v>200</v>
      </c>
      <c r="B202" s="354" t="s">
        <v>658</v>
      </c>
      <c r="D202" s="354" t="str">
        <f>IFERROR(VLOOKUP(ROWS($D$2:D202),$A$2:$B$1424,2,0),"")</f>
        <v>Redcar and Cleveland</v>
      </c>
    </row>
    <row r="203" spans="1:4" x14ac:dyDescent="0.2">
      <c r="A203" s="354">
        <f>IF(ISNUMBER(SEARCH('Area summary'!$E$3,B203)),MAX($A$1:A202)+1,0)</f>
        <v>201</v>
      </c>
      <c r="B203" s="354" t="s">
        <v>660</v>
      </c>
      <c r="D203" s="354" t="str">
        <f>IFERROR(VLOOKUP(ROWS($D$2:D203),$A$2:$B$1424,2,0),"")</f>
        <v>Redditch</v>
      </c>
    </row>
    <row r="204" spans="1:4" x14ac:dyDescent="0.2">
      <c r="A204" s="354">
        <f>IF(ISNUMBER(SEARCH('Area summary'!$E$3,B204)),MAX($A$1:A203)+1,0)</f>
        <v>202</v>
      </c>
      <c r="B204" s="354" t="s">
        <v>662</v>
      </c>
      <c r="D204" s="354" t="str">
        <f>IFERROR(VLOOKUP(ROWS($D$2:D204),$A$2:$B$1424,2,0),"")</f>
        <v>Reigate and Banstead</v>
      </c>
    </row>
    <row r="205" spans="1:4" x14ac:dyDescent="0.2">
      <c r="A205" s="354">
        <f>IF(ISNUMBER(SEARCH('Area summary'!$E$3,B205)),MAX($A$1:A204)+1,0)</f>
        <v>203</v>
      </c>
      <c r="B205" s="354" t="s">
        <v>664</v>
      </c>
      <c r="D205" s="354" t="str">
        <f>IFERROR(VLOOKUP(ROWS($D$2:D205),$A$2:$B$1424,2,0),"")</f>
        <v>Ribble Valley</v>
      </c>
    </row>
    <row r="206" spans="1:4" x14ac:dyDescent="0.2">
      <c r="A206" s="354">
        <f>IF(ISNUMBER(SEARCH('Area summary'!$E$3,B206)),MAX($A$1:A205)+1,0)</f>
        <v>204</v>
      </c>
      <c r="B206" s="354" t="s">
        <v>666</v>
      </c>
      <c r="D206" s="354" t="str">
        <f>IFERROR(VLOOKUP(ROWS($D$2:D206),$A$2:$B$1424,2,0),"")</f>
        <v>Richmond upon Thames</v>
      </c>
    </row>
    <row r="207" spans="1:4" x14ac:dyDescent="0.2">
      <c r="A207" s="354">
        <f>IF(ISNUMBER(SEARCH('Area summary'!$E$3,B207)),MAX($A$1:A206)+1,0)</f>
        <v>205</v>
      </c>
      <c r="B207" s="354" t="s">
        <v>668</v>
      </c>
      <c r="D207" s="354" t="str">
        <f>IFERROR(VLOOKUP(ROWS($D$2:D207),$A$2:$B$1424,2,0),"")</f>
        <v>Rochdale</v>
      </c>
    </row>
    <row r="208" spans="1:4" x14ac:dyDescent="0.2">
      <c r="A208" s="354">
        <f>IF(ISNUMBER(SEARCH('Area summary'!$E$3,B208)),MAX($A$1:A207)+1,0)</f>
        <v>206</v>
      </c>
      <c r="B208" s="354" t="s">
        <v>670</v>
      </c>
      <c r="D208" s="354" t="str">
        <f>IFERROR(VLOOKUP(ROWS($D$2:D208),$A$2:$B$1424,2,0),"")</f>
        <v>Rochford</v>
      </c>
    </row>
    <row r="209" spans="1:4" x14ac:dyDescent="0.2">
      <c r="A209" s="354">
        <f>IF(ISNUMBER(SEARCH('Area summary'!$E$3,B209)),MAX($A$1:A208)+1,0)</f>
        <v>207</v>
      </c>
      <c r="B209" s="354" t="s">
        <v>672</v>
      </c>
      <c r="D209" s="354" t="str">
        <f>IFERROR(VLOOKUP(ROWS($D$2:D209),$A$2:$B$1424,2,0),"")</f>
        <v>Rossendale</v>
      </c>
    </row>
    <row r="210" spans="1:4" x14ac:dyDescent="0.2">
      <c r="A210" s="354">
        <f>IF(ISNUMBER(SEARCH('Area summary'!$E$3,B210)),MAX($A$1:A209)+1,0)</f>
        <v>208</v>
      </c>
      <c r="B210" s="354" t="s">
        <v>674</v>
      </c>
      <c r="D210" s="354" t="str">
        <f>IFERROR(VLOOKUP(ROWS($D$2:D210),$A$2:$B$1424,2,0),"")</f>
        <v>Rother</v>
      </c>
    </row>
    <row r="211" spans="1:4" x14ac:dyDescent="0.2">
      <c r="A211" s="354">
        <f>IF(ISNUMBER(SEARCH('Area summary'!$E$3,B211)),MAX($A$1:A210)+1,0)</f>
        <v>209</v>
      </c>
      <c r="B211" s="354" t="s">
        <v>676</v>
      </c>
      <c r="D211" s="354" t="str">
        <f>IFERROR(VLOOKUP(ROWS($D$2:D211),$A$2:$B$1424,2,0),"")</f>
        <v>Rotherham</v>
      </c>
    </row>
    <row r="212" spans="1:4" x14ac:dyDescent="0.2">
      <c r="A212" s="354">
        <f>IF(ISNUMBER(SEARCH('Area summary'!$E$3,B212)),MAX($A$1:A211)+1,0)</f>
        <v>210</v>
      </c>
      <c r="B212" s="354" t="s">
        <v>678</v>
      </c>
      <c r="D212" s="354" t="str">
        <f>IFERROR(VLOOKUP(ROWS($D$2:D212),$A$2:$B$1424,2,0),"")</f>
        <v>Rugby</v>
      </c>
    </row>
    <row r="213" spans="1:4" x14ac:dyDescent="0.2">
      <c r="A213" s="354">
        <f>IF(ISNUMBER(SEARCH('Area summary'!$E$3,B213)),MAX($A$1:A212)+1,0)</f>
        <v>211</v>
      </c>
      <c r="B213" s="354" t="s">
        <v>680</v>
      </c>
      <c r="D213" s="354" t="str">
        <f>IFERROR(VLOOKUP(ROWS($D$2:D213),$A$2:$B$1424,2,0),"")</f>
        <v>Runnymede</v>
      </c>
    </row>
    <row r="214" spans="1:4" x14ac:dyDescent="0.2">
      <c r="A214" s="354">
        <f>IF(ISNUMBER(SEARCH('Area summary'!$E$3,B214)),MAX($A$1:A213)+1,0)</f>
        <v>212</v>
      </c>
      <c r="B214" s="354" t="s">
        <v>682</v>
      </c>
      <c r="D214" s="354" t="str">
        <f>IFERROR(VLOOKUP(ROWS($D$2:D214),$A$2:$B$1424,2,0),"")</f>
        <v>Rushcliffe</v>
      </c>
    </row>
    <row r="215" spans="1:4" x14ac:dyDescent="0.2">
      <c r="A215" s="354">
        <f>IF(ISNUMBER(SEARCH('Area summary'!$E$3,B215)),MAX($A$1:A214)+1,0)</f>
        <v>213</v>
      </c>
      <c r="B215" s="354" t="s">
        <v>684</v>
      </c>
      <c r="D215" s="354" t="str">
        <f>IFERROR(VLOOKUP(ROWS($D$2:D215),$A$2:$B$1424,2,0),"")</f>
        <v>Rushmoor</v>
      </c>
    </row>
    <row r="216" spans="1:4" x14ac:dyDescent="0.2">
      <c r="A216" s="354">
        <f>IF(ISNUMBER(SEARCH('Area summary'!$E$3,B216)),MAX($A$1:A215)+1,0)</f>
        <v>214</v>
      </c>
      <c r="B216" s="354" t="s">
        <v>686</v>
      </c>
      <c r="D216" s="354" t="str">
        <f>IFERROR(VLOOKUP(ROWS($D$2:D216),$A$2:$B$1424,2,0),"")</f>
        <v>Rutland</v>
      </c>
    </row>
    <row r="217" spans="1:4" x14ac:dyDescent="0.2">
      <c r="A217" s="354">
        <f>IF(ISNUMBER(SEARCH('Area summary'!$E$3,B217)),MAX($A$1:A216)+1,0)</f>
        <v>215</v>
      </c>
      <c r="B217" s="354" t="s">
        <v>688</v>
      </c>
      <c r="D217" s="354" t="str">
        <f>IFERROR(VLOOKUP(ROWS($D$2:D217),$A$2:$B$1424,2,0),"")</f>
        <v>Salford</v>
      </c>
    </row>
    <row r="218" spans="1:4" x14ac:dyDescent="0.2">
      <c r="A218" s="354">
        <f>IF(ISNUMBER(SEARCH('Area summary'!$E$3,B218)),MAX($A$1:A217)+1,0)</f>
        <v>216</v>
      </c>
      <c r="B218" s="354" t="s">
        <v>690</v>
      </c>
      <c r="D218" s="354" t="str">
        <f>IFERROR(VLOOKUP(ROWS($D$2:D218),$A$2:$B$1424,2,0),"")</f>
        <v>Sandwell</v>
      </c>
    </row>
    <row r="219" spans="1:4" x14ac:dyDescent="0.2">
      <c r="A219" s="354">
        <f>IF(ISNUMBER(SEARCH('Area summary'!$E$3,B219)),MAX($A$1:A218)+1,0)</f>
        <v>217</v>
      </c>
      <c r="B219" s="354" t="s">
        <v>692</v>
      </c>
      <c r="D219" s="354" t="str">
        <f>IFERROR(VLOOKUP(ROWS($D$2:D219),$A$2:$B$1424,2,0),"")</f>
        <v>Sefton</v>
      </c>
    </row>
    <row r="220" spans="1:4" x14ac:dyDescent="0.2">
      <c r="A220" s="354">
        <f>IF(ISNUMBER(SEARCH('Area summary'!$E$3,B220)),MAX($A$1:A219)+1,0)</f>
        <v>218</v>
      </c>
      <c r="B220" s="354" t="s">
        <v>694</v>
      </c>
      <c r="D220" s="354" t="str">
        <f>IFERROR(VLOOKUP(ROWS($D$2:D220),$A$2:$B$1424,2,0),"")</f>
        <v>Sevenoaks</v>
      </c>
    </row>
    <row r="221" spans="1:4" x14ac:dyDescent="0.2">
      <c r="A221" s="354">
        <f>IF(ISNUMBER(SEARCH('Area summary'!$E$3,B221)),MAX($A$1:A220)+1,0)</f>
        <v>219</v>
      </c>
      <c r="B221" s="354" t="s">
        <v>696</v>
      </c>
      <c r="D221" s="354" t="str">
        <f>IFERROR(VLOOKUP(ROWS($D$2:D221),$A$2:$B$1424,2,0),"")</f>
        <v>Sheffield</v>
      </c>
    </row>
    <row r="222" spans="1:4" x14ac:dyDescent="0.2">
      <c r="A222" s="354">
        <f>IF(ISNUMBER(SEARCH('Area summary'!$E$3,B222)),MAX($A$1:A221)+1,0)</f>
        <v>220</v>
      </c>
      <c r="B222" s="354" t="s">
        <v>698</v>
      </c>
      <c r="D222" s="354" t="str">
        <f>IFERROR(VLOOKUP(ROWS($D$2:D222),$A$2:$B$1424,2,0),"")</f>
        <v>Shropshire</v>
      </c>
    </row>
    <row r="223" spans="1:4" x14ac:dyDescent="0.2">
      <c r="A223" s="354">
        <f>IF(ISNUMBER(SEARCH('Area summary'!$E$3,B223)),MAX($A$1:A222)+1,0)</f>
        <v>221</v>
      </c>
      <c r="B223" s="354" t="s">
        <v>700</v>
      </c>
      <c r="D223" s="354" t="str">
        <f>IFERROR(VLOOKUP(ROWS($D$2:D223),$A$2:$B$1424,2,0),"")</f>
        <v>Slough</v>
      </c>
    </row>
    <row r="224" spans="1:4" x14ac:dyDescent="0.2">
      <c r="A224" s="354">
        <f>IF(ISNUMBER(SEARCH('Area summary'!$E$3,B224)),MAX($A$1:A223)+1,0)</f>
        <v>222</v>
      </c>
      <c r="B224" s="354" t="s">
        <v>702</v>
      </c>
      <c r="D224" s="354" t="str">
        <f>IFERROR(VLOOKUP(ROWS($D$2:D224),$A$2:$B$1424,2,0),"")</f>
        <v>Solihull</v>
      </c>
    </row>
    <row r="225" spans="1:4" x14ac:dyDescent="0.2">
      <c r="A225" s="354">
        <f>IF(ISNUMBER(SEARCH('Area summary'!$E$3,B225)),MAX($A$1:A224)+1,0)</f>
        <v>223</v>
      </c>
      <c r="B225" s="354" t="s">
        <v>704</v>
      </c>
      <c r="D225" s="354" t="str">
        <f>IFERROR(VLOOKUP(ROWS($D$2:D225),$A$2:$B$1424,2,0),"")</f>
        <v>Somerset</v>
      </c>
    </row>
    <row r="226" spans="1:4" x14ac:dyDescent="0.2">
      <c r="A226" s="354">
        <f>IF(ISNUMBER(SEARCH('Area summary'!$E$3,B226)),MAX($A$1:A225)+1,0)</f>
        <v>224</v>
      </c>
      <c r="B226" s="354" t="s">
        <v>14369</v>
      </c>
      <c r="D226" s="354" t="str">
        <f>IFERROR(VLOOKUP(ROWS($D$2:D226),$A$2:$B$1424,2,0),"")</f>
        <v>South Cambridgeshire</v>
      </c>
    </row>
    <row r="227" spans="1:4" x14ac:dyDescent="0.2">
      <c r="A227" s="354">
        <f>IF(ISNUMBER(SEARCH('Area summary'!$E$3,B227)),MAX($A$1:A226)+1,0)</f>
        <v>225</v>
      </c>
      <c r="B227" s="354" t="s">
        <v>706</v>
      </c>
      <c r="D227" s="354" t="str">
        <f>IFERROR(VLOOKUP(ROWS($D$2:D227),$A$2:$B$1424,2,0),"")</f>
        <v>South Derbyshire</v>
      </c>
    </row>
    <row r="228" spans="1:4" x14ac:dyDescent="0.2">
      <c r="A228" s="354">
        <f>IF(ISNUMBER(SEARCH('Area summary'!$E$3,B228)),MAX($A$1:A227)+1,0)</f>
        <v>226</v>
      </c>
      <c r="B228" s="354" t="s">
        <v>708</v>
      </c>
      <c r="D228" s="354" t="str">
        <f>IFERROR(VLOOKUP(ROWS($D$2:D228),$A$2:$B$1424,2,0),"")</f>
        <v>South Gloucestershire</v>
      </c>
    </row>
    <row r="229" spans="1:4" x14ac:dyDescent="0.2">
      <c r="A229" s="354">
        <f>IF(ISNUMBER(SEARCH('Area summary'!$E$3,B229)),MAX($A$1:A228)+1,0)</f>
        <v>227</v>
      </c>
      <c r="B229" s="354" t="s">
        <v>710</v>
      </c>
      <c r="D229" s="354" t="str">
        <f>IFERROR(VLOOKUP(ROWS($D$2:D229),$A$2:$B$1424,2,0),"")</f>
        <v>South Hams</v>
      </c>
    </row>
    <row r="230" spans="1:4" x14ac:dyDescent="0.2">
      <c r="A230" s="354">
        <f>IF(ISNUMBER(SEARCH('Area summary'!$E$3,B230)),MAX($A$1:A229)+1,0)</f>
        <v>228</v>
      </c>
      <c r="B230" s="354" t="s">
        <v>712</v>
      </c>
      <c r="D230" s="354" t="str">
        <f>IFERROR(VLOOKUP(ROWS($D$2:D230),$A$2:$B$1424,2,0),"")</f>
        <v>South Holland</v>
      </c>
    </row>
    <row r="231" spans="1:4" x14ac:dyDescent="0.2">
      <c r="A231" s="354">
        <f>IF(ISNUMBER(SEARCH('Area summary'!$E$3,B231)),MAX($A$1:A230)+1,0)</f>
        <v>229</v>
      </c>
      <c r="B231" s="354" t="s">
        <v>714</v>
      </c>
      <c r="D231" s="354" t="str">
        <f>IFERROR(VLOOKUP(ROWS($D$2:D231),$A$2:$B$1424,2,0),"")</f>
        <v>South Kesteven</v>
      </c>
    </row>
    <row r="232" spans="1:4" x14ac:dyDescent="0.2">
      <c r="A232" s="354">
        <f>IF(ISNUMBER(SEARCH('Area summary'!$E$3,B232)),MAX($A$1:A231)+1,0)</f>
        <v>230</v>
      </c>
      <c r="B232" s="354" t="s">
        <v>716</v>
      </c>
      <c r="D232" s="354" t="str">
        <f>IFERROR(VLOOKUP(ROWS($D$2:D232),$A$2:$B$1424,2,0),"")</f>
        <v>South Norfolk</v>
      </c>
    </row>
    <row r="233" spans="1:4" x14ac:dyDescent="0.2">
      <c r="A233" s="354">
        <f>IF(ISNUMBER(SEARCH('Area summary'!$E$3,B233)),MAX($A$1:A232)+1,0)</f>
        <v>231</v>
      </c>
      <c r="B233" s="354" t="s">
        <v>718</v>
      </c>
      <c r="D233" s="354" t="str">
        <f>IFERROR(VLOOKUP(ROWS($D$2:D233),$A$2:$B$1424,2,0),"")</f>
        <v>South Oxfordshire</v>
      </c>
    </row>
    <row r="234" spans="1:4" x14ac:dyDescent="0.2">
      <c r="A234" s="354">
        <f>IF(ISNUMBER(SEARCH('Area summary'!$E$3,B234)),MAX($A$1:A233)+1,0)</f>
        <v>232</v>
      </c>
      <c r="B234" s="354" t="s">
        <v>720</v>
      </c>
      <c r="D234" s="354" t="str">
        <f>IFERROR(VLOOKUP(ROWS($D$2:D234),$A$2:$B$1424,2,0),"")</f>
        <v>South Ribble</v>
      </c>
    </row>
    <row r="235" spans="1:4" x14ac:dyDescent="0.2">
      <c r="A235" s="354">
        <f>IF(ISNUMBER(SEARCH('Area summary'!$E$3,B235)),MAX($A$1:A234)+1,0)</f>
        <v>233</v>
      </c>
      <c r="B235" s="354" t="s">
        <v>722</v>
      </c>
      <c r="D235" s="354" t="str">
        <f>IFERROR(VLOOKUP(ROWS($D$2:D235),$A$2:$B$1424,2,0),"")</f>
        <v>South Staffordshire</v>
      </c>
    </row>
    <row r="236" spans="1:4" x14ac:dyDescent="0.2">
      <c r="A236" s="354">
        <f>IF(ISNUMBER(SEARCH('Area summary'!$E$3,B236)),MAX($A$1:A235)+1,0)</f>
        <v>234</v>
      </c>
      <c r="B236" s="354" t="s">
        <v>724</v>
      </c>
      <c r="D236" s="354" t="str">
        <f>IFERROR(VLOOKUP(ROWS($D$2:D236),$A$2:$B$1424,2,0),"")</f>
        <v>South Tyneside</v>
      </c>
    </row>
    <row r="237" spans="1:4" x14ac:dyDescent="0.2">
      <c r="A237" s="354">
        <f>IF(ISNUMBER(SEARCH('Area summary'!$E$3,B237)),MAX($A$1:A236)+1,0)</f>
        <v>235</v>
      </c>
      <c r="B237" s="354" t="s">
        <v>726</v>
      </c>
      <c r="D237" s="354" t="str">
        <f>IFERROR(VLOOKUP(ROWS($D$2:D237),$A$2:$B$1424,2,0),"")</f>
        <v>Southampton</v>
      </c>
    </row>
    <row r="238" spans="1:4" x14ac:dyDescent="0.2">
      <c r="A238" s="354">
        <f>IF(ISNUMBER(SEARCH('Area summary'!$E$3,B238)),MAX($A$1:A237)+1,0)</f>
        <v>236</v>
      </c>
      <c r="B238" s="354" t="s">
        <v>728</v>
      </c>
      <c r="D238" s="354" t="str">
        <f>IFERROR(VLOOKUP(ROWS($D$2:D238),$A$2:$B$1424,2,0),"")</f>
        <v>Southend-on-Sea</v>
      </c>
    </row>
    <row r="239" spans="1:4" x14ac:dyDescent="0.2">
      <c r="A239" s="354">
        <f>IF(ISNUMBER(SEARCH('Area summary'!$E$3,B239)),MAX($A$1:A238)+1,0)</f>
        <v>237</v>
      </c>
      <c r="B239" s="354" t="s">
        <v>730</v>
      </c>
      <c r="D239" s="354" t="str">
        <f>IFERROR(VLOOKUP(ROWS($D$2:D239),$A$2:$B$1424,2,0),"")</f>
        <v>Southwark</v>
      </c>
    </row>
    <row r="240" spans="1:4" x14ac:dyDescent="0.2">
      <c r="A240" s="354">
        <f>IF(ISNUMBER(SEARCH('Area summary'!$E$3,B240)),MAX($A$1:A239)+1,0)</f>
        <v>238</v>
      </c>
      <c r="B240" s="354" t="s">
        <v>732</v>
      </c>
      <c r="D240" s="354" t="str">
        <f>IFERROR(VLOOKUP(ROWS($D$2:D240),$A$2:$B$1424,2,0),"")</f>
        <v>Spelthorne</v>
      </c>
    </row>
    <row r="241" spans="1:4" x14ac:dyDescent="0.2">
      <c r="A241" s="354">
        <f>IF(ISNUMBER(SEARCH('Area summary'!$E$3,B241)),MAX($A$1:A240)+1,0)</f>
        <v>239</v>
      </c>
      <c r="B241" s="354" t="s">
        <v>734</v>
      </c>
      <c r="D241" s="354" t="str">
        <f>IFERROR(VLOOKUP(ROWS($D$2:D241),$A$2:$B$1424,2,0),"")</f>
        <v>St Albans</v>
      </c>
    </row>
    <row r="242" spans="1:4" x14ac:dyDescent="0.2">
      <c r="A242" s="354">
        <f>IF(ISNUMBER(SEARCH('Area summary'!$E$3,B242)),MAX($A$1:A241)+1,0)</f>
        <v>240</v>
      </c>
      <c r="B242" s="354" t="s">
        <v>736</v>
      </c>
      <c r="D242" s="354" t="str">
        <f>IFERROR(VLOOKUP(ROWS($D$2:D242),$A$2:$B$1424,2,0),"")</f>
        <v>St. Helens</v>
      </c>
    </row>
    <row r="243" spans="1:4" x14ac:dyDescent="0.2">
      <c r="A243" s="354">
        <f>IF(ISNUMBER(SEARCH('Area summary'!$E$3,B243)),MAX($A$1:A242)+1,0)</f>
        <v>241</v>
      </c>
      <c r="B243" s="354" t="s">
        <v>738</v>
      </c>
      <c r="D243" s="354" t="str">
        <f>IFERROR(VLOOKUP(ROWS($D$2:D243),$A$2:$B$1424,2,0),"")</f>
        <v>Stafford</v>
      </c>
    </row>
    <row r="244" spans="1:4" x14ac:dyDescent="0.2">
      <c r="A244" s="354">
        <f>IF(ISNUMBER(SEARCH('Area summary'!$E$3,B244)),MAX($A$1:A243)+1,0)</f>
        <v>242</v>
      </c>
      <c r="B244" s="354" t="s">
        <v>740</v>
      </c>
      <c r="D244" s="354" t="str">
        <f>IFERROR(VLOOKUP(ROWS($D$2:D244),$A$2:$B$1424,2,0),"")</f>
        <v>Staffordshire Moorlands</v>
      </c>
    </row>
    <row r="245" spans="1:4" x14ac:dyDescent="0.2">
      <c r="A245" s="354">
        <f>IF(ISNUMBER(SEARCH('Area summary'!$E$3,B245)),MAX($A$1:A244)+1,0)</f>
        <v>243</v>
      </c>
      <c r="B245" s="354" t="s">
        <v>742</v>
      </c>
      <c r="D245" s="354" t="str">
        <f>IFERROR(VLOOKUP(ROWS($D$2:D245),$A$2:$B$1424,2,0),"")</f>
        <v>Stevenage</v>
      </c>
    </row>
    <row r="246" spans="1:4" x14ac:dyDescent="0.2">
      <c r="A246" s="354">
        <f>IF(ISNUMBER(SEARCH('Area summary'!$E$3,B246)),MAX($A$1:A245)+1,0)</f>
        <v>244</v>
      </c>
      <c r="B246" s="354" t="s">
        <v>744</v>
      </c>
      <c r="D246" s="354" t="str">
        <f>IFERROR(VLOOKUP(ROWS($D$2:D246),$A$2:$B$1424,2,0),"")</f>
        <v>Stockport</v>
      </c>
    </row>
    <row r="247" spans="1:4" x14ac:dyDescent="0.2">
      <c r="A247" s="354">
        <f>IF(ISNUMBER(SEARCH('Area summary'!$E$3,B247)),MAX($A$1:A246)+1,0)</f>
        <v>245</v>
      </c>
      <c r="B247" s="354" t="s">
        <v>746</v>
      </c>
      <c r="D247" s="354" t="str">
        <f>IFERROR(VLOOKUP(ROWS($D$2:D247),$A$2:$B$1424,2,0),"")</f>
        <v>Stockton-on-Tees</v>
      </c>
    </row>
    <row r="248" spans="1:4" x14ac:dyDescent="0.2">
      <c r="A248" s="354">
        <f>IF(ISNUMBER(SEARCH('Area summary'!$E$3,B248)),MAX($A$1:A247)+1,0)</f>
        <v>246</v>
      </c>
      <c r="B248" s="354" t="s">
        <v>748</v>
      </c>
      <c r="D248" s="354" t="str">
        <f>IFERROR(VLOOKUP(ROWS($D$2:D248),$A$2:$B$1424,2,0),"")</f>
        <v>Stoke-on-Trent</v>
      </c>
    </row>
    <row r="249" spans="1:4" x14ac:dyDescent="0.2">
      <c r="A249" s="354">
        <f>IF(ISNUMBER(SEARCH('Area summary'!$E$3,B249)),MAX($A$1:A248)+1,0)</f>
        <v>247</v>
      </c>
      <c r="B249" s="354" t="s">
        <v>750</v>
      </c>
      <c r="D249" s="354" t="str">
        <f>IFERROR(VLOOKUP(ROWS($D$2:D249),$A$2:$B$1424,2,0),"")</f>
        <v>Stratford-on-Avon</v>
      </c>
    </row>
    <row r="250" spans="1:4" x14ac:dyDescent="0.2">
      <c r="A250" s="354">
        <f>IF(ISNUMBER(SEARCH('Area summary'!$E$3,B250)),MAX($A$1:A249)+1,0)</f>
        <v>248</v>
      </c>
      <c r="B250" s="354" t="s">
        <v>752</v>
      </c>
      <c r="D250" s="354" t="str">
        <f>IFERROR(VLOOKUP(ROWS($D$2:D250),$A$2:$B$1424,2,0),"")</f>
        <v>Stroud</v>
      </c>
    </row>
    <row r="251" spans="1:4" x14ac:dyDescent="0.2">
      <c r="A251" s="354">
        <f>IF(ISNUMBER(SEARCH('Area summary'!$E$3,B251)),MAX($A$1:A250)+1,0)</f>
        <v>249</v>
      </c>
      <c r="B251" s="354" t="s">
        <v>754</v>
      </c>
      <c r="D251" s="354" t="str">
        <f>IFERROR(VLOOKUP(ROWS($D$2:D251),$A$2:$B$1424,2,0),"")</f>
        <v>Sunderland</v>
      </c>
    </row>
    <row r="252" spans="1:4" x14ac:dyDescent="0.2">
      <c r="A252" s="354">
        <f>IF(ISNUMBER(SEARCH('Area summary'!$E$3,B252)),MAX($A$1:A251)+1,0)</f>
        <v>250</v>
      </c>
      <c r="B252" s="354" t="s">
        <v>756</v>
      </c>
      <c r="D252" s="354" t="str">
        <f>IFERROR(VLOOKUP(ROWS($D$2:D252),$A$2:$B$1424,2,0),"")</f>
        <v>Surrey Heath</v>
      </c>
    </row>
    <row r="253" spans="1:4" x14ac:dyDescent="0.2">
      <c r="A253" s="354">
        <f>IF(ISNUMBER(SEARCH('Area summary'!$E$3,B253)),MAX($A$1:A252)+1,0)</f>
        <v>251</v>
      </c>
      <c r="B253" s="354" t="s">
        <v>758</v>
      </c>
      <c r="D253" s="354" t="str">
        <f>IFERROR(VLOOKUP(ROWS($D$2:D253),$A$2:$B$1424,2,0),"")</f>
        <v>Sutton</v>
      </c>
    </row>
    <row r="254" spans="1:4" x14ac:dyDescent="0.2">
      <c r="A254" s="354">
        <f>IF(ISNUMBER(SEARCH('Area summary'!$E$3,B254)),MAX($A$1:A253)+1,0)</f>
        <v>252</v>
      </c>
      <c r="B254" s="354" t="s">
        <v>760</v>
      </c>
      <c r="D254" s="354" t="str">
        <f>IFERROR(VLOOKUP(ROWS($D$2:D254),$A$2:$B$1424,2,0),"")</f>
        <v>Swale</v>
      </c>
    </row>
    <row r="255" spans="1:4" x14ac:dyDescent="0.2">
      <c r="A255" s="354">
        <f>IF(ISNUMBER(SEARCH('Area summary'!$E$3,B255)),MAX($A$1:A254)+1,0)</f>
        <v>253</v>
      </c>
      <c r="B255" s="354" t="s">
        <v>762</v>
      </c>
      <c r="D255" s="354" t="str">
        <f>IFERROR(VLOOKUP(ROWS($D$2:D255),$A$2:$B$1424,2,0),"")</f>
        <v>Swindon</v>
      </c>
    </row>
    <row r="256" spans="1:4" x14ac:dyDescent="0.2">
      <c r="A256" s="354">
        <f>IF(ISNUMBER(SEARCH('Area summary'!$E$3,B256)),MAX($A$1:A255)+1,0)</f>
        <v>254</v>
      </c>
      <c r="B256" s="354" t="s">
        <v>764</v>
      </c>
      <c r="D256" s="354" t="str">
        <f>IFERROR(VLOOKUP(ROWS($D$2:D256),$A$2:$B$1424,2,0),"")</f>
        <v>Tameside</v>
      </c>
    </row>
    <row r="257" spans="1:4" x14ac:dyDescent="0.2">
      <c r="A257" s="354">
        <f>IF(ISNUMBER(SEARCH('Area summary'!$E$3,B257)),MAX($A$1:A256)+1,0)</f>
        <v>255</v>
      </c>
      <c r="B257" s="354" t="s">
        <v>766</v>
      </c>
      <c r="D257" s="354" t="str">
        <f>IFERROR(VLOOKUP(ROWS($D$2:D257),$A$2:$B$1424,2,0),"")</f>
        <v>Tamworth</v>
      </c>
    </row>
    <row r="258" spans="1:4" x14ac:dyDescent="0.2">
      <c r="A258" s="354">
        <f>IF(ISNUMBER(SEARCH('Area summary'!$E$3,B258)),MAX($A$1:A257)+1,0)</f>
        <v>256</v>
      </c>
      <c r="B258" s="354" t="s">
        <v>768</v>
      </c>
      <c r="D258" s="354" t="str">
        <f>IFERROR(VLOOKUP(ROWS($D$2:D258),$A$2:$B$1424,2,0),"")</f>
        <v>Tandridge</v>
      </c>
    </row>
    <row r="259" spans="1:4" x14ac:dyDescent="0.2">
      <c r="A259" s="354">
        <f>IF(ISNUMBER(SEARCH('Area summary'!$E$3,B259)),MAX($A$1:A258)+1,0)</f>
        <v>257</v>
      </c>
      <c r="B259" s="354" t="s">
        <v>770</v>
      </c>
      <c r="D259" s="354" t="str">
        <f>IFERROR(VLOOKUP(ROWS($D$2:D259),$A$2:$B$1424,2,0),"")</f>
        <v>Teignbridge</v>
      </c>
    </row>
    <row r="260" spans="1:4" x14ac:dyDescent="0.2">
      <c r="A260" s="354">
        <f>IF(ISNUMBER(SEARCH('Area summary'!$E$3,B260)),MAX($A$1:A259)+1,0)</f>
        <v>258</v>
      </c>
      <c r="B260" s="354" t="s">
        <v>772</v>
      </c>
      <c r="D260" s="354" t="str">
        <f>IFERROR(VLOOKUP(ROWS($D$2:D260),$A$2:$B$1424,2,0),"")</f>
        <v>Telford and Wrekin</v>
      </c>
    </row>
    <row r="261" spans="1:4" x14ac:dyDescent="0.2">
      <c r="A261" s="354">
        <f>IF(ISNUMBER(SEARCH('Area summary'!$E$3,B261)),MAX($A$1:A260)+1,0)</f>
        <v>259</v>
      </c>
      <c r="B261" s="354" t="s">
        <v>774</v>
      </c>
      <c r="D261" s="354" t="str">
        <f>IFERROR(VLOOKUP(ROWS($D$2:D261),$A$2:$B$1424,2,0),"")</f>
        <v>Tendring</v>
      </c>
    </row>
    <row r="262" spans="1:4" x14ac:dyDescent="0.2">
      <c r="A262" s="354">
        <f>IF(ISNUMBER(SEARCH('Area summary'!$E$3,B262)),MAX($A$1:A261)+1,0)</f>
        <v>260</v>
      </c>
      <c r="B262" s="354" t="s">
        <v>776</v>
      </c>
      <c r="D262" s="354" t="str">
        <f>IFERROR(VLOOKUP(ROWS($D$2:D262),$A$2:$B$1424,2,0),"")</f>
        <v>Test Valley</v>
      </c>
    </row>
    <row r="263" spans="1:4" x14ac:dyDescent="0.2">
      <c r="A263" s="354">
        <f>IF(ISNUMBER(SEARCH('Area summary'!$E$3,B263)),MAX($A$1:A262)+1,0)</f>
        <v>261</v>
      </c>
      <c r="B263" s="354" t="s">
        <v>778</v>
      </c>
      <c r="D263" s="354" t="str">
        <f>IFERROR(VLOOKUP(ROWS($D$2:D263),$A$2:$B$1424,2,0),"")</f>
        <v>Tewkesbury</v>
      </c>
    </row>
    <row r="264" spans="1:4" x14ac:dyDescent="0.2">
      <c r="A264" s="354">
        <f>IF(ISNUMBER(SEARCH('Area summary'!$E$3,B264)),MAX($A$1:A263)+1,0)</f>
        <v>262</v>
      </c>
      <c r="B264" s="354" t="s">
        <v>780</v>
      </c>
      <c r="D264" s="354" t="str">
        <f>IFERROR(VLOOKUP(ROWS($D$2:D264),$A$2:$B$1424,2,0),"")</f>
        <v>Thanet</v>
      </c>
    </row>
    <row r="265" spans="1:4" x14ac:dyDescent="0.2">
      <c r="A265" s="354">
        <f>IF(ISNUMBER(SEARCH('Area summary'!$E$3,B265)),MAX($A$1:A264)+1,0)</f>
        <v>263</v>
      </c>
      <c r="B265" s="354" t="s">
        <v>782</v>
      </c>
      <c r="D265" s="354" t="str">
        <f>IFERROR(VLOOKUP(ROWS($D$2:D265),$A$2:$B$1424,2,0),"")</f>
        <v>Three Rivers</v>
      </c>
    </row>
    <row r="266" spans="1:4" x14ac:dyDescent="0.2">
      <c r="A266" s="354">
        <f>IF(ISNUMBER(SEARCH('Area summary'!$E$3,B266)),MAX($A$1:A265)+1,0)</f>
        <v>264</v>
      </c>
      <c r="B266" s="354" t="s">
        <v>784</v>
      </c>
      <c r="D266" s="354" t="str">
        <f>IFERROR(VLOOKUP(ROWS($D$2:D266),$A$2:$B$1424,2,0),"")</f>
        <v>Thurrock</v>
      </c>
    </row>
    <row r="267" spans="1:4" x14ac:dyDescent="0.2">
      <c r="A267" s="354">
        <f>IF(ISNUMBER(SEARCH('Area summary'!$E$3,B267)),MAX($A$1:A266)+1,0)</f>
        <v>265</v>
      </c>
      <c r="B267" s="354" t="s">
        <v>786</v>
      </c>
      <c r="D267" s="354" t="str">
        <f>IFERROR(VLOOKUP(ROWS($D$2:D267),$A$2:$B$1424,2,0),"")</f>
        <v>Tonbridge and Malling</v>
      </c>
    </row>
    <row r="268" spans="1:4" x14ac:dyDescent="0.2">
      <c r="A268" s="354">
        <f>IF(ISNUMBER(SEARCH('Area summary'!$E$3,B268)),MAX($A$1:A267)+1,0)</f>
        <v>266</v>
      </c>
      <c r="B268" s="354" t="s">
        <v>788</v>
      </c>
      <c r="D268" s="354" t="str">
        <f>IFERROR(VLOOKUP(ROWS($D$2:D268),$A$2:$B$1424,2,0),"")</f>
        <v>Torbay</v>
      </c>
    </row>
    <row r="269" spans="1:4" x14ac:dyDescent="0.2">
      <c r="A269" s="354">
        <f>IF(ISNUMBER(SEARCH('Area summary'!$E$3,B269)),MAX($A$1:A268)+1,0)</f>
        <v>267</v>
      </c>
      <c r="B269" s="354" t="s">
        <v>790</v>
      </c>
      <c r="D269" s="354" t="str">
        <f>IFERROR(VLOOKUP(ROWS($D$2:D269),$A$2:$B$1424,2,0),"")</f>
        <v>Torridge</v>
      </c>
    </row>
    <row r="270" spans="1:4" x14ac:dyDescent="0.2">
      <c r="A270" s="354">
        <f>IF(ISNUMBER(SEARCH('Area summary'!$E$3,B270)),MAX($A$1:A269)+1,0)</f>
        <v>268</v>
      </c>
      <c r="B270" s="354" t="s">
        <v>792</v>
      </c>
      <c r="D270" s="354" t="str">
        <f>IFERROR(VLOOKUP(ROWS($D$2:D270),$A$2:$B$1424,2,0),"")</f>
        <v>Tower Hamlets</v>
      </c>
    </row>
    <row r="271" spans="1:4" x14ac:dyDescent="0.2">
      <c r="A271" s="354">
        <f>IF(ISNUMBER(SEARCH('Area summary'!$E$3,B271)),MAX($A$1:A270)+1,0)</f>
        <v>269</v>
      </c>
      <c r="B271" s="354" t="s">
        <v>794</v>
      </c>
      <c r="D271" s="354" t="str">
        <f>IFERROR(VLOOKUP(ROWS($D$2:D271),$A$2:$B$1424,2,0),"")</f>
        <v>Trafford</v>
      </c>
    </row>
    <row r="272" spans="1:4" x14ac:dyDescent="0.2">
      <c r="A272" s="354">
        <f>IF(ISNUMBER(SEARCH('Area summary'!$E$3,B272)),MAX($A$1:A271)+1,0)</f>
        <v>270</v>
      </c>
      <c r="B272" s="354" t="s">
        <v>796</v>
      </c>
      <c r="D272" s="354" t="str">
        <f>IFERROR(VLOOKUP(ROWS($D$2:D272),$A$2:$B$1424,2,0),"")</f>
        <v>Tunbridge Wells</v>
      </c>
    </row>
    <row r="273" spans="1:4" x14ac:dyDescent="0.2">
      <c r="A273" s="354">
        <f>IF(ISNUMBER(SEARCH('Area summary'!$E$3,B273)),MAX($A$1:A272)+1,0)</f>
        <v>271</v>
      </c>
      <c r="B273" s="354" t="s">
        <v>798</v>
      </c>
      <c r="D273" s="354" t="str">
        <f>IFERROR(VLOOKUP(ROWS($D$2:D273),$A$2:$B$1424,2,0),"")</f>
        <v>Uttlesford</v>
      </c>
    </row>
    <row r="274" spans="1:4" x14ac:dyDescent="0.2">
      <c r="A274" s="354">
        <f>IF(ISNUMBER(SEARCH('Area summary'!$E$3,B274)),MAX($A$1:A273)+1,0)</f>
        <v>272</v>
      </c>
      <c r="B274" s="354" t="s">
        <v>800</v>
      </c>
      <c r="D274" s="354" t="str">
        <f>IFERROR(VLOOKUP(ROWS($D$2:D274),$A$2:$B$1424,2,0),"")</f>
        <v>Vale of White Horse</v>
      </c>
    </row>
    <row r="275" spans="1:4" x14ac:dyDescent="0.2">
      <c r="A275" s="354">
        <f>IF(ISNUMBER(SEARCH('Area summary'!$E$3,B275)),MAX($A$1:A274)+1,0)</f>
        <v>273</v>
      </c>
      <c r="B275" s="354" t="s">
        <v>802</v>
      </c>
      <c r="D275" s="354" t="str">
        <f>IFERROR(VLOOKUP(ROWS($D$2:D275),$A$2:$B$1424,2,0),"")</f>
        <v>Wakefield</v>
      </c>
    </row>
    <row r="276" spans="1:4" x14ac:dyDescent="0.2">
      <c r="A276" s="354">
        <f>IF(ISNUMBER(SEARCH('Area summary'!$E$3,B276)),MAX($A$1:A275)+1,0)</f>
        <v>274</v>
      </c>
      <c r="B276" s="354" t="s">
        <v>804</v>
      </c>
      <c r="D276" s="354" t="str">
        <f>IFERROR(VLOOKUP(ROWS($D$2:D276),$A$2:$B$1424,2,0),"")</f>
        <v>Walsall</v>
      </c>
    </row>
    <row r="277" spans="1:4" x14ac:dyDescent="0.2">
      <c r="A277" s="354">
        <f>IF(ISNUMBER(SEARCH('Area summary'!$E$3,B277)),MAX($A$1:A276)+1,0)</f>
        <v>275</v>
      </c>
      <c r="B277" s="354" t="s">
        <v>806</v>
      </c>
      <c r="D277" s="354" t="str">
        <f>IFERROR(VLOOKUP(ROWS($D$2:D277),$A$2:$B$1424,2,0),"")</f>
        <v>Waltham Forest</v>
      </c>
    </row>
    <row r="278" spans="1:4" x14ac:dyDescent="0.2">
      <c r="A278" s="354">
        <f>IF(ISNUMBER(SEARCH('Area summary'!$E$3,B278)),MAX($A$1:A277)+1,0)</f>
        <v>276</v>
      </c>
      <c r="B278" s="354" t="s">
        <v>808</v>
      </c>
      <c r="D278" s="354" t="str">
        <f>IFERROR(VLOOKUP(ROWS($D$2:D278),$A$2:$B$1424,2,0),"")</f>
        <v>Wandsworth</v>
      </c>
    </row>
    <row r="279" spans="1:4" x14ac:dyDescent="0.2">
      <c r="A279" s="354">
        <f>IF(ISNUMBER(SEARCH('Area summary'!$E$3,B279)),MAX($A$1:A278)+1,0)</f>
        <v>277</v>
      </c>
      <c r="B279" s="354" t="s">
        <v>810</v>
      </c>
      <c r="D279" s="354" t="str">
        <f>IFERROR(VLOOKUP(ROWS($D$2:D279),$A$2:$B$1424,2,0),"")</f>
        <v>Warrington</v>
      </c>
    </row>
    <row r="280" spans="1:4" x14ac:dyDescent="0.2">
      <c r="A280" s="354">
        <f>IF(ISNUMBER(SEARCH('Area summary'!$E$3,B280)),MAX($A$1:A279)+1,0)</f>
        <v>278</v>
      </c>
      <c r="B280" s="354" t="s">
        <v>812</v>
      </c>
      <c r="D280" s="354" t="str">
        <f>IFERROR(VLOOKUP(ROWS($D$2:D280),$A$2:$B$1424,2,0),"")</f>
        <v>Warwick</v>
      </c>
    </row>
    <row r="281" spans="1:4" x14ac:dyDescent="0.2">
      <c r="A281" s="354">
        <f>IF(ISNUMBER(SEARCH('Area summary'!$E$3,B281)),MAX($A$1:A280)+1,0)</f>
        <v>279</v>
      </c>
      <c r="B281" s="354" t="s">
        <v>814</v>
      </c>
      <c r="D281" s="354" t="str">
        <f>IFERROR(VLOOKUP(ROWS($D$2:D281),$A$2:$B$1424,2,0),"")</f>
        <v>Watford</v>
      </c>
    </row>
    <row r="282" spans="1:4" x14ac:dyDescent="0.2">
      <c r="A282" s="354">
        <f>IF(ISNUMBER(SEARCH('Area summary'!$E$3,B282)),MAX($A$1:A281)+1,0)</f>
        <v>280</v>
      </c>
      <c r="B282" s="354" t="s">
        <v>816</v>
      </c>
      <c r="D282" s="354" t="str">
        <f>IFERROR(VLOOKUP(ROWS($D$2:D282),$A$2:$B$1424,2,0),"")</f>
        <v>Waverley</v>
      </c>
    </row>
    <row r="283" spans="1:4" x14ac:dyDescent="0.2">
      <c r="A283" s="354">
        <f>IF(ISNUMBER(SEARCH('Area summary'!$E$3,B283)),MAX($A$1:A282)+1,0)</f>
        <v>281</v>
      </c>
      <c r="B283" s="354" t="s">
        <v>818</v>
      </c>
      <c r="D283" s="354" t="str">
        <f>IFERROR(VLOOKUP(ROWS($D$2:D283),$A$2:$B$1424,2,0),"")</f>
        <v>Wealden</v>
      </c>
    </row>
    <row r="284" spans="1:4" x14ac:dyDescent="0.2">
      <c r="A284" s="354">
        <f>IF(ISNUMBER(SEARCH('Area summary'!$E$3,B284)),MAX($A$1:A283)+1,0)</f>
        <v>282</v>
      </c>
      <c r="B284" s="354" t="s">
        <v>820</v>
      </c>
      <c r="D284" s="354" t="str">
        <f>IFERROR(VLOOKUP(ROWS($D$2:D284),$A$2:$B$1424,2,0),"")</f>
        <v>Welwyn Hatfield</v>
      </c>
    </row>
    <row r="285" spans="1:4" x14ac:dyDescent="0.2">
      <c r="A285" s="354">
        <f>IF(ISNUMBER(SEARCH('Area summary'!$E$3,B285)),MAX($A$1:A284)+1,0)</f>
        <v>283</v>
      </c>
      <c r="B285" s="354" t="s">
        <v>822</v>
      </c>
      <c r="D285" s="354" t="str">
        <f>IFERROR(VLOOKUP(ROWS($D$2:D285),$A$2:$B$1424,2,0),"")</f>
        <v>West Berkshire</v>
      </c>
    </row>
    <row r="286" spans="1:4" x14ac:dyDescent="0.2">
      <c r="A286" s="354">
        <f>IF(ISNUMBER(SEARCH('Area summary'!$E$3,B286)),MAX($A$1:A285)+1,0)</f>
        <v>284</v>
      </c>
      <c r="B286" s="354" t="s">
        <v>824</v>
      </c>
      <c r="D286" s="354" t="str">
        <f>IFERROR(VLOOKUP(ROWS($D$2:D286),$A$2:$B$1424,2,0),"")</f>
        <v>West Devon</v>
      </c>
    </row>
    <row r="287" spans="1:4" x14ac:dyDescent="0.2">
      <c r="A287" s="354">
        <f>IF(ISNUMBER(SEARCH('Area summary'!$E$3,B287)),MAX($A$1:A286)+1,0)</f>
        <v>285</v>
      </c>
      <c r="B287" s="354" t="s">
        <v>826</v>
      </c>
      <c r="D287" s="354" t="str">
        <f>IFERROR(VLOOKUP(ROWS($D$2:D287),$A$2:$B$1424,2,0),"")</f>
        <v>West Lancashire</v>
      </c>
    </row>
    <row r="288" spans="1:4" x14ac:dyDescent="0.2">
      <c r="A288" s="354">
        <f>IF(ISNUMBER(SEARCH('Area summary'!$E$3,B288)),MAX($A$1:A287)+1,0)</f>
        <v>286</v>
      </c>
      <c r="B288" s="354" t="s">
        <v>828</v>
      </c>
      <c r="D288" s="354" t="str">
        <f>IFERROR(VLOOKUP(ROWS($D$2:D288),$A$2:$B$1424,2,0),"")</f>
        <v>West Lindsey</v>
      </c>
    </row>
    <row r="289" spans="1:4" x14ac:dyDescent="0.2">
      <c r="A289" s="354">
        <f>IF(ISNUMBER(SEARCH('Area summary'!$E$3,B289)),MAX($A$1:A288)+1,0)</f>
        <v>287</v>
      </c>
      <c r="B289" s="354" t="s">
        <v>830</v>
      </c>
      <c r="D289" s="354" t="str">
        <f>IFERROR(VLOOKUP(ROWS($D$2:D289),$A$2:$B$1424,2,0),"")</f>
        <v>West Northamptonshire</v>
      </c>
    </row>
    <row r="290" spans="1:4" x14ac:dyDescent="0.2">
      <c r="A290" s="354">
        <f>IF(ISNUMBER(SEARCH('Area summary'!$E$3,B290)),MAX($A$1:A289)+1,0)</f>
        <v>288</v>
      </c>
      <c r="B290" s="354" t="s">
        <v>10560</v>
      </c>
      <c r="D290" s="354" t="str">
        <f>IFERROR(VLOOKUP(ROWS($D$2:D290),$A$2:$B$1424,2,0),"")</f>
        <v>West Oxfordshire</v>
      </c>
    </row>
    <row r="291" spans="1:4" x14ac:dyDescent="0.2">
      <c r="A291" s="354">
        <f>IF(ISNUMBER(SEARCH('Area summary'!$E$3,B291)),MAX($A$1:A290)+1,0)</f>
        <v>289</v>
      </c>
      <c r="B291" s="354" t="s">
        <v>832</v>
      </c>
      <c r="D291" s="354" t="str">
        <f>IFERROR(VLOOKUP(ROWS($D$2:D291),$A$2:$B$1424,2,0),"")</f>
        <v>West Suffolk</v>
      </c>
    </row>
    <row r="292" spans="1:4" x14ac:dyDescent="0.2">
      <c r="A292" s="354">
        <f>IF(ISNUMBER(SEARCH('Area summary'!$E$3,B292)),MAX($A$1:A291)+1,0)</f>
        <v>290</v>
      </c>
      <c r="B292" s="354" t="s">
        <v>834</v>
      </c>
      <c r="D292" s="354" t="str">
        <f>IFERROR(VLOOKUP(ROWS($D$2:D292),$A$2:$B$1424,2,0),"")</f>
        <v>Westminster</v>
      </c>
    </row>
    <row r="293" spans="1:4" x14ac:dyDescent="0.2">
      <c r="A293" s="354">
        <f>IF(ISNUMBER(SEARCH('Area summary'!$E$3,B293)),MAX($A$1:A292)+1,0)</f>
        <v>291</v>
      </c>
      <c r="B293" s="354" t="s">
        <v>836</v>
      </c>
      <c r="D293" s="354" t="str">
        <f>IFERROR(VLOOKUP(ROWS($D$2:D293),$A$2:$B$1424,2,0),"")</f>
        <v>Westmorland and Furness</v>
      </c>
    </row>
    <row r="294" spans="1:4" x14ac:dyDescent="0.2">
      <c r="A294" s="354">
        <f>IF(ISNUMBER(SEARCH('Area summary'!$E$3,B294)),MAX($A$1:A293)+1,0)</f>
        <v>292</v>
      </c>
      <c r="B294" s="354" t="s">
        <v>14371</v>
      </c>
      <c r="D294" s="354" t="str">
        <f>IFERROR(VLOOKUP(ROWS($D$2:D294),$A$2:$B$1424,2,0),"")</f>
        <v>Wigan</v>
      </c>
    </row>
    <row r="295" spans="1:4" x14ac:dyDescent="0.2">
      <c r="A295" s="354">
        <f>IF(ISNUMBER(SEARCH('Area summary'!$E$3,B295)),MAX($A$1:A294)+1,0)</f>
        <v>293</v>
      </c>
      <c r="B295" s="354" t="s">
        <v>838</v>
      </c>
      <c r="D295" s="354" t="str">
        <f>IFERROR(VLOOKUP(ROWS($D$2:D295),$A$2:$B$1424,2,0),"")</f>
        <v>Wiltshire</v>
      </c>
    </row>
    <row r="296" spans="1:4" x14ac:dyDescent="0.2">
      <c r="A296" s="354">
        <f>IF(ISNUMBER(SEARCH('Area summary'!$E$3,B296)),MAX($A$1:A295)+1,0)</f>
        <v>294</v>
      </c>
      <c r="B296" s="354" t="s">
        <v>840</v>
      </c>
      <c r="D296" s="354" t="str">
        <f>IFERROR(VLOOKUP(ROWS($D$2:D296),$A$2:$B$1424,2,0),"")</f>
        <v>Winchester</v>
      </c>
    </row>
    <row r="297" spans="1:4" x14ac:dyDescent="0.2">
      <c r="A297" s="354">
        <f>IF(ISNUMBER(SEARCH('Area summary'!$E$3,B297)),MAX($A$1:A296)+1,0)</f>
        <v>295</v>
      </c>
      <c r="B297" s="354" t="s">
        <v>842</v>
      </c>
      <c r="D297" s="354" t="str">
        <f>IFERROR(VLOOKUP(ROWS($D$2:D297),$A$2:$B$1424,2,0),"")</f>
        <v>Windsor and Maidenhead</v>
      </c>
    </row>
    <row r="298" spans="1:4" x14ac:dyDescent="0.2">
      <c r="A298" s="354">
        <f>IF(ISNUMBER(SEARCH('Area summary'!$E$3,B298)),MAX($A$1:A297)+1,0)</f>
        <v>296</v>
      </c>
      <c r="B298" s="354" t="s">
        <v>844</v>
      </c>
      <c r="D298" s="354" t="str">
        <f>IFERROR(VLOOKUP(ROWS($D$2:D298),$A$2:$B$1424,2,0),"")</f>
        <v>Wirral</v>
      </c>
    </row>
    <row r="299" spans="1:4" x14ac:dyDescent="0.2">
      <c r="A299" s="354">
        <f>IF(ISNUMBER(SEARCH('Area summary'!$E$3,B299)),MAX($A$1:A298)+1,0)</f>
        <v>297</v>
      </c>
      <c r="B299" s="354" t="s">
        <v>846</v>
      </c>
      <c r="D299" s="354" t="str">
        <f>IFERROR(VLOOKUP(ROWS($D$2:D299),$A$2:$B$1424,2,0),"")</f>
        <v>Woking</v>
      </c>
    </row>
    <row r="300" spans="1:4" x14ac:dyDescent="0.2">
      <c r="A300" s="354">
        <f>IF(ISNUMBER(SEARCH('Area summary'!$E$3,B300)),MAX($A$1:A299)+1,0)</f>
        <v>298</v>
      </c>
      <c r="B300" s="354" t="s">
        <v>848</v>
      </c>
      <c r="D300" s="354" t="str">
        <f>IFERROR(VLOOKUP(ROWS($D$2:D300),$A$2:$B$1424,2,0),"")</f>
        <v>Wokingham</v>
      </c>
    </row>
    <row r="301" spans="1:4" x14ac:dyDescent="0.2">
      <c r="A301" s="354">
        <f>IF(ISNUMBER(SEARCH('Area summary'!$E$3,B301)),MAX($A$1:A300)+1,0)</f>
        <v>299</v>
      </c>
      <c r="B301" s="354" t="s">
        <v>850</v>
      </c>
      <c r="D301" s="354" t="str">
        <f>IFERROR(VLOOKUP(ROWS($D$2:D301),$A$2:$B$1424,2,0),"")</f>
        <v>Wolverhampton</v>
      </c>
    </row>
    <row r="302" spans="1:4" x14ac:dyDescent="0.2">
      <c r="A302" s="354">
        <f>IF(ISNUMBER(SEARCH('Area summary'!$E$3,B302)),MAX($A$1:A301)+1,0)</f>
        <v>300</v>
      </c>
      <c r="B302" s="354" t="s">
        <v>852</v>
      </c>
      <c r="D302" s="354" t="str">
        <f>IFERROR(VLOOKUP(ROWS($D$2:D302),$A$2:$B$1424,2,0),"")</f>
        <v>Worcester</v>
      </c>
    </row>
    <row r="303" spans="1:4" x14ac:dyDescent="0.2">
      <c r="A303" s="354">
        <f>IF(ISNUMBER(SEARCH('Area summary'!$E$3,B303)),MAX($A$1:A302)+1,0)</f>
        <v>301</v>
      </c>
      <c r="B303" s="354" t="s">
        <v>854</v>
      </c>
      <c r="D303" s="354" t="str">
        <f>IFERROR(VLOOKUP(ROWS($D$2:D303),$A$2:$B$1424,2,0),"")</f>
        <v>Worthing</v>
      </c>
    </row>
    <row r="304" spans="1:4" x14ac:dyDescent="0.2">
      <c r="A304" s="354">
        <f>IF(ISNUMBER(SEARCH('Area summary'!$E$3,B304)),MAX($A$1:A303)+1,0)</f>
        <v>302</v>
      </c>
      <c r="B304" s="354" t="s">
        <v>856</v>
      </c>
      <c r="D304" s="354" t="str">
        <f>IFERROR(VLOOKUP(ROWS($D$2:D304),$A$2:$B$1424,2,0),"")</f>
        <v>Wychavon</v>
      </c>
    </row>
    <row r="305" spans="1:4" x14ac:dyDescent="0.2">
      <c r="A305" s="354">
        <f>IF(ISNUMBER(SEARCH('Area summary'!$E$3,B305)),MAX($A$1:A304)+1,0)</f>
        <v>303</v>
      </c>
      <c r="B305" s="354" t="s">
        <v>858</v>
      </c>
      <c r="D305" s="354" t="str">
        <f>IFERROR(VLOOKUP(ROWS($D$2:D305),$A$2:$B$1424,2,0),"")</f>
        <v>Wyre</v>
      </c>
    </row>
    <row r="306" spans="1:4" x14ac:dyDescent="0.2">
      <c r="A306" s="354">
        <f>IF(ISNUMBER(SEARCH('Area summary'!$E$3,B306)),MAX($A$1:A305)+1,0)</f>
        <v>304</v>
      </c>
      <c r="B306" s="354" t="s">
        <v>860</v>
      </c>
      <c r="D306" s="354" t="str">
        <f>IFERROR(VLOOKUP(ROWS($D$2:D306),$A$2:$B$1424,2,0),"")</f>
        <v>Wyre Forest</v>
      </c>
    </row>
    <row r="307" spans="1:4" x14ac:dyDescent="0.2">
      <c r="A307" s="354">
        <f>IF(ISNUMBER(SEARCH('Area summary'!$E$3,B307)),MAX($A$1:A306)+1,0)</f>
        <v>305</v>
      </c>
      <c r="B307" s="354" t="s">
        <v>862</v>
      </c>
      <c r="D307" s="354" t="str">
        <f>IFERROR(VLOOKUP(ROWS($D$2:D307),$A$2:$B$1424,2,0),"")</f>
        <v>York</v>
      </c>
    </row>
    <row r="308" spans="1:4" x14ac:dyDescent="0.2">
      <c r="A308" s="354">
        <f>IF(ISNUMBER(SEARCH('Area summary'!$E$3,B308)),MAX($A$1:A307)+1,0)</f>
        <v>306</v>
      </c>
      <c r="B308" s="354" t="s">
        <v>864</v>
      </c>
      <c r="D308" s="354" t="str">
        <f>IFERROR(VLOOKUP(ROWS($D$2:D308),$A$2:$B$1424,2,0),"")</f>
        <v/>
      </c>
    </row>
    <row r="309" spans="1:4" x14ac:dyDescent="0.2">
      <c r="D309" s="354" t="str">
        <f>IFERROR(VLOOKUP(ROWS($D$2:D309),$A$2:$B$1424,2,0),"")</f>
        <v/>
      </c>
    </row>
    <row r="310" spans="1:4" x14ac:dyDescent="0.2">
      <c r="D310" s="354" t="str">
        <f>IFERROR(VLOOKUP(ROWS($D$2:D310),$A$2:$B$1424,2,0),"")</f>
        <v/>
      </c>
    </row>
    <row r="311" spans="1:4" x14ac:dyDescent="0.2">
      <c r="D311" s="354" t="str">
        <f>IFERROR(VLOOKUP(ROWS($D$2:D311),$A$2:$B$1424,2,0),"")</f>
        <v/>
      </c>
    </row>
    <row r="312" spans="1:4" x14ac:dyDescent="0.2">
      <c r="D312" s="354" t="str">
        <f>IFERROR(VLOOKUP(ROWS($D$2:D312),$A$2:$B$1424,2,0),"")</f>
        <v/>
      </c>
    </row>
    <row r="313" spans="1:4" x14ac:dyDescent="0.2">
      <c r="D313" s="354" t="str">
        <f>IFERROR(VLOOKUP(ROWS($D$2:D313),$A$2:$B$1424,2,0),"")</f>
        <v/>
      </c>
    </row>
    <row r="314" spans="1:4" x14ac:dyDescent="0.2">
      <c r="D314" s="354" t="str">
        <f>IFERROR(VLOOKUP(ROWS($D$2:D314),$A$2:$B$1424,2,0),"")</f>
        <v/>
      </c>
    </row>
    <row r="315" spans="1:4" x14ac:dyDescent="0.2">
      <c r="D315" s="354" t="str">
        <f>IFERROR(VLOOKUP(ROWS($D$2:D315),$A$2:$B$1424,2,0),"")</f>
        <v/>
      </c>
    </row>
    <row r="316" spans="1:4" x14ac:dyDescent="0.2">
      <c r="D316" s="354" t="str">
        <f>IFERROR(VLOOKUP(ROWS($D$2:D316),$A$2:$B$1424,2,0),"")</f>
        <v/>
      </c>
    </row>
    <row r="317" spans="1:4" x14ac:dyDescent="0.2">
      <c r="D317" s="354" t="str">
        <f>IFERROR(VLOOKUP(ROWS($D$2:D317),$A$2:$B$1424,2,0),"")</f>
        <v/>
      </c>
    </row>
    <row r="318" spans="1:4" x14ac:dyDescent="0.2">
      <c r="D318" s="354" t="str">
        <f>IFERROR(VLOOKUP(ROWS($D$2:D318),$A$2:$B$1424,2,0),"")</f>
        <v/>
      </c>
    </row>
    <row r="319" spans="1:4" x14ac:dyDescent="0.2">
      <c r="D319" s="354" t="str">
        <f>IFERROR(VLOOKUP(ROWS($D$2:D319),$A$2:$B$1424,2,0),"")</f>
        <v/>
      </c>
    </row>
    <row r="320" spans="1:4" x14ac:dyDescent="0.2">
      <c r="D320" s="354" t="str">
        <f>IFERROR(VLOOKUP(ROWS($D$2:D320),$A$2:$B$1424,2,0),"")</f>
        <v/>
      </c>
    </row>
    <row r="321" spans="2:4" x14ac:dyDescent="0.2">
      <c r="D321" s="354" t="str">
        <f>IFERROR(VLOOKUP(ROWS($D$2:D321),$A$2:$B$1424,2,0),"")</f>
        <v/>
      </c>
    </row>
    <row r="322" spans="2:4" x14ac:dyDescent="0.2">
      <c r="B322" s="218"/>
      <c r="D322" s="354" t="str">
        <f>IFERROR(VLOOKUP(ROWS($D$2:D322),$A$2:$B$1424,2,0),"")</f>
        <v/>
      </c>
    </row>
    <row r="323" spans="2:4" x14ac:dyDescent="0.2">
      <c r="B323" s="218"/>
      <c r="D323" s="354" t="str">
        <f>IFERROR(VLOOKUP(ROWS($D$2:D323),$A$2:$B$1424,2,0),"")</f>
        <v/>
      </c>
    </row>
    <row r="324" spans="2:4" x14ac:dyDescent="0.2">
      <c r="B324" s="218"/>
      <c r="D324" s="354" t="str">
        <f>IFERROR(VLOOKUP(ROWS($D$2:D324),$A$2:$B$1424,2,0),"")</f>
        <v/>
      </c>
    </row>
    <row r="325" spans="2:4" x14ac:dyDescent="0.2">
      <c r="B325" s="218"/>
      <c r="D325" s="354" t="str">
        <f>IFERROR(VLOOKUP(ROWS($D$2:D325),$A$2:$B$1424,2,0),"")</f>
        <v/>
      </c>
    </row>
    <row r="326" spans="2:4" x14ac:dyDescent="0.2">
      <c r="B326" s="218"/>
      <c r="D326" s="354" t="str">
        <f>IFERROR(VLOOKUP(ROWS($D$2:D326),$A$2:$B$1424,2,0),"")</f>
        <v/>
      </c>
    </row>
    <row r="327" spans="2:4" x14ac:dyDescent="0.2">
      <c r="B327" s="218"/>
      <c r="D327" s="354" t="str">
        <f>IFERROR(VLOOKUP(ROWS($D$2:D327),$A$2:$B$1424,2,0),"")</f>
        <v/>
      </c>
    </row>
    <row r="328" spans="2:4" x14ac:dyDescent="0.2">
      <c r="B328" s="218"/>
      <c r="D328" s="354" t="str">
        <f>IFERROR(VLOOKUP(ROWS($D$2:D328),$A$2:$B$1424,2,0),"")</f>
        <v/>
      </c>
    </row>
    <row r="329" spans="2:4" x14ac:dyDescent="0.2">
      <c r="B329" s="218"/>
      <c r="D329" s="354" t="str">
        <f>IFERROR(VLOOKUP(ROWS($D$2:D329),$A$2:$B$1424,2,0),"")</f>
        <v/>
      </c>
    </row>
  </sheetData>
  <pageMargins left="0.7" right="0.7" top="0.75" bottom="0.75" header="0.3" footer="0.3"/>
  <pageSetup paperSize="9" orientation="portrait" r:id="rId1"/>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0CEC-3EE5-4540-B943-676836051AEA}">
  <sheetPr codeName="Sheet2">
    <tabColor rgb="FF59468D"/>
  </sheetPr>
  <dimension ref="A1:P100"/>
  <sheetViews>
    <sheetView workbookViewId="0">
      <selection activeCell="B8" sqref="B8"/>
    </sheetView>
  </sheetViews>
  <sheetFormatPr defaultColWidth="0" defaultRowHeight="15" zeroHeight="1" x14ac:dyDescent="0.25"/>
  <cols>
    <col min="1" max="1" width="9.140625" style="212" customWidth="1"/>
    <col min="2" max="2" width="124.7109375" style="212" customWidth="1"/>
    <col min="3" max="4" width="9.140625" style="212" customWidth="1"/>
    <col min="5" max="16" width="0" style="212" hidden="1" customWidth="1"/>
    <col min="17" max="16384" width="9.140625" style="212" hidden="1"/>
  </cols>
  <sheetData>
    <row r="1" spans="1:3" ht="23.25" customHeight="1" x14ac:dyDescent="0.25"/>
    <row r="2" spans="1:3" ht="23.25" customHeight="1" x14ac:dyDescent="0.4">
      <c r="B2" s="396"/>
      <c r="C2" s="392" t="s">
        <v>9720</v>
      </c>
    </row>
    <row r="3" spans="1:3" ht="23.25" customHeight="1" x14ac:dyDescent="0.35">
      <c r="A3" s="393"/>
    </row>
    <row r="4" spans="1:3" ht="23.25" customHeight="1" x14ac:dyDescent="0.35">
      <c r="A4" s="393"/>
    </row>
    <row r="5" spans="1:3" ht="23.25" customHeight="1" x14ac:dyDescent="0.25"/>
    <row r="6" spans="1:3" ht="23.25" x14ac:dyDescent="0.35">
      <c r="B6" s="394" t="s">
        <v>9705</v>
      </c>
    </row>
    <row r="7" spans="1:3" ht="23.25" x14ac:dyDescent="0.35">
      <c r="B7" s="394"/>
    </row>
    <row r="8" spans="1:3" ht="45" x14ac:dyDescent="0.25">
      <c r="B8" s="425" t="s">
        <v>14361</v>
      </c>
    </row>
    <row r="9" spans="1:3" x14ac:dyDescent="0.25">
      <c r="B9" s="395"/>
    </row>
    <row r="10" spans="1:3" x14ac:dyDescent="0.25">
      <c r="B10" s="395"/>
    </row>
    <row r="11" spans="1:3" ht="15.75" x14ac:dyDescent="0.25">
      <c r="B11" s="398" t="s">
        <v>9721</v>
      </c>
    </row>
    <row r="12" spans="1:3" ht="75.75" x14ac:dyDescent="0.25">
      <c r="B12" s="397" t="s">
        <v>9722</v>
      </c>
    </row>
    <row r="13" spans="1:3" x14ac:dyDescent="0.25">
      <c r="B13" s="397"/>
    </row>
    <row r="14" spans="1:3" ht="15.75" x14ac:dyDescent="0.25">
      <c r="B14" s="398" t="s">
        <v>9723</v>
      </c>
    </row>
    <row r="15" spans="1:3" ht="60" x14ac:dyDescent="0.25">
      <c r="B15" s="397" t="s">
        <v>9724</v>
      </c>
    </row>
    <row r="16" spans="1:3" x14ac:dyDescent="0.25">
      <c r="B16" s="397"/>
    </row>
    <row r="17" spans="2:2" ht="15.75" x14ac:dyDescent="0.25">
      <c r="B17" s="398" t="s">
        <v>10537</v>
      </c>
    </row>
    <row r="18" spans="2:2" x14ac:dyDescent="0.25">
      <c r="B18" s="397" t="s">
        <v>10539</v>
      </c>
    </row>
    <row r="19" spans="2:2" x14ac:dyDescent="0.25">
      <c r="B19" s="397"/>
    </row>
    <row r="20" spans="2:2" ht="15.75" x14ac:dyDescent="0.25">
      <c r="B20" s="398" t="s">
        <v>9725</v>
      </c>
    </row>
    <row r="21" spans="2:2" ht="30.95" customHeight="1" x14ac:dyDescent="0.25">
      <c r="B21" s="397" t="s">
        <v>9726</v>
      </c>
    </row>
    <row r="22" spans="2:2" x14ac:dyDescent="0.25">
      <c r="B22" s="397"/>
    </row>
    <row r="23" spans="2:2" ht="15.75" x14ac:dyDescent="0.25">
      <c r="B23" s="398" t="s">
        <v>9727</v>
      </c>
    </row>
    <row r="24" spans="2:2" x14ac:dyDescent="0.25">
      <c r="B24" s="397" t="s">
        <v>9728</v>
      </c>
    </row>
    <row r="25" spans="2:2" x14ac:dyDescent="0.25">
      <c r="B25" s="397"/>
    </row>
    <row r="26" spans="2:2" ht="15.75" x14ac:dyDescent="0.25">
      <c r="B26" s="398" t="s">
        <v>19</v>
      </c>
    </row>
    <row r="27" spans="2:2" ht="30" x14ac:dyDescent="0.25">
      <c r="B27" s="397" t="s">
        <v>10532</v>
      </c>
    </row>
    <row r="28" spans="2:2" x14ac:dyDescent="0.25">
      <c r="B28" s="397"/>
    </row>
    <row r="29" spans="2:2" ht="15.75" x14ac:dyDescent="0.25">
      <c r="B29" s="398" t="s">
        <v>9729</v>
      </c>
    </row>
    <row r="30" spans="2:2" x14ac:dyDescent="0.25">
      <c r="B30" s="397" t="s">
        <v>10533</v>
      </c>
    </row>
    <row r="31" spans="2:2" x14ac:dyDescent="0.25">
      <c r="B31" s="397"/>
    </row>
    <row r="32" spans="2:2" ht="15.75" x14ac:dyDescent="0.25">
      <c r="B32" s="398" t="s">
        <v>9730</v>
      </c>
    </row>
    <row r="33" spans="2:2" ht="30" x14ac:dyDescent="0.25">
      <c r="B33" s="397" t="s">
        <v>9731</v>
      </c>
    </row>
    <row r="34" spans="2:2" x14ac:dyDescent="0.25">
      <c r="B34" s="397"/>
    </row>
    <row r="35" spans="2:2" ht="15.75" x14ac:dyDescent="0.25">
      <c r="B35" s="398" t="s">
        <v>9732</v>
      </c>
    </row>
    <row r="36" spans="2:2" ht="45" x14ac:dyDescent="0.25">
      <c r="B36" s="397" t="s">
        <v>9733</v>
      </c>
    </row>
    <row r="37" spans="2:2" ht="75" x14ac:dyDescent="0.25">
      <c r="B37" s="397" t="s">
        <v>9734</v>
      </c>
    </row>
    <row r="38" spans="2:2" ht="30" x14ac:dyDescent="0.25">
      <c r="B38" s="397" t="s">
        <v>9735</v>
      </c>
    </row>
    <row r="39" spans="2:2" ht="60" x14ac:dyDescent="0.25">
      <c r="B39" s="397" t="s">
        <v>9736</v>
      </c>
    </row>
    <row r="40" spans="2:2" x14ac:dyDescent="0.25">
      <c r="B40" s="397"/>
    </row>
    <row r="41" spans="2:2" ht="15.75" x14ac:dyDescent="0.25">
      <c r="B41" s="398" t="s">
        <v>9737</v>
      </c>
    </row>
    <row r="42" spans="2:2" ht="60.75" x14ac:dyDescent="0.25">
      <c r="B42" s="544" t="s">
        <v>15629</v>
      </c>
    </row>
    <row r="43" spans="2:2" x14ac:dyDescent="0.25">
      <c r="B43" s="397"/>
    </row>
    <row r="44" spans="2:2" ht="15.75" x14ac:dyDescent="0.25">
      <c r="B44" s="398" t="s">
        <v>21</v>
      </c>
    </row>
    <row r="45" spans="2:2" ht="45" x14ac:dyDescent="0.25">
      <c r="B45" s="397" t="s">
        <v>9738</v>
      </c>
    </row>
    <row r="46" spans="2:2" ht="60" x14ac:dyDescent="0.25">
      <c r="B46" s="397" t="s">
        <v>9739</v>
      </c>
    </row>
    <row r="47" spans="2:2" ht="30" x14ac:dyDescent="0.25">
      <c r="B47" s="397" t="s">
        <v>9740</v>
      </c>
    </row>
    <row r="48" spans="2:2" x14ac:dyDescent="0.25">
      <c r="B48" s="397"/>
    </row>
    <row r="49" spans="2:2" ht="15.75" x14ac:dyDescent="0.25">
      <c r="B49" s="398" t="s">
        <v>11</v>
      </c>
    </row>
    <row r="50" spans="2:2" ht="60" x14ac:dyDescent="0.25">
      <c r="B50" s="397" t="s">
        <v>9741</v>
      </c>
    </row>
    <row r="51" spans="2:2" x14ac:dyDescent="0.25">
      <c r="B51" s="397"/>
    </row>
    <row r="52" spans="2:2" ht="15.75" x14ac:dyDescent="0.25">
      <c r="B52" s="398" t="s">
        <v>9742</v>
      </c>
    </row>
    <row r="53" spans="2:2" x14ac:dyDescent="0.25">
      <c r="B53" s="397" t="s">
        <v>9743</v>
      </c>
    </row>
    <row r="54" spans="2:2" x14ac:dyDescent="0.25">
      <c r="B54" s="397"/>
    </row>
    <row r="55" spans="2:2" ht="15.75" x14ac:dyDescent="0.25">
      <c r="B55" s="398" t="s">
        <v>9744</v>
      </c>
    </row>
    <row r="56" spans="2:2" x14ac:dyDescent="0.25">
      <c r="B56" s="397" t="s">
        <v>9745</v>
      </c>
    </row>
    <row r="57" spans="2:2" x14ac:dyDescent="0.25">
      <c r="B57" s="397"/>
    </row>
    <row r="58" spans="2:2" ht="15.75" x14ac:dyDescent="0.25">
      <c r="B58" s="398" t="s">
        <v>9746</v>
      </c>
    </row>
    <row r="59" spans="2:2" ht="75" x14ac:dyDescent="0.25">
      <c r="B59" s="397" t="s">
        <v>9747</v>
      </c>
    </row>
    <row r="60" spans="2:2" x14ac:dyDescent="0.25">
      <c r="B60" s="397"/>
    </row>
    <row r="61" spans="2:2" ht="15.75" x14ac:dyDescent="0.25">
      <c r="B61" s="398" t="s">
        <v>10545</v>
      </c>
    </row>
    <row r="62" spans="2:2" ht="15.75" x14ac:dyDescent="0.25">
      <c r="B62" s="398"/>
    </row>
    <row r="63" spans="2:2" ht="15.75" x14ac:dyDescent="0.25">
      <c r="B63" s="398" t="s">
        <v>9748</v>
      </c>
    </row>
    <row r="64" spans="2:2" x14ac:dyDescent="0.25">
      <c r="B64" s="397" t="s">
        <v>9749</v>
      </c>
    </row>
    <row r="65" spans="2:2" x14ac:dyDescent="0.25">
      <c r="B65" s="397"/>
    </row>
    <row r="66" spans="2:2" ht="15.75" x14ac:dyDescent="0.25">
      <c r="B66" s="398" t="s">
        <v>9750</v>
      </c>
    </row>
    <row r="67" spans="2:2" ht="45" x14ac:dyDescent="0.25">
      <c r="B67" s="397" t="s">
        <v>9751</v>
      </c>
    </row>
    <row r="68" spans="2:2" ht="30" x14ac:dyDescent="0.25">
      <c r="B68" s="397" t="s">
        <v>9752</v>
      </c>
    </row>
    <row r="69" spans="2:2" x14ac:dyDescent="0.25">
      <c r="B69" s="397"/>
    </row>
    <row r="70" spans="2:2" ht="15.75" x14ac:dyDescent="0.25">
      <c r="B70" s="398" t="s">
        <v>9753</v>
      </c>
    </row>
    <row r="71" spans="2:2" ht="30" x14ac:dyDescent="0.25">
      <c r="B71" s="397" t="s">
        <v>10544</v>
      </c>
    </row>
    <row r="72" spans="2:2" x14ac:dyDescent="0.25">
      <c r="B72" s="397"/>
    </row>
    <row r="73" spans="2:2" ht="15.75" x14ac:dyDescent="0.25">
      <c r="B73" s="398" t="s">
        <v>9754</v>
      </c>
    </row>
    <row r="74" spans="2:2" ht="75" x14ac:dyDescent="0.25">
      <c r="B74" s="397" t="s">
        <v>10536</v>
      </c>
    </row>
    <row r="75" spans="2:2" x14ac:dyDescent="0.25">
      <c r="B75" s="397"/>
    </row>
    <row r="76" spans="2:2" ht="15.75" x14ac:dyDescent="0.25">
      <c r="B76" s="398" t="s">
        <v>9755</v>
      </c>
    </row>
    <row r="77" spans="2:2" ht="66.75" customHeight="1" x14ac:dyDescent="0.25">
      <c r="B77" s="397" t="s">
        <v>9756</v>
      </c>
    </row>
    <row r="78" spans="2:2" x14ac:dyDescent="0.25">
      <c r="B78" s="397"/>
    </row>
    <row r="79" spans="2:2" ht="15.75" x14ac:dyDescent="0.25">
      <c r="B79" s="398" t="s">
        <v>9757</v>
      </c>
    </row>
    <row r="80" spans="2:2" x14ac:dyDescent="0.25">
      <c r="B80" s="397" t="s">
        <v>9758</v>
      </c>
    </row>
    <row r="81" spans="2:2" x14ac:dyDescent="0.25">
      <c r="B81" s="397"/>
    </row>
    <row r="82" spans="2:2" ht="15.75" x14ac:dyDescent="0.25">
      <c r="B82" s="398" t="s">
        <v>9759</v>
      </c>
    </row>
    <row r="83" spans="2:2" ht="30" x14ac:dyDescent="0.25">
      <c r="B83" s="397" t="s">
        <v>9760</v>
      </c>
    </row>
    <row r="84" spans="2:2" x14ac:dyDescent="0.25">
      <c r="B84" s="397"/>
    </row>
    <row r="85" spans="2:2" ht="15.75" x14ac:dyDescent="0.25">
      <c r="B85" s="398" t="s">
        <v>9761</v>
      </c>
    </row>
    <row r="86" spans="2:2" ht="15.75" x14ac:dyDescent="0.25">
      <c r="B86" s="398"/>
    </row>
    <row r="87" spans="2:2" ht="15.75" x14ac:dyDescent="0.25">
      <c r="B87" s="398" t="s">
        <v>10556</v>
      </c>
    </row>
    <row r="88" spans="2:2" ht="30" x14ac:dyDescent="0.25">
      <c r="B88" s="397" t="s">
        <v>10557</v>
      </c>
    </row>
    <row r="89" spans="2:2" x14ac:dyDescent="0.25">
      <c r="B89" s="397"/>
    </row>
    <row r="90" spans="2:2" ht="15.75" x14ac:dyDescent="0.25">
      <c r="B90" s="398" t="s">
        <v>9762</v>
      </c>
    </row>
    <row r="91" spans="2:2" ht="45" x14ac:dyDescent="0.25">
      <c r="B91" s="397" t="s">
        <v>9763</v>
      </c>
    </row>
    <row r="92" spans="2:2" x14ac:dyDescent="0.25">
      <c r="B92" s="397"/>
    </row>
    <row r="93" spans="2:2" ht="15.75" x14ac:dyDescent="0.25">
      <c r="B93" s="398" t="s">
        <v>18</v>
      </c>
    </row>
    <row r="94" spans="2:2" ht="30" x14ac:dyDescent="0.25">
      <c r="B94" s="397" t="s">
        <v>10534</v>
      </c>
    </row>
    <row r="95" spans="2:2" x14ac:dyDescent="0.25">
      <c r="B95" s="397"/>
    </row>
    <row r="96" spans="2:2" ht="15.75" x14ac:dyDescent="0.25">
      <c r="B96" s="398" t="s">
        <v>9764</v>
      </c>
    </row>
    <row r="97" spans="2:2" ht="30" x14ac:dyDescent="0.25">
      <c r="B97" s="397" t="s">
        <v>10535</v>
      </c>
    </row>
    <row r="98" spans="2:2" x14ac:dyDescent="0.25"/>
    <row r="99" spans="2:2" ht="18" hidden="1" x14ac:dyDescent="0.25">
      <c r="B99" s="399"/>
    </row>
    <row r="100" spans="2:2" hidden="1" x14ac:dyDescent="0.25">
      <c r="B100" s="400"/>
    </row>
  </sheetData>
  <sheetProtection algorithmName="SHA-512" hashValue="9YRZ3PFzQC6meKGJhiqTFpn3AUMB4VXqd5DClLslpY3NTMbnmKW2gImXwplFVBBAIyPtxKqgOSJ3v1fUcWaSbw==" saltValue="YdisNMjeeDVKoOKVwktpbg==" spinCount="100000" sheet="1" formatColumns="0" formatRows="0"/>
  <hyperlinks>
    <hyperlink ref="B15" r:id="rId1" display="https://www.gov.uk/government/publications/a-decent-home-definition-and-guidance" xr:uid="{A2F55F52-E820-4827-B864-F670BE550107}"/>
    <hyperlink ref="B42" r:id="rId2" display="London Affordable Rent (LAR), was introduced in 2016 by the Mayor of London. LAR units are Affordable Rent units in London let at or below the weekly rent benchmarks set by the GLA. They are included in Affordable Rent figures in the LADR collection. For more information see https://www.london.gov.uk/programmes-strategies/housing-and-land/homes-londoners-affordable-homes-programmes" xr:uid="{30977946-B96F-4109-9BB1-7FC6F59F87D2}"/>
  </hyperlinks>
  <pageMargins left="0.7" right="0.7" top="0.75" bottom="0.75" header="0.3" footer="0.3"/>
  <pageSetup paperSize="9" orientation="portrait" r:id="rId3"/>
  <headerFooter>
    <oddFooter>&amp;C&amp;1#&amp;"Calibri"&amp;12&amp;K0078D7OFFICIAL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3FD3-CB46-4B42-B65A-90B8E59077A7}">
  <sheetPr codeName="Sheet3">
    <tabColor rgb="FF59468D"/>
  </sheetPr>
  <dimension ref="A1:V22"/>
  <sheetViews>
    <sheetView workbookViewId="0"/>
  </sheetViews>
  <sheetFormatPr defaultColWidth="0" defaultRowHeight="15" x14ac:dyDescent="0.25"/>
  <cols>
    <col min="1" max="1" width="1.5703125" style="212" customWidth="1"/>
    <col min="2" max="2" width="11" style="414" customWidth="1"/>
    <col min="3" max="3" width="24.5703125" style="415" customWidth="1"/>
    <col min="4" max="4" width="101.5703125" style="415" customWidth="1"/>
    <col min="5" max="5" width="4.5703125" style="415" customWidth="1"/>
    <col min="6" max="22" width="0" style="415" hidden="1" customWidth="1"/>
    <col min="23" max="16384" width="9.140625" style="415" hidden="1"/>
  </cols>
  <sheetData>
    <row r="1" spans="2:21" s="401" customFormat="1" ht="23.25" x14ac:dyDescent="0.35">
      <c r="B1" s="551"/>
      <c r="C1" s="551"/>
      <c r="D1" s="551"/>
      <c r="E1" s="402"/>
      <c r="F1" s="402"/>
      <c r="G1" s="402"/>
      <c r="H1" s="402"/>
      <c r="I1" s="402"/>
      <c r="J1" s="402"/>
      <c r="K1" s="402"/>
      <c r="L1" s="402"/>
      <c r="M1" s="402"/>
      <c r="N1" s="402"/>
      <c r="O1" s="402"/>
      <c r="P1" s="402"/>
      <c r="Q1" s="402"/>
      <c r="R1" s="402"/>
      <c r="S1" s="402"/>
      <c r="T1" s="402"/>
    </row>
    <row r="2" spans="2:21" s="401" customFormat="1" ht="30" x14ac:dyDescent="0.4">
      <c r="B2" s="403"/>
      <c r="C2" s="403"/>
      <c r="D2" s="392" t="s">
        <v>9720</v>
      </c>
      <c r="E2" s="212"/>
      <c r="F2" s="212"/>
      <c r="G2" s="212"/>
      <c r="H2" s="212"/>
      <c r="I2" s="212"/>
      <c r="J2" s="212"/>
      <c r="K2" s="212"/>
      <c r="L2" s="212"/>
      <c r="M2" s="212"/>
      <c r="N2" s="212"/>
      <c r="O2" s="212"/>
      <c r="P2" s="212"/>
      <c r="Q2" s="212"/>
      <c r="R2" s="212"/>
      <c r="S2" s="212"/>
      <c r="T2" s="212"/>
    </row>
    <row r="3" spans="2:21" s="401" customFormat="1" ht="30" x14ac:dyDescent="0.4">
      <c r="B3" s="403"/>
      <c r="C3" s="403"/>
      <c r="D3" s="392"/>
      <c r="E3" s="212"/>
      <c r="F3" s="212"/>
      <c r="G3" s="212"/>
      <c r="H3" s="212"/>
      <c r="I3" s="212"/>
      <c r="J3" s="212"/>
      <c r="K3" s="212"/>
      <c r="L3" s="212"/>
      <c r="M3" s="212"/>
      <c r="N3" s="212"/>
      <c r="O3" s="212"/>
      <c r="P3" s="212"/>
      <c r="Q3" s="212"/>
      <c r="R3" s="212"/>
      <c r="S3" s="212"/>
      <c r="T3" s="212"/>
    </row>
    <row r="4" spans="2:21" s="401" customFormat="1" ht="23.25" x14ac:dyDescent="0.35">
      <c r="B4" s="403"/>
      <c r="C4" s="403"/>
      <c r="D4" s="403"/>
      <c r="E4" s="212"/>
      <c r="F4" s="212"/>
      <c r="G4" s="212"/>
      <c r="H4" s="212"/>
      <c r="I4" s="212"/>
      <c r="J4" s="212"/>
      <c r="K4" s="212"/>
      <c r="L4" s="212"/>
      <c r="M4" s="212"/>
      <c r="N4" s="212"/>
      <c r="O4" s="212"/>
      <c r="P4" s="212"/>
      <c r="Q4" s="212"/>
      <c r="R4" s="212"/>
      <c r="S4" s="212"/>
      <c r="T4" s="212"/>
    </row>
    <row r="5" spans="2:21" s="401" customFormat="1" ht="23.25" x14ac:dyDescent="0.35">
      <c r="B5" s="403"/>
      <c r="C5" s="403"/>
      <c r="D5" s="403"/>
      <c r="E5" s="212"/>
      <c r="F5" s="212"/>
      <c r="G5" s="212"/>
      <c r="H5" s="212"/>
      <c r="I5" s="212"/>
      <c r="J5" s="212"/>
      <c r="K5" s="212"/>
      <c r="L5" s="212"/>
      <c r="M5" s="212"/>
      <c r="N5" s="212"/>
      <c r="O5" s="212"/>
      <c r="P5" s="212"/>
      <c r="Q5" s="212"/>
      <c r="R5" s="212"/>
      <c r="S5" s="212"/>
      <c r="T5" s="212"/>
    </row>
    <row r="6" spans="2:21" s="404" customFormat="1" ht="15.75" x14ac:dyDescent="0.25">
      <c r="B6" s="405"/>
      <c r="C6" s="406"/>
      <c r="D6" s="406"/>
      <c r="E6" s="407"/>
      <c r="F6" s="407"/>
      <c r="G6" s="407"/>
      <c r="H6" s="407"/>
      <c r="I6" s="408"/>
      <c r="J6" s="408"/>
      <c r="K6" s="409"/>
      <c r="L6" s="407"/>
      <c r="M6" s="407"/>
      <c r="N6" s="408"/>
      <c r="O6" s="409"/>
      <c r="P6" s="407"/>
      <c r="Q6" s="408"/>
      <c r="R6" s="409"/>
      <c r="S6" s="407"/>
      <c r="T6" s="410"/>
      <c r="U6" s="411"/>
    </row>
    <row r="7" spans="2:21" ht="15.75" x14ac:dyDescent="0.25">
      <c r="B7" s="412" t="s">
        <v>9765</v>
      </c>
      <c r="C7" s="412" t="s">
        <v>9766</v>
      </c>
      <c r="D7" s="413" t="s">
        <v>9767</v>
      </c>
      <c r="E7" s="414"/>
    </row>
    <row r="8" spans="2:21" ht="30.95" customHeight="1" x14ac:dyDescent="0.25">
      <c r="B8" s="457">
        <v>1</v>
      </c>
      <c r="C8" s="458" t="s">
        <v>14362</v>
      </c>
      <c r="D8" s="459" t="s">
        <v>9768</v>
      </c>
      <c r="E8" s="414"/>
    </row>
    <row r="9" spans="2:21" ht="30.95" customHeight="1" x14ac:dyDescent="0.25">
      <c r="B9" s="457">
        <v>1.1000000000000001</v>
      </c>
      <c r="C9" s="458" t="s">
        <v>15630</v>
      </c>
      <c r="D9" s="674" t="s">
        <v>15631</v>
      </c>
      <c r="E9" s="414"/>
    </row>
    <row r="10" spans="2:21" ht="30.95" customHeight="1" x14ac:dyDescent="0.25">
      <c r="B10" s="417"/>
      <c r="C10" s="416"/>
      <c r="D10" s="416"/>
      <c r="E10" s="414"/>
    </row>
    <row r="11" spans="2:21" ht="15.75" x14ac:dyDescent="0.25">
      <c r="B11" s="417"/>
      <c r="C11" s="416"/>
      <c r="D11" s="416"/>
      <c r="E11" s="414"/>
    </row>
    <row r="12" spans="2:21" ht="15.75" x14ac:dyDescent="0.25">
      <c r="B12" s="417"/>
      <c r="C12" s="416"/>
      <c r="D12" s="416"/>
    </row>
    <row r="13" spans="2:21" ht="15.75" x14ac:dyDescent="0.25">
      <c r="B13" s="418" t="s">
        <v>9769</v>
      </c>
      <c r="C13" s="416"/>
      <c r="D13" s="416"/>
    </row>
    <row r="14" spans="2:21" ht="15.75" x14ac:dyDescent="0.25">
      <c r="B14" s="419" t="s">
        <v>9770</v>
      </c>
      <c r="C14" s="420"/>
      <c r="D14" s="420"/>
    </row>
    <row r="15" spans="2:21" ht="15.75" x14ac:dyDescent="0.25">
      <c r="B15" s="391" t="s">
        <v>9719</v>
      </c>
      <c r="C15" s="420"/>
      <c r="D15" s="420"/>
    </row>
    <row r="16" spans="2:21" ht="15.75" x14ac:dyDescent="0.25">
      <c r="B16" s="419"/>
      <c r="C16" s="420"/>
      <c r="D16" s="420"/>
    </row>
    <row r="17" spans="1:4" s="421" customFormat="1" ht="15.75" x14ac:dyDescent="0.25">
      <c r="A17" s="212"/>
      <c r="B17" s="422" t="s">
        <v>14359</v>
      </c>
      <c r="C17" s="420"/>
      <c r="D17" s="420"/>
    </row>
    <row r="18" spans="1:4" s="421" customFormat="1" ht="15.75" x14ac:dyDescent="0.25">
      <c r="A18" s="212"/>
      <c r="B18" s="374" t="s">
        <v>15632</v>
      </c>
      <c r="C18" s="416"/>
      <c r="D18" s="416"/>
    </row>
    <row r="19" spans="1:4" s="421" customFormat="1" ht="15.75" x14ac:dyDescent="0.25">
      <c r="A19" s="212"/>
      <c r="B19" s="388"/>
      <c r="C19" s="416"/>
      <c r="D19" s="416"/>
    </row>
    <row r="20" spans="1:4" s="421" customFormat="1" ht="15.75" x14ac:dyDescent="0.25">
      <c r="A20" s="212"/>
      <c r="B20" s="417"/>
      <c r="C20" s="416"/>
      <c r="D20" s="416"/>
    </row>
    <row r="21" spans="1:4" ht="15.75" x14ac:dyDescent="0.25">
      <c r="B21" s="417"/>
      <c r="C21" s="416"/>
      <c r="D21" s="416"/>
    </row>
    <row r="22" spans="1:4" ht="15.75" x14ac:dyDescent="0.25">
      <c r="B22" s="417"/>
      <c r="C22" s="416"/>
      <c r="D22" s="416"/>
    </row>
  </sheetData>
  <sheetProtection algorithmName="SHA-512" hashValue="/wDmu2/LN8Znu+TZBpDnqQovYI9yLRnm2TTy1imPuar1Vc6o2uQO9mbu1+FgvjmU87fxxFBp2gVb2CZrAs8hfg==" saltValue="GW+pEnugfOIXR95yYyzG8g==" spinCount="100000" sheet="1" objects="1" scenarios="1"/>
  <mergeCells count="1">
    <mergeCell ref="B1:D1"/>
  </mergeCells>
  <phoneticPr fontId="69" type="noConversion"/>
  <hyperlinks>
    <hyperlink ref="B15" r:id="rId1" xr:uid="{9391DE38-0375-4890-8875-A3FCC0566C73}"/>
  </hyperlinks>
  <pageMargins left="0.7" right="0.7" top="0.75" bottom="0.75" header="0.3" footer="0.3"/>
  <pageSetup paperSize="9" orientation="portrait" r:id="rId2"/>
  <headerFooter>
    <oddFooter>&amp;C&amp;1#&amp;"Calibri"&amp;12&amp;K0078D7OFFICIAL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9802-623F-47FE-9174-4541128B20C7}">
  <sheetPr codeName="Sheet4">
    <tabColor theme="4" tint="0.39997558519241921"/>
  </sheetPr>
  <dimension ref="A1:XFD249"/>
  <sheetViews>
    <sheetView showGridLines="0" zoomScaleNormal="100" workbookViewId="0">
      <pane ySplit="6" topLeftCell="A7" activePane="bottomLeft" state="frozen"/>
      <selection pane="bottomLeft" activeCell="A7" sqref="A7:A8"/>
    </sheetView>
  </sheetViews>
  <sheetFormatPr defaultColWidth="9.140625" defaultRowHeight="12.6" customHeight="1" zeroHeight="1" x14ac:dyDescent="0.2"/>
  <cols>
    <col min="1" max="1" width="5.5703125" style="176" customWidth="1"/>
    <col min="2" max="2" width="28.5703125" style="18" customWidth="1"/>
    <col min="3" max="7" width="12.42578125" style="18" customWidth="1"/>
    <col min="8" max="8" width="2.42578125" style="18" customWidth="1"/>
    <col min="9" max="10" width="15.140625" style="18" customWidth="1"/>
    <col min="11" max="15" width="12.140625" style="18" customWidth="1"/>
    <col min="16" max="16" width="8.140625" style="455" customWidth="1"/>
    <col min="17" max="16383" width="9.140625" style="18" hidden="1" customWidth="1"/>
    <col min="16384" max="16384" width="0" style="18" hidden="1" customWidth="1"/>
  </cols>
  <sheetData>
    <row r="1" spans="1:21" s="2" customFormat="1" ht="33" customHeight="1" x14ac:dyDescent="0.25">
      <c r="A1" s="1"/>
      <c r="B1" s="624" t="s">
        <v>14358</v>
      </c>
      <c r="C1" s="624"/>
      <c r="D1" s="624"/>
      <c r="E1" s="624"/>
      <c r="F1" s="624"/>
      <c r="G1" s="624"/>
      <c r="H1" s="624"/>
      <c r="I1" s="624"/>
      <c r="J1" s="624"/>
      <c r="K1" s="624"/>
      <c r="L1" s="624"/>
      <c r="M1" s="624"/>
      <c r="N1" s="624"/>
      <c r="O1" s="624"/>
      <c r="P1" s="447"/>
    </row>
    <row r="2" spans="1:21" s="2" customFormat="1" ht="12.75" customHeight="1" thickBot="1" x14ac:dyDescent="0.3">
      <c r="A2" s="1"/>
      <c r="B2" s="3"/>
      <c r="C2" s="4"/>
      <c r="E2" s="5"/>
      <c r="G2" s="6"/>
      <c r="H2" s="6"/>
      <c r="I2" s="8" t="e">
        <f>VLOOKUP($E$3,totals!$R$2:$S$11,2,FALSE)</f>
        <v>#N/A</v>
      </c>
      <c r="J2" s="8"/>
      <c r="P2" s="447"/>
    </row>
    <row r="3" spans="1:21" s="305" customFormat="1" ht="15.75" customHeight="1" thickBot="1" x14ac:dyDescent="0.3">
      <c r="A3" s="1"/>
      <c r="B3" s="304"/>
      <c r="D3" s="7" t="s">
        <v>0</v>
      </c>
      <c r="E3" s="625"/>
      <c r="F3" s="626"/>
      <c r="G3" s="627"/>
      <c r="H3" s="306"/>
      <c r="J3" s="440" t="s">
        <v>9780</v>
      </c>
      <c r="K3" s="305" t="e">
        <f>VLOOKUP($E$3,'LA-Lookup'!$A$3:$C$308,3,0)</f>
        <v>#N/A</v>
      </c>
      <c r="P3" s="448"/>
    </row>
    <row r="4" spans="1:21" s="305" customFormat="1" ht="12.75" x14ac:dyDescent="0.25">
      <c r="A4" s="1"/>
      <c r="B4" s="306"/>
      <c r="D4" s="432" t="s">
        <v>9779</v>
      </c>
      <c r="E4" s="431" t="str">
        <f>IF(E3="","Please select an area in the box above",IFERROR($E$36,""))</f>
        <v>Please select an area in the box above</v>
      </c>
      <c r="J4" s="432" t="s">
        <v>9781</v>
      </c>
      <c r="K4" s="431" t="e">
        <f>$F$36</f>
        <v>#N/A</v>
      </c>
      <c r="P4" s="448"/>
    </row>
    <row r="5" spans="1:21" s="305" customFormat="1" ht="12.75" x14ac:dyDescent="0.25">
      <c r="A5" s="1"/>
      <c r="C5" s="8" t="str">
        <f>IFERROR(D5,"BLANKIT")</f>
        <v>BLANKIT</v>
      </c>
      <c r="D5" s="9" t="e">
        <f>VLOOKUP(E3,'LA-Lookup'!A3:A308,1,FALSE)</f>
        <v>#N/A</v>
      </c>
      <c r="E5" s="639" t="s">
        <v>9856</v>
      </c>
      <c r="F5" s="639"/>
      <c r="G5" s="639"/>
      <c r="J5" s="439" t="s">
        <v>3</v>
      </c>
      <c r="P5" s="448"/>
      <c r="R5" s="10" t="s">
        <v>4</v>
      </c>
    </row>
    <row r="6" spans="1:21" s="17" customFormat="1" ht="15" x14ac:dyDescent="0.25">
      <c r="A6" s="11"/>
      <c r="B6" s="12" t="str">
        <f>+"Total social units by provision type in "&amp;$E$3</f>
        <v xml:space="preserve">Total social units by provision type in </v>
      </c>
      <c r="C6" s="13"/>
      <c r="D6" s="14"/>
      <c r="E6" s="14"/>
      <c r="F6" s="14"/>
      <c r="G6" s="14"/>
      <c r="H6" s="15"/>
      <c r="I6" s="16"/>
      <c r="J6" s="16"/>
      <c r="K6" s="16"/>
      <c r="L6" s="16"/>
      <c r="M6" s="16"/>
      <c r="N6" s="16"/>
      <c r="P6" s="449"/>
    </row>
    <row r="7" spans="1:21" s="17" customFormat="1" ht="13.5" customHeight="1" x14ac:dyDescent="0.25">
      <c r="A7" s="558">
        <v>1</v>
      </c>
      <c r="B7" s="628" t="str">
        <f>IF(E3="","Total social units by provision type","Total social units by provision type in "&amp;$E$3)</f>
        <v>Total social units by provision type</v>
      </c>
      <c r="C7" s="629"/>
      <c r="D7" s="629"/>
      <c r="E7" s="629"/>
      <c r="F7" s="629"/>
      <c r="G7" s="630"/>
      <c r="H7" s="18"/>
      <c r="L7" s="16"/>
      <c r="M7" s="16"/>
      <c r="N7" s="16"/>
      <c r="P7" s="449"/>
      <c r="Q7" s="19" t="str">
        <f>IF(E3="","Total low cost rental units by provision type","Total low cost rental units by provision type in "&amp;E3)</f>
        <v>Total low cost rental units by provision type</v>
      </c>
      <c r="R7" s="17" t="s">
        <v>5</v>
      </c>
      <c r="S7" s="17">
        <f>E3</f>
        <v>0</v>
      </c>
      <c r="T7" s="17" t="e">
        <f>K3</f>
        <v>#N/A</v>
      </c>
      <c r="U7" s="17" t="s">
        <v>6</v>
      </c>
    </row>
    <row r="8" spans="1:21" s="17" customFormat="1" ht="12.75" customHeight="1" x14ac:dyDescent="0.25">
      <c r="A8" s="558"/>
      <c r="B8" s="631"/>
      <c r="C8" s="611"/>
      <c r="D8" s="611"/>
      <c r="E8" s="611"/>
      <c r="F8" s="611"/>
      <c r="G8" s="632"/>
      <c r="H8" s="18"/>
      <c r="L8" s="16"/>
      <c r="M8" s="16"/>
      <c r="N8" s="16"/>
      <c r="P8" s="449"/>
    </row>
    <row r="9" spans="1:21" s="17" customFormat="1" ht="15" x14ac:dyDescent="0.25">
      <c r="A9" s="20"/>
      <c r="B9" s="560"/>
      <c r="C9" s="611"/>
      <c r="D9" s="611"/>
      <c r="E9" s="611"/>
      <c r="F9" s="611"/>
      <c r="G9" s="632"/>
      <c r="H9" s="18"/>
      <c r="L9" s="16"/>
      <c r="M9" s="16"/>
      <c r="N9" s="16"/>
      <c r="P9" s="449"/>
      <c r="R9" s="17" t="s">
        <v>7</v>
      </c>
      <c r="S9" s="21" t="str">
        <f>IFERROR(IF(B80="","Average weekly net rent (£ per week) for England - large PRPs","Average weekly net rent (£ per week) for "&amp;$V$72&amp;" - large PRPs"),"")</f>
        <v>Average weekly net rent (£ per week) for England - large PRPs</v>
      </c>
    </row>
    <row r="10" spans="1:21" s="17" customFormat="1" ht="15" x14ac:dyDescent="0.25">
      <c r="A10" s="11"/>
      <c r="B10" s="22"/>
      <c r="C10" s="23"/>
      <c r="D10" s="23"/>
      <c r="E10" s="23"/>
      <c r="F10" s="24" t="s">
        <v>8</v>
      </c>
      <c r="G10" s="25" t="s">
        <v>9</v>
      </c>
      <c r="H10" s="18"/>
      <c r="L10" s="16"/>
      <c r="M10" s="16"/>
      <c r="N10" s="16"/>
      <c r="P10" s="449"/>
      <c r="R10" s="17" t="s">
        <v>10</v>
      </c>
      <c r="S10" s="21" t="str">
        <f>IFERROR(IF(B103="","Average weekly net rent (£ per week) for England - large PRPs","Average weekly net rent (£ per week) for "&amp;$V$72&amp;" - large PRPs"),"")</f>
        <v>Average weekly net rent (£ per week) for England - large PRPs</v>
      </c>
    </row>
    <row r="11" spans="1:21" s="217" customFormat="1" ht="14.45" customHeight="1" x14ac:dyDescent="0.2">
      <c r="A11" s="11"/>
      <c r="B11" s="307" t="s">
        <v>10547</v>
      </c>
      <c r="C11" s="308" t="s">
        <v>12</v>
      </c>
      <c r="D11" s="309"/>
      <c r="E11" s="535" t="s">
        <v>13</v>
      </c>
      <c r="F11" s="460" t="e">
        <f>SUM($F$12:$F$13)</f>
        <v>#N/A</v>
      </c>
      <c r="G11" s="461" t="e">
        <f>SUM($G$12:$G$13)</f>
        <v>#N/A</v>
      </c>
      <c r="H11" s="18"/>
      <c r="L11" s="16"/>
      <c r="M11" s="16"/>
      <c r="N11" s="16"/>
      <c r="P11" s="450"/>
      <c r="R11" s="217" t="s">
        <v>14</v>
      </c>
      <c r="S11" s="21" t="str">
        <f>IFERROR(IF(B146="","Average weekly gross rent (£ per week) for England","Average weekly gross rent (£ per week) for "&amp;$V$72),"")</f>
        <v>Average weekly gross rent (£ per week) for England</v>
      </c>
    </row>
    <row r="12" spans="1:21" s="217" customFormat="1" ht="14.45" customHeight="1" x14ac:dyDescent="0.2">
      <c r="A12" s="11"/>
      <c r="B12" s="311"/>
      <c r="C12" s="27" t="s">
        <v>15</v>
      </c>
      <c r="D12" s="28"/>
      <c r="E12" s="28"/>
      <c r="F12" s="462" t="e">
        <f>VLOOKUP($E$3,LA_Data,4,0)</f>
        <v>#N/A</v>
      </c>
      <c r="G12" s="463" t="e">
        <f>VLOOKUP($E$3,LA_Data,5,0)</f>
        <v>#N/A</v>
      </c>
      <c r="H12" s="18"/>
      <c r="L12" s="16"/>
      <c r="M12" s="16"/>
      <c r="N12" s="16"/>
      <c r="P12" s="450"/>
      <c r="R12" s="217" t="s">
        <v>16</v>
      </c>
      <c r="S12" s="21" t="str">
        <f>IFERROR(IF(B146="","Average weekly gross rent (£ per week) for England","Average weekly gross rent (£ per week) for "&amp;$V$72),"")</f>
        <v>Average weekly gross rent (£ per week) for England</v>
      </c>
    </row>
    <row r="13" spans="1:21" s="217" customFormat="1" ht="14.45" customHeight="1" thickBot="1" x14ac:dyDescent="0.25">
      <c r="A13" s="11"/>
      <c r="B13" s="311"/>
      <c r="C13" s="29" t="s">
        <v>17</v>
      </c>
      <c r="D13" s="30"/>
      <c r="E13" s="30"/>
      <c r="F13" s="462" t="e">
        <f>VLOOKUP($E$3,LA_Data,6,0)</f>
        <v>#N/A</v>
      </c>
      <c r="G13" s="464" t="e">
        <f>VLOOKUP($E$3,LA_Data,7,0)</f>
        <v>#N/A</v>
      </c>
      <c r="H13" s="18"/>
      <c r="L13" s="16"/>
      <c r="M13" s="16"/>
      <c r="N13" s="16"/>
      <c r="P13" s="450"/>
    </row>
    <row r="14" spans="1:21" s="217" customFormat="1" ht="14.45" customHeight="1" x14ac:dyDescent="0.2">
      <c r="A14" s="11"/>
      <c r="B14" s="311"/>
      <c r="C14" s="283" t="s">
        <v>18</v>
      </c>
      <c r="E14" s="531" t="s">
        <v>13</v>
      </c>
      <c r="F14" s="465" t="e">
        <f>VLOOKUP($E$3,LA_Data,8,0)</f>
        <v>#N/A</v>
      </c>
      <c r="G14" s="466" t="e">
        <f>VLOOKUP($E$3,LA_Data,9,0)</f>
        <v>#N/A</v>
      </c>
      <c r="H14" s="18"/>
      <c r="L14" s="16"/>
      <c r="M14" s="16"/>
      <c r="N14" s="16"/>
      <c r="P14" s="450"/>
      <c r="R14" s="313" t="s">
        <v>12</v>
      </c>
      <c r="S14" s="314" t="e">
        <f>IF($F11=0,"",$F11)</f>
        <v>#N/A</v>
      </c>
    </row>
    <row r="15" spans="1:21" s="217" customFormat="1" ht="14.45" customHeight="1" x14ac:dyDescent="0.2">
      <c r="A15" s="11"/>
      <c r="B15" s="311"/>
      <c r="C15" s="283" t="s">
        <v>19</v>
      </c>
      <c r="E15" s="531" t="s">
        <v>13</v>
      </c>
      <c r="F15" s="467" t="e">
        <f>VLOOKUP($E$3,LA_Data,10,0)</f>
        <v>#N/A</v>
      </c>
      <c r="G15" s="466" t="e">
        <f>VLOOKUP($E$3,LA_Data,11,0)</f>
        <v>#N/A</v>
      </c>
      <c r="H15" s="18"/>
      <c r="L15" s="16"/>
      <c r="M15" s="16"/>
      <c r="N15" s="16"/>
      <c r="P15" s="450"/>
      <c r="R15" s="315" t="s">
        <v>18</v>
      </c>
      <c r="S15" s="316" t="e">
        <f>IF($F14=0,"",$F14)</f>
        <v>#N/A</v>
      </c>
    </row>
    <row r="16" spans="1:21" s="217" customFormat="1" ht="14.45" customHeight="1" x14ac:dyDescent="0.2">
      <c r="A16" s="11"/>
      <c r="B16" s="317" t="s">
        <v>20</v>
      </c>
      <c r="C16" s="32"/>
      <c r="D16" s="318"/>
      <c r="E16" s="536" t="s">
        <v>13</v>
      </c>
      <c r="F16" s="460" t="e">
        <f>VLOOKUP($E$3,LA_Data,12,0)</f>
        <v>#N/A</v>
      </c>
      <c r="G16" s="468" t="e">
        <f>VLOOKUP($E$3,LA_Data,13,0)</f>
        <v>#N/A</v>
      </c>
      <c r="H16" s="18"/>
      <c r="L16" s="16"/>
      <c r="M16" s="16"/>
      <c r="N16" s="16"/>
      <c r="P16" s="450"/>
      <c r="R16" s="315" t="s">
        <v>19</v>
      </c>
      <c r="S16" s="316" t="e">
        <f>IF($F15=0,"",$F15)</f>
        <v>#N/A</v>
      </c>
    </row>
    <row r="17" spans="1:32" s="217" customFormat="1" ht="14.45" customHeight="1" thickBot="1" x14ac:dyDescent="0.25">
      <c r="A17" s="11"/>
      <c r="B17" s="33" t="str">
        <f>"Total "&amp;$E$3</f>
        <v xml:space="preserve">Total </v>
      </c>
      <c r="C17" s="309"/>
      <c r="D17" s="309"/>
      <c r="E17" s="309"/>
      <c r="F17" s="469" t="e">
        <f>VLOOKUP($E$3,LA_Data,14,0)</f>
        <v>#N/A</v>
      </c>
      <c r="G17" s="470" t="e">
        <f>VLOOKUP($E$3,LA_Data,15,0)</f>
        <v>#N/A</v>
      </c>
      <c r="H17" s="18"/>
      <c r="L17" s="16"/>
      <c r="M17" s="16"/>
      <c r="N17" s="16"/>
      <c r="P17" s="450"/>
      <c r="R17" s="319" t="s">
        <v>21</v>
      </c>
      <c r="S17" s="320" t="e">
        <f>IF($F16=0,"",$F16)</f>
        <v>#N/A</v>
      </c>
    </row>
    <row r="18" spans="1:32" s="217" customFormat="1" ht="14.45" customHeight="1" x14ac:dyDescent="0.2">
      <c r="A18" s="11"/>
      <c r="B18" s="34" t="e">
        <f>K3</f>
        <v>#N/A</v>
      </c>
      <c r="C18" s="35"/>
      <c r="D18" s="309"/>
      <c r="E18" s="309"/>
      <c r="F18" s="471" t="e">
        <f>VLOOKUP($B$18,LA_Data,14,0)</f>
        <v>#N/A</v>
      </c>
      <c r="G18" s="472" t="e">
        <f>VLOOKUP($B$18,LA_Data,15,0)</f>
        <v>#N/A</v>
      </c>
      <c r="H18" s="18"/>
      <c r="L18" s="16"/>
      <c r="M18" s="16"/>
      <c r="N18" s="16"/>
      <c r="P18" s="450"/>
    </row>
    <row r="19" spans="1:32" s="217" customFormat="1" ht="14.45" customHeight="1" x14ac:dyDescent="0.2">
      <c r="A19" s="11"/>
      <c r="B19" s="33" t="s">
        <v>6</v>
      </c>
      <c r="C19" s="309"/>
      <c r="D19" s="309"/>
      <c r="E19" s="318"/>
      <c r="F19" s="469">
        <f>VLOOKUP($B$19,LA_Data,14,0)</f>
        <v>2925466</v>
      </c>
      <c r="G19" s="470">
        <f>VLOOKUP($B$19,LA_Data,15,0)</f>
        <v>2569040</v>
      </c>
      <c r="H19" s="18"/>
      <c r="L19" s="16"/>
      <c r="M19" s="16"/>
      <c r="N19" s="16"/>
      <c r="P19" s="450"/>
    </row>
    <row r="20" spans="1:32" s="17" customFormat="1" ht="15" x14ac:dyDescent="0.25">
      <c r="A20" s="11"/>
      <c r="H20" s="18"/>
      <c r="L20" s="16"/>
      <c r="M20" s="16"/>
      <c r="N20" s="16"/>
      <c r="P20" s="449"/>
    </row>
    <row r="21" spans="1:32" s="17" customFormat="1" ht="15" x14ac:dyDescent="0.25">
      <c r="A21" s="558">
        <v>2</v>
      </c>
      <c r="B21" s="633" t="s">
        <v>22</v>
      </c>
      <c r="C21" s="634"/>
      <c r="D21" s="636" t="str">
        <f>IF($E$3="","",$E$3)</f>
        <v/>
      </c>
      <c r="E21" s="637"/>
      <c r="F21" s="636" t="str">
        <f>IFERROR($K$3,"")</f>
        <v/>
      </c>
      <c r="G21" s="638" t="s">
        <v>6</v>
      </c>
      <c r="H21" s="18"/>
      <c r="L21" s="16"/>
      <c r="M21" s="16"/>
      <c r="N21" s="16"/>
      <c r="P21" s="449"/>
    </row>
    <row r="22" spans="1:32" s="17" customFormat="1" ht="15" x14ac:dyDescent="0.25">
      <c r="A22" s="567"/>
      <c r="B22" s="560"/>
      <c r="C22" s="611"/>
      <c r="D22" s="572"/>
      <c r="E22" s="572"/>
      <c r="F22" s="572"/>
      <c r="G22" s="573"/>
      <c r="H22" s="18"/>
      <c r="L22" s="16"/>
      <c r="M22" s="16"/>
      <c r="N22" s="16"/>
      <c r="P22" s="449"/>
    </row>
    <row r="23" spans="1:32" s="17" customFormat="1" ht="15" x14ac:dyDescent="0.25">
      <c r="A23" s="11"/>
      <c r="B23" s="635"/>
      <c r="C23" s="614"/>
      <c r="D23" s="619"/>
      <c r="E23" s="619"/>
      <c r="F23" s="619"/>
      <c r="G23" s="620"/>
      <c r="H23" s="18"/>
      <c r="L23" s="16"/>
      <c r="M23" s="16"/>
      <c r="N23" s="16"/>
      <c r="P23" s="449"/>
    </row>
    <row r="24" spans="1:32" s="217" customFormat="1" ht="14.45" customHeight="1" x14ac:dyDescent="0.2">
      <c r="A24" s="11"/>
      <c r="B24" s="36" t="s">
        <v>10548</v>
      </c>
      <c r="E24" s="473" t="e">
        <f>VLOOKUP($E$3,LA_Data,16,0)</f>
        <v>#N/A</v>
      </c>
      <c r="F24" s="474" t="e">
        <f>VLOOKUP($B$18,LA_Data,16,0)</f>
        <v>#N/A</v>
      </c>
      <c r="G24" s="475">
        <f>VLOOKUP($B$19,LA_Data,16,0)</f>
        <v>2671675</v>
      </c>
      <c r="H24" s="18"/>
      <c r="L24" s="16"/>
      <c r="M24" s="16"/>
      <c r="N24" s="16"/>
      <c r="P24" s="450"/>
    </row>
    <row r="25" spans="1:32" s="217" customFormat="1" ht="14.45" customHeight="1" x14ac:dyDescent="0.2">
      <c r="A25" s="11"/>
      <c r="B25" s="36" t="s">
        <v>14357</v>
      </c>
      <c r="E25" s="473" t="e">
        <f>VLOOKUP($E$3,LA_Data,17,0)</f>
        <v>#N/A</v>
      </c>
      <c r="F25" s="474" t="e">
        <f>VLOOKUP($B$18,LA_Data,17,0)</f>
        <v>#N/A</v>
      </c>
      <c r="G25" s="475">
        <f>VLOOKUP($B$19,LA_Data,17,0)</f>
        <v>13224</v>
      </c>
      <c r="H25" s="18"/>
      <c r="M25" s="16"/>
      <c r="N25" s="16"/>
      <c r="P25" s="450"/>
      <c r="Z25" s="322"/>
      <c r="AA25" s="322"/>
      <c r="AB25" s="322"/>
      <c r="AC25" s="322"/>
      <c r="AD25" s="322"/>
      <c r="AE25" s="322"/>
      <c r="AF25" s="322"/>
    </row>
    <row r="26" spans="1:32" s="217" customFormat="1" ht="14.45" customHeight="1" x14ac:dyDescent="0.2">
      <c r="A26" s="11"/>
      <c r="B26" s="40" t="s">
        <v>23</v>
      </c>
      <c r="C26" s="309"/>
      <c r="D26" s="309"/>
      <c r="E26" s="41" t="e">
        <f>$E$25/$E$24</f>
        <v>#N/A</v>
      </c>
      <c r="F26" s="41" t="e">
        <f>$F$25/$F$24</f>
        <v>#N/A</v>
      </c>
      <c r="G26" s="42">
        <f>$G$25/$G$24</f>
        <v>4.9497038374802325E-3</v>
      </c>
      <c r="H26" s="18"/>
      <c r="L26" s="16"/>
      <c r="M26" s="16"/>
      <c r="N26" s="16"/>
      <c r="P26" s="450"/>
      <c r="Z26" s="323"/>
      <c r="AA26" s="323"/>
      <c r="AB26" s="323"/>
      <c r="AC26" s="323"/>
      <c r="AD26" s="323"/>
      <c r="AE26" s="323"/>
      <c r="AF26" s="323"/>
    </row>
    <row r="27" spans="1:32" s="17" customFormat="1" ht="15" x14ac:dyDescent="0.25">
      <c r="A27" s="11"/>
      <c r="H27" s="18"/>
      <c r="L27" s="44"/>
      <c r="M27" s="16"/>
      <c r="N27" s="16"/>
      <c r="P27" s="449"/>
      <c r="Z27" s="43"/>
      <c r="AA27" s="43"/>
      <c r="AB27" s="43"/>
      <c r="AC27" s="43"/>
      <c r="AD27" s="43"/>
      <c r="AE27" s="43"/>
      <c r="AF27" s="43"/>
    </row>
    <row r="28" spans="1:32" s="17" customFormat="1" ht="15.95" customHeight="1" x14ac:dyDescent="0.25">
      <c r="A28" s="558">
        <v>3</v>
      </c>
      <c r="B28" s="616" t="s">
        <v>10530</v>
      </c>
      <c r="C28" s="617"/>
      <c r="D28" s="617"/>
      <c r="E28" s="45"/>
      <c r="F28" s="45"/>
      <c r="G28" s="46"/>
      <c r="H28" s="18"/>
      <c r="I28" s="47" t="s">
        <v>10546</v>
      </c>
      <c r="J28" s="433"/>
      <c r="K28" s="45"/>
      <c r="L28" s="45"/>
      <c r="M28" s="45"/>
      <c r="N28" s="45"/>
      <c r="O28" s="46"/>
      <c r="P28" s="449"/>
      <c r="Z28" s="43"/>
      <c r="AA28" s="43"/>
      <c r="AB28" s="43"/>
      <c r="AC28" s="43"/>
      <c r="AD28" s="43"/>
      <c r="AE28" s="43"/>
      <c r="AF28" s="43"/>
    </row>
    <row r="29" spans="1:32" s="17" customFormat="1" ht="15" x14ac:dyDescent="0.25">
      <c r="A29" s="567"/>
      <c r="B29" s="560" t="str">
        <f>IFERROR(IF(G31=F31,"England",(IF(F31=D31,(+D31&amp;" and England"),IF(G31=D31,"England",(+D31&amp;", "&amp;F31&amp;", and "&amp;G31))))),"")</f>
        <v/>
      </c>
      <c r="C29" s="572"/>
      <c r="D29" s="572"/>
      <c r="E29" s="572"/>
      <c r="F29" s="572"/>
      <c r="G29" s="573"/>
      <c r="H29" s="18"/>
      <c r="I29" s="48" t="str">
        <f>$B$29</f>
        <v/>
      </c>
      <c r="J29" s="49"/>
      <c r="K29" s="49"/>
      <c r="L29" s="49"/>
      <c r="M29" s="49"/>
      <c r="N29" s="49"/>
      <c r="O29" s="50"/>
      <c r="P29" s="449"/>
      <c r="U29" s="51"/>
      <c r="Z29" s="43"/>
      <c r="AA29" s="43"/>
      <c r="AB29" s="43"/>
      <c r="AC29" s="43"/>
      <c r="AD29" s="43"/>
      <c r="AE29" s="43"/>
      <c r="AF29" s="43"/>
    </row>
    <row r="30" spans="1:32" s="17" customFormat="1" ht="15" x14ac:dyDescent="0.25">
      <c r="A30" s="11"/>
      <c r="B30" s="618"/>
      <c r="C30" s="619"/>
      <c r="D30" s="619"/>
      <c r="E30" s="619"/>
      <c r="F30" s="619"/>
      <c r="G30" s="620"/>
      <c r="H30" s="18"/>
      <c r="I30" s="48"/>
      <c r="J30" s="49"/>
      <c r="K30" s="49"/>
      <c r="L30" s="49"/>
      <c r="M30" s="49"/>
      <c r="N30" s="49"/>
      <c r="O30" s="50"/>
      <c r="P30" s="449"/>
      <c r="U30" s="51"/>
      <c r="Z30" s="43"/>
      <c r="AA30" s="43"/>
      <c r="AB30" s="43"/>
      <c r="AC30" s="43"/>
      <c r="AD30" s="43"/>
      <c r="AE30" s="43"/>
      <c r="AF30" s="43"/>
    </row>
    <row r="31" spans="1:32" s="217" customFormat="1" ht="14.45" customHeight="1" x14ac:dyDescent="0.2">
      <c r="A31" s="11"/>
      <c r="B31" s="52" t="s">
        <v>24</v>
      </c>
      <c r="C31" s="324"/>
      <c r="D31" s="621">
        <f>$E$3</f>
        <v>0</v>
      </c>
      <c r="E31" s="622"/>
      <c r="F31" s="621" t="e">
        <f>$K$3</f>
        <v>#N/A</v>
      </c>
      <c r="G31" s="623" t="s">
        <v>6</v>
      </c>
      <c r="H31" s="18"/>
      <c r="I31" s="54" t="s">
        <v>25</v>
      </c>
      <c r="J31" s="434"/>
      <c r="K31" s="324"/>
      <c r="L31" s="592">
        <f>$E$3</f>
        <v>0</v>
      </c>
      <c r="M31" s="593"/>
      <c r="N31" s="592" t="e">
        <f>$K$3</f>
        <v>#N/A</v>
      </c>
      <c r="O31" s="596" t="s">
        <v>6</v>
      </c>
      <c r="P31" s="450"/>
      <c r="Q31" s="55"/>
      <c r="U31" s="325"/>
      <c r="V31" s="325"/>
      <c r="W31" s="325"/>
      <c r="Z31" s="323"/>
      <c r="AA31" s="323"/>
      <c r="AB31" s="323"/>
      <c r="AC31" s="323"/>
      <c r="AD31" s="323"/>
      <c r="AE31" s="323"/>
      <c r="AF31" s="323"/>
    </row>
    <row r="32" spans="1:32" s="217" customFormat="1" ht="14.45" customHeight="1" x14ac:dyDescent="0.2">
      <c r="A32" s="11"/>
      <c r="B32" s="56"/>
      <c r="D32" s="594"/>
      <c r="E32" s="594"/>
      <c r="F32" s="594"/>
      <c r="G32" s="597"/>
      <c r="H32" s="18"/>
      <c r="I32" s="326"/>
      <c r="J32" s="435"/>
      <c r="K32" s="305"/>
      <c r="L32" s="594"/>
      <c r="M32" s="594"/>
      <c r="N32" s="594"/>
      <c r="O32" s="597"/>
      <c r="P32" s="450"/>
      <c r="Q32" s="55"/>
      <c r="U32" s="322"/>
      <c r="V32" s="325"/>
      <c r="W32" s="325"/>
      <c r="Z32" s="323"/>
      <c r="AA32" s="323"/>
      <c r="AB32" s="323"/>
      <c r="AC32" s="323"/>
      <c r="AD32" s="323"/>
      <c r="AE32" s="323"/>
      <c r="AF32" s="323"/>
    </row>
    <row r="33" spans="1:32" s="217" customFormat="1" ht="14.45" customHeight="1" x14ac:dyDescent="0.2">
      <c r="A33" s="11"/>
      <c r="B33" s="58"/>
      <c r="C33" s="309"/>
      <c r="D33" s="595"/>
      <c r="E33" s="595"/>
      <c r="F33" s="595"/>
      <c r="G33" s="598"/>
      <c r="H33" s="18"/>
      <c r="I33" s="327"/>
      <c r="J33" s="309"/>
      <c r="K33" s="328"/>
      <c r="L33" s="595"/>
      <c r="M33" s="595"/>
      <c r="N33" s="595"/>
      <c r="O33" s="598"/>
      <c r="P33" s="450"/>
      <c r="Q33" s="55"/>
      <c r="U33" s="322"/>
      <c r="V33" s="325"/>
      <c r="W33" s="325"/>
      <c r="Z33" s="323"/>
      <c r="AA33" s="323"/>
      <c r="AB33" s="323"/>
      <c r="AC33" s="323"/>
      <c r="AD33" s="323"/>
      <c r="AE33" s="323"/>
      <c r="AF33" s="323"/>
    </row>
    <row r="34" spans="1:32" s="217" customFormat="1" ht="14.45" customHeight="1" x14ac:dyDescent="0.2">
      <c r="A34" s="11"/>
      <c r="B34" s="329" t="s">
        <v>26</v>
      </c>
      <c r="E34" s="321" t="e">
        <f>VLOOKUP($E$3,LA_Data,18,0)</f>
        <v>#N/A</v>
      </c>
      <c r="F34" s="37" t="e">
        <f>VLOOKUP($B$18,LA_Data,18,0)</f>
        <v>#N/A</v>
      </c>
      <c r="G34" s="38">
        <f>VLOOKUP($B$19,LA_Data,18,0)</f>
        <v>1087</v>
      </c>
      <c r="H34" s="18"/>
      <c r="I34" s="330" t="s">
        <v>27</v>
      </c>
      <c r="J34" s="436"/>
      <c r="K34" s="61"/>
      <c r="L34" s="324"/>
      <c r="M34" s="537" t="e">
        <f>VLOOKUP($E$3,LA_Data,166,0)</f>
        <v>#N/A</v>
      </c>
      <c r="N34" s="538" t="e">
        <f>VLOOKUP($K$3,LA_Data,166,0)</f>
        <v>#N/A</v>
      </c>
      <c r="O34" s="539">
        <f>VLOOKUP($B$19,LA_Data,166,0)</f>
        <v>4534</v>
      </c>
      <c r="P34" s="450"/>
      <c r="U34" s="322"/>
      <c r="V34" s="322"/>
      <c r="W34" s="322"/>
      <c r="Z34" s="323"/>
      <c r="AA34" s="323"/>
      <c r="AB34" s="323"/>
      <c r="AC34" s="323"/>
      <c r="AD34" s="323"/>
      <c r="AE34" s="323"/>
      <c r="AF34" s="323"/>
    </row>
    <row r="35" spans="1:32" s="217" customFormat="1" ht="14.45" customHeight="1" x14ac:dyDescent="0.2">
      <c r="A35" s="11"/>
      <c r="B35" s="329" t="s">
        <v>28</v>
      </c>
      <c r="E35" s="321" t="e">
        <f>VLOOKUP($E$3,LA_Data,19,0)</f>
        <v>#N/A</v>
      </c>
      <c r="F35" s="37" t="e">
        <f>VLOOKUP($B$18,LA_Data,19,0)</f>
        <v>#N/A</v>
      </c>
      <c r="G35" s="38">
        <f>VLOOKUP($B$19,LA_Data,19,0)</f>
        <v>231</v>
      </c>
      <c r="H35" s="18"/>
      <c r="I35" s="331" t="s">
        <v>29</v>
      </c>
      <c r="J35" s="283"/>
      <c r="K35" s="16"/>
      <c r="M35" s="473" t="e">
        <f>VLOOKUP($E$3,LA_Data,167,0)</f>
        <v>#N/A</v>
      </c>
      <c r="N35" s="474" t="e">
        <f>VLOOKUP($K$3,LA_Data,167,0)</f>
        <v>#N/A</v>
      </c>
      <c r="O35" s="540">
        <f>VLOOKUP($B$19,LA_Data,167,0)</f>
        <v>2393</v>
      </c>
      <c r="P35" s="450"/>
      <c r="V35" s="322"/>
      <c r="W35" s="322"/>
      <c r="Z35" s="323"/>
      <c r="AA35" s="323"/>
      <c r="AB35" s="323"/>
      <c r="AC35" s="323"/>
      <c r="AD35" s="323"/>
      <c r="AE35" s="323"/>
      <c r="AF35" s="323"/>
    </row>
    <row r="36" spans="1:32" s="217" customFormat="1" ht="14.45" customHeight="1" x14ac:dyDescent="0.2">
      <c r="A36" s="11"/>
      <c r="B36" s="62" t="s">
        <v>30</v>
      </c>
      <c r="C36" s="318"/>
      <c r="D36" s="318"/>
      <c r="E36" s="63" t="e">
        <f>SUM(E34:E35)</f>
        <v>#N/A</v>
      </c>
      <c r="F36" s="63" t="e">
        <f>SUM(F34:F35)</f>
        <v>#N/A</v>
      </c>
      <c r="G36" s="64">
        <f>SUM(G34:G35)</f>
        <v>1318</v>
      </c>
      <c r="H36" s="18"/>
      <c r="I36" s="520" t="s">
        <v>11654</v>
      </c>
      <c r="M36" s="527" t="e">
        <f>VLOOKUP($E$3,LA_Data,168,0)</f>
        <v>#N/A</v>
      </c>
      <c r="N36" s="527" t="e">
        <f>VLOOKUP($K$3,LA_Data,168,0)</f>
        <v>#N/A</v>
      </c>
      <c r="O36" s="528">
        <f>VLOOKUP($B$19,LA_Data,168,0)</f>
        <v>1541</v>
      </c>
      <c r="P36" s="450"/>
      <c r="Q36" s="55"/>
      <c r="V36" s="322"/>
      <c r="W36" s="322"/>
      <c r="Z36" s="323"/>
      <c r="AA36" s="323"/>
      <c r="AB36" s="323"/>
      <c r="AC36" s="323"/>
      <c r="AD36" s="323"/>
      <c r="AE36" s="323"/>
      <c r="AF36" s="323"/>
    </row>
    <row r="37" spans="1:32" s="217" customFormat="1" ht="14.45" customHeight="1" x14ac:dyDescent="0.2">
      <c r="A37" s="11"/>
      <c r="B37" s="329"/>
      <c r="E37" s="323"/>
      <c r="F37" s="323"/>
      <c r="G37" s="312"/>
      <c r="H37" s="18"/>
      <c r="I37" s="520" t="s">
        <v>11651</v>
      </c>
      <c r="M37" s="527" t="e">
        <f>VLOOKUP($E$3,LA_Data,169,0)</f>
        <v>#N/A</v>
      </c>
      <c r="N37" s="527" t="e">
        <f>VLOOKUP($K$3,LA_Data,169,0)</f>
        <v>#N/A</v>
      </c>
      <c r="O37" s="528">
        <f>VLOOKUP($B$19,LA_Data,169,0)</f>
        <v>50</v>
      </c>
      <c r="P37" s="450"/>
      <c r="U37" s="322"/>
      <c r="Z37" s="323"/>
      <c r="AA37" s="323"/>
      <c r="AB37" s="323"/>
      <c r="AC37" s="323"/>
      <c r="AD37" s="323"/>
      <c r="AE37" s="323"/>
      <c r="AF37" s="323"/>
    </row>
    <row r="38" spans="1:32" s="217" customFormat="1" ht="14.45" customHeight="1" x14ac:dyDescent="0.2">
      <c r="A38" s="11"/>
      <c r="B38" s="58" t="s">
        <v>33</v>
      </c>
      <c r="C38" s="309"/>
      <c r="D38" s="309"/>
      <c r="E38" s="332"/>
      <c r="F38" s="332"/>
      <c r="G38" s="310"/>
      <c r="H38" s="18"/>
      <c r="I38" s="520" t="s">
        <v>11652</v>
      </c>
      <c r="M38" s="527" t="e">
        <f>VLOOKUP($E$3,LA_Data,170,0)</f>
        <v>#N/A</v>
      </c>
      <c r="N38" s="527" t="e">
        <f>VLOOKUP($K$3,LA_Data,170,0)</f>
        <v>#N/A</v>
      </c>
      <c r="O38" s="528">
        <f>VLOOKUP($B$19,LA_Data,170,0)</f>
        <v>773</v>
      </c>
      <c r="P38" s="450"/>
      <c r="Q38" s="55"/>
      <c r="U38" s="322"/>
      <c r="Z38" s="323"/>
      <c r="AA38" s="323"/>
      <c r="AB38" s="323"/>
      <c r="AC38" s="323"/>
      <c r="AD38" s="323"/>
      <c r="AE38" s="323"/>
      <c r="AF38" s="323"/>
    </row>
    <row r="39" spans="1:32" s="217" customFormat="1" ht="14.45" customHeight="1" x14ac:dyDescent="0.2">
      <c r="A39" s="11"/>
      <c r="B39" s="329" t="s">
        <v>26</v>
      </c>
      <c r="E39" s="473" t="e">
        <f>VLOOKUP($E$3,LA_Data,20,0)</f>
        <v>#N/A</v>
      </c>
      <c r="F39" s="474" t="e">
        <f>VLOOKUP($B$18,LA_Data,20,0)</f>
        <v>#N/A</v>
      </c>
      <c r="G39" s="475">
        <f>VLOOKUP($B$19,LA_Data,20,0)</f>
        <v>112134</v>
      </c>
      <c r="H39" s="18"/>
      <c r="I39" s="520" t="s">
        <v>11653</v>
      </c>
      <c r="J39" s="283"/>
      <c r="K39" s="16"/>
      <c r="M39" s="527" t="e">
        <f>VLOOKUP($E$3,LA_Data,171,0)</f>
        <v>#N/A</v>
      </c>
      <c r="N39" s="529" t="e">
        <f>VLOOKUP($K$3,LA_Data,171,0)</f>
        <v>#N/A</v>
      </c>
      <c r="O39" s="530">
        <f>VLOOKUP($B$19,LA_Data,171,0)</f>
        <v>29</v>
      </c>
      <c r="P39" s="450"/>
      <c r="U39" s="322"/>
      <c r="V39" s="322"/>
      <c r="W39" s="322"/>
      <c r="Z39" s="323"/>
      <c r="AA39" s="323"/>
      <c r="AB39" s="323"/>
      <c r="AC39" s="323"/>
      <c r="AD39" s="323"/>
      <c r="AE39" s="323"/>
      <c r="AF39" s="323"/>
    </row>
    <row r="40" spans="1:32" s="217" customFormat="1" ht="14.45" customHeight="1" x14ac:dyDescent="0.2">
      <c r="A40" s="11"/>
      <c r="B40" s="329" t="s">
        <v>28</v>
      </c>
      <c r="E40" s="473" t="e">
        <f>VLOOKUP($E$3,LA_Data,21,0)</f>
        <v>#N/A</v>
      </c>
      <c r="F40" s="474" t="e">
        <f>VLOOKUP($B$18,LA_Data,21,0)</f>
        <v>#N/A</v>
      </c>
      <c r="G40" s="475">
        <f>VLOOKUP($B$19,LA_Data,21,0)</f>
        <v>2813332</v>
      </c>
      <c r="H40" s="18"/>
      <c r="I40" s="331" t="s">
        <v>31</v>
      </c>
      <c r="J40" s="283"/>
      <c r="K40" s="16"/>
      <c r="M40" s="473" t="e">
        <f>VLOOKUP($E$3,LA_Data,172,0)</f>
        <v>#N/A</v>
      </c>
      <c r="N40" s="474" t="e">
        <f>VLOOKUP($K$3,LA_Data,172,0)</f>
        <v>#N/A</v>
      </c>
      <c r="O40" s="540">
        <f>VLOOKUP($B$19,LA_Data,172,0)</f>
        <v>4292</v>
      </c>
      <c r="P40" s="450"/>
      <c r="U40" s="322"/>
      <c r="V40" s="322"/>
      <c r="W40" s="322"/>
      <c r="Z40" s="323"/>
      <c r="AA40" s="323"/>
      <c r="AB40" s="323"/>
      <c r="AC40" s="323"/>
      <c r="AD40" s="323"/>
      <c r="AE40" s="323"/>
      <c r="AF40" s="323"/>
    </row>
    <row r="41" spans="1:32" s="217" customFormat="1" ht="14.45" customHeight="1" x14ac:dyDescent="0.2">
      <c r="A41" s="11"/>
      <c r="B41" s="62" t="s">
        <v>35</v>
      </c>
      <c r="C41" s="318"/>
      <c r="D41" s="318"/>
      <c r="E41" s="476" t="e">
        <f>SUM(E39:E40)</f>
        <v>#N/A</v>
      </c>
      <c r="F41" s="476" t="e">
        <f>SUM(F39:F40)</f>
        <v>#N/A</v>
      </c>
      <c r="G41" s="477">
        <f>SUM(G39:G40)</f>
        <v>2925466</v>
      </c>
      <c r="H41" s="18"/>
      <c r="I41" s="331" t="s">
        <v>32</v>
      </c>
      <c r="J41" s="283"/>
      <c r="K41" s="16"/>
      <c r="M41" s="473" t="e">
        <f>VLOOKUP($E$3,LA_Data,173,0)</f>
        <v>#N/A</v>
      </c>
      <c r="N41" s="474" t="e">
        <f>VLOOKUP($K$3,LA_Data,173,0)</f>
        <v>#N/A</v>
      </c>
      <c r="O41" s="540">
        <f>VLOOKUP($B$19,LA_Data,173,0)</f>
        <v>17795</v>
      </c>
      <c r="P41" s="450"/>
      <c r="Q41" s="55"/>
      <c r="U41" s="322"/>
      <c r="V41" s="322"/>
      <c r="W41" s="322"/>
      <c r="Z41" s="323"/>
      <c r="AA41" s="323"/>
      <c r="AB41" s="323"/>
      <c r="AC41" s="323"/>
      <c r="AD41" s="323"/>
      <c r="AE41" s="323"/>
      <c r="AF41" s="323"/>
    </row>
    <row r="42" spans="1:32" s="217" customFormat="1" ht="14.45" customHeight="1" x14ac:dyDescent="0.2">
      <c r="A42" s="11"/>
      <c r="B42" s="329"/>
      <c r="E42" s="321"/>
      <c r="F42" s="321"/>
      <c r="G42" s="335"/>
      <c r="H42" s="18"/>
      <c r="I42" s="333" t="s">
        <v>34</v>
      </c>
      <c r="J42" s="308"/>
      <c r="K42" s="65"/>
      <c r="L42" s="309"/>
      <c r="M42" s="541" t="e">
        <f>VLOOKUP($E$3,LA_Data,174,0)</f>
        <v>#N/A</v>
      </c>
      <c r="N42" s="542" t="e">
        <f>VLOOKUP($K$3,LA_Data,174,0)</f>
        <v>#N/A</v>
      </c>
      <c r="O42" s="543">
        <f>VLOOKUP($B$19,LA_Data,174,0)</f>
        <v>3503</v>
      </c>
      <c r="P42" s="450"/>
      <c r="U42" s="322"/>
      <c r="V42" s="322"/>
      <c r="W42" s="322"/>
      <c r="Z42" s="323"/>
      <c r="AA42" s="323"/>
      <c r="AB42" s="323"/>
      <c r="AC42" s="323"/>
      <c r="AD42" s="323"/>
      <c r="AE42" s="323"/>
      <c r="AF42" s="323"/>
    </row>
    <row r="43" spans="1:32" s="217" customFormat="1" ht="14.45" customHeight="1" x14ac:dyDescent="0.2">
      <c r="A43" s="11"/>
      <c r="B43" s="58" t="s">
        <v>36</v>
      </c>
      <c r="C43" s="309"/>
      <c r="D43" s="309"/>
      <c r="E43" s="334"/>
      <c r="F43" s="334"/>
      <c r="G43" s="336"/>
      <c r="H43" s="18"/>
      <c r="I43" s="326"/>
      <c r="J43" s="435"/>
      <c r="L43" s="16"/>
      <c r="M43" s="16"/>
      <c r="N43" s="16"/>
      <c r="O43" s="156"/>
      <c r="P43" s="450"/>
      <c r="Q43" s="55"/>
      <c r="U43" s="322"/>
      <c r="V43" s="322"/>
      <c r="W43" s="322"/>
      <c r="Z43" s="323"/>
      <c r="AA43" s="323"/>
      <c r="AB43" s="323"/>
      <c r="AC43" s="323"/>
      <c r="AD43" s="323"/>
      <c r="AE43" s="323"/>
      <c r="AF43" s="323"/>
    </row>
    <row r="44" spans="1:32" s="217" customFormat="1" ht="14.45" customHeight="1" x14ac:dyDescent="0.2">
      <c r="A44" s="11"/>
      <c r="B44" s="329" t="s">
        <v>26</v>
      </c>
      <c r="E44" s="259">
        <f>IFERROR((E39/$E$41),0)</f>
        <v>0</v>
      </c>
      <c r="F44" s="67">
        <f>IFERROR((F39/$F$41),0)</f>
        <v>0</v>
      </c>
      <c r="G44" s="68">
        <f>IFERROR((G39/$G$41),0)</f>
        <v>3.8330303616586216E-2</v>
      </c>
      <c r="H44" s="18"/>
      <c r="I44" s="329"/>
      <c r="L44" s="16"/>
      <c r="M44" s="16"/>
      <c r="N44" s="16"/>
      <c r="O44" s="156"/>
      <c r="P44" s="450"/>
      <c r="V44" s="322"/>
      <c r="W44" s="322"/>
    </row>
    <row r="45" spans="1:32" s="217" customFormat="1" ht="14.45" customHeight="1" x14ac:dyDescent="0.2">
      <c r="A45" s="11"/>
      <c r="B45" s="327" t="s">
        <v>28</v>
      </c>
      <c r="C45" s="309"/>
      <c r="D45" s="309"/>
      <c r="E45" s="259">
        <f>IFERROR((E40/$E$41),0)</f>
        <v>0</v>
      </c>
      <c r="F45" s="67">
        <f>IFERROR((F40/$F$41),0)</f>
        <v>0</v>
      </c>
      <c r="G45" s="68">
        <f>IFERROR((G40/$G$41),0)</f>
        <v>0.96166969638341382</v>
      </c>
      <c r="H45" s="18"/>
      <c r="I45" s="69" t="s">
        <v>37</v>
      </c>
      <c r="L45" s="16"/>
      <c r="M45" s="16"/>
      <c r="N45" s="16"/>
      <c r="O45" s="156"/>
      <c r="P45" s="450"/>
      <c r="V45" s="322"/>
      <c r="W45" s="322"/>
    </row>
    <row r="46" spans="1:32" s="17" customFormat="1" ht="15" x14ac:dyDescent="0.25">
      <c r="A46" s="11"/>
      <c r="B46" s="599" t="s">
        <v>14363</v>
      </c>
      <c r="C46" s="600"/>
      <c r="D46" s="600"/>
      <c r="E46" s="600"/>
      <c r="F46" s="600"/>
      <c r="G46" s="601"/>
      <c r="H46" s="18"/>
      <c r="I46" s="519" t="s">
        <v>11659</v>
      </c>
      <c r="J46" s="166"/>
      <c r="L46" s="16"/>
      <c r="M46" s="16"/>
      <c r="N46" s="16"/>
      <c r="O46" s="66"/>
      <c r="P46" s="449"/>
      <c r="Z46" s="70"/>
      <c r="AA46" s="70"/>
      <c r="AB46" s="70"/>
      <c r="AC46" s="70"/>
      <c r="AD46" s="70"/>
      <c r="AE46" s="70"/>
      <c r="AF46" s="70"/>
    </row>
    <row r="47" spans="1:32" s="17" customFormat="1" ht="15" x14ac:dyDescent="0.25">
      <c r="A47" s="11"/>
      <c r="B47" s="602"/>
      <c r="C47" s="603"/>
      <c r="D47" s="603"/>
      <c r="E47" s="603"/>
      <c r="F47" s="603"/>
      <c r="G47" s="604"/>
      <c r="H47" s="18"/>
      <c r="I47" s="519"/>
      <c r="J47" s="437"/>
      <c r="L47" s="16"/>
      <c r="M47" s="16"/>
      <c r="N47" s="16"/>
      <c r="O47" s="66"/>
      <c r="P47" s="449"/>
      <c r="T47" s="51"/>
      <c r="U47" s="51"/>
      <c r="Z47" s="70"/>
      <c r="AA47" s="70"/>
      <c r="AB47" s="70"/>
      <c r="AC47" s="70"/>
      <c r="AD47" s="70"/>
      <c r="AE47" s="70"/>
      <c r="AF47" s="70"/>
    </row>
    <row r="48" spans="1:32" s="17" customFormat="1" ht="15" x14ac:dyDescent="0.25">
      <c r="A48" s="11"/>
      <c r="B48" s="605"/>
      <c r="C48" s="606"/>
      <c r="D48" s="606"/>
      <c r="E48" s="606"/>
      <c r="F48" s="606"/>
      <c r="G48" s="607"/>
      <c r="H48" s="18"/>
      <c r="I48" s="71" t="s">
        <v>14364</v>
      </c>
      <c r="J48" s="438"/>
      <c r="K48" s="65"/>
      <c r="L48" s="65"/>
      <c r="M48" s="65"/>
      <c r="N48" s="65"/>
      <c r="O48" s="72"/>
      <c r="P48" s="449"/>
      <c r="T48" s="39"/>
      <c r="U48" s="39"/>
    </row>
    <row r="49" spans="1:32" s="17" customFormat="1" ht="15" x14ac:dyDescent="0.25">
      <c r="A49" s="11"/>
      <c r="B49" s="55"/>
      <c r="C49" s="13"/>
      <c r="D49" s="14"/>
      <c r="E49" s="14"/>
      <c r="F49" s="14"/>
      <c r="G49" s="14"/>
      <c r="H49" s="18"/>
      <c r="I49" s="16"/>
      <c r="J49" s="16"/>
      <c r="K49" s="16"/>
      <c r="L49" s="16"/>
      <c r="M49" s="16"/>
      <c r="N49" s="16"/>
      <c r="P49" s="449"/>
      <c r="Q49" s="55"/>
      <c r="T49" s="39"/>
      <c r="U49" s="39"/>
      <c r="V49" s="51"/>
    </row>
    <row r="50" spans="1:32" s="17" customFormat="1" ht="15.75" x14ac:dyDescent="0.25">
      <c r="A50" s="608">
        <v>4</v>
      </c>
      <c r="B50" s="73" t="s">
        <v>38</v>
      </c>
      <c r="C50" s="74"/>
      <c r="D50" s="74"/>
      <c r="E50" s="74"/>
      <c r="F50" s="74"/>
      <c r="G50" s="75"/>
      <c r="H50" s="18"/>
      <c r="I50" s="16"/>
      <c r="J50" s="16"/>
      <c r="K50" s="16"/>
      <c r="L50" s="16"/>
      <c r="M50" s="16"/>
      <c r="N50" s="16"/>
      <c r="P50" s="449"/>
      <c r="T50" s="39"/>
      <c r="U50" s="39"/>
      <c r="V50" s="39"/>
      <c r="Z50" s="70"/>
      <c r="AA50" s="70"/>
      <c r="AB50" s="70"/>
      <c r="AC50" s="70"/>
      <c r="AD50" s="70"/>
      <c r="AE50" s="70"/>
      <c r="AF50" s="70"/>
    </row>
    <row r="51" spans="1:32" s="17" customFormat="1" ht="15.75" customHeight="1" x14ac:dyDescent="0.25">
      <c r="A51" s="609"/>
      <c r="B51" s="610" t="str">
        <f>IFERROR(IF(G31=F31,"Vacant units for England - large PRPs",(IF(F31=D31,(+"Vacant units for "&amp;D31&amp;" and England - large PRPs"),IF(G31=D31,"England",(+"Vacant units for "&amp;D31&amp;", "&amp;F31&amp;", and "&amp;G31&amp;" - large PRPs"))))),"")</f>
        <v/>
      </c>
      <c r="C51" s="611"/>
      <c r="D51" s="611"/>
      <c r="E51" s="611"/>
      <c r="F51" s="611"/>
      <c r="G51" s="612"/>
      <c r="H51" s="18"/>
      <c r="I51" s="16"/>
      <c r="J51" s="16"/>
      <c r="K51" s="16"/>
      <c r="L51" s="16"/>
      <c r="M51" s="16"/>
      <c r="N51" s="16"/>
      <c r="P51" s="449"/>
      <c r="T51" s="583" t="e">
        <f>$K$3</f>
        <v>#N/A</v>
      </c>
      <c r="U51" s="583" t="s">
        <v>6</v>
      </c>
      <c r="V51" s="39"/>
    </row>
    <row r="52" spans="1:32" s="17" customFormat="1" ht="15.75" customHeight="1" x14ac:dyDescent="0.25">
      <c r="A52" s="11"/>
      <c r="B52" s="613"/>
      <c r="C52" s="614"/>
      <c r="D52" s="614"/>
      <c r="E52" s="614"/>
      <c r="F52" s="614"/>
      <c r="G52" s="615"/>
      <c r="H52" s="18"/>
      <c r="I52" s="16"/>
      <c r="J52" s="16"/>
      <c r="K52" s="16"/>
      <c r="L52" s="16"/>
      <c r="M52" s="16"/>
      <c r="N52" s="16"/>
      <c r="P52" s="449"/>
      <c r="Q52" s="55"/>
      <c r="T52" s="584"/>
      <c r="U52" s="583"/>
      <c r="V52" s="39"/>
    </row>
    <row r="53" spans="1:32" s="217" customFormat="1" ht="14.45" customHeight="1" x14ac:dyDescent="0.2">
      <c r="A53" s="11"/>
      <c r="B53" s="76" t="str">
        <f>IFERROR(IF(G31=F31,"Average weekly net rents (£ per week) and units - Large PRPs",(IF(F31=D31,(+"Average weekly net rents (£ per week) and units for "&amp;D31&amp;" - Large PRPs"),IF(G31=D31,"England",)))),"")</f>
        <v/>
      </c>
      <c r="C53" s="77"/>
      <c r="D53" s="585">
        <f>E3</f>
        <v>0</v>
      </c>
      <c r="E53" s="586"/>
      <c r="F53" s="588" t="e">
        <f>$K$3</f>
        <v>#N/A</v>
      </c>
      <c r="G53" s="590" t="s">
        <v>6</v>
      </c>
      <c r="H53" s="18"/>
      <c r="I53" s="16"/>
      <c r="J53" s="16"/>
      <c r="K53" s="16"/>
      <c r="L53" s="16"/>
      <c r="M53" s="16"/>
      <c r="N53" s="16"/>
      <c r="P53" s="450"/>
      <c r="R53" s="217" t="str">
        <f>IFERROR("Vacant units for "&amp;E3&amp;" - large PRPs","")</f>
        <v>Vacant units for  - large PRPs</v>
      </c>
      <c r="T53" s="584"/>
      <c r="U53" s="583"/>
    </row>
    <row r="54" spans="1:32" s="217" customFormat="1" ht="14.45" customHeight="1" x14ac:dyDescent="0.2">
      <c r="A54" s="11"/>
      <c r="B54" s="337"/>
      <c r="C54" s="338"/>
      <c r="D54" s="586"/>
      <c r="E54" s="586"/>
      <c r="F54" s="585"/>
      <c r="G54" s="590"/>
      <c r="H54" s="18"/>
      <c r="I54" s="16"/>
      <c r="J54" s="16"/>
      <c r="K54" s="16"/>
      <c r="L54" s="16"/>
      <c r="M54" s="16"/>
      <c r="N54" s="16"/>
      <c r="P54" s="450"/>
      <c r="Q54" s="55"/>
      <c r="T54" s="322"/>
      <c r="U54" s="322"/>
    </row>
    <row r="55" spans="1:32" s="217" customFormat="1" ht="14.45" customHeight="1" x14ac:dyDescent="0.2">
      <c r="A55" s="11"/>
      <c r="B55" s="337"/>
      <c r="C55" s="338"/>
      <c r="D55" s="587"/>
      <c r="E55" s="587"/>
      <c r="F55" s="589"/>
      <c r="G55" s="591"/>
      <c r="H55" s="18"/>
      <c r="I55" s="16"/>
      <c r="J55" s="16"/>
      <c r="K55" s="16"/>
      <c r="L55" s="16"/>
      <c r="M55" s="16"/>
      <c r="N55" s="16"/>
      <c r="P55" s="450"/>
      <c r="R55" s="583">
        <f>W5</f>
        <v>0</v>
      </c>
      <c r="S55" s="584"/>
      <c r="T55" s="322"/>
      <c r="U55" s="322"/>
      <c r="V55" s="322"/>
    </row>
    <row r="56" spans="1:32" s="217" customFormat="1" ht="14.45" customHeight="1" x14ac:dyDescent="0.2">
      <c r="A56" s="11"/>
      <c r="B56" s="78" t="s">
        <v>39</v>
      </c>
      <c r="C56" s="339"/>
      <c r="D56" s="339"/>
      <c r="E56" s="478" t="e">
        <f>VLOOKUP($E$3,LA_Data,22,0)</f>
        <v>#N/A</v>
      </c>
      <c r="F56" s="478" t="e">
        <f>VLOOKUP($B$18,LA_Data,22,0)</f>
        <v>#N/A</v>
      </c>
      <c r="G56" s="479">
        <f>VLOOKUP($B$19,LA_Data,22,0)</f>
        <v>2206507</v>
      </c>
      <c r="H56" s="18"/>
      <c r="I56" s="16"/>
      <c r="J56" s="16"/>
      <c r="K56" s="16"/>
      <c r="L56" s="16"/>
      <c r="M56" s="16"/>
      <c r="N56" s="16"/>
      <c r="P56" s="450"/>
      <c r="R56" s="584"/>
      <c r="S56" s="584"/>
      <c r="T56" s="322"/>
      <c r="U56" s="322"/>
      <c r="V56" s="322"/>
    </row>
    <row r="57" spans="1:32" s="217" customFormat="1" ht="14.45" customHeight="1" thickBot="1" x14ac:dyDescent="0.25">
      <c r="A57" s="11"/>
      <c r="B57" s="340"/>
      <c r="C57" s="338"/>
      <c r="D57" s="338"/>
      <c r="E57" s="478"/>
      <c r="F57" s="478"/>
      <c r="G57" s="479"/>
      <c r="H57" s="18"/>
      <c r="I57" s="16"/>
      <c r="J57" s="16"/>
      <c r="K57" s="16"/>
      <c r="L57" s="16"/>
      <c r="M57" s="16"/>
      <c r="N57" s="16"/>
      <c r="P57" s="450"/>
      <c r="Q57" s="55"/>
      <c r="R57" s="584"/>
      <c r="S57" s="584"/>
      <c r="T57" s="322"/>
      <c r="U57" s="322"/>
      <c r="V57" s="322"/>
    </row>
    <row r="58" spans="1:32" s="217" customFormat="1" ht="14.45" customHeight="1" x14ac:dyDescent="0.2">
      <c r="A58" s="11"/>
      <c r="B58" s="79" t="s">
        <v>40</v>
      </c>
      <c r="C58" s="77"/>
      <c r="D58" s="531" t="s">
        <v>14356</v>
      </c>
      <c r="E58" s="480" t="e">
        <f>VLOOKUP($E$3,LA_Data,23,0)</f>
        <v>#N/A</v>
      </c>
      <c r="F58" s="478" t="e">
        <f>VLOOKUP($B$18,LA_Data,23,0)</f>
        <v>#N/A</v>
      </c>
      <c r="G58" s="479">
        <f>VLOOKUP($B$19,LA_Data,23,0)</f>
        <v>16699</v>
      </c>
      <c r="H58" s="18"/>
      <c r="I58" s="16"/>
      <c r="J58" s="16"/>
      <c r="K58" s="16"/>
      <c r="L58" s="16"/>
      <c r="M58" s="16"/>
      <c r="N58" s="16"/>
      <c r="P58" s="450"/>
      <c r="R58" s="313" t="s">
        <v>40</v>
      </c>
      <c r="S58" s="341" t="e">
        <f>IF($E58=0,"",$E58)</f>
        <v>#N/A</v>
      </c>
      <c r="U58" s="322"/>
      <c r="V58" s="322"/>
    </row>
    <row r="59" spans="1:32" s="217" customFormat="1" ht="14.45" customHeight="1" thickBot="1" x14ac:dyDescent="0.25">
      <c r="A59" s="11"/>
      <c r="B59" s="80" t="s">
        <v>42</v>
      </c>
      <c r="C59" s="81"/>
      <c r="D59" s="532" t="s">
        <v>14356</v>
      </c>
      <c r="E59" s="481" t="e">
        <f>VLOOKUP($E$3,LA_Data,24,0)</f>
        <v>#N/A</v>
      </c>
      <c r="F59" s="482" t="e">
        <f>VLOOKUP($B$18,LA_Data,24,0)</f>
        <v>#N/A</v>
      </c>
      <c r="G59" s="483">
        <f>VLOOKUP($B$19,LA_Data,24,0)</f>
        <v>19870</v>
      </c>
      <c r="H59" s="18"/>
      <c r="I59" s="16"/>
      <c r="J59" s="16"/>
      <c r="K59" s="16"/>
      <c r="L59" s="16"/>
      <c r="M59" s="16"/>
      <c r="N59" s="16"/>
      <c r="P59" s="450"/>
      <c r="Q59" s="55"/>
      <c r="R59" s="319" t="s">
        <v>42</v>
      </c>
      <c r="S59" s="342" t="e">
        <f>IF($E59=0,"",$E59)</f>
        <v>#N/A</v>
      </c>
      <c r="U59" s="322"/>
      <c r="V59" s="322"/>
    </row>
    <row r="60" spans="1:32" s="217" customFormat="1" ht="14.45" customHeight="1" x14ac:dyDescent="0.2">
      <c r="A60" s="11"/>
      <c r="B60" s="82" t="s">
        <v>43</v>
      </c>
      <c r="C60" s="81"/>
      <c r="D60" s="83"/>
      <c r="E60" s="469" t="e">
        <f>VLOOKUP($E$3,LA_Data,25,0)</f>
        <v>#N/A</v>
      </c>
      <c r="F60" s="469" t="e">
        <f>VLOOKUP($B$18,LA_Data,25,0)</f>
        <v>#N/A</v>
      </c>
      <c r="G60" s="484">
        <f>VLOOKUP($B$19,LA_Data,25,0)</f>
        <v>36569</v>
      </c>
      <c r="H60" s="18"/>
      <c r="I60" s="16"/>
      <c r="J60" s="16"/>
      <c r="K60" s="16"/>
      <c r="L60" s="16"/>
      <c r="M60" s="16"/>
      <c r="N60" s="16"/>
      <c r="P60" s="450"/>
      <c r="V60" s="322"/>
    </row>
    <row r="61" spans="1:32" s="217" customFormat="1" ht="14.45" customHeight="1" x14ac:dyDescent="0.2">
      <c r="A61" s="11"/>
      <c r="B61" s="331" t="s">
        <v>44</v>
      </c>
      <c r="E61" s="515" t="e">
        <f>E60/E56</f>
        <v>#N/A</v>
      </c>
      <c r="F61" s="515" t="e">
        <f>F60/F56</f>
        <v>#N/A</v>
      </c>
      <c r="G61" s="516">
        <f>G60/G56</f>
        <v>1.6573253563210995E-2</v>
      </c>
      <c r="H61" s="18"/>
      <c r="I61" s="16"/>
      <c r="J61" s="16"/>
      <c r="K61" s="16"/>
      <c r="L61" s="16"/>
      <c r="M61" s="16"/>
      <c r="N61" s="16"/>
      <c r="P61" s="450"/>
      <c r="V61" s="322"/>
    </row>
    <row r="62" spans="1:32" s="217" customFormat="1" ht="14.45" customHeight="1" x14ac:dyDescent="0.2">
      <c r="A62" s="11"/>
      <c r="B62" s="113" t="s">
        <v>11648</v>
      </c>
      <c r="C62" s="77"/>
      <c r="D62" s="338"/>
      <c r="E62" s="343" t="e">
        <f>E58/E56</f>
        <v>#N/A</v>
      </c>
      <c r="F62" s="343" t="e">
        <f t="shared" ref="F62:G62" si="0">F58/F56</f>
        <v>#N/A</v>
      </c>
      <c r="G62" s="344">
        <f t="shared" si="0"/>
        <v>7.5680702576515733E-3</v>
      </c>
      <c r="H62" s="18"/>
      <c r="I62" s="16"/>
      <c r="J62" s="16"/>
      <c r="K62" s="16"/>
      <c r="L62" s="16"/>
      <c r="M62" s="16"/>
      <c r="N62" s="16"/>
      <c r="P62" s="450"/>
    </row>
    <row r="63" spans="1:32" s="217" customFormat="1" ht="14.45" customHeight="1" x14ac:dyDescent="0.2">
      <c r="A63" s="11"/>
      <c r="B63" s="113" t="s">
        <v>11649</v>
      </c>
      <c r="C63" s="81"/>
      <c r="D63" s="345"/>
      <c r="E63" s="346" t="e">
        <f>E59/E56</f>
        <v>#N/A</v>
      </c>
      <c r="F63" s="346" t="e">
        <f t="shared" ref="F63:G63" si="1">F59/F56</f>
        <v>#N/A</v>
      </c>
      <c r="G63" s="347">
        <f t="shared" si="1"/>
        <v>9.0051833055594197E-3</v>
      </c>
      <c r="H63" s="18"/>
      <c r="I63" s="16"/>
      <c r="J63" s="16"/>
      <c r="K63" s="16"/>
      <c r="L63" s="16"/>
      <c r="M63" s="16"/>
      <c r="N63" s="16"/>
      <c r="P63" s="450"/>
    </row>
    <row r="64" spans="1:32" s="17" customFormat="1" ht="15" x14ac:dyDescent="0.25">
      <c r="A64" s="11"/>
      <c r="B64" s="84"/>
      <c r="C64" s="85"/>
      <c r="D64" s="86"/>
      <c r="E64" s="87"/>
      <c r="F64" s="53"/>
      <c r="G64" s="88"/>
      <c r="H64" s="18"/>
      <c r="I64" s="16"/>
      <c r="J64" s="16"/>
      <c r="K64" s="16"/>
      <c r="L64" s="16"/>
      <c r="M64" s="16"/>
      <c r="N64" s="16"/>
      <c r="P64" s="449"/>
    </row>
    <row r="65" spans="1:25" s="17" customFormat="1" ht="15" x14ac:dyDescent="0.25">
      <c r="A65" s="11"/>
      <c r="B65" s="57"/>
      <c r="C65" s="89"/>
      <c r="D65" s="90"/>
      <c r="E65" s="14"/>
      <c r="G65" s="91"/>
      <c r="H65" s="18"/>
      <c r="I65" s="16"/>
      <c r="J65" s="16"/>
      <c r="K65" s="16"/>
      <c r="L65" s="16"/>
      <c r="M65" s="16"/>
      <c r="N65" s="16"/>
      <c r="P65" s="449"/>
    </row>
    <row r="66" spans="1:25" s="17" customFormat="1" ht="15" x14ac:dyDescent="0.25">
      <c r="A66" s="11"/>
      <c r="B66" s="69" t="s">
        <v>37</v>
      </c>
      <c r="C66" s="13"/>
      <c r="D66" s="14"/>
      <c r="E66" s="14"/>
      <c r="G66" s="91"/>
      <c r="H66" s="18"/>
      <c r="I66" s="16"/>
      <c r="J66" s="16"/>
      <c r="K66" s="16"/>
      <c r="L66" s="16"/>
      <c r="M66" s="16"/>
      <c r="N66" s="16"/>
      <c r="P66" s="449"/>
    </row>
    <row r="67" spans="1:25" s="17" customFormat="1" ht="15" x14ac:dyDescent="0.25">
      <c r="A67" s="11"/>
      <c r="B67" s="69" t="s">
        <v>45</v>
      </c>
      <c r="C67" s="13"/>
      <c r="D67" s="14"/>
      <c r="E67" s="14"/>
      <c r="G67" s="91"/>
      <c r="H67" s="18"/>
      <c r="I67" s="16"/>
      <c r="J67" s="16"/>
      <c r="K67" s="16"/>
      <c r="L67" s="16"/>
      <c r="M67" s="16"/>
      <c r="N67" s="16"/>
      <c r="P67" s="449"/>
    </row>
    <row r="68" spans="1:25" s="17" customFormat="1" ht="15" x14ac:dyDescent="0.25">
      <c r="A68" s="11"/>
      <c r="B68" s="581" t="s">
        <v>14364</v>
      </c>
      <c r="C68" s="13"/>
      <c r="D68" s="14"/>
      <c r="E68" s="14"/>
      <c r="G68" s="91"/>
      <c r="H68" s="18"/>
      <c r="I68" s="16"/>
      <c r="J68" s="16"/>
      <c r="K68" s="16"/>
      <c r="L68" s="16"/>
      <c r="M68" s="16"/>
      <c r="N68" s="16"/>
      <c r="P68" s="449"/>
    </row>
    <row r="69" spans="1:25" s="17" customFormat="1" ht="6.75" customHeight="1" x14ac:dyDescent="0.25">
      <c r="A69" s="11"/>
      <c r="B69" s="582"/>
      <c r="C69" s="92"/>
      <c r="D69" s="93"/>
      <c r="E69" s="93"/>
      <c r="F69" s="26"/>
      <c r="G69" s="94"/>
      <c r="H69" s="18"/>
      <c r="I69" s="16"/>
      <c r="J69" s="16"/>
      <c r="K69" s="16"/>
      <c r="L69" s="16"/>
      <c r="M69" s="16"/>
      <c r="N69" s="16"/>
      <c r="P69" s="449"/>
    </row>
    <row r="70" spans="1:25" s="17" customFormat="1" ht="15" x14ac:dyDescent="0.25">
      <c r="A70" s="11"/>
      <c r="B70" s="55"/>
      <c r="C70" s="13"/>
      <c r="D70" s="14"/>
      <c r="E70" s="14"/>
      <c r="G70" s="14"/>
      <c r="H70" s="15"/>
      <c r="I70" s="95"/>
      <c r="J70" s="95"/>
      <c r="K70" s="16"/>
      <c r="L70" s="16"/>
      <c r="M70" s="16"/>
      <c r="N70" s="16"/>
      <c r="P70" s="449"/>
      <c r="T70" s="96"/>
      <c r="U70" s="96"/>
    </row>
    <row r="71" spans="1:25" s="17" customFormat="1" ht="15.75" x14ac:dyDescent="0.25">
      <c r="A71" s="580">
        <v>5</v>
      </c>
      <c r="B71" s="97" t="s">
        <v>10549</v>
      </c>
      <c r="C71" s="45"/>
      <c r="D71" s="45"/>
      <c r="E71" s="45"/>
      <c r="F71" s="45"/>
      <c r="G71" s="46"/>
      <c r="H71" s="13"/>
      <c r="P71" s="449"/>
      <c r="T71" s="96"/>
      <c r="U71" s="96"/>
    </row>
    <row r="72" spans="1:25" s="17" customFormat="1" ht="15" x14ac:dyDescent="0.25">
      <c r="A72" s="559"/>
      <c r="B72" s="560" t="str">
        <f>IFERROR(IF(B80="","Average weekly net rent (£ per week) and units for England - large PRPs","Average weekly net rent (£ per week) and units for "&amp;$V$72&amp;" - large PRPs"),"")</f>
        <v>Average weekly net rent (£ per week) and units for England - large PRPs</v>
      </c>
      <c r="C72" s="561"/>
      <c r="D72" s="561"/>
      <c r="E72" s="561"/>
      <c r="F72" s="561"/>
      <c r="G72" s="562"/>
      <c r="H72" s="13"/>
      <c r="P72" s="449"/>
      <c r="T72" s="96"/>
      <c r="U72" s="96"/>
      <c r="V72" s="96" t="e">
        <f>IF(B79="",S75,S74)</f>
        <v>#N/A</v>
      </c>
      <c r="W72" s="96"/>
    </row>
    <row r="73" spans="1:25" s="17" customFormat="1" ht="15" x14ac:dyDescent="0.25">
      <c r="A73" s="11"/>
      <c r="B73" s="563"/>
      <c r="C73" s="561"/>
      <c r="D73" s="561"/>
      <c r="E73" s="561"/>
      <c r="F73" s="561"/>
      <c r="G73" s="562"/>
      <c r="H73" s="13"/>
      <c r="P73" s="451"/>
      <c r="Q73" s="31"/>
      <c r="T73" s="96"/>
      <c r="U73" s="96"/>
      <c r="V73" s="96"/>
      <c r="W73" s="96"/>
      <c r="X73" s="31"/>
      <c r="Y73" s="31"/>
    </row>
    <row r="74" spans="1:25" s="17" customFormat="1" ht="12.75" customHeight="1" x14ac:dyDescent="0.25">
      <c r="A74" s="11"/>
      <c r="B74" s="563"/>
      <c r="C74" s="561"/>
      <c r="D74" s="561"/>
      <c r="E74" s="561"/>
      <c r="F74" s="561"/>
      <c r="G74" s="562"/>
      <c r="P74" s="449"/>
      <c r="R74" s="96"/>
      <c r="S74" s="96" t="e">
        <f>S81&amp;", "&amp;S82&amp;" and England"</f>
        <v>#N/A</v>
      </c>
      <c r="T74" s="96"/>
      <c r="U74" s="96"/>
      <c r="V74" s="96"/>
      <c r="W74" s="96"/>
    </row>
    <row r="75" spans="1:25" s="17" customFormat="1" ht="12.75" customHeight="1" x14ac:dyDescent="0.25">
      <c r="A75" s="11"/>
      <c r="B75" s="564"/>
      <c r="C75" s="565"/>
      <c r="D75" s="565"/>
      <c r="E75" s="565"/>
      <c r="F75" s="565"/>
      <c r="G75" s="566"/>
      <c r="H75" s="13"/>
      <c r="P75" s="449"/>
      <c r="R75" s="96"/>
      <c r="S75" s="96" t="e">
        <f>S82&amp;" and England"</f>
        <v>#N/A</v>
      </c>
      <c r="T75" s="96"/>
      <c r="U75" s="96"/>
      <c r="V75" s="96"/>
      <c r="W75" s="96"/>
    </row>
    <row r="76" spans="1:25" s="17" customFormat="1" ht="15" x14ac:dyDescent="0.25">
      <c r="A76" s="11"/>
      <c r="B76" s="60"/>
      <c r="C76" s="533" t="s">
        <v>41</v>
      </c>
      <c r="E76" s="98"/>
      <c r="F76" s="99"/>
      <c r="G76" s="100"/>
      <c r="H76" s="13"/>
      <c r="P76" s="449"/>
      <c r="R76" s="96"/>
      <c r="S76" s="96" t="str">
        <f>S83</f>
        <v>England</v>
      </c>
      <c r="T76" s="96"/>
      <c r="U76" s="96"/>
      <c r="V76" s="96"/>
      <c r="W76" s="96"/>
    </row>
    <row r="77" spans="1:25" s="217" customFormat="1" ht="14.45" customHeight="1" x14ac:dyDescent="0.2">
      <c r="A77" s="11"/>
      <c r="B77" s="101" t="e">
        <f>"Average weekly NET RENT (£ per week) for "&amp;$E$3&amp;", "&amp;$K$3&amp; " and England - Large PRPs"</f>
        <v>#N/A</v>
      </c>
      <c r="C77" s="102" t="s">
        <v>46</v>
      </c>
      <c r="D77" s="103" t="s">
        <v>10531</v>
      </c>
      <c r="E77" s="104" t="s">
        <v>47</v>
      </c>
      <c r="F77" s="102" t="s">
        <v>48</v>
      </c>
      <c r="G77" s="105" t="s">
        <v>49</v>
      </c>
      <c r="H77" s="13"/>
      <c r="P77" s="450"/>
      <c r="R77" s="96"/>
      <c r="S77" s="96"/>
      <c r="T77" s="96"/>
      <c r="U77" s="96"/>
      <c r="V77" s="96"/>
      <c r="W77" s="96"/>
    </row>
    <row r="78" spans="1:25" s="217" customFormat="1" ht="14.45" customHeight="1" x14ac:dyDescent="0.2">
      <c r="A78" s="11"/>
      <c r="B78" s="106" t="s">
        <v>12</v>
      </c>
      <c r="C78" s="107" t="s">
        <v>50</v>
      </c>
      <c r="D78" s="108" t="s">
        <v>50</v>
      </c>
      <c r="E78" s="108" t="s">
        <v>51</v>
      </c>
      <c r="F78" s="109" t="s">
        <v>52</v>
      </c>
      <c r="G78" s="110" t="s">
        <v>53</v>
      </c>
      <c r="H78" s="13"/>
      <c r="P78" s="450"/>
      <c r="R78" s="96"/>
      <c r="S78" s="96"/>
      <c r="T78" s="96"/>
      <c r="U78" s="96"/>
      <c r="V78" s="96"/>
      <c r="W78" s="96"/>
    </row>
    <row r="79" spans="1:25" s="217" customFormat="1" ht="14.45" customHeight="1" x14ac:dyDescent="0.2">
      <c r="A79" s="11"/>
      <c r="B79" s="111" t="str">
        <f>IFERROR(S81,"")</f>
        <v/>
      </c>
      <c r="C79" s="499" t="str">
        <f>IF($B$79="","",VLOOKUP($E$3,LA_Data,26,0))</f>
        <v/>
      </c>
      <c r="D79" s="512" t="str">
        <f>IF($B$79="","",VLOOKUP($E$3,LA_Data,27,0))</f>
        <v/>
      </c>
      <c r="E79" s="512" t="str">
        <f>IF($B$79="","",VLOOKUP($E$3,LA_Data,28,0))</f>
        <v/>
      </c>
      <c r="F79" s="512" t="str">
        <f>IF($B$79="","",VLOOKUP($E$3,LA_Data,29,0))</f>
        <v/>
      </c>
      <c r="G79" s="485" t="str">
        <f>IF($B$79="","",VLOOKUP($E$3,LA_Data,30,0))</f>
        <v/>
      </c>
      <c r="H79" s="13"/>
      <c r="I79" s="12"/>
      <c r="J79" s="12"/>
      <c r="L79" s="349"/>
      <c r="M79" s="349"/>
      <c r="N79" s="349"/>
      <c r="O79" s="349"/>
      <c r="P79" s="450"/>
      <c r="R79" s="96"/>
      <c r="S79" s="96"/>
      <c r="T79" s="96"/>
      <c r="U79" s="96"/>
      <c r="V79" s="96"/>
      <c r="W79" s="96"/>
    </row>
    <row r="80" spans="1:25" s="217" customFormat="1" ht="14.45" customHeight="1" x14ac:dyDescent="0.2">
      <c r="A80" s="11"/>
      <c r="B80" s="113" t="str">
        <f>IFERROR(S82,"")</f>
        <v/>
      </c>
      <c r="C80" s="500" t="str">
        <f>IF($B$80="","",VLOOKUP($B$18,LA_Data,26,0))</f>
        <v/>
      </c>
      <c r="D80" s="506" t="str">
        <f>IF($B$80="","",VLOOKUP($B$18,LA_Data,27,0))</f>
        <v/>
      </c>
      <c r="E80" s="506" t="str">
        <f>IF($B$80="","",VLOOKUP($B$18,LA_Data,28,0))</f>
        <v/>
      </c>
      <c r="F80" s="506" t="str">
        <f>IF($B$80="","",VLOOKUP($B$18,LA_Data,29,0))</f>
        <v/>
      </c>
      <c r="G80" s="486" t="str">
        <f>IF($B$80="","",VLOOKUP($B$18,LA_Data,30,0))</f>
        <v/>
      </c>
      <c r="H80" s="13"/>
      <c r="I80" s="16"/>
      <c r="J80" s="16"/>
      <c r="K80" s="16"/>
      <c r="L80" s="16"/>
      <c r="M80" s="16"/>
      <c r="N80" s="16"/>
      <c r="P80" s="450"/>
      <c r="R80" s="96"/>
      <c r="S80" s="96"/>
      <c r="T80" s="96"/>
      <c r="U80" s="96"/>
      <c r="V80" s="96"/>
      <c r="W80" s="96"/>
    </row>
    <row r="81" spans="1:25" s="217" customFormat="1" ht="14.45" customHeight="1" x14ac:dyDescent="0.2">
      <c r="A81" s="11"/>
      <c r="B81" s="115" t="s">
        <v>6</v>
      </c>
      <c r="C81" s="513">
        <f>IF($B$19="","",VLOOKUP($B$19,LA_Data,26,0))</f>
        <v>109.44</v>
      </c>
      <c r="D81" s="514">
        <f>IF($B$19="","",VLOOKUP($B$19,LA_Data,27,0))</f>
        <v>112.11</v>
      </c>
      <c r="E81" s="514">
        <f>IF($B$19="","",VLOOKUP($B$19,LA_Data,28,0))</f>
        <v>9.0299999999999994</v>
      </c>
      <c r="F81" s="514">
        <f>IF($B$19="","",VLOOKUP($B$19,LA_Data,29,0))</f>
        <v>115.05</v>
      </c>
      <c r="G81" s="487">
        <f>IF($B$19="","",VLOOKUP($B$19,LA_Data,30,0))</f>
        <v>1832433</v>
      </c>
      <c r="H81" s="13"/>
      <c r="I81" s="16"/>
      <c r="J81" s="16"/>
      <c r="K81" s="16"/>
      <c r="L81" s="16"/>
      <c r="M81" s="16"/>
      <c r="N81" s="16"/>
      <c r="P81" s="450"/>
      <c r="R81" s="96">
        <f>$E$3</f>
        <v>0</v>
      </c>
      <c r="S81" s="96" t="e">
        <f>IF(R81=R82,"",R81)</f>
        <v>#N/A</v>
      </c>
      <c r="T81" s="96"/>
      <c r="U81" s="96"/>
      <c r="V81" s="96"/>
      <c r="W81" s="96"/>
    </row>
    <row r="82" spans="1:25" s="17" customFormat="1" ht="15" x14ac:dyDescent="0.25">
      <c r="A82" s="11"/>
      <c r="B82" s="116"/>
      <c r="C82" s="117"/>
      <c r="D82" s="117"/>
      <c r="E82" s="117"/>
      <c r="F82" s="117"/>
      <c r="G82" s="118"/>
      <c r="H82" s="13"/>
      <c r="I82" s="16"/>
      <c r="J82" s="16"/>
      <c r="K82" s="16"/>
      <c r="L82" s="16"/>
      <c r="M82" s="16"/>
      <c r="N82" s="16"/>
      <c r="P82" s="449"/>
      <c r="R82" s="96" t="e">
        <f>$K$3</f>
        <v>#N/A</v>
      </c>
      <c r="S82" s="96" t="e">
        <f>IF(R82=R83,"",R82)</f>
        <v>#N/A</v>
      </c>
      <c r="T82" s="96"/>
      <c r="U82" s="96"/>
      <c r="V82" s="96"/>
      <c r="W82" s="96"/>
    </row>
    <row r="83" spans="1:25" s="17" customFormat="1" ht="15" x14ac:dyDescent="0.25">
      <c r="A83" s="11"/>
      <c r="B83" s="116"/>
      <c r="C83" s="117"/>
      <c r="D83" s="117"/>
      <c r="E83" s="117"/>
      <c r="F83" s="117"/>
      <c r="G83" s="118"/>
      <c r="H83" s="13"/>
      <c r="I83" s="16"/>
      <c r="J83" s="16"/>
      <c r="K83" s="16"/>
      <c r="L83" s="16"/>
      <c r="M83" s="16"/>
      <c r="N83" s="16"/>
      <c r="P83" s="449"/>
      <c r="R83" s="96" t="s">
        <v>6</v>
      </c>
      <c r="S83" s="96" t="s">
        <v>6</v>
      </c>
      <c r="T83" s="96"/>
      <c r="U83" s="96"/>
      <c r="V83" s="96"/>
      <c r="W83" s="96"/>
    </row>
    <row r="84" spans="1:25" s="17" customFormat="1" ht="15" x14ac:dyDescent="0.25">
      <c r="A84" s="11"/>
      <c r="B84" s="116"/>
      <c r="C84" s="117"/>
      <c r="D84" s="117"/>
      <c r="E84" s="117"/>
      <c r="F84" s="117"/>
      <c r="G84" s="118"/>
      <c r="H84" s="13"/>
      <c r="I84" s="16"/>
      <c r="J84" s="16"/>
      <c r="K84" s="16"/>
      <c r="L84" s="16"/>
      <c r="M84" s="16"/>
      <c r="N84" s="16"/>
      <c r="P84" s="449"/>
      <c r="R84" s="96"/>
      <c r="S84" s="96"/>
      <c r="T84" s="96"/>
      <c r="U84" s="96"/>
      <c r="V84" s="96"/>
      <c r="W84" s="96"/>
    </row>
    <row r="85" spans="1:25" s="17" customFormat="1" ht="15" x14ac:dyDescent="0.25">
      <c r="A85" s="11"/>
      <c r="B85" s="116"/>
      <c r="C85" s="117"/>
      <c r="D85" s="117"/>
      <c r="E85" s="117"/>
      <c r="F85" s="117"/>
      <c r="G85" s="118"/>
      <c r="H85" s="13"/>
      <c r="I85" s="16"/>
      <c r="J85" s="16"/>
      <c r="K85" s="16"/>
      <c r="L85" s="16"/>
      <c r="M85" s="16"/>
      <c r="N85" s="16"/>
      <c r="P85" s="449"/>
      <c r="R85" s="96"/>
      <c r="S85" s="96"/>
      <c r="T85" s="96"/>
      <c r="U85" s="96"/>
      <c r="V85" s="96"/>
      <c r="W85" s="96"/>
    </row>
    <row r="86" spans="1:25" s="17" customFormat="1" ht="15" x14ac:dyDescent="0.25">
      <c r="A86" s="11"/>
      <c r="B86" s="116"/>
      <c r="C86" s="117"/>
      <c r="D86" s="117"/>
      <c r="E86" s="117"/>
      <c r="F86" s="117"/>
      <c r="G86" s="118"/>
      <c r="H86" s="13"/>
      <c r="I86" s="16"/>
      <c r="J86" s="16"/>
      <c r="K86" s="16"/>
      <c r="L86" s="16"/>
      <c r="M86" s="16"/>
      <c r="N86" s="16"/>
      <c r="P86" s="449"/>
      <c r="R86" s="96"/>
      <c r="S86" s="96"/>
      <c r="T86" s="96"/>
      <c r="U86" s="96"/>
      <c r="V86" s="96"/>
      <c r="W86" s="96"/>
    </row>
    <row r="87" spans="1:25" s="17" customFormat="1" ht="15" x14ac:dyDescent="0.25">
      <c r="A87" s="11"/>
      <c r="B87" s="119" t="s">
        <v>54</v>
      </c>
      <c r="G87" s="66"/>
      <c r="H87" s="13"/>
      <c r="I87" s="16"/>
      <c r="J87" s="16"/>
      <c r="K87" s="16"/>
      <c r="L87" s="16"/>
      <c r="M87" s="16"/>
      <c r="N87" s="16"/>
      <c r="P87" s="449"/>
      <c r="R87" s="96"/>
      <c r="S87" s="96"/>
      <c r="T87" s="96"/>
      <c r="U87" s="96"/>
      <c r="V87" s="96"/>
      <c r="W87" s="96"/>
    </row>
    <row r="88" spans="1:25" s="17" customFormat="1" ht="12.75" customHeight="1" x14ac:dyDescent="0.25">
      <c r="A88" s="11"/>
      <c r="B88" s="456" t="s">
        <v>10540</v>
      </c>
      <c r="C88" s="120"/>
      <c r="G88" s="66"/>
      <c r="H88" s="13"/>
      <c r="I88" s="16"/>
      <c r="J88" s="16"/>
      <c r="K88" s="16"/>
      <c r="L88" s="16"/>
      <c r="M88" s="16"/>
      <c r="N88" s="16"/>
      <c r="P88" s="449"/>
      <c r="R88" s="96"/>
      <c r="S88" s="96"/>
      <c r="T88" s="96"/>
      <c r="U88" s="96"/>
      <c r="V88" s="96"/>
      <c r="W88" s="96"/>
    </row>
    <row r="89" spans="1:25" s="17" customFormat="1" ht="15" x14ac:dyDescent="0.25">
      <c r="A89" s="11"/>
      <c r="B89" s="569" t="s">
        <v>55</v>
      </c>
      <c r="C89" s="577"/>
      <c r="D89" s="577"/>
      <c r="E89" s="577"/>
      <c r="F89" s="577"/>
      <c r="G89" s="578"/>
      <c r="H89" s="13"/>
      <c r="I89" s="16"/>
      <c r="J89" s="16"/>
      <c r="K89" s="16"/>
      <c r="L89" s="16"/>
      <c r="M89" s="16"/>
      <c r="N89" s="16"/>
      <c r="P89" s="449"/>
      <c r="R89" s="96"/>
      <c r="S89" s="96"/>
      <c r="T89" s="96"/>
      <c r="U89" s="96"/>
      <c r="V89" s="96"/>
      <c r="W89" s="96"/>
    </row>
    <row r="90" spans="1:25" s="17" customFormat="1" ht="15" x14ac:dyDescent="0.25">
      <c r="A90" s="11"/>
      <c r="B90" s="579"/>
      <c r="C90" s="577"/>
      <c r="D90" s="577"/>
      <c r="E90" s="577"/>
      <c r="F90" s="577"/>
      <c r="G90" s="578"/>
      <c r="H90" s="13"/>
      <c r="I90" s="16"/>
      <c r="J90" s="16"/>
      <c r="K90" s="16"/>
      <c r="L90" s="16"/>
      <c r="M90" s="16"/>
      <c r="N90" s="16"/>
      <c r="P90" s="449"/>
      <c r="R90" s="96"/>
      <c r="S90" s="96"/>
      <c r="T90" s="96"/>
      <c r="U90" s="96"/>
      <c r="V90" s="96"/>
      <c r="W90" s="96"/>
    </row>
    <row r="91" spans="1:25" s="17" customFormat="1" ht="15" x14ac:dyDescent="0.25">
      <c r="A91" s="11"/>
      <c r="B91" s="579"/>
      <c r="C91" s="577"/>
      <c r="D91" s="577"/>
      <c r="E91" s="577"/>
      <c r="F91" s="577"/>
      <c r="G91" s="578"/>
      <c r="H91" s="13"/>
      <c r="I91" s="16"/>
      <c r="J91" s="16"/>
      <c r="K91" s="16"/>
      <c r="L91" s="16"/>
      <c r="M91" s="16"/>
      <c r="N91" s="16"/>
      <c r="P91" s="449"/>
      <c r="R91" s="96"/>
      <c r="S91" s="96"/>
      <c r="T91" s="96"/>
      <c r="U91" s="96"/>
      <c r="V91" s="96"/>
      <c r="W91" s="96"/>
    </row>
    <row r="92" spans="1:25" s="17" customFormat="1" ht="15" x14ac:dyDescent="0.25">
      <c r="A92" s="11"/>
      <c r="B92" s="121" t="s">
        <v>14364</v>
      </c>
      <c r="C92" s="26"/>
      <c r="D92" s="26"/>
      <c r="E92" s="26"/>
      <c r="F92" s="26"/>
      <c r="G92" s="72"/>
      <c r="H92" s="13"/>
      <c r="I92" s="16"/>
      <c r="J92" s="16"/>
      <c r="K92" s="16"/>
      <c r="L92" s="16"/>
      <c r="M92" s="16"/>
      <c r="N92" s="16"/>
      <c r="P92" s="449"/>
      <c r="R92" s="96"/>
      <c r="S92" s="96"/>
      <c r="T92" s="96"/>
      <c r="U92" s="96"/>
      <c r="V92" s="96"/>
      <c r="W92" s="96"/>
    </row>
    <row r="93" spans="1:25" s="17" customFormat="1" ht="15" x14ac:dyDescent="0.25">
      <c r="A93" s="11"/>
      <c r="H93" s="13"/>
      <c r="I93" s="95"/>
      <c r="J93" s="95"/>
      <c r="K93" s="16"/>
      <c r="L93" s="16"/>
      <c r="M93" s="16"/>
      <c r="N93" s="16"/>
      <c r="P93" s="449"/>
      <c r="R93" s="96"/>
      <c r="S93" s="96"/>
      <c r="T93" s="96"/>
      <c r="U93" s="96"/>
      <c r="V93" s="96"/>
      <c r="W93" s="96"/>
    </row>
    <row r="94" spans="1:25" s="17" customFormat="1" ht="15.75" x14ac:dyDescent="0.25">
      <c r="A94" s="580">
        <v>6</v>
      </c>
      <c r="B94" s="97" t="s">
        <v>10550</v>
      </c>
      <c r="C94" s="45"/>
      <c r="D94" s="45"/>
      <c r="E94" s="45"/>
      <c r="F94" s="45"/>
      <c r="G94" s="46"/>
      <c r="H94" s="13"/>
      <c r="I94" s="16"/>
      <c r="J94" s="16"/>
      <c r="K94" s="16"/>
      <c r="L94" s="16"/>
      <c r="M94" s="16"/>
      <c r="N94" s="16"/>
      <c r="P94" s="449"/>
      <c r="R94" s="96"/>
      <c r="S94" s="96"/>
      <c r="T94" s="96"/>
      <c r="U94" s="96"/>
      <c r="V94" s="96"/>
      <c r="W94" s="96"/>
    </row>
    <row r="95" spans="1:25" s="17" customFormat="1" ht="12.75" customHeight="1" x14ac:dyDescent="0.25">
      <c r="A95" s="559"/>
      <c r="B95" s="560" t="str">
        <f>IFERROR(IF(B103="","Average weekly net rent (£ per week) and units for England - large PRPs","Average weekly net rent (£ per week) and units for "&amp;$V$72&amp;" - large PRPs"),"")</f>
        <v>Average weekly net rent (£ per week) and units for England - large PRPs</v>
      </c>
      <c r="C95" s="561"/>
      <c r="D95" s="561"/>
      <c r="E95" s="561"/>
      <c r="F95" s="561"/>
      <c r="G95" s="562"/>
      <c r="H95" s="13"/>
      <c r="I95" s="16"/>
      <c r="J95" s="16"/>
      <c r="K95" s="16"/>
      <c r="L95" s="16"/>
      <c r="M95" s="16"/>
      <c r="N95" s="16"/>
      <c r="P95" s="449"/>
      <c r="R95" s="96"/>
      <c r="S95" s="96"/>
      <c r="T95" s="96"/>
      <c r="U95" s="96"/>
      <c r="V95" s="96" t="e">
        <f>IF(B102="",S98,S97)</f>
        <v>#N/A</v>
      </c>
      <c r="W95" s="96"/>
    </row>
    <row r="96" spans="1:25" s="17" customFormat="1" ht="15" x14ac:dyDescent="0.25">
      <c r="A96" s="20"/>
      <c r="B96" s="563"/>
      <c r="C96" s="561"/>
      <c r="D96" s="561"/>
      <c r="E96" s="561"/>
      <c r="F96" s="561"/>
      <c r="G96" s="562"/>
      <c r="I96" s="16"/>
      <c r="J96" s="16"/>
      <c r="K96" s="16"/>
      <c r="L96" s="16"/>
      <c r="M96" s="16"/>
      <c r="N96" s="16"/>
      <c r="P96" s="451"/>
      <c r="Q96" s="31"/>
      <c r="R96" s="96"/>
      <c r="S96" s="96"/>
      <c r="T96" s="96"/>
      <c r="U96" s="96"/>
      <c r="V96" s="96"/>
      <c r="W96" s="96"/>
      <c r="X96" s="31"/>
      <c r="Y96" s="31"/>
    </row>
    <row r="97" spans="1:23" s="17" customFormat="1" ht="15" x14ac:dyDescent="0.25">
      <c r="A97" s="20"/>
      <c r="B97" s="563"/>
      <c r="C97" s="561"/>
      <c r="D97" s="561"/>
      <c r="E97" s="561"/>
      <c r="F97" s="561"/>
      <c r="G97" s="562"/>
      <c r="H97" s="13"/>
      <c r="I97" s="16"/>
      <c r="J97" s="16"/>
      <c r="K97" s="16"/>
      <c r="L97" s="16"/>
      <c r="M97" s="16"/>
      <c r="N97" s="16"/>
      <c r="P97" s="449"/>
      <c r="R97" s="96"/>
      <c r="S97" s="96" t="e">
        <f>S104&amp;", "&amp;S105&amp;" and England"</f>
        <v>#N/A</v>
      </c>
      <c r="T97" s="96"/>
      <c r="U97" s="96"/>
      <c r="V97" s="96"/>
      <c r="W97" s="96"/>
    </row>
    <row r="98" spans="1:23" s="17" customFormat="1" ht="15" x14ac:dyDescent="0.25">
      <c r="A98" s="11"/>
      <c r="B98" s="564"/>
      <c r="C98" s="565"/>
      <c r="D98" s="565"/>
      <c r="E98" s="565"/>
      <c r="F98" s="565"/>
      <c r="G98" s="566"/>
      <c r="H98" s="13"/>
      <c r="I98" s="16"/>
      <c r="J98" s="16"/>
      <c r="K98" s="16"/>
      <c r="L98" s="16"/>
      <c r="M98" s="16"/>
      <c r="N98" s="16"/>
      <c r="P98" s="449"/>
      <c r="R98" s="96"/>
      <c r="S98" s="96" t="e">
        <f>S105&amp;" and England"</f>
        <v>#N/A</v>
      </c>
      <c r="T98" s="96"/>
      <c r="U98" s="96"/>
      <c r="V98" s="96"/>
      <c r="W98" s="96"/>
    </row>
    <row r="99" spans="1:23" s="17" customFormat="1" ht="15" x14ac:dyDescent="0.25">
      <c r="A99" s="11"/>
      <c r="B99" s="60"/>
      <c r="C99" s="533" t="s">
        <v>41</v>
      </c>
      <c r="D99" s="122"/>
      <c r="E99" s="122"/>
      <c r="F99" s="123"/>
      <c r="G99" s="66"/>
      <c r="H99" s="13"/>
      <c r="I99" s="16"/>
      <c r="J99" s="16"/>
      <c r="K99" s="16"/>
      <c r="L99" s="16"/>
      <c r="M99" s="16"/>
      <c r="N99" s="16"/>
      <c r="P99" s="449"/>
      <c r="R99" s="96"/>
      <c r="S99" s="96" t="str">
        <f>S106</f>
        <v>England</v>
      </c>
      <c r="T99" s="96"/>
      <c r="U99" s="96"/>
      <c r="V99" s="96"/>
      <c r="W99" s="96"/>
    </row>
    <row r="100" spans="1:23" s="217" customFormat="1" ht="14.45" customHeight="1" x14ac:dyDescent="0.2">
      <c r="A100" s="11"/>
      <c r="B100" s="101" t="e">
        <f>"Average weekly NET RENT (£ per week) for "&amp;$E$3&amp;", "&amp;$K$3&amp; " and England - Large PRPs"</f>
        <v>#N/A</v>
      </c>
      <c r="C100" s="102" t="s">
        <v>46</v>
      </c>
      <c r="D100" s="103" t="s">
        <v>10531</v>
      </c>
      <c r="E100" s="104" t="s">
        <v>47</v>
      </c>
      <c r="F100" s="102" t="s">
        <v>48</v>
      </c>
      <c r="G100" s="124" t="s">
        <v>49</v>
      </c>
      <c r="H100" s="13"/>
      <c r="I100" s="16"/>
      <c r="J100" s="16"/>
      <c r="K100" s="16"/>
      <c r="L100" s="16"/>
      <c r="M100" s="16"/>
      <c r="N100" s="16"/>
      <c r="P100" s="450"/>
      <c r="R100" s="96"/>
      <c r="S100" s="96"/>
      <c r="T100" s="96"/>
      <c r="U100" s="96"/>
      <c r="V100" s="96"/>
      <c r="W100" s="96"/>
    </row>
    <row r="101" spans="1:23" s="217" customFormat="1" ht="14.45" customHeight="1" x14ac:dyDescent="0.2">
      <c r="A101" s="11"/>
      <c r="B101" s="125" t="s">
        <v>56</v>
      </c>
      <c r="C101" s="107" t="s">
        <v>50</v>
      </c>
      <c r="D101" s="108" t="s">
        <v>50</v>
      </c>
      <c r="E101" s="108" t="s">
        <v>51</v>
      </c>
      <c r="F101" s="109" t="s">
        <v>52</v>
      </c>
      <c r="G101" s="110" t="s">
        <v>53</v>
      </c>
      <c r="H101" s="13"/>
      <c r="I101" s="16"/>
      <c r="J101" s="16"/>
      <c r="K101" s="16"/>
      <c r="L101" s="16"/>
      <c r="M101" s="16"/>
      <c r="N101" s="16"/>
      <c r="P101" s="450"/>
      <c r="R101" s="96"/>
      <c r="S101" s="96"/>
      <c r="T101" s="96"/>
      <c r="U101" s="96"/>
      <c r="V101" s="96"/>
      <c r="W101" s="96"/>
    </row>
    <row r="102" spans="1:23" s="217" customFormat="1" ht="14.45" customHeight="1" x14ac:dyDescent="0.2">
      <c r="A102" s="11"/>
      <c r="B102" s="111" t="str">
        <f>IFERROR(S104,"")</f>
        <v/>
      </c>
      <c r="C102" s="499" t="str">
        <f>IF($B$79="","",VLOOKUP($E$3,LA_Data,31,0))</f>
        <v/>
      </c>
      <c r="D102" s="512" t="str">
        <f>IF($B$79="","",VLOOKUP($E$3,LA_Data,32,0))</f>
        <v/>
      </c>
      <c r="E102" s="512" t="str">
        <f>IF($B$79="","",VLOOKUP($E$3,LA_Data,33,0))</f>
        <v/>
      </c>
      <c r="F102" s="512" t="str">
        <f>IF($B$79="","",VLOOKUP($E$3,LA_Data,34,0))</f>
        <v/>
      </c>
      <c r="G102" s="485" t="str">
        <f>IF($B$79="","",VLOOKUP($E$3,LA_Data,35,0))</f>
        <v/>
      </c>
      <c r="H102" s="13"/>
      <c r="I102" s="16"/>
      <c r="J102" s="16"/>
      <c r="K102" s="16"/>
      <c r="L102" s="16"/>
      <c r="M102" s="16"/>
      <c r="N102" s="16"/>
      <c r="P102" s="450"/>
      <c r="R102" s="96"/>
      <c r="S102" s="96"/>
      <c r="T102" s="96"/>
      <c r="U102" s="96"/>
      <c r="V102" s="96"/>
      <c r="W102" s="96"/>
    </row>
    <row r="103" spans="1:23" s="217" customFormat="1" ht="14.45" customHeight="1" x14ac:dyDescent="0.2">
      <c r="A103" s="11"/>
      <c r="B103" s="113" t="str">
        <f>IFERROR(S105,"")</f>
        <v/>
      </c>
      <c r="C103" s="500" t="str">
        <f>IF($B$80="","",VLOOKUP($B$18,LA_Data,31,0))</f>
        <v/>
      </c>
      <c r="D103" s="506" t="str">
        <f>IF($B$80="","",VLOOKUP($B$18,LA_Data,32,0))</f>
        <v/>
      </c>
      <c r="E103" s="506" t="str">
        <f>IF($B$80="","",VLOOKUP($B$18,LA_Data,33,0))</f>
        <v/>
      </c>
      <c r="F103" s="506" t="str">
        <f>IF($B$80="","",VLOOKUP($B$18,LA_Data,34,0))</f>
        <v/>
      </c>
      <c r="G103" s="486" t="str">
        <f>IF($B$80="","",VLOOKUP($B$18,LA_Data,35,0))</f>
        <v/>
      </c>
      <c r="H103" s="13"/>
      <c r="I103" s="16"/>
      <c r="J103" s="16"/>
      <c r="K103" s="16"/>
      <c r="L103" s="16"/>
      <c r="M103" s="16"/>
      <c r="N103" s="16"/>
      <c r="P103" s="450"/>
      <c r="R103" s="96"/>
      <c r="S103" s="96"/>
      <c r="T103" s="96"/>
      <c r="U103" s="96"/>
      <c r="V103" s="96"/>
      <c r="W103" s="96"/>
    </row>
    <row r="104" spans="1:23" s="217" customFormat="1" ht="14.45" customHeight="1" x14ac:dyDescent="0.2">
      <c r="A104" s="11"/>
      <c r="B104" s="115" t="s">
        <v>6</v>
      </c>
      <c r="C104" s="513">
        <f>IF($B$19="","",VLOOKUP($B$19,LA_Data,31,0))</f>
        <v>109.83</v>
      </c>
      <c r="D104" s="514">
        <f>IF($B$19="","",VLOOKUP($B$19,LA_Data,32,0))</f>
        <v>99.66</v>
      </c>
      <c r="E104" s="514">
        <f>IF($B$19="","",VLOOKUP($B$19,LA_Data,33,0))</f>
        <v>56.69</v>
      </c>
      <c r="F104" s="514">
        <f>IF($B$19="","",VLOOKUP($B$19,LA_Data,34,0))</f>
        <v>163.87</v>
      </c>
      <c r="G104" s="488">
        <f>IF($B$19="","",VLOOKUP($B$19,LA_Data,35,0))</f>
        <v>331761</v>
      </c>
      <c r="H104" s="13"/>
      <c r="I104" s="16"/>
      <c r="J104" s="16"/>
      <c r="K104" s="16"/>
      <c r="L104" s="16"/>
      <c r="M104" s="16"/>
      <c r="N104" s="16"/>
      <c r="P104" s="450"/>
      <c r="R104" s="96">
        <f>$E$3</f>
        <v>0</v>
      </c>
      <c r="S104" s="96" t="e">
        <f>IF(R104=R105,"",R104)</f>
        <v>#N/A</v>
      </c>
      <c r="T104" s="96"/>
      <c r="U104" s="96"/>
      <c r="V104" s="96"/>
      <c r="W104" s="96"/>
    </row>
    <row r="105" spans="1:23" s="17" customFormat="1" ht="14.45" customHeight="1" x14ac:dyDescent="0.25">
      <c r="A105" s="11"/>
      <c r="B105" s="126"/>
      <c r="C105" s="53"/>
      <c r="D105" s="53"/>
      <c r="E105" s="53"/>
      <c r="F105" s="53"/>
      <c r="G105" s="127"/>
      <c r="H105" s="13"/>
      <c r="I105" s="16"/>
      <c r="J105" s="16"/>
      <c r="K105" s="16"/>
      <c r="L105" s="16"/>
      <c r="M105" s="16"/>
      <c r="N105" s="16"/>
      <c r="P105" s="449"/>
      <c r="R105" s="96" t="e">
        <f>$K$3</f>
        <v>#N/A</v>
      </c>
      <c r="S105" s="96" t="e">
        <f>IF(R105=R106,"",R105)</f>
        <v>#N/A</v>
      </c>
      <c r="T105" s="96"/>
      <c r="U105" s="96"/>
      <c r="V105" s="96"/>
      <c r="W105" s="96"/>
    </row>
    <row r="106" spans="1:23" s="17" customFormat="1" ht="14.45" customHeight="1" x14ac:dyDescent="0.25">
      <c r="A106" s="11"/>
      <c r="B106" s="60"/>
      <c r="G106" s="66"/>
      <c r="H106" s="13"/>
      <c r="I106" s="16"/>
      <c r="J106" s="16"/>
      <c r="K106" s="16"/>
      <c r="L106" s="16"/>
      <c r="M106" s="16"/>
      <c r="N106" s="16"/>
      <c r="P106" s="449"/>
      <c r="R106" s="96" t="s">
        <v>6</v>
      </c>
      <c r="S106" s="96" t="s">
        <v>6</v>
      </c>
      <c r="T106" s="96"/>
      <c r="U106" s="96"/>
      <c r="V106" s="96"/>
      <c r="W106" s="96"/>
    </row>
    <row r="107" spans="1:23" s="17" customFormat="1" ht="14.45" customHeight="1" x14ac:dyDescent="0.25">
      <c r="A107" s="11"/>
      <c r="B107" s="60"/>
      <c r="G107" s="66"/>
      <c r="H107" s="13"/>
      <c r="I107" s="16"/>
      <c r="J107" s="16"/>
      <c r="K107" s="16"/>
      <c r="L107" s="16"/>
      <c r="M107" s="16"/>
      <c r="N107" s="16"/>
      <c r="P107" s="449"/>
      <c r="R107" s="96"/>
      <c r="S107" s="96"/>
      <c r="T107" s="96"/>
      <c r="U107" s="96"/>
      <c r="V107" s="96"/>
      <c r="W107" s="96"/>
    </row>
    <row r="108" spans="1:23" s="17" customFormat="1" ht="14.45" customHeight="1" x14ac:dyDescent="0.25">
      <c r="A108" s="11"/>
      <c r="B108" s="60"/>
      <c r="G108" s="66"/>
      <c r="H108" s="13"/>
      <c r="I108" s="16"/>
      <c r="J108" s="16"/>
      <c r="K108" s="16"/>
      <c r="L108" s="16"/>
      <c r="M108" s="16"/>
      <c r="N108" s="16"/>
      <c r="P108" s="449"/>
      <c r="R108" s="96"/>
      <c r="S108" s="96"/>
      <c r="T108" s="96"/>
      <c r="U108" s="96"/>
      <c r="V108" s="96"/>
      <c r="W108" s="96"/>
    </row>
    <row r="109" spans="1:23" s="17" customFormat="1" ht="15" x14ac:dyDescent="0.25">
      <c r="A109" s="11"/>
      <c r="B109" s="119" t="s">
        <v>54</v>
      </c>
      <c r="G109" s="66"/>
      <c r="H109" s="13"/>
      <c r="I109" s="16"/>
      <c r="J109" s="16"/>
      <c r="K109" s="16"/>
      <c r="L109" s="16"/>
      <c r="M109" s="16"/>
      <c r="N109" s="16"/>
      <c r="P109" s="449"/>
      <c r="R109" s="96"/>
      <c r="S109" s="96"/>
      <c r="T109" s="96"/>
      <c r="U109" s="96"/>
      <c r="V109" s="96"/>
      <c r="W109" s="96"/>
    </row>
    <row r="110" spans="1:23" s="17" customFormat="1" ht="15" x14ac:dyDescent="0.25">
      <c r="A110" s="11"/>
      <c r="B110" s="456" t="s">
        <v>10540</v>
      </c>
      <c r="C110" s="120"/>
      <c r="G110" s="66"/>
      <c r="H110" s="13"/>
      <c r="I110" s="16"/>
      <c r="J110" s="16"/>
      <c r="K110" s="16"/>
      <c r="L110" s="16"/>
      <c r="M110" s="16"/>
      <c r="N110" s="16"/>
      <c r="P110" s="449"/>
      <c r="R110" s="96"/>
      <c r="S110" s="96"/>
      <c r="T110" s="96"/>
      <c r="U110" s="96"/>
      <c r="V110" s="96"/>
      <c r="W110" s="96"/>
    </row>
    <row r="111" spans="1:23" s="17" customFormat="1" ht="15" x14ac:dyDescent="0.25">
      <c r="A111" s="11"/>
      <c r="B111" s="569" t="s">
        <v>55</v>
      </c>
      <c r="C111" s="577"/>
      <c r="D111" s="577"/>
      <c r="E111" s="577"/>
      <c r="F111" s="577"/>
      <c r="G111" s="578"/>
      <c r="H111" s="13"/>
      <c r="I111" s="16"/>
      <c r="J111" s="16"/>
      <c r="K111" s="16"/>
      <c r="L111" s="16"/>
      <c r="M111" s="16"/>
      <c r="N111" s="16"/>
      <c r="P111" s="449"/>
      <c r="R111" s="96"/>
      <c r="S111" s="96"/>
      <c r="T111" s="96"/>
      <c r="U111" s="96"/>
      <c r="V111" s="96"/>
      <c r="W111" s="96"/>
    </row>
    <row r="112" spans="1:23" s="17" customFormat="1" ht="15" x14ac:dyDescent="0.25">
      <c r="A112" s="11"/>
      <c r="B112" s="579"/>
      <c r="C112" s="577"/>
      <c r="D112" s="577"/>
      <c r="E112" s="577"/>
      <c r="F112" s="577"/>
      <c r="G112" s="578"/>
      <c r="H112" s="13"/>
      <c r="I112" s="16"/>
      <c r="J112" s="16"/>
      <c r="K112" s="16"/>
      <c r="L112" s="16"/>
      <c r="M112" s="16"/>
      <c r="N112" s="16"/>
      <c r="P112" s="449"/>
      <c r="R112" s="96"/>
      <c r="S112" s="96"/>
      <c r="T112" s="96"/>
      <c r="U112" s="96"/>
      <c r="V112" s="96"/>
      <c r="W112" s="96"/>
    </row>
    <row r="113" spans="1:23" s="17" customFormat="1" ht="15" x14ac:dyDescent="0.25">
      <c r="A113" s="11"/>
      <c r="B113" s="579"/>
      <c r="C113" s="577"/>
      <c r="D113" s="577"/>
      <c r="E113" s="577"/>
      <c r="F113" s="577"/>
      <c r="G113" s="578"/>
      <c r="H113" s="13"/>
      <c r="I113" s="16"/>
      <c r="J113" s="16"/>
      <c r="K113" s="16"/>
      <c r="L113" s="16"/>
      <c r="M113" s="16"/>
      <c r="N113" s="16"/>
      <c r="P113" s="449"/>
      <c r="R113" s="96"/>
      <c r="S113" s="96"/>
      <c r="T113" s="96"/>
      <c r="U113" s="96"/>
      <c r="V113" s="96"/>
      <c r="W113" s="96"/>
    </row>
    <row r="114" spans="1:23" s="17" customFormat="1" ht="15" x14ac:dyDescent="0.25">
      <c r="A114" s="11"/>
      <c r="B114" s="121" t="s">
        <v>14364</v>
      </c>
      <c r="C114" s="26"/>
      <c r="D114" s="26"/>
      <c r="E114" s="26"/>
      <c r="F114" s="26"/>
      <c r="G114" s="72"/>
      <c r="H114" s="13"/>
      <c r="P114" s="449"/>
      <c r="R114" s="96"/>
      <c r="S114" s="96"/>
      <c r="T114" s="96"/>
      <c r="U114" s="96"/>
      <c r="V114" s="96"/>
      <c r="W114" s="96"/>
    </row>
    <row r="115" spans="1:23" s="17" customFormat="1" ht="12.75" customHeight="1" x14ac:dyDescent="0.25">
      <c r="A115" s="11"/>
      <c r="H115" s="13"/>
      <c r="I115" s="95"/>
      <c r="J115" s="95"/>
      <c r="P115" s="449"/>
      <c r="R115" s="96"/>
      <c r="S115" s="96"/>
      <c r="T115" s="96"/>
      <c r="U115" s="96"/>
      <c r="V115" s="96"/>
      <c r="W115" s="96"/>
    </row>
    <row r="116" spans="1:23" s="17" customFormat="1" ht="15.75" x14ac:dyDescent="0.25">
      <c r="A116" s="580">
        <v>7</v>
      </c>
      <c r="B116" s="97" t="s">
        <v>57</v>
      </c>
      <c r="C116" s="45"/>
      <c r="D116" s="45"/>
      <c r="E116" s="45"/>
      <c r="F116" s="45"/>
      <c r="G116" s="46"/>
      <c r="H116" s="13"/>
      <c r="P116" s="449"/>
      <c r="R116" s="96"/>
      <c r="S116" s="96"/>
      <c r="T116" s="96"/>
      <c r="U116" s="96"/>
      <c r="V116" s="96"/>
      <c r="W116" s="96"/>
    </row>
    <row r="117" spans="1:23" s="17" customFormat="1" ht="12.75" customHeight="1" x14ac:dyDescent="0.25">
      <c r="A117" s="559"/>
      <c r="B117" s="560" t="str">
        <f>IFERROR(IF(B146="","Average weekly gross rent (£ per week) and units for England","Average weekly gross rent (£ per week) and units for "&amp;$V$72),"")</f>
        <v>Average weekly gross rent (£ per week) and units for England</v>
      </c>
      <c r="C117" s="561"/>
      <c r="D117" s="561"/>
      <c r="E117" s="561"/>
      <c r="F117" s="561"/>
      <c r="G117" s="562"/>
      <c r="H117" s="13"/>
      <c r="P117" s="449"/>
      <c r="R117" s="96"/>
      <c r="S117" s="96"/>
      <c r="T117" s="96"/>
      <c r="U117" s="96"/>
      <c r="V117" s="96"/>
      <c r="W117" s="96"/>
    </row>
    <row r="118" spans="1:23" s="17" customFormat="1" ht="15" x14ac:dyDescent="0.25">
      <c r="A118" s="11"/>
      <c r="B118" s="563"/>
      <c r="C118" s="561"/>
      <c r="D118" s="561"/>
      <c r="E118" s="561"/>
      <c r="F118" s="561"/>
      <c r="G118" s="562"/>
      <c r="P118" s="449"/>
      <c r="R118" s="96"/>
      <c r="S118" s="96"/>
      <c r="T118" s="96"/>
      <c r="U118" s="96"/>
      <c r="V118" s="96"/>
      <c r="W118" s="96"/>
    </row>
    <row r="119" spans="1:23" s="17" customFormat="1" ht="15" x14ac:dyDescent="0.25">
      <c r="A119" s="11"/>
      <c r="B119" s="563"/>
      <c r="C119" s="561"/>
      <c r="D119" s="561"/>
      <c r="E119" s="561"/>
      <c r="F119" s="561"/>
      <c r="G119" s="562"/>
      <c r="H119" s="13"/>
      <c r="P119" s="449"/>
      <c r="R119" s="96"/>
      <c r="S119" s="96" t="e">
        <f>S126&amp;", "&amp;S127&amp;" and England"</f>
        <v>#N/A</v>
      </c>
      <c r="T119" s="96"/>
      <c r="U119" s="96"/>
      <c r="V119" s="96"/>
      <c r="W119" s="96"/>
    </row>
    <row r="120" spans="1:23" s="17" customFormat="1" ht="15" x14ac:dyDescent="0.25">
      <c r="A120" s="11"/>
      <c r="B120" s="564"/>
      <c r="C120" s="565"/>
      <c r="D120" s="565"/>
      <c r="E120" s="565"/>
      <c r="F120" s="565"/>
      <c r="G120" s="566"/>
      <c r="H120" s="13"/>
      <c r="P120" s="449"/>
      <c r="R120" s="96"/>
      <c r="S120" s="96" t="e">
        <f>S127&amp;" and England"</f>
        <v>#N/A</v>
      </c>
      <c r="T120" s="96"/>
      <c r="U120" s="96"/>
      <c r="V120" s="96"/>
      <c r="W120" s="96"/>
    </row>
    <row r="121" spans="1:23" s="17" customFormat="1" ht="14.45" customHeight="1" x14ac:dyDescent="0.25">
      <c r="A121" s="11"/>
      <c r="B121" s="60"/>
      <c r="D121" s="122"/>
      <c r="E121" s="122"/>
      <c r="F121" s="533" t="s">
        <v>41</v>
      </c>
      <c r="G121" s="128"/>
      <c r="H121" s="13"/>
      <c r="P121" s="449"/>
      <c r="R121" s="96"/>
      <c r="S121" s="96" t="str">
        <f>S128</f>
        <v>England</v>
      </c>
      <c r="T121" s="96"/>
      <c r="U121" s="96"/>
      <c r="V121" s="96"/>
      <c r="W121" s="96"/>
    </row>
    <row r="122" spans="1:23" s="217" customFormat="1" ht="14.45" customHeight="1" x14ac:dyDescent="0.2">
      <c r="A122" s="11"/>
      <c r="B122" s="101" t="e">
        <f>"Average weekly GROSS RENT (£ per week) for "&amp;$E$3&amp;", "&amp;$K$3&amp; " and England"</f>
        <v>#N/A</v>
      </c>
      <c r="C122" s="129"/>
      <c r="E122" s="130"/>
      <c r="F122" s="129" t="s">
        <v>48</v>
      </c>
      <c r="G122" s="105" t="s">
        <v>49</v>
      </c>
      <c r="H122" s="13"/>
      <c r="P122" s="450"/>
      <c r="R122" s="96"/>
      <c r="S122" s="96"/>
      <c r="T122" s="96"/>
      <c r="U122" s="96"/>
      <c r="V122" s="96"/>
      <c r="W122" s="96"/>
    </row>
    <row r="123" spans="1:23" s="217" customFormat="1" ht="14.45" customHeight="1" x14ac:dyDescent="0.2">
      <c r="A123" s="11"/>
      <c r="B123" s="125" t="s">
        <v>57</v>
      </c>
      <c r="C123" s="107"/>
      <c r="D123" s="309"/>
      <c r="E123" s="131"/>
      <c r="F123" s="109" t="s">
        <v>50</v>
      </c>
      <c r="G123" s="110" t="s">
        <v>53</v>
      </c>
      <c r="H123" s="13"/>
      <c r="P123" s="450"/>
      <c r="R123" s="96"/>
      <c r="S123" s="96"/>
      <c r="T123" s="96"/>
      <c r="U123" s="96"/>
      <c r="V123" s="96"/>
      <c r="W123" s="96"/>
    </row>
    <row r="124" spans="1:23" s="217" customFormat="1" ht="14.45" customHeight="1" x14ac:dyDescent="0.2">
      <c r="A124" s="11"/>
      <c r="B124" s="111" t="str">
        <f>IFERROR(S126,"")</f>
        <v/>
      </c>
      <c r="C124" s="348"/>
      <c r="D124" s="351"/>
      <c r="E124" s="350"/>
      <c r="F124" s="499" t="str">
        <f>IF(B124="","",VLOOKUP($E$3,LA_Data,36,0))</f>
        <v/>
      </c>
      <c r="G124" s="466" t="str">
        <f>IF(B124="","",VLOOKUP($E$3,LA_Data,37,0))</f>
        <v/>
      </c>
      <c r="H124" s="13"/>
      <c r="P124" s="450"/>
      <c r="R124" s="96"/>
      <c r="S124" s="96"/>
      <c r="T124" s="96"/>
      <c r="U124" s="96"/>
      <c r="V124" s="96"/>
      <c r="W124" s="96"/>
    </row>
    <row r="125" spans="1:23" s="217" customFormat="1" ht="14.45" customHeight="1" x14ac:dyDescent="0.2">
      <c r="A125" s="11"/>
      <c r="B125" s="113" t="str">
        <f>IFERROR(S127,"")</f>
        <v/>
      </c>
      <c r="C125" s="352"/>
      <c r="D125" s="353"/>
      <c r="E125" s="352"/>
      <c r="F125" s="501" t="str">
        <f>IF(B125="","",VLOOKUP($K$3,LA_Data,36,0))</f>
        <v/>
      </c>
      <c r="G125" s="461" t="str">
        <f>IF(B125="","",VLOOKUP($K$3,LA_Data,37,0))</f>
        <v/>
      </c>
      <c r="H125" s="13"/>
      <c r="P125" s="450"/>
      <c r="R125" s="96"/>
      <c r="S125" s="96"/>
      <c r="T125" s="96"/>
      <c r="U125" s="96"/>
      <c r="V125" s="96"/>
      <c r="W125" s="96"/>
    </row>
    <row r="126" spans="1:23" s="217" customFormat="1" ht="14.45" customHeight="1" x14ac:dyDescent="0.2">
      <c r="A126" s="11"/>
      <c r="B126" s="115" t="str">
        <f>S128</f>
        <v>England</v>
      </c>
      <c r="C126" s="135"/>
      <c r="D126" s="353"/>
      <c r="E126" s="135"/>
      <c r="F126" s="502">
        <f>VLOOKUP($B$19,LA_Data,36,0)</f>
        <v>154.41</v>
      </c>
      <c r="G126" s="470">
        <f>VLOOKUP($B$126,LA_Data,37,0)</f>
        <v>336167</v>
      </c>
      <c r="H126" s="13"/>
      <c r="P126" s="450"/>
      <c r="R126" s="96">
        <f>$E$3</f>
        <v>0</v>
      </c>
      <c r="S126" s="96" t="e">
        <f>IF(R126=R127,"",R126)</f>
        <v>#N/A</v>
      </c>
      <c r="T126" s="96"/>
      <c r="U126" s="96"/>
      <c r="V126" s="96"/>
      <c r="W126" s="96"/>
    </row>
    <row r="127" spans="1:23" s="17" customFormat="1" ht="14.45" customHeight="1" x14ac:dyDescent="0.25">
      <c r="A127" s="11"/>
      <c r="B127" s="136"/>
      <c r="C127" s="137"/>
      <c r="D127" s="138"/>
      <c r="E127" s="137"/>
      <c r="F127" s="137"/>
      <c r="G127" s="139"/>
      <c r="H127" s="13"/>
      <c r="P127" s="449"/>
      <c r="R127" s="96" t="e">
        <f>$K$3</f>
        <v>#N/A</v>
      </c>
      <c r="S127" s="96" t="e">
        <f>IF(R127=R128,"",R127)</f>
        <v>#N/A</v>
      </c>
      <c r="T127" s="96"/>
      <c r="U127" s="96"/>
      <c r="V127" s="96"/>
      <c r="W127" s="96"/>
    </row>
    <row r="128" spans="1:23" s="17" customFormat="1" ht="14.45" customHeight="1" x14ac:dyDescent="0.25">
      <c r="A128" s="11"/>
      <c r="B128" s="60"/>
      <c r="G128" s="66"/>
      <c r="H128" s="13"/>
      <c r="P128" s="449"/>
      <c r="R128" s="96" t="s">
        <v>6</v>
      </c>
      <c r="S128" s="96" t="s">
        <v>6</v>
      </c>
      <c r="T128" s="96"/>
      <c r="U128" s="96"/>
      <c r="V128" s="96"/>
      <c r="W128" s="96"/>
    </row>
    <row r="129" spans="1:23" s="17" customFormat="1" ht="14.45" customHeight="1" x14ac:dyDescent="0.25">
      <c r="A129" s="11"/>
      <c r="B129" s="60"/>
      <c r="G129" s="66"/>
      <c r="H129" s="13"/>
      <c r="P129" s="449"/>
      <c r="R129" s="96"/>
      <c r="S129" s="96"/>
      <c r="T129" s="96"/>
      <c r="U129" s="96"/>
      <c r="V129" s="96"/>
      <c r="W129" s="96"/>
    </row>
    <row r="130" spans="1:23" s="17" customFormat="1" ht="15" x14ac:dyDescent="0.25">
      <c r="A130" s="11"/>
      <c r="B130" s="140"/>
      <c r="G130" s="66"/>
      <c r="H130" s="13"/>
      <c r="P130" s="449"/>
      <c r="R130" s="96"/>
      <c r="S130" s="96"/>
      <c r="T130" s="96"/>
      <c r="U130" s="96"/>
      <c r="V130" s="96"/>
      <c r="W130" s="96"/>
    </row>
    <row r="131" spans="1:23" s="17" customFormat="1" ht="15" x14ac:dyDescent="0.25">
      <c r="A131" s="11"/>
      <c r="B131" s="119"/>
      <c r="G131" s="66"/>
      <c r="H131" s="13"/>
      <c r="P131" s="449"/>
      <c r="R131" s="96"/>
      <c r="S131" s="96"/>
      <c r="T131" s="96"/>
      <c r="U131" s="96"/>
      <c r="V131" s="96"/>
      <c r="W131" s="96"/>
    </row>
    <row r="132" spans="1:23" s="17" customFormat="1" ht="15" x14ac:dyDescent="0.25">
      <c r="A132" s="11"/>
      <c r="B132" s="60"/>
      <c r="G132" s="66"/>
      <c r="H132" s="13"/>
      <c r="P132" s="449"/>
      <c r="R132" s="96"/>
      <c r="S132" s="96"/>
      <c r="T132" s="96"/>
      <c r="U132" s="96"/>
      <c r="V132" s="96"/>
      <c r="W132" s="96"/>
    </row>
    <row r="133" spans="1:23" s="17" customFormat="1" ht="15" x14ac:dyDescent="0.25">
      <c r="A133" s="11"/>
      <c r="B133" s="569" t="s">
        <v>58</v>
      </c>
      <c r="C133" s="570"/>
      <c r="D133" s="570"/>
      <c r="E133" s="570"/>
      <c r="F133" s="570"/>
      <c r="G133" s="571"/>
      <c r="H133" s="13"/>
      <c r="P133" s="449"/>
      <c r="R133" s="96"/>
      <c r="S133" s="96"/>
      <c r="T133" s="96"/>
      <c r="U133" s="96"/>
      <c r="V133" s="96"/>
      <c r="W133" s="96"/>
    </row>
    <row r="134" spans="1:23" s="17" customFormat="1" ht="15" x14ac:dyDescent="0.25">
      <c r="A134" s="11"/>
      <c r="B134" s="569"/>
      <c r="C134" s="570"/>
      <c r="D134" s="570"/>
      <c r="E134" s="570"/>
      <c r="F134" s="570"/>
      <c r="G134" s="571"/>
      <c r="H134" s="13"/>
      <c r="P134" s="449"/>
      <c r="R134" s="96"/>
      <c r="S134" s="96"/>
      <c r="T134" s="96"/>
      <c r="U134" s="96"/>
      <c r="V134" s="96"/>
      <c r="W134" s="96"/>
    </row>
    <row r="135" spans="1:23" s="17" customFormat="1" ht="15" x14ac:dyDescent="0.25">
      <c r="A135" s="11"/>
      <c r="B135" s="569"/>
      <c r="C135" s="570"/>
      <c r="D135" s="570"/>
      <c r="E135" s="570"/>
      <c r="F135" s="570"/>
      <c r="G135" s="571"/>
      <c r="H135" s="13"/>
      <c r="P135" s="449"/>
      <c r="R135" s="96"/>
      <c r="S135" s="96"/>
      <c r="T135" s="96"/>
      <c r="U135" s="96"/>
      <c r="V135" s="96"/>
      <c r="W135" s="96"/>
    </row>
    <row r="136" spans="1:23" s="17" customFormat="1" ht="15" x14ac:dyDescent="0.25">
      <c r="A136" s="11"/>
      <c r="B136" s="121" t="s">
        <v>14364</v>
      </c>
      <c r="C136" s="26"/>
      <c r="D136" s="26"/>
      <c r="E136" s="26"/>
      <c r="F136" s="26"/>
      <c r="G136" s="72"/>
      <c r="H136" s="13"/>
      <c r="P136" s="449"/>
      <c r="R136" s="96"/>
      <c r="S136" s="96"/>
      <c r="T136" s="96"/>
      <c r="U136" s="96"/>
      <c r="V136" s="96"/>
      <c r="W136" s="96"/>
    </row>
    <row r="137" spans="1:23" s="17" customFormat="1" ht="15" x14ac:dyDescent="0.25">
      <c r="A137" s="11"/>
      <c r="H137" s="13"/>
      <c r="I137" s="95"/>
      <c r="J137" s="95"/>
      <c r="P137" s="449"/>
      <c r="R137" s="96"/>
      <c r="S137" s="96"/>
      <c r="T137" s="96"/>
      <c r="U137" s="96"/>
      <c r="V137" s="96"/>
      <c r="W137" s="96"/>
    </row>
    <row r="138" spans="1:23" s="17" customFormat="1" ht="15.75" customHeight="1" x14ac:dyDescent="0.25">
      <c r="A138" s="558">
        <v>8</v>
      </c>
      <c r="B138" s="97" t="s">
        <v>10521</v>
      </c>
      <c r="C138" s="45"/>
      <c r="D138" s="45"/>
      <c r="E138" s="45"/>
      <c r="F138" s="45"/>
      <c r="G138" s="46"/>
      <c r="H138" s="13"/>
      <c r="P138" s="449"/>
      <c r="R138" s="96"/>
      <c r="S138" s="96"/>
      <c r="T138" s="96"/>
      <c r="U138" s="96"/>
      <c r="V138" s="96"/>
      <c r="W138" s="96"/>
    </row>
    <row r="139" spans="1:23" s="17" customFormat="1" ht="12.75" customHeight="1" x14ac:dyDescent="0.25">
      <c r="A139" s="567"/>
      <c r="B139" s="560" t="str">
        <f>IFERROR(IF(B146="","Average weekly gross rent (£ per week) and units for England","Average weekly gross rent (£ per week) and units for "&amp;$V$72),"")</f>
        <v>Average weekly gross rent (£ per week) and units for England</v>
      </c>
      <c r="C139" s="561"/>
      <c r="D139" s="561"/>
      <c r="E139" s="561"/>
      <c r="F139" s="561"/>
      <c r="G139" s="562"/>
      <c r="H139" s="13"/>
      <c r="P139" s="449"/>
      <c r="R139" s="96"/>
      <c r="S139" s="96"/>
      <c r="T139" s="96"/>
      <c r="U139" s="96"/>
      <c r="V139" s="96"/>
      <c r="W139" s="96"/>
    </row>
    <row r="140" spans="1:23" s="17" customFormat="1" ht="12.75" customHeight="1" x14ac:dyDescent="0.25">
      <c r="A140" s="20"/>
      <c r="B140" s="563"/>
      <c r="C140" s="561"/>
      <c r="D140" s="561"/>
      <c r="E140" s="561"/>
      <c r="F140" s="561"/>
      <c r="G140" s="562"/>
      <c r="P140" s="449"/>
      <c r="R140" s="96"/>
      <c r="S140" s="96"/>
      <c r="T140" s="96"/>
      <c r="U140" s="96"/>
      <c r="V140" s="96"/>
      <c r="W140" s="96"/>
    </row>
    <row r="141" spans="1:23" s="17" customFormat="1" ht="12.75" customHeight="1" x14ac:dyDescent="0.25">
      <c r="A141" s="11"/>
      <c r="B141" s="564"/>
      <c r="C141" s="565"/>
      <c r="D141" s="565"/>
      <c r="E141" s="565"/>
      <c r="F141" s="565"/>
      <c r="G141" s="566"/>
      <c r="H141" s="13"/>
      <c r="P141" s="449"/>
      <c r="R141" s="96"/>
      <c r="S141" s="96"/>
      <c r="T141" s="96"/>
      <c r="U141" s="96"/>
      <c r="V141" s="96"/>
      <c r="W141" s="96"/>
    </row>
    <row r="142" spans="1:23" s="17" customFormat="1" ht="15" x14ac:dyDescent="0.25">
      <c r="A142" s="11"/>
      <c r="B142" s="60"/>
      <c r="D142" s="122"/>
      <c r="E142" s="122"/>
      <c r="F142" s="533" t="s">
        <v>41</v>
      </c>
      <c r="G142" s="66"/>
      <c r="H142" s="13"/>
      <c r="P142" s="449"/>
      <c r="R142" s="96"/>
      <c r="S142" s="96"/>
      <c r="T142" s="96"/>
      <c r="U142" s="96"/>
      <c r="V142" s="96"/>
      <c r="W142" s="96"/>
    </row>
    <row r="143" spans="1:23" s="17" customFormat="1" ht="14.45" customHeight="1" x14ac:dyDescent="0.25">
      <c r="A143" s="11"/>
      <c r="B143" s="101" t="e">
        <f>"Average weekly GROSS RENT (£ per week) for "&amp;$E$3&amp;", "&amp;$K$3&amp; " and England"</f>
        <v>#N/A</v>
      </c>
      <c r="C143" s="129"/>
      <c r="E143" s="130"/>
      <c r="F143" s="129" t="s">
        <v>48</v>
      </c>
      <c r="G143" s="105" t="s">
        <v>49</v>
      </c>
      <c r="H143" s="13"/>
      <c r="P143" s="449"/>
      <c r="R143" s="96"/>
      <c r="S143" s="96"/>
      <c r="T143" s="96"/>
      <c r="U143" s="96"/>
      <c r="V143" s="96"/>
      <c r="W143" s="96"/>
    </row>
    <row r="144" spans="1:23" s="17" customFormat="1" ht="14.45" customHeight="1" x14ac:dyDescent="0.25">
      <c r="A144" s="11"/>
      <c r="B144" s="125" t="s">
        <v>59</v>
      </c>
      <c r="C144" s="107"/>
      <c r="D144" s="26"/>
      <c r="E144" s="131"/>
      <c r="F144" s="109" t="s">
        <v>50</v>
      </c>
      <c r="G144" s="110" t="s">
        <v>53</v>
      </c>
      <c r="H144" s="13"/>
      <c r="P144" s="449"/>
      <c r="R144" s="96"/>
      <c r="S144" s="96" t="e">
        <f>S151&amp;", "&amp;S152&amp;" and England"</f>
        <v>#N/A</v>
      </c>
      <c r="T144" s="96"/>
      <c r="U144" s="96"/>
      <c r="V144" s="96"/>
      <c r="W144" s="96"/>
    </row>
    <row r="145" spans="1:23" s="17" customFormat="1" ht="14.45" customHeight="1" x14ac:dyDescent="0.25">
      <c r="A145" s="11"/>
      <c r="B145" s="113" t="str">
        <f>IFERROR(S151,"")</f>
        <v/>
      </c>
      <c r="C145" s="112"/>
      <c r="D145" s="132"/>
      <c r="E145" s="114"/>
      <c r="F145" s="509" t="str">
        <f>IF(B145="","",VLOOKUP($E$3,LA_Data,38,0))</f>
        <v/>
      </c>
      <c r="G145" s="489" t="str">
        <f>IF(B145="","",VLOOKUP($E$3,LA_Data,39,0))</f>
        <v/>
      </c>
      <c r="H145" s="13"/>
      <c r="P145" s="449"/>
      <c r="R145" s="96"/>
      <c r="S145" s="96" t="e">
        <f>S152&amp;" and England"</f>
        <v>#N/A</v>
      </c>
      <c r="T145" s="96"/>
      <c r="U145" s="96"/>
      <c r="V145" s="96"/>
      <c r="W145" s="96"/>
    </row>
    <row r="146" spans="1:23" s="17" customFormat="1" ht="14.45" customHeight="1" x14ac:dyDescent="0.25">
      <c r="A146" s="11"/>
      <c r="B146" s="141" t="str">
        <f>IFERROR(S152,"")</f>
        <v/>
      </c>
      <c r="C146" s="133"/>
      <c r="D146" s="134"/>
      <c r="E146" s="133"/>
      <c r="F146" s="510" t="str">
        <f>IF(B146="","",VLOOKUP($K$3,LA_Data,38,0))</f>
        <v/>
      </c>
      <c r="G146" s="490" t="str">
        <f>IF(B146="","",VLOOKUP($K$3,LA_Data,39,0))</f>
        <v/>
      </c>
      <c r="H146" s="13"/>
      <c r="P146" s="449"/>
      <c r="R146" s="96"/>
      <c r="S146" s="96" t="str">
        <f>S153</f>
        <v>England</v>
      </c>
      <c r="T146" s="96"/>
      <c r="U146" s="96"/>
      <c r="V146" s="96"/>
      <c r="W146" s="96"/>
    </row>
    <row r="147" spans="1:23" s="17" customFormat="1" ht="14.45" customHeight="1" x14ac:dyDescent="0.25">
      <c r="A147" s="11"/>
      <c r="B147" s="142" t="str">
        <f>S153</f>
        <v>England</v>
      </c>
      <c r="C147" s="135"/>
      <c r="D147" s="134"/>
      <c r="E147" s="135"/>
      <c r="F147" s="511">
        <f>VLOOKUP($B$19,LA_Data,38,0)</f>
        <v>215.76</v>
      </c>
      <c r="G147" s="491">
        <f>VLOOKUP($B$126,LA_Data,39,0)</f>
        <v>16031</v>
      </c>
      <c r="H147" s="13"/>
      <c r="P147" s="449"/>
      <c r="R147" s="96"/>
      <c r="S147" s="96"/>
      <c r="T147" s="96"/>
      <c r="U147" s="96"/>
      <c r="V147" s="96"/>
      <c r="W147" s="96"/>
    </row>
    <row r="148" spans="1:23" s="17" customFormat="1" ht="14.45" customHeight="1" x14ac:dyDescent="0.25">
      <c r="A148" s="11"/>
      <c r="B148" s="136"/>
      <c r="C148" s="137"/>
      <c r="D148" s="138"/>
      <c r="E148" s="137"/>
      <c r="F148" s="137"/>
      <c r="G148" s="143"/>
      <c r="H148" s="13"/>
      <c r="P148" s="449"/>
      <c r="R148" s="96"/>
      <c r="S148" s="96"/>
      <c r="T148" s="96"/>
      <c r="U148" s="96"/>
      <c r="V148" s="96"/>
      <c r="W148" s="96"/>
    </row>
    <row r="149" spans="1:23" s="17" customFormat="1" ht="14.45" customHeight="1" x14ac:dyDescent="0.25">
      <c r="A149" s="11"/>
      <c r="B149" s="116"/>
      <c r="C149" s="117"/>
      <c r="D149" s="132"/>
      <c r="E149" s="117"/>
      <c r="F149" s="117"/>
      <c r="G149" s="118"/>
      <c r="H149" s="13"/>
      <c r="P149" s="449"/>
      <c r="R149" s="96"/>
      <c r="S149" s="96"/>
      <c r="T149" s="96"/>
      <c r="U149" s="96"/>
      <c r="V149" s="96"/>
      <c r="W149" s="96"/>
    </row>
    <row r="150" spans="1:23" s="17" customFormat="1" ht="14.45" customHeight="1" x14ac:dyDescent="0.25">
      <c r="A150" s="11"/>
      <c r="B150" s="60"/>
      <c r="G150" s="66"/>
      <c r="H150" s="13"/>
      <c r="P150" s="449"/>
      <c r="R150" s="96"/>
      <c r="S150" s="96"/>
      <c r="T150" s="96"/>
      <c r="U150" s="96"/>
      <c r="V150" s="96"/>
      <c r="W150" s="96"/>
    </row>
    <row r="151" spans="1:23" s="17" customFormat="1" ht="14.45" customHeight="1" x14ac:dyDescent="0.25">
      <c r="A151" s="11"/>
      <c r="B151" s="60"/>
      <c r="G151" s="66"/>
      <c r="H151" s="13"/>
      <c r="P151" s="449"/>
      <c r="R151" s="96">
        <f>$E$3</f>
        <v>0</v>
      </c>
      <c r="S151" s="96" t="e">
        <f>IF(R151=R152,"",R151)</f>
        <v>#N/A</v>
      </c>
      <c r="T151" s="96"/>
      <c r="U151" s="96"/>
      <c r="V151" s="96"/>
      <c r="W151" s="96"/>
    </row>
    <row r="152" spans="1:23" s="17" customFormat="1" ht="14.45" customHeight="1" x14ac:dyDescent="0.25">
      <c r="A152" s="11"/>
      <c r="B152" s="140"/>
      <c r="G152" s="66"/>
      <c r="H152" s="13"/>
      <c r="P152" s="449"/>
      <c r="R152" s="96" t="e">
        <f>$K$3</f>
        <v>#N/A</v>
      </c>
      <c r="S152" s="96" t="e">
        <f>IF(R152=R153,"",R152)</f>
        <v>#N/A</v>
      </c>
      <c r="T152" s="96"/>
      <c r="U152" s="96"/>
      <c r="V152" s="96"/>
      <c r="W152" s="96"/>
    </row>
    <row r="153" spans="1:23" s="17" customFormat="1" ht="14.45" customHeight="1" x14ac:dyDescent="0.25">
      <c r="A153" s="11"/>
      <c r="B153" s="119"/>
      <c r="G153" s="66"/>
      <c r="H153" s="13"/>
      <c r="P153" s="449"/>
      <c r="R153" s="96" t="s">
        <v>6</v>
      </c>
      <c r="S153" s="96" t="s">
        <v>6</v>
      </c>
      <c r="T153" s="96"/>
      <c r="U153" s="96"/>
      <c r="V153" s="96"/>
      <c r="W153" s="96"/>
    </row>
    <row r="154" spans="1:23" s="17" customFormat="1" ht="15" x14ac:dyDescent="0.25">
      <c r="A154" s="11"/>
      <c r="B154" s="60"/>
      <c r="G154" s="66"/>
      <c r="H154" s="13"/>
      <c r="P154" s="449"/>
      <c r="R154" s="96"/>
      <c r="S154" s="96"/>
      <c r="T154" s="96"/>
      <c r="U154" s="96"/>
      <c r="V154" s="96"/>
      <c r="W154" s="96"/>
    </row>
    <row r="155" spans="1:23" s="17" customFormat="1" ht="15" x14ac:dyDescent="0.25">
      <c r="A155" s="11"/>
      <c r="B155" s="569" t="s">
        <v>58</v>
      </c>
      <c r="C155" s="570"/>
      <c r="D155" s="570"/>
      <c r="E155" s="570"/>
      <c r="F155" s="570"/>
      <c r="G155" s="571"/>
      <c r="H155" s="13"/>
      <c r="P155" s="449"/>
      <c r="R155" s="96"/>
      <c r="S155" s="96"/>
      <c r="T155" s="96"/>
      <c r="U155" s="96"/>
      <c r="V155" s="96"/>
      <c r="W155" s="96"/>
    </row>
    <row r="156" spans="1:23" s="17" customFormat="1" ht="15" x14ac:dyDescent="0.25">
      <c r="A156" s="11"/>
      <c r="B156" s="569"/>
      <c r="C156" s="570"/>
      <c r="D156" s="570"/>
      <c r="E156" s="570"/>
      <c r="F156" s="570"/>
      <c r="G156" s="571"/>
      <c r="H156" s="13"/>
      <c r="P156" s="449"/>
      <c r="R156" s="96"/>
      <c r="S156" s="96"/>
      <c r="T156" s="96"/>
      <c r="U156" s="96"/>
      <c r="V156" s="96"/>
      <c r="W156" s="96"/>
    </row>
    <row r="157" spans="1:23" s="17" customFormat="1" ht="15" x14ac:dyDescent="0.25">
      <c r="A157" s="11"/>
      <c r="B157" s="569"/>
      <c r="C157" s="570"/>
      <c r="D157" s="570"/>
      <c r="E157" s="570"/>
      <c r="F157" s="570"/>
      <c r="G157" s="571"/>
      <c r="H157" s="13"/>
      <c r="P157" s="449"/>
      <c r="R157" s="96"/>
      <c r="S157" s="96"/>
      <c r="T157" s="96"/>
      <c r="U157" s="96"/>
      <c r="V157" s="96"/>
      <c r="W157" s="96"/>
    </row>
    <row r="158" spans="1:23" s="17" customFormat="1" ht="15" x14ac:dyDescent="0.25">
      <c r="A158" s="11"/>
      <c r="B158" s="121" t="s">
        <v>14364</v>
      </c>
      <c r="C158" s="26"/>
      <c r="D158" s="26"/>
      <c r="E158" s="26"/>
      <c r="F158" s="26"/>
      <c r="G158" s="72"/>
      <c r="H158" s="13"/>
      <c r="I158" s="16"/>
      <c r="J158" s="16"/>
      <c r="K158" s="16"/>
      <c r="L158" s="16"/>
      <c r="M158" s="16"/>
      <c r="N158" s="16"/>
      <c r="P158" s="449"/>
      <c r="R158" s="96"/>
      <c r="S158" s="96"/>
      <c r="T158" s="96"/>
      <c r="U158" s="96"/>
      <c r="V158" s="96"/>
      <c r="W158" s="96"/>
    </row>
    <row r="159" spans="1:23" s="17" customFormat="1" ht="15" x14ac:dyDescent="0.25">
      <c r="A159" s="11"/>
      <c r="B159" s="144" t="e">
        <f>IF($G$176=0,"This section is blank as there is no General needs stock","")</f>
        <v>#N/A</v>
      </c>
      <c r="C159" s="2"/>
      <c r="D159" s="2"/>
      <c r="E159" s="2"/>
      <c r="F159" s="2"/>
      <c r="G159" s="2"/>
      <c r="H159" s="15"/>
      <c r="I159" s="95"/>
      <c r="J159" s="95"/>
      <c r="K159" s="16"/>
      <c r="L159" s="16"/>
      <c r="M159" s="16"/>
      <c r="N159" s="16"/>
      <c r="P159" s="449"/>
      <c r="R159" s="96"/>
      <c r="S159" s="96"/>
      <c r="T159" s="96"/>
      <c r="U159" s="96"/>
      <c r="V159" s="96"/>
      <c r="W159" s="96"/>
    </row>
    <row r="160" spans="1:23" s="17" customFormat="1" ht="15.75" customHeight="1" x14ac:dyDescent="0.25">
      <c r="A160" s="558">
        <v>9</v>
      </c>
      <c r="B160" s="47" t="s">
        <v>10551</v>
      </c>
      <c r="C160" s="45"/>
      <c r="D160" s="45"/>
      <c r="E160" s="45"/>
      <c r="F160" s="45"/>
      <c r="G160" s="46"/>
      <c r="I160" s="16"/>
      <c r="J160" s="16"/>
      <c r="K160" s="16"/>
      <c r="L160" s="16"/>
      <c r="M160" s="16"/>
      <c r="N160" s="16"/>
      <c r="P160" s="449"/>
      <c r="R160" s="96"/>
      <c r="S160" s="96"/>
      <c r="T160" s="96"/>
      <c r="U160" s="96"/>
      <c r="V160" s="96"/>
      <c r="W160" s="96"/>
    </row>
    <row r="161" spans="1:25" s="17" customFormat="1" ht="12.75" customHeight="1" x14ac:dyDescent="0.25">
      <c r="A161" s="559"/>
      <c r="B161" s="560" t="str">
        <f>"Average weekly rent (£ per week) and unit counts by unit size for "&amp;$E$3&amp; " - large PRPs"</f>
        <v>Average weekly rent (£ per week) and unit counts by unit size for  - large PRPs</v>
      </c>
      <c r="C161" s="572"/>
      <c r="D161" s="572"/>
      <c r="E161" s="572"/>
      <c r="F161" s="572"/>
      <c r="G161" s="573"/>
      <c r="I161" s="16"/>
      <c r="J161" s="16"/>
      <c r="K161" s="16"/>
      <c r="L161" s="16"/>
      <c r="M161" s="16"/>
      <c r="N161" s="16"/>
      <c r="P161" s="449"/>
      <c r="R161" s="96"/>
      <c r="S161" s="96"/>
      <c r="T161" s="96"/>
      <c r="U161" s="96"/>
      <c r="V161" s="96"/>
      <c r="W161" s="96"/>
    </row>
    <row r="162" spans="1:25" s="17" customFormat="1" ht="12.75" customHeight="1" x14ac:dyDescent="0.25">
      <c r="A162" s="20"/>
      <c r="B162" s="574"/>
      <c r="C162" s="572"/>
      <c r="D162" s="572"/>
      <c r="E162" s="572"/>
      <c r="F162" s="572"/>
      <c r="G162" s="573"/>
      <c r="I162" s="16"/>
      <c r="J162" s="16"/>
      <c r="K162" s="16"/>
      <c r="L162" s="16"/>
      <c r="M162" s="16"/>
      <c r="N162" s="16"/>
      <c r="P162" s="449"/>
      <c r="R162" s="96"/>
      <c r="S162" s="96"/>
      <c r="T162" s="96"/>
      <c r="U162" s="96"/>
      <c r="V162" s="96"/>
      <c r="W162" s="96"/>
    </row>
    <row r="163" spans="1:25" s="17" customFormat="1" ht="15" x14ac:dyDescent="0.25">
      <c r="A163" s="11"/>
      <c r="B163" s="564"/>
      <c r="C163" s="565"/>
      <c r="D163" s="565"/>
      <c r="E163" s="565"/>
      <c r="F163" s="565"/>
      <c r="G163" s="566"/>
      <c r="I163" s="16"/>
      <c r="J163" s="16"/>
      <c r="K163" s="16"/>
      <c r="L163" s="16"/>
      <c r="M163" s="16"/>
      <c r="N163" s="16"/>
      <c r="P163" s="451"/>
      <c r="Q163" s="31"/>
      <c r="R163" s="96"/>
      <c r="S163" s="96"/>
      <c r="T163" s="96"/>
      <c r="U163" s="96"/>
      <c r="V163" s="96"/>
      <c r="W163" s="96"/>
      <c r="X163" s="31"/>
      <c r="Y163" s="31"/>
    </row>
    <row r="164" spans="1:25" s="17" customFormat="1" ht="15" x14ac:dyDescent="0.25">
      <c r="A164" s="11"/>
      <c r="B164" s="101" t="str">
        <f>"Average weekly net rent (£ per week) by unit size for "&amp;$E$3&amp; " - large PRPs"</f>
        <v>Average weekly net rent (£ per week) by unit size for  - large PRPs</v>
      </c>
      <c r="C164" s="534" t="s">
        <v>41</v>
      </c>
      <c r="D164" s="26"/>
      <c r="E164" s="26"/>
      <c r="F164" s="145" t="s">
        <v>60</v>
      </c>
      <c r="G164" s="66"/>
      <c r="I164" s="16"/>
      <c r="J164" s="16"/>
      <c r="K164" s="16"/>
      <c r="L164" s="16"/>
      <c r="M164" s="16"/>
      <c r="N164" s="16"/>
      <c r="P164" s="449"/>
      <c r="Q164">
        <v>9</v>
      </c>
      <c r="R164" t="s">
        <v>12</v>
      </c>
      <c r="S164"/>
      <c r="T164"/>
      <c r="U164" s="96"/>
      <c r="V164" s="96"/>
      <c r="W164" s="96"/>
    </row>
    <row r="165" spans="1:25" s="17" customFormat="1" ht="14.45" customHeight="1" x14ac:dyDescent="0.25">
      <c r="A165" s="11"/>
      <c r="B165" s="146" t="s">
        <v>61</v>
      </c>
      <c r="C165" s="147" t="s">
        <v>46</v>
      </c>
      <c r="D165" s="103" t="s">
        <v>10531</v>
      </c>
      <c r="E165" s="147" t="s">
        <v>47</v>
      </c>
      <c r="F165" s="147" t="s">
        <v>48</v>
      </c>
      <c r="G165" s="148" t="s">
        <v>49</v>
      </c>
      <c r="I165" s="16"/>
      <c r="J165" s="16"/>
      <c r="K165" s="16"/>
      <c r="L165" s="16"/>
      <c r="M165" s="16"/>
      <c r="N165" s="16"/>
      <c r="P165" s="452"/>
      <c r="Q165"/>
      <c r="R165" t="s">
        <v>866</v>
      </c>
      <c r="S165"/>
      <c r="T165"/>
      <c r="U165" s="96"/>
      <c r="V165" s="96"/>
      <c r="W165" s="96"/>
    </row>
    <row r="166" spans="1:25" s="17" customFormat="1" ht="14.45" customHeight="1" x14ac:dyDescent="0.25">
      <c r="A166" s="11"/>
      <c r="B166" s="149"/>
      <c r="C166" s="150" t="s">
        <v>62</v>
      </c>
      <c r="D166" s="108" t="s">
        <v>50</v>
      </c>
      <c r="E166" s="150" t="s">
        <v>51</v>
      </c>
      <c r="F166" s="150" t="s">
        <v>52</v>
      </c>
      <c r="G166" s="151" t="s">
        <v>53</v>
      </c>
      <c r="I166" s="16"/>
      <c r="J166" s="16"/>
      <c r="K166" s="16"/>
      <c r="L166" s="16"/>
      <c r="M166" s="16"/>
      <c r="N166" s="16"/>
      <c r="P166" s="452"/>
      <c r="Q166"/>
      <c r="R166" t="s">
        <v>61</v>
      </c>
      <c r="S166"/>
      <c r="T166" t="s">
        <v>9777</v>
      </c>
      <c r="U166" s="96"/>
      <c r="V166" s="96"/>
      <c r="W166" s="96"/>
    </row>
    <row r="167" spans="1:25" s="217" customFormat="1" ht="14.45" customHeight="1" x14ac:dyDescent="0.25">
      <c r="A167" s="11"/>
      <c r="B167" s="331" t="s">
        <v>63</v>
      </c>
      <c r="C167" s="499" t="e">
        <f>VLOOKUP($E$3,LA_Data,40,0)</f>
        <v>#N/A</v>
      </c>
      <c r="D167" s="506" t="e">
        <f>VLOOKUP($E$3,LA_Data,41,0)</f>
        <v>#N/A</v>
      </c>
      <c r="E167" s="506" t="e">
        <f>VLOOKUP($E$3,LA_Data,42,0)</f>
        <v>#N/A</v>
      </c>
      <c r="F167" s="506" t="e">
        <f>VLOOKUP($E$3,LA_Data,43,0)</f>
        <v>#N/A</v>
      </c>
      <c r="G167" s="489" t="e">
        <f>VLOOKUP($E$3,LA_Data,44,0)</f>
        <v>#N/A</v>
      </c>
      <c r="I167" s="16"/>
      <c r="J167" s="16"/>
      <c r="K167" s="16"/>
      <c r="L167" s="16"/>
      <c r="M167" s="16"/>
      <c r="N167" s="16"/>
      <c r="P167" s="452"/>
      <c r="Q167" s="205" t="s">
        <v>245</v>
      </c>
      <c r="R167" s="206" t="s">
        <v>114</v>
      </c>
      <c r="S167" t="s">
        <v>63</v>
      </c>
      <c r="T167" s="207">
        <f>HLOOKUP($R167,'2024_LA_and_Region_Data_final'!$E$3:$FR$4,2,0)</f>
        <v>94.01</v>
      </c>
      <c r="U167" s="96"/>
      <c r="V167" s="96"/>
      <c r="W167" s="96"/>
    </row>
    <row r="168" spans="1:25" s="217" customFormat="1" ht="14.45" customHeight="1" x14ac:dyDescent="0.25">
      <c r="A168" s="11">
        <f t="shared" ref="A168:A176" si="2">$E$3</f>
        <v>0</v>
      </c>
      <c r="B168" s="331" t="s">
        <v>64</v>
      </c>
      <c r="C168" s="500" t="e">
        <f>VLOOKUP($E$3,LA_Data,45,0)</f>
        <v>#N/A</v>
      </c>
      <c r="D168" s="506" t="e">
        <f>VLOOKUP($E$3,LA_Data,46,0)</f>
        <v>#N/A</v>
      </c>
      <c r="E168" s="506" t="e">
        <f>VLOOKUP($E$3,LA_Data,47,0)</f>
        <v>#N/A</v>
      </c>
      <c r="F168" s="506" t="e">
        <f>VLOOKUP($E$3,LA_Data,48,0)</f>
        <v>#N/A</v>
      </c>
      <c r="G168" s="489" t="e">
        <f>VLOOKUP($E$3,LA_Data,49,0)</f>
        <v>#N/A</v>
      </c>
      <c r="I168" s="16"/>
      <c r="J168" s="16"/>
      <c r="K168" s="16"/>
      <c r="L168" s="16"/>
      <c r="M168" s="16"/>
      <c r="N168" s="16"/>
      <c r="P168" s="453"/>
      <c r="Q168" s="205" t="s">
        <v>246</v>
      </c>
      <c r="R168" s="206" t="s">
        <v>119</v>
      </c>
      <c r="S168" t="s">
        <v>64</v>
      </c>
      <c r="T168" s="207">
        <f>HLOOKUP($R168,'2024_LA_and_Region_Data_final'!$E$3:$FR$4,2,0)</f>
        <v>84.91</v>
      </c>
      <c r="U168" s="96"/>
      <c r="V168" s="96"/>
      <c r="W168" s="96"/>
      <c r="X168" s="283"/>
      <c r="Y168" s="283"/>
    </row>
    <row r="169" spans="1:25" s="217" customFormat="1" ht="14.45" customHeight="1" x14ac:dyDescent="0.25">
      <c r="A169" s="11">
        <f t="shared" si="2"/>
        <v>0</v>
      </c>
      <c r="B169" s="331" t="s">
        <v>65</v>
      </c>
      <c r="C169" s="500" t="e">
        <f>VLOOKUP($E$3,LA_Data,50,0)</f>
        <v>#N/A</v>
      </c>
      <c r="D169" s="506" t="e">
        <f>VLOOKUP($E$3,LA_Data,51,0)</f>
        <v>#N/A</v>
      </c>
      <c r="E169" s="506" t="e">
        <f>VLOOKUP($E$3,LA_Data,52,0)</f>
        <v>#N/A</v>
      </c>
      <c r="F169" s="506" t="e">
        <f>VLOOKUP($E$3,LA_Data,53,0)</f>
        <v>#N/A</v>
      </c>
      <c r="G169" s="489" t="e">
        <f>VLOOKUP($E$3,LA_Data,54,0)</f>
        <v>#N/A</v>
      </c>
      <c r="I169" s="16"/>
      <c r="J169" s="16"/>
      <c r="K169" s="16"/>
      <c r="L169" s="16"/>
      <c r="M169" s="16"/>
      <c r="N169" s="16"/>
      <c r="P169" s="454"/>
      <c r="Q169" s="205" t="s">
        <v>247</v>
      </c>
      <c r="R169" s="206" t="s">
        <v>124</v>
      </c>
      <c r="S169" t="s">
        <v>65</v>
      </c>
      <c r="T169" s="207">
        <f>HLOOKUP($R169,'2024_LA_and_Region_Data_final'!$E$3:$FR$4,2,0)</f>
        <v>94.09</v>
      </c>
      <c r="U169" s="96"/>
      <c r="V169" s="96"/>
      <c r="W169" s="96"/>
    </row>
    <row r="170" spans="1:25" s="217" customFormat="1" ht="14.45" customHeight="1" x14ac:dyDescent="0.25">
      <c r="A170" s="11">
        <f t="shared" si="2"/>
        <v>0</v>
      </c>
      <c r="B170" s="331" t="s">
        <v>66</v>
      </c>
      <c r="C170" s="500" t="e">
        <f>VLOOKUP($E$3,LA_Data,55,0)</f>
        <v>#N/A</v>
      </c>
      <c r="D170" s="506" t="e">
        <f>VLOOKUP($E$3,LA_Data,56,0)</f>
        <v>#N/A</v>
      </c>
      <c r="E170" s="506" t="e">
        <f>VLOOKUP($E$3,LA_Data,57,0)</f>
        <v>#N/A</v>
      </c>
      <c r="F170" s="506" t="e">
        <f>VLOOKUP($E$3,LA_Data,58,0)</f>
        <v>#N/A</v>
      </c>
      <c r="G170" s="489" t="e">
        <f>VLOOKUP($E$3,LA_Data,59,0)</f>
        <v>#N/A</v>
      </c>
      <c r="I170" s="16"/>
      <c r="J170" s="16"/>
      <c r="K170" s="16"/>
      <c r="L170" s="16"/>
      <c r="M170" s="16"/>
      <c r="N170" s="16"/>
      <c r="P170" s="452"/>
      <c r="Q170" s="205" t="s">
        <v>248</v>
      </c>
      <c r="R170" s="206" t="s">
        <v>129</v>
      </c>
      <c r="S170" t="s">
        <v>66</v>
      </c>
      <c r="T170" s="207">
        <f>HLOOKUP($R170,'2024_LA_and_Region_Data_final'!$E$3:$FR$4,2,0)</f>
        <v>107.62</v>
      </c>
      <c r="U170" s="96"/>
      <c r="V170" s="96"/>
      <c r="W170" s="96"/>
    </row>
    <row r="171" spans="1:25" s="217" customFormat="1" ht="14.45" customHeight="1" x14ac:dyDescent="0.25">
      <c r="A171" s="11">
        <f t="shared" si="2"/>
        <v>0</v>
      </c>
      <c r="B171" s="331" t="s">
        <v>67</v>
      </c>
      <c r="C171" s="500" t="e">
        <f>VLOOKUP($E$3,LA_Data,60,0)</f>
        <v>#N/A</v>
      </c>
      <c r="D171" s="506" t="e">
        <f>VLOOKUP($E$3,LA_Data,61,0)</f>
        <v>#N/A</v>
      </c>
      <c r="E171" s="506" t="e">
        <f>VLOOKUP($E$3,LA_Data,62,0)</f>
        <v>#N/A</v>
      </c>
      <c r="F171" s="506" t="e">
        <f>VLOOKUP($E$3,LA_Data,63,0)</f>
        <v>#N/A</v>
      </c>
      <c r="G171" s="489" t="e">
        <f>VLOOKUP($E$3,LA_Data,64,0)</f>
        <v>#N/A</v>
      </c>
      <c r="I171" s="16"/>
      <c r="J171" s="16"/>
      <c r="K171" s="16"/>
      <c r="L171" s="16"/>
      <c r="M171" s="16"/>
      <c r="N171" s="16"/>
      <c r="P171" s="452"/>
      <c r="Q171" s="205" t="s">
        <v>249</v>
      </c>
      <c r="R171" s="206" t="s">
        <v>134</v>
      </c>
      <c r="S171" t="s">
        <v>67</v>
      </c>
      <c r="T171" s="207">
        <f>HLOOKUP($R171,'2024_LA_and_Region_Data_final'!$E$3:$FR$4,2,0)</f>
        <v>118.87</v>
      </c>
      <c r="U171" s="96"/>
      <c r="V171" s="96"/>
      <c r="W171" s="96"/>
    </row>
    <row r="172" spans="1:25" s="217" customFormat="1" ht="14.45" customHeight="1" x14ac:dyDescent="0.25">
      <c r="A172" s="11">
        <f t="shared" si="2"/>
        <v>0</v>
      </c>
      <c r="B172" s="331" t="s">
        <v>68</v>
      </c>
      <c r="C172" s="500" t="e">
        <f>VLOOKUP($E$3,LA_Data,65,0)</f>
        <v>#N/A</v>
      </c>
      <c r="D172" s="506" t="e">
        <f>VLOOKUP($E$3,LA_Data,66,0)</f>
        <v>#N/A</v>
      </c>
      <c r="E172" s="506" t="e">
        <f>VLOOKUP($E$3,LA_Data,67,0)</f>
        <v>#N/A</v>
      </c>
      <c r="F172" s="506" t="e">
        <f>VLOOKUP($E$3,LA_Data,68,0)</f>
        <v>#N/A</v>
      </c>
      <c r="G172" s="489" t="e">
        <f>VLOOKUP($E$3,LA_Data,69,0)</f>
        <v>#N/A</v>
      </c>
      <c r="I172" s="16"/>
      <c r="J172" s="16"/>
      <c r="K172" s="16"/>
      <c r="L172" s="16"/>
      <c r="M172" s="16"/>
      <c r="N172" s="16"/>
      <c r="P172" s="452"/>
      <c r="Q172" s="205" t="s">
        <v>250</v>
      </c>
      <c r="R172" s="206" t="s">
        <v>139</v>
      </c>
      <c r="S172" t="s">
        <v>68</v>
      </c>
      <c r="T172" s="207">
        <f>HLOOKUP($R172,'2024_LA_and_Region_Data_final'!$E$3:$FR$4,2,0)</f>
        <v>139.04</v>
      </c>
      <c r="U172" s="96"/>
      <c r="V172" s="96"/>
      <c r="W172" s="96"/>
    </row>
    <row r="173" spans="1:25" s="217" customFormat="1" ht="14.45" customHeight="1" x14ac:dyDescent="0.25">
      <c r="A173" s="11">
        <f t="shared" si="2"/>
        <v>0</v>
      </c>
      <c r="B173" s="331" t="s">
        <v>69</v>
      </c>
      <c r="C173" s="500" t="e">
        <f>VLOOKUP($E$3,LA_Data,70,0)</f>
        <v>#N/A</v>
      </c>
      <c r="D173" s="506" t="e">
        <f>VLOOKUP($E$3,LA_Data,71,0)</f>
        <v>#N/A</v>
      </c>
      <c r="E173" s="506" t="e">
        <f>VLOOKUP($E$3,LA_Data,72,0)</f>
        <v>#N/A</v>
      </c>
      <c r="F173" s="506" t="e">
        <f>VLOOKUP($E$3,LA_Data,73,0)</f>
        <v>#N/A</v>
      </c>
      <c r="G173" s="489" t="e">
        <f>VLOOKUP($E$3,LA_Data,74,0)</f>
        <v>#N/A</v>
      </c>
      <c r="I173" s="16"/>
      <c r="J173" s="16"/>
      <c r="K173" s="16"/>
      <c r="L173" s="16"/>
      <c r="M173" s="16"/>
      <c r="N173" s="16"/>
      <c r="P173" s="452"/>
      <c r="Q173" s="205" t="s">
        <v>251</v>
      </c>
      <c r="R173" s="206" t="s">
        <v>144</v>
      </c>
      <c r="S173" t="s">
        <v>69</v>
      </c>
      <c r="T173" s="207">
        <f>HLOOKUP($R173,'2024_LA_and_Region_Data_final'!$E$3:$FR$4,2,0)</f>
        <v>154.26</v>
      </c>
      <c r="U173" s="96"/>
      <c r="V173" s="96"/>
      <c r="W173" s="96"/>
    </row>
    <row r="174" spans="1:25" s="217" customFormat="1" ht="14.45" customHeight="1" x14ac:dyDescent="0.25">
      <c r="A174" s="11">
        <f t="shared" si="2"/>
        <v>0</v>
      </c>
      <c r="B174" s="331" t="s">
        <v>70</v>
      </c>
      <c r="C174" s="500" t="e">
        <f>VLOOKUP($E$3,LA_Data,75,0)</f>
        <v>#N/A</v>
      </c>
      <c r="D174" s="506" t="e">
        <f>VLOOKUP($E$3,LA_Data,76,0)</f>
        <v>#N/A</v>
      </c>
      <c r="E174" s="506" t="e">
        <f>VLOOKUP($E$3,LA_Data,77,0)</f>
        <v>#N/A</v>
      </c>
      <c r="F174" s="506" t="e">
        <f>VLOOKUP($E$3,LA_Data,78,0)</f>
        <v>#N/A</v>
      </c>
      <c r="G174" s="489" t="e">
        <f>VLOOKUP($E$3,LA_Data,79,0)</f>
        <v>#N/A</v>
      </c>
      <c r="I174" s="16"/>
      <c r="J174" s="16"/>
      <c r="K174" s="16"/>
      <c r="L174" s="16"/>
      <c r="M174" s="16"/>
      <c r="N174" s="16"/>
      <c r="P174" s="452"/>
      <c r="Q174" s="205" t="s">
        <v>252</v>
      </c>
      <c r="R174" s="206" t="s">
        <v>149</v>
      </c>
      <c r="S174" t="s">
        <v>70</v>
      </c>
      <c r="T174" s="207">
        <f>HLOOKUP($R174,'2024_LA_and_Region_Data_final'!$E$3:$FR$4,2,0)</f>
        <v>164.58</v>
      </c>
      <c r="U174" s="96"/>
      <c r="V174" s="96"/>
      <c r="W174" s="96"/>
    </row>
    <row r="175" spans="1:25" s="217" customFormat="1" ht="14.45" customHeight="1" x14ac:dyDescent="0.25">
      <c r="A175" s="11">
        <f t="shared" si="2"/>
        <v>0</v>
      </c>
      <c r="B175" s="333" t="s">
        <v>71</v>
      </c>
      <c r="C175" s="501" t="e">
        <f>VLOOKUP($E$3,LA_Data,80,0)</f>
        <v>#N/A</v>
      </c>
      <c r="D175" s="507" t="e">
        <f>VLOOKUP($E$3,LA_Data,81,0)</f>
        <v>#N/A</v>
      </c>
      <c r="E175" s="507" t="e">
        <f>VLOOKUP($E$3,LA_Data,82,0)</f>
        <v>#N/A</v>
      </c>
      <c r="F175" s="507" t="e">
        <f>VLOOKUP($E$3,LA_Data,83,0)</f>
        <v>#N/A</v>
      </c>
      <c r="G175" s="490" t="e">
        <f>VLOOKUP($E$3,LA_Data,84,0)</f>
        <v>#N/A</v>
      </c>
      <c r="I175" s="16"/>
      <c r="J175" s="16"/>
      <c r="K175" s="16"/>
      <c r="L175" s="16"/>
      <c r="M175" s="16"/>
      <c r="N175" s="16"/>
      <c r="P175" s="452"/>
      <c r="Q175" s="205" t="s">
        <v>253</v>
      </c>
      <c r="R175" s="206" t="s">
        <v>154</v>
      </c>
      <c r="S175" t="s">
        <v>867</v>
      </c>
      <c r="T175" s="207">
        <f>HLOOKUP($R175,'2024_LA_and_Region_Data_final'!$E$3:$FR$4,2,0)</f>
        <v>109.44</v>
      </c>
      <c r="U175" s="96"/>
      <c r="V175" s="96"/>
      <c r="W175" s="96"/>
    </row>
    <row r="176" spans="1:25" s="217" customFormat="1" ht="14.45" customHeight="1" x14ac:dyDescent="0.25">
      <c r="A176" s="11">
        <f t="shared" si="2"/>
        <v>0</v>
      </c>
      <c r="B176" s="33" t="s">
        <v>72</v>
      </c>
      <c r="C176" s="502" t="e">
        <f>VLOOKUP($E$3,LA_Data,85,0)</f>
        <v>#N/A</v>
      </c>
      <c r="D176" s="508" t="e">
        <f>VLOOKUP($E$3,LA_Data,86,0)</f>
        <v>#N/A</v>
      </c>
      <c r="E176" s="508" t="e">
        <f>VLOOKUP($E$3,LA_Data,87,0)</f>
        <v>#N/A</v>
      </c>
      <c r="F176" s="508" t="e">
        <f>VLOOKUP($E$3,LA_Data,88,0)</f>
        <v>#N/A</v>
      </c>
      <c r="G176" s="491" t="e">
        <f>VLOOKUP($E$3,LA_Data,89,0)</f>
        <v>#N/A</v>
      </c>
      <c r="I176" s="16"/>
      <c r="J176" s="16"/>
      <c r="K176" s="16"/>
      <c r="L176" s="16"/>
      <c r="M176" s="16"/>
      <c r="N176" s="16"/>
      <c r="P176" s="452"/>
      <c r="Q176" s="205" t="s">
        <v>254</v>
      </c>
      <c r="R176" s="206" t="s">
        <v>159</v>
      </c>
      <c r="S176" t="s">
        <v>868</v>
      </c>
      <c r="T176" s="207">
        <f>HLOOKUP($R176,'2024_LA_and_Region_Data_final'!$E$3:$FR$4,2,0)</f>
        <v>109.44</v>
      </c>
      <c r="U176" s="96"/>
      <c r="V176" s="96"/>
      <c r="W176" s="96"/>
    </row>
    <row r="177" spans="1:23" s="17" customFormat="1" ht="14.45" customHeight="1" x14ac:dyDescent="0.25">
      <c r="A177" s="11"/>
      <c r="B177" s="126"/>
      <c r="C177" s="53"/>
      <c r="D177" s="53"/>
      <c r="E177" s="53"/>
      <c r="F177" s="53"/>
      <c r="G177" s="127"/>
      <c r="I177" s="16"/>
      <c r="J177" s="16"/>
      <c r="K177" s="16"/>
      <c r="L177" s="16"/>
      <c r="M177" s="16"/>
      <c r="N177" s="16"/>
      <c r="P177" s="452"/>
      <c r="R177" s="96"/>
      <c r="S177" s="96"/>
      <c r="T177" s="96"/>
      <c r="U177" s="96"/>
      <c r="V177" s="96"/>
      <c r="W177" s="96"/>
    </row>
    <row r="178" spans="1:23" s="17" customFormat="1" ht="12.75" customHeight="1" x14ac:dyDescent="0.25">
      <c r="A178" s="11"/>
      <c r="B178" s="555" t="s">
        <v>11650</v>
      </c>
      <c r="C178" s="556"/>
      <c r="D178" s="556"/>
      <c r="E178" s="556"/>
      <c r="F178" s="556"/>
      <c r="G178" s="557"/>
      <c r="I178" s="16"/>
      <c r="J178" s="16"/>
      <c r="K178" s="16"/>
      <c r="L178" s="16"/>
      <c r="M178" s="16"/>
      <c r="N178" s="16"/>
      <c r="P178" s="452"/>
      <c r="R178" s="96"/>
      <c r="S178" s="96"/>
      <c r="T178" s="96"/>
      <c r="U178" s="96"/>
      <c r="V178" s="96"/>
      <c r="W178" s="96"/>
    </row>
    <row r="179" spans="1:23" s="17" customFormat="1" ht="15" x14ac:dyDescent="0.25">
      <c r="A179" s="11"/>
      <c r="B179" s="555"/>
      <c r="C179" s="556"/>
      <c r="D179" s="556"/>
      <c r="E179" s="556"/>
      <c r="F179" s="556"/>
      <c r="G179" s="557"/>
      <c r="I179" s="16"/>
      <c r="J179" s="16"/>
      <c r="K179" s="16"/>
      <c r="L179" s="16"/>
      <c r="M179" s="16"/>
      <c r="N179" s="16"/>
      <c r="P179" s="452"/>
      <c r="R179" s="96" t="s">
        <v>73</v>
      </c>
      <c r="S179" s="96"/>
      <c r="T179" s="96"/>
      <c r="U179" s="96"/>
      <c r="V179" s="96"/>
      <c r="W179" s="96"/>
    </row>
    <row r="180" spans="1:23" s="17" customFormat="1" ht="15" x14ac:dyDescent="0.25">
      <c r="A180" s="11"/>
      <c r="B180" s="121" t="s">
        <v>14364</v>
      </c>
      <c r="C180" s="26"/>
      <c r="D180" s="152"/>
      <c r="E180" s="26"/>
      <c r="F180" s="26"/>
      <c r="G180" s="72"/>
      <c r="I180" s="16"/>
      <c r="J180" s="16"/>
      <c r="K180" s="16"/>
      <c r="L180" s="16"/>
      <c r="M180" s="16"/>
      <c r="N180" s="16"/>
      <c r="P180" s="452"/>
      <c r="R180" s="96"/>
      <c r="S180" s="96"/>
      <c r="T180" s="96"/>
      <c r="U180" s="96"/>
      <c r="V180" s="96"/>
      <c r="W180" s="96"/>
    </row>
    <row r="181" spans="1:23" s="17" customFormat="1" ht="15" x14ac:dyDescent="0.25">
      <c r="A181" s="11"/>
      <c r="B181" s="144" t="e">
        <f>IF($G$196=0,"This section is blank as there is no Supported housing / housing for older people stock","")</f>
        <v>#N/A</v>
      </c>
      <c r="I181" s="95"/>
      <c r="J181" s="95"/>
      <c r="K181" s="16"/>
      <c r="L181" s="16"/>
      <c r="M181" s="16"/>
      <c r="N181" s="16"/>
      <c r="P181" s="449"/>
      <c r="R181" s="96"/>
      <c r="S181" s="96"/>
      <c r="T181" s="96"/>
      <c r="U181" s="96"/>
      <c r="V181" s="96"/>
      <c r="W181" s="96"/>
    </row>
    <row r="182" spans="1:23" s="17" customFormat="1" ht="15.75" x14ac:dyDescent="0.25">
      <c r="A182" s="575">
        <v>10</v>
      </c>
      <c r="B182" s="97" t="s">
        <v>10552</v>
      </c>
      <c r="C182" s="45"/>
      <c r="D182" s="45"/>
      <c r="E182" s="45"/>
      <c r="F182" s="45"/>
      <c r="G182" s="46"/>
      <c r="I182" s="16"/>
      <c r="J182" s="16"/>
      <c r="K182" s="16"/>
      <c r="L182" s="16"/>
      <c r="M182" s="16"/>
      <c r="N182" s="16"/>
      <c r="P182" s="449"/>
      <c r="R182" s="96"/>
      <c r="S182" s="96"/>
      <c r="T182" s="96"/>
      <c r="U182" s="96"/>
      <c r="V182" s="96"/>
      <c r="W182" s="96"/>
    </row>
    <row r="183" spans="1:23" s="17" customFormat="1" ht="15" x14ac:dyDescent="0.25">
      <c r="A183" s="576"/>
      <c r="B183" s="568" t="str">
        <f>"Rents (£ per week) and unit counts by unit size for "&amp;$E$3&amp; " - large PRPs"</f>
        <v>Rents (£ per week) and unit counts by unit size for  - large PRPs</v>
      </c>
      <c r="C183" s="561"/>
      <c r="D183" s="561"/>
      <c r="E183" s="561"/>
      <c r="F183" s="561"/>
      <c r="G183" s="562"/>
      <c r="I183" s="16"/>
      <c r="J183" s="16"/>
      <c r="K183" s="16"/>
      <c r="L183" s="16"/>
      <c r="M183" s="16"/>
      <c r="N183" s="16"/>
      <c r="P183" s="449"/>
      <c r="R183" s="96"/>
      <c r="S183" s="96"/>
      <c r="T183" s="96"/>
      <c r="U183" s="96"/>
      <c r="V183" s="96"/>
      <c r="W183" s="96"/>
    </row>
    <row r="184" spans="1:23" s="17" customFormat="1" ht="15" x14ac:dyDescent="0.25">
      <c r="A184" s="11"/>
      <c r="B184" s="563"/>
      <c r="C184" s="561"/>
      <c r="D184" s="561"/>
      <c r="E184" s="561"/>
      <c r="F184" s="561"/>
      <c r="G184" s="562"/>
      <c r="I184" s="16"/>
      <c r="J184" s="16"/>
      <c r="K184" s="16"/>
      <c r="L184" s="16"/>
      <c r="M184" s="16"/>
      <c r="N184" s="16"/>
      <c r="P184" s="449"/>
      <c r="R184" s="96"/>
      <c r="S184" s="96"/>
      <c r="T184" s="96"/>
      <c r="U184" s="96"/>
      <c r="V184" s="96"/>
      <c r="W184" s="96"/>
    </row>
    <row r="185" spans="1:23" s="17" customFormat="1" ht="15" x14ac:dyDescent="0.25">
      <c r="A185" s="11"/>
      <c r="B185" s="564"/>
      <c r="C185" s="565"/>
      <c r="D185" s="565"/>
      <c r="E185" s="565"/>
      <c r="F185" s="565"/>
      <c r="G185" s="566"/>
      <c r="I185" s="16"/>
      <c r="J185" s="16"/>
      <c r="K185" s="16"/>
      <c r="L185" s="16"/>
      <c r="M185" s="16"/>
      <c r="N185" s="16"/>
      <c r="P185" s="449"/>
      <c r="Q185">
        <v>10</v>
      </c>
      <c r="R185" t="s">
        <v>56</v>
      </c>
      <c r="S185"/>
      <c r="T185"/>
      <c r="U185" s="96"/>
      <c r="V185" s="96"/>
      <c r="W185" s="96"/>
    </row>
    <row r="186" spans="1:23" s="17" customFormat="1" ht="15" x14ac:dyDescent="0.25">
      <c r="A186" s="11"/>
      <c r="B186" s="153" t="str">
        <f>"Average weekly net rent (£ per week) by unit size for "&amp;$E$3&amp; " - large PRPs"</f>
        <v>Average weekly net rent (£ per week) by unit size for  - large PRPs</v>
      </c>
      <c r="C186" s="534" t="s">
        <v>41</v>
      </c>
      <c r="D186" s="154"/>
      <c r="E186" s="154"/>
      <c r="F186" s="155" t="s">
        <v>60</v>
      </c>
      <c r="G186" s="156"/>
      <c r="I186" s="16"/>
      <c r="J186" s="16"/>
      <c r="K186" s="16"/>
      <c r="L186" s="16"/>
      <c r="M186" s="16"/>
      <c r="N186" s="16"/>
      <c r="P186" s="449"/>
      <c r="Q186"/>
      <c r="R186" t="s">
        <v>866</v>
      </c>
      <c r="S186"/>
      <c r="T186"/>
      <c r="U186" s="96"/>
      <c r="V186" s="96"/>
      <c r="W186" s="96"/>
    </row>
    <row r="187" spans="1:23" s="17" customFormat="1" ht="14.45" customHeight="1" x14ac:dyDescent="0.25">
      <c r="A187" s="11"/>
      <c r="B187" s="157" t="s">
        <v>74</v>
      </c>
      <c r="C187" s="147" t="s">
        <v>46</v>
      </c>
      <c r="D187" s="103" t="s">
        <v>10531</v>
      </c>
      <c r="E187" s="147" t="s">
        <v>47</v>
      </c>
      <c r="F187" s="147" t="s">
        <v>48</v>
      </c>
      <c r="G187" s="148" t="s">
        <v>49</v>
      </c>
      <c r="I187" s="16"/>
      <c r="J187" s="16"/>
      <c r="K187" s="16"/>
      <c r="L187" s="16"/>
      <c r="M187" s="16"/>
      <c r="N187" s="16"/>
      <c r="P187" s="449"/>
      <c r="Q187"/>
      <c r="R187" t="s">
        <v>74</v>
      </c>
      <c r="S187"/>
      <c r="T187" t="s">
        <v>9777</v>
      </c>
      <c r="U187" s="96"/>
      <c r="V187" s="96"/>
      <c r="W187" s="96"/>
    </row>
    <row r="188" spans="1:23" s="17" customFormat="1" ht="14.45" customHeight="1" x14ac:dyDescent="0.25">
      <c r="A188" s="11"/>
      <c r="B188" s="158"/>
      <c r="C188" s="150" t="s">
        <v>62</v>
      </c>
      <c r="D188" s="108" t="s">
        <v>50</v>
      </c>
      <c r="E188" s="150" t="s">
        <v>51</v>
      </c>
      <c r="F188" s="150" t="s">
        <v>52</v>
      </c>
      <c r="G188" s="151" t="s">
        <v>53</v>
      </c>
      <c r="I188" s="16"/>
      <c r="J188" s="16"/>
      <c r="K188" s="16"/>
      <c r="L188" s="16"/>
      <c r="M188" s="16"/>
      <c r="N188" s="16"/>
      <c r="P188" s="449"/>
      <c r="Q188" s="205" t="s">
        <v>255</v>
      </c>
      <c r="R188" s="208" t="s">
        <v>164</v>
      </c>
      <c r="S188" t="s">
        <v>63</v>
      </c>
      <c r="T188" s="207">
        <f>HLOOKUP($R188,'2024_LA_and_Region_Data_final'!$E$3:$FR$4,2,0)</f>
        <v>126.83</v>
      </c>
      <c r="U188" s="96"/>
      <c r="V188" s="96"/>
      <c r="W188" s="96"/>
    </row>
    <row r="189" spans="1:23" s="217" customFormat="1" ht="14.45" customHeight="1" x14ac:dyDescent="0.25">
      <c r="A189" s="11">
        <f t="shared" ref="A189:A196" si="3">$E$3</f>
        <v>0</v>
      </c>
      <c r="B189" s="159" t="s">
        <v>63</v>
      </c>
      <c r="C189" s="495" t="e">
        <f>VLOOKUP($E$3,LA_Data,90,0)</f>
        <v>#N/A</v>
      </c>
      <c r="D189" s="503" t="e">
        <f>VLOOKUP($E$3,LA_Data,91,0)</f>
        <v>#N/A</v>
      </c>
      <c r="E189" s="503" t="e">
        <f>VLOOKUP($E$3,LA_Data,92,0)</f>
        <v>#N/A</v>
      </c>
      <c r="F189" s="503" t="e">
        <f>VLOOKUP($E$3,LA_Data,93,0)</f>
        <v>#N/A</v>
      </c>
      <c r="G189" s="492" t="e">
        <f>VLOOKUP($E$3,LA_Data,94,0)</f>
        <v>#N/A</v>
      </c>
      <c r="I189" s="16"/>
      <c r="J189" s="16"/>
      <c r="K189" s="16"/>
      <c r="L189" s="16"/>
      <c r="M189" s="16"/>
      <c r="N189" s="16"/>
      <c r="P189" s="450"/>
      <c r="Q189" s="205" t="s">
        <v>256</v>
      </c>
      <c r="R189" s="208" t="s">
        <v>169</v>
      </c>
      <c r="S189" t="s">
        <v>64</v>
      </c>
      <c r="T189" s="207">
        <f>HLOOKUP($R189,'2024_LA_and_Region_Data_final'!$E$3:$FR$4,2,0)</f>
        <v>91.87</v>
      </c>
      <c r="U189" s="96"/>
      <c r="V189" s="96"/>
      <c r="W189" s="96"/>
    </row>
    <row r="190" spans="1:23" s="217" customFormat="1" ht="14.45" customHeight="1" x14ac:dyDescent="0.25">
      <c r="A190" s="11">
        <f t="shared" si="3"/>
        <v>0</v>
      </c>
      <c r="B190" s="159" t="s">
        <v>64</v>
      </c>
      <c r="C190" s="496" t="e">
        <f>VLOOKUP($E$3,LA_Data,95,0)</f>
        <v>#N/A</v>
      </c>
      <c r="D190" s="503" t="e">
        <f>VLOOKUP($E$3,LA_Data,96,0)</f>
        <v>#N/A</v>
      </c>
      <c r="E190" s="503" t="e">
        <f>VLOOKUP($E$3,LA_Data,97,0)</f>
        <v>#N/A</v>
      </c>
      <c r="F190" s="503" t="e">
        <f>VLOOKUP($E$3,LA_Data,98,0)</f>
        <v>#N/A</v>
      </c>
      <c r="G190" s="492" t="e">
        <f>VLOOKUP($E$3,LA_Data,99,0)</f>
        <v>#N/A</v>
      </c>
      <c r="I190" s="16"/>
      <c r="J190" s="16"/>
      <c r="K190" s="16"/>
      <c r="L190" s="16"/>
      <c r="M190" s="16"/>
      <c r="N190" s="16"/>
      <c r="P190" s="450"/>
      <c r="Q190" s="205" t="s">
        <v>257</v>
      </c>
      <c r="R190" s="208" t="s">
        <v>174</v>
      </c>
      <c r="S190" t="s">
        <v>65</v>
      </c>
      <c r="T190" s="207">
        <f>HLOOKUP($R190,'2024_LA_and_Region_Data_final'!$E$3:$FR$4,2,0)</f>
        <v>106.89</v>
      </c>
      <c r="U190" s="96"/>
      <c r="V190" s="96"/>
      <c r="W190" s="96"/>
    </row>
    <row r="191" spans="1:23" s="217" customFormat="1" ht="14.45" customHeight="1" x14ac:dyDescent="0.25">
      <c r="A191" s="11">
        <f t="shared" si="3"/>
        <v>0</v>
      </c>
      <c r="B191" s="159" t="s">
        <v>65</v>
      </c>
      <c r="C191" s="496" t="e">
        <f>VLOOKUP($E$3,LA_Data,100,0)</f>
        <v>#N/A</v>
      </c>
      <c r="D191" s="503" t="e">
        <f>VLOOKUP($E$3,LA_Data,101,0)</f>
        <v>#N/A</v>
      </c>
      <c r="E191" s="503" t="e">
        <f>VLOOKUP($E$3,LA_Data,102,0)</f>
        <v>#N/A</v>
      </c>
      <c r="F191" s="503" t="e">
        <f>VLOOKUP($E$3,LA_Data,103,0)</f>
        <v>#N/A</v>
      </c>
      <c r="G191" s="492" t="e">
        <f>VLOOKUP($E$3,LA_Data,104,0)</f>
        <v>#N/A</v>
      </c>
      <c r="I191" s="16"/>
      <c r="J191" s="16"/>
      <c r="K191" s="16"/>
      <c r="L191" s="16"/>
      <c r="M191" s="16"/>
      <c r="N191" s="16"/>
      <c r="P191" s="450"/>
      <c r="Q191" s="205" t="s">
        <v>258</v>
      </c>
      <c r="R191" s="208" t="s">
        <v>179</v>
      </c>
      <c r="S191" t="s">
        <v>66</v>
      </c>
      <c r="T191" s="207">
        <f>HLOOKUP($R191,'2024_LA_and_Region_Data_final'!$E$3:$FR$4,2,0)</f>
        <v>116.52</v>
      </c>
      <c r="U191" s="96"/>
      <c r="V191" s="96"/>
      <c r="W191" s="96"/>
    </row>
    <row r="192" spans="1:23" s="217" customFormat="1" ht="14.45" customHeight="1" x14ac:dyDescent="0.25">
      <c r="A192" s="11">
        <f t="shared" si="3"/>
        <v>0</v>
      </c>
      <c r="B192" s="159" t="s">
        <v>66</v>
      </c>
      <c r="C192" s="496" t="e">
        <f>VLOOKUP($E$3,LA_Data,105,0)</f>
        <v>#N/A</v>
      </c>
      <c r="D192" s="503" t="e">
        <f>VLOOKUP($E$3,LA_Data,106,0)</f>
        <v>#N/A</v>
      </c>
      <c r="E192" s="503" t="e">
        <f>VLOOKUP($E$3,LA_Data,107,0)</f>
        <v>#N/A</v>
      </c>
      <c r="F192" s="503" t="e">
        <f>VLOOKUP($E$3,LA_Data,108,0)</f>
        <v>#N/A</v>
      </c>
      <c r="G192" s="492" t="e">
        <f>VLOOKUP($E$3,LA_Data,109,0)</f>
        <v>#N/A</v>
      </c>
      <c r="I192" s="16"/>
      <c r="J192" s="16"/>
      <c r="K192" s="16"/>
      <c r="L192" s="16"/>
      <c r="M192" s="16"/>
      <c r="N192" s="16"/>
      <c r="P192" s="450"/>
      <c r="Q192" s="205" t="s">
        <v>259</v>
      </c>
      <c r="R192" s="208" t="s">
        <v>184</v>
      </c>
      <c r="S192" t="s">
        <v>67</v>
      </c>
      <c r="T192" s="207">
        <f>HLOOKUP($R192,'2024_LA_and_Region_Data_final'!$E$3:$FR$4,2,0)</f>
        <v>133.04</v>
      </c>
      <c r="U192" s="96"/>
      <c r="V192" s="96"/>
      <c r="W192" s="96"/>
    </row>
    <row r="193" spans="1:23" s="217" customFormat="1" ht="14.45" customHeight="1" x14ac:dyDescent="0.25">
      <c r="A193" s="11">
        <f t="shared" si="3"/>
        <v>0</v>
      </c>
      <c r="B193" s="159" t="s">
        <v>67</v>
      </c>
      <c r="C193" s="496" t="e">
        <f>VLOOKUP($E$3,LA_Data,110,0)</f>
        <v>#N/A</v>
      </c>
      <c r="D193" s="503" t="e">
        <f>VLOOKUP($E$3,LA_Data,111,0)</f>
        <v>#N/A</v>
      </c>
      <c r="E193" s="503" t="e">
        <f>VLOOKUP($E$3,LA_Data,112,0)</f>
        <v>#N/A</v>
      </c>
      <c r="F193" s="503" t="e">
        <f>VLOOKUP($E$3,LA_Data,113,0)</f>
        <v>#N/A</v>
      </c>
      <c r="G193" s="492" t="e">
        <f>VLOOKUP($E$3,LA_Data,114,0)</f>
        <v>#N/A</v>
      </c>
      <c r="I193" s="16"/>
      <c r="J193" s="16"/>
      <c r="K193" s="16"/>
      <c r="L193" s="16"/>
      <c r="M193" s="16"/>
      <c r="N193" s="16"/>
      <c r="P193" s="450"/>
      <c r="Q193" s="205" t="s">
        <v>260</v>
      </c>
      <c r="R193" s="208" t="s">
        <v>189</v>
      </c>
      <c r="S193" t="s">
        <v>75</v>
      </c>
      <c r="T193" s="207">
        <f>HLOOKUP($R193,'2024_LA_and_Region_Data_final'!$E$3:$FR$4,2,0)</f>
        <v>172.39</v>
      </c>
      <c r="U193" s="96"/>
      <c r="V193" s="96"/>
      <c r="W193" s="96"/>
    </row>
    <row r="194" spans="1:23" s="217" customFormat="1" ht="14.45" customHeight="1" x14ac:dyDescent="0.25">
      <c r="A194" s="11">
        <f t="shared" si="3"/>
        <v>0</v>
      </c>
      <c r="B194" s="159" t="s">
        <v>75</v>
      </c>
      <c r="C194" s="496" t="e">
        <f>VLOOKUP($E$3,LA_Data,115,0)</f>
        <v>#N/A</v>
      </c>
      <c r="D194" s="503" t="e">
        <f>VLOOKUP($E$3,LA_Data,116,0)</f>
        <v>#N/A</v>
      </c>
      <c r="E194" s="503" t="e">
        <f>VLOOKUP($E$3,LA_Data,117,0)</f>
        <v>#N/A</v>
      </c>
      <c r="F194" s="503" t="e">
        <f>VLOOKUP($E$3,LA_Data,118,0)</f>
        <v>#N/A</v>
      </c>
      <c r="G194" s="492" t="e">
        <f>VLOOKUP($E$3,LA_Data,119,0)</f>
        <v>#N/A</v>
      </c>
      <c r="I194" s="16"/>
      <c r="J194" s="16"/>
      <c r="K194" s="16"/>
      <c r="L194" s="16"/>
      <c r="M194" s="16"/>
      <c r="N194" s="16"/>
      <c r="P194" s="450"/>
      <c r="Q194" s="205" t="s">
        <v>261</v>
      </c>
      <c r="R194" s="208" t="s">
        <v>197</v>
      </c>
      <c r="S194" t="s">
        <v>867</v>
      </c>
      <c r="T194" s="207">
        <v>107.4</v>
      </c>
      <c r="U194" s="96"/>
      <c r="V194" s="96"/>
      <c r="W194" s="96"/>
    </row>
    <row r="195" spans="1:23" s="217" customFormat="1" ht="14.45" customHeight="1" x14ac:dyDescent="0.25">
      <c r="A195" s="11">
        <f t="shared" si="3"/>
        <v>0</v>
      </c>
      <c r="B195" s="333" t="s">
        <v>71</v>
      </c>
      <c r="C195" s="497" t="e">
        <f>VLOOKUP($E$3,LA_Data,120,0)</f>
        <v>#N/A</v>
      </c>
      <c r="D195" s="504" t="e">
        <f>VLOOKUP($E$3,LA_Data,121,0)</f>
        <v>#N/A</v>
      </c>
      <c r="E195" s="504" t="e">
        <f>VLOOKUP($E$3,LA_Data,122,0)</f>
        <v>#N/A</v>
      </c>
      <c r="F195" s="504" t="e">
        <f>VLOOKUP($E$3,LA_Data,123,0)</f>
        <v>#N/A</v>
      </c>
      <c r="G195" s="493" t="e">
        <f>VLOOKUP($E$3,LA_Data,124,0)</f>
        <v>#N/A</v>
      </c>
      <c r="I195" s="16"/>
      <c r="J195" s="16"/>
      <c r="K195" s="16"/>
      <c r="L195" s="16"/>
      <c r="M195" s="16"/>
      <c r="N195" s="16"/>
      <c r="P195" s="450"/>
      <c r="Q195" s="205" t="s">
        <v>262</v>
      </c>
      <c r="R195" s="208" t="s">
        <v>199</v>
      </c>
      <c r="S195" t="s">
        <v>868</v>
      </c>
      <c r="T195" s="207">
        <f>HLOOKUP($R195,'2024_LA_and_Region_Data_final'!$E$3:$FR$4,2,0)</f>
        <v>109.83</v>
      </c>
      <c r="U195" s="96"/>
      <c r="V195" s="96"/>
      <c r="W195" s="96"/>
    </row>
    <row r="196" spans="1:23" s="217" customFormat="1" ht="14.45" customHeight="1" x14ac:dyDescent="0.2">
      <c r="A196" s="11">
        <f t="shared" si="3"/>
        <v>0</v>
      </c>
      <c r="B196" s="33" t="s">
        <v>72</v>
      </c>
      <c r="C196" s="498" t="e">
        <f>VLOOKUP($E$3,LA_Data,125,0)</f>
        <v>#N/A</v>
      </c>
      <c r="D196" s="505" t="e">
        <f>VLOOKUP($E$3,LA_Data,126,0)</f>
        <v>#N/A</v>
      </c>
      <c r="E196" s="505" t="e">
        <f>VLOOKUP($E$3,LA_Data,127,0)</f>
        <v>#N/A</v>
      </c>
      <c r="F196" s="505" t="e">
        <f>VLOOKUP($E$3,LA_Data,128,0)</f>
        <v>#N/A</v>
      </c>
      <c r="G196" s="494" t="e">
        <f>VLOOKUP($E$3,LA_Data,129,0)</f>
        <v>#N/A</v>
      </c>
      <c r="I196" s="16"/>
      <c r="J196" s="16"/>
      <c r="K196" s="16"/>
      <c r="L196" s="16"/>
      <c r="M196" s="16"/>
      <c r="N196" s="16"/>
      <c r="P196" s="450"/>
      <c r="R196" s="96"/>
      <c r="S196" s="96"/>
      <c r="T196" s="96"/>
      <c r="U196" s="96"/>
      <c r="V196" s="96"/>
      <c r="W196" s="96"/>
    </row>
    <row r="197" spans="1:23" s="17" customFormat="1" ht="14.45" customHeight="1" x14ac:dyDescent="0.25">
      <c r="A197" s="11"/>
      <c r="B197" s="163"/>
      <c r="C197" s="164"/>
      <c r="D197" s="164"/>
      <c r="E197" s="164"/>
      <c r="F197" s="164"/>
      <c r="G197" s="165"/>
      <c r="I197" s="16"/>
      <c r="J197" s="16"/>
      <c r="K197" s="16"/>
      <c r="L197" s="16"/>
      <c r="M197" s="16"/>
      <c r="N197" s="16"/>
      <c r="P197" s="449"/>
      <c r="R197" s="96"/>
      <c r="S197" s="96"/>
      <c r="T197" s="96"/>
      <c r="U197" s="96"/>
      <c r="V197" s="96"/>
      <c r="W197" s="96"/>
    </row>
    <row r="198" spans="1:23" s="17" customFormat="1" ht="14.45" customHeight="1" x14ac:dyDescent="0.25">
      <c r="A198" s="11"/>
      <c r="B198" s="163"/>
      <c r="C198" s="164"/>
      <c r="D198" s="164"/>
      <c r="E198" s="164"/>
      <c r="F198" s="164"/>
      <c r="G198" s="165"/>
      <c r="I198" s="16"/>
      <c r="J198" s="16"/>
      <c r="K198" s="16"/>
      <c r="L198" s="16"/>
      <c r="M198" s="16"/>
      <c r="N198" s="16"/>
      <c r="P198" s="449"/>
      <c r="R198" s="96"/>
      <c r="S198" s="96"/>
      <c r="T198" s="96"/>
      <c r="U198" s="96"/>
      <c r="V198" s="96"/>
      <c r="W198" s="96"/>
    </row>
    <row r="199" spans="1:23" s="17" customFormat="1" ht="14.45" customHeight="1" x14ac:dyDescent="0.25">
      <c r="A199" s="11"/>
      <c r="B199" s="555" t="s">
        <v>10538</v>
      </c>
      <c r="C199" s="556"/>
      <c r="D199" s="556"/>
      <c r="E199" s="556"/>
      <c r="F199" s="556"/>
      <c r="G199" s="557"/>
      <c r="I199" s="16"/>
      <c r="J199" s="16"/>
      <c r="K199" s="16"/>
      <c r="L199" s="16"/>
      <c r="M199" s="16"/>
      <c r="N199" s="16"/>
      <c r="P199" s="449"/>
      <c r="R199" s="96"/>
      <c r="S199" s="96"/>
      <c r="T199" s="96"/>
      <c r="U199" s="96"/>
      <c r="V199" s="96"/>
      <c r="W199" s="96"/>
    </row>
    <row r="200" spans="1:23" s="17" customFormat="1" ht="15" x14ac:dyDescent="0.25">
      <c r="A200" s="11"/>
      <c r="B200" s="555"/>
      <c r="C200" s="556"/>
      <c r="D200" s="556"/>
      <c r="E200" s="556"/>
      <c r="F200" s="556"/>
      <c r="G200" s="557"/>
      <c r="I200" s="16"/>
      <c r="J200" s="16"/>
      <c r="K200" s="16"/>
      <c r="L200" s="16"/>
      <c r="M200" s="16"/>
      <c r="N200" s="16"/>
      <c r="P200" s="449"/>
      <c r="R200" s="96"/>
      <c r="S200" s="96"/>
      <c r="T200" s="96"/>
      <c r="U200" s="96"/>
      <c r="V200" s="96"/>
      <c r="W200" s="96"/>
    </row>
    <row r="201" spans="1:23" s="17" customFormat="1" ht="15" x14ac:dyDescent="0.25">
      <c r="A201" s="11"/>
      <c r="B201" s="69"/>
      <c r="D201" s="166"/>
      <c r="G201" s="66"/>
      <c r="I201" s="16"/>
      <c r="J201" s="16"/>
      <c r="K201" s="16"/>
      <c r="L201" s="16"/>
      <c r="M201" s="16"/>
      <c r="N201" s="16"/>
      <c r="P201" s="449"/>
      <c r="R201" s="96"/>
      <c r="S201" s="96"/>
      <c r="V201" s="96"/>
      <c r="W201" s="96"/>
    </row>
    <row r="202" spans="1:23" s="17" customFormat="1" ht="15" x14ac:dyDescent="0.25">
      <c r="A202" s="11"/>
      <c r="B202" s="121" t="s">
        <v>14364</v>
      </c>
      <c r="C202" s="26"/>
      <c r="D202" s="26"/>
      <c r="E202" s="26"/>
      <c r="F202" s="26"/>
      <c r="G202" s="72"/>
      <c r="I202" s="16"/>
      <c r="J202" s="16"/>
      <c r="K202" s="16"/>
      <c r="L202" s="16"/>
      <c r="M202" s="16"/>
      <c r="N202" s="16"/>
      <c r="P202" s="449"/>
      <c r="R202" s="96"/>
      <c r="S202" s="96"/>
      <c r="V202" s="96"/>
      <c r="W202" s="96"/>
    </row>
    <row r="203" spans="1:23" s="17" customFormat="1" ht="15" x14ac:dyDescent="0.25">
      <c r="A203" s="11"/>
      <c r="B203" s="144" t="e">
        <f>IF($G$220=0,"This section is blank as there is no Affordable Rent general needs stock","")</f>
        <v>#N/A</v>
      </c>
      <c r="E203" s="14"/>
      <c r="F203" s="14"/>
      <c r="G203" s="14"/>
      <c r="I203" s="95"/>
      <c r="J203" s="95"/>
      <c r="K203" s="16"/>
      <c r="L203" s="16"/>
      <c r="M203" s="16"/>
      <c r="N203" s="16"/>
      <c r="P203" s="449"/>
      <c r="R203" s="96"/>
      <c r="S203" s="96"/>
    </row>
    <row r="204" spans="1:23" s="17" customFormat="1" ht="15.75" x14ac:dyDescent="0.25">
      <c r="A204" s="558">
        <v>11</v>
      </c>
      <c r="B204" s="97" t="s">
        <v>57</v>
      </c>
      <c r="C204" s="45"/>
      <c r="D204" s="45"/>
      <c r="E204" s="45"/>
      <c r="F204" s="167"/>
      <c r="G204" s="46"/>
      <c r="I204" s="16"/>
      <c r="J204" s="16"/>
      <c r="K204" s="16"/>
      <c r="L204" s="16"/>
      <c r="M204" s="16"/>
      <c r="N204" s="16"/>
      <c r="P204" s="449"/>
      <c r="R204" s="96"/>
      <c r="S204" s="96"/>
    </row>
    <row r="205" spans="1:23" s="17" customFormat="1" ht="15" x14ac:dyDescent="0.25">
      <c r="A205" s="559"/>
      <c r="B205" s="560" t="str">
        <f>"Average weekly gross rent (£ per week) and unit counts by unit size for "&amp;$E$3</f>
        <v xml:space="preserve">Average weekly gross rent (£ per week) and unit counts by unit size for </v>
      </c>
      <c r="C205" s="561"/>
      <c r="D205" s="561"/>
      <c r="E205" s="561"/>
      <c r="F205" s="561"/>
      <c r="G205" s="562"/>
      <c r="I205" s="16"/>
      <c r="J205" s="16"/>
      <c r="K205" s="16"/>
      <c r="L205" s="16"/>
      <c r="M205" s="16"/>
      <c r="N205" s="16"/>
      <c r="P205" s="449"/>
    </row>
    <row r="206" spans="1:23" s="17" customFormat="1" ht="15" x14ac:dyDescent="0.25">
      <c r="A206" s="11"/>
      <c r="B206" s="563"/>
      <c r="C206" s="561"/>
      <c r="D206" s="561"/>
      <c r="E206" s="561"/>
      <c r="F206" s="561"/>
      <c r="G206" s="562"/>
      <c r="I206" s="16"/>
      <c r="J206" s="16"/>
      <c r="K206" s="16"/>
      <c r="L206" s="16"/>
      <c r="M206" s="16"/>
      <c r="N206" s="16"/>
      <c r="P206" s="449"/>
    </row>
    <row r="207" spans="1:23" s="17" customFormat="1" ht="15" x14ac:dyDescent="0.25">
      <c r="A207" s="11"/>
      <c r="B207" s="564"/>
      <c r="C207" s="565"/>
      <c r="D207" s="565"/>
      <c r="E207" s="565"/>
      <c r="F207" s="565"/>
      <c r="G207" s="566"/>
      <c r="I207" s="16"/>
      <c r="J207" s="16"/>
      <c r="K207" s="16"/>
      <c r="L207" s="16"/>
      <c r="M207" s="16"/>
      <c r="N207" s="16"/>
      <c r="P207" s="449"/>
    </row>
    <row r="208" spans="1:23" s="217" customFormat="1" ht="15" x14ac:dyDescent="0.25">
      <c r="A208" s="11"/>
      <c r="B208" s="101" t="str">
        <f>"Average weekly gross rent (£ per week) by unit size for "&amp;$E$3</f>
        <v xml:space="preserve">Average weekly gross rent (£ per week) by unit size for </v>
      </c>
      <c r="E208" s="534" t="s">
        <v>41</v>
      </c>
      <c r="F208" s="145" t="s">
        <v>60</v>
      </c>
      <c r="G208" s="156"/>
      <c r="I208" s="16"/>
      <c r="J208" s="16"/>
      <c r="K208" s="16"/>
      <c r="L208" s="16"/>
      <c r="M208" s="16"/>
      <c r="N208" s="16"/>
      <c r="P208" s="450"/>
      <c r="Q208">
        <v>11</v>
      </c>
      <c r="R208" t="s">
        <v>57</v>
      </c>
      <c r="S208"/>
      <c r="T208"/>
    </row>
    <row r="209" spans="1:20" s="217" customFormat="1" ht="14.45" customHeight="1" x14ac:dyDescent="0.25">
      <c r="A209" s="11"/>
      <c r="B209" s="168" t="s">
        <v>61</v>
      </c>
      <c r="C209" s="147"/>
      <c r="E209" s="147"/>
      <c r="F209" s="147" t="s">
        <v>48</v>
      </c>
      <c r="G209" s="148" t="s">
        <v>49</v>
      </c>
      <c r="I209" s="16"/>
      <c r="J209" s="16"/>
      <c r="K209" s="16"/>
      <c r="L209" s="16"/>
      <c r="M209" s="16"/>
      <c r="N209" s="16"/>
      <c r="P209" s="450"/>
      <c r="Q209"/>
      <c r="R209" t="s">
        <v>869</v>
      </c>
      <c r="S209"/>
      <c r="T209"/>
    </row>
    <row r="210" spans="1:20" s="217" customFormat="1" ht="14.45" customHeight="1" x14ac:dyDescent="0.25">
      <c r="A210" s="11"/>
      <c r="B210" s="333"/>
      <c r="C210" s="150"/>
      <c r="D210" s="309"/>
      <c r="E210" s="150"/>
      <c r="F210" s="150" t="s">
        <v>50</v>
      </c>
      <c r="G210" s="151" t="s">
        <v>53</v>
      </c>
      <c r="I210" s="16"/>
      <c r="J210" s="16"/>
      <c r="K210" s="16"/>
      <c r="L210" s="16"/>
      <c r="M210" s="16"/>
      <c r="N210" s="16"/>
      <c r="P210" s="450"/>
      <c r="Q210"/>
      <c r="R210" t="s">
        <v>870</v>
      </c>
      <c r="S210"/>
      <c r="T210"/>
    </row>
    <row r="211" spans="1:20" s="217" customFormat="1" ht="14.45" customHeight="1" x14ac:dyDescent="0.25">
      <c r="A211" s="11">
        <f t="shared" ref="A211:A220" si="4">$E$3</f>
        <v>0</v>
      </c>
      <c r="B211" s="331" t="s">
        <v>63</v>
      </c>
      <c r="C211" s="348"/>
      <c r="D211" s="351"/>
      <c r="E211" s="350"/>
      <c r="F211" s="499" t="e">
        <f>VLOOKUP($E$3,LA_Data,130,0)</f>
        <v>#N/A</v>
      </c>
      <c r="G211" s="489" t="e">
        <f>VLOOKUP($E$3,LA_Data,131,0)</f>
        <v>#N/A</v>
      </c>
      <c r="I211" s="16"/>
      <c r="J211" s="16"/>
      <c r="K211" s="16"/>
      <c r="L211" s="16"/>
      <c r="M211" s="16"/>
      <c r="N211" s="16"/>
      <c r="P211" s="450"/>
      <c r="Q211"/>
      <c r="R211" t="s">
        <v>61</v>
      </c>
      <c r="S211"/>
      <c r="T211" t="s">
        <v>9778</v>
      </c>
    </row>
    <row r="212" spans="1:20" s="217" customFormat="1" ht="14.45" customHeight="1" x14ac:dyDescent="0.25">
      <c r="A212" s="11">
        <f t="shared" si="4"/>
        <v>0</v>
      </c>
      <c r="B212" s="331" t="s">
        <v>64</v>
      </c>
      <c r="C212" s="350"/>
      <c r="D212" s="351"/>
      <c r="E212" s="350"/>
      <c r="F212" s="500" t="e">
        <f>VLOOKUP($E$3,LA_Data,132,0)</f>
        <v>#N/A</v>
      </c>
      <c r="G212" s="489" t="e">
        <f>VLOOKUP($E$3,LA_Data,133,0)</f>
        <v>#N/A</v>
      </c>
      <c r="I212" s="16"/>
      <c r="J212" s="16"/>
      <c r="K212" s="16"/>
      <c r="L212" s="16"/>
      <c r="M212" s="16"/>
      <c r="N212" s="16"/>
      <c r="P212" s="450"/>
      <c r="Q212" s="205" t="s">
        <v>263</v>
      </c>
      <c r="R212" s="209" t="s">
        <v>204</v>
      </c>
      <c r="S212" t="s">
        <v>63</v>
      </c>
      <c r="T212" s="207">
        <f>HLOOKUP($R212,'2024_LA_and_Region_Data_final'!$E$3:$FR$4,2,0)</f>
        <v>116.94</v>
      </c>
    </row>
    <row r="213" spans="1:20" s="217" customFormat="1" ht="14.45" customHeight="1" x14ac:dyDescent="0.25">
      <c r="A213" s="11">
        <f t="shared" si="4"/>
        <v>0</v>
      </c>
      <c r="B213" s="331" t="s">
        <v>65</v>
      </c>
      <c r="C213" s="350"/>
      <c r="D213" s="351"/>
      <c r="E213" s="350"/>
      <c r="F213" s="500" t="e">
        <f>VLOOKUP($E$3,LA_Data,134,0)</f>
        <v>#N/A</v>
      </c>
      <c r="G213" s="489" t="e">
        <f>VLOOKUP($E$3,LA_Data,135,0)</f>
        <v>#N/A</v>
      </c>
      <c r="I213" s="16"/>
      <c r="J213" s="16"/>
      <c r="K213" s="16"/>
      <c r="L213" s="16"/>
      <c r="M213" s="16"/>
      <c r="N213" s="16"/>
      <c r="P213" s="450"/>
      <c r="Q213" s="205" t="s">
        <v>264</v>
      </c>
      <c r="R213" s="209" t="s">
        <v>206</v>
      </c>
      <c r="S213" t="s">
        <v>64</v>
      </c>
      <c r="T213" s="207">
        <f>HLOOKUP($R213,'2024_LA_and_Region_Data_final'!$E$3:$FR$4,2,0)</f>
        <v>154.9</v>
      </c>
    </row>
    <row r="214" spans="1:20" s="217" customFormat="1" ht="14.45" customHeight="1" x14ac:dyDescent="0.25">
      <c r="A214" s="11">
        <f t="shared" si="4"/>
        <v>0</v>
      </c>
      <c r="B214" s="331" t="s">
        <v>66</v>
      </c>
      <c r="C214" s="350"/>
      <c r="D214" s="351"/>
      <c r="E214" s="350"/>
      <c r="F214" s="500" t="e">
        <f>VLOOKUP($E$3,LA_Data,136,0)</f>
        <v>#N/A</v>
      </c>
      <c r="G214" s="489" t="e">
        <f>VLOOKUP($E$3,LA_Data,137,0)</f>
        <v>#N/A</v>
      </c>
      <c r="I214" s="16"/>
      <c r="J214" s="16"/>
      <c r="K214" s="16"/>
      <c r="L214" s="16"/>
      <c r="M214" s="16"/>
      <c r="N214" s="16"/>
      <c r="P214" s="450"/>
      <c r="Q214" s="205" t="s">
        <v>265</v>
      </c>
      <c r="R214" s="209" t="s">
        <v>208</v>
      </c>
      <c r="S214" t="s">
        <v>65</v>
      </c>
      <c r="T214" s="207">
        <f>HLOOKUP($R214,'2024_LA_and_Region_Data_final'!$E$3:$FR$4,2,0)</f>
        <v>139.82</v>
      </c>
    </row>
    <row r="215" spans="1:20" s="217" customFormat="1" ht="14.45" customHeight="1" x14ac:dyDescent="0.25">
      <c r="A215" s="11">
        <f t="shared" si="4"/>
        <v>0</v>
      </c>
      <c r="B215" s="331" t="s">
        <v>67</v>
      </c>
      <c r="C215" s="350"/>
      <c r="D215" s="351"/>
      <c r="E215" s="350"/>
      <c r="F215" s="500" t="e">
        <f>VLOOKUP($E$3,LA_Data,138,0)</f>
        <v>#N/A</v>
      </c>
      <c r="G215" s="489" t="e">
        <f>VLOOKUP($E$3,LA_Data,139,0)</f>
        <v>#N/A</v>
      </c>
      <c r="I215" s="16"/>
      <c r="J215" s="16"/>
      <c r="K215" s="16"/>
      <c r="L215" s="16"/>
      <c r="M215" s="16"/>
      <c r="N215" s="16"/>
      <c r="P215" s="450"/>
      <c r="Q215" s="205" t="s">
        <v>266</v>
      </c>
      <c r="R215" s="209" t="s">
        <v>210</v>
      </c>
      <c r="S215" t="s">
        <v>66</v>
      </c>
      <c r="T215" s="207">
        <f>HLOOKUP($R215,'2024_LA_and_Region_Data_final'!$E$3:$FR$4,2,0)</f>
        <v>151.5</v>
      </c>
    </row>
    <row r="216" spans="1:20" s="217" customFormat="1" ht="14.45" customHeight="1" x14ac:dyDescent="0.25">
      <c r="A216" s="11">
        <f t="shared" si="4"/>
        <v>0</v>
      </c>
      <c r="B216" s="331" t="s">
        <v>68</v>
      </c>
      <c r="C216" s="350"/>
      <c r="D216" s="351"/>
      <c r="E216" s="350"/>
      <c r="F216" s="500" t="e">
        <f>VLOOKUP($E$3,LA_Data,140,0)</f>
        <v>#N/A</v>
      </c>
      <c r="G216" s="489" t="e">
        <f>VLOOKUP($E$3,LA_Data,141,0)</f>
        <v>#N/A</v>
      </c>
      <c r="I216" s="16"/>
      <c r="J216" s="16"/>
      <c r="K216" s="16"/>
      <c r="L216" s="16"/>
      <c r="M216" s="16"/>
      <c r="N216" s="16"/>
      <c r="P216" s="450"/>
      <c r="Q216" s="205" t="s">
        <v>267</v>
      </c>
      <c r="R216" s="209" t="s">
        <v>212</v>
      </c>
      <c r="S216" t="s">
        <v>67</v>
      </c>
      <c r="T216" s="207">
        <f>HLOOKUP($R216,'2024_LA_and_Region_Data_final'!$E$3:$FR$4,2,0)</f>
        <v>163.54</v>
      </c>
    </row>
    <row r="217" spans="1:20" s="217" customFormat="1" ht="14.45" customHeight="1" x14ac:dyDescent="0.25">
      <c r="A217" s="11">
        <f t="shared" si="4"/>
        <v>0</v>
      </c>
      <c r="B217" s="331" t="s">
        <v>69</v>
      </c>
      <c r="C217" s="350"/>
      <c r="D217" s="351"/>
      <c r="E217" s="350"/>
      <c r="F217" s="500" t="e">
        <f>VLOOKUP($E$3,LA_Data,142,0)</f>
        <v>#N/A</v>
      </c>
      <c r="G217" s="489" t="e">
        <f>VLOOKUP($E$3,LA_Data,143,0)</f>
        <v>#N/A</v>
      </c>
      <c r="I217" s="16"/>
      <c r="J217" s="16"/>
      <c r="K217" s="16"/>
      <c r="L217" s="16"/>
      <c r="M217" s="16"/>
      <c r="N217" s="16"/>
      <c r="P217" s="450"/>
      <c r="Q217" s="205" t="s">
        <v>268</v>
      </c>
      <c r="R217" s="209" t="s">
        <v>214</v>
      </c>
      <c r="S217" t="s">
        <v>68</v>
      </c>
      <c r="T217" s="207">
        <f>HLOOKUP($R217,'2024_LA_and_Region_Data_final'!$E$3:$FR$4,2,0)</f>
        <v>207.12</v>
      </c>
    </row>
    <row r="218" spans="1:20" s="217" customFormat="1" ht="14.45" customHeight="1" x14ac:dyDescent="0.25">
      <c r="A218" s="11">
        <f t="shared" si="4"/>
        <v>0</v>
      </c>
      <c r="B218" s="331" t="s">
        <v>70</v>
      </c>
      <c r="C218" s="350"/>
      <c r="D218" s="351"/>
      <c r="E218" s="350"/>
      <c r="F218" s="500" t="e">
        <f>VLOOKUP($E$3,LA_Data,144,0)</f>
        <v>#N/A</v>
      </c>
      <c r="G218" s="489" t="e">
        <f>VLOOKUP($E$3,LA_Data,145,0)</f>
        <v>#N/A</v>
      </c>
      <c r="I218" s="16"/>
      <c r="J218" s="16"/>
      <c r="K218" s="16"/>
      <c r="L218" s="16"/>
      <c r="M218" s="16"/>
      <c r="N218" s="16"/>
      <c r="P218" s="450"/>
      <c r="Q218" s="205" t="s">
        <v>269</v>
      </c>
      <c r="R218" s="209" t="s">
        <v>216</v>
      </c>
      <c r="S218" t="s">
        <v>69</v>
      </c>
      <c r="T218" s="207">
        <f>HLOOKUP($R218,'2024_LA_and_Region_Data_final'!$E$3:$FR$4,2,0)</f>
        <v>197.58</v>
      </c>
    </row>
    <row r="219" spans="1:20" s="217" customFormat="1" ht="14.45" customHeight="1" x14ac:dyDescent="0.25">
      <c r="A219" s="11">
        <f t="shared" si="4"/>
        <v>0</v>
      </c>
      <c r="B219" s="333" t="s">
        <v>71</v>
      </c>
      <c r="C219" s="352"/>
      <c r="D219" s="353"/>
      <c r="E219" s="352"/>
      <c r="F219" s="501" t="e">
        <f>VLOOKUP($E$3,LA_Data,146,0)</f>
        <v>#N/A</v>
      </c>
      <c r="G219" s="490" t="e">
        <f>VLOOKUP($E$3,LA_Data,147,0)</f>
        <v>#N/A</v>
      </c>
      <c r="I219" s="16"/>
      <c r="J219" s="16"/>
      <c r="K219" s="16"/>
      <c r="L219" s="16"/>
      <c r="M219" s="16"/>
      <c r="N219" s="16"/>
      <c r="P219" s="450"/>
      <c r="Q219" s="205" t="s">
        <v>270</v>
      </c>
      <c r="R219" s="209" t="s">
        <v>218</v>
      </c>
      <c r="S219" t="s">
        <v>70</v>
      </c>
      <c r="T219" s="207">
        <f>HLOOKUP($R219,'2024_LA_and_Region_Data_final'!$E$3:$FR$4,2,0)</f>
        <v>222.65</v>
      </c>
    </row>
    <row r="220" spans="1:20" s="217" customFormat="1" ht="14.45" customHeight="1" x14ac:dyDescent="0.25">
      <c r="A220" s="11">
        <f t="shared" si="4"/>
        <v>0</v>
      </c>
      <c r="B220" s="33" t="s">
        <v>72</v>
      </c>
      <c r="C220" s="135"/>
      <c r="D220" s="353"/>
      <c r="E220" s="135"/>
      <c r="F220" s="502" t="e">
        <f>VLOOKUP($E$3,LA_Data,148,0)</f>
        <v>#N/A</v>
      </c>
      <c r="G220" s="491" t="e">
        <f>VLOOKUP($E$3,LA_Data,149,0)</f>
        <v>#N/A</v>
      </c>
      <c r="I220" s="16"/>
      <c r="J220" s="16"/>
      <c r="K220" s="16"/>
      <c r="L220" s="16"/>
      <c r="M220" s="16"/>
      <c r="N220" s="16"/>
      <c r="P220" s="450"/>
      <c r="Q220" s="205" t="s">
        <v>271</v>
      </c>
      <c r="R220" s="209" t="s">
        <v>220</v>
      </c>
      <c r="S220" t="s">
        <v>867</v>
      </c>
      <c r="T220" s="207">
        <f>HLOOKUP($R220,'2024_LA_and_Region_Data_final'!$E$3:$FR$4,2,0)</f>
        <v>154.41999999999999</v>
      </c>
    </row>
    <row r="221" spans="1:20" s="17" customFormat="1" ht="14.45" customHeight="1" x14ac:dyDescent="0.25">
      <c r="A221" s="11"/>
      <c r="B221" s="126"/>
      <c r="G221" s="66"/>
      <c r="I221" s="16"/>
      <c r="J221" s="16"/>
      <c r="K221" s="16"/>
      <c r="L221" s="16"/>
      <c r="M221" s="16"/>
      <c r="N221" s="16"/>
      <c r="P221" s="449"/>
      <c r="Q221" s="205" t="s">
        <v>272</v>
      </c>
      <c r="R221" s="209" t="s">
        <v>222</v>
      </c>
      <c r="S221" t="s">
        <v>868</v>
      </c>
      <c r="T221" s="207">
        <f>HLOOKUP($R221,'2024_LA_and_Region_Data_final'!$E$3:$FR$4,2,0)</f>
        <v>154.41</v>
      </c>
    </row>
    <row r="222" spans="1:20" s="17" customFormat="1" ht="15" x14ac:dyDescent="0.25">
      <c r="A222" s="11"/>
      <c r="B222" s="552" t="s">
        <v>58</v>
      </c>
      <c r="C222" s="553"/>
      <c r="D222" s="553"/>
      <c r="E222" s="553"/>
      <c r="F222" s="553"/>
      <c r="G222" s="554"/>
      <c r="I222" s="16"/>
      <c r="J222" s="16"/>
      <c r="K222" s="16"/>
      <c r="L222" s="16"/>
      <c r="M222" s="16"/>
      <c r="N222" s="16"/>
      <c r="P222" s="449"/>
    </row>
    <row r="223" spans="1:20" s="17" customFormat="1" ht="12.75" customHeight="1" x14ac:dyDescent="0.25">
      <c r="A223" s="11"/>
      <c r="B223" s="552"/>
      <c r="C223" s="553"/>
      <c r="D223" s="553"/>
      <c r="E223" s="553"/>
      <c r="F223" s="553"/>
      <c r="G223" s="554"/>
      <c r="I223" s="16"/>
      <c r="J223" s="16"/>
      <c r="K223" s="16"/>
      <c r="L223" s="16"/>
      <c r="M223" s="16"/>
      <c r="N223" s="16"/>
      <c r="P223" s="449"/>
    </row>
    <row r="224" spans="1:20" s="17" customFormat="1" ht="15" x14ac:dyDescent="0.25">
      <c r="A224" s="11"/>
      <c r="B224" s="121" t="s">
        <v>14364</v>
      </c>
      <c r="C224" s="26"/>
      <c r="D224" s="26"/>
      <c r="E224" s="26"/>
      <c r="F224" s="26"/>
      <c r="G224" s="72"/>
      <c r="I224" s="16"/>
      <c r="J224" s="16"/>
      <c r="K224" s="16"/>
      <c r="L224" s="16"/>
      <c r="M224" s="16"/>
      <c r="N224" s="16"/>
      <c r="P224" s="449"/>
    </row>
    <row r="225" spans="1:20" s="17" customFormat="1" ht="15" x14ac:dyDescent="0.25">
      <c r="A225" s="11"/>
      <c r="B225" s="144" t="e">
        <f>IF($G$240=0,"This section is blank as there is no Affordable Rent supported housing/housing for older people stock","")</f>
        <v>#N/A</v>
      </c>
      <c r="E225" s="14"/>
      <c r="F225" s="14"/>
      <c r="G225" s="14"/>
      <c r="I225" s="95"/>
      <c r="J225" s="95"/>
      <c r="K225" s="16"/>
      <c r="L225" s="16"/>
      <c r="M225" s="16"/>
      <c r="N225" s="16"/>
      <c r="P225" s="449"/>
    </row>
    <row r="226" spans="1:20" s="17" customFormat="1" ht="15.75" x14ac:dyDescent="0.25">
      <c r="A226" s="558">
        <v>12</v>
      </c>
      <c r="B226" s="97" t="s">
        <v>10521</v>
      </c>
      <c r="C226" s="45"/>
      <c r="D226" s="45"/>
      <c r="E226" s="45"/>
      <c r="F226" s="167"/>
      <c r="G226" s="46"/>
      <c r="I226" s="16"/>
      <c r="J226" s="16"/>
      <c r="K226" s="16"/>
      <c r="L226" s="16"/>
      <c r="M226" s="16"/>
      <c r="N226" s="16"/>
      <c r="P226" s="449"/>
    </row>
    <row r="227" spans="1:20" s="17" customFormat="1" ht="15" x14ac:dyDescent="0.25">
      <c r="A227" s="567"/>
      <c r="B227" s="568" t="str">
        <f>"Average weekly gross rent (£ per week) and unit counts by unit size for "&amp;$E$3</f>
        <v xml:space="preserve">Average weekly gross rent (£ per week) and unit counts by unit size for </v>
      </c>
      <c r="C227" s="561"/>
      <c r="D227" s="561"/>
      <c r="E227" s="561"/>
      <c r="F227" s="561"/>
      <c r="G227" s="562"/>
      <c r="I227" s="16"/>
      <c r="J227" s="16"/>
      <c r="K227" s="16"/>
      <c r="L227" s="16"/>
      <c r="M227" s="16"/>
      <c r="N227" s="16"/>
      <c r="P227" s="449"/>
    </row>
    <row r="228" spans="1:20" s="17" customFormat="1" ht="15" x14ac:dyDescent="0.25">
      <c r="A228" s="11"/>
      <c r="B228" s="563"/>
      <c r="C228" s="561"/>
      <c r="D228" s="561"/>
      <c r="E228" s="561"/>
      <c r="F228" s="561"/>
      <c r="G228" s="562"/>
      <c r="I228" s="16"/>
      <c r="J228" s="16"/>
      <c r="K228" s="16"/>
      <c r="L228" s="16"/>
      <c r="M228" s="16"/>
      <c r="N228" s="16"/>
      <c r="P228" s="449"/>
    </row>
    <row r="229" spans="1:20" s="17" customFormat="1" ht="15" x14ac:dyDescent="0.25">
      <c r="A229" s="11"/>
      <c r="B229" s="564"/>
      <c r="C229" s="565"/>
      <c r="D229" s="565"/>
      <c r="E229" s="565"/>
      <c r="F229" s="565"/>
      <c r="G229" s="566"/>
      <c r="I229" s="16"/>
      <c r="J229" s="16"/>
      <c r="K229" s="16"/>
      <c r="L229" s="16"/>
      <c r="M229" s="16"/>
      <c r="N229" s="16"/>
      <c r="P229" s="449"/>
      <c r="Q229">
        <v>12</v>
      </c>
      <c r="R229" t="s">
        <v>59</v>
      </c>
      <c r="S229"/>
      <c r="T229"/>
    </row>
    <row r="230" spans="1:20" s="17" customFormat="1" ht="12.75" customHeight="1" x14ac:dyDescent="0.25">
      <c r="A230" s="11"/>
      <c r="B230" s="169" t="str">
        <f>"Average weekly gross rent (£ per week) by unit size for "&amp;$E$3</f>
        <v xml:space="preserve">Average weekly gross rent (£ per week) by unit size for </v>
      </c>
      <c r="E230" s="534" t="s">
        <v>41</v>
      </c>
      <c r="F230" s="155" t="s">
        <v>60</v>
      </c>
      <c r="G230" s="156"/>
      <c r="I230" s="16"/>
      <c r="J230" s="16"/>
      <c r="K230" s="16"/>
      <c r="L230" s="16"/>
      <c r="M230" s="16"/>
      <c r="N230" s="16"/>
      <c r="P230" s="449"/>
      <c r="Q230"/>
      <c r="R230" t="s">
        <v>869</v>
      </c>
      <c r="S230"/>
      <c r="T230"/>
    </row>
    <row r="231" spans="1:20" s="17" customFormat="1" ht="14.45" customHeight="1" x14ac:dyDescent="0.25">
      <c r="A231" s="11"/>
      <c r="B231" s="168" t="s">
        <v>61</v>
      </c>
      <c r="C231" s="147"/>
      <c r="E231" s="147"/>
      <c r="F231" s="147" t="s">
        <v>48</v>
      </c>
      <c r="G231" s="148" t="s">
        <v>49</v>
      </c>
      <c r="I231" s="16"/>
      <c r="J231" s="16"/>
      <c r="K231" s="16"/>
      <c r="L231" s="16"/>
      <c r="M231" s="16"/>
      <c r="N231" s="16"/>
      <c r="P231" s="449"/>
      <c r="Q231"/>
      <c r="R231" t="s">
        <v>870</v>
      </c>
      <c r="S231"/>
      <c r="T231"/>
    </row>
    <row r="232" spans="1:20" s="17" customFormat="1" ht="14.45" customHeight="1" x14ac:dyDescent="0.25">
      <c r="A232" s="11"/>
      <c r="B232" s="170"/>
      <c r="C232" s="150"/>
      <c r="D232" s="26"/>
      <c r="E232" s="150"/>
      <c r="F232" s="150" t="s">
        <v>50</v>
      </c>
      <c r="G232" s="151" t="s">
        <v>53</v>
      </c>
      <c r="I232" s="16"/>
      <c r="J232" s="16"/>
      <c r="K232" s="16"/>
      <c r="L232" s="16"/>
      <c r="M232" s="16"/>
      <c r="N232" s="16"/>
      <c r="P232" s="449"/>
      <c r="Q232"/>
      <c r="R232" t="s">
        <v>61</v>
      </c>
      <c r="S232"/>
      <c r="T232" t="s">
        <v>9778</v>
      </c>
    </row>
    <row r="233" spans="1:20" s="217" customFormat="1" ht="14.45" customHeight="1" x14ac:dyDescent="0.25">
      <c r="A233" s="11">
        <f t="shared" ref="A233:A240" si="5">$E$3</f>
        <v>0</v>
      </c>
      <c r="B233" s="159" t="s">
        <v>63</v>
      </c>
      <c r="C233" s="171"/>
      <c r="D233" s="351"/>
      <c r="E233" s="160"/>
      <c r="F233" s="495" t="e">
        <f>VLOOKUP($E$3,LA_Data,150,0)</f>
        <v>#N/A</v>
      </c>
      <c r="G233" s="492" t="e">
        <f>VLOOKUP($E$3,LA_Data,151,0)</f>
        <v>#N/A</v>
      </c>
      <c r="I233" s="16"/>
      <c r="J233" s="16"/>
      <c r="K233" s="16"/>
      <c r="L233" s="16"/>
      <c r="M233" s="16"/>
      <c r="N233" s="16"/>
      <c r="P233" s="450"/>
      <c r="Q233" s="205" t="s">
        <v>273</v>
      </c>
      <c r="R233" s="210" t="s">
        <v>224</v>
      </c>
      <c r="S233" t="s">
        <v>63</v>
      </c>
      <c r="T233" s="207">
        <f>HLOOKUP($R233,'2024_LA_and_Region_Data_final'!$E$3:$FR$4,2,0)</f>
        <v>268.17</v>
      </c>
    </row>
    <row r="234" spans="1:20" s="217" customFormat="1" ht="14.45" customHeight="1" x14ac:dyDescent="0.25">
      <c r="A234" s="11">
        <f t="shared" si="5"/>
        <v>0</v>
      </c>
      <c r="B234" s="159" t="s">
        <v>64</v>
      </c>
      <c r="C234" s="160"/>
      <c r="D234" s="351"/>
      <c r="E234" s="160"/>
      <c r="F234" s="496" t="e">
        <f>VLOOKUP($E$3,LA_Data,152,0)</f>
        <v>#N/A</v>
      </c>
      <c r="G234" s="492" t="e">
        <f>VLOOKUP($E$3,LA_Data,153,0)</f>
        <v>#N/A</v>
      </c>
      <c r="I234" s="16"/>
      <c r="J234" s="16"/>
      <c r="K234" s="16"/>
      <c r="L234" s="16"/>
      <c r="M234" s="16"/>
      <c r="N234" s="16"/>
      <c r="P234" s="450"/>
      <c r="Q234" s="205" t="s">
        <v>274</v>
      </c>
      <c r="R234" s="210" t="s">
        <v>226</v>
      </c>
      <c r="S234" t="s">
        <v>64</v>
      </c>
      <c r="T234" s="207">
        <f>HLOOKUP($R234,'2024_LA_and_Region_Data_final'!$E$3:$FR$4,2,0)</f>
        <v>219.36</v>
      </c>
    </row>
    <row r="235" spans="1:20" s="217" customFormat="1" ht="14.45" customHeight="1" x14ac:dyDescent="0.25">
      <c r="A235" s="11">
        <f t="shared" si="5"/>
        <v>0</v>
      </c>
      <c r="B235" s="159" t="s">
        <v>65</v>
      </c>
      <c r="C235" s="160"/>
      <c r="D235" s="351"/>
      <c r="E235" s="160"/>
      <c r="F235" s="496" t="e">
        <f>VLOOKUP($E$3,LA_Data,154,0)</f>
        <v>#N/A</v>
      </c>
      <c r="G235" s="492" t="e">
        <f>VLOOKUP($E$3,LA_Data,155,0)</f>
        <v>#N/A</v>
      </c>
      <c r="I235" s="16"/>
      <c r="J235" s="16"/>
      <c r="K235" s="16"/>
      <c r="L235" s="16"/>
      <c r="M235" s="16"/>
      <c r="N235" s="16"/>
      <c r="P235" s="450"/>
      <c r="Q235" s="205" t="s">
        <v>275</v>
      </c>
      <c r="R235" s="210" t="s">
        <v>228</v>
      </c>
      <c r="S235" t="s">
        <v>65</v>
      </c>
      <c r="T235" s="207">
        <f>HLOOKUP($R235,'2024_LA_and_Region_Data_final'!$E$3:$FR$4,2,0)</f>
        <v>211.84</v>
      </c>
    </row>
    <row r="236" spans="1:20" s="217" customFormat="1" ht="14.45" customHeight="1" x14ac:dyDescent="0.25">
      <c r="A236" s="11">
        <f t="shared" si="5"/>
        <v>0</v>
      </c>
      <c r="B236" s="159" t="s">
        <v>66</v>
      </c>
      <c r="C236" s="160"/>
      <c r="D236" s="351"/>
      <c r="E236" s="160"/>
      <c r="F236" s="496" t="e">
        <f>VLOOKUP($E$3,LA_Data,156,0)</f>
        <v>#N/A</v>
      </c>
      <c r="G236" s="492" t="e">
        <f>VLOOKUP($E$3,LA_Data,157,0)</f>
        <v>#N/A</v>
      </c>
      <c r="I236" s="16"/>
      <c r="J236" s="16"/>
      <c r="K236" s="16"/>
      <c r="L236" s="16"/>
      <c r="M236" s="16"/>
      <c r="N236" s="16"/>
      <c r="P236" s="450"/>
      <c r="Q236" s="205" t="s">
        <v>276</v>
      </c>
      <c r="R236" s="210" t="s">
        <v>230</v>
      </c>
      <c r="S236" t="s">
        <v>66</v>
      </c>
      <c r="T236" s="207">
        <f>HLOOKUP($R236,'2024_LA_and_Region_Data_final'!$E$3:$FR$4,2,0)</f>
        <v>214.75</v>
      </c>
    </row>
    <row r="237" spans="1:20" s="217" customFormat="1" ht="14.45" customHeight="1" x14ac:dyDescent="0.25">
      <c r="A237" s="11">
        <f t="shared" si="5"/>
        <v>0</v>
      </c>
      <c r="B237" s="159" t="s">
        <v>67</v>
      </c>
      <c r="C237" s="160"/>
      <c r="D237" s="351"/>
      <c r="E237" s="160"/>
      <c r="F237" s="496" t="e">
        <f>VLOOKUP($E$3,LA_Data,158,0)</f>
        <v>#N/A</v>
      </c>
      <c r="G237" s="492" t="e">
        <f>VLOOKUP($E$3,LA_Data,159,0)</f>
        <v>#N/A</v>
      </c>
      <c r="I237" s="16"/>
      <c r="J237" s="16"/>
      <c r="K237" s="16"/>
      <c r="L237" s="16"/>
      <c r="M237" s="16"/>
      <c r="N237" s="16"/>
      <c r="P237" s="450"/>
      <c r="Q237" s="205" t="s">
        <v>277</v>
      </c>
      <c r="R237" s="210" t="s">
        <v>232</v>
      </c>
      <c r="S237" t="s">
        <v>67</v>
      </c>
      <c r="T237" s="207">
        <f>HLOOKUP($R237,'2024_LA_and_Region_Data_final'!$E$3:$FR$4,2,0)</f>
        <v>215.91</v>
      </c>
    </row>
    <row r="238" spans="1:20" s="217" customFormat="1" ht="14.45" customHeight="1" x14ac:dyDescent="0.25">
      <c r="A238" s="11">
        <f t="shared" si="5"/>
        <v>0</v>
      </c>
      <c r="B238" s="159" t="s">
        <v>75</v>
      </c>
      <c r="C238" s="160"/>
      <c r="D238" s="351"/>
      <c r="E238" s="160"/>
      <c r="F238" s="496" t="e">
        <f>VLOOKUP($E$3,LA_Data,160,0)</f>
        <v>#N/A</v>
      </c>
      <c r="G238" s="492" t="e">
        <f>VLOOKUP($E$3,LA_Data,161,0)</f>
        <v>#N/A</v>
      </c>
      <c r="I238" s="16"/>
      <c r="J238" s="16"/>
      <c r="K238" s="16"/>
      <c r="L238" s="16"/>
      <c r="M238" s="16"/>
      <c r="N238" s="16"/>
      <c r="P238" s="450"/>
      <c r="Q238" s="205" t="s">
        <v>278</v>
      </c>
      <c r="R238" s="210" t="s">
        <v>234</v>
      </c>
      <c r="S238" t="s">
        <v>75</v>
      </c>
      <c r="T238" s="207">
        <f>HLOOKUP($R238,'2024_LA_and_Region_Data_final'!$E$3:$FR$4,2,0)</f>
        <v>230.76</v>
      </c>
    </row>
    <row r="239" spans="1:20" s="217" customFormat="1" ht="14.45" customHeight="1" x14ac:dyDescent="0.25">
      <c r="A239" s="11">
        <f t="shared" si="5"/>
        <v>0</v>
      </c>
      <c r="B239" s="333" t="s">
        <v>71</v>
      </c>
      <c r="C239" s="161"/>
      <c r="D239" s="353"/>
      <c r="E239" s="161"/>
      <c r="F239" s="497" t="e">
        <f>VLOOKUP($E$3,LA_Data,162,0)</f>
        <v>#N/A</v>
      </c>
      <c r="G239" s="493" t="e">
        <f>VLOOKUP($E$3,LA_Data,163,0)</f>
        <v>#N/A</v>
      </c>
      <c r="I239" s="16"/>
      <c r="J239" s="16"/>
      <c r="K239" s="16"/>
      <c r="L239" s="16"/>
      <c r="M239" s="16"/>
      <c r="N239" s="16"/>
      <c r="P239" s="450"/>
      <c r="Q239" s="205" t="s">
        <v>279</v>
      </c>
      <c r="R239" s="210" t="s">
        <v>236</v>
      </c>
      <c r="S239" t="s">
        <v>867</v>
      </c>
      <c r="T239" s="207">
        <f>HLOOKUP($R239,'2024_LA_and_Region_Data_final'!$E$3:$FR$4,2,0)</f>
        <v>213.38</v>
      </c>
    </row>
    <row r="240" spans="1:20" s="217" customFormat="1" ht="14.45" customHeight="1" x14ac:dyDescent="0.25">
      <c r="A240" s="11">
        <f t="shared" si="5"/>
        <v>0</v>
      </c>
      <c r="B240" s="33" t="s">
        <v>72</v>
      </c>
      <c r="C240" s="162"/>
      <c r="D240" s="353"/>
      <c r="E240" s="162"/>
      <c r="F240" s="498" t="e">
        <f>VLOOKUP($E$3,LA_Data,164,0)</f>
        <v>#N/A</v>
      </c>
      <c r="G240" s="494" t="e">
        <f>VLOOKUP($E$3,LA_Data,165,0)</f>
        <v>#N/A</v>
      </c>
      <c r="I240" s="16"/>
      <c r="J240" s="16"/>
      <c r="K240" s="16"/>
      <c r="L240" s="16"/>
      <c r="M240" s="16"/>
      <c r="N240" s="16"/>
      <c r="P240" s="450"/>
      <c r="Q240" s="205" t="s">
        <v>280</v>
      </c>
      <c r="R240" s="210" t="s">
        <v>238</v>
      </c>
      <c r="S240" t="s">
        <v>868</v>
      </c>
      <c r="T240" s="207">
        <f>HLOOKUP($R240,'2024_LA_and_Region_Data_final'!$E$3:$FR$4,2,0)</f>
        <v>215.76</v>
      </c>
    </row>
    <row r="241" spans="1:21" s="17" customFormat="1" ht="14.45" customHeight="1" x14ac:dyDescent="0.25">
      <c r="A241" s="11"/>
      <c r="B241" s="126"/>
      <c r="C241" s="53"/>
      <c r="D241" s="53"/>
      <c r="E241" s="53"/>
      <c r="F241" s="53"/>
      <c r="G241" s="127"/>
      <c r="I241" s="16"/>
      <c r="J241" s="16"/>
      <c r="K241" s="16"/>
      <c r="L241" s="16"/>
      <c r="M241" s="16"/>
      <c r="N241" s="16"/>
      <c r="P241" s="449"/>
    </row>
    <row r="242" spans="1:21" s="17" customFormat="1" ht="15" x14ac:dyDescent="0.25">
      <c r="A242" s="11"/>
      <c r="B242" s="552" t="s">
        <v>58</v>
      </c>
      <c r="C242" s="553"/>
      <c r="D242" s="553"/>
      <c r="E242" s="553"/>
      <c r="F242" s="553"/>
      <c r="G242" s="554"/>
      <c r="I242" s="16"/>
      <c r="J242" s="16"/>
      <c r="K242" s="16"/>
      <c r="L242" s="16"/>
      <c r="M242" s="16"/>
      <c r="N242" s="16"/>
      <c r="P242" s="449"/>
    </row>
    <row r="243" spans="1:21" s="17" customFormat="1" ht="15" x14ac:dyDescent="0.25">
      <c r="A243" s="11"/>
      <c r="B243" s="552"/>
      <c r="C243" s="553"/>
      <c r="D243" s="553"/>
      <c r="E243" s="553"/>
      <c r="F243" s="553"/>
      <c r="G243" s="554"/>
      <c r="I243" s="16"/>
      <c r="J243" s="16"/>
      <c r="K243" s="16"/>
      <c r="L243" s="16"/>
      <c r="M243" s="16"/>
      <c r="N243" s="16"/>
      <c r="P243" s="449"/>
    </row>
    <row r="244" spans="1:21" s="17" customFormat="1" ht="12.75" customHeight="1" x14ac:dyDescent="0.25">
      <c r="A244" s="11"/>
      <c r="B244" s="172"/>
      <c r="C244" s="2"/>
      <c r="D244" s="2"/>
      <c r="E244" s="2"/>
      <c r="F244" s="2"/>
      <c r="G244" s="173"/>
      <c r="I244" s="16"/>
      <c r="J244" s="16"/>
      <c r="K244" s="16"/>
      <c r="L244" s="16"/>
      <c r="M244" s="16"/>
      <c r="N244" s="16"/>
      <c r="P244" s="449"/>
    </row>
    <row r="245" spans="1:21" s="17" customFormat="1" ht="15" x14ac:dyDescent="0.25">
      <c r="A245" s="11"/>
      <c r="B245" s="172"/>
      <c r="C245" s="2"/>
      <c r="D245" s="2"/>
      <c r="E245" s="2"/>
      <c r="F245" s="2"/>
      <c r="G245" s="173"/>
      <c r="I245" s="16"/>
      <c r="J245" s="16"/>
      <c r="K245" s="16"/>
      <c r="L245" s="16"/>
      <c r="M245" s="16"/>
      <c r="N245" s="16"/>
      <c r="P245" s="449"/>
      <c r="T245" s="18"/>
      <c r="U245" s="18"/>
    </row>
    <row r="246" spans="1:21" s="17" customFormat="1" ht="15" x14ac:dyDescent="0.25">
      <c r="A246" s="11"/>
      <c r="B246" s="174" t="s">
        <v>14364</v>
      </c>
      <c r="C246" s="59"/>
      <c r="D246" s="59"/>
      <c r="E246" s="59"/>
      <c r="F246" s="59"/>
      <c r="G246" s="175"/>
      <c r="I246" s="16"/>
      <c r="J246" s="16"/>
      <c r="K246" s="16"/>
      <c r="L246" s="16"/>
      <c r="M246" s="16"/>
      <c r="N246" s="16"/>
      <c r="P246" s="449"/>
    </row>
    <row r="247" spans="1:21" ht="15" x14ac:dyDescent="0.25">
      <c r="E247" s="177"/>
      <c r="F247" s="177"/>
      <c r="G247" s="177"/>
      <c r="I247" s="16"/>
      <c r="J247" s="16"/>
      <c r="K247" s="16"/>
      <c r="L247" s="16"/>
      <c r="M247" s="16"/>
      <c r="N247" s="16"/>
      <c r="R247" s="17"/>
      <c r="S247" s="17"/>
      <c r="T247" s="17"/>
      <c r="U247" s="17"/>
    </row>
    <row r="248" spans="1:21" ht="12.75" x14ac:dyDescent="0.2"/>
    <row r="249" spans="1:21" ht="12.6" customHeight="1" x14ac:dyDescent="0.2"/>
  </sheetData>
  <sheetProtection algorithmName="SHA-512" hashValue="S3lUWVMbDb5PLs19+7G9t4Zld+771tE4Y6K2L7b8OXyTu3PE+XbEqWxAeBio7IVEa57dfPQvkhK8DW52h+O1BQ==" saltValue="ZbzeEVnDQnkUWtRAZRyImA==" spinCount="100000" sheet="1" formatRows="0"/>
  <mergeCells count="53">
    <mergeCell ref="B1:O1"/>
    <mergeCell ref="E3:G3"/>
    <mergeCell ref="A7:A8"/>
    <mergeCell ref="B7:G9"/>
    <mergeCell ref="A21:A22"/>
    <mergeCell ref="B21:C23"/>
    <mergeCell ref="D21:E23"/>
    <mergeCell ref="F21:F23"/>
    <mergeCell ref="G21:G23"/>
    <mergeCell ref="E5:G5"/>
    <mergeCell ref="A28:A29"/>
    <mergeCell ref="B28:D28"/>
    <mergeCell ref="B29:G30"/>
    <mergeCell ref="D31:E33"/>
    <mergeCell ref="F31:F33"/>
    <mergeCell ref="G31:G33"/>
    <mergeCell ref="L31:M33"/>
    <mergeCell ref="N31:N33"/>
    <mergeCell ref="O31:O33"/>
    <mergeCell ref="B46:G48"/>
    <mergeCell ref="A50:A51"/>
    <mergeCell ref="B51:G52"/>
    <mergeCell ref="T51:T53"/>
    <mergeCell ref="U51:U53"/>
    <mergeCell ref="D53:E55"/>
    <mergeCell ref="F53:F55"/>
    <mergeCell ref="G53:G55"/>
    <mergeCell ref="R55:S57"/>
    <mergeCell ref="B68:B69"/>
    <mergeCell ref="A71:A72"/>
    <mergeCell ref="B72:G75"/>
    <mergeCell ref="B89:G91"/>
    <mergeCell ref="A94:A95"/>
    <mergeCell ref="B95:G98"/>
    <mergeCell ref="B111:G113"/>
    <mergeCell ref="A116:A117"/>
    <mergeCell ref="B117:G120"/>
    <mergeCell ref="B133:G135"/>
    <mergeCell ref="A138:A139"/>
    <mergeCell ref="B139:G141"/>
    <mergeCell ref="B155:G157"/>
    <mergeCell ref="A160:A161"/>
    <mergeCell ref="B161:G163"/>
    <mergeCell ref="B178:G179"/>
    <mergeCell ref="A182:A183"/>
    <mergeCell ref="B183:G185"/>
    <mergeCell ref="B242:G243"/>
    <mergeCell ref="B199:G200"/>
    <mergeCell ref="A204:A205"/>
    <mergeCell ref="B205:G207"/>
    <mergeCell ref="B222:G223"/>
    <mergeCell ref="A226:A227"/>
    <mergeCell ref="B227:G229"/>
  </mergeCells>
  <conditionalFormatting sqref="B18">
    <cfRule type="expression" dxfId="121" priority="10">
      <formula>$C$5="BLANKIT"</formula>
    </cfRule>
  </conditionalFormatting>
  <conditionalFormatting sqref="B18:G18">
    <cfRule type="expression" dxfId="120" priority="36">
      <formula>$B$18=$E$3</formula>
    </cfRule>
  </conditionalFormatting>
  <conditionalFormatting sqref="B19:G19">
    <cfRule type="expression" dxfId="119" priority="37">
      <formula>$B$19=$E$3</formula>
    </cfRule>
  </conditionalFormatting>
  <conditionalFormatting sqref="C209:C210 E209:G210 C231:C232 E231:G232">
    <cfRule type="expression" dxfId="118" priority="34">
      <formula>#REF!=#REF!</formula>
    </cfRule>
  </conditionalFormatting>
  <conditionalFormatting sqref="D21:E23">
    <cfRule type="expression" dxfId="117" priority="15">
      <formula>$D$21=$G$21</formula>
    </cfRule>
    <cfRule type="expression" dxfId="116" priority="16">
      <formula>$D$21=$F$21</formula>
    </cfRule>
  </conditionalFormatting>
  <conditionalFormatting sqref="D31:E36 L39 L40:M42">
    <cfRule type="expression" dxfId="115" priority="32">
      <formula>$D$21=$F$21</formula>
    </cfRule>
  </conditionalFormatting>
  <conditionalFormatting sqref="D31:F36 L39 N39 L40:N42">
    <cfRule type="expression" dxfId="114" priority="33">
      <formula>$D$21=$G$21</formula>
    </cfRule>
  </conditionalFormatting>
  <conditionalFormatting sqref="E24:E26">
    <cfRule type="expression" dxfId="113" priority="18">
      <formula>$D$21=$G$21</formula>
    </cfRule>
    <cfRule type="expression" dxfId="112" priority="19">
      <formula>$D$21=$F$21</formula>
    </cfRule>
  </conditionalFormatting>
  <conditionalFormatting sqref="E39:E41">
    <cfRule type="expression" dxfId="111" priority="30">
      <formula>$D$21=$F$21</formula>
    </cfRule>
  </conditionalFormatting>
  <conditionalFormatting sqref="E44:E45">
    <cfRule type="expression" dxfId="110" priority="28">
      <formula>$D$21=$F$21</formula>
    </cfRule>
  </conditionalFormatting>
  <conditionalFormatting sqref="E39:F41">
    <cfRule type="expression" dxfId="109" priority="31">
      <formula>$D$21=$G$21</formula>
    </cfRule>
  </conditionalFormatting>
  <conditionalFormatting sqref="E44:F45">
    <cfRule type="expression" dxfId="108" priority="29">
      <formula>$D$21=$G$21</formula>
    </cfRule>
  </conditionalFormatting>
  <conditionalFormatting sqref="F11 E58:E59 C167:C176 C189:C196 F211:F220 F233:F240">
    <cfRule type="expression" dxfId="107" priority="11">
      <formula>$C$5="BLANKIT"</formula>
    </cfRule>
  </conditionalFormatting>
  <conditionalFormatting sqref="F11 F14:F16 E58:E59 C79:C80 C102:C103 F124:F125 F145:F146 C167:C176 C189:C196 F211:F220 F233:F240">
    <cfRule type="expression" dxfId="106" priority="39">
      <formula>$E$3=""</formula>
    </cfRule>
  </conditionalFormatting>
  <conditionalFormatting sqref="F14:F16">
    <cfRule type="expression" dxfId="105" priority="8">
      <formula>$C$5="BLANKIT"</formula>
    </cfRule>
  </conditionalFormatting>
  <conditionalFormatting sqref="F21:F23">
    <cfRule type="expression" dxfId="104" priority="14">
      <formula>$F$21=$G$21</formula>
    </cfRule>
  </conditionalFormatting>
  <conditionalFormatting sqref="F24:F26">
    <cfRule type="expression" dxfId="103" priority="17">
      <formula>$F$21=$G$21</formula>
    </cfRule>
  </conditionalFormatting>
  <conditionalFormatting sqref="F31:F33">
    <cfRule type="expression" dxfId="102" priority="9">
      <formula>$C$5="BLANKIT"</formula>
    </cfRule>
  </conditionalFormatting>
  <conditionalFormatting sqref="F53 F56:F63">
    <cfRule type="expression" dxfId="101" priority="22">
      <formula>$D$53=$F$53</formula>
    </cfRule>
  </conditionalFormatting>
  <conditionalFormatting sqref="F53:G53 G54:G55 F56:G60 F61 F62:G63">
    <cfRule type="expression" dxfId="100" priority="23">
      <formula>$G$53=$F$53</formula>
    </cfRule>
  </conditionalFormatting>
  <conditionalFormatting sqref="G61">
    <cfRule type="expression" dxfId="99" priority="5">
      <formula>$C$5="BLANKIT"</formula>
    </cfRule>
    <cfRule type="expression" dxfId="98" priority="6">
      <formula>$E$3=""</formula>
    </cfRule>
  </conditionalFormatting>
  <conditionalFormatting sqref="J3:L4 D4 J5 G11 F12:G13 G14:G15 A18:G20 A23:A24 D31:F33 L31:N35 E34:F41 L39 N39 L40:N42 F44:F45 D53:F53 D54:E55 D56:F57 F58:F59 D60:F63 B79:B80 D79:G80 B102:B103 D102:G103 B124:B125 G124:G125 B145:B146 G145:G146 B159 D167:G176 B181 D189:G196 B203 G211:G220 B225 G230:G240">
    <cfRule type="expression" dxfId="97" priority="38">
      <formula>$E$3=""</formula>
    </cfRule>
  </conditionalFormatting>
  <conditionalFormatting sqref="J3:L4">
    <cfRule type="expression" dxfId="96" priority="628">
      <formula>$I$2="region"</formula>
    </cfRule>
  </conditionalFormatting>
  <conditionalFormatting sqref="K3:K4 G11:G18 F12:F13 F17:F18 E24:F26 N31:N33 E34:F37 E39:F41 F53 E56 F56:F63 E60:E63 D167:G176 D189:G196 G211:G220 G233:G241">
    <cfRule type="expression" dxfId="95" priority="12">
      <formula>$C$5="BLANKIT"</formula>
    </cfRule>
  </conditionalFormatting>
  <conditionalFormatting sqref="K3:K4 G16 F17:G17 E24:F26 E4">
    <cfRule type="expression" dxfId="94" priority="13">
      <formula>$E$3=""</formula>
    </cfRule>
  </conditionalFormatting>
  <conditionalFormatting sqref="L31:M35">
    <cfRule type="expression" dxfId="93" priority="26">
      <formula>$D$21=$F$21</formula>
    </cfRule>
  </conditionalFormatting>
  <conditionalFormatting sqref="L31:N35">
    <cfRule type="expression" dxfId="92" priority="27">
      <formula>$D$21=$G$21</formula>
    </cfRule>
  </conditionalFormatting>
  <conditionalFormatting sqref="M36:M39">
    <cfRule type="expression" dxfId="91" priority="4">
      <formula>$L$31=$N$31</formula>
    </cfRule>
  </conditionalFormatting>
  <conditionalFormatting sqref="M36:N39">
    <cfRule type="expression" dxfId="90" priority="2">
      <formula>$E$3=""</formula>
    </cfRule>
  </conditionalFormatting>
  <conditionalFormatting sqref="T51:T53">
    <cfRule type="expression" dxfId="89" priority="20">
      <formula>$D$53=$F$53</formula>
    </cfRule>
  </conditionalFormatting>
  <conditionalFormatting sqref="T51:U53">
    <cfRule type="expression" dxfId="88" priority="21">
      <formula>$G$53=$F$53</formula>
    </cfRule>
  </conditionalFormatting>
  <dataValidations count="1">
    <dataValidation type="list" allowBlank="1" error="Select an existing Local Authority name from drop down list" sqref="E3" xr:uid="{63C00571-1846-4527-9DE9-7455EB2690B3}">
      <formula1>Search_Box_List</formula1>
    </dataValidation>
  </dataValidations>
  <hyperlinks>
    <hyperlink ref="J5" location="'PRPs in area'!B6" display="View PRP Breakdown" xr:uid="{E4CE3208-B61D-4064-A66B-861BBE22BCB5}"/>
    <hyperlink ref="E5" location="'How to use the search function'!A1" display="Click for Help on Search Function" xr:uid="{8A1E9D90-396E-4DD1-B61C-1262F180E5CF}"/>
  </hyperlinks>
  <pageMargins left="0.7" right="0.7" top="0.75" bottom="0.75" header="0.3" footer="0.3"/>
  <pageSetup paperSize="9" scale="44" orientation="portrait" r:id="rId1"/>
  <headerFooter>
    <oddFooter>&amp;C&amp;1#&amp;"Calibri"&amp;12&amp;K0078D7OFFICIAL</oddFooter>
  </headerFooter>
  <rowBreaks count="2" manualBreakCount="2">
    <brk id="70" max="15" man="1"/>
    <brk id="159" max="15"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0A40-323A-45A2-9EB2-9046AA1BE7D1}">
  <sheetPr codeName="Sheet5">
    <tabColor theme="4" tint="0.39997558519241921"/>
  </sheetPr>
  <dimension ref="A1:BT493"/>
  <sheetViews>
    <sheetView zoomScale="90" zoomScaleNormal="90" workbookViewId="0">
      <selection activeCell="B5" sqref="B5"/>
    </sheetView>
  </sheetViews>
  <sheetFormatPr defaultColWidth="0" defaultRowHeight="12.75" x14ac:dyDescent="0.2"/>
  <cols>
    <col min="1" max="1" width="5.5703125" style="218" customWidth="1"/>
    <col min="2" max="2" width="64.5703125" style="218" bestFit="1" customWidth="1"/>
    <col min="3" max="3" width="7" style="218" bestFit="1" customWidth="1"/>
    <col min="4" max="20" width="11.5703125" style="218" customWidth="1"/>
    <col min="21" max="21" width="3.85546875" style="218" customWidth="1"/>
    <col min="22" max="25" width="8.85546875" style="218" hidden="1" customWidth="1"/>
    <col min="26" max="27" width="8.85546875" style="219" hidden="1" customWidth="1"/>
    <col min="28" max="28" width="26.42578125" style="219" hidden="1" customWidth="1"/>
    <col min="29" max="16384" width="8.85546875" style="219" hidden="1"/>
  </cols>
  <sheetData>
    <row r="1" spans="1:72" s="446" customFormat="1" ht="14.25" x14ac:dyDescent="0.2">
      <c r="A1" s="444"/>
      <c r="B1" s="444"/>
      <c r="C1" s="444"/>
      <c r="D1" s="444"/>
      <c r="E1" s="444"/>
      <c r="F1" s="444"/>
      <c r="G1" s="444"/>
      <c r="H1" s="444"/>
      <c r="I1" s="444"/>
      <c r="J1" s="444"/>
      <c r="K1" s="444"/>
      <c r="L1" s="444"/>
      <c r="M1" s="444"/>
      <c r="N1" s="444"/>
      <c r="O1" s="444"/>
      <c r="P1" s="444"/>
      <c r="Q1" s="444"/>
      <c r="R1" s="444"/>
      <c r="S1" s="444"/>
      <c r="T1" s="444"/>
      <c r="U1" s="444"/>
      <c r="V1" s="444"/>
      <c r="W1" s="445"/>
      <c r="X1" s="445"/>
      <c r="Y1" s="445"/>
    </row>
    <row r="2" spans="1:72" s="446" customFormat="1" ht="14.25" x14ac:dyDescent="0.2">
      <c r="A2" s="444"/>
      <c r="B2" s="444"/>
      <c r="C2" s="444"/>
      <c r="D2" s="444"/>
      <c r="E2" s="444"/>
      <c r="F2" s="213"/>
      <c r="G2" s="213"/>
      <c r="H2" s="213"/>
      <c r="I2" s="213"/>
      <c r="J2" s="444"/>
      <c r="K2" s="444"/>
      <c r="L2" s="444"/>
      <c r="M2" s="444"/>
      <c r="N2" s="444"/>
      <c r="O2" s="444"/>
      <c r="P2" s="444"/>
      <c r="Q2" s="444"/>
      <c r="R2" s="444"/>
      <c r="S2" s="444"/>
      <c r="T2" s="444"/>
      <c r="U2" s="444"/>
      <c r="V2" s="444"/>
      <c r="W2" s="445"/>
      <c r="X2" s="445"/>
      <c r="Y2" s="445"/>
    </row>
    <row r="3" spans="1:72" s="446" customFormat="1" ht="35.25" x14ac:dyDescent="0.5">
      <c r="A3" s="444"/>
      <c r="B3" s="660" t="str">
        <f>IF(B6="","Please select an Area in the 'Area Summary' sheet","Social stock in "&amp;B6&amp; " by provider 2024")</f>
        <v>Please select an Area in the 'Area Summary' sheet</v>
      </c>
      <c r="C3" s="660"/>
      <c r="D3" s="660"/>
      <c r="E3" s="660"/>
      <c r="F3" s="660"/>
      <c r="G3" s="660"/>
      <c r="H3" s="660"/>
      <c r="I3" s="660"/>
      <c r="J3" s="660"/>
      <c r="K3" s="660"/>
      <c r="L3" s="660"/>
      <c r="M3" s="660"/>
      <c r="N3" s="660"/>
      <c r="O3" s="660"/>
      <c r="P3" s="660"/>
      <c r="Q3" s="660"/>
      <c r="R3" s="660"/>
      <c r="S3" s="660"/>
      <c r="T3" s="660"/>
      <c r="U3" s="444"/>
      <c r="V3" s="444"/>
      <c r="W3" s="445"/>
      <c r="X3" s="445"/>
      <c r="Y3" s="445"/>
    </row>
    <row r="4" spans="1:72" x14ac:dyDescent="0.2">
      <c r="A4" s="217"/>
      <c r="B4" s="217"/>
      <c r="C4" s="217"/>
      <c r="D4" s="217"/>
      <c r="E4" s="217"/>
      <c r="F4" s="217"/>
      <c r="G4" s="217"/>
      <c r="H4" s="217"/>
      <c r="I4" s="217"/>
      <c r="J4" s="217"/>
      <c r="K4" s="217"/>
      <c r="L4" s="217"/>
      <c r="M4" s="217"/>
      <c r="N4" s="217"/>
      <c r="O4" s="217"/>
      <c r="P4" s="217"/>
      <c r="Q4" s="217"/>
      <c r="R4" s="217"/>
      <c r="S4" s="217"/>
      <c r="T4" s="217"/>
      <c r="U4" s="217"/>
      <c r="V4" s="217"/>
    </row>
    <row r="5" spans="1:72" ht="39" thickBot="1" x14ac:dyDescent="0.25">
      <c r="A5" s="217"/>
      <c r="B5" s="426" t="s">
        <v>884</v>
      </c>
      <c r="C5" s="217"/>
      <c r="D5" s="661" t="s">
        <v>9687</v>
      </c>
      <c r="E5" s="664" t="s">
        <v>9688</v>
      </c>
      <c r="F5" s="664" t="s">
        <v>885</v>
      </c>
      <c r="G5" s="664" t="s">
        <v>886</v>
      </c>
      <c r="H5" s="666" t="s">
        <v>9689</v>
      </c>
      <c r="I5" s="666" t="s">
        <v>887</v>
      </c>
      <c r="J5" s="666" t="s">
        <v>888</v>
      </c>
      <c r="K5" s="668" t="s">
        <v>9690</v>
      </c>
      <c r="L5" s="668" t="s">
        <v>889</v>
      </c>
      <c r="M5" s="668" t="s">
        <v>890</v>
      </c>
      <c r="N5" s="671" t="s">
        <v>9691</v>
      </c>
      <c r="O5" s="671" t="s">
        <v>891</v>
      </c>
      <c r="P5" s="671" t="s">
        <v>892</v>
      </c>
      <c r="Q5" s="646" t="s">
        <v>9692</v>
      </c>
      <c r="R5" s="646" t="s">
        <v>893</v>
      </c>
      <c r="S5" s="646" t="s">
        <v>894</v>
      </c>
      <c r="T5" s="648" t="s">
        <v>9693</v>
      </c>
      <c r="U5" s="217"/>
      <c r="V5" s="217"/>
      <c r="W5" s="217"/>
      <c r="X5" s="217"/>
      <c r="Y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row>
    <row r="6" spans="1:72" ht="12.95" customHeight="1" thickBot="1" x14ac:dyDescent="0.25">
      <c r="A6" s="217"/>
      <c r="B6" s="355" t="str">
        <f>IF('Area summary'!$E$3="","",'Area summary'!$E$3)</f>
        <v/>
      </c>
      <c r="C6" s="12" t="e">
        <f>VLOOKUP(B6,totals!R2:S11,2,FALSE)</f>
        <v>#N/A</v>
      </c>
      <c r="D6" s="662"/>
      <c r="E6" s="665"/>
      <c r="F6" s="665"/>
      <c r="G6" s="665"/>
      <c r="H6" s="667"/>
      <c r="I6" s="667"/>
      <c r="J6" s="667"/>
      <c r="K6" s="669"/>
      <c r="L6" s="669"/>
      <c r="M6" s="669"/>
      <c r="N6" s="672"/>
      <c r="O6" s="672"/>
      <c r="P6" s="672"/>
      <c r="Q6" s="647"/>
      <c r="R6" s="647"/>
      <c r="S6" s="647"/>
      <c r="T6" s="649"/>
      <c r="U6" s="217"/>
      <c r="V6" s="217"/>
      <c r="W6" s="217"/>
      <c r="X6" s="217"/>
      <c r="Y6" s="217"/>
      <c r="AB6" s="217"/>
      <c r="AC6" s="217"/>
      <c r="AD6" s="651" t="s">
        <v>895</v>
      </c>
      <c r="AE6" s="652"/>
      <c r="AF6" s="653" t="s">
        <v>9776</v>
      </c>
      <c r="AG6" s="653"/>
      <c r="AH6" s="653"/>
      <c r="AI6" s="653"/>
      <c r="AJ6" s="653"/>
      <c r="AK6" s="653"/>
      <c r="AL6" s="654"/>
      <c r="AM6" s="655"/>
      <c r="AN6" s="655"/>
      <c r="AO6" s="655"/>
      <c r="AP6" s="655"/>
      <c r="AQ6" s="655"/>
      <c r="AR6" s="655"/>
      <c r="AS6" s="656"/>
      <c r="AT6" s="657" t="s">
        <v>897</v>
      </c>
      <c r="AU6" s="658"/>
      <c r="AV6" s="658"/>
      <c r="AW6" s="658"/>
      <c r="AX6" s="658"/>
      <c r="AY6" s="658"/>
      <c r="AZ6" s="658"/>
      <c r="BA6" s="659"/>
      <c r="BB6" s="640" t="s">
        <v>898</v>
      </c>
      <c r="BC6" s="641"/>
      <c r="BD6" s="641"/>
      <c r="BE6" s="641"/>
      <c r="BF6" s="641"/>
      <c r="BG6" s="641"/>
      <c r="BH6" s="641"/>
      <c r="BI6" s="642"/>
      <c r="BJ6" s="643" t="s">
        <v>899</v>
      </c>
      <c r="BK6" s="644"/>
      <c r="BL6" s="644"/>
      <c r="BM6" s="644"/>
      <c r="BN6" s="644"/>
      <c r="BO6" s="644"/>
      <c r="BP6" s="644"/>
      <c r="BQ6" s="645"/>
      <c r="BR6" s="220" t="s">
        <v>900</v>
      </c>
      <c r="BS6" s="217"/>
      <c r="BT6" s="217"/>
    </row>
    <row r="7" spans="1:72" ht="32.450000000000003" customHeight="1" x14ac:dyDescent="0.2">
      <c r="A7" s="217"/>
      <c r="B7" s="221" t="s">
        <v>9694</v>
      </c>
      <c r="C7" s="222" t="str">
        <f>IFERROR('Area summary'!$E$36,"")</f>
        <v/>
      </c>
      <c r="D7" s="662"/>
      <c r="E7" s="665"/>
      <c r="F7" s="665"/>
      <c r="G7" s="665"/>
      <c r="H7" s="667"/>
      <c r="I7" s="667"/>
      <c r="J7" s="667"/>
      <c r="K7" s="670"/>
      <c r="L7" s="670"/>
      <c r="M7" s="669"/>
      <c r="N7" s="672"/>
      <c r="O7" s="672"/>
      <c r="P7" s="672"/>
      <c r="Q7" s="647"/>
      <c r="R7" s="647"/>
      <c r="S7" s="647"/>
      <c r="T7" s="650"/>
      <c r="U7" s="217"/>
      <c r="V7" s="217"/>
      <c r="W7" s="217"/>
      <c r="X7" s="217"/>
      <c r="Y7" s="217"/>
      <c r="AB7" s="217"/>
      <c r="AC7" s="223" t="s">
        <v>901</v>
      </c>
      <c r="AD7" s="224" t="s">
        <v>902</v>
      </c>
      <c r="AE7" s="225"/>
      <c r="AF7" s="226" t="s">
        <v>903</v>
      </c>
      <c r="AG7" s="226" t="s">
        <v>904</v>
      </c>
      <c r="AH7" s="226" t="s">
        <v>905</v>
      </c>
      <c r="AI7" s="226" t="s">
        <v>906</v>
      </c>
      <c r="AJ7" s="226" t="s">
        <v>903</v>
      </c>
      <c r="AK7" s="226" t="s">
        <v>907</v>
      </c>
      <c r="AL7" s="226" t="s">
        <v>908</v>
      </c>
      <c r="AM7" s="228" t="s">
        <v>909</v>
      </c>
      <c r="AN7" s="229" t="s">
        <v>910</v>
      </c>
      <c r="AO7" s="230" t="s">
        <v>911</v>
      </c>
      <c r="AP7" s="228" t="s">
        <v>902</v>
      </c>
      <c r="AQ7" s="229" t="s">
        <v>912</v>
      </c>
      <c r="AR7" s="229" t="s">
        <v>907</v>
      </c>
      <c r="AS7" s="230" t="s">
        <v>913</v>
      </c>
      <c r="AT7" s="231" t="s">
        <v>906</v>
      </c>
      <c r="AU7" s="232" t="s">
        <v>914</v>
      </c>
      <c r="AV7" s="232" t="s">
        <v>915</v>
      </c>
      <c r="AW7" s="233" t="s">
        <v>916</v>
      </c>
      <c r="AX7" s="232" t="s">
        <v>902</v>
      </c>
      <c r="AY7" s="232" t="s">
        <v>914</v>
      </c>
      <c r="AZ7" s="232" t="s">
        <v>907</v>
      </c>
      <c r="BA7" s="232" t="s">
        <v>913</v>
      </c>
      <c r="BB7" s="234" t="s">
        <v>906</v>
      </c>
      <c r="BC7" s="235" t="s">
        <v>917</v>
      </c>
      <c r="BD7" s="235" t="s">
        <v>918</v>
      </c>
      <c r="BE7" s="236" t="s">
        <v>919</v>
      </c>
      <c r="BF7" s="234" t="s">
        <v>902</v>
      </c>
      <c r="BG7" s="235" t="s">
        <v>914</v>
      </c>
      <c r="BH7" s="235" t="s">
        <v>907</v>
      </c>
      <c r="BI7" s="236" t="s">
        <v>913</v>
      </c>
      <c r="BJ7" s="237" t="s">
        <v>906</v>
      </c>
      <c r="BK7" s="238" t="s">
        <v>917</v>
      </c>
      <c r="BL7" s="238" t="s">
        <v>920</v>
      </c>
      <c r="BM7" s="239" t="s">
        <v>920</v>
      </c>
      <c r="BN7" s="237" t="s">
        <v>902</v>
      </c>
      <c r="BO7" s="238" t="s">
        <v>914</v>
      </c>
      <c r="BP7" s="238" t="s">
        <v>907</v>
      </c>
      <c r="BQ7" s="239" t="s">
        <v>913</v>
      </c>
      <c r="BR7" s="240"/>
      <c r="BS7" s="217"/>
      <c r="BT7" s="217"/>
    </row>
    <row r="8" spans="1:72" x14ac:dyDescent="0.2">
      <c r="A8" s="298"/>
      <c r="B8" s="299" t="s">
        <v>921</v>
      </c>
      <c r="C8" s="300"/>
      <c r="D8" s="663"/>
      <c r="E8" s="301">
        <f>SUM(E9:E500)</f>
        <v>0</v>
      </c>
      <c r="F8" s="302">
        <f>SUM(F9:F500)</f>
        <v>0</v>
      </c>
      <c r="G8" s="665"/>
      <c r="H8" s="301">
        <f>SUM(H9:H500)</f>
        <v>0</v>
      </c>
      <c r="I8" s="302">
        <f>SUM(I9:I500)</f>
        <v>0</v>
      </c>
      <c r="J8" s="667"/>
      <c r="K8" s="301">
        <f>SUM(K9:K500)</f>
        <v>0</v>
      </c>
      <c r="L8" s="302">
        <f>SUM(L9:L500)</f>
        <v>0</v>
      </c>
      <c r="M8" s="669"/>
      <c r="N8" s="301">
        <f>SUM(N9:N500)</f>
        <v>0</v>
      </c>
      <c r="O8" s="302">
        <f>SUM(O9:O500)</f>
        <v>0</v>
      </c>
      <c r="P8" s="672"/>
      <c r="Q8" s="301">
        <f>SUM(Q9:Q500)</f>
        <v>0</v>
      </c>
      <c r="R8" s="303">
        <f>SUM(R9:R500)</f>
        <v>0</v>
      </c>
      <c r="S8" s="647"/>
      <c r="T8" s="301">
        <f>SUM(T9:T500)</f>
        <v>0</v>
      </c>
      <c r="U8" s="217"/>
      <c r="V8" s="217"/>
      <c r="W8" s="217"/>
      <c r="X8" s="217"/>
      <c r="Y8" s="217"/>
      <c r="AB8" s="217"/>
      <c r="AC8" s="241"/>
      <c r="AD8" s="242"/>
      <c r="AE8" s="225"/>
      <c r="AF8" s="226"/>
      <c r="AG8" s="226"/>
      <c r="AH8" s="243">
        <f>SUM(E9:E500)</f>
        <v>0</v>
      </c>
      <c r="AI8" s="243"/>
      <c r="AJ8" s="243"/>
      <c r="AK8" s="243"/>
      <c r="AL8" s="243">
        <f>SUM(E9:E500)</f>
        <v>0</v>
      </c>
      <c r="AM8" s="244"/>
      <c r="AN8" s="227"/>
      <c r="AO8" s="245">
        <f>SUM(H9:H500)</f>
        <v>0</v>
      </c>
      <c r="AP8" s="244"/>
      <c r="AQ8" s="227"/>
      <c r="AR8" s="227"/>
      <c r="AS8" s="245"/>
      <c r="AT8" s="231"/>
      <c r="AU8" s="232"/>
      <c r="AV8" s="232"/>
      <c r="AW8" s="246">
        <f>SUM(K9:K500)</f>
        <v>0</v>
      </c>
      <c r="AX8" s="232"/>
      <c r="AY8" s="232"/>
      <c r="AZ8" s="232"/>
      <c r="BA8" s="232"/>
      <c r="BB8" s="247"/>
      <c r="BC8" s="248"/>
      <c r="BD8" s="248"/>
      <c r="BE8" s="249">
        <f>SUM(N9:N500)</f>
        <v>0</v>
      </c>
      <c r="BF8" s="247"/>
      <c r="BG8" s="248"/>
      <c r="BH8" s="248"/>
      <c r="BI8" s="250"/>
      <c r="BJ8" s="251"/>
      <c r="BK8" s="252"/>
      <c r="BL8" s="252"/>
      <c r="BM8" s="253">
        <f>SUM(Q9:Q500)</f>
        <v>0</v>
      </c>
      <c r="BN8" s="251"/>
      <c r="BO8" s="252"/>
      <c r="BP8" s="252"/>
      <c r="BQ8" s="254"/>
      <c r="BR8" s="255"/>
      <c r="BS8" s="217"/>
      <c r="BT8" s="217"/>
    </row>
    <row r="9" spans="1:72" x14ac:dyDescent="0.2">
      <c r="A9" s="256">
        <v>1</v>
      </c>
      <c r="B9" s="217" t="str">
        <f t="shared" ref="B9:B11" si="0">IFERROR(IF(AB9=0,"",AB9),"")</f>
        <v/>
      </c>
      <c r="C9" s="257" t="str">
        <f>IFERROR(BS9,"")</f>
        <v/>
      </c>
      <c r="D9" s="256" t="str">
        <f>IF(B9="","",IF(totals!$Q$3=0,IFERROR(IF(AD9=2,"0",AE9),""),"-"))</f>
        <v/>
      </c>
      <c r="E9" s="258" t="str">
        <f>IFERROR(AH9,"")</f>
        <v/>
      </c>
      <c r="F9" s="259" t="str">
        <f>IFERROR(AF9,"")</f>
        <v/>
      </c>
      <c r="G9" s="259" t="str">
        <f>IFERROR(IF(AI9=2,"-",AJ9),"")</f>
        <v/>
      </c>
      <c r="H9" s="256" t="str">
        <f t="shared" ref="H9:H72" si="1">IFERROR(AO9,"")</f>
        <v/>
      </c>
      <c r="I9" s="259" t="str">
        <f>IFERROR(AM9,"")</f>
        <v/>
      </c>
      <c r="J9" s="259" t="str">
        <f>IFERROR(IF(AP9=2,"-",AQ9),"")</f>
        <v/>
      </c>
      <c r="K9" s="256" t="str">
        <f t="shared" ref="K9:K72" si="2">IFERROR(AW9,"")</f>
        <v/>
      </c>
      <c r="L9" s="259" t="str">
        <f t="shared" ref="L9:L72" si="3">IFERROR(IF(AT9=2,"-",AU9),"")</f>
        <v/>
      </c>
      <c r="M9" s="259" t="str">
        <f>IFERROR(IF(AX9=2,"-",AY9),"")</f>
        <v/>
      </c>
      <c r="N9" s="256" t="str">
        <f>IFERROR(BE9,"")</f>
        <v/>
      </c>
      <c r="O9" s="259" t="str">
        <f>IFERROR(IF(BB9=2,"-",BC9),"")</f>
        <v/>
      </c>
      <c r="P9" s="259" t="str">
        <f>IFERROR(IF(BF9=2,"-",BG9),"")</f>
        <v/>
      </c>
      <c r="Q9" s="256" t="str">
        <f>IFERROR(BM9,"")</f>
        <v/>
      </c>
      <c r="R9" s="259" t="str">
        <f>IFERROR(IF(BJ9=2,"-",BK9),"")</f>
        <v/>
      </c>
      <c r="S9" s="259" t="str">
        <f>IFERROR(IF(BN9=2,"-",BO9),"")</f>
        <v/>
      </c>
      <c r="T9" s="256" t="str">
        <f>IFERROR(BR9,"")</f>
        <v/>
      </c>
      <c r="U9" s="217"/>
      <c r="V9" s="217"/>
      <c r="AB9" s="217" t="e">
        <f>VLOOKUP($B$6,Lookup_Source,2,0)</f>
        <v>#N/A</v>
      </c>
      <c r="AC9" s="241" t="str">
        <f>IF(ISNUMBER(SEARCH("*",B9)),1,"")</f>
        <v/>
      </c>
      <c r="AD9" s="260">
        <f>IFERROR(ERROR.TYPE(AE9),0)</f>
        <v>7</v>
      </c>
      <c r="AE9" s="261" t="e">
        <f t="shared" ref="AE9:AE72" si="4">SUM(VLOOKUP($B9,Totals,8,0)-1)</f>
        <v>#N/A</v>
      </c>
      <c r="AF9" s="262" t="e">
        <f>IF(AG9&gt;0,AG9,"-")</f>
        <v>#N/A</v>
      </c>
      <c r="AG9" s="262" t="e">
        <f>$AH9/$AH$8</f>
        <v>#N/A</v>
      </c>
      <c r="AH9" s="263" t="e">
        <f t="shared" ref="AH9:AH72" si="5">VLOOKUP($BT9,Stock_By_LA,2,0)</f>
        <v>#N/A</v>
      </c>
      <c r="AI9" s="226">
        <f>IFERROR(ERROR.TYPE(AJ9),0)</f>
        <v>7</v>
      </c>
      <c r="AJ9" s="264" t="e">
        <f t="shared" ref="AJ9:AJ72" si="6">IF(AK9&gt;0,AK9,"-")</f>
        <v>#N/A</v>
      </c>
      <c r="AK9" s="264" t="e">
        <f>$AH9/$AL9</f>
        <v>#N/A</v>
      </c>
      <c r="AL9" s="226" t="e">
        <f t="shared" ref="AL9:AL72" si="7">VLOOKUP($B9,Totals,7,0)</f>
        <v>#N/A</v>
      </c>
      <c r="AM9" s="265" t="e">
        <f>IF(AN9&gt;0,AN9,"-")</f>
        <v>#N/A</v>
      </c>
      <c r="AN9" s="266" t="e">
        <f t="shared" ref="AN9:AN72" si="8">$AO9/$AO$8</f>
        <v>#N/A</v>
      </c>
      <c r="AO9" s="227" t="e">
        <f t="shared" ref="AO9:AO72" si="9">VLOOKUP($BT9,Stock_By_LA,3,0)</f>
        <v>#N/A</v>
      </c>
      <c r="AP9" s="267">
        <f>IFERROR(ERROR.TYPE(AQ9),0)</f>
        <v>7</v>
      </c>
      <c r="AQ9" s="268" t="e">
        <f t="shared" ref="AQ9:AQ72" si="10">IF(AR9&gt;0,AR9,"-")</f>
        <v>#N/A</v>
      </c>
      <c r="AR9" s="269" t="e">
        <f>$AO9/$AS9</f>
        <v>#N/A</v>
      </c>
      <c r="AS9" s="270" t="e">
        <f t="shared" ref="AS9:AS72" si="11">VLOOKUP($B9,Totals,2,0)</f>
        <v>#N/A</v>
      </c>
      <c r="AT9" s="271">
        <f>IFERROR(ERROR.TYPE(AU9),0)</f>
        <v>7</v>
      </c>
      <c r="AU9" s="272" t="e">
        <f>IF(AV9&gt;0,AV9,"-")</f>
        <v>#N/A</v>
      </c>
      <c r="AV9" s="273" t="e">
        <f>AW9/$AW$8</f>
        <v>#N/A</v>
      </c>
      <c r="AW9" s="274" t="e">
        <f t="shared" ref="AW9:AW72" si="12">VLOOKUP($BT9,Stock_By_LA,4,0)</f>
        <v>#N/A</v>
      </c>
      <c r="AX9" s="232">
        <f>IFERROR(ERROR.TYPE(AY9),0)</f>
        <v>7</v>
      </c>
      <c r="AY9" s="273" t="e">
        <f t="shared" ref="AY9:AY72" si="13">IF(AZ9&gt;0,AZ9,"-")</f>
        <v>#N/A</v>
      </c>
      <c r="AZ9" s="232" t="e">
        <f>$AW9/$BA9</f>
        <v>#N/A</v>
      </c>
      <c r="BA9" s="232" t="e">
        <f t="shared" ref="BA9:BA72" si="14">VLOOKUP($B9,Totals,3,0)</f>
        <v>#N/A</v>
      </c>
      <c r="BB9" s="275">
        <f>IFERROR(ERROR.TYPE(BC9),0)</f>
        <v>7</v>
      </c>
      <c r="BC9" s="276" t="e">
        <f>IF(BD9&gt;0,BD9,"-")</f>
        <v>#N/A</v>
      </c>
      <c r="BD9" s="277" t="e">
        <f>$BE9/$BE$8</f>
        <v>#N/A</v>
      </c>
      <c r="BE9" s="250" t="e">
        <f t="shared" ref="BE9:BE72" si="15">VLOOKUP($BT9,Stock_By_LA,5,0)</f>
        <v>#N/A</v>
      </c>
      <c r="BF9" s="247">
        <f>IFERROR(ERROR.TYPE(BG9),0)</f>
        <v>7</v>
      </c>
      <c r="BG9" s="276" t="e">
        <f>IF(BH9&gt;0,BH9,"-")</f>
        <v>#N/A</v>
      </c>
      <c r="BH9" s="277" t="e">
        <f>$BE9/$BI9</f>
        <v>#N/A</v>
      </c>
      <c r="BI9" s="250" t="e">
        <f t="shared" ref="BI9:BI72" si="16">VLOOKUP($B9,Totals,4,0)</f>
        <v>#N/A</v>
      </c>
      <c r="BJ9" s="251">
        <f>IFERROR(ERROR.TYPE(BK9),0)</f>
        <v>7</v>
      </c>
      <c r="BK9" s="278" t="e">
        <f>IF(BL9&gt;0,BL9,"-")</f>
        <v>#N/A</v>
      </c>
      <c r="BL9" s="278" t="e">
        <f>$BM9/$BM$8</f>
        <v>#N/A</v>
      </c>
      <c r="BM9" s="279" t="e">
        <f t="shared" ref="BM9:BM72" si="17">VLOOKUP($BT9,Stock_By_LA,6,0)</f>
        <v>#N/A</v>
      </c>
      <c r="BN9" s="280">
        <f>IFERROR(ERROR.TYPE(BO9),0)</f>
        <v>7</v>
      </c>
      <c r="BO9" s="281" t="e">
        <f>IF(BP9&gt;0,BP9,"-")</f>
        <v>#N/A</v>
      </c>
      <c r="BP9" s="281" t="e">
        <f>$BM9/$BQ9</f>
        <v>#N/A</v>
      </c>
      <c r="BQ9" s="279" t="e">
        <f t="shared" ref="BQ9:BQ72" si="18">VLOOKUP($B9,Totals,5,0)</f>
        <v>#N/A</v>
      </c>
      <c r="BR9" s="282" t="e">
        <f t="shared" ref="BR9:BR72" si="19">VLOOKUP($BT9,Stock_By_LA,8,0)</f>
        <v>#N/A</v>
      </c>
      <c r="BS9" s="217" t="e">
        <f>VLOOKUP($B9,SDR24_STOCK_BY_LA!$A$2:$C$11878,3,0)</f>
        <v>#N/A</v>
      </c>
      <c r="BT9" s="217" t="str">
        <f>$B$6&amp;$B9</f>
        <v/>
      </c>
    </row>
    <row r="10" spans="1:72" x14ac:dyDescent="0.2">
      <c r="A10" s="217" t="str">
        <f>IF(AC10=1,A9+1,"")</f>
        <v/>
      </c>
      <c r="B10" s="217" t="str">
        <f t="shared" si="0"/>
        <v/>
      </c>
      <c r="C10" s="283" t="str">
        <f t="shared" ref="C10:C73" si="20">IFERROR(BS10,"")</f>
        <v/>
      </c>
      <c r="D10" s="256" t="str">
        <f>IF(B10="","",IF(totals!$Q$3=0,IFERROR(IF(AD10=2,"0",AE10),""),"-"))</f>
        <v/>
      </c>
      <c r="E10" s="258" t="str">
        <f t="shared" ref="E10:E73" si="21">IFERROR(AH10,"")</f>
        <v/>
      </c>
      <c r="F10" s="259" t="str">
        <f t="shared" ref="F10:F73" si="22">IFERROR(AF10,"")</f>
        <v/>
      </c>
      <c r="G10" s="259" t="str">
        <f t="shared" ref="G10:G73" si="23">IFERROR(IF(AI10=2,"-",AJ10),"")</f>
        <v/>
      </c>
      <c r="H10" s="256" t="str">
        <f t="shared" si="1"/>
        <v/>
      </c>
      <c r="I10" s="259" t="str">
        <f t="shared" ref="I10:I73" si="24">IFERROR(AM10,"")</f>
        <v/>
      </c>
      <c r="J10" s="259" t="str">
        <f t="shared" ref="J10:J73" si="25">IFERROR(IF(AP10=2,"-",AQ10),"")</f>
        <v/>
      </c>
      <c r="K10" s="256" t="str">
        <f t="shared" si="2"/>
        <v/>
      </c>
      <c r="L10" s="259" t="str">
        <f t="shared" si="3"/>
        <v/>
      </c>
      <c r="M10" s="259" t="str">
        <f t="shared" ref="M10:M73" si="26">IFERROR(IF(AX10=2,"-",AY10),"")</f>
        <v/>
      </c>
      <c r="N10" s="256" t="str">
        <f t="shared" ref="N10:N73" si="27">IFERROR(BE10,"")</f>
        <v/>
      </c>
      <c r="O10" s="259" t="str">
        <f t="shared" ref="O10:O73" si="28">IFERROR(IF(BB10=2,"-",BC10),"")</f>
        <v/>
      </c>
      <c r="P10" s="259" t="str">
        <f t="shared" ref="P10:P73" si="29">IFERROR(IF(BF10=2,"-",BG10),"")</f>
        <v/>
      </c>
      <c r="Q10" s="256" t="str">
        <f t="shared" ref="Q10:Q73" si="30">IFERROR(BM10,"")</f>
        <v/>
      </c>
      <c r="R10" s="259" t="str">
        <f t="shared" ref="R10:R73" si="31">IFERROR(IF(BJ10=2,"-",BK10),"")</f>
        <v/>
      </c>
      <c r="S10" s="259" t="str">
        <f t="shared" ref="S10:S73" si="32">IFERROR(IF(BN10=2,"-",BO10),"")</f>
        <v/>
      </c>
      <c r="T10" s="256" t="str">
        <f t="shared" ref="T10:T73" si="33">IFERROR(BR10,"")</f>
        <v/>
      </c>
      <c r="U10" s="217"/>
      <c r="V10" s="217"/>
      <c r="AB10" s="217" t="e">
        <f>VLOOKUP($B$6,Lookup_Source,3,0)</f>
        <v>#N/A</v>
      </c>
      <c r="AC10" s="241" t="str">
        <f t="shared" ref="AC10:AC73" si="34">IF(ISNUMBER(SEARCH("*",B10)),1,"")</f>
        <v/>
      </c>
      <c r="AD10" s="242">
        <f t="shared" ref="AD10:AD73" si="35">IFERROR(ERROR.TYPE(AE10),0)</f>
        <v>7</v>
      </c>
      <c r="AE10" s="261" t="e">
        <f t="shared" si="4"/>
        <v>#N/A</v>
      </c>
      <c r="AF10" s="264" t="e">
        <f t="shared" ref="AF10:AF73" si="36">IF(AG10&gt;0,AG10,"-")</f>
        <v>#N/A</v>
      </c>
      <c r="AG10" s="264" t="e">
        <f t="shared" ref="AG10:AG73" si="37">$AH10/$AH$8</f>
        <v>#N/A</v>
      </c>
      <c r="AH10" s="263" t="e">
        <f t="shared" si="5"/>
        <v>#N/A</v>
      </c>
      <c r="AI10" s="226">
        <f t="shared" ref="AI10:AI73" si="38">IFERROR(ERROR.TYPE(AJ10),0)</f>
        <v>7</v>
      </c>
      <c r="AJ10" s="264" t="e">
        <f t="shared" si="6"/>
        <v>#N/A</v>
      </c>
      <c r="AK10" s="264" t="e">
        <f t="shared" ref="AK10:AK73" si="39">$AH10/$AL10</f>
        <v>#N/A</v>
      </c>
      <c r="AL10" s="226" t="e">
        <f t="shared" si="7"/>
        <v>#N/A</v>
      </c>
      <c r="AM10" s="265" t="e">
        <f t="shared" ref="AM10:AM73" si="40">IF(AN10&gt;0,AN10,"-")</f>
        <v>#N/A</v>
      </c>
      <c r="AN10" s="266" t="e">
        <f t="shared" si="8"/>
        <v>#N/A</v>
      </c>
      <c r="AO10" s="227" t="e">
        <f t="shared" si="9"/>
        <v>#N/A</v>
      </c>
      <c r="AP10" s="284">
        <f t="shared" ref="AP10:AP73" si="41">IFERROR(ERROR.TYPE(AQ10),0)</f>
        <v>7</v>
      </c>
      <c r="AQ10" s="285" t="e">
        <f t="shared" si="10"/>
        <v>#N/A</v>
      </c>
      <c r="AR10" s="266" t="e">
        <f t="shared" ref="AR10:AR73" si="42">$AO10/$AS10</f>
        <v>#N/A</v>
      </c>
      <c r="AS10" s="270" t="e">
        <f t="shared" si="11"/>
        <v>#N/A</v>
      </c>
      <c r="AT10" s="271">
        <f t="shared" ref="AT10:AT73" si="43">IFERROR(ERROR.TYPE(AU10),0)</f>
        <v>7</v>
      </c>
      <c r="AU10" s="272" t="e">
        <f t="shared" ref="AU10:AU73" si="44">IF(AV10&gt;0,AV10,"-")</f>
        <v>#N/A</v>
      </c>
      <c r="AV10" s="273" t="e">
        <f t="shared" ref="AV10:AV73" si="45">AW10/$AW$8</f>
        <v>#N/A</v>
      </c>
      <c r="AW10" s="274" t="e">
        <f t="shared" si="12"/>
        <v>#N/A</v>
      </c>
      <c r="AX10" s="232">
        <f t="shared" ref="AX10:AX73" si="46">IFERROR(ERROR.TYPE(AY10),0)</f>
        <v>7</v>
      </c>
      <c r="AY10" s="273" t="e">
        <f t="shared" si="13"/>
        <v>#N/A</v>
      </c>
      <c r="AZ10" s="232" t="e">
        <f t="shared" ref="AZ10:AZ73" si="47">$AW10/$BA10</f>
        <v>#N/A</v>
      </c>
      <c r="BA10" s="232" t="e">
        <f t="shared" si="14"/>
        <v>#N/A</v>
      </c>
      <c r="BB10" s="275">
        <f t="shared" ref="BB10:BB73" si="48">IFERROR(ERROR.TYPE(BC10),0)</f>
        <v>7</v>
      </c>
      <c r="BC10" s="276" t="e">
        <f t="shared" ref="BC10:BC73" si="49">IF(BD10&gt;0,BD10,"-")</f>
        <v>#N/A</v>
      </c>
      <c r="BD10" s="277" t="e">
        <f t="shared" ref="BD10:BD73" si="50">$BE10/$BE$8</f>
        <v>#N/A</v>
      </c>
      <c r="BE10" s="250" t="e">
        <f t="shared" si="15"/>
        <v>#N/A</v>
      </c>
      <c r="BF10" s="247">
        <f t="shared" ref="BF10:BF73" si="51">IFERROR(ERROR.TYPE(BG10),0)</f>
        <v>7</v>
      </c>
      <c r="BG10" s="276" t="e">
        <f t="shared" ref="BG10:BG73" si="52">IF(BH10&gt;0,BH10,"-")</f>
        <v>#N/A</v>
      </c>
      <c r="BH10" s="277" t="e">
        <f t="shared" ref="BH10:BH73" si="53">$BE10/$BI10</f>
        <v>#N/A</v>
      </c>
      <c r="BI10" s="250" t="e">
        <f t="shared" si="16"/>
        <v>#N/A</v>
      </c>
      <c r="BJ10" s="251">
        <f t="shared" ref="BJ10:BJ73" si="54">IFERROR(ERROR.TYPE(BK10),0)</f>
        <v>7</v>
      </c>
      <c r="BK10" s="278" t="e">
        <f t="shared" ref="BK10:BK73" si="55">IF(BL10&gt;0,BL10,"-")</f>
        <v>#N/A</v>
      </c>
      <c r="BL10" s="278" t="e">
        <f t="shared" ref="BL10:BL73" si="56">$BM10/$BM$8</f>
        <v>#N/A</v>
      </c>
      <c r="BM10" s="279" t="e">
        <f t="shared" si="17"/>
        <v>#N/A</v>
      </c>
      <c r="BN10" s="280">
        <f t="shared" ref="BN10:BN73" si="57">IFERROR(ERROR.TYPE(BO10),0)</f>
        <v>7</v>
      </c>
      <c r="BO10" s="281" t="e">
        <f t="shared" ref="BO10:BO73" si="58">IF(BP10&gt;0,BP10,"-")</f>
        <v>#N/A</v>
      </c>
      <c r="BP10" s="281" t="e">
        <f t="shared" ref="BP10:BP73" si="59">$BM10/$BQ10</f>
        <v>#N/A</v>
      </c>
      <c r="BQ10" s="279" t="e">
        <f t="shared" si="18"/>
        <v>#N/A</v>
      </c>
      <c r="BR10" s="282" t="e">
        <f t="shared" si="19"/>
        <v>#N/A</v>
      </c>
      <c r="BS10" s="217" t="e">
        <f>VLOOKUP($B10,SDR24_STOCK_BY_LA!$A$2:$C$11878,3,0)</f>
        <v>#N/A</v>
      </c>
      <c r="BT10" s="217" t="str">
        <f t="shared" ref="BT10:BT73" si="60">$B$6&amp;$B10</f>
        <v/>
      </c>
    </row>
    <row r="11" spans="1:72" x14ac:dyDescent="0.2">
      <c r="A11" s="256" t="str">
        <f t="shared" ref="A11:A74" si="61">IF(AC11=1,A10+1,"")</f>
        <v/>
      </c>
      <c r="B11" s="217" t="str">
        <f t="shared" si="0"/>
        <v/>
      </c>
      <c r="C11" s="257" t="str">
        <f t="shared" si="20"/>
        <v/>
      </c>
      <c r="D11" s="256" t="str">
        <f>IF(B11="","",IF(totals!$Q$3=0,IFERROR(IF(AD11=2,"0",AE11),""),"-"))</f>
        <v/>
      </c>
      <c r="E11" s="258" t="str">
        <f t="shared" si="21"/>
        <v/>
      </c>
      <c r="F11" s="259" t="str">
        <f t="shared" si="22"/>
        <v/>
      </c>
      <c r="G11" s="259" t="str">
        <f t="shared" si="23"/>
        <v/>
      </c>
      <c r="H11" s="256" t="str">
        <f t="shared" si="1"/>
        <v/>
      </c>
      <c r="I11" s="259" t="str">
        <f t="shared" si="24"/>
        <v/>
      </c>
      <c r="J11" s="259" t="str">
        <f t="shared" si="25"/>
        <v/>
      </c>
      <c r="K11" s="256" t="str">
        <f t="shared" si="2"/>
        <v/>
      </c>
      <c r="L11" s="259" t="str">
        <f t="shared" si="3"/>
        <v/>
      </c>
      <c r="M11" s="259" t="str">
        <f t="shared" si="26"/>
        <v/>
      </c>
      <c r="N11" s="256" t="str">
        <f t="shared" si="27"/>
        <v/>
      </c>
      <c r="O11" s="259" t="str">
        <f t="shared" si="28"/>
        <v/>
      </c>
      <c r="P11" s="259" t="str">
        <f t="shared" si="29"/>
        <v/>
      </c>
      <c r="Q11" s="256" t="str">
        <f t="shared" si="30"/>
        <v/>
      </c>
      <c r="R11" s="259" t="str">
        <f t="shared" si="31"/>
        <v/>
      </c>
      <c r="S11" s="259" t="str">
        <f t="shared" si="32"/>
        <v/>
      </c>
      <c r="T11" s="256" t="str">
        <f t="shared" si="33"/>
        <v/>
      </c>
      <c r="U11" s="217"/>
      <c r="V11" s="217"/>
      <c r="AB11" s="257" t="e">
        <f>VLOOKUP($B$6,Lookup_Source,4,0)</f>
        <v>#N/A</v>
      </c>
      <c r="AC11" s="241" t="str">
        <f t="shared" si="34"/>
        <v/>
      </c>
      <c r="AD11" s="242">
        <f t="shared" si="35"/>
        <v>7</v>
      </c>
      <c r="AE11" s="261" t="e">
        <f t="shared" si="4"/>
        <v>#N/A</v>
      </c>
      <c r="AF11" s="264" t="e">
        <f t="shared" si="36"/>
        <v>#N/A</v>
      </c>
      <c r="AG11" s="264" t="e">
        <f t="shared" si="37"/>
        <v>#N/A</v>
      </c>
      <c r="AH11" s="263" t="e">
        <f t="shared" si="5"/>
        <v>#N/A</v>
      </c>
      <c r="AI11" s="226">
        <f t="shared" si="38"/>
        <v>7</v>
      </c>
      <c r="AJ11" s="264" t="e">
        <f t="shared" si="6"/>
        <v>#N/A</v>
      </c>
      <c r="AK11" s="264" t="e">
        <f t="shared" si="39"/>
        <v>#N/A</v>
      </c>
      <c r="AL11" s="226" t="e">
        <f t="shared" si="7"/>
        <v>#N/A</v>
      </c>
      <c r="AM11" s="265" t="e">
        <f t="shared" si="40"/>
        <v>#N/A</v>
      </c>
      <c r="AN11" s="266" t="e">
        <f t="shared" si="8"/>
        <v>#N/A</v>
      </c>
      <c r="AO11" s="227" t="e">
        <f t="shared" si="9"/>
        <v>#N/A</v>
      </c>
      <c r="AP11" s="284">
        <f t="shared" si="41"/>
        <v>7</v>
      </c>
      <c r="AQ11" s="285" t="e">
        <f t="shared" si="10"/>
        <v>#N/A</v>
      </c>
      <c r="AR11" s="266" t="e">
        <f t="shared" si="42"/>
        <v>#N/A</v>
      </c>
      <c r="AS11" s="270" t="e">
        <f t="shared" si="11"/>
        <v>#N/A</v>
      </c>
      <c r="AT11" s="271">
        <f t="shared" si="43"/>
        <v>7</v>
      </c>
      <c r="AU11" s="272" t="e">
        <f t="shared" si="44"/>
        <v>#N/A</v>
      </c>
      <c r="AV11" s="273" t="e">
        <f t="shared" si="45"/>
        <v>#N/A</v>
      </c>
      <c r="AW11" s="274" t="e">
        <f t="shared" si="12"/>
        <v>#N/A</v>
      </c>
      <c r="AX11" s="232">
        <f t="shared" si="46"/>
        <v>7</v>
      </c>
      <c r="AY11" s="273" t="e">
        <f t="shared" si="13"/>
        <v>#N/A</v>
      </c>
      <c r="AZ11" s="232" t="e">
        <f t="shared" si="47"/>
        <v>#N/A</v>
      </c>
      <c r="BA11" s="232" t="e">
        <f t="shared" si="14"/>
        <v>#N/A</v>
      </c>
      <c r="BB11" s="275">
        <f t="shared" si="48"/>
        <v>7</v>
      </c>
      <c r="BC11" s="276" t="e">
        <f t="shared" si="49"/>
        <v>#N/A</v>
      </c>
      <c r="BD11" s="277" t="e">
        <f t="shared" si="50"/>
        <v>#N/A</v>
      </c>
      <c r="BE11" s="250" t="e">
        <f t="shared" si="15"/>
        <v>#N/A</v>
      </c>
      <c r="BF11" s="247">
        <f t="shared" si="51"/>
        <v>7</v>
      </c>
      <c r="BG11" s="276" t="e">
        <f t="shared" si="52"/>
        <v>#N/A</v>
      </c>
      <c r="BH11" s="277" t="e">
        <f t="shared" si="53"/>
        <v>#N/A</v>
      </c>
      <c r="BI11" s="250" t="e">
        <f t="shared" si="16"/>
        <v>#N/A</v>
      </c>
      <c r="BJ11" s="251">
        <f t="shared" si="54"/>
        <v>7</v>
      </c>
      <c r="BK11" s="278" t="e">
        <f t="shared" si="55"/>
        <v>#N/A</v>
      </c>
      <c r="BL11" s="278" t="e">
        <f t="shared" si="56"/>
        <v>#N/A</v>
      </c>
      <c r="BM11" s="279" t="e">
        <f t="shared" si="17"/>
        <v>#N/A</v>
      </c>
      <c r="BN11" s="280">
        <f t="shared" si="57"/>
        <v>7</v>
      </c>
      <c r="BO11" s="281" t="e">
        <f t="shared" si="58"/>
        <v>#N/A</v>
      </c>
      <c r="BP11" s="281" t="e">
        <f t="shared" si="59"/>
        <v>#N/A</v>
      </c>
      <c r="BQ11" s="279" t="e">
        <f t="shared" si="18"/>
        <v>#N/A</v>
      </c>
      <c r="BR11" s="282" t="e">
        <f t="shared" si="19"/>
        <v>#N/A</v>
      </c>
      <c r="BS11" s="217" t="e">
        <f>VLOOKUP($B11,SDR24_STOCK_BY_LA!$A$2:$C$11878,3,0)</f>
        <v>#N/A</v>
      </c>
      <c r="BT11" s="217" t="str">
        <f t="shared" si="60"/>
        <v/>
      </c>
    </row>
    <row r="12" spans="1:72" x14ac:dyDescent="0.2">
      <c r="A12" s="217" t="str">
        <f t="shared" si="61"/>
        <v/>
      </c>
      <c r="B12" s="217" t="str">
        <f>IFERROR(IF(AB12=0,"",AB12),"")</f>
        <v/>
      </c>
      <c r="C12" s="283" t="str">
        <f t="shared" si="20"/>
        <v/>
      </c>
      <c r="D12" s="256" t="str">
        <f>IF(B12="","",IF(totals!$Q$3=0,IFERROR(IF(AD12=2,"0",AE12),""),"-"))</f>
        <v/>
      </c>
      <c r="E12" s="258" t="str">
        <f t="shared" si="21"/>
        <v/>
      </c>
      <c r="F12" s="259" t="str">
        <f t="shared" si="22"/>
        <v/>
      </c>
      <c r="G12" s="259" t="str">
        <f t="shared" si="23"/>
        <v/>
      </c>
      <c r="H12" s="256" t="str">
        <f t="shared" si="1"/>
        <v/>
      </c>
      <c r="I12" s="259" t="str">
        <f t="shared" si="24"/>
        <v/>
      </c>
      <c r="J12" s="259" t="str">
        <f t="shared" si="25"/>
        <v/>
      </c>
      <c r="K12" s="256" t="str">
        <f t="shared" si="2"/>
        <v/>
      </c>
      <c r="L12" s="259" t="str">
        <f t="shared" si="3"/>
        <v/>
      </c>
      <c r="M12" s="259" t="str">
        <f t="shared" si="26"/>
        <v/>
      </c>
      <c r="N12" s="256" t="str">
        <f t="shared" si="27"/>
        <v/>
      </c>
      <c r="O12" s="259" t="str">
        <f t="shared" si="28"/>
        <v/>
      </c>
      <c r="P12" s="259" t="str">
        <f t="shared" si="29"/>
        <v/>
      </c>
      <c r="Q12" s="256" t="str">
        <f t="shared" si="30"/>
        <v/>
      </c>
      <c r="R12" s="259" t="str">
        <f t="shared" si="31"/>
        <v/>
      </c>
      <c r="S12" s="259" t="str">
        <f t="shared" si="32"/>
        <v/>
      </c>
      <c r="T12" s="256" t="str">
        <f t="shared" si="33"/>
        <v/>
      </c>
      <c r="U12" s="217"/>
      <c r="V12" s="217"/>
      <c r="AB12" s="217" t="e">
        <f>VLOOKUP($B$6,Lookup_Source,5,0)</f>
        <v>#N/A</v>
      </c>
      <c r="AC12" s="241" t="str">
        <f t="shared" si="34"/>
        <v/>
      </c>
      <c r="AD12" s="242">
        <f t="shared" si="35"/>
        <v>7</v>
      </c>
      <c r="AE12" s="261" t="e">
        <f t="shared" si="4"/>
        <v>#N/A</v>
      </c>
      <c r="AF12" s="264" t="e">
        <f t="shared" si="36"/>
        <v>#N/A</v>
      </c>
      <c r="AG12" s="264" t="e">
        <f t="shared" si="37"/>
        <v>#N/A</v>
      </c>
      <c r="AH12" s="263" t="e">
        <f t="shared" si="5"/>
        <v>#N/A</v>
      </c>
      <c r="AI12" s="226">
        <f t="shared" si="38"/>
        <v>7</v>
      </c>
      <c r="AJ12" s="264" t="e">
        <f t="shared" si="6"/>
        <v>#N/A</v>
      </c>
      <c r="AK12" s="264" t="e">
        <f t="shared" si="39"/>
        <v>#N/A</v>
      </c>
      <c r="AL12" s="226" t="e">
        <f t="shared" si="7"/>
        <v>#N/A</v>
      </c>
      <c r="AM12" s="265" t="e">
        <f t="shared" si="40"/>
        <v>#N/A</v>
      </c>
      <c r="AN12" s="266" t="e">
        <f t="shared" si="8"/>
        <v>#N/A</v>
      </c>
      <c r="AO12" s="227" t="e">
        <f t="shared" si="9"/>
        <v>#N/A</v>
      </c>
      <c r="AP12" s="284">
        <f t="shared" si="41"/>
        <v>7</v>
      </c>
      <c r="AQ12" s="285" t="e">
        <f t="shared" si="10"/>
        <v>#N/A</v>
      </c>
      <c r="AR12" s="266" t="e">
        <f t="shared" si="42"/>
        <v>#N/A</v>
      </c>
      <c r="AS12" s="270" t="e">
        <f t="shared" si="11"/>
        <v>#N/A</v>
      </c>
      <c r="AT12" s="271">
        <f t="shared" si="43"/>
        <v>7</v>
      </c>
      <c r="AU12" s="272" t="e">
        <f t="shared" si="44"/>
        <v>#N/A</v>
      </c>
      <c r="AV12" s="273" t="e">
        <f t="shared" si="45"/>
        <v>#N/A</v>
      </c>
      <c r="AW12" s="274" t="e">
        <f t="shared" si="12"/>
        <v>#N/A</v>
      </c>
      <c r="AX12" s="232">
        <f t="shared" si="46"/>
        <v>7</v>
      </c>
      <c r="AY12" s="273" t="e">
        <f t="shared" si="13"/>
        <v>#N/A</v>
      </c>
      <c r="AZ12" s="232" t="e">
        <f t="shared" si="47"/>
        <v>#N/A</v>
      </c>
      <c r="BA12" s="232" t="e">
        <f t="shared" si="14"/>
        <v>#N/A</v>
      </c>
      <c r="BB12" s="275">
        <f t="shared" si="48"/>
        <v>7</v>
      </c>
      <c r="BC12" s="276" t="e">
        <f t="shared" si="49"/>
        <v>#N/A</v>
      </c>
      <c r="BD12" s="277" t="e">
        <f t="shared" si="50"/>
        <v>#N/A</v>
      </c>
      <c r="BE12" s="250" t="e">
        <f t="shared" si="15"/>
        <v>#N/A</v>
      </c>
      <c r="BF12" s="247">
        <f t="shared" si="51"/>
        <v>7</v>
      </c>
      <c r="BG12" s="276" t="e">
        <f t="shared" si="52"/>
        <v>#N/A</v>
      </c>
      <c r="BH12" s="277" t="e">
        <f t="shared" si="53"/>
        <v>#N/A</v>
      </c>
      <c r="BI12" s="250" t="e">
        <f t="shared" si="16"/>
        <v>#N/A</v>
      </c>
      <c r="BJ12" s="251">
        <f t="shared" si="54"/>
        <v>7</v>
      </c>
      <c r="BK12" s="278" t="e">
        <f t="shared" si="55"/>
        <v>#N/A</v>
      </c>
      <c r="BL12" s="278" t="e">
        <f t="shared" si="56"/>
        <v>#N/A</v>
      </c>
      <c r="BM12" s="279" t="e">
        <f t="shared" si="17"/>
        <v>#N/A</v>
      </c>
      <c r="BN12" s="280">
        <f t="shared" si="57"/>
        <v>7</v>
      </c>
      <c r="BO12" s="281" t="e">
        <f t="shared" si="58"/>
        <v>#N/A</v>
      </c>
      <c r="BP12" s="281" t="e">
        <f t="shared" si="59"/>
        <v>#N/A</v>
      </c>
      <c r="BQ12" s="279" t="e">
        <f t="shared" si="18"/>
        <v>#N/A</v>
      </c>
      <c r="BR12" s="282" t="e">
        <f t="shared" si="19"/>
        <v>#N/A</v>
      </c>
      <c r="BS12" s="217" t="e">
        <f>VLOOKUP($B12,SDR24_STOCK_BY_LA!$A$2:$C$11878,3,0)</f>
        <v>#N/A</v>
      </c>
      <c r="BT12" s="217" t="str">
        <f t="shared" si="60"/>
        <v/>
      </c>
    </row>
    <row r="13" spans="1:72" x14ac:dyDescent="0.2">
      <c r="A13" s="256" t="str">
        <f t="shared" si="61"/>
        <v/>
      </c>
      <c r="B13" s="217" t="str">
        <f t="shared" ref="B13:B76" si="62">IFERROR(IF(AB13=0,"",AB13),"")</f>
        <v/>
      </c>
      <c r="C13" s="257" t="str">
        <f t="shared" si="20"/>
        <v/>
      </c>
      <c r="D13" s="256" t="str">
        <f>IF(B13="","",IF(totals!$Q$3=0,IFERROR(IF(AD13=2,"0",AE13),""),"-"))</f>
        <v/>
      </c>
      <c r="E13" s="258" t="str">
        <f t="shared" si="21"/>
        <v/>
      </c>
      <c r="F13" s="259" t="str">
        <f t="shared" si="22"/>
        <v/>
      </c>
      <c r="G13" s="259" t="str">
        <f t="shared" si="23"/>
        <v/>
      </c>
      <c r="H13" s="256" t="str">
        <f t="shared" si="1"/>
        <v/>
      </c>
      <c r="I13" s="259" t="str">
        <f t="shared" si="24"/>
        <v/>
      </c>
      <c r="J13" s="259" t="str">
        <f t="shared" si="25"/>
        <v/>
      </c>
      <c r="K13" s="256" t="str">
        <f t="shared" si="2"/>
        <v/>
      </c>
      <c r="L13" s="259" t="str">
        <f t="shared" si="3"/>
        <v/>
      </c>
      <c r="M13" s="259" t="str">
        <f t="shared" si="26"/>
        <v/>
      </c>
      <c r="N13" s="256" t="str">
        <f t="shared" si="27"/>
        <v/>
      </c>
      <c r="O13" s="259" t="str">
        <f t="shared" si="28"/>
        <v/>
      </c>
      <c r="P13" s="259" t="str">
        <f t="shared" si="29"/>
        <v/>
      </c>
      <c r="Q13" s="256" t="str">
        <f t="shared" si="30"/>
        <v/>
      </c>
      <c r="R13" s="259" t="str">
        <f t="shared" si="31"/>
        <v/>
      </c>
      <c r="S13" s="259" t="str">
        <f t="shared" si="32"/>
        <v/>
      </c>
      <c r="T13" s="256" t="str">
        <f t="shared" si="33"/>
        <v/>
      </c>
      <c r="U13" s="217"/>
      <c r="V13" s="217"/>
      <c r="AB13" s="257" t="e">
        <f>VLOOKUP($B$6,Lookup_Source,6,0)</f>
        <v>#N/A</v>
      </c>
      <c r="AC13" s="241" t="str">
        <f t="shared" si="34"/>
        <v/>
      </c>
      <c r="AD13" s="242">
        <f t="shared" si="35"/>
        <v>7</v>
      </c>
      <c r="AE13" s="261" t="e">
        <f t="shared" si="4"/>
        <v>#N/A</v>
      </c>
      <c r="AF13" s="264" t="e">
        <f t="shared" si="36"/>
        <v>#N/A</v>
      </c>
      <c r="AG13" s="264" t="e">
        <f t="shared" si="37"/>
        <v>#N/A</v>
      </c>
      <c r="AH13" s="263" t="e">
        <f t="shared" si="5"/>
        <v>#N/A</v>
      </c>
      <c r="AI13" s="226">
        <f t="shared" si="38"/>
        <v>7</v>
      </c>
      <c r="AJ13" s="264" t="e">
        <f t="shared" si="6"/>
        <v>#N/A</v>
      </c>
      <c r="AK13" s="264" t="e">
        <f t="shared" si="39"/>
        <v>#N/A</v>
      </c>
      <c r="AL13" s="226" t="e">
        <f t="shared" si="7"/>
        <v>#N/A</v>
      </c>
      <c r="AM13" s="265" t="e">
        <f t="shared" si="40"/>
        <v>#N/A</v>
      </c>
      <c r="AN13" s="266" t="e">
        <f t="shared" si="8"/>
        <v>#N/A</v>
      </c>
      <c r="AO13" s="227" t="e">
        <f t="shared" si="9"/>
        <v>#N/A</v>
      </c>
      <c r="AP13" s="284">
        <f t="shared" si="41"/>
        <v>7</v>
      </c>
      <c r="AQ13" s="285" t="e">
        <f t="shared" si="10"/>
        <v>#N/A</v>
      </c>
      <c r="AR13" s="266" t="e">
        <f t="shared" si="42"/>
        <v>#N/A</v>
      </c>
      <c r="AS13" s="270" t="e">
        <f t="shared" si="11"/>
        <v>#N/A</v>
      </c>
      <c r="AT13" s="271">
        <f t="shared" si="43"/>
        <v>7</v>
      </c>
      <c r="AU13" s="272" t="e">
        <f t="shared" si="44"/>
        <v>#N/A</v>
      </c>
      <c r="AV13" s="273" t="e">
        <f t="shared" si="45"/>
        <v>#N/A</v>
      </c>
      <c r="AW13" s="274" t="e">
        <f t="shared" si="12"/>
        <v>#N/A</v>
      </c>
      <c r="AX13" s="232">
        <f t="shared" si="46"/>
        <v>7</v>
      </c>
      <c r="AY13" s="273" t="e">
        <f t="shared" si="13"/>
        <v>#N/A</v>
      </c>
      <c r="AZ13" s="232" t="e">
        <f t="shared" si="47"/>
        <v>#N/A</v>
      </c>
      <c r="BA13" s="232" t="e">
        <f t="shared" si="14"/>
        <v>#N/A</v>
      </c>
      <c r="BB13" s="275">
        <f t="shared" si="48"/>
        <v>7</v>
      </c>
      <c r="BC13" s="276" t="e">
        <f t="shared" si="49"/>
        <v>#N/A</v>
      </c>
      <c r="BD13" s="277" t="e">
        <f t="shared" si="50"/>
        <v>#N/A</v>
      </c>
      <c r="BE13" s="250" t="e">
        <f t="shared" si="15"/>
        <v>#N/A</v>
      </c>
      <c r="BF13" s="247">
        <f t="shared" si="51"/>
        <v>7</v>
      </c>
      <c r="BG13" s="276" t="e">
        <f t="shared" si="52"/>
        <v>#N/A</v>
      </c>
      <c r="BH13" s="277" t="e">
        <f t="shared" si="53"/>
        <v>#N/A</v>
      </c>
      <c r="BI13" s="250" t="e">
        <f t="shared" si="16"/>
        <v>#N/A</v>
      </c>
      <c r="BJ13" s="251">
        <f t="shared" si="54"/>
        <v>7</v>
      </c>
      <c r="BK13" s="278" t="e">
        <f t="shared" si="55"/>
        <v>#N/A</v>
      </c>
      <c r="BL13" s="278" t="e">
        <f t="shared" si="56"/>
        <v>#N/A</v>
      </c>
      <c r="BM13" s="279" t="e">
        <f t="shared" si="17"/>
        <v>#N/A</v>
      </c>
      <c r="BN13" s="280">
        <f t="shared" si="57"/>
        <v>7</v>
      </c>
      <c r="BO13" s="281" t="e">
        <f t="shared" si="58"/>
        <v>#N/A</v>
      </c>
      <c r="BP13" s="281" t="e">
        <f t="shared" si="59"/>
        <v>#N/A</v>
      </c>
      <c r="BQ13" s="279" t="e">
        <f t="shared" si="18"/>
        <v>#N/A</v>
      </c>
      <c r="BR13" s="282" t="e">
        <f t="shared" si="19"/>
        <v>#N/A</v>
      </c>
      <c r="BS13" s="217" t="e">
        <f>VLOOKUP($B13,SDR24_STOCK_BY_LA!$A$2:$C$11878,3,0)</f>
        <v>#N/A</v>
      </c>
      <c r="BT13" s="217" t="str">
        <f t="shared" si="60"/>
        <v/>
      </c>
    </row>
    <row r="14" spans="1:72" x14ac:dyDescent="0.2">
      <c r="A14" s="217" t="str">
        <f t="shared" si="61"/>
        <v/>
      </c>
      <c r="B14" s="217" t="str">
        <f t="shared" si="62"/>
        <v/>
      </c>
      <c r="C14" s="283" t="str">
        <f t="shared" si="20"/>
        <v/>
      </c>
      <c r="D14" s="256" t="str">
        <f>IF(B14="","",IF(totals!$Q$3=0,IFERROR(IF(AD14=2,"0",AE14),""),"-"))</f>
        <v/>
      </c>
      <c r="E14" s="258" t="str">
        <f t="shared" si="21"/>
        <v/>
      </c>
      <c r="F14" s="259" t="str">
        <f t="shared" si="22"/>
        <v/>
      </c>
      <c r="G14" s="259" t="str">
        <f t="shared" si="23"/>
        <v/>
      </c>
      <c r="H14" s="256" t="str">
        <f t="shared" si="1"/>
        <v/>
      </c>
      <c r="I14" s="259" t="str">
        <f t="shared" si="24"/>
        <v/>
      </c>
      <c r="J14" s="259" t="str">
        <f t="shared" si="25"/>
        <v/>
      </c>
      <c r="K14" s="256" t="str">
        <f t="shared" si="2"/>
        <v/>
      </c>
      <c r="L14" s="259" t="str">
        <f t="shared" si="3"/>
        <v/>
      </c>
      <c r="M14" s="259" t="str">
        <f t="shared" si="26"/>
        <v/>
      </c>
      <c r="N14" s="256" t="str">
        <f t="shared" si="27"/>
        <v/>
      </c>
      <c r="O14" s="259" t="str">
        <f t="shared" si="28"/>
        <v/>
      </c>
      <c r="P14" s="259" t="str">
        <f t="shared" si="29"/>
        <v/>
      </c>
      <c r="Q14" s="256" t="str">
        <f t="shared" si="30"/>
        <v/>
      </c>
      <c r="R14" s="259" t="str">
        <f t="shared" si="31"/>
        <v/>
      </c>
      <c r="S14" s="259" t="str">
        <f t="shared" si="32"/>
        <v/>
      </c>
      <c r="T14" s="256" t="str">
        <f t="shared" si="33"/>
        <v/>
      </c>
      <c r="U14" s="217"/>
      <c r="V14" s="217"/>
      <c r="AB14" s="217" t="e">
        <f>VLOOKUP($B$6,Lookup_Source,7,0)</f>
        <v>#N/A</v>
      </c>
      <c r="AC14" s="241" t="str">
        <f t="shared" si="34"/>
        <v/>
      </c>
      <c r="AD14" s="242">
        <f t="shared" si="35"/>
        <v>7</v>
      </c>
      <c r="AE14" s="261" t="e">
        <f t="shared" si="4"/>
        <v>#N/A</v>
      </c>
      <c r="AF14" s="264" t="e">
        <f t="shared" si="36"/>
        <v>#N/A</v>
      </c>
      <c r="AG14" s="264" t="e">
        <f t="shared" si="37"/>
        <v>#N/A</v>
      </c>
      <c r="AH14" s="263" t="e">
        <f t="shared" si="5"/>
        <v>#N/A</v>
      </c>
      <c r="AI14" s="226">
        <f t="shared" si="38"/>
        <v>7</v>
      </c>
      <c r="AJ14" s="264" t="e">
        <f t="shared" si="6"/>
        <v>#N/A</v>
      </c>
      <c r="AK14" s="264" t="e">
        <f t="shared" si="39"/>
        <v>#N/A</v>
      </c>
      <c r="AL14" s="226" t="e">
        <f t="shared" si="7"/>
        <v>#N/A</v>
      </c>
      <c r="AM14" s="265" t="e">
        <f t="shared" si="40"/>
        <v>#N/A</v>
      </c>
      <c r="AN14" s="266" t="e">
        <f t="shared" si="8"/>
        <v>#N/A</v>
      </c>
      <c r="AO14" s="227" t="e">
        <f t="shared" si="9"/>
        <v>#N/A</v>
      </c>
      <c r="AP14" s="284">
        <f t="shared" si="41"/>
        <v>7</v>
      </c>
      <c r="AQ14" s="285" t="e">
        <f t="shared" si="10"/>
        <v>#N/A</v>
      </c>
      <c r="AR14" s="266" t="e">
        <f t="shared" si="42"/>
        <v>#N/A</v>
      </c>
      <c r="AS14" s="270" t="e">
        <f t="shared" si="11"/>
        <v>#N/A</v>
      </c>
      <c r="AT14" s="271">
        <f t="shared" si="43"/>
        <v>7</v>
      </c>
      <c r="AU14" s="272" t="e">
        <f t="shared" si="44"/>
        <v>#N/A</v>
      </c>
      <c r="AV14" s="273" t="e">
        <f t="shared" si="45"/>
        <v>#N/A</v>
      </c>
      <c r="AW14" s="274" t="e">
        <f t="shared" si="12"/>
        <v>#N/A</v>
      </c>
      <c r="AX14" s="232">
        <f t="shared" si="46"/>
        <v>7</v>
      </c>
      <c r="AY14" s="273" t="e">
        <f t="shared" si="13"/>
        <v>#N/A</v>
      </c>
      <c r="AZ14" s="232" t="e">
        <f t="shared" si="47"/>
        <v>#N/A</v>
      </c>
      <c r="BA14" s="232" t="e">
        <f t="shared" si="14"/>
        <v>#N/A</v>
      </c>
      <c r="BB14" s="275">
        <f t="shared" si="48"/>
        <v>7</v>
      </c>
      <c r="BC14" s="276" t="e">
        <f t="shared" si="49"/>
        <v>#N/A</v>
      </c>
      <c r="BD14" s="277" t="e">
        <f t="shared" si="50"/>
        <v>#N/A</v>
      </c>
      <c r="BE14" s="250" t="e">
        <f t="shared" si="15"/>
        <v>#N/A</v>
      </c>
      <c r="BF14" s="247">
        <f t="shared" si="51"/>
        <v>7</v>
      </c>
      <c r="BG14" s="276" t="e">
        <f t="shared" si="52"/>
        <v>#N/A</v>
      </c>
      <c r="BH14" s="277" t="e">
        <f t="shared" si="53"/>
        <v>#N/A</v>
      </c>
      <c r="BI14" s="250" t="e">
        <f t="shared" si="16"/>
        <v>#N/A</v>
      </c>
      <c r="BJ14" s="251">
        <f t="shared" si="54"/>
        <v>7</v>
      </c>
      <c r="BK14" s="278" t="e">
        <f t="shared" si="55"/>
        <v>#N/A</v>
      </c>
      <c r="BL14" s="278" t="e">
        <f t="shared" si="56"/>
        <v>#N/A</v>
      </c>
      <c r="BM14" s="279" t="e">
        <f t="shared" si="17"/>
        <v>#N/A</v>
      </c>
      <c r="BN14" s="280">
        <f t="shared" si="57"/>
        <v>7</v>
      </c>
      <c r="BO14" s="281" t="e">
        <f t="shared" si="58"/>
        <v>#N/A</v>
      </c>
      <c r="BP14" s="281" t="e">
        <f t="shared" si="59"/>
        <v>#N/A</v>
      </c>
      <c r="BQ14" s="279" t="e">
        <f t="shared" si="18"/>
        <v>#N/A</v>
      </c>
      <c r="BR14" s="282" t="e">
        <f t="shared" si="19"/>
        <v>#N/A</v>
      </c>
      <c r="BS14" s="217" t="e">
        <f>VLOOKUP($B14,SDR24_STOCK_BY_LA!$A$2:$C$11878,3,0)</f>
        <v>#N/A</v>
      </c>
      <c r="BT14" s="217" t="str">
        <f t="shared" si="60"/>
        <v/>
      </c>
    </row>
    <row r="15" spans="1:72" x14ac:dyDescent="0.2">
      <c r="A15" s="256" t="str">
        <f t="shared" si="61"/>
        <v/>
      </c>
      <c r="B15" s="217" t="str">
        <f t="shared" si="62"/>
        <v/>
      </c>
      <c r="C15" s="257" t="str">
        <f t="shared" si="20"/>
        <v/>
      </c>
      <c r="D15" s="256" t="str">
        <f>IF(B15="","",IF(totals!$Q$3=0,IFERROR(IF(AD15=2,"0",AE15),""),"-"))</f>
        <v/>
      </c>
      <c r="E15" s="258" t="str">
        <f t="shared" si="21"/>
        <v/>
      </c>
      <c r="F15" s="259" t="str">
        <f t="shared" si="22"/>
        <v/>
      </c>
      <c r="G15" s="259" t="str">
        <f t="shared" si="23"/>
        <v/>
      </c>
      <c r="H15" s="256" t="str">
        <f t="shared" si="1"/>
        <v/>
      </c>
      <c r="I15" s="259" t="str">
        <f t="shared" si="24"/>
        <v/>
      </c>
      <c r="J15" s="259" t="str">
        <f t="shared" si="25"/>
        <v/>
      </c>
      <c r="K15" s="256" t="str">
        <f t="shared" si="2"/>
        <v/>
      </c>
      <c r="L15" s="259" t="str">
        <f t="shared" si="3"/>
        <v/>
      </c>
      <c r="M15" s="259" t="str">
        <f t="shared" si="26"/>
        <v/>
      </c>
      <c r="N15" s="256" t="str">
        <f t="shared" si="27"/>
        <v/>
      </c>
      <c r="O15" s="259" t="str">
        <f t="shared" si="28"/>
        <v/>
      </c>
      <c r="P15" s="259" t="str">
        <f t="shared" si="29"/>
        <v/>
      </c>
      <c r="Q15" s="256" t="str">
        <f t="shared" si="30"/>
        <v/>
      </c>
      <c r="R15" s="259" t="str">
        <f t="shared" si="31"/>
        <v/>
      </c>
      <c r="S15" s="259" t="str">
        <f t="shared" si="32"/>
        <v/>
      </c>
      <c r="T15" s="256" t="str">
        <f t="shared" si="33"/>
        <v/>
      </c>
      <c r="U15" s="217"/>
      <c r="V15" s="217"/>
      <c r="AB15" s="257" t="e">
        <f>VLOOKUP($B$6,Lookup_Source,8,0)</f>
        <v>#N/A</v>
      </c>
      <c r="AC15" s="241" t="str">
        <f t="shared" si="34"/>
        <v/>
      </c>
      <c r="AD15" s="242">
        <f t="shared" si="35"/>
        <v>7</v>
      </c>
      <c r="AE15" s="261" t="e">
        <f t="shared" si="4"/>
        <v>#N/A</v>
      </c>
      <c r="AF15" s="264" t="e">
        <f t="shared" si="36"/>
        <v>#N/A</v>
      </c>
      <c r="AG15" s="264" t="e">
        <f t="shared" si="37"/>
        <v>#N/A</v>
      </c>
      <c r="AH15" s="263" t="e">
        <f t="shared" si="5"/>
        <v>#N/A</v>
      </c>
      <c r="AI15" s="226">
        <f t="shared" si="38"/>
        <v>7</v>
      </c>
      <c r="AJ15" s="264" t="e">
        <f t="shared" si="6"/>
        <v>#N/A</v>
      </c>
      <c r="AK15" s="264" t="e">
        <f t="shared" si="39"/>
        <v>#N/A</v>
      </c>
      <c r="AL15" s="226" t="e">
        <f t="shared" si="7"/>
        <v>#N/A</v>
      </c>
      <c r="AM15" s="265" t="e">
        <f t="shared" si="40"/>
        <v>#N/A</v>
      </c>
      <c r="AN15" s="266" t="e">
        <f t="shared" si="8"/>
        <v>#N/A</v>
      </c>
      <c r="AO15" s="227" t="e">
        <f t="shared" si="9"/>
        <v>#N/A</v>
      </c>
      <c r="AP15" s="284">
        <f t="shared" si="41"/>
        <v>7</v>
      </c>
      <c r="AQ15" s="285" t="e">
        <f t="shared" si="10"/>
        <v>#N/A</v>
      </c>
      <c r="AR15" s="266" t="e">
        <f t="shared" si="42"/>
        <v>#N/A</v>
      </c>
      <c r="AS15" s="270" t="e">
        <f t="shared" si="11"/>
        <v>#N/A</v>
      </c>
      <c r="AT15" s="271">
        <f t="shared" si="43"/>
        <v>7</v>
      </c>
      <c r="AU15" s="272" t="e">
        <f t="shared" si="44"/>
        <v>#N/A</v>
      </c>
      <c r="AV15" s="273" t="e">
        <f t="shared" si="45"/>
        <v>#N/A</v>
      </c>
      <c r="AW15" s="274" t="e">
        <f t="shared" si="12"/>
        <v>#N/A</v>
      </c>
      <c r="AX15" s="232">
        <f t="shared" si="46"/>
        <v>7</v>
      </c>
      <c r="AY15" s="273" t="e">
        <f t="shared" si="13"/>
        <v>#N/A</v>
      </c>
      <c r="AZ15" s="232" t="e">
        <f t="shared" si="47"/>
        <v>#N/A</v>
      </c>
      <c r="BA15" s="232" t="e">
        <f t="shared" si="14"/>
        <v>#N/A</v>
      </c>
      <c r="BB15" s="275">
        <f t="shared" si="48"/>
        <v>7</v>
      </c>
      <c r="BC15" s="276" t="e">
        <f t="shared" si="49"/>
        <v>#N/A</v>
      </c>
      <c r="BD15" s="277" t="e">
        <f t="shared" si="50"/>
        <v>#N/A</v>
      </c>
      <c r="BE15" s="250" t="e">
        <f t="shared" si="15"/>
        <v>#N/A</v>
      </c>
      <c r="BF15" s="247">
        <f t="shared" si="51"/>
        <v>7</v>
      </c>
      <c r="BG15" s="276" t="e">
        <f t="shared" si="52"/>
        <v>#N/A</v>
      </c>
      <c r="BH15" s="277" t="e">
        <f t="shared" si="53"/>
        <v>#N/A</v>
      </c>
      <c r="BI15" s="250" t="e">
        <f t="shared" si="16"/>
        <v>#N/A</v>
      </c>
      <c r="BJ15" s="251">
        <f t="shared" si="54"/>
        <v>7</v>
      </c>
      <c r="BK15" s="278" t="e">
        <f t="shared" si="55"/>
        <v>#N/A</v>
      </c>
      <c r="BL15" s="278" t="e">
        <f t="shared" si="56"/>
        <v>#N/A</v>
      </c>
      <c r="BM15" s="279" t="e">
        <f t="shared" si="17"/>
        <v>#N/A</v>
      </c>
      <c r="BN15" s="280">
        <f t="shared" si="57"/>
        <v>7</v>
      </c>
      <c r="BO15" s="281" t="e">
        <f t="shared" si="58"/>
        <v>#N/A</v>
      </c>
      <c r="BP15" s="281" t="e">
        <f t="shared" si="59"/>
        <v>#N/A</v>
      </c>
      <c r="BQ15" s="279" t="e">
        <f t="shared" si="18"/>
        <v>#N/A</v>
      </c>
      <c r="BR15" s="282" t="e">
        <f t="shared" si="19"/>
        <v>#N/A</v>
      </c>
      <c r="BS15" s="217" t="e">
        <f>VLOOKUP($B15,SDR24_STOCK_BY_LA!$A$2:$C$11878,3,0)</f>
        <v>#N/A</v>
      </c>
      <c r="BT15" s="217" t="str">
        <f t="shared" si="60"/>
        <v/>
      </c>
    </row>
    <row r="16" spans="1:72" x14ac:dyDescent="0.2">
      <c r="A16" s="217" t="str">
        <f t="shared" si="61"/>
        <v/>
      </c>
      <c r="B16" s="217" t="str">
        <f t="shared" si="62"/>
        <v/>
      </c>
      <c r="C16" s="283" t="str">
        <f t="shared" si="20"/>
        <v/>
      </c>
      <c r="D16" s="256" t="str">
        <f>IF(B16="","",IF(totals!$Q$3=0,IFERROR(IF(AD16=2,"0",AE16),""),"-"))</f>
        <v/>
      </c>
      <c r="E16" s="258" t="str">
        <f t="shared" si="21"/>
        <v/>
      </c>
      <c r="F16" s="259" t="str">
        <f t="shared" si="22"/>
        <v/>
      </c>
      <c r="G16" s="259" t="str">
        <f t="shared" si="23"/>
        <v/>
      </c>
      <c r="H16" s="256" t="str">
        <f t="shared" si="1"/>
        <v/>
      </c>
      <c r="I16" s="259" t="str">
        <f t="shared" si="24"/>
        <v/>
      </c>
      <c r="J16" s="259" t="str">
        <f t="shared" si="25"/>
        <v/>
      </c>
      <c r="K16" s="256" t="str">
        <f t="shared" si="2"/>
        <v/>
      </c>
      <c r="L16" s="259" t="str">
        <f t="shared" si="3"/>
        <v/>
      </c>
      <c r="M16" s="259" t="str">
        <f t="shared" si="26"/>
        <v/>
      </c>
      <c r="N16" s="256" t="str">
        <f t="shared" si="27"/>
        <v/>
      </c>
      <c r="O16" s="259" t="str">
        <f t="shared" si="28"/>
        <v/>
      </c>
      <c r="P16" s="259" t="str">
        <f t="shared" si="29"/>
        <v/>
      </c>
      <c r="Q16" s="256" t="str">
        <f t="shared" si="30"/>
        <v/>
      </c>
      <c r="R16" s="259" t="str">
        <f t="shared" si="31"/>
        <v/>
      </c>
      <c r="S16" s="259" t="str">
        <f t="shared" si="32"/>
        <v/>
      </c>
      <c r="T16" s="256" t="str">
        <f t="shared" si="33"/>
        <v/>
      </c>
      <c r="U16" s="217"/>
      <c r="V16" s="217"/>
      <c r="AB16" s="217" t="e">
        <f>VLOOKUP($B$6,Lookup_Source,9,0)</f>
        <v>#N/A</v>
      </c>
      <c r="AC16" s="241" t="str">
        <f t="shared" si="34"/>
        <v/>
      </c>
      <c r="AD16" s="242">
        <f t="shared" si="35"/>
        <v>7</v>
      </c>
      <c r="AE16" s="261" t="e">
        <f t="shared" si="4"/>
        <v>#N/A</v>
      </c>
      <c r="AF16" s="264" t="e">
        <f t="shared" si="36"/>
        <v>#N/A</v>
      </c>
      <c r="AG16" s="264" t="e">
        <f t="shared" si="37"/>
        <v>#N/A</v>
      </c>
      <c r="AH16" s="263" t="e">
        <f t="shared" si="5"/>
        <v>#N/A</v>
      </c>
      <c r="AI16" s="226">
        <f t="shared" si="38"/>
        <v>7</v>
      </c>
      <c r="AJ16" s="264" t="e">
        <f t="shared" si="6"/>
        <v>#N/A</v>
      </c>
      <c r="AK16" s="264" t="e">
        <f t="shared" si="39"/>
        <v>#N/A</v>
      </c>
      <c r="AL16" s="226" t="e">
        <f t="shared" si="7"/>
        <v>#N/A</v>
      </c>
      <c r="AM16" s="265" t="e">
        <f t="shared" si="40"/>
        <v>#N/A</v>
      </c>
      <c r="AN16" s="266" t="e">
        <f t="shared" si="8"/>
        <v>#N/A</v>
      </c>
      <c r="AO16" s="227" t="e">
        <f t="shared" si="9"/>
        <v>#N/A</v>
      </c>
      <c r="AP16" s="284">
        <f t="shared" si="41"/>
        <v>7</v>
      </c>
      <c r="AQ16" s="285" t="e">
        <f t="shared" si="10"/>
        <v>#N/A</v>
      </c>
      <c r="AR16" s="266" t="e">
        <f t="shared" si="42"/>
        <v>#N/A</v>
      </c>
      <c r="AS16" s="270" t="e">
        <f t="shared" si="11"/>
        <v>#N/A</v>
      </c>
      <c r="AT16" s="271">
        <f t="shared" si="43"/>
        <v>7</v>
      </c>
      <c r="AU16" s="272" t="e">
        <f t="shared" si="44"/>
        <v>#N/A</v>
      </c>
      <c r="AV16" s="273" t="e">
        <f t="shared" si="45"/>
        <v>#N/A</v>
      </c>
      <c r="AW16" s="274" t="e">
        <f t="shared" si="12"/>
        <v>#N/A</v>
      </c>
      <c r="AX16" s="232">
        <f t="shared" si="46"/>
        <v>7</v>
      </c>
      <c r="AY16" s="273" t="e">
        <f t="shared" si="13"/>
        <v>#N/A</v>
      </c>
      <c r="AZ16" s="232" t="e">
        <f t="shared" si="47"/>
        <v>#N/A</v>
      </c>
      <c r="BA16" s="232" t="e">
        <f t="shared" si="14"/>
        <v>#N/A</v>
      </c>
      <c r="BB16" s="275">
        <f t="shared" si="48"/>
        <v>7</v>
      </c>
      <c r="BC16" s="276" t="e">
        <f t="shared" si="49"/>
        <v>#N/A</v>
      </c>
      <c r="BD16" s="277" t="e">
        <f t="shared" si="50"/>
        <v>#N/A</v>
      </c>
      <c r="BE16" s="250" t="e">
        <f t="shared" si="15"/>
        <v>#N/A</v>
      </c>
      <c r="BF16" s="247">
        <f t="shared" si="51"/>
        <v>7</v>
      </c>
      <c r="BG16" s="276" t="e">
        <f t="shared" si="52"/>
        <v>#N/A</v>
      </c>
      <c r="BH16" s="277" t="e">
        <f t="shared" si="53"/>
        <v>#N/A</v>
      </c>
      <c r="BI16" s="250" t="e">
        <f t="shared" si="16"/>
        <v>#N/A</v>
      </c>
      <c r="BJ16" s="251">
        <f t="shared" si="54"/>
        <v>7</v>
      </c>
      <c r="BK16" s="278" t="e">
        <f t="shared" si="55"/>
        <v>#N/A</v>
      </c>
      <c r="BL16" s="278" t="e">
        <f t="shared" si="56"/>
        <v>#N/A</v>
      </c>
      <c r="BM16" s="279" t="e">
        <f t="shared" si="17"/>
        <v>#N/A</v>
      </c>
      <c r="BN16" s="280">
        <f t="shared" si="57"/>
        <v>7</v>
      </c>
      <c r="BO16" s="281" t="e">
        <f t="shared" si="58"/>
        <v>#N/A</v>
      </c>
      <c r="BP16" s="281" t="e">
        <f t="shared" si="59"/>
        <v>#N/A</v>
      </c>
      <c r="BQ16" s="279" t="e">
        <f t="shared" si="18"/>
        <v>#N/A</v>
      </c>
      <c r="BR16" s="282" t="e">
        <f t="shared" si="19"/>
        <v>#N/A</v>
      </c>
      <c r="BS16" s="217" t="e">
        <f>VLOOKUP($B16,SDR24_STOCK_BY_LA!$A$2:$C$11878,3,0)</f>
        <v>#N/A</v>
      </c>
      <c r="BT16" s="217" t="str">
        <f t="shared" si="60"/>
        <v/>
      </c>
    </row>
    <row r="17" spans="1:72" x14ac:dyDescent="0.2">
      <c r="A17" s="256" t="str">
        <f t="shared" si="61"/>
        <v/>
      </c>
      <c r="B17" s="217" t="str">
        <f t="shared" si="62"/>
        <v/>
      </c>
      <c r="C17" s="257" t="str">
        <f t="shared" si="20"/>
        <v/>
      </c>
      <c r="D17" s="256" t="str">
        <f>IF(B17="","",IF(totals!$Q$3=0,IFERROR(IF(AD17=2,"0",AE17),""),"-"))</f>
        <v/>
      </c>
      <c r="E17" s="258" t="str">
        <f t="shared" si="21"/>
        <v/>
      </c>
      <c r="F17" s="259" t="str">
        <f t="shared" si="22"/>
        <v/>
      </c>
      <c r="G17" s="259" t="str">
        <f t="shared" si="23"/>
        <v/>
      </c>
      <c r="H17" s="256" t="str">
        <f t="shared" si="1"/>
        <v/>
      </c>
      <c r="I17" s="259" t="str">
        <f t="shared" si="24"/>
        <v/>
      </c>
      <c r="J17" s="259" t="str">
        <f t="shared" si="25"/>
        <v/>
      </c>
      <c r="K17" s="256" t="str">
        <f t="shared" si="2"/>
        <v/>
      </c>
      <c r="L17" s="259" t="str">
        <f t="shared" si="3"/>
        <v/>
      </c>
      <c r="M17" s="259" t="str">
        <f t="shared" si="26"/>
        <v/>
      </c>
      <c r="N17" s="256" t="str">
        <f t="shared" si="27"/>
        <v/>
      </c>
      <c r="O17" s="259" t="str">
        <f t="shared" si="28"/>
        <v/>
      </c>
      <c r="P17" s="259" t="str">
        <f t="shared" si="29"/>
        <v/>
      </c>
      <c r="Q17" s="256" t="str">
        <f t="shared" si="30"/>
        <v/>
      </c>
      <c r="R17" s="259" t="str">
        <f t="shared" si="31"/>
        <v/>
      </c>
      <c r="S17" s="259" t="str">
        <f t="shared" si="32"/>
        <v/>
      </c>
      <c r="T17" s="256" t="str">
        <f t="shared" si="33"/>
        <v/>
      </c>
      <c r="U17" s="217"/>
      <c r="V17" s="217"/>
      <c r="AB17" s="257" t="e">
        <f>VLOOKUP($B$6,Lookup_Source,10,0)</f>
        <v>#N/A</v>
      </c>
      <c r="AC17" s="241" t="str">
        <f t="shared" si="34"/>
        <v/>
      </c>
      <c r="AD17" s="242">
        <f t="shared" si="35"/>
        <v>7</v>
      </c>
      <c r="AE17" s="261" t="e">
        <f t="shared" si="4"/>
        <v>#N/A</v>
      </c>
      <c r="AF17" s="264" t="e">
        <f t="shared" si="36"/>
        <v>#N/A</v>
      </c>
      <c r="AG17" s="264" t="e">
        <f t="shared" si="37"/>
        <v>#N/A</v>
      </c>
      <c r="AH17" s="263" t="e">
        <f t="shared" si="5"/>
        <v>#N/A</v>
      </c>
      <c r="AI17" s="226">
        <f t="shared" si="38"/>
        <v>7</v>
      </c>
      <c r="AJ17" s="264" t="e">
        <f t="shared" si="6"/>
        <v>#N/A</v>
      </c>
      <c r="AK17" s="264" t="e">
        <f t="shared" si="39"/>
        <v>#N/A</v>
      </c>
      <c r="AL17" s="226" t="e">
        <f t="shared" si="7"/>
        <v>#N/A</v>
      </c>
      <c r="AM17" s="265" t="e">
        <f t="shared" si="40"/>
        <v>#N/A</v>
      </c>
      <c r="AN17" s="266" t="e">
        <f t="shared" si="8"/>
        <v>#N/A</v>
      </c>
      <c r="AO17" s="227" t="e">
        <f t="shared" si="9"/>
        <v>#N/A</v>
      </c>
      <c r="AP17" s="284">
        <f t="shared" si="41"/>
        <v>7</v>
      </c>
      <c r="AQ17" s="285" t="e">
        <f t="shared" si="10"/>
        <v>#N/A</v>
      </c>
      <c r="AR17" s="266" t="e">
        <f t="shared" si="42"/>
        <v>#N/A</v>
      </c>
      <c r="AS17" s="270" t="e">
        <f t="shared" si="11"/>
        <v>#N/A</v>
      </c>
      <c r="AT17" s="271">
        <f t="shared" si="43"/>
        <v>7</v>
      </c>
      <c r="AU17" s="272" t="e">
        <f t="shared" si="44"/>
        <v>#N/A</v>
      </c>
      <c r="AV17" s="273" t="e">
        <f t="shared" si="45"/>
        <v>#N/A</v>
      </c>
      <c r="AW17" s="274" t="e">
        <f t="shared" si="12"/>
        <v>#N/A</v>
      </c>
      <c r="AX17" s="232">
        <f t="shared" si="46"/>
        <v>7</v>
      </c>
      <c r="AY17" s="273" t="e">
        <f t="shared" si="13"/>
        <v>#N/A</v>
      </c>
      <c r="AZ17" s="232" t="e">
        <f t="shared" si="47"/>
        <v>#N/A</v>
      </c>
      <c r="BA17" s="232" t="e">
        <f t="shared" si="14"/>
        <v>#N/A</v>
      </c>
      <c r="BB17" s="275">
        <f t="shared" si="48"/>
        <v>7</v>
      </c>
      <c r="BC17" s="276" t="e">
        <f t="shared" si="49"/>
        <v>#N/A</v>
      </c>
      <c r="BD17" s="277" t="e">
        <f t="shared" si="50"/>
        <v>#N/A</v>
      </c>
      <c r="BE17" s="250" t="e">
        <f t="shared" si="15"/>
        <v>#N/A</v>
      </c>
      <c r="BF17" s="247">
        <f t="shared" si="51"/>
        <v>7</v>
      </c>
      <c r="BG17" s="276" t="e">
        <f t="shared" si="52"/>
        <v>#N/A</v>
      </c>
      <c r="BH17" s="277" t="e">
        <f t="shared" si="53"/>
        <v>#N/A</v>
      </c>
      <c r="BI17" s="250" t="e">
        <f t="shared" si="16"/>
        <v>#N/A</v>
      </c>
      <c r="BJ17" s="251">
        <f t="shared" si="54"/>
        <v>7</v>
      </c>
      <c r="BK17" s="278" t="e">
        <f t="shared" si="55"/>
        <v>#N/A</v>
      </c>
      <c r="BL17" s="278" t="e">
        <f t="shared" si="56"/>
        <v>#N/A</v>
      </c>
      <c r="BM17" s="279" t="e">
        <f t="shared" si="17"/>
        <v>#N/A</v>
      </c>
      <c r="BN17" s="280">
        <f t="shared" si="57"/>
        <v>7</v>
      </c>
      <c r="BO17" s="281" t="e">
        <f t="shared" si="58"/>
        <v>#N/A</v>
      </c>
      <c r="BP17" s="281" t="e">
        <f t="shared" si="59"/>
        <v>#N/A</v>
      </c>
      <c r="BQ17" s="279" t="e">
        <f t="shared" si="18"/>
        <v>#N/A</v>
      </c>
      <c r="BR17" s="282" t="e">
        <f t="shared" si="19"/>
        <v>#N/A</v>
      </c>
      <c r="BS17" s="217" t="e">
        <f>VLOOKUP($B17,SDR24_STOCK_BY_LA!$A$2:$C$11878,3,0)</f>
        <v>#N/A</v>
      </c>
      <c r="BT17" s="217" t="str">
        <f t="shared" si="60"/>
        <v/>
      </c>
    </row>
    <row r="18" spans="1:72" x14ac:dyDescent="0.2">
      <c r="A18" s="217" t="str">
        <f t="shared" si="61"/>
        <v/>
      </c>
      <c r="B18" s="217" t="str">
        <f t="shared" si="62"/>
        <v/>
      </c>
      <c r="C18" s="283" t="str">
        <f t="shared" si="20"/>
        <v/>
      </c>
      <c r="D18" s="256" t="str">
        <f>IF(B18="","",IF(totals!$Q$3=0,IFERROR(IF(AD18=2,"0",AE18),""),"-"))</f>
        <v/>
      </c>
      <c r="E18" s="258" t="str">
        <f t="shared" si="21"/>
        <v/>
      </c>
      <c r="F18" s="259" t="str">
        <f t="shared" si="22"/>
        <v/>
      </c>
      <c r="G18" s="259" t="str">
        <f t="shared" si="23"/>
        <v/>
      </c>
      <c r="H18" s="256" t="str">
        <f t="shared" si="1"/>
        <v/>
      </c>
      <c r="I18" s="259" t="str">
        <f t="shared" si="24"/>
        <v/>
      </c>
      <c r="J18" s="259" t="str">
        <f t="shared" si="25"/>
        <v/>
      </c>
      <c r="K18" s="256" t="str">
        <f t="shared" si="2"/>
        <v/>
      </c>
      <c r="L18" s="259" t="str">
        <f t="shared" si="3"/>
        <v/>
      </c>
      <c r="M18" s="259" t="str">
        <f t="shared" si="26"/>
        <v/>
      </c>
      <c r="N18" s="256" t="str">
        <f t="shared" si="27"/>
        <v/>
      </c>
      <c r="O18" s="259" t="str">
        <f t="shared" si="28"/>
        <v/>
      </c>
      <c r="P18" s="259" t="str">
        <f t="shared" si="29"/>
        <v/>
      </c>
      <c r="Q18" s="256" t="str">
        <f t="shared" si="30"/>
        <v/>
      </c>
      <c r="R18" s="259" t="str">
        <f t="shared" si="31"/>
        <v/>
      </c>
      <c r="S18" s="259" t="str">
        <f t="shared" si="32"/>
        <v/>
      </c>
      <c r="T18" s="256" t="str">
        <f t="shared" si="33"/>
        <v/>
      </c>
      <c r="U18" s="217"/>
      <c r="V18" s="217"/>
      <c r="AB18" s="217" t="e">
        <f>VLOOKUP($B$6,Lookup_Source,11,0)</f>
        <v>#N/A</v>
      </c>
      <c r="AC18" s="241" t="str">
        <f t="shared" si="34"/>
        <v/>
      </c>
      <c r="AD18" s="242">
        <f t="shared" si="35"/>
        <v>7</v>
      </c>
      <c r="AE18" s="261" t="e">
        <f t="shared" si="4"/>
        <v>#N/A</v>
      </c>
      <c r="AF18" s="264" t="e">
        <f t="shared" si="36"/>
        <v>#N/A</v>
      </c>
      <c r="AG18" s="264" t="e">
        <f t="shared" si="37"/>
        <v>#N/A</v>
      </c>
      <c r="AH18" s="263" t="e">
        <f t="shared" si="5"/>
        <v>#N/A</v>
      </c>
      <c r="AI18" s="226">
        <f t="shared" si="38"/>
        <v>7</v>
      </c>
      <c r="AJ18" s="264" t="e">
        <f t="shared" si="6"/>
        <v>#N/A</v>
      </c>
      <c r="AK18" s="264" t="e">
        <f t="shared" si="39"/>
        <v>#N/A</v>
      </c>
      <c r="AL18" s="226" t="e">
        <f t="shared" si="7"/>
        <v>#N/A</v>
      </c>
      <c r="AM18" s="265" t="e">
        <f t="shared" si="40"/>
        <v>#N/A</v>
      </c>
      <c r="AN18" s="266" t="e">
        <f t="shared" si="8"/>
        <v>#N/A</v>
      </c>
      <c r="AO18" s="227" t="e">
        <f t="shared" si="9"/>
        <v>#N/A</v>
      </c>
      <c r="AP18" s="284">
        <f t="shared" si="41"/>
        <v>7</v>
      </c>
      <c r="AQ18" s="285" t="e">
        <f t="shared" si="10"/>
        <v>#N/A</v>
      </c>
      <c r="AR18" s="266" t="e">
        <f t="shared" si="42"/>
        <v>#N/A</v>
      </c>
      <c r="AS18" s="270" t="e">
        <f t="shared" si="11"/>
        <v>#N/A</v>
      </c>
      <c r="AT18" s="271">
        <f t="shared" si="43"/>
        <v>7</v>
      </c>
      <c r="AU18" s="272" t="e">
        <f t="shared" si="44"/>
        <v>#N/A</v>
      </c>
      <c r="AV18" s="273" t="e">
        <f t="shared" si="45"/>
        <v>#N/A</v>
      </c>
      <c r="AW18" s="274" t="e">
        <f t="shared" si="12"/>
        <v>#N/A</v>
      </c>
      <c r="AX18" s="232">
        <f t="shared" si="46"/>
        <v>7</v>
      </c>
      <c r="AY18" s="273" t="e">
        <f t="shared" si="13"/>
        <v>#N/A</v>
      </c>
      <c r="AZ18" s="232" t="e">
        <f t="shared" si="47"/>
        <v>#N/A</v>
      </c>
      <c r="BA18" s="232" t="e">
        <f t="shared" si="14"/>
        <v>#N/A</v>
      </c>
      <c r="BB18" s="275">
        <f t="shared" si="48"/>
        <v>7</v>
      </c>
      <c r="BC18" s="276" t="e">
        <f t="shared" si="49"/>
        <v>#N/A</v>
      </c>
      <c r="BD18" s="277" t="e">
        <f t="shared" si="50"/>
        <v>#N/A</v>
      </c>
      <c r="BE18" s="250" t="e">
        <f t="shared" si="15"/>
        <v>#N/A</v>
      </c>
      <c r="BF18" s="247">
        <f t="shared" si="51"/>
        <v>7</v>
      </c>
      <c r="BG18" s="276" t="e">
        <f t="shared" si="52"/>
        <v>#N/A</v>
      </c>
      <c r="BH18" s="277" t="e">
        <f t="shared" si="53"/>
        <v>#N/A</v>
      </c>
      <c r="BI18" s="250" t="e">
        <f t="shared" si="16"/>
        <v>#N/A</v>
      </c>
      <c r="BJ18" s="251">
        <f t="shared" si="54"/>
        <v>7</v>
      </c>
      <c r="BK18" s="278" t="e">
        <f t="shared" si="55"/>
        <v>#N/A</v>
      </c>
      <c r="BL18" s="278" t="e">
        <f t="shared" si="56"/>
        <v>#N/A</v>
      </c>
      <c r="BM18" s="279" t="e">
        <f t="shared" si="17"/>
        <v>#N/A</v>
      </c>
      <c r="BN18" s="280">
        <f t="shared" si="57"/>
        <v>7</v>
      </c>
      <c r="BO18" s="281" t="e">
        <f t="shared" si="58"/>
        <v>#N/A</v>
      </c>
      <c r="BP18" s="281" t="e">
        <f t="shared" si="59"/>
        <v>#N/A</v>
      </c>
      <c r="BQ18" s="279" t="e">
        <f t="shared" si="18"/>
        <v>#N/A</v>
      </c>
      <c r="BR18" s="282" t="e">
        <f t="shared" si="19"/>
        <v>#N/A</v>
      </c>
      <c r="BS18" s="217" t="e">
        <f>VLOOKUP($B18,SDR24_STOCK_BY_LA!$A$2:$C$11878,3,0)</f>
        <v>#N/A</v>
      </c>
      <c r="BT18" s="217" t="str">
        <f t="shared" si="60"/>
        <v/>
      </c>
    </row>
    <row r="19" spans="1:72" x14ac:dyDescent="0.2">
      <c r="A19" s="256" t="str">
        <f t="shared" si="61"/>
        <v/>
      </c>
      <c r="B19" s="217" t="str">
        <f t="shared" si="62"/>
        <v/>
      </c>
      <c r="C19" s="257" t="str">
        <f t="shared" si="20"/>
        <v/>
      </c>
      <c r="D19" s="256" t="str">
        <f>IF(B19="","",IF(totals!$Q$3=0,IFERROR(IF(AD19=2,"0",AE19),""),"-"))</f>
        <v/>
      </c>
      <c r="E19" s="258" t="str">
        <f t="shared" si="21"/>
        <v/>
      </c>
      <c r="F19" s="259" t="str">
        <f t="shared" si="22"/>
        <v/>
      </c>
      <c r="G19" s="259" t="str">
        <f t="shared" si="23"/>
        <v/>
      </c>
      <c r="H19" s="256" t="str">
        <f t="shared" si="1"/>
        <v/>
      </c>
      <c r="I19" s="259" t="str">
        <f t="shared" si="24"/>
        <v/>
      </c>
      <c r="J19" s="259" t="str">
        <f t="shared" si="25"/>
        <v/>
      </c>
      <c r="K19" s="256" t="str">
        <f t="shared" si="2"/>
        <v/>
      </c>
      <c r="L19" s="259" t="str">
        <f t="shared" si="3"/>
        <v/>
      </c>
      <c r="M19" s="259" t="str">
        <f t="shared" si="26"/>
        <v/>
      </c>
      <c r="N19" s="256" t="str">
        <f t="shared" si="27"/>
        <v/>
      </c>
      <c r="O19" s="259" t="str">
        <f t="shared" si="28"/>
        <v/>
      </c>
      <c r="P19" s="259" t="str">
        <f t="shared" si="29"/>
        <v/>
      </c>
      <c r="Q19" s="256" t="str">
        <f t="shared" si="30"/>
        <v/>
      </c>
      <c r="R19" s="259" t="str">
        <f t="shared" si="31"/>
        <v/>
      </c>
      <c r="S19" s="259" t="str">
        <f t="shared" si="32"/>
        <v/>
      </c>
      <c r="T19" s="256" t="str">
        <f t="shared" si="33"/>
        <v/>
      </c>
      <c r="U19" s="217"/>
      <c r="V19" s="217"/>
      <c r="AB19" s="257" t="e">
        <f>VLOOKUP($B$6,Lookup_Source,12,0)</f>
        <v>#N/A</v>
      </c>
      <c r="AC19" s="241" t="str">
        <f t="shared" si="34"/>
        <v/>
      </c>
      <c r="AD19" s="242">
        <f t="shared" si="35"/>
        <v>7</v>
      </c>
      <c r="AE19" s="261" t="e">
        <f t="shared" si="4"/>
        <v>#N/A</v>
      </c>
      <c r="AF19" s="264" t="e">
        <f t="shared" si="36"/>
        <v>#N/A</v>
      </c>
      <c r="AG19" s="264" t="e">
        <f t="shared" si="37"/>
        <v>#N/A</v>
      </c>
      <c r="AH19" s="263" t="e">
        <f t="shared" si="5"/>
        <v>#N/A</v>
      </c>
      <c r="AI19" s="226">
        <f t="shared" si="38"/>
        <v>7</v>
      </c>
      <c r="AJ19" s="264" t="e">
        <f t="shared" si="6"/>
        <v>#N/A</v>
      </c>
      <c r="AK19" s="264" t="e">
        <f t="shared" si="39"/>
        <v>#N/A</v>
      </c>
      <c r="AL19" s="226" t="e">
        <f t="shared" si="7"/>
        <v>#N/A</v>
      </c>
      <c r="AM19" s="265" t="e">
        <f t="shared" si="40"/>
        <v>#N/A</v>
      </c>
      <c r="AN19" s="266" t="e">
        <f t="shared" si="8"/>
        <v>#N/A</v>
      </c>
      <c r="AO19" s="227" t="e">
        <f t="shared" si="9"/>
        <v>#N/A</v>
      </c>
      <c r="AP19" s="284">
        <f t="shared" si="41"/>
        <v>7</v>
      </c>
      <c r="AQ19" s="285" t="e">
        <f t="shared" si="10"/>
        <v>#N/A</v>
      </c>
      <c r="AR19" s="266" t="e">
        <f t="shared" si="42"/>
        <v>#N/A</v>
      </c>
      <c r="AS19" s="270" t="e">
        <f t="shared" si="11"/>
        <v>#N/A</v>
      </c>
      <c r="AT19" s="271">
        <f t="shared" si="43"/>
        <v>7</v>
      </c>
      <c r="AU19" s="272" t="e">
        <f t="shared" si="44"/>
        <v>#N/A</v>
      </c>
      <c r="AV19" s="273" t="e">
        <f t="shared" si="45"/>
        <v>#N/A</v>
      </c>
      <c r="AW19" s="274" t="e">
        <f t="shared" si="12"/>
        <v>#N/A</v>
      </c>
      <c r="AX19" s="232">
        <f t="shared" si="46"/>
        <v>7</v>
      </c>
      <c r="AY19" s="273" t="e">
        <f t="shared" si="13"/>
        <v>#N/A</v>
      </c>
      <c r="AZ19" s="232" t="e">
        <f t="shared" si="47"/>
        <v>#N/A</v>
      </c>
      <c r="BA19" s="232" t="e">
        <f t="shared" si="14"/>
        <v>#N/A</v>
      </c>
      <c r="BB19" s="275">
        <f t="shared" si="48"/>
        <v>7</v>
      </c>
      <c r="BC19" s="276" t="e">
        <f t="shared" si="49"/>
        <v>#N/A</v>
      </c>
      <c r="BD19" s="277" t="e">
        <f t="shared" si="50"/>
        <v>#N/A</v>
      </c>
      <c r="BE19" s="250" t="e">
        <f t="shared" si="15"/>
        <v>#N/A</v>
      </c>
      <c r="BF19" s="247">
        <f t="shared" si="51"/>
        <v>7</v>
      </c>
      <c r="BG19" s="276" t="e">
        <f t="shared" si="52"/>
        <v>#N/A</v>
      </c>
      <c r="BH19" s="277" t="e">
        <f t="shared" si="53"/>
        <v>#N/A</v>
      </c>
      <c r="BI19" s="250" t="e">
        <f t="shared" si="16"/>
        <v>#N/A</v>
      </c>
      <c r="BJ19" s="251">
        <f t="shared" si="54"/>
        <v>7</v>
      </c>
      <c r="BK19" s="278" t="e">
        <f t="shared" si="55"/>
        <v>#N/A</v>
      </c>
      <c r="BL19" s="278" t="e">
        <f t="shared" si="56"/>
        <v>#N/A</v>
      </c>
      <c r="BM19" s="279" t="e">
        <f t="shared" si="17"/>
        <v>#N/A</v>
      </c>
      <c r="BN19" s="280">
        <f t="shared" si="57"/>
        <v>7</v>
      </c>
      <c r="BO19" s="281" t="e">
        <f t="shared" si="58"/>
        <v>#N/A</v>
      </c>
      <c r="BP19" s="281" t="e">
        <f t="shared" si="59"/>
        <v>#N/A</v>
      </c>
      <c r="BQ19" s="279" t="e">
        <f t="shared" si="18"/>
        <v>#N/A</v>
      </c>
      <c r="BR19" s="282" t="e">
        <f t="shared" si="19"/>
        <v>#N/A</v>
      </c>
      <c r="BS19" s="217" t="e">
        <f>VLOOKUP($B19,SDR24_STOCK_BY_LA!$A$2:$C$11878,3,0)</f>
        <v>#N/A</v>
      </c>
      <c r="BT19" s="217" t="str">
        <f t="shared" si="60"/>
        <v/>
      </c>
    </row>
    <row r="20" spans="1:72" x14ac:dyDescent="0.2">
      <c r="A20" s="217" t="str">
        <f t="shared" si="61"/>
        <v/>
      </c>
      <c r="B20" s="217" t="str">
        <f t="shared" si="62"/>
        <v/>
      </c>
      <c r="C20" s="283" t="str">
        <f t="shared" si="20"/>
        <v/>
      </c>
      <c r="D20" s="256" t="str">
        <f>IF(B20="","",IF(totals!$Q$3=0,IFERROR(IF(AD20=2,"0",AE20),""),"-"))</f>
        <v/>
      </c>
      <c r="E20" s="258" t="str">
        <f t="shared" si="21"/>
        <v/>
      </c>
      <c r="F20" s="259" t="str">
        <f t="shared" si="22"/>
        <v/>
      </c>
      <c r="G20" s="259" t="str">
        <f t="shared" si="23"/>
        <v/>
      </c>
      <c r="H20" s="256" t="str">
        <f t="shared" si="1"/>
        <v/>
      </c>
      <c r="I20" s="259" t="str">
        <f t="shared" si="24"/>
        <v/>
      </c>
      <c r="J20" s="259" t="str">
        <f t="shared" si="25"/>
        <v/>
      </c>
      <c r="K20" s="256" t="str">
        <f t="shared" si="2"/>
        <v/>
      </c>
      <c r="L20" s="259" t="str">
        <f t="shared" si="3"/>
        <v/>
      </c>
      <c r="M20" s="259" t="str">
        <f t="shared" si="26"/>
        <v/>
      </c>
      <c r="N20" s="256" t="str">
        <f t="shared" si="27"/>
        <v/>
      </c>
      <c r="O20" s="259" t="str">
        <f t="shared" si="28"/>
        <v/>
      </c>
      <c r="P20" s="259" t="str">
        <f t="shared" si="29"/>
        <v/>
      </c>
      <c r="Q20" s="256" t="str">
        <f t="shared" si="30"/>
        <v/>
      </c>
      <c r="R20" s="259" t="str">
        <f t="shared" si="31"/>
        <v/>
      </c>
      <c r="S20" s="259" t="str">
        <f t="shared" si="32"/>
        <v/>
      </c>
      <c r="T20" s="256" t="str">
        <f t="shared" si="33"/>
        <v/>
      </c>
      <c r="U20" s="217"/>
      <c r="V20" s="217"/>
      <c r="AB20" s="217" t="e">
        <f>VLOOKUP($B$6,Lookup_Source,13,0)</f>
        <v>#N/A</v>
      </c>
      <c r="AC20" s="241" t="str">
        <f t="shared" si="34"/>
        <v/>
      </c>
      <c r="AD20" s="242">
        <f t="shared" si="35"/>
        <v>7</v>
      </c>
      <c r="AE20" s="261" t="e">
        <f t="shared" si="4"/>
        <v>#N/A</v>
      </c>
      <c r="AF20" s="264" t="e">
        <f t="shared" si="36"/>
        <v>#N/A</v>
      </c>
      <c r="AG20" s="264" t="e">
        <f t="shared" si="37"/>
        <v>#N/A</v>
      </c>
      <c r="AH20" s="263" t="e">
        <f t="shared" si="5"/>
        <v>#N/A</v>
      </c>
      <c r="AI20" s="226">
        <f t="shared" si="38"/>
        <v>7</v>
      </c>
      <c r="AJ20" s="264" t="e">
        <f t="shared" si="6"/>
        <v>#N/A</v>
      </c>
      <c r="AK20" s="264" t="e">
        <f t="shared" si="39"/>
        <v>#N/A</v>
      </c>
      <c r="AL20" s="226" t="e">
        <f t="shared" si="7"/>
        <v>#N/A</v>
      </c>
      <c r="AM20" s="265" t="e">
        <f t="shared" si="40"/>
        <v>#N/A</v>
      </c>
      <c r="AN20" s="266" t="e">
        <f t="shared" si="8"/>
        <v>#N/A</v>
      </c>
      <c r="AO20" s="227" t="e">
        <f t="shared" si="9"/>
        <v>#N/A</v>
      </c>
      <c r="AP20" s="284">
        <f t="shared" si="41"/>
        <v>7</v>
      </c>
      <c r="AQ20" s="285" t="e">
        <f t="shared" si="10"/>
        <v>#N/A</v>
      </c>
      <c r="AR20" s="266" t="e">
        <f t="shared" si="42"/>
        <v>#N/A</v>
      </c>
      <c r="AS20" s="270" t="e">
        <f t="shared" si="11"/>
        <v>#N/A</v>
      </c>
      <c r="AT20" s="271">
        <f t="shared" si="43"/>
        <v>7</v>
      </c>
      <c r="AU20" s="272" t="e">
        <f t="shared" si="44"/>
        <v>#N/A</v>
      </c>
      <c r="AV20" s="273" t="e">
        <f t="shared" si="45"/>
        <v>#N/A</v>
      </c>
      <c r="AW20" s="274" t="e">
        <f t="shared" si="12"/>
        <v>#N/A</v>
      </c>
      <c r="AX20" s="232">
        <f t="shared" si="46"/>
        <v>7</v>
      </c>
      <c r="AY20" s="273" t="e">
        <f t="shared" si="13"/>
        <v>#N/A</v>
      </c>
      <c r="AZ20" s="232" t="e">
        <f t="shared" si="47"/>
        <v>#N/A</v>
      </c>
      <c r="BA20" s="232" t="e">
        <f t="shared" si="14"/>
        <v>#N/A</v>
      </c>
      <c r="BB20" s="275">
        <f t="shared" si="48"/>
        <v>7</v>
      </c>
      <c r="BC20" s="276" t="e">
        <f t="shared" si="49"/>
        <v>#N/A</v>
      </c>
      <c r="BD20" s="277" t="e">
        <f t="shared" si="50"/>
        <v>#N/A</v>
      </c>
      <c r="BE20" s="250" t="e">
        <f t="shared" si="15"/>
        <v>#N/A</v>
      </c>
      <c r="BF20" s="247">
        <f t="shared" si="51"/>
        <v>7</v>
      </c>
      <c r="BG20" s="276" t="e">
        <f t="shared" si="52"/>
        <v>#N/A</v>
      </c>
      <c r="BH20" s="277" t="e">
        <f t="shared" si="53"/>
        <v>#N/A</v>
      </c>
      <c r="BI20" s="250" t="e">
        <f t="shared" si="16"/>
        <v>#N/A</v>
      </c>
      <c r="BJ20" s="251">
        <f t="shared" si="54"/>
        <v>7</v>
      </c>
      <c r="BK20" s="278" t="e">
        <f t="shared" si="55"/>
        <v>#N/A</v>
      </c>
      <c r="BL20" s="278" t="e">
        <f t="shared" si="56"/>
        <v>#N/A</v>
      </c>
      <c r="BM20" s="279" t="e">
        <f t="shared" si="17"/>
        <v>#N/A</v>
      </c>
      <c r="BN20" s="280">
        <f t="shared" si="57"/>
        <v>7</v>
      </c>
      <c r="BO20" s="281" t="e">
        <f t="shared" si="58"/>
        <v>#N/A</v>
      </c>
      <c r="BP20" s="281" t="e">
        <f t="shared" si="59"/>
        <v>#N/A</v>
      </c>
      <c r="BQ20" s="279" t="e">
        <f t="shared" si="18"/>
        <v>#N/A</v>
      </c>
      <c r="BR20" s="282" t="e">
        <f t="shared" si="19"/>
        <v>#N/A</v>
      </c>
      <c r="BS20" s="217" t="e">
        <f>VLOOKUP($B20,SDR24_STOCK_BY_LA!$A$2:$C$11878,3,0)</f>
        <v>#N/A</v>
      </c>
      <c r="BT20" s="217" t="str">
        <f t="shared" si="60"/>
        <v/>
      </c>
    </row>
    <row r="21" spans="1:72" x14ac:dyDescent="0.2">
      <c r="A21" s="256" t="str">
        <f t="shared" si="61"/>
        <v/>
      </c>
      <c r="B21" s="217" t="str">
        <f t="shared" si="62"/>
        <v/>
      </c>
      <c r="C21" s="257" t="str">
        <f t="shared" si="20"/>
        <v/>
      </c>
      <c r="D21" s="256" t="str">
        <f>IF(B21="","",IF(totals!$Q$3=0,IFERROR(IF(AD21=2,"0",AE21),""),"-"))</f>
        <v/>
      </c>
      <c r="E21" s="258" t="str">
        <f t="shared" si="21"/>
        <v/>
      </c>
      <c r="F21" s="259" t="str">
        <f t="shared" si="22"/>
        <v/>
      </c>
      <c r="G21" s="259" t="str">
        <f t="shared" si="23"/>
        <v/>
      </c>
      <c r="H21" s="256" t="str">
        <f t="shared" si="1"/>
        <v/>
      </c>
      <c r="I21" s="259" t="str">
        <f t="shared" si="24"/>
        <v/>
      </c>
      <c r="J21" s="259" t="str">
        <f t="shared" si="25"/>
        <v/>
      </c>
      <c r="K21" s="256" t="str">
        <f t="shared" si="2"/>
        <v/>
      </c>
      <c r="L21" s="259" t="str">
        <f t="shared" si="3"/>
        <v/>
      </c>
      <c r="M21" s="259" t="str">
        <f t="shared" si="26"/>
        <v/>
      </c>
      <c r="N21" s="256" t="str">
        <f t="shared" si="27"/>
        <v/>
      </c>
      <c r="O21" s="259" t="str">
        <f t="shared" si="28"/>
        <v/>
      </c>
      <c r="P21" s="259" t="str">
        <f t="shared" si="29"/>
        <v/>
      </c>
      <c r="Q21" s="256" t="str">
        <f t="shared" si="30"/>
        <v/>
      </c>
      <c r="R21" s="259" t="str">
        <f t="shared" si="31"/>
        <v/>
      </c>
      <c r="S21" s="259" t="str">
        <f t="shared" si="32"/>
        <v/>
      </c>
      <c r="T21" s="256" t="str">
        <f t="shared" si="33"/>
        <v/>
      </c>
      <c r="U21" s="217"/>
      <c r="V21" s="217"/>
      <c r="AB21" s="257" t="e">
        <f>VLOOKUP($B$6,Lookup_Source,14,0)</f>
        <v>#N/A</v>
      </c>
      <c r="AC21" s="241" t="str">
        <f t="shared" si="34"/>
        <v/>
      </c>
      <c r="AD21" s="242">
        <f t="shared" si="35"/>
        <v>7</v>
      </c>
      <c r="AE21" s="261" t="e">
        <f t="shared" si="4"/>
        <v>#N/A</v>
      </c>
      <c r="AF21" s="264" t="e">
        <f t="shared" si="36"/>
        <v>#N/A</v>
      </c>
      <c r="AG21" s="264" t="e">
        <f t="shared" si="37"/>
        <v>#N/A</v>
      </c>
      <c r="AH21" s="263" t="e">
        <f t="shared" si="5"/>
        <v>#N/A</v>
      </c>
      <c r="AI21" s="226">
        <f t="shared" si="38"/>
        <v>7</v>
      </c>
      <c r="AJ21" s="264" t="e">
        <f t="shared" si="6"/>
        <v>#N/A</v>
      </c>
      <c r="AK21" s="264" t="e">
        <f t="shared" si="39"/>
        <v>#N/A</v>
      </c>
      <c r="AL21" s="226" t="e">
        <f t="shared" si="7"/>
        <v>#N/A</v>
      </c>
      <c r="AM21" s="265" t="e">
        <f t="shared" si="40"/>
        <v>#N/A</v>
      </c>
      <c r="AN21" s="266" t="e">
        <f t="shared" si="8"/>
        <v>#N/A</v>
      </c>
      <c r="AO21" s="227" t="e">
        <f t="shared" si="9"/>
        <v>#N/A</v>
      </c>
      <c r="AP21" s="284">
        <f t="shared" si="41"/>
        <v>7</v>
      </c>
      <c r="AQ21" s="285" t="e">
        <f t="shared" si="10"/>
        <v>#N/A</v>
      </c>
      <c r="AR21" s="266" t="e">
        <f t="shared" si="42"/>
        <v>#N/A</v>
      </c>
      <c r="AS21" s="270" t="e">
        <f t="shared" si="11"/>
        <v>#N/A</v>
      </c>
      <c r="AT21" s="271">
        <f t="shared" si="43"/>
        <v>7</v>
      </c>
      <c r="AU21" s="272" t="e">
        <f t="shared" si="44"/>
        <v>#N/A</v>
      </c>
      <c r="AV21" s="273" t="e">
        <f t="shared" si="45"/>
        <v>#N/A</v>
      </c>
      <c r="AW21" s="274" t="e">
        <f t="shared" si="12"/>
        <v>#N/A</v>
      </c>
      <c r="AX21" s="232">
        <f t="shared" si="46"/>
        <v>7</v>
      </c>
      <c r="AY21" s="273" t="e">
        <f t="shared" si="13"/>
        <v>#N/A</v>
      </c>
      <c r="AZ21" s="232" t="e">
        <f t="shared" si="47"/>
        <v>#N/A</v>
      </c>
      <c r="BA21" s="232" t="e">
        <f t="shared" si="14"/>
        <v>#N/A</v>
      </c>
      <c r="BB21" s="275">
        <f t="shared" si="48"/>
        <v>7</v>
      </c>
      <c r="BC21" s="276" t="e">
        <f t="shared" si="49"/>
        <v>#N/A</v>
      </c>
      <c r="BD21" s="277" t="e">
        <f t="shared" si="50"/>
        <v>#N/A</v>
      </c>
      <c r="BE21" s="250" t="e">
        <f t="shared" si="15"/>
        <v>#N/A</v>
      </c>
      <c r="BF21" s="247">
        <f t="shared" si="51"/>
        <v>7</v>
      </c>
      <c r="BG21" s="276" t="e">
        <f t="shared" si="52"/>
        <v>#N/A</v>
      </c>
      <c r="BH21" s="277" t="e">
        <f t="shared" si="53"/>
        <v>#N/A</v>
      </c>
      <c r="BI21" s="250" t="e">
        <f t="shared" si="16"/>
        <v>#N/A</v>
      </c>
      <c r="BJ21" s="251">
        <f t="shared" si="54"/>
        <v>7</v>
      </c>
      <c r="BK21" s="278" t="e">
        <f t="shared" si="55"/>
        <v>#N/A</v>
      </c>
      <c r="BL21" s="278" t="e">
        <f t="shared" si="56"/>
        <v>#N/A</v>
      </c>
      <c r="BM21" s="279" t="e">
        <f t="shared" si="17"/>
        <v>#N/A</v>
      </c>
      <c r="BN21" s="280">
        <f t="shared" si="57"/>
        <v>7</v>
      </c>
      <c r="BO21" s="281" t="e">
        <f t="shared" si="58"/>
        <v>#N/A</v>
      </c>
      <c r="BP21" s="281" t="e">
        <f t="shared" si="59"/>
        <v>#N/A</v>
      </c>
      <c r="BQ21" s="279" t="e">
        <f t="shared" si="18"/>
        <v>#N/A</v>
      </c>
      <c r="BR21" s="282" t="e">
        <f t="shared" si="19"/>
        <v>#N/A</v>
      </c>
      <c r="BS21" s="217" t="e">
        <f>VLOOKUP($B21,SDR24_STOCK_BY_LA!$A$2:$C$11878,3,0)</f>
        <v>#N/A</v>
      </c>
      <c r="BT21" s="217" t="str">
        <f t="shared" si="60"/>
        <v/>
      </c>
    </row>
    <row r="22" spans="1:72" x14ac:dyDescent="0.2">
      <c r="A22" s="217" t="str">
        <f t="shared" si="61"/>
        <v/>
      </c>
      <c r="B22" s="217" t="str">
        <f t="shared" si="62"/>
        <v/>
      </c>
      <c r="C22" s="283" t="str">
        <f t="shared" si="20"/>
        <v/>
      </c>
      <c r="D22" s="256" t="str">
        <f>IF(B22="","",IF(totals!$Q$3=0,IFERROR(IF(AD22=2,"0",AE22),""),"-"))</f>
        <v/>
      </c>
      <c r="E22" s="258" t="str">
        <f t="shared" si="21"/>
        <v/>
      </c>
      <c r="F22" s="259" t="str">
        <f t="shared" si="22"/>
        <v/>
      </c>
      <c r="G22" s="259" t="str">
        <f t="shared" si="23"/>
        <v/>
      </c>
      <c r="H22" s="256" t="str">
        <f t="shared" si="1"/>
        <v/>
      </c>
      <c r="I22" s="259" t="str">
        <f t="shared" si="24"/>
        <v/>
      </c>
      <c r="J22" s="259" t="str">
        <f t="shared" si="25"/>
        <v/>
      </c>
      <c r="K22" s="256" t="str">
        <f t="shared" si="2"/>
        <v/>
      </c>
      <c r="L22" s="259" t="str">
        <f t="shared" si="3"/>
        <v/>
      </c>
      <c r="M22" s="259" t="str">
        <f t="shared" si="26"/>
        <v/>
      </c>
      <c r="N22" s="256" t="str">
        <f t="shared" si="27"/>
        <v/>
      </c>
      <c r="O22" s="259" t="str">
        <f t="shared" si="28"/>
        <v/>
      </c>
      <c r="P22" s="259" t="str">
        <f t="shared" si="29"/>
        <v/>
      </c>
      <c r="Q22" s="256" t="str">
        <f t="shared" si="30"/>
        <v/>
      </c>
      <c r="R22" s="259" t="str">
        <f t="shared" si="31"/>
        <v/>
      </c>
      <c r="S22" s="259" t="str">
        <f t="shared" si="32"/>
        <v/>
      </c>
      <c r="T22" s="256" t="str">
        <f t="shared" si="33"/>
        <v/>
      </c>
      <c r="U22" s="217"/>
      <c r="V22" s="217"/>
      <c r="AB22" s="217" t="e">
        <f>VLOOKUP($B$6,Lookup_Source,15,0)</f>
        <v>#N/A</v>
      </c>
      <c r="AC22" s="241" t="str">
        <f t="shared" si="34"/>
        <v/>
      </c>
      <c r="AD22" s="242">
        <f t="shared" si="35"/>
        <v>7</v>
      </c>
      <c r="AE22" s="261" t="e">
        <f t="shared" si="4"/>
        <v>#N/A</v>
      </c>
      <c r="AF22" s="264" t="e">
        <f t="shared" si="36"/>
        <v>#N/A</v>
      </c>
      <c r="AG22" s="264" t="e">
        <f t="shared" si="37"/>
        <v>#N/A</v>
      </c>
      <c r="AH22" s="263" t="e">
        <f t="shared" si="5"/>
        <v>#N/A</v>
      </c>
      <c r="AI22" s="226">
        <f t="shared" si="38"/>
        <v>7</v>
      </c>
      <c r="AJ22" s="264" t="e">
        <f t="shared" si="6"/>
        <v>#N/A</v>
      </c>
      <c r="AK22" s="264" t="e">
        <f t="shared" si="39"/>
        <v>#N/A</v>
      </c>
      <c r="AL22" s="226" t="e">
        <f t="shared" si="7"/>
        <v>#N/A</v>
      </c>
      <c r="AM22" s="265" t="e">
        <f t="shared" si="40"/>
        <v>#N/A</v>
      </c>
      <c r="AN22" s="266" t="e">
        <f t="shared" si="8"/>
        <v>#N/A</v>
      </c>
      <c r="AO22" s="227" t="e">
        <f t="shared" si="9"/>
        <v>#N/A</v>
      </c>
      <c r="AP22" s="284">
        <f t="shared" si="41"/>
        <v>7</v>
      </c>
      <c r="AQ22" s="285" t="e">
        <f t="shared" si="10"/>
        <v>#N/A</v>
      </c>
      <c r="AR22" s="266" t="e">
        <f t="shared" si="42"/>
        <v>#N/A</v>
      </c>
      <c r="AS22" s="270" t="e">
        <f t="shared" si="11"/>
        <v>#N/A</v>
      </c>
      <c r="AT22" s="271">
        <f t="shared" si="43"/>
        <v>7</v>
      </c>
      <c r="AU22" s="272" t="e">
        <f t="shared" si="44"/>
        <v>#N/A</v>
      </c>
      <c r="AV22" s="273" t="e">
        <f t="shared" si="45"/>
        <v>#N/A</v>
      </c>
      <c r="AW22" s="274" t="e">
        <f t="shared" si="12"/>
        <v>#N/A</v>
      </c>
      <c r="AX22" s="232">
        <f t="shared" si="46"/>
        <v>7</v>
      </c>
      <c r="AY22" s="273" t="e">
        <f t="shared" si="13"/>
        <v>#N/A</v>
      </c>
      <c r="AZ22" s="232" t="e">
        <f t="shared" si="47"/>
        <v>#N/A</v>
      </c>
      <c r="BA22" s="232" t="e">
        <f t="shared" si="14"/>
        <v>#N/A</v>
      </c>
      <c r="BB22" s="275">
        <f t="shared" si="48"/>
        <v>7</v>
      </c>
      <c r="BC22" s="276" t="e">
        <f t="shared" si="49"/>
        <v>#N/A</v>
      </c>
      <c r="BD22" s="277" t="e">
        <f t="shared" si="50"/>
        <v>#N/A</v>
      </c>
      <c r="BE22" s="250" t="e">
        <f t="shared" si="15"/>
        <v>#N/A</v>
      </c>
      <c r="BF22" s="247">
        <f t="shared" si="51"/>
        <v>7</v>
      </c>
      <c r="BG22" s="276" t="e">
        <f t="shared" si="52"/>
        <v>#N/A</v>
      </c>
      <c r="BH22" s="277" t="e">
        <f t="shared" si="53"/>
        <v>#N/A</v>
      </c>
      <c r="BI22" s="250" t="e">
        <f t="shared" si="16"/>
        <v>#N/A</v>
      </c>
      <c r="BJ22" s="251">
        <f t="shared" si="54"/>
        <v>7</v>
      </c>
      <c r="BK22" s="278" t="e">
        <f t="shared" si="55"/>
        <v>#N/A</v>
      </c>
      <c r="BL22" s="278" t="e">
        <f t="shared" si="56"/>
        <v>#N/A</v>
      </c>
      <c r="BM22" s="279" t="e">
        <f t="shared" si="17"/>
        <v>#N/A</v>
      </c>
      <c r="BN22" s="280">
        <f t="shared" si="57"/>
        <v>7</v>
      </c>
      <c r="BO22" s="281" t="e">
        <f t="shared" si="58"/>
        <v>#N/A</v>
      </c>
      <c r="BP22" s="281" t="e">
        <f t="shared" si="59"/>
        <v>#N/A</v>
      </c>
      <c r="BQ22" s="279" t="e">
        <f t="shared" si="18"/>
        <v>#N/A</v>
      </c>
      <c r="BR22" s="282" t="e">
        <f t="shared" si="19"/>
        <v>#N/A</v>
      </c>
      <c r="BS22" s="217" t="e">
        <f>VLOOKUP($B22,SDR24_STOCK_BY_LA!$A$2:$C$11878,3,0)</f>
        <v>#N/A</v>
      </c>
      <c r="BT22" s="217" t="str">
        <f t="shared" si="60"/>
        <v/>
      </c>
    </row>
    <row r="23" spans="1:72" x14ac:dyDescent="0.2">
      <c r="A23" s="256" t="str">
        <f t="shared" si="61"/>
        <v/>
      </c>
      <c r="B23" s="217" t="str">
        <f t="shared" si="62"/>
        <v/>
      </c>
      <c r="C23" s="257" t="str">
        <f t="shared" si="20"/>
        <v/>
      </c>
      <c r="D23" s="256" t="str">
        <f>IF(B23="","",IF(totals!$Q$3=0,IFERROR(IF(AD23=2,"0",AE23),""),"-"))</f>
        <v/>
      </c>
      <c r="E23" s="258" t="str">
        <f t="shared" si="21"/>
        <v/>
      </c>
      <c r="F23" s="259" t="str">
        <f t="shared" si="22"/>
        <v/>
      </c>
      <c r="G23" s="259" t="str">
        <f t="shared" si="23"/>
        <v/>
      </c>
      <c r="H23" s="256" t="str">
        <f t="shared" si="1"/>
        <v/>
      </c>
      <c r="I23" s="259" t="str">
        <f t="shared" si="24"/>
        <v/>
      </c>
      <c r="J23" s="259" t="str">
        <f t="shared" si="25"/>
        <v/>
      </c>
      <c r="K23" s="256" t="str">
        <f t="shared" si="2"/>
        <v/>
      </c>
      <c r="L23" s="259" t="str">
        <f t="shared" si="3"/>
        <v/>
      </c>
      <c r="M23" s="259" t="str">
        <f t="shared" si="26"/>
        <v/>
      </c>
      <c r="N23" s="256" t="str">
        <f t="shared" si="27"/>
        <v/>
      </c>
      <c r="O23" s="259" t="str">
        <f t="shared" si="28"/>
        <v/>
      </c>
      <c r="P23" s="259" t="str">
        <f t="shared" si="29"/>
        <v/>
      </c>
      <c r="Q23" s="256" t="str">
        <f t="shared" si="30"/>
        <v/>
      </c>
      <c r="R23" s="259" t="str">
        <f t="shared" si="31"/>
        <v/>
      </c>
      <c r="S23" s="259" t="str">
        <f t="shared" si="32"/>
        <v/>
      </c>
      <c r="T23" s="256" t="str">
        <f t="shared" si="33"/>
        <v/>
      </c>
      <c r="U23" s="217"/>
      <c r="V23" s="217"/>
      <c r="AB23" s="257" t="e">
        <f>VLOOKUP($B$6,Lookup_Source,16,0)</f>
        <v>#N/A</v>
      </c>
      <c r="AC23" s="241" t="str">
        <f t="shared" si="34"/>
        <v/>
      </c>
      <c r="AD23" s="242">
        <f t="shared" si="35"/>
        <v>7</v>
      </c>
      <c r="AE23" s="261" t="e">
        <f t="shared" si="4"/>
        <v>#N/A</v>
      </c>
      <c r="AF23" s="264" t="e">
        <f t="shared" si="36"/>
        <v>#N/A</v>
      </c>
      <c r="AG23" s="264" t="e">
        <f t="shared" si="37"/>
        <v>#N/A</v>
      </c>
      <c r="AH23" s="263" t="e">
        <f t="shared" si="5"/>
        <v>#N/A</v>
      </c>
      <c r="AI23" s="226">
        <f t="shared" si="38"/>
        <v>7</v>
      </c>
      <c r="AJ23" s="264" t="e">
        <f t="shared" si="6"/>
        <v>#N/A</v>
      </c>
      <c r="AK23" s="264" t="e">
        <f t="shared" si="39"/>
        <v>#N/A</v>
      </c>
      <c r="AL23" s="226" t="e">
        <f t="shared" si="7"/>
        <v>#N/A</v>
      </c>
      <c r="AM23" s="265" t="e">
        <f t="shared" si="40"/>
        <v>#N/A</v>
      </c>
      <c r="AN23" s="266" t="e">
        <f t="shared" si="8"/>
        <v>#N/A</v>
      </c>
      <c r="AO23" s="227" t="e">
        <f t="shared" si="9"/>
        <v>#N/A</v>
      </c>
      <c r="AP23" s="284">
        <f t="shared" si="41"/>
        <v>7</v>
      </c>
      <c r="AQ23" s="285" t="e">
        <f t="shared" si="10"/>
        <v>#N/A</v>
      </c>
      <c r="AR23" s="266" t="e">
        <f t="shared" si="42"/>
        <v>#N/A</v>
      </c>
      <c r="AS23" s="270" t="e">
        <f t="shared" si="11"/>
        <v>#N/A</v>
      </c>
      <c r="AT23" s="271">
        <f t="shared" si="43"/>
        <v>7</v>
      </c>
      <c r="AU23" s="272" t="e">
        <f t="shared" si="44"/>
        <v>#N/A</v>
      </c>
      <c r="AV23" s="273" t="e">
        <f t="shared" si="45"/>
        <v>#N/A</v>
      </c>
      <c r="AW23" s="274" t="e">
        <f t="shared" si="12"/>
        <v>#N/A</v>
      </c>
      <c r="AX23" s="232">
        <f t="shared" si="46"/>
        <v>7</v>
      </c>
      <c r="AY23" s="273" t="e">
        <f t="shared" si="13"/>
        <v>#N/A</v>
      </c>
      <c r="AZ23" s="232" t="e">
        <f t="shared" si="47"/>
        <v>#N/A</v>
      </c>
      <c r="BA23" s="232" t="e">
        <f t="shared" si="14"/>
        <v>#N/A</v>
      </c>
      <c r="BB23" s="275">
        <f t="shared" si="48"/>
        <v>7</v>
      </c>
      <c r="BC23" s="276" t="e">
        <f t="shared" si="49"/>
        <v>#N/A</v>
      </c>
      <c r="BD23" s="277" t="e">
        <f t="shared" si="50"/>
        <v>#N/A</v>
      </c>
      <c r="BE23" s="250" t="e">
        <f t="shared" si="15"/>
        <v>#N/A</v>
      </c>
      <c r="BF23" s="247">
        <f t="shared" si="51"/>
        <v>7</v>
      </c>
      <c r="BG23" s="276" t="e">
        <f t="shared" si="52"/>
        <v>#N/A</v>
      </c>
      <c r="BH23" s="277" t="e">
        <f t="shared" si="53"/>
        <v>#N/A</v>
      </c>
      <c r="BI23" s="250" t="e">
        <f t="shared" si="16"/>
        <v>#N/A</v>
      </c>
      <c r="BJ23" s="251">
        <f t="shared" si="54"/>
        <v>7</v>
      </c>
      <c r="BK23" s="278" t="e">
        <f t="shared" si="55"/>
        <v>#N/A</v>
      </c>
      <c r="BL23" s="278" t="e">
        <f t="shared" si="56"/>
        <v>#N/A</v>
      </c>
      <c r="BM23" s="279" t="e">
        <f t="shared" si="17"/>
        <v>#N/A</v>
      </c>
      <c r="BN23" s="280">
        <f t="shared" si="57"/>
        <v>7</v>
      </c>
      <c r="BO23" s="281" t="e">
        <f t="shared" si="58"/>
        <v>#N/A</v>
      </c>
      <c r="BP23" s="281" t="e">
        <f t="shared" si="59"/>
        <v>#N/A</v>
      </c>
      <c r="BQ23" s="279" t="e">
        <f t="shared" si="18"/>
        <v>#N/A</v>
      </c>
      <c r="BR23" s="282" t="e">
        <f t="shared" si="19"/>
        <v>#N/A</v>
      </c>
      <c r="BS23" s="217" t="e">
        <f>VLOOKUP($B23,SDR24_STOCK_BY_LA!$A$2:$C$11878,3,0)</f>
        <v>#N/A</v>
      </c>
      <c r="BT23" s="217" t="str">
        <f t="shared" si="60"/>
        <v/>
      </c>
    </row>
    <row r="24" spans="1:72" x14ac:dyDescent="0.2">
      <c r="A24" s="217" t="str">
        <f t="shared" si="61"/>
        <v/>
      </c>
      <c r="B24" s="217" t="str">
        <f t="shared" si="62"/>
        <v/>
      </c>
      <c r="C24" s="283" t="str">
        <f t="shared" si="20"/>
        <v/>
      </c>
      <c r="D24" s="256" t="str">
        <f>IF(B24="","",IF(totals!$Q$3=0,IFERROR(IF(AD24=2,"0",AE24),""),"-"))</f>
        <v/>
      </c>
      <c r="E24" s="258" t="str">
        <f t="shared" si="21"/>
        <v/>
      </c>
      <c r="F24" s="259" t="str">
        <f t="shared" si="22"/>
        <v/>
      </c>
      <c r="G24" s="259" t="str">
        <f t="shared" si="23"/>
        <v/>
      </c>
      <c r="H24" s="256" t="str">
        <f t="shared" si="1"/>
        <v/>
      </c>
      <c r="I24" s="259" t="str">
        <f t="shared" si="24"/>
        <v/>
      </c>
      <c r="J24" s="259" t="str">
        <f t="shared" si="25"/>
        <v/>
      </c>
      <c r="K24" s="256" t="str">
        <f t="shared" si="2"/>
        <v/>
      </c>
      <c r="L24" s="259" t="str">
        <f t="shared" si="3"/>
        <v/>
      </c>
      <c r="M24" s="259" t="str">
        <f t="shared" si="26"/>
        <v/>
      </c>
      <c r="N24" s="256" t="str">
        <f t="shared" si="27"/>
        <v/>
      </c>
      <c r="O24" s="259" t="str">
        <f t="shared" si="28"/>
        <v/>
      </c>
      <c r="P24" s="259" t="str">
        <f t="shared" si="29"/>
        <v/>
      </c>
      <c r="Q24" s="256" t="str">
        <f t="shared" si="30"/>
        <v/>
      </c>
      <c r="R24" s="259" t="str">
        <f t="shared" si="31"/>
        <v/>
      </c>
      <c r="S24" s="259" t="str">
        <f t="shared" si="32"/>
        <v/>
      </c>
      <c r="T24" s="256" t="str">
        <f t="shared" si="33"/>
        <v/>
      </c>
      <c r="U24" s="217"/>
      <c r="V24" s="217"/>
      <c r="AB24" s="217" t="e">
        <f>VLOOKUP($B$6,Lookup_Source,17,0)</f>
        <v>#N/A</v>
      </c>
      <c r="AC24" s="241" t="str">
        <f t="shared" si="34"/>
        <v/>
      </c>
      <c r="AD24" s="242">
        <f t="shared" si="35"/>
        <v>7</v>
      </c>
      <c r="AE24" s="261" t="e">
        <f t="shared" si="4"/>
        <v>#N/A</v>
      </c>
      <c r="AF24" s="264" t="e">
        <f t="shared" si="36"/>
        <v>#N/A</v>
      </c>
      <c r="AG24" s="264" t="e">
        <f t="shared" si="37"/>
        <v>#N/A</v>
      </c>
      <c r="AH24" s="263" t="e">
        <f t="shared" si="5"/>
        <v>#N/A</v>
      </c>
      <c r="AI24" s="226">
        <f t="shared" si="38"/>
        <v>7</v>
      </c>
      <c r="AJ24" s="264" t="e">
        <f t="shared" si="6"/>
        <v>#N/A</v>
      </c>
      <c r="AK24" s="264" t="e">
        <f t="shared" si="39"/>
        <v>#N/A</v>
      </c>
      <c r="AL24" s="226" t="e">
        <f t="shared" si="7"/>
        <v>#N/A</v>
      </c>
      <c r="AM24" s="265" t="e">
        <f t="shared" si="40"/>
        <v>#N/A</v>
      </c>
      <c r="AN24" s="266" t="e">
        <f t="shared" si="8"/>
        <v>#N/A</v>
      </c>
      <c r="AO24" s="227" t="e">
        <f t="shared" si="9"/>
        <v>#N/A</v>
      </c>
      <c r="AP24" s="284">
        <f t="shared" si="41"/>
        <v>7</v>
      </c>
      <c r="AQ24" s="285" t="e">
        <f t="shared" si="10"/>
        <v>#N/A</v>
      </c>
      <c r="AR24" s="266" t="e">
        <f t="shared" si="42"/>
        <v>#N/A</v>
      </c>
      <c r="AS24" s="270" t="e">
        <f t="shared" si="11"/>
        <v>#N/A</v>
      </c>
      <c r="AT24" s="271">
        <f t="shared" si="43"/>
        <v>7</v>
      </c>
      <c r="AU24" s="272" t="e">
        <f t="shared" si="44"/>
        <v>#N/A</v>
      </c>
      <c r="AV24" s="273" t="e">
        <f t="shared" si="45"/>
        <v>#N/A</v>
      </c>
      <c r="AW24" s="274" t="e">
        <f t="shared" si="12"/>
        <v>#N/A</v>
      </c>
      <c r="AX24" s="232">
        <f t="shared" si="46"/>
        <v>7</v>
      </c>
      <c r="AY24" s="273" t="e">
        <f t="shared" si="13"/>
        <v>#N/A</v>
      </c>
      <c r="AZ24" s="232" t="e">
        <f t="shared" si="47"/>
        <v>#N/A</v>
      </c>
      <c r="BA24" s="232" t="e">
        <f t="shared" si="14"/>
        <v>#N/A</v>
      </c>
      <c r="BB24" s="275">
        <f t="shared" si="48"/>
        <v>7</v>
      </c>
      <c r="BC24" s="276" t="e">
        <f t="shared" si="49"/>
        <v>#N/A</v>
      </c>
      <c r="BD24" s="277" t="e">
        <f t="shared" si="50"/>
        <v>#N/A</v>
      </c>
      <c r="BE24" s="250" t="e">
        <f t="shared" si="15"/>
        <v>#N/A</v>
      </c>
      <c r="BF24" s="247">
        <f t="shared" si="51"/>
        <v>7</v>
      </c>
      <c r="BG24" s="276" t="e">
        <f t="shared" si="52"/>
        <v>#N/A</v>
      </c>
      <c r="BH24" s="277" t="e">
        <f t="shared" si="53"/>
        <v>#N/A</v>
      </c>
      <c r="BI24" s="250" t="e">
        <f t="shared" si="16"/>
        <v>#N/A</v>
      </c>
      <c r="BJ24" s="251">
        <f t="shared" si="54"/>
        <v>7</v>
      </c>
      <c r="BK24" s="278" t="e">
        <f t="shared" si="55"/>
        <v>#N/A</v>
      </c>
      <c r="BL24" s="278" t="e">
        <f t="shared" si="56"/>
        <v>#N/A</v>
      </c>
      <c r="BM24" s="279" t="e">
        <f t="shared" si="17"/>
        <v>#N/A</v>
      </c>
      <c r="BN24" s="280">
        <f t="shared" si="57"/>
        <v>7</v>
      </c>
      <c r="BO24" s="281" t="e">
        <f t="shared" si="58"/>
        <v>#N/A</v>
      </c>
      <c r="BP24" s="281" t="e">
        <f t="shared" si="59"/>
        <v>#N/A</v>
      </c>
      <c r="BQ24" s="279" t="e">
        <f t="shared" si="18"/>
        <v>#N/A</v>
      </c>
      <c r="BR24" s="282" t="e">
        <f t="shared" si="19"/>
        <v>#N/A</v>
      </c>
      <c r="BS24" s="217" t="e">
        <f>VLOOKUP($B24,SDR24_STOCK_BY_LA!$A$2:$C$11878,3,0)</f>
        <v>#N/A</v>
      </c>
      <c r="BT24" s="217" t="str">
        <f t="shared" si="60"/>
        <v/>
      </c>
    </row>
    <row r="25" spans="1:72" x14ac:dyDescent="0.2">
      <c r="A25" s="256" t="str">
        <f t="shared" si="61"/>
        <v/>
      </c>
      <c r="B25" s="217" t="str">
        <f t="shared" si="62"/>
        <v/>
      </c>
      <c r="C25" s="257" t="str">
        <f t="shared" si="20"/>
        <v/>
      </c>
      <c r="D25" s="256" t="str">
        <f>IF(B25="","",IF(totals!$Q$3=0,IFERROR(IF(AD25=2,"0",AE25),""),"-"))</f>
        <v/>
      </c>
      <c r="E25" s="258" t="str">
        <f t="shared" si="21"/>
        <v/>
      </c>
      <c r="F25" s="259" t="str">
        <f t="shared" si="22"/>
        <v/>
      </c>
      <c r="G25" s="259" t="str">
        <f t="shared" si="23"/>
        <v/>
      </c>
      <c r="H25" s="256" t="str">
        <f t="shared" si="1"/>
        <v/>
      </c>
      <c r="I25" s="259" t="str">
        <f t="shared" si="24"/>
        <v/>
      </c>
      <c r="J25" s="259" t="str">
        <f t="shared" si="25"/>
        <v/>
      </c>
      <c r="K25" s="256" t="str">
        <f t="shared" si="2"/>
        <v/>
      </c>
      <c r="L25" s="259" t="str">
        <f t="shared" si="3"/>
        <v/>
      </c>
      <c r="M25" s="259" t="str">
        <f t="shared" si="26"/>
        <v/>
      </c>
      <c r="N25" s="256" t="str">
        <f t="shared" si="27"/>
        <v/>
      </c>
      <c r="O25" s="259" t="str">
        <f t="shared" si="28"/>
        <v/>
      </c>
      <c r="P25" s="259" t="str">
        <f t="shared" si="29"/>
        <v/>
      </c>
      <c r="Q25" s="256" t="str">
        <f t="shared" si="30"/>
        <v/>
      </c>
      <c r="R25" s="259" t="str">
        <f t="shared" si="31"/>
        <v/>
      </c>
      <c r="S25" s="259" t="str">
        <f t="shared" si="32"/>
        <v/>
      </c>
      <c r="T25" s="256" t="str">
        <f t="shared" si="33"/>
        <v/>
      </c>
      <c r="U25" s="217"/>
      <c r="V25" s="217"/>
      <c r="AB25" s="257" t="e">
        <f>VLOOKUP($B$6,Lookup_Source,18,0)</f>
        <v>#N/A</v>
      </c>
      <c r="AC25" s="241" t="str">
        <f t="shared" si="34"/>
        <v/>
      </c>
      <c r="AD25" s="242">
        <f t="shared" si="35"/>
        <v>7</v>
      </c>
      <c r="AE25" s="261" t="e">
        <f t="shared" si="4"/>
        <v>#N/A</v>
      </c>
      <c r="AF25" s="264" t="e">
        <f t="shared" si="36"/>
        <v>#N/A</v>
      </c>
      <c r="AG25" s="264" t="e">
        <f t="shared" si="37"/>
        <v>#N/A</v>
      </c>
      <c r="AH25" s="263" t="e">
        <f t="shared" si="5"/>
        <v>#N/A</v>
      </c>
      <c r="AI25" s="226">
        <f t="shared" si="38"/>
        <v>7</v>
      </c>
      <c r="AJ25" s="264" t="e">
        <f t="shared" si="6"/>
        <v>#N/A</v>
      </c>
      <c r="AK25" s="264" t="e">
        <f t="shared" si="39"/>
        <v>#N/A</v>
      </c>
      <c r="AL25" s="226" t="e">
        <f t="shared" si="7"/>
        <v>#N/A</v>
      </c>
      <c r="AM25" s="265" t="e">
        <f t="shared" si="40"/>
        <v>#N/A</v>
      </c>
      <c r="AN25" s="266" t="e">
        <f t="shared" si="8"/>
        <v>#N/A</v>
      </c>
      <c r="AO25" s="227" t="e">
        <f t="shared" si="9"/>
        <v>#N/A</v>
      </c>
      <c r="AP25" s="284">
        <f t="shared" si="41"/>
        <v>7</v>
      </c>
      <c r="AQ25" s="285" t="e">
        <f t="shared" si="10"/>
        <v>#N/A</v>
      </c>
      <c r="AR25" s="266" t="e">
        <f t="shared" si="42"/>
        <v>#N/A</v>
      </c>
      <c r="AS25" s="270" t="e">
        <f t="shared" si="11"/>
        <v>#N/A</v>
      </c>
      <c r="AT25" s="271">
        <f t="shared" si="43"/>
        <v>7</v>
      </c>
      <c r="AU25" s="272" t="e">
        <f t="shared" si="44"/>
        <v>#N/A</v>
      </c>
      <c r="AV25" s="273" t="e">
        <f t="shared" si="45"/>
        <v>#N/A</v>
      </c>
      <c r="AW25" s="274" t="e">
        <f t="shared" si="12"/>
        <v>#N/A</v>
      </c>
      <c r="AX25" s="232">
        <f t="shared" si="46"/>
        <v>7</v>
      </c>
      <c r="AY25" s="273" t="e">
        <f t="shared" si="13"/>
        <v>#N/A</v>
      </c>
      <c r="AZ25" s="232" t="e">
        <f t="shared" si="47"/>
        <v>#N/A</v>
      </c>
      <c r="BA25" s="232" t="e">
        <f t="shared" si="14"/>
        <v>#N/A</v>
      </c>
      <c r="BB25" s="275">
        <f t="shared" si="48"/>
        <v>7</v>
      </c>
      <c r="BC25" s="276" t="e">
        <f t="shared" si="49"/>
        <v>#N/A</v>
      </c>
      <c r="BD25" s="277" t="e">
        <f t="shared" si="50"/>
        <v>#N/A</v>
      </c>
      <c r="BE25" s="250" t="e">
        <f t="shared" si="15"/>
        <v>#N/A</v>
      </c>
      <c r="BF25" s="247">
        <f t="shared" si="51"/>
        <v>7</v>
      </c>
      <c r="BG25" s="276" t="e">
        <f t="shared" si="52"/>
        <v>#N/A</v>
      </c>
      <c r="BH25" s="277" t="e">
        <f t="shared" si="53"/>
        <v>#N/A</v>
      </c>
      <c r="BI25" s="250" t="e">
        <f t="shared" si="16"/>
        <v>#N/A</v>
      </c>
      <c r="BJ25" s="251">
        <f t="shared" si="54"/>
        <v>7</v>
      </c>
      <c r="BK25" s="278" t="e">
        <f t="shared" si="55"/>
        <v>#N/A</v>
      </c>
      <c r="BL25" s="278" t="e">
        <f t="shared" si="56"/>
        <v>#N/A</v>
      </c>
      <c r="BM25" s="279" t="e">
        <f t="shared" si="17"/>
        <v>#N/A</v>
      </c>
      <c r="BN25" s="280">
        <f t="shared" si="57"/>
        <v>7</v>
      </c>
      <c r="BO25" s="281" t="e">
        <f t="shared" si="58"/>
        <v>#N/A</v>
      </c>
      <c r="BP25" s="281" t="e">
        <f t="shared" si="59"/>
        <v>#N/A</v>
      </c>
      <c r="BQ25" s="279" t="e">
        <f t="shared" si="18"/>
        <v>#N/A</v>
      </c>
      <c r="BR25" s="282" t="e">
        <f t="shared" si="19"/>
        <v>#N/A</v>
      </c>
      <c r="BS25" s="217" t="e">
        <f>VLOOKUP($B25,SDR24_STOCK_BY_LA!$A$2:$C$11878,3,0)</f>
        <v>#N/A</v>
      </c>
      <c r="BT25" s="217" t="str">
        <f t="shared" si="60"/>
        <v/>
      </c>
    </row>
    <row r="26" spans="1:72" x14ac:dyDescent="0.2">
      <c r="A26" s="217" t="str">
        <f t="shared" si="61"/>
        <v/>
      </c>
      <c r="B26" s="217" t="str">
        <f t="shared" si="62"/>
        <v/>
      </c>
      <c r="C26" s="283" t="str">
        <f t="shared" si="20"/>
        <v/>
      </c>
      <c r="D26" s="256" t="str">
        <f>IF(B26="","",IF(totals!$Q$3=0,IFERROR(IF(AD26=2,"0",AE26),""),"-"))</f>
        <v/>
      </c>
      <c r="E26" s="258" t="str">
        <f t="shared" si="21"/>
        <v/>
      </c>
      <c r="F26" s="259" t="str">
        <f t="shared" si="22"/>
        <v/>
      </c>
      <c r="G26" s="259" t="str">
        <f t="shared" si="23"/>
        <v/>
      </c>
      <c r="H26" s="256" t="str">
        <f t="shared" si="1"/>
        <v/>
      </c>
      <c r="I26" s="259" t="str">
        <f t="shared" si="24"/>
        <v/>
      </c>
      <c r="J26" s="259" t="str">
        <f t="shared" si="25"/>
        <v/>
      </c>
      <c r="K26" s="256" t="str">
        <f t="shared" si="2"/>
        <v/>
      </c>
      <c r="L26" s="259" t="str">
        <f t="shared" si="3"/>
        <v/>
      </c>
      <c r="M26" s="259" t="str">
        <f t="shared" si="26"/>
        <v/>
      </c>
      <c r="N26" s="256" t="str">
        <f t="shared" si="27"/>
        <v/>
      </c>
      <c r="O26" s="259" t="str">
        <f t="shared" si="28"/>
        <v/>
      </c>
      <c r="P26" s="259" t="str">
        <f t="shared" si="29"/>
        <v/>
      </c>
      <c r="Q26" s="256" t="str">
        <f t="shared" si="30"/>
        <v/>
      </c>
      <c r="R26" s="259" t="str">
        <f t="shared" si="31"/>
        <v/>
      </c>
      <c r="S26" s="259" t="str">
        <f t="shared" si="32"/>
        <v/>
      </c>
      <c r="T26" s="256" t="str">
        <f t="shared" si="33"/>
        <v/>
      </c>
      <c r="U26" s="217"/>
      <c r="V26" s="217"/>
      <c r="AB26" s="217" t="e">
        <f>VLOOKUP($B$6,Lookup_Source,19,0)</f>
        <v>#N/A</v>
      </c>
      <c r="AC26" s="241" t="str">
        <f t="shared" si="34"/>
        <v/>
      </c>
      <c r="AD26" s="242">
        <f t="shared" si="35"/>
        <v>7</v>
      </c>
      <c r="AE26" s="261" t="e">
        <f t="shared" si="4"/>
        <v>#N/A</v>
      </c>
      <c r="AF26" s="264" t="e">
        <f t="shared" si="36"/>
        <v>#N/A</v>
      </c>
      <c r="AG26" s="264" t="e">
        <f t="shared" si="37"/>
        <v>#N/A</v>
      </c>
      <c r="AH26" s="263" t="e">
        <f t="shared" si="5"/>
        <v>#N/A</v>
      </c>
      <c r="AI26" s="226">
        <f t="shared" si="38"/>
        <v>7</v>
      </c>
      <c r="AJ26" s="264" t="e">
        <f t="shared" si="6"/>
        <v>#N/A</v>
      </c>
      <c r="AK26" s="264" t="e">
        <f t="shared" si="39"/>
        <v>#N/A</v>
      </c>
      <c r="AL26" s="226" t="e">
        <f t="shared" si="7"/>
        <v>#N/A</v>
      </c>
      <c r="AM26" s="265" t="e">
        <f t="shared" si="40"/>
        <v>#N/A</v>
      </c>
      <c r="AN26" s="266" t="e">
        <f t="shared" si="8"/>
        <v>#N/A</v>
      </c>
      <c r="AO26" s="227" t="e">
        <f t="shared" si="9"/>
        <v>#N/A</v>
      </c>
      <c r="AP26" s="284">
        <f t="shared" si="41"/>
        <v>7</v>
      </c>
      <c r="AQ26" s="285" t="e">
        <f t="shared" si="10"/>
        <v>#N/A</v>
      </c>
      <c r="AR26" s="266" t="e">
        <f t="shared" si="42"/>
        <v>#N/A</v>
      </c>
      <c r="AS26" s="270" t="e">
        <f t="shared" si="11"/>
        <v>#N/A</v>
      </c>
      <c r="AT26" s="271">
        <f t="shared" si="43"/>
        <v>7</v>
      </c>
      <c r="AU26" s="272" t="e">
        <f t="shared" si="44"/>
        <v>#N/A</v>
      </c>
      <c r="AV26" s="273" t="e">
        <f t="shared" si="45"/>
        <v>#N/A</v>
      </c>
      <c r="AW26" s="274" t="e">
        <f t="shared" si="12"/>
        <v>#N/A</v>
      </c>
      <c r="AX26" s="232">
        <f t="shared" si="46"/>
        <v>7</v>
      </c>
      <c r="AY26" s="273" t="e">
        <f t="shared" si="13"/>
        <v>#N/A</v>
      </c>
      <c r="AZ26" s="232" t="e">
        <f t="shared" si="47"/>
        <v>#N/A</v>
      </c>
      <c r="BA26" s="232" t="e">
        <f t="shared" si="14"/>
        <v>#N/A</v>
      </c>
      <c r="BB26" s="275">
        <f t="shared" si="48"/>
        <v>7</v>
      </c>
      <c r="BC26" s="276" t="e">
        <f t="shared" si="49"/>
        <v>#N/A</v>
      </c>
      <c r="BD26" s="277" t="e">
        <f t="shared" si="50"/>
        <v>#N/A</v>
      </c>
      <c r="BE26" s="250" t="e">
        <f t="shared" si="15"/>
        <v>#N/A</v>
      </c>
      <c r="BF26" s="247">
        <f t="shared" si="51"/>
        <v>7</v>
      </c>
      <c r="BG26" s="276" t="e">
        <f t="shared" si="52"/>
        <v>#N/A</v>
      </c>
      <c r="BH26" s="277" t="e">
        <f t="shared" si="53"/>
        <v>#N/A</v>
      </c>
      <c r="BI26" s="250" t="e">
        <f t="shared" si="16"/>
        <v>#N/A</v>
      </c>
      <c r="BJ26" s="251">
        <f t="shared" si="54"/>
        <v>7</v>
      </c>
      <c r="BK26" s="278" t="e">
        <f t="shared" si="55"/>
        <v>#N/A</v>
      </c>
      <c r="BL26" s="278" t="e">
        <f t="shared" si="56"/>
        <v>#N/A</v>
      </c>
      <c r="BM26" s="279" t="e">
        <f t="shared" si="17"/>
        <v>#N/A</v>
      </c>
      <c r="BN26" s="280">
        <f t="shared" si="57"/>
        <v>7</v>
      </c>
      <c r="BO26" s="281" t="e">
        <f t="shared" si="58"/>
        <v>#N/A</v>
      </c>
      <c r="BP26" s="281" t="e">
        <f t="shared" si="59"/>
        <v>#N/A</v>
      </c>
      <c r="BQ26" s="279" t="e">
        <f t="shared" si="18"/>
        <v>#N/A</v>
      </c>
      <c r="BR26" s="282" t="e">
        <f t="shared" si="19"/>
        <v>#N/A</v>
      </c>
      <c r="BS26" s="217" t="e">
        <f>VLOOKUP($B26,SDR24_STOCK_BY_LA!$A$2:$C$11878,3,0)</f>
        <v>#N/A</v>
      </c>
      <c r="BT26" s="217" t="str">
        <f t="shared" si="60"/>
        <v/>
      </c>
    </row>
    <row r="27" spans="1:72" x14ac:dyDescent="0.2">
      <c r="A27" s="256" t="str">
        <f t="shared" si="61"/>
        <v/>
      </c>
      <c r="B27" s="217" t="str">
        <f t="shared" si="62"/>
        <v/>
      </c>
      <c r="C27" s="257" t="str">
        <f t="shared" si="20"/>
        <v/>
      </c>
      <c r="D27" s="256" t="str">
        <f>IF(B27="","",IF(totals!$Q$3=0,IFERROR(IF(AD27=2,"0",AE27),""),"-"))</f>
        <v/>
      </c>
      <c r="E27" s="258" t="str">
        <f t="shared" si="21"/>
        <v/>
      </c>
      <c r="F27" s="259" t="str">
        <f t="shared" si="22"/>
        <v/>
      </c>
      <c r="G27" s="259" t="str">
        <f t="shared" si="23"/>
        <v/>
      </c>
      <c r="H27" s="256" t="str">
        <f t="shared" si="1"/>
        <v/>
      </c>
      <c r="I27" s="259" t="str">
        <f t="shared" si="24"/>
        <v/>
      </c>
      <c r="J27" s="259" t="str">
        <f t="shared" si="25"/>
        <v/>
      </c>
      <c r="K27" s="256" t="str">
        <f t="shared" si="2"/>
        <v/>
      </c>
      <c r="L27" s="259" t="str">
        <f t="shared" si="3"/>
        <v/>
      </c>
      <c r="M27" s="259" t="str">
        <f t="shared" si="26"/>
        <v/>
      </c>
      <c r="N27" s="256" t="str">
        <f t="shared" si="27"/>
        <v/>
      </c>
      <c r="O27" s="259" t="str">
        <f t="shared" si="28"/>
        <v/>
      </c>
      <c r="P27" s="259" t="str">
        <f t="shared" si="29"/>
        <v/>
      </c>
      <c r="Q27" s="256" t="str">
        <f t="shared" si="30"/>
        <v/>
      </c>
      <c r="R27" s="259" t="str">
        <f t="shared" si="31"/>
        <v/>
      </c>
      <c r="S27" s="259" t="str">
        <f t="shared" si="32"/>
        <v/>
      </c>
      <c r="T27" s="256" t="str">
        <f t="shared" si="33"/>
        <v/>
      </c>
      <c r="U27" s="217"/>
      <c r="V27" s="217"/>
      <c r="AB27" s="257" t="e">
        <f>VLOOKUP($B$6,Lookup_Source,20,0)</f>
        <v>#N/A</v>
      </c>
      <c r="AC27" s="241" t="str">
        <f t="shared" si="34"/>
        <v/>
      </c>
      <c r="AD27" s="242">
        <f t="shared" si="35"/>
        <v>7</v>
      </c>
      <c r="AE27" s="261" t="e">
        <f t="shared" si="4"/>
        <v>#N/A</v>
      </c>
      <c r="AF27" s="264" t="e">
        <f t="shared" si="36"/>
        <v>#N/A</v>
      </c>
      <c r="AG27" s="264" t="e">
        <f t="shared" si="37"/>
        <v>#N/A</v>
      </c>
      <c r="AH27" s="263" t="e">
        <f t="shared" si="5"/>
        <v>#N/A</v>
      </c>
      <c r="AI27" s="226">
        <f t="shared" si="38"/>
        <v>7</v>
      </c>
      <c r="AJ27" s="264" t="e">
        <f t="shared" si="6"/>
        <v>#N/A</v>
      </c>
      <c r="AK27" s="264" t="e">
        <f t="shared" si="39"/>
        <v>#N/A</v>
      </c>
      <c r="AL27" s="226" t="e">
        <f t="shared" si="7"/>
        <v>#N/A</v>
      </c>
      <c r="AM27" s="265" t="e">
        <f t="shared" si="40"/>
        <v>#N/A</v>
      </c>
      <c r="AN27" s="266" t="e">
        <f t="shared" si="8"/>
        <v>#N/A</v>
      </c>
      <c r="AO27" s="227" t="e">
        <f t="shared" si="9"/>
        <v>#N/A</v>
      </c>
      <c r="AP27" s="284">
        <f t="shared" si="41"/>
        <v>7</v>
      </c>
      <c r="AQ27" s="285" t="e">
        <f t="shared" si="10"/>
        <v>#N/A</v>
      </c>
      <c r="AR27" s="266" t="e">
        <f t="shared" si="42"/>
        <v>#N/A</v>
      </c>
      <c r="AS27" s="270" t="e">
        <f t="shared" si="11"/>
        <v>#N/A</v>
      </c>
      <c r="AT27" s="271">
        <f t="shared" si="43"/>
        <v>7</v>
      </c>
      <c r="AU27" s="272" t="e">
        <f t="shared" si="44"/>
        <v>#N/A</v>
      </c>
      <c r="AV27" s="273" t="e">
        <f t="shared" si="45"/>
        <v>#N/A</v>
      </c>
      <c r="AW27" s="274" t="e">
        <f t="shared" si="12"/>
        <v>#N/A</v>
      </c>
      <c r="AX27" s="232">
        <f t="shared" si="46"/>
        <v>7</v>
      </c>
      <c r="AY27" s="273" t="e">
        <f t="shared" si="13"/>
        <v>#N/A</v>
      </c>
      <c r="AZ27" s="232" t="e">
        <f t="shared" si="47"/>
        <v>#N/A</v>
      </c>
      <c r="BA27" s="232" t="e">
        <f t="shared" si="14"/>
        <v>#N/A</v>
      </c>
      <c r="BB27" s="275">
        <f t="shared" si="48"/>
        <v>7</v>
      </c>
      <c r="BC27" s="276" t="e">
        <f t="shared" si="49"/>
        <v>#N/A</v>
      </c>
      <c r="BD27" s="277" t="e">
        <f t="shared" si="50"/>
        <v>#N/A</v>
      </c>
      <c r="BE27" s="250" t="e">
        <f t="shared" si="15"/>
        <v>#N/A</v>
      </c>
      <c r="BF27" s="247">
        <f t="shared" si="51"/>
        <v>7</v>
      </c>
      <c r="BG27" s="276" t="e">
        <f t="shared" si="52"/>
        <v>#N/A</v>
      </c>
      <c r="BH27" s="277" t="e">
        <f t="shared" si="53"/>
        <v>#N/A</v>
      </c>
      <c r="BI27" s="250" t="e">
        <f t="shared" si="16"/>
        <v>#N/A</v>
      </c>
      <c r="BJ27" s="251">
        <f t="shared" si="54"/>
        <v>7</v>
      </c>
      <c r="BK27" s="278" t="e">
        <f t="shared" si="55"/>
        <v>#N/A</v>
      </c>
      <c r="BL27" s="278" t="e">
        <f t="shared" si="56"/>
        <v>#N/A</v>
      </c>
      <c r="BM27" s="279" t="e">
        <f t="shared" si="17"/>
        <v>#N/A</v>
      </c>
      <c r="BN27" s="280">
        <f t="shared" si="57"/>
        <v>7</v>
      </c>
      <c r="BO27" s="281" t="e">
        <f t="shared" si="58"/>
        <v>#N/A</v>
      </c>
      <c r="BP27" s="281" t="e">
        <f t="shared" si="59"/>
        <v>#N/A</v>
      </c>
      <c r="BQ27" s="279" t="e">
        <f t="shared" si="18"/>
        <v>#N/A</v>
      </c>
      <c r="BR27" s="282" t="e">
        <f t="shared" si="19"/>
        <v>#N/A</v>
      </c>
      <c r="BS27" s="217" t="e">
        <f>VLOOKUP($B27,SDR24_STOCK_BY_LA!$A$2:$C$11878,3,0)</f>
        <v>#N/A</v>
      </c>
      <c r="BT27" s="217" t="str">
        <f t="shared" si="60"/>
        <v/>
      </c>
    </row>
    <row r="28" spans="1:72" x14ac:dyDescent="0.2">
      <c r="A28" s="217" t="str">
        <f t="shared" si="61"/>
        <v/>
      </c>
      <c r="B28" s="217" t="str">
        <f t="shared" si="62"/>
        <v/>
      </c>
      <c r="C28" s="283" t="str">
        <f t="shared" si="20"/>
        <v/>
      </c>
      <c r="D28" s="256" t="str">
        <f>IF(B28="","",IF(totals!$Q$3=0,IFERROR(IF(AD28=2,"0",AE28),""),"-"))</f>
        <v/>
      </c>
      <c r="E28" s="258" t="str">
        <f t="shared" si="21"/>
        <v/>
      </c>
      <c r="F28" s="259" t="str">
        <f t="shared" si="22"/>
        <v/>
      </c>
      <c r="G28" s="259" t="str">
        <f t="shared" si="23"/>
        <v/>
      </c>
      <c r="H28" s="256" t="str">
        <f t="shared" si="1"/>
        <v/>
      </c>
      <c r="I28" s="259" t="str">
        <f t="shared" si="24"/>
        <v/>
      </c>
      <c r="J28" s="259" t="str">
        <f t="shared" si="25"/>
        <v/>
      </c>
      <c r="K28" s="256" t="str">
        <f t="shared" si="2"/>
        <v/>
      </c>
      <c r="L28" s="259" t="str">
        <f t="shared" si="3"/>
        <v/>
      </c>
      <c r="M28" s="259" t="str">
        <f t="shared" si="26"/>
        <v/>
      </c>
      <c r="N28" s="256" t="str">
        <f t="shared" si="27"/>
        <v/>
      </c>
      <c r="O28" s="259" t="str">
        <f t="shared" si="28"/>
        <v/>
      </c>
      <c r="P28" s="259" t="str">
        <f t="shared" si="29"/>
        <v/>
      </c>
      <c r="Q28" s="256" t="str">
        <f t="shared" si="30"/>
        <v/>
      </c>
      <c r="R28" s="259" t="str">
        <f t="shared" si="31"/>
        <v/>
      </c>
      <c r="S28" s="259" t="str">
        <f t="shared" si="32"/>
        <v/>
      </c>
      <c r="T28" s="256" t="str">
        <f t="shared" si="33"/>
        <v/>
      </c>
      <c r="U28" s="217"/>
      <c r="V28" s="217"/>
      <c r="AB28" s="217" t="e">
        <f>VLOOKUP($B$6,Lookup_Source,21,0)</f>
        <v>#N/A</v>
      </c>
      <c r="AC28" s="241" t="str">
        <f t="shared" si="34"/>
        <v/>
      </c>
      <c r="AD28" s="242">
        <f t="shared" si="35"/>
        <v>7</v>
      </c>
      <c r="AE28" s="261" t="e">
        <f t="shared" si="4"/>
        <v>#N/A</v>
      </c>
      <c r="AF28" s="264" t="e">
        <f t="shared" si="36"/>
        <v>#N/A</v>
      </c>
      <c r="AG28" s="264" t="e">
        <f t="shared" si="37"/>
        <v>#N/A</v>
      </c>
      <c r="AH28" s="263" t="e">
        <f t="shared" si="5"/>
        <v>#N/A</v>
      </c>
      <c r="AI28" s="226">
        <f t="shared" si="38"/>
        <v>7</v>
      </c>
      <c r="AJ28" s="264" t="e">
        <f t="shared" si="6"/>
        <v>#N/A</v>
      </c>
      <c r="AK28" s="264" t="e">
        <f t="shared" si="39"/>
        <v>#N/A</v>
      </c>
      <c r="AL28" s="226" t="e">
        <f t="shared" si="7"/>
        <v>#N/A</v>
      </c>
      <c r="AM28" s="265" t="e">
        <f t="shared" si="40"/>
        <v>#N/A</v>
      </c>
      <c r="AN28" s="266" t="e">
        <f t="shared" si="8"/>
        <v>#N/A</v>
      </c>
      <c r="AO28" s="227" t="e">
        <f t="shared" si="9"/>
        <v>#N/A</v>
      </c>
      <c r="AP28" s="284">
        <f t="shared" si="41"/>
        <v>7</v>
      </c>
      <c r="AQ28" s="285" t="e">
        <f t="shared" si="10"/>
        <v>#N/A</v>
      </c>
      <c r="AR28" s="266" t="e">
        <f t="shared" si="42"/>
        <v>#N/A</v>
      </c>
      <c r="AS28" s="270" t="e">
        <f t="shared" si="11"/>
        <v>#N/A</v>
      </c>
      <c r="AT28" s="271">
        <f t="shared" si="43"/>
        <v>7</v>
      </c>
      <c r="AU28" s="272" t="e">
        <f t="shared" si="44"/>
        <v>#N/A</v>
      </c>
      <c r="AV28" s="273" t="e">
        <f t="shared" si="45"/>
        <v>#N/A</v>
      </c>
      <c r="AW28" s="274" t="e">
        <f t="shared" si="12"/>
        <v>#N/A</v>
      </c>
      <c r="AX28" s="232">
        <f t="shared" si="46"/>
        <v>7</v>
      </c>
      <c r="AY28" s="273" t="e">
        <f t="shared" si="13"/>
        <v>#N/A</v>
      </c>
      <c r="AZ28" s="232" t="e">
        <f t="shared" si="47"/>
        <v>#N/A</v>
      </c>
      <c r="BA28" s="232" t="e">
        <f t="shared" si="14"/>
        <v>#N/A</v>
      </c>
      <c r="BB28" s="275">
        <f t="shared" si="48"/>
        <v>7</v>
      </c>
      <c r="BC28" s="276" t="e">
        <f t="shared" si="49"/>
        <v>#N/A</v>
      </c>
      <c r="BD28" s="277" t="e">
        <f t="shared" si="50"/>
        <v>#N/A</v>
      </c>
      <c r="BE28" s="250" t="e">
        <f t="shared" si="15"/>
        <v>#N/A</v>
      </c>
      <c r="BF28" s="247">
        <f t="shared" si="51"/>
        <v>7</v>
      </c>
      <c r="BG28" s="276" t="e">
        <f t="shared" si="52"/>
        <v>#N/A</v>
      </c>
      <c r="BH28" s="277" t="e">
        <f t="shared" si="53"/>
        <v>#N/A</v>
      </c>
      <c r="BI28" s="250" t="e">
        <f t="shared" si="16"/>
        <v>#N/A</v>
      </c>
      <c r="BJ28" s="251">
        <f t="shared" si="54"/>
        <v>7</v>
      </c>
      <c r="BK28" s="278" t="e">
        <f t="shared" si="55"/>
        <v>#N/A</v>
      </c>
      <c r="BL28" s="278" t="e">
        <f t="shared" si="56"/>
        <v>#N/A</v>
      </c>
      <c r="BM28" s="279" t="e">
        <f t="shared" si="17"/>
        <v>#N/A</v>
      </c>
      <c r="BN28" s="280">
        <f t="shared" si="57"/>
        <v>7</v>
      </c>
      <c r="BO28" s="281" t="e">
        <f t="shared" si="58"/>
        <v>#N/A</v>
      </c>
      <c r="BP28" s="281" t="e">
        <f t="shared" si="59"/>
        <v>#N/A</v>
      </c>
      <c r="BQ28" s="279" t="e">
        <f t="shared" si="18"/>
        <v>#N/A</v>
      </c>
      <c r="BR28" s="282" t="e">
        <f t="shared" si="19"/>
        <v>#N/A</v>
      </c>
      <c r="BS28" s="217" t="e">
        <f>VLOOKUP($B28,SDR24_STOCK_BY_LA!$A$2:$C$11878,3,0)</f>
        <v>#N/A</v>
      </c>
      <c r="BT28" s="217" t="str">
        <f t="shared" si="60"/>
        <v/>
      </c>
    </row>
    <row r="29" spans="1:72" x14ac:dyDescent="0.2">
      <c r="A29" s="256" t="str">
        <f t="shared" si="61"/>
        <v/>
      </c>
      <c r="B29" s="217" t="str">
        <f t="shared" si="62"/>
        <v/>
      </c>
      <c r="C29" s="257" t="str">
        <f t="shared" si="20"/>
        <v/>
      </c>
      <c r="D29" s="256" t="str">
        <f>IF(B29="","",IF(totals!$Q$3=0,IFERROR(IF(AD29=2,"0",AE29),""),"-"))</f>
        <v/>
      </c>
      <c r="E29" s="258" t="str">
        <f t="shared" si="21"/>
        <v/>
      </c>
      <c r="F29" s="259" t="str">
        <f t="shared" si="22"/>
        <v/>
      </c>
      <c r="G29" s="259" t="str">
        <f t="shared" si="23"/>
        <v/>
      </c>
      <c r="H29" s="256" t="str">
        <f t="shared" si="1"/>
        <v/>
      </c>
      <c r="I29" s="259" t="str">
        <f t="shared" si="24"/>
        <v/>
      </c>
      <c r="J29" s="259" t="str">
        <f t="shared" si="25"/>
        <v/>
      </c>
      <c r="K29" s="256" t="str">
        <f t="shared" si="2"/>
        <v/>
      </c>
      <c r="L29" s="259" t="str">
        <f t="shared" si="3"/>
        <v/>
      </c>
      <c r="M29" s="259" t="str">
        <f t="shared" si="26"/>
        <v/>
      </c>
      <c r="N29" s="256" t="str">
        <f t="shared" si="27"/>
        <v/>
      </c>
      <c r="O29" s="259" t="str">
        <f t="shared" si="28"/>
        <v/>
      </c>
      <c r="P29" s="259" t="str">
        <f t="shared" si="29"/>
        <v/>
      </c>
      <c r="Q29" s="256" t="str">
        <f t="shared" si="30"/>
        <v/>
      </c>
      <c r="R29" s="259" t="str">
        <f t="shared" si="31"/>
        <v/>
      </c>
      <c r="S29" s="259" t="str">
        <f t="shared" si="32"/>
        <v/>
      </c>
      <c r="T29" s="256" t="str">
        <f t="shared" si="33"/>
        <v/>
      </c>
      <c r="U29" s="217"/>
      <c r="V29" s="217"/>
      <c r="AB29" s="257" t="e">
        <f>VLOOKUP($B$6,Lookup_Source,22,0)</f>
        <v>#N/A</v>
      </c>
      <c r="AC29" s="241" t="str">
        <f t="shared" si="34"/>
        <v/>
      </c>
      <c r="AD29" s="242">
        <f t="shared" si="35"/>
        <v>7</v>
      </c>
      <c r="AE29" s="261" t="e">
        <f t="shared" si="4"/>
        <v>#N/A</v>
      </c>
      <c r="AF29" s="264" t="e">
        <f t="shared" si="36"/>
        <v>#N/A</v>
      </c>
      <c r="AG29" s="264" t="e">
        <f t="shared" si="37"/>
        <v>#N/A</v>
      </c>
      <c r="AH29" s="263" t="e">
        <f t="shared" si="5"/>
        <v>#N/A</v>
      </c>
      <c r="AI29" s="226">
        <f t="shared" si="38"/>
        <v>7</v>
      </c>
      <c r="AJ29" s="264" t="e">
        <f t="shared" si="6"/>
        <v>#N/A</v>
      </c>
      <c r="AK29" s="264" t="e">
        <f t="shared" si="39"/>
        <v>#N/A</v>
      </c>
      <c r="AL29" s="226" t="e">
        <f t="shared" si="7"/>
        <v>#N/A</v>
      </c>
      <c r="AM29" s="265" t="e">
        <f t="shared" si="40"/>
        <v>#N/A</v>
      </c>
      <c r="AN29" s="266" t="e">
        <f t="shared" si="8"/>
        <v>#N/A</v>
      </c>
      <c r="AO29" s="227" t="e">
        <f t="shared" si="9"/>
        <v>#N/A</v>
      </c>
      <c r="AP29" s="284">
        <f t="shared" si="41"/>
        <v>7</v>
      </c>
      <c r="AQ29" s="285" t="e">
        <f t="shared" si="10"/>
        <v>#N/A</v>
      </c>
      <c r="AR29" s="266" t="e">
        <f t="shared" si="42"/>
        <v>#N/A</v>
      </c>
      <c r="AS29" s="270" t="e">
        <f t="shared" si="11"/>
        <v>#N/A</v>
      </c>
      <c r="AT29" s="271">
        <f t="shared" si="43"/>
        <v>7</v>
      </c>
      <c r="AU29" s="272" t="e">
        <f t="shared" si="44"/>
        <v>#N/A</v>
      </c>
      <c r="AV29" s="273" t="e">
        <f t="shared" si="45"/>
        <v>#N/A</v>
      </c>
      <c r="AW29" s="274" t="e">
        <f t="shared" si="12"/>
        <v>#N/A</v>
      </c>
      <c r="AX29" s="232">
        <f t="shared" si="46"/>
        <v>7</v>
      </c>
      <c r="AY29" s="273" t="e">
        <f t="shared" si="13"/>
        <v>#N/A</v>
      </c>
      <c r="AZ29" s="232" t="e">
        <f t="shared" si="47"/>
        <v>#N/A</v>
      </c>
      <c r="BA29" s="232" t="e">
        <f t="shared" si="14"/>
        <v>#N/A</v>
      </c>
      <c r="BB29" s="275">
        <f t="shared" si="48"/>
        <v>7</v>
      </c>
      <c r="BC29" s="276" t="e">
        <f t="shared" si="49"/>
        <v>#N/A</v>
      </c>
      <c r="BD29" s="277" t="e">
        <f t="shared" si="50"/>
        <v>#N/A</v>
      </c>
      <c r="BE29" s="250" t="e">
        <f t="shared" si="15"/>
        <v>#N/A</v>
      </c>
      <c r="BF29" s="247">
        <f t="shared" si="51"/>
        <v>7</v>
      </c>
      <c r="BG29" s="276" t="e">
        <f t="shared" si="52"/>
        <v>#N/A</v>
      </c>
      <c r="BH29" s="277" t="e">
        <f t="shared" si="53"/>
        <v>#N/A</v>
      </c>
      <c r="BI29" s="250" t="e">
        <f t="shared" si="16"/>
        <v>#N/A</v>
      </c>
      <c r="BJ29" s="251">
        <f t="shared" si="54"/>
        <v>7</v>
      </c>
      <c r="BK29" s="278" t="e">
        <f t="shared" si="55"/>
        <v>#N/A</v>
      </c>
      <c r="BL29" s="278" t="e">
        <f t="shared" si="56"/>
        <v>#N/A</v>
      </c>
      <c r="BM29" s="279" t="e">
        <f t="shared" si="17"/>
        <v>#N/A</v>
      </c>
      <c r="BN29" s="280">
        <f t="shared" si="57"/>
        <v>7</v>
      </c>
      <c r="BO29" s="281" t="e">
        <f t="shared" si="58"/>
        <v>#N/A</v>
      </c>
      <c r="BP29" s="281" t="e">
        <f t="shared" si="59"/>
        <v>#N/A</v>
      </c>
      <c r="BQ29" s="279" t="e">
        <f t="shared" si="18"/>
        <v>#N/A</v>
      </c>
      <c r="BR29" s="282" t="e">
        <f t="shared" si="19"/>
        <v>#N/A</v>
      </c>
      <c r="BS29" s="217" t="e">
        <f>VLOOKUP($B29,SDR24_STOCK_BY_LA!$A$2:$C$11878,3,0)</f>
        <v>#N/A</v>
      </c>
      <c r="BT29" s="217" t="str">
        <f t="shared" si="60"/>
        <v/>
      </c>
    </row>
    <row r="30" spans="1:72" x14ac:dyDescent="0.2">
      <c r="A30" s="217" t="str">
        <f t="shared" si="61"/>
        <v/>
      </c>
      <c r="B30" s="217" t="str">
        <f t="shared" si="62"/>
        <v/>
      </c>
      <c r="C30" s="283" t="str">
        <f t="shared" si="20"/>
        <v/>
      </c>
      <c r="D30" s="256" t="str">
        <f>IF(B30="","",IF(totals!$Q$3=0,IFERROR(IF(AD30=2,"0",AE30),""),"-"))</f>
        <v/>
      </c>
      <c r="E30" s="258" t="str">
        <f t="shared" si="21"/>
        <v/>
      </c>
      <c r="F30" s="259" t="str">
        <f t="shared" si="22"/>
        <v/>
      </c>
      <c r="G30" s="259" t="str">
        <f t="shared" si="23"/>
        <v/>
      </c>
      <c r="H30" s="256" t="str">
        <f t="shared" si="1"/>
        <v/>
      </c>
      <c r="I30" s="259" t="str">
        <f t="shared" si="24"/>
        <v/>
      </c>
      <c r="J30" s="259" t="str">
        <f t="shared" si="25"/>
        <v/>
      </c>
      <c r="K30" s="256" t="str">
        <f t="shared" si="2"/>
        <v/>
      </c>
      <c r="L30" s="259" t="str">
        <f t="shared" si="3"/>
        <v/>
      </c>
      <c r="M30" s="259" t="str">
        <f t="shared" si="26"/>
        <v/>
      </c>
      <c r="N30" s="256" t="str">
        <f t="shared" si="27"/>
        <v/>
      </c>
      <c r="O30" s="259" t="str">
        <f t="shared" si="28"/>
        <v/>
      </c>
      <c r="P30" s="259" t="str">
        <f t="shared" si="29"/>
        <v/>
      </c>
      <c r="Q30" s="256" t="str">
        <f t="shared" si="30"/>
        <v/>
      </c>
      <c r="R30" s="259" t="str">
        <f t="shared" si="31"/>
        <v/>
      </c>
      <c r="S30" s="259" t="str">
        <f t="shared" si="32"/>
        <v/>
      </c>
      <c r="T30" s="256" t="str">
        <f t="shared" si="33"/>
        <v/>
      </c>
      <c r="U30" s="217"/>
      <c r="V30" s="217"/>
      <c r="AB30" s="217" t="e">
        <f>VLOOKUP($B$6,Lookup_Source,23,0)</f>
        <v>#N/A</v>
      </c>
      <c r="AC30" s="241" t="str">
        <f t="shared" si="34"/>
        <v/>
      </c>
      <c r="AD30" s="242">
        <f t="shared" si="35"/>
        <v>7</v>
      </c>
      <c r="AE30" s="261" t="e">
        <f t="shared" si="4"/>
        <v>#N/A</v>
      </c>
      <c r="AF30" s="264" t="e">
        <f t="shared" si="36"/>
        <v>#N/A</v>
      </c>
      <c r="AG30" s="264" t="e">
        <f t="shared" si="37"/>
        <v>#N/A</v>
      </c>
      <c r="AH30" s="263" t="e">
        <f t="shared" si="5"/>
        <v>#N/A</v>
      </c>
      <c r="AI30" s="226">
        <f t="shared" si="38"/>
        <v>7</v>
      </c>
      <c r="AJ30" s="264" t="e">
        <f t="shared" si="6"/>
        <v>#N/A</v>
      </c>
      <c r="AK30" s="264" t="e">
        <f t="shared" si="39"/>
        <v>#N/A</v>
      </c>
      <c r="AL30" s="226" t="e">
        <f t="shared" si="7"/>
        <v>#N/A</v>
      </c>
      <c r="AM30" s="265" t="e">
        <f t="shared" si="40"/>
        <v>#N/A</v>
      </c>
      <c r="AN30" s="266" t="e">
        <f t="shared" si="8"/>
        <v>#N/A</v>
      </c>
      <c r="AO30" s="227" t="e">
        <f t="shared" si="9"/>
        <v>#N/A</v>
      </c>
      <c r="AP30" s="284">
        <f t="shared" si="41"/>
        <v>7</v>
      </c>
      <c r="AQ30" s="285" t="e">
        <f t="shared" si="10"/>
        <v>#N/A</v>
      </c>
      <c r="AR30" s="266" t="e">
        <f t="shared" si="42"/>
        <v>#N/A</v>
      </c>
      <c r="AS30" s="270" t="e">
        <f t="shared" si="11"/>
        <v>#N/A</v>
      </c>
      <c r="AT30" s="271">
        <f t="shared" si="43"/>
        <v>7</v>
      </c>
      <c r="AU30" s="272" t="e">
        <f t="shared" si="44"/>
        <v>#N/A</v>
      </c>
      <c r="AV30" s="273" t="e">
        <f t="shared" si="45"/>
        <v>#N/A</v>
      </c>
      <c r="AW30" s="274" t="e">
        <f t="shared" si="12"/>
        <v>#N/A</v>
      </c>
      <c r="AX30" s="232">
        <f t="shared" si="46"/>
        <v>7</v>
      </c>
      <c r="AY30" s="273" t="e">
        <f t="shared" si="13"/>
        <v>#N/A</v>
      </c>
      <c r="AZ30" s="232" t="e">
        <f t="shared" si="47"/>
        <v>#N/A</v>
      </c>
      <c r="BA30" s="232" t="e">
        <f t="shared" si="14"/>
        <v>#N/A</v>
      </c>
      <c r="BB30" s="275">
        <f t="shared" si="48"/>
        <v>7</v>
      </c>
      <c r="BC30" s="276" t="e">
        <f t="shared" si="49"/>
        <v>#N/A</v>
      </c>
      <c r="BD30" s="277" t="e">
        <f t="shared" si="50"/>
        <v>#N/A</v>
      </c>
      <c r="BE30" s="250" t="e">
        <f t="shared" si="15"/>
        <v>#N/A</v>
      </c>
      <c r="BF30" s="247">
        <f t="shared" si="51"/>
        <v>7</v>
      </c>
      <c r="BG30" s="276" t="e">
        <f t="shared" si="52"/>
        <v>#N/A</v>
      </c>
      <c r="BH30" s="277" t="e">
        <f t="shared" si="53"/>
        <v>#N/A</v>
      </c>
      <c r="BI30" s="250" t="e">
        <f t="shared" si="16"/>
        <v>#N/A</v>
      </c>
      <c r="BJ30" s="251">
        <f t="shared" si="54"/>
        <v>7</v>
      </c>
      <c r="BK30" s="278" t="e">
        <f t="shared" si="55"/>
        <v>#N/A</v>
      </c>
      <c r="BL30" s="278" t="e">
        <f t="shared" si="56"/>
        <v>#N/A</v>
      </c>
      <c r="BM30" s="279" t="e">
        <f t="shared" si="17"/>
        <v>#N/A</v>
      </c>
      <c r="BN30" s="280">
        <f t="shared" si="57"/>
        <v>7</v>
      </c>
      <c r="BO30" s="281" t="e">
        <f t="shared" si="58"/>
        <v>#N/A</v>
      </c>
      <c r="BP30" s="281" t="e">
        <f t="shared" si="59"/>
        <v>#N/A</v>
      </c>
      <c r="BQ30" s="279" t="e">
        <f t="shared" si="18"/>
        <v>#N/A</v>
      </c>
      <c r="BR30" s="282" t="e">
        <f t="shared" si="19"/>
        <v>#N/A</v>
      </c>
      <c r="BS30" s="217" t="e">
        <f>VLOOKUP($B30,SDR24_STOCK_BY_LA!$A$2:$C$11878,3,0)</f>
        <v>#N/A</v>
      </c>
      <c r="BT30" s="217" t="str">
        <f t="shared" si="60"/>
        <v/>
      </c>
    </row>
    <row r="31" spans="1:72" x14ac:dyDescent="0.2">
      <c r="A31" s="256" t="str">
        <f t="shared" si="61"/>
        <v/>
      </c>
      <c r="B31" s="217" t="str">
        <f t="shared" si="62"/>
        <v/>
      </c>
      <c r="C31" s="257" t="str">
        <f t="shared" si="20"/>
        <v/>
      </c>
      <c r="D31" s="256" t="str">
        <f>IF(B31="","",IF(totals!$Q$3=0,IFERROR(IF(AD31=2,"0",AE31),""),"-"))</f>
        <v/>
      </c>
      <c r="E31" s="258" t="str">
        <f t="shared" si="21"/>
        <v/>
      </c>
      <c r="F31" s="259" t="str">
        <f t="shared" si="22"/>
        <v/>
      </c>
      <c r="G31" s="259" t="str">
        <f>IFERROR(IF(AI31=2,"-",AJ31),"")</f>
        <v/>
      </c>
      <c r="H31" s="256" t="str">
        <f t="shared" si="1"/>
        <v/>
      </c>
      <c r="I31" s="259" t="str">
        <f t="shared" si="24"/>
        <v/>
      </c>
      <c r="J31" s="259" t="str">
        <f t="shared" si="25"/>
        <v/>
      </c>
      <c r="K31" s="256" t="str">
        <f t="shared" si="2"/>
        <v/>
      </c>
      <c r="L31" s="259" t="str">
        <f t="shared" si="3"/>
        <v/>
      </c>
      <c r="M31" s="259" t="str">
        <f t="shared" si="26"/>
        <v/>
      </c>
      <c r="N31" s="256" t="str">
        <f t="shared" si="27"/>
        <v/>
      </c>
      <c r="O31" s="259" t="str">
        <f t="shared" si="28"/>
        <v/>
      </c>
      <c r="P31" s="259" t="str">
        <f t="shared" si="29"/>
        <v/>
      </c>
      <c r="Q31" s="256" t="str">
        <f t="shared" si="30"/>
        <v/>
      </c>
      <c r="R31" s="259" t="str">
        <f t="shared" si="31"/>
        <v/>
      </c>
      <c r="S31" s="259" t="str">
        <f t="shared" si="32"/>
        <v/>
      </c>
      <c r="T31" s="256" t="str">
        <f t="shared" si="33"/>
        <v/>
      </c>
      <c r="U31" s="217"/>
      <c r="V31" s="217"/>
      <c r="AB31" s="257" t="e">
        <f>VLOOKUP($B$6,Lookup_Source,24,0)</f>
        <v>#N/A</v>
      </c>
      <c r="AC31" s="241" t="str">
        <f t="shared" si="34"/>
        <v/>
      </c>
      <c r="AD31" s="242">
        <f t="shared" si="35"/>
        <v>7</v>
      </c>
      <c r="AE31" s="261" t="e">
        <f t="shared" si="4"/>
        <v>#N/A</v>
      </c>
      <c r="AF31" s="264" t="e">
        <f t="shared" si="36"/>
        <v>#N/A</v>
      </c>
      <c r="AG31" s="264" t="e">
        <f t="shared" si="37"/>
        <v>#N/A</v>
      </c>
      <c r="AH31" s="263" t="e">
        <f t="shared" si="5"/>
        <v>#N/A</v>
      </c>
      <c r="AI31" s="226">
        <f t="shared" si="38"/>
        <v>7</v>
      </c>
      <c r="AJ31" s="264" t="e">
        <f t="shared" si="6"/>
        <v>#N/A</v>
      </c>
      <c r="AK31" s="264" t="e">
        <f t="shared" si="39"/>
        <v>#N/A</v>
      </c>
      <c r="AL31" s="226" t="e">
        <f t="shared" si="7"/>
        <v>#N/A</v>
      </c>
      <c r="AM31" s="265" t="e">
        <f t="shared" si="40"/>
        <v>#N/A</v>
      </c>
      <c r="AN31" s="266" t="e">
        <f t="shared" si="8"/>
        <v>#N/A</v>
      </c>
      <c r="AO31" s="227" t="e">
        <f t="shared" si="9"/>
        <v>#N/A</v>
      </c>
      <c r="AP31" s="284">
        <f t="shared" si="41"/>
        <v>7</v>
      </c>
      <c r="AQ31" s="285" t="e">
        <f t="shared" si="10"/>
        <v>#N/A</v>
      </c>
      <c r="AR31" s="266" t="e">
        <f t="shared" si="42"/>
        <v>#N/A</v>
      </c>
      <c r="AS31" s="270" t="e">
        <f t="shared" si="11"/>
        <v>#N/A</v>
      </c>
      <c r="AT31" s="271">
        <f t="shared" si="43"/>
        <v>7</v>
      </c>
      <c r="AU31" s="272" t="e">
        <f t="shared" si="44"/>
        <v>#N/A</v>
      </c>
      <c r="AV31" s="273" t="e">
        <f t="shared" si="45"/>
        <v>#N/A</v>
      </c>
      <c r="AW31" s="274" t="e">
        <f t="shared" si="12"/>
        <v>#N/A</v>
      </c>
      <c r="AX31" s="232">
        <f t="shared" si="46"/>
        <v>7</v>
      </c>
      <c r="AY31" s="273" t="e">
        <f t="shared" si="13"/>
        <v>#N/A</v>
      </c>
      <c r="AZ31" s="232" t="e">
        <f t="shared" si="47"/>
        <v>#N/A</v>
      </c>
      <c r="BA31" s="232" t="e">
        <f t="shared" si="14"/>
        <v>#N/A</v>
      </c>
      <c r="BB31" s="275">
        <f t="shared" si="48"/>
        <v>7</v>
      </c>
      <c r="BC31" s="276" t="e">
        <f t="shared" si="49"/>
        <v>#N/A</v>
      </c>
      <c r="BD31" s="277" t="e">
        <f t="shared" si="50"/>
        <v>#N/A</v>
      </c>
      <c r="BE31" s="250" t="e">
        <f t="shared" si="15"/>
        <v>#N/A</v>
      </c>
      <c r="BF31" s="247">
        <f t="shared" si="51"/>
        <v>7</v>
      </c>
      <c r="BG31" s="276" t="e">
        <f t="shared" si="52"/>
        <v>#N/A</v>
      </c>
      <c r="BH31" s="277" t="e">
        <f t="shared" si="53"/>
        <v>#N/A</v>
      </c>
      <c r="BI31" s="250" t="e">
        <f t="shared" si="16"/>
        <v>#N/A</v>
      </c>
      <c r="BJ31" s="251">
        <f t="shared" si="54"/>
        <v>7</v>
      </c>
      <c r="BK31" s="278" t="e">
        <f t="shared" si="55"/>
        <v>#N/A</v>
      </c>
      <c r="BL31" s="278" t="e">
        <f t="shared" si="56"/>
        <v>#N/A</v>
      </c>
      <c r="BM31" s="279" t="e">
        <f t="shared" si="17"/>
        <v>#N/A</v>
      </c>
      <c r="BN31" s="280">
        <f t="shared" si="57"/>
        <v>7</v>
      </c>
      <c r="BO31" s="281" t="e">
        <f t="shared" si="58"/>
        <v>#N/A</v>
      </c>
      <c r="BP31" s="281" t="e">
        <f t="shared" si="59"/>
        <v>#N/A</v>
      </c>
      <c r="BQ31" s="279" t="e">
        <f t="shared" si="18"/>
        <v>#N/A</v>
      </c>
      <c r="BR31" s="282" t="e">
        <f t="shared" si="19"/>
        <v>#N/A</v>
      </c>
      <c r="BS31" s="217" t="e">
        <f>VLOOKUP($B31,SDR24_STOCK_BY_LA!$A$2:$C$11878,3,0)</f>
        <v>#N/A</v>
      </c>
      <c r="BT31" s="217" t="str">
        <f t="shared" si="60"/>
        <v/>
      </c>
    </row>
    <row r="32" spans="1:72" x14ac:dyDescent="0.2">
      <c r="A32" s="217" t="str">
        <f t="shared" si="61"/>
        <v/>
      </c>
      <c r="B32" s="217" t="str">
        <f t="shared" si="62"/>
        <v/>
      </c>
      <c r="C32" s="283" t="str">
        <f t="shared" si="20"/>
        <v/>
      </c>
      <c r="D32" s="256" t="str">
        <f>IF(B32="","",IF(totals!$Q$3=0,IFERROR(IF(AD32=2,"0",AE32),""),"-"))</f>
        <v/>
      </c>
      <c r="E32" s="258" t="str">
        <f t="shared" si="21"/>
        <v/>
      </c>
      <c r="F32" s="259" t="str">
        <f t="shared" si="22"/>
        <v/>
      </c>
      <c r="G32" s="259" t="str">
        <f t="shared" si="23"/>
        <v/>
      </c>
      <c r="H32" s="256" t="str">
        <f t="shared" si="1"/>
        <v/>
      </c>
      <c r="I32" s="259" t="str">
        <f t="shared" si="24"/>
        <v/>
      </c>
      <c r="J32" s="259" t="str">
        <f t="shared" si="25"/>
        <v/>
      </c>
      <c r="K32" s="256" t="str">
        <f t="shared" si="2"/>
        <v/>
      </c>
      <c r="L32" s="259" t="str">
        <f t="shared" si="3"/>
        <v/>
      </c>
      <c r="M32" s="259" t="str">
        <f t="shared" si="26"/>
        <v/>
      </c>
      <c r="N32" s="256" t="str">
        <f t="shared" si="27"/>
        <v/>
      </c>
      <c r="O32" s="259" t="str">
        <f t="shared" si="28"/>
        <v/>
      </c>
      <c r="P32" s="259" t="str">
        <f t="shared" si="29"/>
        <v/>
      </c>
      <c r="Q32" s="256" t="str">
        <f t="shared" si="30"/>
        <v/>
      </c>
      <c r="R32" s="259" t="str">
        <f t="shared" si="31"/>
        <v/>
      </c>
      <c r="S32" s="259" t="str">
        <f t="shared" si="32"/>
        <v/>
      </c>
      <c r="T32" s="256" t="str">
        <f t="shared" si="33"/>
        <v/>
      </c>
      <c r="U32" s="217"/>
      <c r="V32" s="217"/>
      <c r="AB32" s="217" t="e">
        <f>VLOOKUP($B$6,Lookup_Source,25,0)</f>
        <v>#N/A</v>
      </c>
      <c r="AC32" s="241" t="str">
        <f t="shared" si="34"/>
        <v/>
      </c>
      <c r="AD32" s="242">
        <f t="shared" si="35"/>
        <v>7</v>
      </c>
      <c r="AE32" s="261" t="e">
        <f t="shared" si="4"/>
        <v>#N/A</v>
      </c>
      <c r="AF32" s="264" t="e">
        <f t="shared" si="36"/>
        <v>#N/A</v>
      </c>
      <c r="AG32" s="264" t="e">
        <f t="shared" si="37"/>
        <v>#N/A</v>
      </c>
      <c r="AH32" s="263" t="e">
        <f t="shared" si="5"/>
        <v>#N/A</v>
      </c>
      <c r="AI32" s="226">
        <f t="shared" si="38"/>
        <v>7</v>
      </c>
      <c r="AJ32" s="264" t="e">
        <f t="shared" si="6"/>
        <v>#N/A</v>
      </c>
      <c r="AK32" s="264" t="e">
        <f t="shared" si="39"/>
        <v>#N/A</v>
      </c>
      <c r="AL32" s="226" t="e">
        <f t="shared" si="7"/>
        <v>#N/A</v>
      </c>
      <c r="AM32" s="265" t="e">
        <f t="shared" si="40"/>
        <v>#N/A</v>
      </c>
      <c r="AN32" s="266" t="e">
        <f t="shared" si="8"/>
        <v>#N/A</v>
      </c>
      <c r="AO32" s="227" t="e">
        <f t="shared" si="9"/>
        <v>#N/A</v>
      </c>
      <c r="AP32" s="284">
        <f t="shared" si="41"/>
        <v>7</v>
      </c>
      <c r="AQ32" s="285" t="e">
        <f t="shared" si="10"/>
        <v>#N/A</v>
      </c>
      <c r="AR32" s="266" t="e">
        <f t="shared" si="42"/>
        <v>#N/A</v>
      </c>
      <c r="AS32" s="270" t="e">
        <f t="shared" si="11"/>
        <v>#N/A</v>
      </c>
      <c r="AT32" s="271">
        <f t="shared" si="43"/>
        <v>7</v>
      </c>
      <c r="AU32" s="272" t="e">
        <f t="shared" si="44"/>
        <v>#N/A</v>
      </c>
      <c r="AV32" s="273" t="e">
        <f t="shared" si="45"/>
        <v>#N/A</v>
      </c>
      <c r="AW32" s="274" t="e">
        <f t="shared" si="12"/>
        <v>#N/A</v>
      </c>
      <c r="AX32" s="232">
        <f t="shared" si="46"/>
        <v>7</v>
      </c>
      <c r="AY32" s="273" t="e">
        <f t="shared" si="13"/>
        <v>#N/A</v>
      </c>
      <c r="AZ32" s="232" t="e">
        <f t="shared" si="47"/>
        <v>#N/A</v>
      </c>
      <c r="BA32" s="232" t="e">
        <f t="shared" si="14"/>
        <v>#N/A</v>
      </c>
      <c r="BB32" s="275">
        <f t="shared" si="48"/>
        <v>7</v>
      </c>
      <c r="BC32" s="276" t="e">
        <f t="shared" si="49"/>
        <v>#N/A</v>
      </c>
      <c r="BD32" s="277" t="e">
        <f t="shared" si="50"/>
        <v>#N/A</v>
      </c>
      <c r="BE32" s="250" t="e">
        <f t="shared" si="15"/>
        <v>#N/A</v>
      </c>
      <c r="BF32" s="247">
        <f t="shared" si="51"/>
        <v>7</v>
      </c>
      <c r="BG32" s="276" t="e">
        <f t="shared" si="52"/>
        <v>#N/A</v>
      </c>
      <c r="BH32" s="277" t="e">
        <f t="shared" si="53"/>
        <v>#N/A</v>
      </c>
      <c r="BI32" s="250" t="e">
        <f t="shared" si="16"/>
        <v>#N/A</v>
      </c>
      <c r="BJ32" s="251">
        <f t="shared" si="54"/>
        <v>7</v>
      </c>
      <c r="BK32" s="278" t="e">
        <f t="shared" si="55"/>
        <v>#N/A</v>
      </c>
      <c r="BL32" s="278" t="e">
        <f t="shared" si="56"/>
        <v>#N/A</v>
      </c>
      <c r="BM32" s="279" t="e">
        <f t="shared" si="17"/>
        <v>#N/A</v>
      </c>
      <c r="BN32" s="280">
        <f t="shared" si="57"/>
        <v>7</v>
      </c>
      <c r="BO32" s="281" t="e">
        <f t="shared" si="58"/>
        <v>#N/A</v>
      </c>
      <c r="BP32" s="281" t="e">
        <f t="shared" si="59"/>
        <v>#N/A</v>
      </c>
      <c r="BQ32" s="279" t="e">
        <f t="shared" si="18"/>
        <v>#N/A</v>
      </c>
      <c r="BR32" s="282" t="e">
        <f t="shared" si="19"/>
        <v>#N/A</v>
      </c>
      <c r="BS32" s="217" t="e">
        <f>VLOOKUP($B32,SDR24_STOCK_BY_LA!$A$2:$C$11878,3,0)</f>
        <v>#N/A</v>
      </c>
      <c r="BT32" s="217" t="str">
        <f t="shared" si="60"/>
        <v/>
      </c>
    </row>
    <row r="33" spans="1:72" x14ac:dyDescent="0.2">
      <c r="A33" s="256" t="str">
        <f t="shared" si="61"/>
        <v/>
      </c>
      <c r="B33" s="217" t="str">
        <f t="shared" si="62"/>
        <v/>
      </c>
      <c r="C33" s="257" t="str">
        <f t="shared" si="20"/>
        <v/>
      </c>
      <c r="D33" s="256" t="str">
        <f>IF(B33="","",IF(totals!$Q$3=0,IFERROR(IF(AD33=2,"0",AE33),""),"-"))</f>
        <v/>
      </c>
      <c r="E33" s="258" t="str">
        <f t="shared" si="21"/>
        <v/>
      </c>
      <c r="F33" s="259" t="str">
        <f t="shared" si="22"/>
        <v/>
      </c>
      <c r="G33" s="259" t="str">
        <f t="shared" si="23"/>
        <v/>
      </c>
      <c r="H33" s="256" t="str">
        <f t="shared" si="1"/>
        <v/>
      </c>
      <c r="I33" s="259" t="str">
        <f t="shared" si="24"/>
        <v/>
      </c>
      <c r="J33" s="259" t="str">
        <f t="shared" si="25"/>
        <v/>
      </c>
      <c r="K33" s="256" t="str">
        <f t="shared" si="2"/>
        <v/>
      </c>
      <c r="L33" s="259" t="str">
        <f t="shared" si="3"/>
        <v/>
      </c>
      <c r="M33" s="259" t="str">
        <f t="shared" si="26"/>
        <v/>
      </c>
      <c r="N33" s="256" t="str">
        <f t="shared" si="27"/>
        <v/>
      </c>
      <c r="O33" s="259" t="str">
        <f t="shared" si="28"/>
        <v/>
      </c>
      <c r="P33" s="259" t="str">
        <f t="shared" si="29"/>
        <v/>
      </c>
      <c r="Q33" s="256" t="str">
        <f t="shared" si="30"/>
        <v/>
      </c>
      <c r="R33" s="259" t="str">
        <f t="shared" si="31"/>
        <v/>
      </c>
      <c r="S33" s="259" t="str">
        <f t="shared" si="32"/>
        <v/>
      </c>
      <c r="T33" s="256" t="str">
        <f t="shared" si="33"/>
        <v/>
      </c>
      <c r="U33" s="217"/>
      <c r="V33" s="217"/>
      <c r="AB33" s="257" t="e">
        <f>VLOOKUP($B$6,Lookup_Source,26,0)</f>
        <v>#N/A</v>
      </c>
      <c r="AC33" s="241" t="str">
        <f t="shared" si="34"/>
        <v/>
      </c>
      <c r="AD33" s="242">
        <f t="shared" si="35"/>
        <v>7</v>
      </c>
      <c r="AE33" s="261" t="e">
        <f t="shared" si="4"/>
        <v>#N/A</v>
      </c>
      <c r="AF33" s="264" t="e">
        <f t="shared" si="36"/>
        <v>#N/A</v>
      </c>
      <c r="AG33" s="264" t="e">
        <f t="shared" si="37"/>
        <v>#N/A</v>
      </c>
      <c r="AH33" s="263" t="e">
        <f t="shared" si="5"/>
        <v>#N/A</v>
      </c>
      <c r="AI33" s="226">
        <f t="shared" si="38"/>
        <v>7</v>
      </c>
      <c r="AJ33" s="264" t="e">
        <f t="shared" si="6"/>
        <v>#N/A</v>
      </c>
      <c r="AK33" s="264" t="e">
        <f t="shared" si="39"/>
        <v>#N/A</v>
      </c>
      <c r="AL33" s="226" t="e">
        <f t="shared" si="7"/>
        <v>#N/A</v>
      </c>
      <c r="AM33" s="265" t="e">
        <f t="shared" si="40"/>
        <v>#N/A</v>
      </c>
      <c r="AN33" s="266" t="e">
        <f t="shared" si="8"/>
        <v>#N/A</v>
      </c>
      <c r="AO33" s="227" t="e">
        <f t="shared" si="9"/>
        <v>#N/A</v>
      </c>
      <c r="AP33" s="284">
        <f t="shared" si="41"/>
        <v>7</v>
      </c>
      <c r="AQ33" s="285" t="e">
        <f t="shared" si="10"/>
        <v>#N/A</v>
      </c>
      <c r="AR33" s="266" t="e">
        <f t="shared" si="42"/>
        <v>#N/A</v>
      </c>
      <c r="AS33" s="270" t="e">
        <f t="shared" si="11"/>
        <v>#N/A</v>
      </c>
      <c r="AT33" s="271">
        <f t="shared" si="43"/>
        <v>7</v>
      </c>
      <c r="AU33" s="272" t="e">
        <f t="shared" si="44"/>
        <v>#N/A</v>
      </c>
      <c r="AV33" s="273" t="e">
        <f t="shared" si="45"/>
        <v>#N/A</v>
      </c>
      <c r="AW33" s="274" t="e">
        <f t="shared" si="12"/>
        <v>#N/A</v>
      </c>
      <c r="AX33" s="232">
        <f t="shared" si="46"/>
        <v>7</v>
      </c>
      <c r="AY33" s="273" t="e">
        <f t="shared" si="13"/>
        <v>#N/A</v>
      </c>
      <c r="AZ33" s="232" t="e">
        <f t="shared" si="47"/>
        <v>#N/A</v>
      </c>
      <c r="BA33" s="232" t="e">
        <f t="shared" si="14"/>
        <v>#N/A</v>
      </c>
      <c r="BB33" s="275">
        <f t="shared" si="48"/>
        <v>7</v>
      </c>
      <c r="BC33" s="276" t="e">
        <f t="shared" si="49"/>
        <v>#N/A</v>
      </c>
      <c r="BD33" s="277" t="e">
        <f t="shared" si="50"/>
        <v>#N/A</v>
      </c>
      <c r="BE33" s="250" t="e">
        <f t="shared" si="15"/>
        <v>#N/A</v>
      </c>
      <c r="BF33" s="247">
        <f t="shared" si="51"/>
        <v>7</v>
      </c>
      <c r="BG33" s="276" t="e">
        <f t="shared" si="52"/>
        <v>#N/A</v>
      </c>
      <c r="BH33" s="277" t="e">
        <f t="shared" si="53"/>
        <v>#N/A</v>
      </c>
      <c r="BI33" s="250" t="e">
        <f t="shared" si="16"/>
        <v>#N/A</v>
      </c>
      <c r="BJ33" s="251">
        <f t="shared" si="54"/>
        <v>7</v>
      </c>
      <c r="BK33" s="278" t="e">
        <f t="shared" si="55"/>
        <v>#N/A</v>
      </c>
      <c r="BL33" s="278" t="e">
        <f t="shared" si="56"/>
        <v>#N/A</v>
      </c>
      <c r="BM33" s="279" t="e">
        <f t="shared" si="17"/>
        <v>#N/A</v>
      </c>
      <c r="BN33" s="280">
        <f t="shared" si="57"/>
        <v>7</v>
      </c>
      <c r="BO33" s="281" t="e">
        <f t="shared" si="58"/>
        <v>#N/A</v>
      </c>
      <c r="BP33" s="281" t="e">
        <f t="shared" si="59"/>
        <v>#N/A</v>
      </c>
      <c r="BQ33" s="279" t="e">
        <f t="shared" si="18"/>
        <v>#N/A</v>
      </c>
      <c r="BR33" s="282" t="e">
        <f t="shared" si="19"/>
        <v>#N/A</v>
      </c>
      <c r="BS33" s="217" t="e">
        <f>VLOOKUP($B33,SDR24_STOCK_BY_LA!$A$2:$C$11878,3,0)</f>
        <v>#N/A</v>
      </c>
      <c r="BT33" s="217" t="str">
        <f t="shared" si="60"/>
        <v/>
      </c>
    </row>
    <row r="34" spans="1:72" x14ac:dyDescent="0.2">
      <c r="A34" s="217" t="str">
        <f t="shared" si="61"/>
        <v/>
      </c>
      <c r="B34" s="217" t="str">
        <f t="shared" si="62"/>
        <v/>
      </c>
      <c r="C34" s="283" t="str">
        <f t="shared" si="20"/>
        <v/>
      </c>
      <c r="D34" s="256" t="str">
        <f>IF(B34="","",IF(totals!$Q$3=0,IFERROR(IF(AD34=2,"0",AE34),""),"-"))</f>
        <v/>
      </c>
      <c r="E34" s="258" t="str">
        <f t="shared" si="21"/>
        <v/>
      </c>
      <c r="F34" s="259" t="str">
        <f t="shared" si="22"/>
        <v/>
      </c>
      <c r="G34" s="259" t="str">
        <f t="shared" si="23"/>
        <v/>
      </c>
      <c r="H34" s="256" t="str">
        <f t="shared" si="1"/>
        <v/>
      </c>
      <c r="I34" s="259" t="str">
        <f t="shared" si="24"/>
        <v/>
      </c>
      <c r="J34" s="259" t="str">
        <f t="shared" si="25"/>
        <v/>
      </c>
      <c r="K34" s="256" t="str">
        <f t="shared" si="2"/>
        <v/>
      </c>
      <c r="L34" s="259" t="str">
        <f t="shared" si="3"/>
        <v/>
      </c>
      <c r="M34" s="259" t="str">
        <f t="shared" si="26"/>
        <v/>
      </c>
      <c r="N34" s="256" t="str">
        <f t="shared" si="27"/>
        <v/>
      </c>
      <c r="O34" s="259" t="str">
        <f t="shared" si="28"/>
        <v/>
      </c>
      <c r="P34" s="259" t="str">
        <f t="shared" si="29"/>
        <v/>
      </c>
      <c r="Q34" s="256" t="str">
        <f t="shared" si="30"/>
        <v/>
      </c>
      <c r="R34" s="259" t="str">
        <f t="shared" si="31"/>
        <v/>
      </c>
      <c r="S34" s="259" t="str">
        <f t="shared" si="32"/>
        <v/>
      </c>
      <c r="T34" s="256" t="str">
        <f t="shared" si="33"/>
        <v/>
      </c>
      <c r="U34" s="217"/>
      <c r="V34" s="217"/>
      <c r="AB34" s="217" t="e">
        <f>VLOOKUP($B$6,Lookup_Source,27,0)</f>
        <v>#N/A</v>
      </c>
      <c r="AC34" s="241" t="str">
        <f t="shared" si="34"/>
        <v/>
      </c>
      <c r="AD34" s="242">
        <f t="shared" si="35"/>
        <v>7</v>
      </c>
      <c r="AE34" s="261" t="e">
        <f t="shared" si="4"/>
        <v>#N/A</v>
      </c>
      <c r="AF34" s="264" t="e">
        <f t="shared" si="36"/>
        <v>#N/A</v>
      </c>
      <c r="AG34" s="264" t="e">
        <f t="shared" si="37"/>
        <v>#N/A</v>
      </c>
      <c r="AH34" s="263" t="e">
        <f t="shared" si="5"/>
        <v>#N/A</v>
      </c>
      <c r="AI34" s="226">
        <f t="shared" si="38"/>
        <v>7</v>
      </c>
      <c r="AJ34" s="264" t="e">
        <f t="shared" si="6"/>
        <v>#N/A</v>
      </c>
      <c r="AK34" s="264" t="e">
        <f t="shared" si="39"/>
        <v>#N/A</v>
      </c>
      <c r="AL34" s="226" t="e">
        <f t="shared" si="7"/>
        <v>#N/A</v>
      </c>
      <c r="AM34" s="265" t="e">
        <f t="shared" si="40"/>
        <v>#N/A</v>
      </c>
      <c r="AN34" s="266" t="e">
        <f t="shared" si="8"/>
        <v>#N/A</v>
      </c>
      <c r="AO34" s="227" t="e">
        <f t="shared" si="9"/>
        <v>#N/A</v>
      </c>
      <c r="AP34" s="284">
        <f t="shared" si="41"/>
        <v>7</v>
      </c>
      <c r="AQ34" s="285" t="e">
        <f t="shared" si="10"/>
        <v>#N/A</v>
      </c>
      <c r="AR34" s="266" t="e">
        <f t="shared" si="42"/>
        <v>#N/A</v>
      </c>
      <c r="AS34" s="270" t="e">
        <f t="shared" si="11"/>
        <v>#N/A</v>
      </c>
      <c r="AT34" s="271">
        <f t="shared" si="43"/>
        <v>7</v>
      </c>
      <c r="AU34" s="272" t="e">
        <f t="shared" si="44"/>
        <v>#N/A</v>
      </c>
      <c r="AV34" s="273" t="e">
        <f t="shared" si="45"/>
        <v>#N/A</v>
      </c>
      <c r="AW34" s="274" t="e">
        <f t="shared" si="12"/>
        <v>#N/A</v>
      </c>
      <c r="AX34" s="232">
        <f t="shared" si="46"/>
        <v>7</v>
      </c>
      <c r="AY34" s="273" t="e">
        <f t="shared" si="13"/>
        <v>#N/A</v>
      </c>
      <c r="AZ34" s="232" t="e">
        <f t="shared" si="47"/>
        <v>#N/A</v>
      </c>
      <c r="BA34" s="232" t="e">
        <f t="shared" si="14"/>
        <v>#N/A</v>
      </c>
      <c r="BB34" s="275">
        <f t="shared" si="48"/>
        <v>7</v>
      </c>
      <c r="BC34" s="276" t="e">
        <f t="shared" si="49"/>
        <v>#N/A</v>
      </c>
      <c r="BD34" s="277" t="e">
        <f t="shared" si="50"/>
        <v>#N/A</v>
      </c>
      <c r="BE34" s="250" t="e">
        <f t="shared" si="15"/>
        <v>#N/A</v>
      </c>
      <c r="BF34" s="247">
        <f t="shared" si="51"/>
        <v>7</v>
      </c>
      <c r="BG34" s="276" t="e">
        <f t="shared" si="52"/>
        <v>#N/A</v>
      </c>
      <c r="BH34" s="277" t="e">
        <f t="shared" si="53"/>
        <v>#N/A</v>
      </c>
      <c r="BI34" s="250" t="e">
        <f t="shared" si="16"/>
        <v>#N/A</v>
      </c>
      <c r="BJ34" s="251">
        <f t="shared" si="54"/>
        <v>7</v>
      </c>
      <c r="BK34" s="278" t="e">
        <f t="shared" si="55"/>
        <v>#N/A</v>
      </c>
      <c r="BL34" s="278" t="e">
        <f t="shared" si="56"/>
        <v>#N/A</v>
      </c>
      <c r="BM34" s="279" t="e">
        <f t="shared" si="17"/>
        <v>#N/A</v>
      </c>
      <c r="BN34" s="280">
        <f t="shared" si="57"/>
        <v>7</v>
      </c>
      <c r="BO34" s="281" t="e">
        <f t="shared" si="58"/>
        <v>#N/A</v>
      </c>
      <c r="BP34" s="281" t="e">
        <f t="shared" si="59"/>
        <v>#N/A</v>
      </c>
      <c r="BQ34" s="279" t="e">
        <f t="shared" si="18"/>
        <v>#N/A</v>
      </c>
      <c r="BR34" s="282" t="e">
        <f t="shared" si="19"/>
        <v>#N/A</v>
      </c>
      <c r="BS34" s="217" t="e">
        <f>VLOOKUP($B34,SDR24_STOCK_BY_LA!$A$2:$C$11878,3,0)</f>
        <v>#N/A</v>
      </c>
      <c r="BT34" s="217" t="str">
        <f t="shared" si="60"/>
        <v/>
      </c>
    </row>
    <row r="35" spans="1:72" x14ac:dyDescent="0.2">
      <c r="A35" s="256" t="str">
        <f t="shared" si="61"/>
        <v/>
      </c>
      <c r="B35" s="217" t="str">
        <f t="shared" si="62"/>
        <v/>
      </c>
      <c r="C35" s="257" t="str">
        <f t="shared" si="20"/>
        <v/>
      </c>
      <c r="D35" s="256" t="str">
        <f>IF(B35="","",IF(totals!$Q$3=0,IFERROR(IF(AD35=2,"0",AE35),""),"-"))</f>
        <v/>
      </c>
      <c r="E35" s="258" t="str">
        <f t="shared" si="21"/>
        <v/>
      </c>
      <c r="F35" s="259" t="str">
        <f t="shared" si="22"/>
        <v/>
      </c>
      <c r="G35" s="259" t="str">
        <f t="shared" si="23"/>
        <v/>
      </c>
      <c r="H35" s="256" t="str">
        <f t="shared" si="1"/>
        <v/>
      </c>
      <c r="I35" s="259" t="str">
        <f t="shared" si="24"/>
        <v/>
      </c>
      <c r="J35" s="259" t="str">
        <f t="shared" si="25"/>
        <v/>
      </c>
      <c r="K35" s="256" t="str">
        <f t="shared" si="2"/>
        <v/>
      </c>
      <c r="L35" s="259" t="str">
        <f t="shared" si="3"/>
        <v/>
      </c>
      <c r="M35" s="259" t="str">
        <f t="shared" si="26"/>
        <v/>
      </c>
      <c r="N35" s="256" t="str">
        <f t="shared" si="27"/>
        <v/>
      </c>
      <c r="O35" s="259" t="str">
        <f t="shared" si="28"/>
        <v/>
      </c>
      <c r="P35" s="259" t="str">
        <f t="shared" si="29"/>
        <v/>
      </c>
      <c r="Q35" s="256" t="str">
        <f t="shared" si="30"/>
        <v/>
      </c>
      <c r="R35" s="259" t="str">
        <f t="shared" si="31"/>
        <v/>
      </c>
      <c r="S35" s="259" t="str">
        <f t="shared" si="32"/>
        <v/>
      </c>
      <c r="T35" s="256" t="str">
        <f t="shared" si="33"/>
        <v/>
      </c>
      <c r="U35" s="217"/>
      <c r="V35" s="217"/>
      <c r="AB35" s="257" t="e">
        <f>VLOOKUP($B$6,Lookup_Source,28,0)</f>
        <v>#N/A</v>
      </c>
      <c r="AC35" s="241" t="str">
        <f t="shared" si="34"/>
        <v/>
      </c>
      <c r="AD35" s="242">
        <f t="shared" si="35"/>
        <v>7</v>
      </c>
      <c r="AE35" s="261" t="e">
        <f t="shared" si="4"/>
        <v>#N/A</v>
      </c>
      <c r="AF35" s="264" t="e">
        <f t="shared" si="36"/>
        <v>#N/A</v>
      </c>
      <c r="AG35" s="264" t="e">
        <f t="shared" si="37"/>
        <v>#N/A</v>
      </c>
      <c r="AH35" s="263" t="e">
        <f t="shared" si="5"/>
        <v>#N/A</v>
      </c>
      <c r="AI35" s="226">
        <f t="shared" si="38"/>
        <v>7</v>
      </c>
      <c r="AJ35" s="264" t="e">
        <f t="shared" si="6"/>
        <v>#N/A</v>
      </c>
      <c r="AK35" s="264" t="e">
        <f t="shared" si="39"/>
        <v>#N/A</v>
      </c>
      <c r="AL35" s="226" t="e">
        <f t="shared" si="7"/>
        <v>#N/A</v>
      </c>
      <c r="AM35" s="265" t="e">
        <f t="shared" si="40"/>
        <v>#N/A</v>
      </c>
      <c r="AN35" s="266" t="e">
        <f t="shared" si="8"/>
        <v>#N/A</v>
      </c>
      <c r="AO35" s="227" t="e">
        <f t="shared" si="9"/>
        <v>#N/A</v>
      </c>
      <c r="AP35" s="284">
        <f t="shared" si="41"/>
        <v>7</v>
      </c>
      <c r="AQ35" s="285" t="e">
        <f t="shared" si="10"/>
        <v>#N/A</v>
      </c>
      <c r="AR35" s="266" t="e">
        <f t="shared" si="42"/>
        <v>#N/A</v>
      </c>
      <c r="AS35" s="270" t="e">
        <f t="shared" si="11"/>
        <v>#N/A</v>
      </c>
      <c r="AT35" s="271">
        <f t="shared" si="43"/>
        <v>7</v>
      </c>
      <c r="AU35" s="272" t="e">
        <f t="shared" si="44"/>
        <v>#N/A</v>
      </c>
      <c r="AV35" s="273" t="e">
        <f t="shared" si="45"/>
        <v>#N/A</v>
      </c>
      <c r="AW35" s="274" t="e">
        <f t="shared" si="12"/>
        <v>#N/A</v>
      </c>
      <c r="AX35" s="232">
        <f t="shared" si="46"/>
        <v>7</v>
      </c>
      <c r="AY35" s="273" t="e">
        <f t="shared" si="13"/>
        <v>#N/A</v>
      </c>
      <c r="AZ35" s="232" t="e">
        <f t="shared" si="47"/>
        <v>#N/A</v>
      </c>
      <c r="BA35" s="232" t="e">
        <f t="shared" si="14"/>
        <v>#N/A</v>
      </c>
      <c r="BB35" s="275">
        <f t="shared" si="48"/>
        <v>7</v>
      </c>
      <c r="BC35" s="276" t="e">
        <f t="shared" si="49"/>
        <v>#N/A</v>
      </c>
      <c r="BD35" s="277" t="e">
        <f t="shared" si="50"/>
        <v>#N/A</v>
      </c>
      <c r="BE35" s="250" t="e">
        <f t="shared" si="15"/>
        <v>#N/A</v>
      </c>
      <c r="BF35" s="247">
        <f t="shared" si="51"/>
        <v>7</v>
      </c>
      <c r="BG35" s="276" t="e">
        <f t="shared" si="52"/>
        <v>#N/A</v>
      </c>
      <c r="BH35" s="277" t="e">
        <f t="shared" si="53"/>
        <v>#N/A</v>
      </c>
      <c r="BI35" s="250" t="e">
        <f t="shared" si="16"/>
        <v>#N/A</v>
      </c>
      <c r="BJ35" s="251">
        <f t="shared" si="54"/>
        <v>7</v>
      </c>
      <c r="BK35" s="278" t="e">
        <f t="shared" si="55"/>
        <v>#N/A</v>
      </c>
      <c r="BL35" s="278" t="e">
        <f t="shared" si="56"/>
        <v>#N/A</v>
      </c>
      <c r="BM35" s="279" t="e">
        <f t="shared" si="17"/>
        <v>#N/A</v>
      </c>
      <c r="BN35" s="280">
        <f t="shared" si="57"/>
        <v>7</v>
      </c>
      <c r="BO35" s="281" t="e">
        <f t="shared" si="58"/>
        <v>#N/A</v>
      </c>
      <c r="BP35" s="281" t="e">
        <f t="shared" si="59"/>
        <v>#N/A</v>
      </c>
      <c r="BQ35" s="279" t="e">
        <f t="shared" si="18"/>
        <v>#N/A</v>
      </c>
      <c r="BR35" s="282" t="e">
        <f t="shared" si="19"/>
        <v>#N/A</v>
      </c>
      <c r="BS35" s="217" t="e">
        <f>VLOOKUP($B35,SDR24_STOCK_BY_LA!$A$2:$C$11878,3,0)</f>
        <v>#N/A</v>
      </c>
      <c r="BT35" s="217" t="str">
        <f t="shared" si="60"/>
        <v/>
      </c>
    </row>
    <row r="36" spans="1:72" x14ac:dyDescent="0.2">
      <c r="A36" s="217" t="str">
        <f t="shared" si="61"/>
        <v/>
      </c>
      <c r="B36" s="217" t="str">
        <f t="shared" si="62"/>
        <v/>
      </c>
      <c r="C36" s="283" t="str">
        <f t="shared" si="20"/>
        <v/>
      </c>
      <c r="D36" s="256" t="str">
        <f>IF(B36="","",IF(totals!$Q$3=0,IFERROR(IF(AD36=2,"0",AE36),""),"-"))</f>
        <v/>
      </c>
      <c r="E36" s="258" t="str">
        <f t="shared" si="21"/>
        <v/>
      </c>
      <c r="F36" s="259" t="str">
        <f t="shared" si="22"/>
        <v/>
      </c>
      <c r="G36" s="259" t="str">
        <f t="shared" si="23"/>
        <v/>
      </c>
      <c r="H36" s="256" t="str">
        <f t="shared" si="1"/>
        <v/>
      </c>
      <c r="I36" s="259" t="str">
        <f t="shared" si="24"/>
        <v/>
      </c>
      <c r="J36" s="259" t="str">
        <f t="shared" si="25"/>
        <v/>
      </c>
      <c r="K36" s="256" t="str">
        <f t="shared" si="2"/>
        <v/>
      </c>
      <c r="L36" s="259" t="str">
        <f t="shared" si="3"/>
        <v/>
      </c>
      <c r="M36" s="259" t="str">
        <f t="shared" si="26"/>
        <v/>
      </c>
      <c r="N36" s="256" t="str">
        <f t="shared" si="27"/>
        <v/>
      </c>
      <c r="O36" s="259" t="str">
        <f t="shared" si="28"/>
        <v/>
      </c>
      <c r="P36" s="259" t="str">
        <f t="shared" si="29"/>
        <v/>
      </c>
      <c r="Q36" s="256" t="str">
        <f t="shared" si="30"/>
        <v/>
      </c>
      <c r="R36" s="259" t="str">
        <f t="shared" si="31"/>
        <v/>
      </c>
      <c r="S36" s="259" t="str">
        <f t="shared" si="32"/>
        <v/>
      </c>
      <c r="T36" s="256" t="str">
        <f t="shared" si="33"/>
        <v/>
      </c>
      <c r="U36" s="217"/>
      <c r="V36" s="217"/>
      <c r="AB36" s="217" t="e">
        <f>VLOOKUP($B$6,Lookup_Source,29,0)</f>
        <v>#N/A</v>
      </c>
      <c r="AC36" s="241" t="str">
        <f t="shared" si="34"/>
        <v/>
      </c>
      <c r="AD36" s="242">
        <f t="shared" si="35"/>
        <v>7</v>
      </c>
      <c r="AE36" s="261" t="e">
        <f t="shared" si="4"/>
        <v>#N/A</v>
      </c>
      <c r="AF36" s="264" t="e">
        <f t="shared" si="36"/>
        <v>#N/A</v>
      </c>
      <c r="AG36" s="264" t="e">
        <f t="shared" si="37"/>
        <v>#N/A</v>
      </c>
      <c r="AH36" s="263" t="e">
        <f t="shared" si="5"/>
        <v>#N/A</v>
      </c>
      <c r="AI36" s="226">
        <f t="shared" si="38"/>
        <v>7</v>
      </c>
      <c r="AJ36" s="264" t="e">
        <f t="shared" si="6"/>
        <v>#N/A</v>
      </c>
      <c r="AK36" s="264" t="e">
        <f t="shared" si="39"/>
        <v>#N/A</v>
      </c>
      <c r="AL36" s="226" t="e">
        <f t="shared" si="7"/>
        <v>#N/A</v>
      </c>
      <c r="AM36" s="265" t="e">
        <f t="shared" si="40"/>
        <v>#N/A</v>
      </c>
      <c r="AN36" s="266" t="e">
        <f t="shared" si="8"/>
        <v>#N/A</v>
      </c>
      <c r="AO36" s="227" t="e">
        <f t="shared" si="9"/>
        <v>#N/A</v>
      </c>
      <c r="AP36" s="284">
        <f t="shared" si="41"/>
        <v>7</v>
      </c>
      <c r="AQ36" s="285" t="e">
        <f t="shared" si="10"/>
        <v>#N/A</v>
      </c>
      <c r="AR36" s="266" t="e">
        <f t="shared" si="42"/>
        <v>#N/A</v>
      </c>
      <c r="AS36" s="270" t="e">
        <f t="shared" si="11"/>
        <v>#N/A</v>
      </c>
      <c r="AT36" s="271">
        <f t="shared" si="43"/>
        <v>7</v>
      </c>
      <c r="AU36" s="272" t="e">
        <f t="shared" si="44"/>
        <v>#N/A</v>
      </c>
      <c r="AV36" s="273" t="e">
        <f t="shared" si="45"/>
        <v>#N/A</v>
      </c>
      <c r="AW36" s="274" t="e">
        <f t="shared" si="12"/>
        <v>#N/A</v>
      </c>
      <c r="AX36" s="232">
        <f t="shared" si="46"/>
        <v>7</v>
      </c>
      <c r="AY36" s="273" t="e">
        <f t="shared" si="13"/>
        <v>#N/A</v>
      </c>
      <c r="AZ36" s="232" t="e">
        <f t="shared" si="47"/>
        <v>#N/A</v>
      </c>
      <c r="BA36" s="232" t="e">
        <f t="shared" si="14"/>
        <v>#N/A</v>
      </c>
      <c r="BB36" s="275">
        <f t="shared" si="48"/>
        <v>7</v>
      </c>
      <c r="BC36" s="276" t="e">
        <f t="shared" si="49"/>
        <v>#N/A</v>
      </c>
      <c r="BD36" s="277" t="e">
        <f t="shared" si="50"/>
        <v>#N/A</v>
      </c>
      <c r="BE36" s="250" t="e">
        <f t="shared" si="15"/>
        <v>#N/A</v>
      </c>
      <c r="BF36" s="247">
        <f t="shared" si="51"/>
        <v>7</v>
      </c>
      <c r="BG36" s="276" t="e">
        <f t="shared" si="52"/>
        <v>#N/A</v>
      </c>
      <c r="BH36" s="277" t="e">
        <f t="shared" si="53"/>
        <v>#N/A</v>
      </c>
      <c r="BI36" s="250" t="e">
        <f t="shared" si="16"/>
        <v>#N/A</v>
      </c>
      <c r="BJ36" s="251">
        <f t="shared" si="54"/>
        <v>7</v>
      </c>
      <c r="BK36" s="278" t="e">
        <f t="shared" si="55"/>
        <v>#N/A</v>
      </c>
      <c r="BL36" s="278" t="e">
        <f t="shared" si="56"/>
        <v>#N/A</v>
      </c>
      <c r="BM36" s="279" t="e">
        <f t="shared" si="17"/>
        <v>#N/A</v>
      </c>
      <c r="BN36" s="280">
        <f t="shared" si="57"/>
        <v>7</v>
      </c>
      <c r="BO36" s="281" t="e">
        <f t="shared" si="58"/>
        <v>#N/A</v>
      </c>
      <c r="BP36" s="281" t="e">
        <f t="shared" si="59"/>
        <v>#N/A</v>
      </c>
      <c r="BQ36" s="279" t="e">
        <f t="shared" si="18"/>
        <v>#N/A</v>
      </c>
      <c r="BR36" s="282" t="e">
        <f t="shared" si="19"/>
        <v>#N/A</v>
      </c>
      <c r="BS36" s="217" t="e">
        <f>VLOOKUP($B36,SDR24_STOCK_BY_LA!$A$2:$C$11878,3,0)</f>
        <v>#N/A</v>
      </c>
      <c r="BT36" s="217" t="str">
        <f t="shared" si="60"/>
        <v/>
      </c>
    </row>
    <row r="37" spans="1:72" x14ac:dyDescent="0.2">
      <c r="A37" s="256" t="str">
        <f t="shared" si="61"/>
        <v/>
      </c>
      <c r="B37" s="217" t="str">
        <f t="shared" si="62"/>
        <v/>
      </c>
      <c r="C37" s="257" t="str">
        <f t="shared" si="20"/>
        <v/>
      </c>
      <c r="D37" s="256" t="str">
        <f>IF(B37="","",IF(totals!$Q$3=0,IFERROR(IF(AD37=2,"0",AE37),""),"-"))</f>
        <v/>
      </c>
      <c r="E37" s="258" t="str">
        <f t="shared" si="21"/>
        <v/>
      </c>
      <c r="F37" s="259" t="str">
        <f t="shared" si="22"/>
        <v/>
      </c>
      <c r="G37" s="259" t="str">
        <f t="shared" si="23"/>
        <v/>
      </c>
      <c r="H37" s="256" t="str">
        <f t="shared" si="1"/>
        <v/>
      </c>
      <c r="I37" s="259" t="str">
        <f t="shared" si="24"/>
        <v/>
      </c>
      <c r="J37" s="259" t="str">
        <f t="shared" si="25"/>
        <v/>
      </c>
      <c r="K37" s="256" t="str">
        <f t="shared" si="2"/>
        <v/>
      </c>
      <c r="L37" s="259" t="str">
        <f t="shared" si="3"/>
        <v/>
      </c>
      <c r="M37" s="259" t="str">
        <f t="shared" si="26"/>
        <v/>
      </c>
      <c r="N37" s="256" t="str">
        <f t="shared" si="27"/>
        <v/>
      </c>
      <c r="O37" s="259" t="str">
        <f t="shared" si="28"/>
        <v/>
      </c>
      <c r="P37" s="259" t="str">
        <f t="shared" si="29"/>
        <v/>
      </c>
      <c r="Q37" s="256" t="str">
        <f t="shared" si="30"/>
        <v/>
      </c>
      <c r="R37" s="259" t="str">
        <f t="shared" si="31"/>
        <v/>
      </c>
      <c r="S37" s="259" t="str">
        <f t="shared" si="32"/>
        <v/>
      </c>
      <c r="T37" s="256" t="str">
        <f t="shared" si="33"/>
        <v/>
      </c>
      <c r="U37" s="217"/>
      <c r="V37" s="217"/>
      <c r="AB37" s="257" t="e">
        <f>VLOOKUP($B$6,Lookup_Source,30,0)</f>
        <v>#N/A</v>
      </c>
      <c r="AC37" s="241" t="str">
        <f t="shared" si="34"/>
        <v/>
      </c>
      <c r="AD37" s="242">
        <f t="shared" si="35"/>
        <v>7</v>
      </c>
      <c r="AE37" s="261" t="e">
        <f t="shared" si="4"/>
        <v>#N/A</v>
      </c>
      <c r="AF37" s="264" t="e">
        <f t="shared" si="36"/>
        <v>#N/A</v>
      </c>
      <c r="AG37" s="264" t="e">
        <f t="shared" si="37"/>
        <v>#N/A</v>
      </c>
      <c r="AH37" s="263" t="e">
        <f t="shared" si="5"/>
        <v>#N/A</v>
      </c>
      <c r="AI37" s="226">
        <f t="shared" si="38"/>
        <v>7</v>
      </c>
      <c r="AJ37" s="264" t="e">
        <f t="shared" si="6"/>
        <v>#N/A</v>
      </c>
      <c r="AK37" s="264" t="e">
        <f t="shared" si="39"/>
        <v>#N/A</v>
      </c>
      <c r="AL37" s="226" t="e">
        <f t="shared" si="7"/>
        <v>#N/A</v>
      </c>
      <c r="AM37" s="265" t="e">
        <f t="shared" si="40"/>
        <v>#N/A</v>
      </c>
      <c r="AN37" s="266" t="e">
        <f t="shared" si="8"/>
        <v>#N/A</v>
      </c>
      <c r="AO37" s="227" t="e">
        <f t="shared" si="9"/>
        <v>#N/A</v>
      </c>
      <c r="AP37" s="284">
        <f t="shared" si="41"/>
        <v>7</v>
      </c>
      <c r="AQ37" s="285" t="e">
        <f t="shared" si="10"/>
        <v>#N/A</v>
      </c>
      <c r="AR37" s="266" t="e">
        <f t="shared" si="42"/>
        <v>#N/A</v>
      </c>
      <c r="AS37" s="270" t="e">
        <f t="shared" si="11"/>
        <v>#N/A</v>
      </c>
      <c r="AT37" s="271">
        <f t="shared" si="43"/>
        <v>7</v>
      </c>
      <c r="AU37" s="272" t="e">
        <f t="shared" si="44"/>
        <v>#N/A</v>
      </c>
      <c r="AV37" s="273" t="e">
        <f t="shared" si="45"/>
        <v>#N/A</v>
      </c>
      <c r="AW37" s="274" t="e">
        <f t="shared" si="12"/>
        <v>#N/A</v>
      </c>
      <c r="AX37" s="232">
        <f t="shared" si="46"/>
        <v>7</v>
      </c>
      <c r="AY37" s="273" t="e">
        <f t="shared" si="13"/>
        <v>#N/A</v>
      </c>
      <c r="AZ37" s="232" t="e">
        <f t="shared" si="47"/>
        <v>#N/A</v>
      </c>
      <c r="BA37" s="232" t="e">
        <f t="shared" si="14"/>
        <v>#N/A</v>
      </c>
      <c r="BB37" s="275">
        <f t="shared" si="48"/>
        <v>7</v>
      </c>
      <c r="BC37" s="276" t="e">
        <f t="shared" si="49"/>
        <v>#N/A</v>
      </c>
      <c r="BD37" s="277" t="e">
        <f t="shared" si="50"/>
        <v>#N/A</v>
      </c>
      <c r="BE37" s="250" t="e">
        <f t="shared" si="15"/>
        <v>#N/A</v>
      </c>
      <c r="BF37" s="247">
        <f t="shared" si="51"/>
        <v>7</v>
      </c>
      <c r="BG37" s="276" t="e">
        <f t="shared" si="52"/>
        <v>#N/A</v>
      </c>
      <c r="BH37" s="277" t="e">
        <f t="shared" si="53"/>
        <v>#N/A</v>
      </c>
      <c r="BI37" s="250" t="e">
        <f t="shared" si="16"/>
        <v>#N/A</v>
      </c>
      <c r="BJ37" s="251">
        <f t="shared" si="54"/>
        <v>7</v>
      </c>
      <c r="BK37" s="278" t="e">
        <f t="shared" si="55"/>
        <v>#N/A</v>
      </c>
      <c r="BL37" s="278" t="e">
        <f t="shared" si="56"/>
        <v>#N/A</v>
      </c>
      <c r="BM37" s="279" t="e">
        <f t="shared" si="17"/>
        <v>#N/A</v>
      </c>
      <c r="BN37" s="280">
        <f t="shared" si="57"/>
        <v>7</v>
      </c>
      <c r="BO37" s="281" t="e">
        <f t="shared" si="58"/>
        <v>#N/A</v>
      </c>
      <c r="BP37" s="281" t="e">
        <f t="shared" si="59"/>
        <v>#N/A</v>
      </c>
      <c r="BQ37" s="279" t="e">
        <f t="shared" si="18"/>
        <v>#N/A</v>
      </c>
      <c r="BR37" s="282" t="e">
        <f t="shared" si="19"/>
        <v>#N/A</v>
      </c>
      <c r="BS37" s="217" t="e">
        <f>VLOOKUP($B37,SDR24_STOCK_BY_LA!$A$2:$C$11878,3,0)</f>
        <v>#N/A</v>
      </c>
      <c r="BT37" s="217" t="str">
        <f t="shared" si="60"/>
        <v/>
      </c>
    </row>
    <row r="38" spans="1:72" x14ac:dyDescent="0.2">
      <c r="A38" s="217" t="str">
        <f t="shared" si="61"/>
        <v/>
      </c>
      <c r="B38" s="217" t="str">
        <f t="shared" si="62"/>
        <v/>
      </c>
      <c r="C38" s="283" t="str">
        <f t="shared" si="20"/>
        <v/>
      </c>
      <c r="D38" s="256" t="str">
        <f>IF(B38="","",IF(totals!$Q$3=0,IFERROR(IF(AD38=2,"0",AE38),""),"-"))</f>
        <v/>
      </c>
      <c r="E38" s="258" t="str">
        <f t="shared" si="21"/>
        <v/>
      </c>
      <c r="F38" s="259" t="str">
        <f t="shared" si="22"/>
        <v/>
      </c>
      <c r="G38" s="259" t="str">
        <f t="shared" si="23"/>
        <v/>
      </c>
      <c r="H38" s="256" t="str">
        <f t="shared" si="1"/>
        <v/>
      </c>
      <c r="I38" s="259" t="str">
        <f t="shared" si="24"/>
        <v/>
      </c>
      <c r="J38" s="259" t="str">
        <f t="shared" si="25"/>
        <v/>
      </c>
      <c r="K38" s="256" t="str">
        <f t="shared" si="2"/>
        <v/>
      </c>
      <c r="L38" s="259" t="str">
        <f t="shared" si="3"/>
        <v/>
      </c>
      <c r="M38" s="259" t="str">
        <f t="shared" si="26"/>
        <v/>
      </c>
      <c r="N38" s="256" t="str">
        <f t="shared" si="27"/>
        <v/>
      </c>
      <c r="O38" s="259" t="str">
        <f t="shared" si="28"/>
        <v/>
      </c>
      <c r="P38" s="259" t="str">
        <f t="shared" si="29"/>
        <v/>
      </c>
      <c r="Q38" s="256" t="str">
        <f t="shared" si="30"/>
        <v/>
      </c>
      <c r="R38" s="259" t="str">
        <f t="shared" si="31"/>
        <v/>
      </c>
      <c r="S38" s="259" t="str">
        <f t="shared" si="32"/>
        <v/>
      </c>
      <c r="T38" s="256" t="str">
        <f t="shared" si="33"/>
        <v/>
      </c>
      <c r="U38" s="217"/>
      <c r="V38" s="217"/>
      <c r="AB38" s="217" t="e">
        <f>VLOOKUP($B$6,Lookup_Source,31,0)</f>
        <v>#N/A</v>
      </c>
      <c r="AC38" s="241" t="str">
        <f t="shared" si="34"/>
        <v/>
      </c>
      <c r="AD38" s="242">
        <f t="shared" si="35"/>
        <v>7</v>
      </c>
      <c r="AE38" s="261" t="e">
        <f t="shared" si="4"/>
        <v>#N/A</v>
      </c>
      <c r="AF38" s="264" t="e">
        <f t="shared" si="36"/>
        <v>#N/A</v>
      </c>
      <c r="AG38" s="264" t="e">
        <f t="shared" si="37"/>
        <v>#N/A</v>
      </c>
      <c r="AH38" s="263" t="e">
        <f t="shared" si="5"/>
        <v>#N/A</v>
      </c>
      <c r="AI38" s="226">
        <f t="shared" si="38"/>
        <v>7</v>
      </c>
      <c r="AJ38" s="264" t="e">
        <f t="shared" si="6"/>
        <v>#N/A</v>
      </c>
      <c r="AK38" s="264" t="e">
        <f t="shared" si="39"/>
        <v>#N/A</v>
      </c>
      <c r="AL38" s="226" t="e">
        <f t="shared" si="7"/>
        <v>#N/A</v>
      </c>
      <c r="AM38" s="265" t="e">
        <f t="shared" si="40"/>
        <v>#N/A</v>
      </c>
      <c r="AN38" s="266" t="e">
        <f t="shared" si="8"/>
        <v>#N/A</v>
      </c>
      <c r="AO38" s="227" t="e">
        <f t="shared" si="9"/>
        <v>#N/A</v>
      </c>
      <c r="AP38" s="284">
        <f t="shared" si="41"/>
        <v>7</v>
      </c>
      <c r="AQ38" s="285" t="e">
        <f t="shared" si="10"/>
        <v>#N/A</v>
      </c>
      <c r="AR38" s="266" t="e">
        <f t="shared" si="42"/>
        <v>#N/A</v>
      </c>
      <c r="AS38" s="270" t="e">
        <f t="shared" si="11"/>
        <v>#N/A</v>
      </c>
      <c r="AT38" s="271">
        <f t="shared" si="43"/>
        <v>7</v>
      </c>
      <c r="AU38" s="272" t="e">
        <f t="shared" si="44"/>
        <v>#N/A</v>
      </c>
      <c r="AV38" s="273" t="e">
        <f t="shared" si="45"/>
        <v>#N/A</v>
      </c>
      <c r="AW38" s="274" t="e">
        <f t="shared" si="12"/>
        <v>#N/A</v>
      </c>
      <c r="AX38" s="232">
        <f t="shared" si="46"/>
        <v>7</v>
      </c>
      <c r="AY38" s="273" t="e">
        <f t="shared" si="13"/>
        <v>#N/A</v>
      </c>
      <c r="AZ38" s="232" t="e">
        <f t="shared" si="47"/>
        <v>#N/A</v>
      </c>
      <c r="BA38" s="232" t="e">
        <f t="shared" si="14"/>
        <v>#N/A</v>
      </c>
      <c r="BB38" s="275">
        <f t="shared" si="48"/>
        <v>7</v>
      </c>
      <c r="BC38" s="276" t="e">
        <f t="shared" si="49"/>
        <v>#N/A</v>
      </c>
      <c r="BD38" s="277" t="e">
        <f t="shared" si="50"/>
        <v>#N/A</v>
      </c>
      <c r="BE38" s="250" t="e">
        <f t="shared" si="15"/>
        <v>#N/A</v>
      </c>
      <c r="BF38" s="247">
        <f t="shared" si="51"/>
        <v>7</v>
      </c>
      <c r="BG38" s="276" t="e">
        <f t="shared" si="52"/>
        <v>#N/A</v>
      </c>
      <c r="BH38" s="277" t="e">
        <f t="shared" si="53"/>
        <v>#N/A</v>
      </c>
      <c r="BI38" s="250" t="e">
        <f t="shared" si="16"/>
        <v>#N/A</v>
      </c>
      <c r="BJ38" s="251">
        <f t="shared" si="54"/>
        <v>7</v>
      </c>
      <c r="BK38" s="278" t="e">
        <f t="shared" si="55"/>
        <v>#N/A</v>
      </c>
      <c r="BL38" s="278" t="e">
        <f t="shared" si="56"/>
        <v>#N/A</v>
      </c>
      <c r="BM38" s="279" t="e">
        <f t="shared" si="17"/>
        <v>#N/A</v>
      </c>
      <c r="BN38" s="280">
        <f t="shared" si="57"/>
        <v>7</v>
      </c>
      <c r="BO38" s="281" t="e">
        <f t="shared" si="58"/>
        <v>#N/A</v>
      </c>
      <c r="BP38" s="281" t="e">
        <f t="shared" si="59"/>
        <v>#N/A</v>
      </c>
      <c r="BQ38" s="279" t="e">
        <f t="shared" si="18"/>
        <v>#N/A</v>
      </c>
      <c r="BR38" s="282" t="e">
        <f t="shared" si="19"/>
        <v>#N/A</v>
      </c>
      <c r="BS38" s="217" t="e">
        <f>VLOOKUP($B38,SDR24_STOCK_BY_LA!$A$2:$C$11878,3,0)</f>
        <v>#N/A</v>
      </c>
      <c r="BT38" s="217" t="str">
        <f t="shared" si="60"/>
        <v/>
      </c>
    </row>
    <row r="39" spans="1:72" x14ac:dyDescent="0.2">
      <c r="A39" s="256" t="str">
        <f t="shared" si="61"/>
        <v/>
      </c>
      <c r="B39" s="217" t="str">
        <f t="shared" si="62"/>
        <v/>
      </c>
      <c r="C39" s="257" t="str">
        <f t="shared" si="20"/>
        <v/>
      </c>
      <c r="D39" s="256" t="str">
        <f>IF(B39="","",IF(totals!$Q$3=0,IFERROR(IF(AD39=2,"0",AE39),""),"-"))</f>
        <v/>
      </c>
      <c r="E39" s="258" t="str">
        <f t="shared" si="21"/>
        <v/>
      </c>
      <c r="F39" s="259" t="str">
        <f t="shared" si="22"/>
        <v/>
      </c>
      <c r="G39" s="259" t="str">
        <f t="shared" si="23"/>
        <v/>
      </c>
      <c r="H39" s="256" t="str">
        <f t="shared" si="1"/>
        <v/>
      </c>
      <c r="I39" s="259" t="str">
        <f t="shared" si="24"/>
        <v/>
      </c>
      <c r="J39" s="259" t="str">
        <f t="shared" si="25"/>
        <v/>
      </c>
      <c r="K39" s="256" t="str">
        <f t="shared" si="2"/>
        <v/>
      </c>
      <c r="L39" s="259" t="str">
        <f t="shared" si="3"/>
        <v/>
      </c>
      <c r="M39" s="259" t="str">
        <f t="shared" si="26"/>
        <v/>
      </c>
      <c r="N39" s="256" t="str">
        <f t="shared" si="27"/>
        <v/>
      </c>
      <c r="O39" s="259" t="str">
        <f t="shared" si="28"/>
        <v/>
      </c>
      <c r="P39" s="259" t="str">
        <f t="shared" si="29"/>
        <v/>
      </c>
      <c r="Q39" s="256" t="str">
        <f t="shared" si="30"/>
        <v/>
      </c>
      <c r="R39" s="259" t="str">
        <f t="shared" si="31"/>
        <v/>
      </c>
      <c r="S39" s="259" t="str">
        <f t="shared" si="32"/>
        <v/>
      </c>
      <c r="T39" s="256" t="str">
        <f t="shared" si="33"/>
        <v/>
      </c>
      <c r="U39" s="217"/>
      <c r="V39" s="217"/>
      <c r="AB39" s="257" t="e">
        <f>VLOOKUP($B$6,Lookup_Source,32,0)</f>
        <v>#N/A</v>
      </c>
      <c r="AC39" s="241" t="str">
        <f t="shared" si="34"/>
        <v/>
      </c>
      <c r="AD39" s="242">
        <f t="shared" si="35"/>
        <v>7</v>
      </c>
      <c r="AE39" s="261" t="e">
        <f t="shared" si="4"/>
        <v>#N/A</v>
      </c>
      <c r="AF39" s="264" t="e">
        <f t="shared" si="36"/>
        <v>#N/A</v>
      </c>
      <c r="AG39" s="264" t="e">
        <f t="shared" si="37"/>
        <v>#N/A</v>
      </c>
      <c r="AH39" s="263" t="e">
        <f t="shared" si="5"/>
        <v>#N/A</v>
      </c>
      <c r="AI39" s="226">
        <f t="shared" si="38"/>
        <v>7</v>
      </c>
      <c r="AJ39" s="264" t="e">
        <f t="shared" si="6"/>
        <v>#N/A</v>
      </c>
      <c r="AK39" s="264" t="e">
        <f t="shared" si="39"/>
        <v>#N/A</v>
      </c>
      <c r="AL39" s="226" t="e">
        <f t="shared" si="7"/>
        <v>#N/A</v>
      </c>
      <c r="AM39" s="265" t="e">
        <f t="shared" si="40"/>
        <v>#N/A</v>
      </c>
      <c r="AN39" s="266" t="e">
        <f t="shared" si="8"/>
        <v>#N/A</v>
      </c>
      <c r="AO39" s="227" t="e">
        <f t="shared" si="9"/>
        <v>#N/A</v>
      </c>
      <c r="AP39" s="284">
        <f t="shared" si="41"/>
        <v>7</v>
      </c>
      <c r="AQ39" s="285" t="e">
        <f t="shared" si="10"/>
        <v>#N/A</v>
      </c>
      <c r="AR39" s="266" t="e">
        <f t="shared" si="42"/>
        <v>#N/A</v>
      </c>
      <c r="AS39" s="270" t="e">
        <f t="shared" si="11"/>
        <v>#N/A</v>
      </c>
      <c r="AT39" s="271">
        <f t="shared" si="43"/>
        <v>7</v>
      </c>
      <c r="AU39" s="272" t="e">
        <f t="shared" si="44"/>
        <v>#N/A</v>
      </c>
      <c r="AV39" s="273" t="e">
        <f t="shared" si="45"/>
        <v>#N/A</v>
      </c>
      <c r="AW39" s="274" t="e">
        <f t="shared" si="12"/>
        <v>#N/A</v>
      </c>
      <c r="AX39" s="232">
        <f t="shared" si="46"/>
        <v>7</v>
      </c>
      <c r="AY39" s="273" t="e">
        <f t="shared" si="13"/>
        <v>#N/A</v>
      </c>
      <c r="AZ39" s="232" t="e">
        <f t="shared" si="47"/>
        <v>#N/A</v>
      </c>
      <c r="BA39" s="232" t="e">
        <f t="shared" si="14"/>
        <v>#N/A</v>
      </c>
      <c r="BB39" s="275">
        <f t="shared" si="48"/>
        <v>7</v>
      </c>
      <c r="BC39" s="276" t="e">
        <f t="shared" si="49"/>
        <v>#N/A</v>
      </c>
      <c r="BD39" s="277" t="e">
        <f t="shared" si="50"/>
        <v>#N/A</v>
      </c>
      <c r="BE39" s="250" t="e">
        <f t="shared" si="15"/>
        <v>#N/A</v>
      </c>
      <c r="BF39" s="247">
        <f t="shared" si="51"/>
        <v>7</v>
      </c>
      <c r="BG39" s="276" t="e">
        <f t="shared" si="52"/>
        <v>#N/A</v>
      </c>
      <c r="BH39" s="277" t="e">
        <f t="shared" si="53"/>
        <v>#N/A</v>
      </c>
      <c r="BI39" s="250" t="e">
        <f t="shared" si="16"/>
        <v>#N/A</v>
      </c>
      <c r="BJ39" s="251">
        <f t="shared" si="54"/>
        <v>7</v>
      </c>
      <c r="BK39" s="278" t="e">
        <f t="shared" si="55"/>
        <v>#N/A</v>
      </c>
      <c r="BL39" s="278" t="e">
        <f t="shared" si="56"/>
        <v>#N/A</v>
      </c>
      <c r="BM39" s="279" t="e">
        <f t="shared" si="17"/>
        <v>#N/A</v>
      </c>
      <c r="BN39" s="280">
        <f t="shared" si="57"/>
        <v>7</v>
      </c>
      <c r="BO39" s="281" t="e">
        <f t="shared" si="58"/>
        <v>#N/A</v>
      </c>
      <c r="BP39" s="281" t="e">
        <f t="shared" si="59"/>
        <v>#N/A</v>
      </c>
      <c r="BQ39" s="279" t="e">
        <f t="shared" si="18"/>
        <v>#N/A</v>
      </c>
      <c r="BR39" s="282" t="e">
        <f t="shared" si="19"/>
        <v>#N/A</v>
      </c>
      <c r="BS39" s="217" t="e">
        <f>VLOOKUP($B39,SDR24_STOCK_BY_LA!$A$2:$C$11878,3,0)</f>
        <v>#N/A</v>
      </c>
      <c r="BT39" s="217" t="str">
        <f t="shared" si="60"/>
        <v/>
      </c>
    </row>
    <row r="40" spans="1:72" x14ac:dyDescent="0.2">
      <c r="A40" s="217" t="str">
        <f t="shared" si="61"/>
        <v/>
      </c>
      <c r="B40" s="217" t="str">
        <f t="shared" si="62"/>
        <v/>
      </c>
      <c r="C40" s="283" t="str">
        <f>IFERROR(BS40,"")</f>
        <v/>
      </c>
      <c r="D40" s="256" t="str">
        <f>IF(B40="","",IF(totals!$Q$3=0,IFERROR(IF(AD40=2,"0",AE40),""),"-"))</f>
        <v/>
      </c>
      <c r="E40" s="258" t="str">
        <f t="shared" si="21"/>
        <v/>
      </c>
      <c r="F40" s="259" t="str">
        <f t="shared" si="22"/>
        <v/>
      </c>
      <c r="G40" s="259" t="str">
        <f t="shared" si="23"/>
        <v/>
      </c>
      <c r="H40" s="256" t="str">
        <f t="shared" si="1"/>
        <v/>
      </c>
      <c r="I40" s="259" t="str">
        <f t="shared" si="24"/>
        <v/>
      </c>
      <c r="J40" s="259" t="str">
        <f t="shared" si="25"/>
        <v/>
      </c>
      <c r="K40" s="256" t="str">
        <f t="shared" si="2"/>
        <v/>
      </c>
      <c r="L40" s="259" t="str">
        <f t="shared" si="3"/>
        <v/>
      </c>
      <c r="M40" s="259" t="str">
        <f t="shared" si="26"/>
        <v/>
      </c>
      <c r="N40" s="256" t="str">
        <f t="shared" si="27"/>
        <v/>
      </c>
      <c r="O40" s="259" t="str">
        <f t="shared" si="28"/>
        <v/>
      </c>
      <c r="P40" s="259" t="str">
        <f t="shared" si="29"/>
        <v/>
      </c>
      <c r="Q40" s="256" t="str">
        <f t="shared" si="30"/>
        <v/>
      </c>
      <c r="R40" s="259" t="str">
        <f t="shared" si="31"/>
        <v/>
      </c>
      <c r="S40" s="259" t="str">
        <f t="shared" si="32"/>
        <v/>
      </c>
      <c r="T40" s="256" t="str">
        <f t="shared" si="33"/>
        <v/>
      </c>
      <c r="U40" s="217"/>
      <c r="V40" s="217"/>
      <c r="AB40" s="217" t="e">
        <f>VLOOKUP($B$6,Lookup_Source,33,0)</f>
        <v>#N/A</v>
      </c>
      <c r="AC40" s="241" t="str">
        <f t="shared" si="34"/>
        <v/>
      </c>
      <c r="AD40" s="242">
        <f t="shared" si="35"/>
        <v>7</v>
      </c>
      <c r="AE40" s="261" t="e">
        <f t="shared" si="4"/>
        <v>#N/A</v>
      </c>
      <c r="AF40" s="264" t="e">
        <f t="shared" si="36"/>
        <v>#N/A</v>
      </c>
      <c r="AG40" s="264" t="e">
        <f t="shared" si="37"/>
        <v>#N/A</v>
      </c>
      <c r="AH40" s="263" t="e">
        <f t="shared" si="5"/>
        <v>#N/A</v>
      </c>
      <c r="AI40" s="226">
        <f t="shared" si="38"/>
        <v>7</v>
      </c>
      <c r="AJ40" s="264" t="e">
        <f t="shared" si="6"/>
        <v>#N/A</v>
      </c>
      <c r="AK40" s="264" t="e">
        <f t="shared" si="39"/>
        <v>#N/A</v>
      </c>
      <c r="AL40" s="226" t="e">
        <f t="shared" si="7"/>
        <v>#N/A</v>
      </c>
      <c r="AM40" s="265" t="e">
        <f t="shared" si="40"/>
        <v>#N/A</v>
      </c>
      <c r="AN40" s="266" t="e">
        <f t="shared" si="8"/>
        <v>#N/A</v>
      </c>
      <c r="AO40" s="227" t="e">
        <f t="shared" si="9"/>
        <v>#N/A</v>
      </c>
      <c r="AP40" s="284">
        <f t="shared" si="41"/>
        <v>7</v>
      </c>
      <c r="AQ40" s="285" t="e">
        <f t="shared" si="10"/>
        <v>#N/A</v>
      </c>
      <c r="AR40" s="266" t="e">
        <f t="shared" si="42"/>
        <v>#N/A</v>
      </c>
      <c r="AS40" s="270" t="e">
        <f t="shared" si="11"/>
        <v>#N/A</v>
      </c>
      <c r="AT40" s="271">
        <f t="shared" si="43"/>
        <v>7</v>
      </c>
      <c r="AU40" s="272" t="e">
        <f t="shared" si="44"/>
        <v>#N/A</v>
      </c>
      <c r="AV40" s="273" t="e">
        <f t="shared" si="45"/>
        <v>#N/A</v>
      </c>
      <c r="AW40" s="274" t="e">
        <f t="shared" si="12"/>
        <v>#N/A</v>
      </c>
      <c r="AX40" s="232">
        <f t="shared" si="46"/>
        <v>7</v>
      </c>
      <c r="AY40" s="273" t="e">
        <f t="shared" si="13"/>
        <v>#N/A</v>
      </c>
      <c r="AZ40" s="232" t="e">
        <f t="shared" si="47"/>
        <v>#N/A</v>
      </c>
      <c r="BA40" s="232" t="e">
        <f t="shared" si="14"/>
        <v>#N/A</v>
      </c>
      <c r="BB40" s="275">
        <f t="shared" si="48"/>
        <v>7</v>
      </c>
      <c r="BC40" s="276" t="e">
        <f t="shared" si="49"/>
        <v>#N/A</v>
      </c>
      <c r="BD40" s="277" t="e">
        <f t="shared" si="50"/>
        <v>#N/A</v>
      </c>
      <c r="BE40" s="250" t="e">
        <f t="shared" si="15"/>
        <v>#N/A</v>
      </c>
      <c r="BF40" s="247">
        <f t="shared" si="51"/>
        <v>7</v>
      </c>
      <c r="BG40" s="276" t="e">
        <f t="shared" si="52"/>
        <v>#N/A</v>
      </c>
      <c r="BH40" s="277" t="e">
        <f t="shared" si="53"/>
        <v>#N/A</v>
      </c>
      <c r="BI40" s="250" t="e">
        <f t="shared" si="16"/>
        <v>#N/A</v>
      </c>
      <c r="BJ40" s="251">
        <f t="shared" si="54"/>
        <v>7</v>
      </c>
      <c r="BK40" s="278" t="e">
        <f t="shared" si="55"/>
        <v>#N/A</v>
      </c>
      <c r="BL40" s="278" t="e">
        <f t="shared" si="56"/>
        <v>#N/A</v>
      </c>
      <c r="BM40" s="279" t="e">
        <f t="shared" si="17"/>
        <v>#N/A</v>
      </c>
      <c r="BN40" s="280">
        <f t="shared" si="57"/>
        <v>7</v>
      </c>
      <c r="BO40" s="281" t="e">
        <f t="shared" si="58"/>
        <v>#N/A</v>
      </c>
      <c r="BP40" s="281" t="e">
        <f t="shared" si="59"/>
        <v>#N/A</v>
      </c>
      <c r="BQ40" s="279" t="e">
        <f t="shared" si="18"/>
        <v>#N/A</v>
      </c>
      <c r="BR40" s="282" t="e">
        <f t="shared" si="19"/>
        <v>#N/A</v>
      </c>
      <c r="BS40" s="217" t="e">
        <f>VLOOKUP($B40,SDR24_STOCK_BY_LA!$A$2:$C$11878,3,0)</f>
        <v>#N/A</v>
      </c>
      <c r="BT40" s="217" t="str">
        <f t="shared" si="60"/>
        <v/>
      </c>
    </row>
    <row r="41" spans="1:72" x14ac:dyDescent="0.2">
      <c r="A41" s="256" t="str">
        <f t="shared" si="61"/>
        <v/>
      </c>
      <c r="B41" s="217" t="str">
        <f t="shared" si="62"/>
        <v/>
      </c>
      <c r="C41" s="257" t="str">
        <f t="shared" si="20"/>
        <v/>
      </c>
      <c r="D41" s="256" t="str">
        <f>IF(B41="","",IF(totals!$Q$3=0,IFERROR(IF(AD41=2,"0",AE41),""),"-"))</f>
        <v/>
      </c>
      <c r="E41" s="258" t="str">
        <f t="shared" si="21"/>
        <v/>
      </c>
      <c r="F41" s="259" t="str">
        <f t="shared" si="22"/>
        <v/>
      </c>
      <c r="G41" s="259" t="str">
        <f t="shared" si="23"/>
        <v/>
      </c>
      <c r="H41" s="256" t="str">
        <f t="shared" si="1"/>
        <v/>
      </c>
      <c r="I41" s="259" t="str">
        <f t="shared" si="24"/>
        <v/>
      </c>
      <c r="J41" s="259" t="str">
        <f t="shared" si="25"/>
        <v/>
      </c>
      <c r="K41" s="256" t="str">
        <f t="shared" si="2"/>
        <v/>
      </c>
      <c r="L41" s="259" t="str">
        <f t="shared" si="3"/>
        <v/>
      </c>
      <c r="M41" s="259" t="str">
        <f t="shared" si="26"/>
        <v/>
      </c>
      <c r="N41" s="256" t="str">
        <f t="shared" si="27"/>
        <v/>
      </c>
      <c r="O41" s="259" t="str">
        <f t="shared" si="28"/>
        <v/>
      </c>
      <c r="P41" s="259" t="str">
        <f t="shared" si="29"/>
        <v/>
      </c>
      <c r="Q41" s="256" t="str">
        <f t="shared" si="30"/>
        <v/>
      </c>
      <c r="R41" s="259" t="str">
        <f t="shared" si="31"/>
        <v/>
      </c>
      <c r="S41" s="259" t="str">
        <f t="shared" si="32"/>
        <v/>
      </c>
      <c r="T41" s="256" t="str">
        <f t="shared" si="33"/>
        <v/>
      </c>
      <c r="U41" s="217"/>
      <c r="V41" s="217"/>
      <c r="AB41" s="257" t="e">
        <f>VLOOKUP($B$6,Lookup_Source,34,0)</f>
        <v>#N/A</v>
      </c>
      <c r="AC41" s="241" t="str">
        <f t="shared" si="34"/>
        <v/>
      </c>
      <c r="AD41" s="242">
        <f t="shared" si="35"/>
        <v>7</v>
      </c>
      <c r="AE41" s="261" t="e">
        <f t="shared" si="4"/>
        <v>#N/A</v>
      </c>
      <c r="AF41" s="264" t="e">
        <f t="shared" si="36"/>
        <v>#N/A</v>
      </c>
      <c r="AG41" s="264" t="e">
        <f t="shared" si="37"/>
        <v>#N/A</v>
      </c>
      <c r="AH41" s="263" t="e">
        <f t="shared" si="5"/>
        <v>#N/A</v>
      </c>
      <c r="AI41" s="226">
        <f t="shared" si="38"/>
        <v>7</v>
      </c>
      <c r="AJ41" s="264" t="e">
        <f t="shared" si="6"/>
        <v>#N/A</v>
      </c>
      <c r="AK41" s="264" t="e">
        <f t="shared" si="39"/>
        <v>#N/A</v>
      </c>
      <c r="AL41" s="226" t="e">
        <f t="shared" si="7"/>
        <v>#N/A</v>
      </c>
      <c r="AM41" s="265" t="e">
        <f t="shared" si="40"/>
        <v>#N/A</v>
      </c>
      <c r="AN41" s="266" t="e">
        <f t="shared" si="8"/>
        <v>#N/A</v>
      </c>
      <c r="AO41" s="227" t="e">
        <f t="shared" si="9"/>
        <v>#N/A</v>
      </c>
      <c r="AP41" s="284">
        <f t="shared" si="41"/>
        <v>7</v>
      </c>
      <c r="AQ41" s="285" t="e">
        <f t="shared" si="10"/>
        <v>#N/A</v>
      </c>
      <c r="AR41" s="266" t="e">
        <f t="shared" si="42"/>
        <v>#N/A</v>
      </c>
      <c r="AS41" s="270" t="e">
        <f t="shared" si="11"/>
        <v>#N/A</v>
      </c>
      <c r="AT41" s="271">
        <f t="shared" si="43"/>
        <v>7</v>
      </c>
      <c r="AU41" s="272" t="e">
        <f t="shared" si="44"/>
        <v>#N/A</v>
      </c>
      <c r="AV41" s="273" t="e">
        <f t="shared" si="45"/>
        <v>#N/A</v>
      </c>
      <c r="AW41" s="274" t="e">
        <f t="shared" si="12"/>
        <v>#N/A</v>
      </c>
      <c r="AX41" s="232">
        <f t="shared" si="46"/>
        <v>7</v>
      </c>
      <c r="AY41" s="273" t="e">
        <f t="shared" si="13"/>
        <v>#N/A</v>
      </c>
      <c r="AZ41" s="232" t="e">
        <f t="shared" si="47"/>
        <v>#N/A</v>
      </c>
      <c r="BA41" s="232" t="e">
        <f t="shared" si="14"/>
        <v>#N/A</v>
      </c>
      <c r="BB41" s="275">
        <f t="shared" si="48"/>
        <v>7</v>
      </c>
      <c r="BC41" s="276" t="e">
        <f t="shared" si="49"/>
        <v>#N/A</v>
      </c>
      <c r="BD41" s="277" t="e">
        <f t="shared" si="50"/>
        <v>#N/A</v>
      </c>
      <c r="BE41" s="250" t="e">
        <f t="shared" si="15"/>
        <v>#N/A</v>
      </c>
      <c r="BF41" s="247">
        <f t="shared" si="51"/>
        <v>7</v>
      </c>
      <c r="BG41" s="276" t="e">
        <f t="shared" si="52"/>
        <v>#N/A</v>
      </c>
      <c r="BH41" s="277" t="e">
        <f t="shared" si="53"/>
        <v>#N/A</v>
      </c>
      <c r="BI41" s="250" t="e">
        <f t="shared" si="16"/>
        <v>#N/A</v>
      </c>
      <c r="BJ41" s="251">
        <f t="shared" si="54"/>
        <v>7</v>
      </c>
      <c r="BK41" s="278" t="e">
        <f t="shared" si="55"/>
        <v>#N/A</v>
      </c>
      <c r="BL41" s="278" t="e">
        <f t="shared" si="56"/>
        <v>#N/A</v>
      </c>
      <c r="BM41" s="279" t="e">
        <f t="shared" si="17"/>
        <v>#N/A</v>
      </c>
      <c r="BN41" s="280">
        <f t="shared" si="57"/>
        <v>7</v>
      </c>
      <c r="BO41" s="281" t="e">
        <f t="shared" si="58"/>
        <v>#N/A</v>
      </c>
      <c r="BP41" s="281" t="e">
        <f t="shared" si="59"/>
        <v>#N/A</v>
      </c>
      <c r="BQ41" s="279" t="e">
        <f t="shared" si="18"/>
        <v>#N/A</v>
      </c>
      <c r="BR41" s="282" t="e">
        <f t="shared" si="19"/>
        <v>#N/A</v>
      </c>
      <c r="BS41" s="217" t="e">
        <f>VLOOKUP($B41,SDR24_STOCK_BY_LA!$A$2:$C$11878,3,0)</f>
        <v>#N/A</v>
      </c>
      <c r="BT41" s="217" t="str">
        <f t="shared" si="60"/>
        <v/>
      </c>
    </row>
    <row r="42" spans="1:72" x14ac:dyDescent="0.2">
      <c r="A42" s="217" t="str">
        <f t="shared" si="61"/>
        <v/>
      </c>
      <c r="B42" s="217" t="str">
        <f t="shared" si="62"/>
        <v/>
      </c>
      <c r="C42" s="283" t="str">
        <f t="shared" si="20"/>
        <v/>
      </c>
      <c r="D42" s="256" t="str">
        <f>IF(B42="","",IF(totals!$Q$3=0,IFERROR(IF(AD42=2,"0",AE42),""),"-"))</f>
        <v/>
      </c>
      <c r="E42" s="258" t="str">
        <f t="shared" si="21"/>
        <v/>
      </c>
      <c r="F42" s="259" t="str">
        <f t="shared" si="22"/>
        <v/>
      </c>
      <c r="G42" s="259" t="str">
        <f t="shared" si="23"/>
        <v/>
      </c>
      <c r="H42" s="256" t="str">
        <f t="shared" si="1"/>
        <v/>
      </c>
      <c r="I42" s="259" t="str">
        <f t="shared" si="24"/>
        <v/>
      </c>
      <c r="J42" s="259" t="str">
        <f t="shared" si="25"/>
        <v/>
      </c>
      <c r="K42" s="256" t="str">
        <f t="shared" si="2"/>
        <v/>
      </c>
      <c r="L42" s="259" t="str">
        <f t="shared" si="3"/>
        <v/>
      </c>
      <c r="M42" s="259" t="str">
        <f t="shared" si="26"/>
        <v/>
      </c>
      <c r="N42" s="256" t="str">
        <f t="shared" si="27"/>
        <v/>
      </c>
      <c r="O42" s="259" t="str">
        <f t="shared" si="28"/>
        <v/>
      </c>
      <c r="P42" s="259" t="str">
        <f t="shared" si="29"/>
        <v/>
      </c>
      <c r="Q42" s="256" t="str">
        <f t="shared" si="30"/>
        <v/>
      </c>
      <c r="R42" s="259" t="str">
        <f t="shared" si="31"/>
        <v/>
      </c>
      <c r="S42" s="259" t="str">
        <f t="shared" si="32"/>
        <v/>
      </c>
      <c r="T42" s="256" t="str">
        <f t="shared" si="33"/>
        <v/>
      </c>
      <c r="U42" s="217"/>
      <c r="V42" s="217"/>
      <c r="AB42" s="217" t="e">
        <f>VLOOKUP($B$6,Lookup_Source,35,0)</f>
        <v>#N/A</v>
      </c>
      <c r="AC42" s="241" t="str">
        <f t="shared" si="34"/>
        <v/>
      </c>
      <c r="AD42" s="242">
        <f t="shared" si="35"/>
        <v>7</v>
      </c>
      <c r="AE42" s="261" t="e">
        <f t="shared" si="4"/>
        <v>#N/A</v>
      </c>
      <c r="AF42" s="264" t="e">
        <f t="shared" si="36"/>
        <v>#N/A</v>
      </c>
      <c r="AG42" s="264" t="e">
        <f t="shared" si="37"/>
        <v>#N/A</v>
      </c>
      <c r="AH42" s="263" t="e">
        <f t="shared" si="5"/>
        <v>#N/A</v>
      </c>
      <c r="AI42" s="226">
        <f t="shared" si="38"/>
        <v>7</v>
      </c>
      <c r="AJ42" s="264" t="e">
        <f t="shared" si="6"/>
        <v>#N/A</v>
      </c>
      <c r="AK42" s="264" t="e">
        <f t="shared" si="39"/>
        <v>#N/A</v>
      </c>
      <c r="AL42" s="226" t="e">
        <f t="shared" si="7"/>
        <v>#N/A</v>
      </c>
      <c r="AM42" s="265" t="e">
        <f t="shared" si="40"/>
        <v>#N/A</v>
      </c>
      <c r="AN42" s="266" t="e">
        <f t="shared" si="8"/>
        <v>#N/A</v>
      </c>
      <c r="AO42" s="227" t="e">
        <f t="shared" si="9"/>
        <v>#N/A</v>
      </c>
      <c r="AP42" s="284">
        <f t="shared" si="41"/>
        <v>7</v>
      </c>
      <c r="AQ42" s="285" t="e">
        <f t="shared" si="10"/>
        <v>#N/A</v>
      </c>
      <c r="AR42" s="266" t="e">
        <f t="shared" si="42"/>
        <v>#N/A</v>
      </c>
      <c r="AS42" s="270" t="e">
        <f t="shared" si="11"/>
        <v>#N/A</v>
      </c>
      <c r="AT42" s="271">
        <f t="shared" si="43"/>
        <v>7</v>
      </c>
      <c r="AU42" s="272" t="e">
        <f t="shared" si="44"/>
        <v>#N/A</v>
      </c>
      <c r="AV42" s="273" t="e">
        <f t="shared" si="45"/>
        <v>#N/A</v>
      </c>
      <c r="AW42" s="274" t="e">
        <f t="shared" si="12"/>
        <v>#N/A</v>
      </c>
      <c r="AX42" s="232">
        <f t="shared" si="46"/>
        <v>7</v>
      </c>
      <c r="AY42" s="273" t="e">
        <f t="shared" si="13"/>
        <v>#N/A</v>
      </c>
      <c r="AZ42" s="232" t="e">
        <f t="shared" si="47"/>
        <v>#N/A</v>
      </c>
      <c r="BA42" s="232" t="e">
        <f t="shared" si="14"/>
        <v>#N/A</v>
      </c>
      <c r="BB42" s="275">
        <f t="shared" si="48"/>
        <v>7</v>
      </c>
      <c r="BC42" s="276" t="e">
        <f t="shared" si="49"/>
        <v>#N/A</v>
      </c>
      <c r="BD42" s="277" t="e">
        <f t="shared" si="50"/>
        <v>#N/A</v>
      </c>
      <c r="BE42" s="250" t="e">
        <f t="shared" si="15"/>
        <v>#N/A</v>
      </c>
      <c r="BF42" s="247">
        <f t="shared" si="51"/>
        <v>7</v>
      </c>
      <c r="BG42" s="276" t="e">
        <f t="shared" si="52"/>
        <v>#N/A</v>
      </c>
      <c r="BH42" s="277" t="e">
        <f t="shared" si="53"/>
        <v>#N/A</v>
      </c>
      <c r="BI42" s="250" t="e">
        <f t="shared" si="16"/>
        <v>#N/A</v>
      </c>
      <c r="BJ42" s="251">
        <f t="shared" si="54"/>
        <v>7</v>
      </c>
      <c r="BK42" s="278" t="e">
        <f t="shared" si="55"/>
        <v>#N/A</v>
      </c>
      <c r="BL42" s="278" t="e">
        <f t="shared" si="56"/>
        <v>#N/A</v>
      </c>
      <c r="BM42" s="279" t="e">
        <f t="shared" si="17"/>
        <v>#N/A</v>
      </c>
      <c r="BN42" s="280">
        <f t="shared" si="57"/>
        <v>7</v>
      </c>
      <c r="BO42" s="281" t="e">
        <f t="shared" si="58"/>
        <v>#N/A</v>
      </c>
      <c r="BP42" s="281" t="e">
        <f t="shared" si="59"/>
        <v>#N/A</v>
      </c>
      <c r="BQ42" s="279" t="e">
        <f t="shared" si="18"/>
        <v>#N/A</v>
      </c>
      <c r="BR42" s="282" t="e">
        <f t="shared" si="19"/>
        <v>#N/A</v>
      </c>
      <c r="BS42" s="217" t="e">
        <f>VLOOKUP($B42,SDR24_STOCK_BY_LA!$A$2:$C$11878,3,0)</f>
        <v>#N/A</v>
      </c>
      <c r="BT42" s="217" t="str">
        <f t="shared" si="60"/>
        <v/>
      </c>
    </row>
    <row r="43" spans="1:72" x14ac:dyDescent="0.2">
      <c r="A43" s="256" t="str">
        <f t="shared" si="61"/>
        <v/>
      </c>
      <c r="B43" s="217" t="str">
        <f t="shared" si="62"/>
        <v/>
      </c>
      <c r="C43" s="257" t="str">
        <f t="shared" si="20"/>
        <v/>
      </c>
      <c r="D43" s="256" t="str">
        <f>IF(B43="","",IF(totals!$Q$3=0,IFERROR(IF(AD43=2,"0",AE43),""),"-"))</f>
        <v/>
      </c>
      <c r="E43" s="258" t="str">
        <f t="shared" si="21"/>
        <v/>
      </c>
      <c r="F43" s="259" t="str">
        <f t="shared" si="22"/>
        <v/>
      </c>
      <c r="G43" s="259" t="str">
        <f t="shared" si="23"/>
        <v/>
      </c>
      <c r="H43" s="256" t="str">
        <f t="shared" si="1"/>
        <v/>
      </c>
      <c r="I43" s="259" t="str">
        <f t="shared" si="24"/>
        <v/>
      </c>
      <c r="J43" s="259" t="str">
        <f t="shared" si="25"/>
        <v/>
      </c>
      <c r="K43" s="256" t="str">
        <f t="shared" si="2"/>
        <v/>
      </c>
      <c r="L43" s="259" t="str">
        <f t="shared" si="3"/>
        <v/>
      </c>
      <c r="M43" s="259" t="str">
        <f t="shared" si="26"/>
        <v/>
      </c>
      <c r="N43" s="256" t="str">
        <f t="shared" si="27"/>
        <v/>
      </c>
      <c r="O43" s="259" t="str">
        <f t="shared" si="28"/>
        <v/>
      </c>
      <c r="P43" s="259" t="str">
        <f t="shared" si="29"/>
        <v/>
      </c>
      <c r="Q43" s="256" t="str">
        <f t="shared" si="30"/>
        <v/>
      </c>
      <c r="R43" s="259" t="str">
        <f t="shared" si="31"/>
        <v/>
      </c>
      <c r="S43" s="259" t="str">
        <f t="shared" si="32"/>
        <v/>
      </c>
      <c r="T43" s="256" t="str">
        <f t="shared" si="33"/>
        <v/>
      </c>
      <c r="U43" s="217"/>
      <c r="V43" s="217"/>
      <c r="AB43" s="257" t="e">
        <f>VLOOKUP($B$6,Lookup_Source,36,0)</f>
        <v>#N/A</v>
      </c>
      <c r="AC43" s="241" t="str">
        <f t="shared" si="34"/>
        <v/>
      </c>
      <c r="AD43" s="242">
        <f t="shared" si="35"/>
        <v>7</v>
      </c>
      <c r="AE43" s="261" t="e">
        <f t="shared" si="4"/>
        <v>#N/A</v>
      </c>
      <c r="AF43" s="264" t="e">
        <f t="shared" si="36"/>
        <v>#N/A</v>
      </c>
      <c r="AG43" s="264" t="e">
        <f t="shared" si="37"/>
        <v>#N/A</v>
      </c>
      <c r="AH43" s="263" t="e">
        <f t="shared" si="5"/>
        <v>#N/A</v>
      </c>
      <c r="AI43" s="226">
        <f t="shared" si="38"/>
        <v>7</v>
      </c>
      <c r="AJ43" s="264" t="e">
        <f t="shared" si="6"/>
        <v>#N/A</v>
      </c>
      <c r="AK43" s="264" t="e">
        <f t="shared" si="39"/>
        <v>#N/A</v>
      </c>
      <c r="AL43" s="226" t="e">
        <f t="shared" si="7"/>
        <v>#N/A</v>
      </c>
      <c r="AM43" s="265" t="e">
        <f t="shared" si="40"/>
        <v>#N/A</v>
      </c>
      <c r="AN43" s="266" t="e">
        <f t="shared" si="8"/>
        <v>#N/A</v>
      </c>
      <c r="AO43" s="227" t="e">
        <f t="shared" si="9"/>
        <v>#N/A</v>
      </c>
      <c r="AP43" s="284">
        <f t="shared" si="41"/>
        <v>7</v>
      </c>
      <c r="AQ43" s="285" t="e">
        <f t="shared" si="10"/>
        <v>#N/A</v>
      </c>
      <c r="AR43" s="266" t="e">
        <f t="shared" si="42"/>
        <v>#N/A</v>
      </c>
      <c r="AS43" s="270" t="e">
        <f t="shared" si="11"/>
        <v>#N/A</v>
      </c>
      <c r="AT43" s="271">
        <f t="shared" si="43"/>
        <v>7</v>
      </c>
      <c r="AU43" s="272" t="e">
        <f t="shared" si="44"/>
        <v>#N/A</v>
      </c>
      <c r="AV43" s="273" t="e">
        <f t="shared" si="45"/>
        <v>#N/A</v>
      </c>
      <c r="AW43" s="274" t="e">
        <f t="shared" si="12"/>
        <v>#N/A</v>
      </c>
      <c r="AX43" s="232">
        <f t="shared" si="46"/>
        <v>7</v>
      </c>
      <c r="AY43" s="273" t="e">
        <f t="shared" si="13"/>
        <v>#N/A</v>
      </c>
      <c r="AZ43" s="232" t="e">
        <f t="shared" si="47"/>
        <v>#N/A</v>
      </c>
      <c r="BA43" s="232" t="e">
        <f t="shared" si="14"/>
        <v>#N/A</v>
      </c>
      <c r="BB43" s="275">
        <f t="shared" si="48"/>
        <v>7</v>
      </c>
      <c r="BC43" s="276" t="e">
        <f t="shared" si="49"/>
        <v>#N/A</v>
      </c>
      <c r="BD43" s="277" t="e">
        <f t="shared" si="50"/>
        <v>#N/A</v>
      </c>
      <c r="BE43" s="250" t="e">
        <f t="shared" si="15"/>
        <v>#N/A</v>
      </c>
      <c r="BF43" s="247">
        <f t="shared" si="51"/>
        <v>7</v>
      </c>
      <c r="BG43" s="276" t="e">
        <f t="shared" si="52"/>
        <v>#N/A</v>
      </c>
      <c r="BH43" s="277" t="e">
        <f t="shared" si="53"/>
        <v>#N/A</v>
      </c>
      <c r="BI43" s="250" t="e">
        <f t="shared" si="16"/>
        <v>#N/A</v>
      </c>
      <c r="BJ43" s="251">
        <f t="shared" si="54"/>
        <v>7</v>
      </c>
      <c r="BK43" s="278" t="e">
        <f t="shared" si="55"/>
        <v>#N/A</v>
      </c>
      <c r="BL43" s="278" t="e">
        <f t="shared" si="56"/>
        <v>#N/A</v>
      </c>
      <c r="BM43" s="279" t="e">
        <f t="shared" si="17"/>
        <v>#N/A</v>
      </c>
      <c r="BN43" s="280">
        <f t="shared" si="57"/>
        <v>7</v>
      </c>
      <c r="BO43" s="281" t="e">
        <f t="shared" si="58"/>
        <v>#N/A</v>
      </c>
      <c r="BP43" s="281" t="e">
        <f t="shared" si="59"/>
        <v>#N/A</v>
      </c>
      <c r="BQ43" s="279" t="e">
        <f t="shared" si="18"/>
        <v>#N/A</v>
      </c>
      <c r="BR43" s="282" t="e">
        <f t="shared" si="19"/>
        <v>#N/A</v>
      </c>
      <c r="BS43" s="217" t="e">
        <f>VLOOKUP($B43,SDR24_STOCK_BY_LA!$A$2:$C$11878,3,0)</f>
        <v>#N/A</v>
      </c>
      <c r="BT43" s="217" t="str">
        <f t="shared" si="60"/>
        <v/>
      </c>
    </row>
    <row r="44" spans="1:72" x14ac:dyDescent="0.2">
      <c r="A44" s="217" t="str">
        <f t="shared" si="61"/>
        <v/>
      </c>
      <c r="B44" s="217" t="str">
        <f t="shared" si="62"/>
        <v/>
      </c>
      <c r="C44" s="283" t="str">
        <f t="shared" si="20"/>
        <v/>
      </c>
      <c r="D44" s="256" t="str">
        <f>IF(B44="","",IF(totals!$Q$3=0,IFERROR(IF(AD44=2,"0",AE44),""),"-"))</f>
        <v/>
      </c>
      <c r="E44" s="258" t="str">
        <f t="shared" si="21"/>
        <v/>
      </c>
      <c r="F44" s="259" t="str">
        <f t="shared" si="22"/>
        <v/>
      </c>
      <c r="G44" s="259" t="str">
        <f t="shared" si="23"/>
        <v/>
      </c>
      <c r="H44" s="256" t="str">
        <f t="shared" si="1"/>
        <v/>
      </c>
      <c r="I44" s="259" t="str">
        <f t="shared" si="24"/>
        <v/>
      </c>
      <c r="J44" s="259" t="str">
        <f t="shared" si="25"/>
        <v/>
      </c>
      <c r="K44" s="256" t="str">
        <f t="shared" si="2"/>
        <v/>
      </c>
      <c r="L44" s="259" t="str">
        <f t="shared" si="3"/>
        <v/>
      </c>
      <c r="M44" s="259" t="str">
        <f t="shared" si="26"/>
        <v/>
      </c>
      <c r="N44" s="256" t="str">
        <f t="shared" si="27"/>
        <v/>
      </c>
      <c r="O44" s="259" t="str">
        <f t="shared" si="28"/>
        <v/>
      </c>
      <c r="P44" s="259" t="str">
        <f t="shared" si="29"/>
        <v/>
      </c>
      <c r="Q44" s="256" t="str">
        <f t="shared" si="30"/>
        <v/>
      </c>
      <c r="R44" s="259" t="str">
        <f t="shared" si="31"/>
        <v/>
      </c>
      <c r="S44" s="259" t="str">
        <f t="shared" si="32"/>
        <v/>
      </c>
      <c r="T44" s="256" t="str">
        <f t="shared" si="33"/>
        <v/>
      </c>
      <c r="U44" s="217"/>
      <c r="V44" s="217"/>
      <c r="AB44" s="217" t="e">
        <f>VLOOKUP($B$6,Lookup_Source,37,0)</f>
        <v>#N/A</v>
      </c>
      <c r="AC44" s="241" t="str">
        <f t="shared" si="34"/>
        <v/>
      </c>
      <c r="AD44" s="242">
        <f t="shared" si="35"/>
        <v>7</v>
      </c>
      <c r="AE44" s="261" t="e">
        <f t="shared" si="4"/>
        <v>#N/A</v>
      </c>
      <c r="AF44" s="264" t="e">
        <f t="shared" si="36"/>
        <v>#N/A</v>
      </c>
      <c r="AG44" s="264" t="e">
        <f t="shared" si="37"/>
        <v>#N/A</v>
      </c>
      <c r="AH44" s="263" t="e">
        <f t="shared" si="5"/>
        <v>#N/A</v>
      </c>
      <c r="AI44" s="226">
        <f t="shared" si="38"/>
        <v>7</v>
      </c>
      <c r="AJ44" s="264" t="e">
        <f t="shared" si="6"/>
        <v>#N/A</v>
      </c>
      <c r="AK44" s="264" t="e">
        <f t="shared" si="39"/>
        <v>#N/A</v>
      </c>
      <c r="AL44" s="226" t="e">
        <f t="shared" si="7"/>
        <v>#N/A</v>
      </c>
      <c r="AM44" s="265" t="e">
        <f t="shared" si="40"/>
        <v>#N/A</v>
      </c>
      <c r="AN44" s="266" t="e">
        <f t="shared" si="8"/>
        <v>#N/A</v>
      </c>
      <c r="AO44" s="227" t="e">
        <f t="shared" si="9"/>
        <v>#N/A</v>
      </c>
      <c r="AP44" s="284">
        <f t="shared" si="41"/>
        <v>7</v>
      </c>
      <c r="AQ44" s="285" t="e">
        <f t="shared" si="10"/>
        <v>#N/A</v>
      </c>
      <c r="AR44" s="266" t="e">
        <f t="shared" si="42"/>
        <v>#N/A</v>
      </c>
      <c r="AS44" s="270" t="e">
        <f t="shared" si="11"/>
        <v>#N/A</v>
      </c>
      <c r="AT44" s="271">
        <f t="shared" si="43"/>
        <v>7</v>
      </c>
      <c r="AU44" s="272" t="e">
        <f t="shared" si="44"/>
        <v>#N/A</v>
      </c>
      <c r="AV44" s="273" t="e">
        <f t="shared" si="45"/>
        <v>#N/A</v>
      </c>
      <c r="AW44" s="274" t="e">
        <f t="shared" si="12"/>
        <v>#N/A</v>
      </c>
      <c r="AX44" s="232">
        <f t="shared" si="46"/>
        <v>7</v>
      </c>
      <c r="AY44" s="273" t="e">
        <f t="shared" si="13"/>
        <v>#N/A</v>
      </c>
      <c r="AZ44" s="232" t="e">
        <f t="shared" si="47"/>
        <v>#N/A</v>
      </c>
      <c r="BA44" s="232" t="e">
        <f t="shared" si="14"/>
        <v>#N/A</v>
      </c>
      <c r="BB44" s="275">
        <f t="shared" si="48"/>
        <v>7</v>
      </c>
      <c r="BC44" s="276" t="e">
        <f t="shared" si="49"/>
        <v>#N/A</v>
      </c>
      <c r="BD44" s="277" t="e">
        <f t="shared" si="50"/>
        <v>#N/A</v>
      </c>
      <c r="BE44" s="250" t="e">
        <f t="shared" si="15"/>
        <v>#N/A</v>
      </c>
      <c r="BF44" s="247">
        <f t="shared" si="51"/>
        <v>7</v>
      </c>
      <c r="BG44" s="276" t="e">
        <f t="shared" si="52"/>
        <v>#N/A</v>
      </c>
      <c r="BH44" s="277" t="e">
        <f t="shared" si="53"/>
        <v>#N/A</v>
      </c>
      <c r="BI44" s="250" t="e">
        <f t="shared" si="16"/>
        <v>#N/A</v>
      </c>
      <c r="BJ44" s="251">
        <f t="shared" si="54"/>
        <v>7</v>
      </c>
      <c r="BK44" s="278" t="e">
        <f t="shared" si="55"/>
        <v>#N/A</v>
      </c>
      <c r="BL44" s="278" t="e">
        <f t="shared" si="56"/>
        <v>#N/A</v>
      </c>
      <c r="BM44" s="279" t="e">
        <f t="shared" si="17"/>
        <v>#N/A</v>
      </c>
      <c r="BN44" s="280">
        <f t="shared" si="57"/>
        <v>7</v>
      </c>
      <c r="BO44" s="281" t="e">
        <f t="shared" si="58"/>
        <v>#N/A</v>
      </c>
      <c r="BP44" s="281" t="e">
        <f t="shared" si="59"/>
        <v>#N/A</v>
      </c>
      <c r="BQ44" s="279" t="e">
        <f t="shared" si="18"/>
        <v>#N/A</v>
      </c>
      <c r="BR44" s="282" t="e">
        <f t="shared" si="19"/>
        <v>#N/A</v>
      </c>
      <c r="BS44" s="217" t="e">
        <f>VLOOKUP($B44,SDR24_STOCK_BY_LA!$A$2:$C$11878,3,0)</f>
        <v>#N/A</v>
      </c>
      <c r="BT44" s="217" t="str">
        <f t="shared" si="60"/>
        <v/>
      </c>
    </row>
    <row r="45" spans="1:72" x14ac:dyDescent="0.2">
      <c r="A45" s="256" t="str">
        <f t="shared" si="61"/>
        <v/>
      </c>
      <c r="B45" s="217" t="str">
        <f t="shared" si="62"/>
        <v/>
      </c>
      <c r="C45" s="257" t="str">
        <f t="shared" si="20"/>
        <v/>
      </c>
      <c r="D45" s="256" t="str">
        <f>IF(B45="","",IF(totals!$Q$3=0,IFERROR(IF(AD45=2,"0",AE45),""),"-"))</f>
        <v/>
      </c>
      <c r="E45" s="258" t="str">
        <f t="shared" si="21"/>
        <v/>
      </c>
      <c r="F45" s="259" t="str">
        <f t="shared" si="22"/>
        <v/>
      </c>
      <c r="G45" s="259" t="str">
        <f t="shared" si="23"/>
        <v/>
      </c>
      <c r="H45" s="256" t="str">
        <f t="shared" si="1"/>
        <v/>
      </c>
      <c r="I45" s="259" t="str">
        <f t="shared" si="24"/>
        <v/>
      </c>
      <c r="J45" s="259" t="str">
        <f t="shared" si="25"/>
        <v/>
      </c>
      <c r="K45" s="256" t="str">
        <f t="shared" si="2"/>
        <v/>
      </c>
      <c r="L45" s="259" t="str">
        <f t="shared" si="3"/>
        <v/>
      </c>
      <c r="M45" s="259" t="str">
        <f t="shared" si="26"/>
        <v/>
      </c>
      <c r="N45" s="256" t="str">
        <f t="shared" si="27"/>
        <v/>
      </c>
      <c r="O45" s="259" t="str">
        <f t="shared" si="28"/>
        <v/>
      </c>
      <c r="P45" s="259" t="str">
        <f t="shared" si="29"/>
        <v/>
      </c>
      <c r="Q45" s="256" t="str">
        <f t="shared" si="30"/>
        <v/>
      </c>
      <c r="R45" s="259" t="str">
        <f t="shared" si="31"/>
        <v/>
      </c>
      <c r="S45" s="259" t="str">
        <f t="shared" si="32"/>
        <v/>
      </c>
      <c r="T45" s="256" t="str">
        <f t="shared" si="33"/>
        <v/>
      </c>
      <c r="U45" s="217"/>
      <c r="V45" s="217"/>
      <c r="AB45" s="257" t="e">
        <f>VLOOKUP($B$6,Lookup_Source,38,0)</f>
        <v>#N/A</v>
      </c>
      <c r="AC45" s="241" t="str">
        <f t="shared" si="34"/>
        <v/>
      </c>
      <c r="AD45" s="242">
        <f t="shared" si="35"/>
        <v>7</v>
      </c>
      <c r="AE45" s="261" t="e">
        <f t="shared" si="4"/>
        <v>#N/A</v>
      </c>
      <c r="AF45" s="264" t="e">
        <f t="shared" si="36"/>
        <v>#N/A</v>
      </c>
      <c r="AG45" s="264" t="e">
        <f t="shared" si="37"/>
        <v>#N/A</v>
      </c>
      <c r="AH45" s="263" t="e">
        <f t="shared" si="5"/>
        <v>#N/A</v>
      </c>
      <c r="AI45" s="226">
        <f t="shared" si="38"/>
        <v>7</v>
      </c>
      <c r="AJ45" s="264" t="e">
        <f t="shared" si="6"/>
        <v>#N/A</v>
      </c>
      <c r="AK45" s="264" t="e">
        <f t="shared" si="39"/>
        <v>#N/A</v>
      </c>
      <c r="AL45" s="226" t="e">
        <f t="shared" si="7"/>
        <v>#N/A</v>
      </c>
      <c r="AM45" s="265" t="e">
        <f t="shared" si="40"/>
        <v>#N/A</v>
      </c>
      <c r="AN45" s="266" t="e">
        <f t="shared" si="8"/>
        <v>#N/A</v>
      </c>
      <c r="AO45" s="227" t="e">
        <f t="shared" si="9"/>
        <v>#N/A</v>
      </c>
      <c r="AP45" s="284">
        <f t="shared" si="41"/>
        <v>7</v>
      </c>
      <c r="AQ45" s="285" t="e">
        <f t="shared" si="10"/>
        <v>#N/A</v>
      </c>
      <c r="AR45" s="266" t="e">
        <f t="shared" si="42"/>
        <v>#N/A</v>
      </c>
      <c r="AS45" s="270" t="e">
        <f t="shared" si="11"/>
        <v>#N/A</v>
      </c>
      <c r="AT45" s="271">
        <f t="shared" si="43"/>
        <v>7</v>
      </c>
      <c r="AU45" s="272" t="e">
        <f t="shared" si="44"/>
        <v>#N/A</v>
      </c>
      <c r="AV45" s="273" t="e">
        <f t="shared" si="45"/>
        <v>#N/A</v>
      </c>
      <c r="AW45" s="274" t="e">
        <f t="shared" si="12"/>
        <v>#N/A</v>
      </c>
      <c r="AX45" s="232">
        <f t="shared" si="46"/>
        <v>7</v>
      </c>
      <c r="AY45" s="273" t="e">
        <f t="shared" si="13"/>
        <v>#N/A</v>
      </c>
      <c r="AZ45" s="232" t="e">
        <f t="shared" si="47"/>
        <v>#N/A</v>
      </c>
      <c r="BA45" s="232" t="e">
        <f t="shared" si="14"/>
        <v>#N/A</v>
      </c>
      <c r="BB45" s="275">
        <f t="shared" si="48"/>
        <v>7</v>
      </c>
      <c r="BC45" s="276" t="e">
        <f t="shared" si="49"/>
        <v>#N/A</v>
      </c>
      <c r="BD45" s="277" t="e">
        <f t="shared" si="50"/>
        <v>#N/A</v>
      </c>
      <c r="BE45" s="250" t="e">
        <f t="shared" si="15"/>
        <v>#N/A</v>
      </c>
      <c r="BF45" s="247">
        <f t="shared" si="51"/>
        <v>7</v>
      </c>
      <c r="BG45" s="276" t="e">
        <f t="shared" si="52"/>
        <v>#N/A</v>
      </c>
      <c r="BH45" s="277" t="e">
        <f t="shared" si="53"/>
        <v>#N/A</v>
      </c>
      <c r="BI45" s="250" t="e">
        <f t="shared" si="16"/>
        <v>#N/A</v>
      </c>
      <c r="BJ45" s="251">
        <f t="shared" si="54"/>
        <v>7</v>
      </c>
      <c r="BK45" s="278" t="e">
        <f t="shared" si="55"/>
        <v>#N/A</v>
      </c>
      <c r="BL45" s="278" t="e">
        <f t="shared" si="56"/>
        <v>#N/A</v>
      </c>
      <c r="BM45" s="279" t="e">
        <f t="shared" si="17"/>
        <v>#N/A</v>
      </c>
      <c r="BN45" s="280">
        <f t="shared" si="57"/>
        <v>7</v>
      </c>
      <c r="BO45" s="281" t="e">
        <f t="shared" si="58"/>
        <v>#N/A</v>
      </c>
      <c r="BP45" s="281" t="e">
        <f t="shared" si="59"/>
        <v>#N/A</v>
      </c>
      <c r="BQ45" s="279" t="e">
        <f t="shared" si="18"/>
        <v>#N/A</v>
      </c>
      <c r="BR45" s="282" t="e">
        <f t="shared" si="19"/>
        <v>#N/A</v>
      </c>
      <c r="BS45" s="217" t="e">
        <f>VLOOKUP($B45,SDR24_STOCK_BY_LA!$A$2:$C$11878,3,0)</f>
        <v>#N/A</v>
      </c>
      <c r="BT45" s="217" t="str">
        <f t="shared" si="60"/>
        <v/>
      </c>
    </row>
    <row r="46" spans="1:72" x14ac:dyDescent="0.2">
      <c r="A46" s="217" t="str">
        <f t="shared" si="61"/>
        <v/>
      </c>
      <c r="B46" s="217" t="str">
        <f t="shared" si="62"/>
        <v/>
      </c>
      <c r="C46" s="283" t="str">
        <f t="shared" si="20"/>
        <v/>
      </c>
      <c r="D46" s="256" t="str">
        <f>IF(B46="","",IF(totals!$Q$3=0,IFERROR(IF(AD46=2,"0",AE46),""),"-"))</f>
        <v/>
      </c>
      <c r="E46" s="258" t="str">
        <f t="shared" si="21"/>
        <v/>
      </c>
      <c r="F46" s="259" t="str">
        <f t="shared" si="22"/>
        <v/>
      </c>
      <c r="G46" s="259" t="str">
        <f t="shared" si="23"/>
        <v/>
      </c>
      <c r="H46" s="256" t="str">
        <f t="shared" si="1"/>
        <v/>
      </c>
      <c r="I46" s="259" t="str">
        <f t="shared" si="24"/>
        <v/>
      </c>
      <c r="J46" s="259" t="str">
        <f t="shared" si="25"/>
        <v/>
      </c>
      <c r="K46" s="256" t="str">
        <f t="shared" si="2"/>
        <v/>
      </c>
      <c r="L46" s="259" t="str">
        <f t="shared" si="3"/>
        <v/>
      </c>
      <c r="M46" s="259" t="str">
        <f t="shared" si="26"/>
        <v/>
      </c>
      <c r="N46" s="256" t="str">
        <f t="shared" si="27"/>
        <v/>
      </c>
      <c r="O46" s="259" t="str">
        <f t="shared" si="28"/>
        <v/>
      </c>
      <c r="P46" s="259" t="str">
        <f t="shared" si="29"/>
        <v/>
      </c>
      <c r="Q46" s="256" t="str">
        <f t="shared" si="30"/>
        <v/>
      </c>
      <c r="R46" s="259" t="str">
        <f t="shared" si="31"/>
        <v/>
      </c>
      <c r="S46" s="259" t="str">
        <f t="shared" si="32"/>
        <v/>
      </c>
      <c r="T46" s="256" t="str">
        <f t="shared" si="33"/>
        <v/>
      </c>
      <c r="U46" s="217"/>
      <c r="V46" s="217"/>
      <c r="AB46" s="217" t="e">
        <f>VLOOKUP($B$6,Lookup_Source,39,0)</f>
        <v>#N/A</v>
      </c>
      <c r="AC46" s="241" t="str">
        <f t="shared" si="34"/>
        <v/>
      </c>
      <c r="AD46" s="242">
        <f t="shared" si="35"/>
        <v>7</v>
      </c>
      <c r="AE46" s="261" t="e">
        <f t="shared" si="4"/>
        <v>#N/A</v>
      </c>
      <c r="AF46" s="264" t="e">
        <f t="shared" si="36"/>
        <v>#N/A</v>
      </c>
      <c r="AG46" s="264" t="e">
        <f t="shared" si="37"/>
        <v>#N/A</v>
      </c>
      <c r="AH46" s="263" t="e">
        <f t="shared" si="5"/>
        <v>#N/A</v>
      </c>
      <c r="AI46" s="226">
        <f t="shared" si="38"/>
        <v>7</v>
      </c>
      <c r="AJ46" s="264" t="e">
        <f t="shared" si="6"/>
        <v>#N/A</v>
      </c>
      <c r="AK46" s="264" t="e">
        <f t="shared" si="39"/>
        <v>#N/A</v>
      </c>
      <c r="AL46" s="226" t="e">
        <f t="shared" si="7"/>
        <v>#N/A</v>
      </c>
      <c r="AM46" s="265" t="e">
        <f t="shared" si="40"/>
        <v>#N/A</v>
      </c>
      <c r="AN46" s="266" t="e">
        <f t="shared" si="8"/>
        <v>#N/A</v>
      </c>
      <c r="AO46" s="227" t="e">
        <f t="shared" si="9"/>
        <v>#N/A</v>
      </c>
      <c r="AP46" s="284">
        <f t="shared" si="41"/>
        <v>7</v>
      </c>
      <c r="AQ46" s="285" t="e">
        <f t="shared" si="10"/>
        <v>#N/A</v>
      </c>
      <c r="AR46" s="266" t="e">
        <f t="shared" si="42"/>
        <v>#N/A</v>
      </c>
      <c r="AS46" s="270" t="e">
        <f t="shared" si="11"/>
        <v>#N/A</v>
      </c>
      <c r="AT46" s="271">
        <f t="shared" si="43"/>
        <v>7</v>
      </c>
      <c r="AU46" s="272" t="e">
        <f t="shared" si="44"/>
        <v>#N/A</v>
      </c>
      <c r="AV46" s="273" t="e">
        <f t="shared" si="45"/>
        <v>#N/A</v>
      </c>
      <c r="AW46" s="274" t="e">
        <f t="shared" si="12"/>
        <v>#N/A</v>
      </c>
      <c r="AX46" s="232">
        <f t="shared" si="46"/>
        <v>7</v>
      </c>
      <c r="AY46" s="273" t="e">
        <f t="shared" si="13"/>
        <v>#N/A</v>
      </c>
      <c r="AZ46" s="232" t="e">
        <f t="shared" si="47"/>
        <v>#N/A</v>
      </c>
      <c r="BA46" s="232" t="e">
        <f t="shared" si="14"/>
        <v>#N/A</v>
      </c>
      <c r="BB46" s="275">
        <f t="shared" si="48"/>
        <v>7</v>
      </c>
      <c r="BC46" s="276" t="e">
        <f t="shared" si="49"/>
        <v>#N/A</v>
      </c>
      <c r="BD46" s="277" t="e">
        <f t="shared" si="50"/>
        <v>#N/A</v>
      </c>
      <c r="BE46" s="250" t="e">
        <f t="shared" si="15"/>
        <v>#N/A</v>
      </c>
      <c r="BF46" s="247">
        <f t="shared" si="51"/>
        <v>7</v>
      </c>
      <c r="BG46" s="276" t="e">
        <f t="shared" si="52"/>
        <v>#N/A</v>
      </c>
      <c r="BH46" s="277" t="e">
        <f t="shared" si="53"/>
        <v>#N/A</v>
      </c>
      <c r="BI46" s="250" t="e">
        <f t="shared" si="16"/>
        <v>#N/A</v>
      </c>
      <c r="BJ46" s="251">
        <f t="shared" si="54"/>
        <v>7</v>
      </c>
      <c r="BK46" s="278" t="e">
        <f t="shared" si="55"/>
        <v>#N/A</v>
      </c>
      <c r="BL46" s="278" t="e">
        <f t="shared" si="56"/>
        <v>#N/A</v>
      </c>
      <c r="BM46" s="279" t="e">
        <f t="shared" si="17"/>
        <v>#N/A</v>
      </c>
      <c r="BN46" s="280">
        <f t="shared" si="57"/>
        <v>7</v>
      </c>
      <c r="BO46" s="281" t="e">
        <f t="shared" si="58"/>
        <v>#N/A</v>
      </c>
      <c r="BP46" s="281" t="e">
        <f t="shared" si="59"/>
        <v>#N/A</v>
      </c>
      <c r="BQ46" s="279" t="e">
        <f t="shared" si="18"/>
        <v>#N/A</v>
      </c>
      <c r="BR46" s="282" t="e">
        <f t="shared" si="19"/>
        <v>#N/A</v>
      </c>
      <c r="BS46" s="217" t="e">
        <f>VLOOKUP($B46,SDR24_STOCK_BY_LA!$A$2:$C$11878,3,0)</f>
        <v>#N/A</v>
      </c>
      <c r="BT46" s="217" t="str">
        <f t="shared" si="60"/>
        <v/>
      </c>
    </row>
    <row r="47" spans="1:72" x14ac:dyDescent="0.2">
      <c r="A47" s="256" t="str">
        <f t="shared" si="61"/>
        <v/>
      </c>
      <c r="B47" s="217" t="str">
        <f t="shared" si="62"/>
        <v/>
      </c>
      <c r="C47" s="257" t="str">
        <f t="shared" si="20"/>
        <v/>
      </c>
      <c r="D47" s="256" t="str">
        <f>IF(B47="","",IF(totals!$Q$3=0,IFERROR(IF(AD47=2,"0",AE47),""),"-"))</f>
        <v/>
      </c>
      <c r="E47" s="258" t="str">
        <f t="shared" si="21"/>
        <v/>
      </c>
      <c r="F47" s="259" t="str">
        <f t="shared" si="22"/>
        <v/>
      </c>
      <c r="G47" s="259" t="str">
        <f t="shared" si="23"/>
        <v/>
      </c>
      <c r="H47" s="256" t="str">
        <f t="shared" si="1"/>
        <v/>
      </c>
      <c r="I47" s="259" t="str">
        <f t="shared" si="24"/>
        <v/>
      </c>
      <c r="J47" s="259" t="str">
        <f t="shared" si="25"/>
        <v/>
      </c>
      <c r="K47" s="256" t="str">
        <f t="shared" si="2"/>
        <v/>
      </c>
      <c r="L47" s="259" t="str">
        <f t="shared" si="3"/>
        <v/>
      </c>
      <c r="M47" s="259" t="str">
        <f t="shared" si="26"/>
        <v/>
      </c>
      <c r="N47" s="256" t="str">
        <f t="shared" si="27"/>
        <v/>
      </c>
      <c r="O47" s="259" t="str">
        <f t="shared" si="28"/>
        <v/>
      </c>
      <c r="P47" s="259" t="str">
        <f t="shared" si="29"/>
        <v/>
      </c>
      <c r="Q47" s="256" t="str">
        <f t="shared" si="30"/>
        <v/>
      </c>
      <c r="R47" s="259" t="str">
        <f t="shared" si="31"/>
        <v/>
      </c>
      <c r="S47" s="259" t="str">
        <f t="shared" si="32"/>
        <v/>
      </c>
      <c r="T47" s="256" t="str">
        <f t="shared" si="33"/>
        <v/>
      </c>
      <c r="U47" s="217"/>
      <c r="V47" s="217"/>
      <c r="AB47" s="257" t="e">
        <f>VLOOKUP($B$6,Lookup_Source,40,0)</f>
        <v>#N/A</v>
      </c>
      <c r="AC47" s="241" t="str">
        <f t="shared" si="34"/>
        <v/>
      </c>
      <c r="AD47" s="242">
        <f t="shared" si="35"/>
        <v>7</v>
      </c>
      <c r="AE47" s="261" t="e">
        <f t="shared" si="4"/>
        <v>#N/A</v>
      </c>
      <c r="AF47" s="264" t="e">
        <f t="shared" si="36"/>
        <v>#N/A</v>
      </c>
      <c r="AG47" s="264" t="e">
        <f t="shared" si="37"/>
        <v>#N/A</v>
      </c>
      <c r="AH47" s="263" t="e">
        <f t="shared" si="5"/>
        <v>#N/A</v>
      </c>
      <c r="AI47" s="226">
        <f t="shared" si="38"/>
        <v>7</v>
      </c>
      <c r="AJ47" s="264" t="e">
        <f t="shared" si="6"/>
        <v>#N/A</v>
      </c>
      <c r="AK47" s="264" t="e">
        <f t="shared" si="39"/>
        <v>#N/A</v>
      </c>
      <c r="AL47" s="226" t="e">
        <f t="shared" si="7"/>
        <v>#N/A</v>
      </c>
      <c r="AM47" s="265" t="e">
        <f t="shared" si="40"/>
        <v>#N/A</v>
      </c>
      <c r="AN47" s="266" t="e">
        <f t="shared" si="8"/>
        <v>#N/A</v>
      </c>
      <c r="AO47" s="227" t="e">
        <f t="shared" si="9"/>
        <v>#N/A</v>
      </c>
      <c r="AP47" s="284">
        <f t="shared" si="41"/>
        <v>7</v>
      </c>
      <c r="AQ47" s="285" t="e">
        <f t="shared" si="10"/>
        <v>#N/A</v>
      </c>
      <c r="AR47" s="266" t="e">
        <f t="shared" si="42"/>
        <v>#N/A</v>
      </c>
      <c r="AS47" s="270" t="e">
        <f t="shared" si="11"/>
        <v>#N/A</v>
      </c>
      <c r="AT47" s="271">
        <f t="shared" si="43"/>
        <v>7</v>
      </c>
      <c r="AU47" s="272" t="e">
        <f t="shared" si="44"/>
        <v>#N/A</v>
      </c>
      <c r="AV47" s="273" t="e">
        <f t="shared" si="45"/>
        <v>#N/A</v>
      </c>
      <c r="AW47" s="274" t="e">
        <f t="shared" si="12"/>
        <v>#N/A</v>
      </c>
      <c r="AX47" s="232">
        <f t="shared" si="46"/>
        <v>7</v>
      </c>
      <c r="AY47" s="273" t="e">
        <f t="shared" si="13"/>
        <v>#N/A</v>
      </c>
      <c r="AZ47" s="232" t="e">
        <f t="shared" si="47"/>
        <v>#N/A</v>
      </c>
      <c r="BA47" s="232" t="e">
        <f t="shared" si="14"/>
        <v>#N/A</v>
      </c>
      <c r="BB47" s="275">
        <f t="shared" si="48"/>
        <v>7</v>
      </c>
      <c r="BC47" s="276" t="e">
        <f t="shared" si="49"/>
        <v>#N/A</v>
      </c>
      <c r="BD47" s="277" t="e">
        <f t="shared" si="50"/>
        <v>#N/A</v>
      </c>
      <c r="BE47" s="250" t="e">
        <f t="shared" si="15"/>
        <v>#N/A</v>
      </c>
      <c r="BF47" s="247">
        <f t="shared" si="51"/>
        <v>7</v>
      </c>
      <c r="BG47" s="276" t="e">
        <f t="shared" si="52"/>
        <v>#N/A</v>
      </c>
      <c r="BH47" s="277" t="e">
        <f t="shared" si="53"/>
        <v>#N/A</v>
      </c>
      <c r="BI47" s="250" t="e">
        <f t="shared" si="16"/>
        <v>#N/A</v>
      </c>
      <c r="BJ47" s="251">
        <f t="shared" si="54"/>
        <v>7</v>
      </c>
      <c r="BK47" s="278" t="e">
        <f t="shared" si="55"/>
        <v>#N/A</v>
      </c>
      <c r="BL47" s="278" t="e">
        <f t="shared" si="56"/>
        <v>#N/A</v>
      </c>
      <c r="BM47" s="279" t="e">
        <f t="shared" si="17"/>
        <v>#N/A</v>
      </c>
      <c r="BN47" s="280">
        <f t="shared" si="57"/>
        <v>7</v>
      </c>
      <c r="BO47" s="281" t="e">
        <f t="shared" si="58"/>
        <v>#N/A</v>
      </c>
      <c r="BP47" s="281" t="e">
        <f t="shared" si="59"/>
        <v>#N/A</v>
      </c>
      <c r="BQ47" s="279" t="e">
        <f t="shared" si="18"/>
        <v>#N/A</v>
      </c>
      <c r="BR47" s="282" t="e">
        <f t="shared" si="19"/>
        <v>#N/A</v>
      </c>
      <c r="BS47" s="217" t="e">
        <f>VLOOKUP($B47,SDR24_STOCK_BY_LA!$A$2:$C$11878,3,0)</f>
        <v>#N/A</v>
      </c>
      <c r="BT47" s="217" t="str">
        <f t="shared" si="60"/>
        <v/>
      </c>
    </row>
    <row r="48" spans="1:72" x14ac:dyDescent="0.2">
      <c r="A48" s="217" t="str">
        <f t="shared" si="61"/>
        <v/>
      </c>
      <c r="B48" s="217" t="str">
        <f t="shared" si="62"/>
        <v/>
      </c>
      <c r="C48" s="283" t="str">
        <f t="shared" si="20"/>
        <v/>
      </c>
      <c r="D48" s="256" t="str">
        <f>IF(B48="","",IF(totals!$Q$3=0,IFERROR(IF(AD48=2,"0",AE48),""),"-"))</f>
        <v/>
      </c>
      <c r="E48" s="258" t="str">
        <f t="shared" si="21"/>
        <v/>
      </c>
      <c r="F48" s="259" t="str">
        <f t="shared" si="22"/>
        <v/>
      </c>
      <c r="G48" s="259" t="str">
        <f t="shared" si="23"/>
        <v/>
      </c>
      <c r="H48" s="256" t="str">
        <f t="shared" si="1"/>
        <v/>
      </c>
      <c r="I48" s="259" t="str">
        <f t="shared" si="24"/>
        <v/>
      </c>
      <c r="J48" s="259" t="str">
        <f t="shared" si="25"/>
        <v/>
      </c>
      <c r="K48" s="256" t="str">
        <f t="shared" si="2"/>
        <v/>
      </c>
      <c r="L48" s="259" t="str">
        <f t="shared" si="3"/>
        <v/>
      </c>
      <c r="M48" s="259" t="str">
        <f t="shared" si="26"/>
        <v/>
      </c>
      <c r="N48" s="256" t="str">
        <f t="shared" si="27"/>
        <v/>
      </c>
      <c r="O48" s="259" t="str">
        <f t="shared" si="28"/>
        <v/>
      </c>
      <c r="P48" s="259" t="str">
        <f t="shared" si="29"/>
        <v/>
      </c>
      <c r="Q48" s="256" t="str">
        <f t="shared" si="30"/>
        <v/>
      </c>
      <c r="R48" s="259" t="str">
        <f t="shared" si="31"/>
        <v/>
      </c>
      <c r="S48" s="259" t="str">
        <f t="shared" si="32"/>
        <v/>
      </c>
      <c r="T48" s="256" t="str">
        <f t="shared" si="33"/>
        <v/>
      </c>
      <c r="U48" s="217"/>
      <c r="V48" s="217"/>
      <c r="AB48" s="217" t="e">
        <f>VLOOKUP($B$6,Lookup_Source,41,0)</f>
        <v>#N/A</v>
      </c>
      <c r="AC48" s="241" t="str">
        <f t="shared" si="34"/>
        <v/>
      </c>
      <c r="AD48" s="242">
        <f t="shared" si="35"/>
        <v>7</v>
      </c>
      <c r="AE48" s="261" t="e">
        <f t="shared" si="4"/>
        <v>#N/A</v>
      </c>
      <c r="AF48" s="264" t="e">
        <f t="shared" si="36"/>
        <v>#N/A</v>
      </c>
      <c r="AG48" s="264" t="e">
        <f t="shared" si="37"/>
        <v>#N/A</v>
      </c>
      <c r="AH48" s="263" t="e">
        <f t="shared" si="5"/>
        <v>#N/A</v>
      </c>
      <c r="AI48" s="226">
        <f t="shared" si="38"/>
        <v>7</v>
      </c>
      <c r="AJ48" s="264" t="e">
        <f t="shared" si="6"/>
        <v>#N/A</v>
      </c>
      <c r="AK48" s="264" t="e">
        <f t="shared" si="39"/>
        <v>#N/A</v>
      </c>
      <c r="AL48" s="226" t="e">
        <f t="shared" si="7"/>
        <v>#N/A</v>
      </c>
      <c r="AM48" s="265" t="e">
        <f t="shared" si="40"/>
        <v>#N/A</v>
      </c>
      <c r="AN48" s="266" t="e">
        <f t="shared" si="8"/>
        <v>#N/A</v>
      </c>
      <c r="AO48" s="227" t="e">
        <f t="shared" si="9"/>
        <v>#N/A</v>
      </c>
      <c r="AP48" s="284">
        <f t="shared" si="41"/>
        <v>7</v>
      </c>
      <c r="AQ48" s="285" t="e">
        <f t="shared" si="10"/>
        <v>#N/A</v>
      </c>
      <c r="AR48" s="266" t="e">
        <f t="shared" si="42"/>
        <v>#N/A</v>
      </c>
      <c r="AS48" s="270" t="e">
        <f t="shared" si="11"/>
        <v>#N/A</v>
      </c>
      <c r="AT48" s="271">
        <f t="shared" si="43"/>
        <v>7</v>
      </c>
      <c r="AU48" s="272" t="e">
        <f t="shared" si="44"/>
        <v>#N/A</v>
      </c>
      <c r="AV48" s="273" t="e">
        <f t="shared" si="45"/>
        <v>#N/A</v>
      </c>
      <c r="AW48" s="274" t="e">
        <f t="shared" si="12"/>
        <v>#N/A</v>
      </c>
      <c r="AX48" s="232">
        <f t="shared" si="46"/>
        <v>7</v>
      </c>
      <c r="AY48" s="273" t="e">
        <f t="shared" si="13"/>
        <v>#N/A</v>
      </c>
      <c r="AZ48" s="232" t="e">
        <f t="shared" si="47"/>
        <v>#N/A</v>
      </c>
      <c r="BA48" s="232" t="e">
        <f t="shared" si="14"/>
        <v>#N/A</v>
      </c>
      <c r="BB48" s="275">
        <f t="shared" si="48"/>
        <v>7</v>
      </c>
      <c r="BC48" s="276" t="e">
        <f t="shared" si="49"/>
        <v>#N/A</v>
      </c>
      <c r="BD48" s="277" t="e">
        <f t="shared" si="50"/>
        <v>#N/A</v>
      </c>
      <c r="BE48" s="250" t="e">
        <f t="shared" si="15"/>
        <v>#N/A</v>
      </c>
      <c r="BF48" s="247">
        <f t="shared" si="51"/>
        <v>7</v>
      </c>
      <c r="BG48" s="276" t="e">
        <f t="shared" si="52"/>
        <v>#N/A</v>
      </c>
      <c r="BH48" s="277" t="e">
        <f t="shared" si="53"/>
        <v>#N/A</v>
      </c>
      <c r="BI48" s="250" t="e">
        <f t="shared" si="16"/>
        <v>#N/A</v>
      </c>
      <c r="BJ48" s="251">
        <f t="shared" si="54"/>
        <v>7</v>
      </c>
      <c r="BK48" s="278" t="e">
        <f t="shared" si="55"/>
        <v>#N/A</v>
      </c>
      <c r="BL48" s="278" t="e">
        <f t="shared" si="56"/>
        <v>#N/A</v>
      </c>
      <c r="BM48" s="279" t="e">
        <f t="shared" si="17"/>
        <v>#N/A</v>
      </c>
      <c r="BN48" s="280">
        <f t="shared" si="57"/>
        <v>7</v>
      </c>
      <c r="BO48" s="281" t="e">
        <f t="shared" si="58"/>
        <v>#N/A</v>
      </c>
      <c r="BP48" s="281" t="e">
        <f t="shared" si="59"/>
        <v>#N/A</v>
      </c>
      <c r="BQ48" s="279" t="e">
        <f t="shared" si="18"/>
        <v>#N/A</v>
      </c>
      <c r="BR48" s="282" t="e">
        <f t="shared" si="19"/>
        <v>#N/A</v>
      </c>
      <c r="BS48" s="217" t="e">
        <f>VLOOKUP($B48,SDR24_STOCK_BY_LA!$A$2:$C$11878,3,0)</f>
        <v>#N/A</v>
      </c>
      <c r="BT48" s="217" t="str">
        <f t="shared" si="60"/>
        <v/>
      </c>
    </row>
    <row r="49" spans="1:72" x14ac:dyDescent="0.2">
      <c r="A49" s="256" t="str">
        <f t="shared" si="61"/>
        <v/>
      </c>
      <c r="B49" s="217" t="str">
        <f t="shared" si="62"/>
        <v/>
      </c>
      <c r="C49" s="257" t="str">
        <f t="shared" si="20"/>
        <v/>
      </c>
      <c r="D49" s="256" t="str">
        <f>IF(B49="","",IF(totals!$Q$3=0,IFERROR(IF(AD49=2,"0",AE49),""),"-"))</f>
        <v/>
      </c>
      <c r="E49" s="258" t="str">
        <f t="shared" si="21"/>
        <v/>
      </c>
      <c r="F49" s="259" t="str">
        <f t="shared" si="22"/>
        <v/>
      </c>
      <c r="G49" s="259" t="str">
        <f t="shared" si="23"/>
        <v/>
      </c>
      <c r="H49" s="256" t="str">
        <f t="shared" si="1"/>
        <v/>
      </c>
      <c r="I49" s="259" t="str">
        <f t="shared" si="24"/>
        <v/>
      </c>
      <c r="J49" s="259" t="str">
        <f t="shared" si="25"/>
        <v/>
      </c>
      <c r="K49" s="256" t="str">
        <f t="shared" si="2"/>
        <v/>
      </c>
      <c r="L49" s="259" t="str">
        <f t="shared" si="3"/>
        <v/>
      </c>
      <c r="M49" s="259" t="str">
        <f t="shared" si="26"/>
        <v/>
      </c>
      <c r="N49" s="256" t="str">
        <f t="shared" si="27"/>
        <v/>
      </c>
      <c r="O49" s="259" t="str">
        <f t="shared" si="28"/>
        <v/>
      </c>
      <c r="P49" s="259" t="str">
        <f t="shared" si="29"/>
        <v/>
      </c>
      <c r="Q49" s="256" t="str">
        <f t="shared" si="30"/>
        <v/>
      </c>
      <c r="R49" s="259" t="str">
        <f t="shared" si="31"/>
        <v/>
      </c>
      <c r="S49" s="259" t="str">
        <f t="shared" si="32"/>
        <v/>
      </c>
      <c r="T49" s="256" t="str">
        <f t="shared" si="33"/>
        <v/>
      </c>
      <c r="U49" s="217"/>
      <c r="V49" s="217"/>
      <c r="AB49" s="257" t="e">
        <f>VLOOKUP($B$6,Lookup_Source,42,0)</f>
        <v>#N/A</v>
      </c>
      <c r="AC49" s="241" t="str">
        <f t="shared" si="34"/>
        <v/>
      </c>
      <c r="AD49" s="242">
        <f t="shared" si="35"/>
        <v>7</v>
      </c>
      <c r="AE49" s="261" t="e">
        <f t="shared" si="4"/>
        <v>#N/A</v>
      </c>
      <c r="AF49" s="264" t="e">
        <f t="shared" si="36"/>
        <v>#N/A</v>
      </c>
      <c r="AG49" s="264" t="e">
        <f t="shared" si="37"/>
        <v>#N/A</v>
      </c>
      <c r="AH49" s="263" t="e">
        <f t="shared" si="5"/>
        <v>#N/A</v>
      </c>
      <c r="AI49" s="226">
        <f t="shared" si="38"/>
        <v>7</v>
      </c>
      <c r="AJ49" s="264" t="e">
        <f t="shared" si="6"/>
        <v>#N/A</v>
      </c>
      <c r="AK49" s="264" t="e">
        <f t="shared" si="39"/>
        <v>#N/A</v>
      </c>
      <c r="AL49" s="226" t="e">
        <f t="shared" si="7"/>
        <v>#N/A</v>
      </c>
      <c r="AM49" s="265" t="e">
        <f t="shared" si="40"/>
        <v>#N/A</v>
      </c>
      <c r="AN49" s="266" t="e">
        <f t="shared" si="8"/>
        <v>#N/A</v>
      </c>
      <c r="AO49" s="227" t="e">
        <f t="shared" si="9"/>
        <v>#N/A</v>
      </c>
      <c r="AP49" s="284">
        <f t="shared" si="41"/>
        <v>7</v>
      </c>
      <c r="AQ49" s="285" t="e">
        <f t="shared" si="10"/>
        <v>#N/A</v>
      </c>
      <c r="AR49" s="266" t="e">
        <f t="shared" si="42"/>
        <v>#N/A</v>
      </c>
      <c r="AS49" s="270" t="e">
        <f t="shared" si="11"/>
        <v>#N/A</v>
      </c>
      <c r="AT49" s="271">
        <f t="shared" si="43"/>
        <v>7</v>
      </c>
      <c r="AU49" s="272" t="e">
        <f t="shared" si="44"/>
        <v>#N/A</v>
      </c>
      <c r="AV49" s="273" t="e">
        <f t="shared" si="45"/>
        <v>#N/A</v>
      </c>
      <c r="AW49" s="274" t="e">
        <f t="shared" si="12"/>
        <v>#N/A</v>
      </c>
      <c r="AX49" s="232">
        <f t="shared" si="46"/>
        <v>7</v>
      </c>
      <c r="AY49" s="273" t="e">
        <f t="shared" si="13"/>
        <v>#N/A</v>
      </c>
      <c r="AZ49" s="232" t="e">
        <f t="shared" si="47"/>
        <v>#N/A</v>
      </c>
      <c r="BA49" s="232" t="e">
        <f t="shared" si="14"/>
        <v>#N/A</v>
      </c>
      <c r="BB49" s="275">
        <f t="shared" si="48"/>
        <v>7</v>
      </c>
      <c r="BC49" s="276" t="e">
        <f t="shared" si="49"/>
        <v>#N/A</v>
      </c>
      <c r="BD49" s="277" t="e">
        <f t="shared" si="50"/>
        <v>#N/A</v>
      </c>
      <c r="BE49" s="250" t="e">
        <f t="shared" si="15"/>
        <v>#N/A</v>
      </c>
      <c r="BF49" s="247">
        <f t="shared" si="51"/>
        <v>7</v>
      </c>
      <c r="BG49" s="276" t="e">
        <f t="shared" si="52"/>
        <v>#N/A</v>
      </c>
      <c r="BH49" s="277" t="e">
        <f t="shared" si="53"/>
        <v>#N/A</v>
      </c>
      <c r="BI49" s="250" t="e">
        <f t="shared" si="16"/>
        <v>#N/A</v>
      </c>
      <c r="BJ49" s="251">
        <f t="shared" si="54"/>
        <v>7</v>
      </c>
      <c r="BK49" s="278" t="e">
        <f t="shared" si="55"/>
        <v>#N/A</v>
      </c>
      <c r="BL49" s="278" t="e">
        <f t="shared" si="56"/>
        <v>#N/A</v>
      </c>
      <c r="BM49" s="279" t="e">
        <f t="shared" si="17"/>
        <v>#N/A</v>
      </c>
      <c r="BN49" s="280">
        <f t="shared" si="57"/>
        <v>7</v>
      </c>
      <c r="BO49" s="281" t="e">
        <f t="shared" si="58"/>
        <v>#N/A</v>
      </c>
      <c r="BP49" s="281" t="e">
        <f t="shared" si="59"/>
        <v>#N/A</v>
      </c>
      <c r="BQ49" s="279" t="e">
        <f t="shared" si="18"/>
        <v>#N/A</v>
      </c>
      <c r="BR49" s="282" t="e">
        <f t="shared" si="19"/>
        <v>#N/A</v>
      </c>
      <c r="BS49" s="217" t="e">
        <f>VLOOKUP($B49,SDR24_STOCK_BY_LA!$A$2:$C$11878,3,0)</f>
        <v>#N/A</v>
      </c>
      <c r="BT49" s="217" t="str">
        <f t="shared" si="60"/>
        <v/>
      </c>
    </row>
    <row r="50" spans="1:72" x14ac:dyDescent="0.2">
      <c r="A50" s="217" t="str">
        <f t="shared" si="61"/>
        <v/>
      </c>
      <c r="B50" s="217" t="str">
        <f t="shared" si="62"/>
        <v/>
      </c>
      <c r="C50" s="283" t="str">
        <f t="shared" si="20"/>
        <v/>
      </c>
      <c r="D50" s="256" t="str">
        <f>IF(B50="","",IF(totals!$Q$3=0,IFERROR(IF(AD50=2,"0",AE50),""),"-"))</f>
        <v/>
      </c>
      <c r="E50" s="258" t="str">
        <f t="shared" si="21"/>
        <v/>
      </c>
      <c r="F50" s="259" t="str">
        <f t="shared" si="22"/>
        <v/>
      </c>
      <c r="G50" s="259" t="str">
        <f t="shared" si="23"/>
        <v/>
      </c>
      <c r="H50" s="256" t="str">
        <f t="shared" si="1"/>
        <v/>
      </c>
      <c r="I50" s="259" t="str">
        <f t="shared" si="24"/>
        <v/>
      </c>
      <c r="J50" s="259" t="str">
        <f t="shared" si="25"/>
        <v/>
      </c>
      <c r="K50" s="256" t="str">
        <f t="shared" si="2"/>
        <v/>
      </c>
      <c r="L50" s="259" t="str">
        <f t="shared" si="3"/>
        <v/>
      </c>
      <c r="M50" s="259" t="str">
        <f t="shared" si="26"/>
        <v/>
      </c>
      <c r="N50" s="256" t="str">
        <f t="shared" si="27"/>
        <v/>
      </c>
      <c r="O50" s="259" t="str">
        <f t="shared" si="28"/>
        <v/>
      </c>
      <c r="P50" s="259" t="str">
        <f t="shared" si="29"/>
        <v/>
      </c>
      <c r="Q50" s="256" t="str">
        <f t="shared" si="30"/>
        <v/>
      </c>
      <c r="R50" s="259" t="str">
        <f t="shared" si="31"/>
        <v/>
      </c>
      <c r="S50" s="259" t="str">
        <f t="shared" si="32"/>
        <v/>
      </c>
      <c r="T50" s="256" t="str">
        <f t="shared" si="33"/>
        <v/>
      </c>
      <c r="U50" s="217"/>
      <c r="V50" s="217"/>
      <c r="AB50" s="217" t="e">
        <f>VLOOKUP($B$6,Lookup_Source,43,0)</f>
        <v>#N/A</v>
      </c>
      <c r="AC50" s="241" t="str">
        <f t="shared" si="34"/>
        <v/>
      </c>
      <c r="AD50" s="242">
        <f t="shared" si="35"/>
        <v>7</v>
      </c>
      <c r="AE50" s="261" t="e">
        <f t="shared" si="4"/>
        <v>#N/A</v>
      </c>
      <c r="AF50" s="264" t="e">
        <f t="shared" si="36"/>
        <v>#N/A</v>
      </c>
      <c r="AG50" s="264" t="e">
        <f t="shared" si="37"/>
        <v>#N/A</v>
      </c>
      <c r="AH50" s="263" t="e">
        <f t="shared" si="5"/>
        <v>#N/A</v>
      </c>
      <c r="AI50" s="226">
        <f t="shared" si="38"/>
        <v>7</v>
      </c>
      <c r="AJ50" s="264" t="e">
        <f t="shared" si="6"/>
        <v>#N/A</v>
      </c>
      <c r="AK50" s="264" t="e">
        <f t="shared" si="39"/>
        <v>#N/A</v>
      </c>
      <c r="AL50" s="226" t="e">
        <f t="shared" si="7"/>
        <v>#N/A</v>
      </c>
      <c r="AM50" s="265" t="e">
        <f t="shared" si="40"/>
        <v>#N/A</v>
      </c>
      <c r="AN50" s="266" t="e">
        <f t="shared" si="8"/>
        <v>#N/A</v>
      </c>
      <c r="AO50" s="227" t="e">
        <f t="shared" si="9"/>
        <v>#N/A</v>
      </c>
      <c r="AP50" s="284">
        <f t="shared" si="41"/>
        <v>7</v>
      </c>
      <c r="AQ50" s="285" t="e">
        <f t="shared" si="10"/>
        <v>#N/A</v>
      </c>
      <c r="AR50" s="266" t="e">
        <f t="shared" si="42"/>
        <v>#N/A</v>
      </c>
      <c r="AS50" s="270" t="e">
        <f t="shared" si="11"/>
        <v>#N/A</v>
      </c>
      <c r="AT50" s="271">
        <f t="shared" si="43"/>
        <v>7</v>
      </c>
      <c r="AU50" s="272" t="e">
        <f t="shared" si="44"/>
        <v>#N/A</v>
      </c>
      <c r="AV50" s="273" t="e">
        <f t="shared" si="45"/>
        <v>#N/A</v>
      </c>
      <c r="AW50" s="274" t="e">
        <f t="shared" si="12"/>
        <v>#N/A</v>
      </c>
      <c r="AX50" s="232">
        <f t="shared" si="46"/>
        <v>7</v>
      </c>
      <c r="AY50" s="273" t="e">
        <f t="shared" si="13"/>
        <v>#N/A</v>
      </c>
      <c r="AZ50" s="232" t="e">
        <f t="shared" si="47"/>
        <v>#N/A</v>
      </c>
      <c r="BA50" s="232" t="e">
        <f t="shared" si="14"/>
        <v>#N/A</v>
      </c>
      <c r="BB50" s="275">
        <f t="shared" si="48"/>
        <v>7</v>
      </c>
      <c r="BC50" s="276" t="e">
        <f t="shared" si="49"/>
        <v>#N/A</v>
      </c>
      <c r="BD50" s="277" t="e">
        <f t="shared" si="50"/>
        <v>#N/A</v>
      </c>
      <c r="BE50" s="250" t="e">
        <f t="shared" si="15"/>
        <v>#N/A</v>
      </c>
      <c r="BF50" s="247">
        <f t="shared" si="51"/>
        <v>7</v>
      </c>
      <c r="BG50" s="276" t="e">
        <f t="shared" si="52"/>
        <v>#N/A</v>
      </c>
      <c r="BH50" s="277" t="e">
        <f t="shared" si="53"/>
        <v>#N/A</v>
      </c>
      <c r="BI50" s="250" t="e">
        <f t="shared" si="16"/>
        <v>#N/A</v>
      </c>
      <c r="BJ50" s="251">
        <f t="shared" si="54"/>
        <v>7</v>
      </c>
      <c r="BK50" s="278" t="e">
        <f t="shared" si="55"/>
        <v>#N/A</v>
      </c>
      <c r="BL50" s="278" t="e">
        <f t="shared" si="56"/>
        <v>#N/A</v>
      </c>
      <c r="BM50" s="279" t="e">
        <f t="shared" si="17"/>
        <v>#N/A</v>
      </c>
      <c r="BN50" s="280">
        <f t="shared" si="57"/>
        <v>7</v>
      </c>
      <c r="BO50" s="281" t="e">
        <f t="shared" si="58"/>
        <v>#N/A</v>
      </c>
      <c r="BP50" s="281" t="e">
        <f t="shared" si="59"/>
        <v>#N/A</v>
      </c>
      <c r="BQ50" s="279" t="e">
        <f t="shared" si="18"/>
        <v>#N/A</v>
      </c>
      <c r="BR50" s="282" t="e">
        <f t="shared" si="19"/>
        <v>#N/A</v>
      </c>
      <c r="BS50" s="217" t="e">
        <f>VLOOKUP($B50,SDR24_STOCK_BY_LA!$A$2:$C$11878,3,0)</f>
        <v>#N/A</v>
      </c>
      <c r="BT50" s="217" t="str">
        <f t="shared" si="60"/>
        <v/>
      </c>
    </row>
    <row r="51" spans="1:72" x14ac:dyDescent="0.2">
      <c r="A51" s="256" t="str">
        <f t="shared" si="61"/>
        <v/>
      </c>
      <c r="B51" s="217" t="str">
        <f t="shared" si="62"/>
        <v/>
      </c>
      <c r="C51" s="257" t="str">
        <f t="shared" si="20"/>
        <v/>
      </c>
      <c r="D51" s="256" t="str">
        <f>IF(B51="","",IF(totals!$Q$3=0,IFERROR(IF(AD51=2,"0",AE51),""),"-"))</f>
        <v/>
      </c>
      <c r="E51" s="258" t="str">
        <f t="shared" si="21"/>
        <v/>
      </c>
      <c r="F51" s="259" t="str">
        <f t="shared" si="22"/>
        <v/>
      </c>
      <c r="G51" s="259" t="str">
        <f t="shared" si="23"/>
        <v/>
      </c>
      <c r="H51" s="256" t="str">
        <f t="shared" si="1"/>
        <v/>
      </c>
      <c r="I51" s="259" t="str">
        <f t="shared" si="24"/>
        <v/>
      </c>
      <c r="J51" s="259" t="str">
        <f t="shared" si="25"/>
        <v/>
      </c>
      <c r="K51" s="256" t="str">
        <f t="shared" si="2"/>
        <v/>
      </c>
      <c r="L51" s="259" t="str">
        <f t="shared" si="3"/>
        <v/>
      </c>
      <c r="M51" s="259" t="str">
        <f t="shared" si="26"/>
        <v/>
      </c>
      <c r="N51" s="256" t="str">
        <f t="shared" si="27"/>
        <v/>
      </c>
      <c r="O51" s="259" t="str">
        <f t="shared" si="28"/>
        <v/>
      </c>
      <c r="P51" s="259" t="str">
        <f t="shared" si="29"/>
        <v/>
      </c>
      <c r="Q51" s="256" t="str">
        <f t="shared" si="30"/>
        <v/>
      </c>
      <c r="R51" s="259" t="str">
        <f t="shared" si="31"/>
        <v/>
      </c>
      <c r="S51" s="259" t="str">
        <f t="shared" si="32"/>
        <v/>
      </c>
      <c r="T51" s="256" t="str">
        <f t="shared" si="33"/>
        <v/>
      </c>
      <c r="U51" s="217"/>
      <c r="V51" s="217"/>
      <c r="AB51" s="257" t="e">
        <f>VLOOKUP($B$6,Lookup_Source,44,0)</f>
        <v>#N/A</v>
      </c>
      <c r="AC51" s="241" t="str">
        <f t="shared" si="34"/>
        <v/>
      </c>
      <c r="AD51" s="242">
        <f t="shared" si="35"/>
        <v>7</v>
      </c>
      <c r="AE51" s="261" t="e">
        <f t="shared" si="4"/>
        <v>#N/A</v>
      </c>
      <c r="AF51" s="264" t="e">
        <f t="shared" si="36"/>
        <v>#N/A</v>
      </c>
      <c r="AG51" s="264" t="e">
        <f t="shared" si="37"/>
        <v>#N/A</v>
      </c>
      <c r="AH51" s="263" t="e">
        <f t="shared" si="5"/>
        <v>#N/A</v>
      </c>
      <c r="AI51" s="226">
        <f t="shared" si="38"/>
        <v>7</v>
      </c>
      <c r="AJ51" s="264" t="e">
        <f t="shared" si="6"/>
        <v>#N/A</v>
      </c>
      <c r="AK51" s="264" t="e">
        <f t="shared" si="39"/>
        <v>#N/A</v>
      </c>
      <c r="AL51" s="226" t="e">
        <f t="shared" si="7"/>
        <v>#N/A</v>
      </c>
      <c r="AM51" s="265" t="e">
        <f t="shared" si="40"/>
        <v>#N/A</v>
      </c>
      <c r="AN51" s="266" t="e">
        <f t="shared" si="8"/>
        <v>#N/A</v>
      </c>
      <c r="AO51" s="227" t="e">
        <f t="shared" si="9"/>
        <v>#N/A</v>
      </c>
      <c r="AP51" s="284">
        <f t="shared" si="41"/>
        <v>7</v>
      </c>
      <c r="AQ51" s="285" t="e">
        <f t="shared" si="10"/>
        <v>#N/A</v>
      </c>
      <c r="AR51" s="266" t="e">
        <f t="shared" si="42"/>
        <v>#N/A</v>
      </c>
      <c r="AS51" s="270" t="e">
        <f t="shared" si="11"/>
        <v>#N/A</v>
      </c>
      <c r="AT51" s="271">
        <f t="shared" si="43"/>
        <v>7</v>
      </c>
      <c r="AU51" s="272" t="e">
        <f t="shared" si="44"/>
        <v>#N/A</v>
      </c>
      <c r="AV51" s="273" t="e">
        <f t="shared" si="45"/>
        <v>#N/A</v>
      </c>
      <c r="AW51" s="274" t="e">
        <f t="shared" si="12"/>
        <v>#N/A</v>
      </c>
      <c r="AX51" s="232">
        <f t="shared" si="46"/>
        <v>7</v>
      </c>
      <c r="AY51" s="273" t="e">
        <f t="shared" si="13"/>
        <v>#N/A</v>
      </c>
      <c r="AZ51" s="232" t="e">
        <f t="shared" si="47"/>
        <v>#N/A</v>
      </c>
      <c r="BA51" s="232" t="e">
        <f t="shared" si="14"/>
        <v>#N/A</v>
      </c>
      <c r="BB51" s="275">
        <f t="shared" si="48"/>
        <v>7</v>
      </c>
      <c r="BC51" s="276" t="e">
        <f t="shared" si="49"/>
        <v>#N/A</v>
      </c>
      <c r="BD51" s="277" t="e">
        <f t="shared" si="50"/>
        <v>#N/A</v>
      </c>
      <c r="BE51" s="250" t="e">
        <f t="shared" si="15"/>
        <v>#N/A</v>
      </c>
      <c r="BF51" s="247">
        <f t="shared" si="51"/>
        <v>7</v>
      </c>
      <c r="BG51" s="276" t="e">
        <f t="shared" si="52"/>
        <v>#N/A</v>
      </c>
      <c r="BH51" s="277" t="e">
        <f t="shared" si="53"/>
        <v>#N/A</v>
      </c>
      <c r="BI51" s="250" t="e">
        <f t="shared" si="16"/>
        <v>#N/A</v>
      </c>
      <c r="BJ51" s="251">
        <f t="shared" si="54"/>
        <v>7</v>
      </c>
      <c r="BK51" s="278" t="e">
        <f t="shared" si="55"/>
        <v>#N/A</v>
      </c>
      <c r="BL51" s="278" t="e">
        <f t="shared" si="56"/>
        <v>#N/A</v>
      </c>
      <c r="BM51" s="279" t="e">
        <f t="shared" si="17"/>
        <v>#N/A</v>
      </c>
      <c r="BN51" s="280">
        <f t="shared" si="57"/>
        <v>7</v>
      </c>
      <c r="BO51" s="281" t="e">
        <f t="shared" si="58"/>
        <v>#N/A</v>
      </c>
      <c r="BP51" s="281" t="e">
        <f t="shared" si="59"/>
        <v>#N/A</v>
      </c>
      <c r="BQ51" s="279" t="e">
        <f t="shared" si="18"/>
        <v>#N/A</v>
      </c>
      <c r="BR51" s="282" t="e">
        <f t="shared" si="19"/>
        <v>#N/A</v>
      </c>
      <c r="BS51" s="217" t="e">
        <f>VLOOKUP($B51,SDR24_STOCK_BY_LA!$A$2:$C$11878,3,0)</f>
        <v>#N/A</v>
      </c>
      <c r="BT51" s="217" t="str">
        <f t="shared" si="60"/>
        <v/>
      </c>
    </row>
    <row r="52" spans="1:72" x14ac:dyDescent="0.2">
      <c r="A52" s="217" t="str">
        <f t="shared" si="61"/>
        <v/>
      </c>
      <c r="B52" s="217" t="str">
        <f t="shared" si="62"/>
        <v/>
      </c>
      <c r="C52" s="283" t="str">
        <f t="shared" si="20"/>
        <v/>
      </c>
      <c r="D52" s="256" t="str">
        <f>IF(B52="","",IF(totals!$Q$3=0,IFERROR(IF(AD52=2,"0",AE52),""),"-"))</f>
        <v/>
      </c>
      <c r="E52" s="258" t="str">
        <f t="shared" si="21"/>
        <v/>
      </c>
      <c r="F52" s="259" t="str">
        <f t="shared" si="22"/>
        <v/>
      </c>
      <c r="G52" s="259" t="str">
        <f t="shared" si="23"/>
        <v/>
      </c>
      <c r="H52" s="256" t="str">
        <f t="shared" si="1"/>
        <v/>
      </c>
      <c r="I52" s="259" t="str">
        <f t="shared" si="24"/>
        <v/>
      </c>
      <c r="J52" s="259" t="str">
        <f t="shared" si="25"/>
        <v/>
      </c>
      <c r="K52" s="256" t="str">
        <f t="shared" si="2"/>
        <v/>
      </c>
      <c r="L52" s="259" t="str">
        <f t="shared" si="3"/>
        <v/>
      </c>
      <c r="M52" s="259" t="str">
        <f t="shared" si="26"/>
        <v/>
      </c>
      <c r="N52" s="256" t="str">
        <f t="shared" si="27"/>
        <v/>
      </c>
      <c r="O52" s="259" t="str">
        <f t="shared" si="28"/>
        <v/>
      </c>
      <c r="P52" s="259" t="str">
        <f t="shared" si="29"/>
        <v/>
      </c>
      <c r="Q52" s="256" t="str">
        <f t="shared" si="30"/>
        <v/>
      </c>
      <c r="R52" s="259" t="str">
        <f t="shared" si="31"/>
        <v/>
      </c>
      <c r="S52" s="259" t="str">
        <f t="shared" si="32"/>
        <v/>
      </c>
      <c r="T52" s="256" t="str">
        <f t="shared" si="33"/>
        <v/>
      </c>
      <c r="U52" s="217"/>
      <c r="V52" s="217"/>
      <c r="AB52" s="217" t="e">
        <f>VLOOKUP($B$6,Lookup_Source,45,0)</f>
        <v>#N/A</v>
      </c>
      <c r="AC52" s="241" t="str">
        <f t="shared" si="34"/>
        <v/>
      </c>
      <c r="AD52" s="242">
        <f t="shared" si="35"/>
        <v>7</v>
      </c>
      <c r="AE52" s="261" t="e">
        <f t="shared" si="4"/>
        <v>#N/A</v>
      </c>
      <c r="AF52" s="264" t="e">
        <f t="shared" si="36"/>
        <v>#N/A</v>
      </c>
      <c r="AG52" s="264" t="e">
        <f t="shared" si="37"/>
        <v>#N/A</v>
      </c>
      <c r="AH52" s="263" t="e">
        <f t="shared" si="5"/>
        <v>#N/A</v>
      </c>
      <c r="AI52" s="226">
        <f t="shared" si="38"/>
        <v>7</v>
      </c>
      <c r="AJ52" s="264" t="e">
        <f t="shared" si="6"/>
        <v>#N/A</v>
      </c>
      <c r="AK52" s="264" t="e">
        <f t="shared" si="39"/>
        <v>#N/A</v>
      </c>
      <c r="AL52" s="226" t="e">
        <f t="shared" si="7"/>
        <v>#N/A</v>
      </c>
      <c r="AM52" s="265" t="e">
        <f t="shared" si="40"/>
        <v>#N/A</v>
      </c>
      <c r="AN52" s="266" t="e">
        <f t="shared" si="8"/>
        <v>#N/A</v>
      </c>
      <c r="AO52" s="227" t="e">
        <f t="shared" si="9"/>
        <v>#N/A</v>
      </c>
      <c r="AP52" s="284">
        <f t="shared" si="41"/>
        <v>7</v>
      </c>
      <c r="AQ52" s="285" t="e">
        <f t="shared" si="10"/>
        <v>#N/A</v>
      </c>
      <c r="AR52" s="266" t="e">
        <f t="shared" si="42"/>
        <v>#N/A</v>
      </c>
      <c r="AS52" s="270" t="e">
        <f t="shared" si="11"/>
        <v>#N/A</v>
      </c>
      <c r="AT52" s="271">
        <f t="shared" si="43"/>
        <v>7</v>
      </c>
      <c r="AU52" s="272" t="e">
        <f t="shared" si="44"/>
        <v>#N/A</v>
      </c>
      <c r="AV52" s="273" t="e">
        <f t="shared" si="45"/>
        <v>#N/A</v>
      </c>
      <c r="AW52" s="274" t="e">
        <f t="shared" si="12"/>
        <v>#N/A</v>
      </c>
      <c r="AX52" s="232">
        <f t="shared" si="46"/>
        <v>7</v>
      </c>
      <c r="AY52" s="273" t="e">
        <f t="shared" si="13"/>
        <v>#N/A</v>
      </c>
      <c r="AZ52" s="232" t="e">
        <f t="shared" si="47"/>
        <v>#N/A</v>
      </c>
      <c r="BA52" s="232" t="e">
        <f t="shared" si="14"/>
        <v>#N/A</v>
      </c>
      <c r="BB52" s="275">
        <f t="shared" si="48"/>
        <v>7</v>
      </c>
      <c r="BC52" s="276" t="e">
        <f t="shared" si="49"/>
        <v>#N/A</v>
      </c>
      <c r="BD52" s="277" t="e">
        <f t="shared" si="50"/>
        <v>#N/A</v>
      </c>
      <c r="BE52" s="250" t="e">
        <f t="shared" si="15"/>
        <v>#N/A</v>
      </c>
      <c r="BF52" s="247">
        <f t="shared" si="51"/>
        <v>7</v>
      </c>
      <c r="BG52" s="276" t="e">
        <f t="shared" si="52"/>
        <v>#N/A</v>
      </c>
      <c r="BH52" s="277" t="e">
        <f t="shared" si="53"/>
        <v>#N/A</v>
      </c>
      <c r="BI52" s="250" t="e">
        <f t="shared" si="16"/>
        <v>#N/A</v>
      </c>
      <c r="BJ52" s="251">
        <f t="shared" si="54"/>
        <v>7</v>
      </c>
      <c r="BK52" s="278" t="e">
        <f t="shared" si="55"/>
        <v>#N/A</v>
      </c>
      <c r="BL52" s="278" t="e">
        <f t="shared" si="56"/>
        <v>#N/A</v>
      </c>
      <c r="BM52" s="279" t="e">
        <f t="shared" si="17"/>
        <v>#N/A</v>
      </c>
      <c r="BN52" s="280">
        <f t="shared" si="57"/>
        <v>7</v>
      </c>
      <c r="BO52" s="281" t="e">
        <f t="shared" si="58"/>
        <v>#N/A</v>
      </c>
      <c r="BP52" s="281" t="e">
        <f t="shared" si="59"/>
        <v>#N/A</v>
      </c>
      <c r="BQ52" s="279" t="e">
        <f t="shared" si="18"/>
        <v>#N/A</v>
      </c>
      <c r="BR52" s="282" t="e">
        <f t="shared" si="19"/>
        <v>#N/A</v>
      </c>
      <c r="BS52" s="217" t="e">
        <f>VLOOKUP($B52,SDR24_STOCK_BY_LA!$A$2:$C$11878,3,0)</f>
        <v>#N/A</v>
      </c>
      <c r="BT52" s="217" t="str">
        <f t="shared" si="60"/>
        <v/>
      </c>
    </row>
    <row r="53" spans="1:72" x14ac:dyDescent="0.2">
      <c r="A53" s="256" t="str">
        <f t="shared" si="61"/>
        <v/>
      </c>
      <c r="B53" s="217" t="str">
        <f t="shared" si="62"/>
        <v/>
      </c>
      <c r="C53" s="257" t="str">
        <f t="shared" si="20"/>
        <v/>
      </c>
      <c r="D53" s="256" t="str">
        <f>IF(B53="","",IF(totals!$Q$3=0,IFERROR(IF(AD53=2,"0",AE53),""),"-"))</f>
        <v/>
      </c>
      <c r="E53" s="258" t="str">
        <f t="shared" si="21"/>
        <v/>
      </c>
      <c r="F53" s="259" t="str">
        <f t="shared" si="22"/>
        <v/>
      </c>
      <c r="G53" s="259" t="str">
        <f t="shared" si="23"/>
        <v/>
      </c>
      <c r="H53" s="256" t="str">
        <f t="shared" si="1"/>
        <v/>
      </c>
      <c r="I53" s="259" t="str">
        <f t="shared" si="24"/>
        <v/>
      </c>
      <c r="J53" s="259" t="str">
        <f t="shared" si="25"/>
        <v/>
      </c>
      <c r="K53" s="256" t="str">
        <f t="shared" si="2"/>
        <v/>
      </c>
      <c r="L53" s="259" t="str">
        <f t="shared" si="3"/>
        <v/>
      </c>
      <c r="M53" s="259" t="str">
        <f t="shared" si="26"/>
        <v/>
      </c>
      <c r="N53" s="256" t="str">
        <f t="shared" si="27"/>
        <v/>
      </c>
      <c r="O53" s="259" t="str">
        <f t="shared" si="28"/>
        <v/>
      </c>
      <c r="P53" s="259" t="str">
        <f t="shared" si="29"/>
        <v/>
      </c>
      <c r="Q53" s="256" t="str">
        <f t="shared" si="30"/>
        <v/>
      </c>
      <c r="R53" s="259" t="str">
        <f t="shared" si="31"/>
        <v/>
      </c>
      <c r="S53" s="259" t="str">
        <f t="shared" si="32"/>
        <v/>
      </c>
      <c r="T53" s="256" t="str">
        <f t="shared" si="33"/>
        <v/>
      </c>
      <c r="U53" s="217"/>
      <c r="V53" s="217"/>
      <c r="AB53" s="257" t="e">
        <f>VLOOKUP($B$6,Lookup_Source,46,0)</f>
        <v>#N/A</v>
      </c>
      <c r="AC53" s="241" t="str">
        <f t="shared" si="34"/>
        <v/>
      </c>
      <c r="AD53" s="242">
        <f t="shared" si="35"/>
        <v>7</v>
      </c>
      <c r="AE53" s="261" t="e">
        <f t="shared" si="4"/>
        <v>#N/A</v>
      </c>
      <c r="AF53" s="264" t="e">
        <f t="shared" si="36"/>
        <v>#N/A</v>
      </c>
      <c r="AG53" s="264" t="e">
        <f t="shared" si="37"/>
        <v>#N/A</v>
      </c>
      <c r="AH53" s="263" t="e">
        <f t="shared" si="5"/>
        <v>#N/A</v>
      </c>
      <c r="AI53" s="226">
        <f t="shared" si="38"/>
        <v>7</v>
      </c>
      <c r="AJ53" s="264" t="e">
        <f t="shared" si="6"/>
        <v>#N/A</v>
      </c>
      <c r="AK53" s="264" t="e">
        <f t="shared" si="39"/>
        <v>#N/A</v>
      </c>
      <c r="AL53" s="226" t="e">
        <f t="shared" si="7"/>
        <v>#N/A</v>
      </c>
      <c r="AM53" s="265" t="e">
        <f t="shared" si="40"/>
        <v>#N/A</v>
      </c>
      <c r="AN53" s="266" t="e">
        <f t="shared" si="8"/>
        <v>#N/A</v>
      </c>
      <c r="AO53" s="227" t="e">
        <f t="shared" si="9"/>
        <v>#N/A</v>
      </c>
      <c r="AP53" s="284">
        <f t="shared" si="41"/>
        <v>7</v>
      </c>
      <c r="AQ53" s="285" t="e">
        <f t="shared" si="10"/>
        <v>#N/A</v>
      </c>
      <c r="AR53" s="266" t="e">
        <f t="shared" si="42"/>
        <v>#N/A</v>
      </c>
      <c r="AS53" s="270" t="e">
        <f t="shared" si="11"/>
        <v>#N/A</v>
      </c>
      <c r="AT53" s="271">
        <f t="shared" si="43"/>
        <v>7</v>
      </c>
      <c r="AU53" s="272" t="e">
        <f t="shared" si="44"/>
        <v>#N/A</v>
      </c>
      <c r="AV53" s="273" t="e">
        <f t="shared" si="45"/>
        <v>#N/A</v>
      </c>
      <c r="AW53" s="274" t="e">
        <f t="shared" si="12"/>
        <v>#N/A</v>
      </c>
      <c r="AX53" s="232">
        <f t="shared" si="46"/>
        <v>7</v>
      </c>
      <c r="AY53" s="273" t="e">
        <f t="shared" si="13"/>
        <v>#N/A</v>
      </c>
      <c r="AZ53" s="232" t="e">
        <f t="shared" si="47"/>
        <v>#N/A</v>
      </c>
      <c r="BA53" s="232" t="e">
        <f t="shared" si="14"/>
        <v>#N/A</v>
      </c>
      <c r="BB53" s="275">
        <f t="shared" si="48"/>
        <v>7</v>
      </c>
      <c r="BC53" s="276" t="e">
        <f t="shared" si="49"/>
        <v>#N/A</v>
      </c>
      <c r="BD53" s="277" t="e">
        <f t="shared" si="50"/>
        <v>#N/A</v>
      </c>
      <c r="BE53" s="250" t="e">
        <f t="shared" si="15"/>
        <v>#N/A</v>
      </c>
      <c r="BF53" s="247">
        <f t="shared" si="51"/>
        <v>7</v>
      </c>
      <c r="BG53" s="276" t="e">
        <f t="shared" si="52"/>
        <v>#N/A</v>
      </c>
      <c r="BH53" s="277" t="e">
        <f t="shared" si="53"/>
        <v>#N/A</v>
      </c>
      <c r="BI53" s="250" t="e">
        <f t="shared" si="16"/>
        <v>#N/A</v>
      </c>
      <c r="BJ53" s="251">
        <f t="shared" si="54"/>
        <v>7</v>
      </c>
      <c r="BK53" s="278" t="e">
        <f t="shared" si="55"/>
        <v>#N/A</v>
      </c>
      <c r="BL53" s="278" t="e">
        <f t="shared" si="56"/>
        <v>#N/A</v>
      </c>
      <c r="BM53" s="279" t="e">
        <f t="shared" si="17"/>
        <v>#N/A</v>
      </c>
      <c r="BN53" s="280">
        <f t="shared" si="57"/>
        <v>7</v>
      </c>
      <c r="BO53" s="281" t="e">
        <f t="shared" si="58"/>
        <v>#N/A</v>
      </c>
      <c r="BP53" s="281" t="e">
        <f t="shared" si="59"/>
        <v>#N/A</v>
      </c>
      <c r="BQ53" s="279" t="e">
        <f t="shared" si="18"/>
        <v>#N/A</v>
      </c>
      <c r="BR53" s="282" t="e">
        <f t="shared" si="19"/>
        <v>#N/A</v>
      </c>
      <c r="BS53" s="217" t="e">
        <f>VLOOKUP($B53,SDR24_STOCK_BY_LA!$A$2:$C$11878,3,0)</f>
        <v>#N/A</v>
      </c>
      <c r="BT53" s="217" t="str">
        <f t="shared" si="60"/>
        <v/>
      </c>
    </row>
    <row r="54" spans="1:72" x14ac:dyDescent="0.2">
      <c r="A54" s="217" t="str">
        <f t="shared" si="61"/>
        <v/>
      </c>
      <c r="B54" s="217" t="str">
        <f t="shared" si="62"/>
        <v/>
      </c>
      <c r="C54" s="283" t="str">
        <f t="shared" si="20"/>
        <v/>
      </c>
      <c r="D54" s="256" t="str">
        <f>IF(B54="","",IF(totals!$Q$3=0,IFERROR(IF(AD54=2,"0",AE54),""),"-"))</f>
        <v/>
      </c>
      <c r="E54" s="258" t="str">
        <f t="shared" si="21"/>
        <v/>
      </c>
      <c r="F54" s="259" t="str">
        <f t="shared" si="22"/>
        <v/>
      </c>
      <c r="G54" s="259" t="str">
        <f t="shared" si="23"/>
        <v/>
      </c>
      <c r="H54" s="256" t="str">
        <f t="shared" si="1"/>
        <v/>
      </c>
      <c r="I54" s="259" t="str">
        <f t="shared" si="24"/>
        <v/>
      </c>
      <c r="J54" s="259" t="str">
        <f t="shared" si="25"/>
        <v/>
      </c>
      <c r="K54" s="256" t="str">
        <f t="shared" si="2"/>
        <v/>
      </c>
      <c r="L54" s="259" t="str">
        <f t="shared" si="3"/>
        <v/>
      </c>
      <c r="M54" s="259" t="str">
        <f t="shared" si="26"/>
        <v/>
      </c>
      <c r="N54" s="256" t="str">
        <f t="shared" si="27"/>
        <v/>
      </c>
      <c r="O54" s="259" t="str">
        <f t="shared" si="28"/>
        <v/>
      </c>
      <c r="P54" s="259" t="str">
        <f t="shared" si="29"/>
        <v/>
      </c>
      <c r="Q54" s="256" t="str">
        <f t="shared" si="30"/>
        <v/>
      </c>
      <c r="R54" s="259" t="str">
        <f t="shared" si="31"/>
        <v/>
      </c>
      <c r="S54" s="259" t="str">
        <f t="shared" si="32"/>
        <v/>
      </c>
      <c r="T54" s="256" t="str">
        <f t="shared" si="33"/>
        <v/>
      </c>
      <c r="U54" s="217"/>
      <c r="V54" s="217"/>
      <c r="AB54" s="217" t="e">
        <f>VLOOKUP($B$6,Lookup_Source,47,0)</f>
        <v>#N/A</v>
      </c>
      <c r="AC54" s="241" t="str">
        <f t="shared" si="34"/>
        <v/>
      </c>
      <c r="AD54" s="242">
        <f t="shared" si="35"/>
        <v>7</v>
      </c>
      <c r="AE54" s="261" t="e">
        <f t="shared" si="4"/>
        <v>#N/A</v>
      </c>
      <c r="AF54" s="264" t="e">
        <f t="shared" si="36"/>
        <v>#N/A</v>
      </c>
      <c r="AG54" s="264" t="e">
        <f t="shared" si="37"/>
        <v>#N/A</v>
      </c>
      <c r="AH54" s="263" t="e">
        <f t="shared" si="5"/>
        <v>#N/A</v>
      </c>
      <c r="AI54" s="226">
        <f t="shared" si="38"/>
        <v>7</v>
      </c>
      <c r="AJ54" s="264" t="e">
        <f t="shared" si="6"/>
        <v>#N/A</v>
      </c>
      <c r="AK54" s="264" t="e">
        <f t="shared" si="39"/>
        <v>#N/A</v>
      </c>
      <c r="AL54" s="226" t="e">
        <f t="shared" si="7"/>
        <v>#N/A</v>
      </c>
      <c r="AM54" s="265" t="e">
        <f t="shared" si="40"/>
        <v>#N/A</v>
      </c>
      <c r="AN54" s="266" t="e">
        <f t="shared" si="8"/>
        <v>#N/A</v>
      </c>
      <c r="AO54" s="227" t="e">
        <f t="shared" si="9"/>
        <v>#N/A</v>
      </c>
      <c r="AP54" s="284">
        <f t="shared" si="41"/>
        <v>7</v>
      </c>
      <c r="AQ54" s="285" t="e">
        <f t="shared" si="10"/>
        <v>#N/A</v>
      </c>
      <c r="AR54" s="266" t="e">
        <f t="shared" si="42"/>
        <v>#N/A</v>
      </c>
      <c r="AS54" s="270" t="e">
        <f t="shared" si="11"/>
        <v>#N/A</v>
      </c>
      <c r="AT54" s="271">
        <f t="shared" si="43"/>
        <v>7</v>
      </c>
      <c r="AU54" s="272" t="e">
        <f t="shared" si="44"/>
        <v>#N/A</v>
      </c>
      <c r="AV54" s="273" t="e">
        <f t="shared" si="45"/>
        <v>#N/A</v>
      </c>
      <c r="AW54" s="274" t="e">
        <f t="shared" si="12"/>
        <v>#N/A</v>
      </c>
      <c r="AX54" s="232">
        <f t="shared" si="46"/>
        <v>7</v>
      </c>
      <c r="AY54" s="273" t="e">
        <f t="shared" si="13"/>
        <v>#N/A</v>
      </c>
      <c r="AZ54" s="232" t="e">
        <f t="shared" si="47"/>
        <v>#N/A</v>
      </c>
      <c r="BA54" s="232" t="e">
        <f t="shared" si="14"/>
        <v>#N/A</v>
      </c>
      <c r="BB54" s="275">
        <f t="shared" si="48"/>
        <v>7</v>
      </c>
      <c r="BC54" s="276" t="e">
        <f t="shared" si="49"/>
        <v>#N/A</v>
      </c>
      <c r="BD54" s="277" t="e">
        <f t="shared" si="50"/>
        <v>#N/A</v>
      </c>
      <c r="BE54" s="250" t="e">
        <f t="shared" si="15"/>
        <v>#N/A</v>
      </c>
      <c r="BF54" s="247">
        <f t="shared" si="51"/>
        <v>7</v>
      </c>
      <c r="BG54" s="276" t="e">
        <f t="shared" si="52"/>
        <v>#N/A</v>
      </c>
      <c r="BH54" s="277" t="e">
        <f t="shared" si="53"/>
        <v>#N/A</v>
      </c>
      <c r="BI54" s="250" t="e">
        <f t="shared" si="16"/>
        <v>#N/A</v>
      </c>
      <c r="BJ54" s="251">
        <f t="shared" si="54"/>
        <v>7</v>
      </c>
      <c r="BK54" s="278" t="e">
        <f t="shared" si="55"/>
        <v>#N/A</v>
      </c>
      <c r="BL54" s="278" t="e">
        <f t="shared" si="56"/>
        <v>#N/A</v>
      </c>
      <c r="BM54" s="279" t="e">
        <f t="shared" si="17"/>
        <v>#N/A</v>
      </c>
      <c r="BN54" s="280">
        <f t="shared" si="57"/>
        <v>7</v>
      </c>
      <c r="BO54" s="281" t="e">
        <f t="shared" si="58"/>
        <v>#N/A</v>
      </c>
      <c r="BP54" s="281" t="e">
        <f t="shared" si="59"/>
        <v>#N/A</v>
      </c>
      <c r="BQ54" s="279" t="e">
        <f t="shared" si="18"/>
        <v>#N/A</v>
      </c>
      <c r="BR54" s="282" t="e">
        <f t="shared" si="19"/>
        <v>#N/A</v>
      </c>
      <c r="BS54" s="217" t="e">
        <f>VLOOKUP($B54,SDR24_STOCK_BY_LA!$A$2:$C$11878,3,0)</f>
        <v>#N/A</v>
      </c>
      <c r="BT54" s="217" t="str">
        <f t="shared" si="60"/>
        <v/>
      </c>
    </row>
    <row r="55" spans="1:72" x14ac:dyDescent="0.2">
      <c r="A55" s="256" t="str">
        <f t="shared" si="61"/>
        <v/>
      </c>
      <c r="B55" s="217" t="str">
        <f t="shared" si="62"/>
        <v/>
      </c>
      <c r="C55" s="257" t="str">
        <f t="shared" si="20"/>
        <v/>
      </c>
      <c r="D55" s="256" t="str">
        <f>IF(B55="","",IF(totals!$Q$3=0,IFERROR(IF(AD55=2,"0",AE55),""),"-"))</f>
        <v/>
      </c>
      <c r="E55" s="258" t="str">
        <f t="shared" si="21"/>
        <v/>
      </c>
      <c r="F55" s="259" t="str">
        <f t="shared" si="22"/>
        <v/>
      </c>
      <c r="G55" s="259" t="str">
        <f t="shared" si="23"/>
        <v/>
      </c>
      <c r="H55" s="256" t="str">
        <f t="shared" si="1"/>
        <v/>
      </c>
      <c r="I55" s="259" t="str">
        <f t="shared" si="24"/>
        <v/>
      </c>
      <c r="J55" s="259" t="str">
        <f t="shared" si="25"/>
        <v/>
      </c>
      <c r="K55" s="256" t="str">
        <f t="shared" si="2"/>
        <v/>
      </c>
      <c r="L55" s="259" t="str">
        <f t="shared" si="3"/>
        <v/>
      </c>
      <c r="M55" s="259" t="str">
        <f t="shared" si="26"/>
        <v/>
      </c>
      <c r="N55" s="256" t="str">
        <f t="shared" si="27"/>
        <v/>
      </c>
      <c r="O55" s="259" t="str">
        <f t="shared" si="28"/>
        <v/>
      </c>
      <c r="P55" s="259" t="str">
        <f t="shared" si="29"/>
        <v/>
      </c>
      <c r="Q55" s="256" t="str">
        <f t="shared" si="30"/>
        <v/>
      </c>
      <c r="R55" s="259" t="str">
        <f t="shared" si="31"/>
        <v/>
      </c>
      <c r="S55" s="259" t="str">
        <f t="shared" si="32"/>
        <v/>
      </c>
      <c r="T55" s="256" t="str">
        <f t="shared" si="33"/>
        <v/>
      </c>
      <c r="U55" s="217"/>
      <c r="V55" s="217"/>
      <c r="AB55" s="257" t="e">
        <f>VLOOKUP($B$6,Lookup_Source,48,0)</f>
        <v>#N/A</v>
      </c>
      <c r="AC55" s="241" t="str">
        <f t="shared" si="34"/>
        <v/>
      </c>
      <c r="AD55" s="242">
        <f t="shared" si="35"/>
        <v>7</v>
      </c>
      <c r="AE55" s="261" t="e">
        <f t="shared" si="4"/>
        <v>#N/A</v>
      </c>
      <c r="AF55" s="264" t="e">
        <f t="shared" si="36"/>
        <v>#N/A</v>
      </c>
      <c r="AG55" s="264" t="e">
        <f t="shared" si="37"/>
        <v>#N/A</v>
      </c>
      <c r="AH55" s="263" t="e">
        <f t="shared" si="5"/>
        <v>#N/A</v>
      </c>
      <c r="AI55" s="226">
        <f t="shared" si="38"/>
        <v>7</v>
      </c>
      <c r="AJ55" s="264" t="e">
        <f t="shared" si="6"/>
        <v>#N/A</v>
      </c>
      <c r="AK55" s="264" t="e">
        <f t="shared" si="39"/>
        <v>#N/A</v>
      </c>
      <c r="AL55" s="226" t="e">
        <f t="shared" si="7"/>
        <v>#N/A</v>
      </c>
      <c r="AM55" s="265" t="e">
        <f t="shared" si="40"/>
        <v>#N/A</v>
      </c>
      <c r="AN55" s="266" t="e">
        <f t="shared" si="8"/>
        <v>#N/A</v>
      </c>
      <c r="AO55" s="227" t="e">
        <f t="shared" si="9"/>
        <v>#N/A</v>
      </c>
      <c r="AP55" s="284">
        <f t="shared" si="41"/>
        <v>7</v>
      </c>
      <c r="AQ55" s="285" t="e">
        <f t="shared" si="10"/>
        <v>#N/A</v>
      </c>
      <c r="AR55" s="266" t="e">
        <f t="shared" si="42"/>
        <v>#N/A</v>
      </c>
      <c r="AS55" s="270" t="e">
        <f t="shared" si="11"/>
        <v>#N/A</v>
      </c>
      <c r="AT55" s="271">
        <f t="shared" si="43"/>
        <v>7</v>
      </c>
      <c r="AU55" s="272" t="e">
        <f t="shared" si="44"/>
        <v>#N/A</v>
      </c>
      <c r="AV55" s="273" t="e">
        <f t="shared" si="45"/>
        <v>#N/A</v>
      </c>
      <c r="AW55" s="274" t="e">
        <f t="shared" si="12"/>
        <v>#N/A</v>
      </c>
      <c r="AX55" s="232">
        <f t="shared" si="46"/>
        <v>7</v>
      </c>
      <c r="AY55" s="273" t="e">
        <f t="shared" si="13"/>
        <v>#N/A</v>
      </c>
      <c r="AZ55" s="232" t="e">
        <f t="shared" si="47"/>
        <v>#N/A</v>
      </c>
      <c r="BA55" s="232" t="e">
        <f t="shared" si="14"/>
        <v>#N/A</v>
      </c>
      <c r="BB55" s="275">
        <f t="shared" si="48"/>
        <v>7</v>
      </c>
      <c r="BC55" s="276" t="e">
        <f t="shared" si="49"/>
        <v>#N/A</v>
      </c>
      <c r="BD55" s="277" t="e">
        <f t="shared" si="50"/>
        <v>#N/A</v>
      </c>
      <c r="BE55" s="250" t="e">
        <f t="shared" si="15"/>
        <v>#N/A</v>
      </c>
      <c r="BF55" s="247">
        <f t="shared" si="51"/>
        <v>7</v>
      </c>
      <c r="BG55" s="276" t="e">
        <f t="shared" si="52"/>
        <v>#N/A</v>
      </c>
      <c r="BH55" s="277" t="e">
        <f t="shared" si="53"/>
        <v>#N/A</v>
      </c>
      <c r="BI55" s="250" t="e">
        <f t="shared" si="16"/>
        <v>#N/A</v>
      </c>
      <c r="BJ55" s="251">
        <f t="shared" si="54"/>
        <v>7</v>
      </c>
      <c r="BK55" s="278" t="e">
        <f t="shared" si="55"/>
        <v>#N/A</v>
      </c>
      <c r="BL55" s="278" t="e">
        <f t="shared" si="56"/>
        <v>#N/A</v>
      </c>
      <c r="BM55" s="279" t="e">
        <f t="shared" si="17"/>
        <v>#N/A</v>
      </c>
      <c r="BN55" s="280">
        <f t="shared" si="57"/>
        <v>7</v>
      </c>
      <c r="BO55" s="281" t="e">
        <f t="shared" si="58"/>
        <v>#N/A</v>
      </c>
      <c r="BP55" s="281" t="e">
        <f t="shared" si="59"/>
        <v>#N/A</v>
      </c>
      <c r="BQ55" s="279" t="e">
        <f t="shared" si="18"/>
        <v>#N/A</v>
      </c>
      <c r="BR55" s="282" t="e">
        <f t="shared" si="19"/>
        <v>#N/A</v>
      </c>
      <c r="BS55" s="217" t="e">
        <f>VLOOKUP($B55,SDR24_STOCK_BY_LA!$A$2:$C$11878,3,0)</f>
        <v>#N/A</v>
      </c>
      <c r="BT55" s="217" t="str">
        <f t="shared" si="60"/>
        <v/>
      </c>
    </row>
    <row r="56" spans="1:72" x14ac:dyDescent="0.2">
      <c r="A56" s="217" t="str">
        <f t="shared" si="61"/>
        <v/>
      </c>
      <c r="B56" s="217" t="str">
        <f t="shared" si="62"/>
        <v/>
      </c>
      <c r="C56" s="283" t="str">
        <f t="shared" si="20"/>
        <v/>
      </c>
      <c r="D56" s="256" t="str">
        <f>IF(B56="","",IF(totals!$Q$3=0,IFERROR(IF(AD56=2,"0",AE56),""),"-"))</f>
        <v/>
      </c>
      <c r="E56" s="258" t="str">
        <f t="shared" si="21"/>
        <v/>
      </c>
      <c r="F56" s="259" t="str">
        <f t="shared" si="22"/>
        <v/>
      </c>
      <c r="G56" s="259" t="str">
        <f t="shared" si="23"/>
        <v/>
      </c>
      <c r="H56" s="256" t="str">
        <f t="shared" si="1"/>
        <v/>
      </c>
      <c r="I56" s="259" t="str">
        <f t="shared" si="24"/>
        <v/>
      </c>
      <c r="J56" s="259" t="str">
        <f t="shared" si="25"/>
        <v/>
      </c>
      <c r="K56" s="256" t="str">
        <f t="shared" si="2"/>
        <v/>
      </c>
      <c r="L56" s="259" t="str">
        <f t="shared" si="3"/>
        <v/>
      </c>
      <c r="M56" s="259" t="str">
        <f t="shared" si="26"/>
        <v/>
      </c>
      <c r="N56" s="256" t="str">
        <f t="shared" si="27"/>
        <v/>
      </c>
      <c r="O56" s="259" t="str">
        <f t="shared" si="28"/>
        <v/>
      </c>
      <c r="P56" s="259" t="str">
        <f t="shared" si="29"/>
        <v/>
      </c>
      <c r="Q56" s="256" t="str">
        <f t="shared" si="30"/>
        <v/>
      </c>
      <c r="R56" s="259" t="str">
        <f t="shared" si="31"/>
        <v/>
      </c>
      <c r="S56" s="259" t="str">
        <f t="shared" si="32"/>
        <v/>
      </c>
      <c r="T56" s="256" t="str">
        <f t="shared" si="33"/>
        <v/>
      </c>
      <c r="U56" s="217"/>
      <c r="V56" s="217"/>
      <c r="AB56" s="217" t="e">
        <f>VLOOKUP($B$6,Lookup_Source,49,0)</f>
        <v>#N/A</v>
      </c>
      <c r="AC56" s="241" t="str">
        <f t="shared" si="34"/>
        <v/>
      </c>
      <c r="AD56" s="242">
        <f t="shared" si="35"/>
        <v>7</v>
      </c>
      <c r="AE56" s="261" t="e">
        <f t="shared" si="4"/>
        <v>#N/A</v>
      </c>
      <c r="AF56" s="264" t="e">
        <f t="shared" si="36"/>
        <v>#N/A</v>
      </c>
      <c r="AG56" s="264" t="e">
        <f t="shared" si="37"/>
        <v>#N/A</v>
      </c>
      <c r="AH56" s="263" t="e">
        <f t="shared" si="5"/>
        <v>#N/A</v>
      </c>
      <c r="AI56" s="226">
        <f t="shared" si="38"/>
        <v>7</v>
      </c>
      <c r="AJ56" s="264" t="e">
        <f t="shared" si="6"/>
        <v>#N/A</v>
      </c>
      <c r="AK56" s="264" t="e">
        <f t="shared" si="39"/>
        <v>#N/A</v>
      </c>
      <c r="AL56" s="226" t="e">
        <f t="shared" si="7"/>
        <v>#N/A</v>
      </c>
      <c r="AM56" s="265" t="e">
        <f t="shared" si="40"/>
        <v>#N/A</v>
      </c>
      <c r="AN56" s="266" t="e">
        <f t="shared" si="8"/>
        <v>#N/A</v>
      </c>
      <c r="AO56" s="227" t="e">
        <f t="shared" si="9"/>
        <v>#N/A</v>
      </c>
      <c r="AP56" s="284">
        <f t="shared" si="41"/>
        <v>7</v>
      </c>
      <c r="AQ56" s="285" t="e">
        <f t="shared" si="10"/>
        <v>#N/A</v>
      </c>
      <c r="AR56" s="266" t="e">
        <f t="shared" si="42"/>
        <v>#N/A</v>
      </c>
      <c r="AS56" s="270" t="e">
        <f t="shared" si="11"/>
        <v>#N/A</v>
      </c>
      <c r="AT56" s="271">
        <f t="shared" si="43"/>
        <v>7</v>
      </c>
      <c r="AU56" s="272" t="e">
        <f t="shared" si="44"/>
        <v>#N/A</v>
      </c>
      <c r="AV56" s="273" t="e">
        <f t="shared" si="45"/>
        <v>#N/A</v>
      </c>
      <c r="AW56" s="274" t="e">
        <f t="shared" si="12"/>
        <v>#N/A</v>
      </c>
      <c r="AX56" s="232">
        <f t="shared" si="46"/>
        <v>7</v>
      </c>
      <c r="AY56" s="273" t="e">
        <f t="shared" si="13"/>
        <v>#N/A</v>
      </c>
      <c r="AZ56" s="232" t="e">
        <f t="shared" si="47"/>
        <v>#N/A</v>
      </c>
      <c r="BA56" s="232" t="e">
        <f t="shared" si="14"/>
        <v>#N/A</v>
      </c>
      <c r="BB56" s="275">
        <f t="shared" si="48"/>
        <v>7</v>
      </c>
      <c r="BC56" s="276" t="e">
        <f t="shared" si="49"/>
        <v>#N/A</v>
      </c>
      <c r="BD56" s="277" t="e">
        <f t="shared" si="50"/>
        <v>#N/A</v>
      </c>
      <c r="BE56" s="250" t="e">
        <f t="shared" si="15"/>
        <v>#N/A</v>
      </c>
      <c r="BF56" s="247">
        <f t="shared" si="51"/>
        <v>7</v>
      </c>
      <c r="BG56" s="276" t="e">
        <f t="shared" si="52"/>
        <v>#N/A</v>
      </c>
      <c r="BH56" s="277" t="e">
        <f t="shared" si="53"/>
        <v>#N/A</v>
      </c>
      <c r="BI56" s="250" t="e">
        <f t="shared" si="16"/>
        <v>#N/A</v>
      </c>
      <c r="BJ56" s="251">
        <f t="shared" si="54"/>
        <v>7</v>
      </c>
      <c r="BK56" s="278" t="e">
        <f t="shared" si="55"/>
        <v>#N/A</v>
      </c>
      <c r="BL56" s="278" t="e">
        <f t="shared" si="56"/>
        <v>#N/A</v>
      </c>
      <c r="BM56" s="279" t="e">
        <f t="shared" si="17"/>
        <v>#N/A</v>
      </c>
      <c r="BN56" s="280">
        <f t="shared" si="57"/>
        <v>7</v>
      </c>
      <c r="BO56" s="281" t="e">
        <f t="shared" si="58"/>
        <v>#N/A</v>
      </c>
      <c r="BP56" s="281" t="e">
        <f t="shared" si="59"/>
        <v>#N/A</v>
      </c>
      <c r="BQ56" s="279" t="e">
        <f t="shared" si="18"/>
        <v>#N/A</v>
      </c>
      <c r="BR56" s="282" t="e">
        <f t="shared" si="19"/>
        <v>#N/A</v>
      </c>
      <c r="BS56" s="217" t="e">
        <f>VLOOKUP($B56,SDR24_STOCK_BY_LA!$A$2:$C$11878,3,0)</f>
        <v>#N/A</v>
      </c>
      <c r="BT56" s="217" t="str">
        <f t="shared" si="60"/>
        <v/>
      </c>
    </row>
    <row r="57" spans="1:72" x14ac:dyDescent="0.2">
      <c r="A57" s="256" t="str">
        <f t="shared" si="61"/>
        <v/>
      </c>
      <c r="B57" s="217" t="str">
        <f t="shared" si="62"/>
        <v/>
      </c>
      <c r="C57" s="257" t="str">
        <f t="shared" si="20"/>
        <v/>
      </c>
      <c r="D57" s="256" t="str">
        <f>IF(B57="","",IF(totals!$Q$3=0,IFERROR(IF(AD57=2,"0",AE57),""),"-"))</f>
        <v/>
      </c>
      <c r="E57" s="258" t="str">
        <f t="shared" si="21"/>
        <v/>
      </c>
      <c r="F57" s="259" t="str">
        <f t="shared" si="22"/>
        <v/>
      </c>
      <c r="G57" s="259" t="str">
        <f t="shared" si="23"/>
        <v/>
      </c>
      <c r="H57" s="256" t="str">
        <f t="shared" si="1"/>
        <v/>
      </c>
      <c r="I57" s="259" t="str">
        <f t="shared" si="24"/>
        <v/>
      </c>
      <c r="J57" s="259" t="str">
        <f t="shared" si="25"/>
        <v/>
      </c>
      <c r="K57" s="256" t="str">
        <f t="shared" si="2"/>
        <v/>
      </c>
      <c r="L57" s="259" t="str">
        <f t="shared" si="3"/>
        <v/>
      </c>
      <c r="M57" s="259" t="str">
        <f t="shared" si="26"/>
        <v/>
      </c>
      <c r="N57" s="256" t="str">
        <f t="shared" si="27"/>
        <v/>
      </c>
      <c r="O57" s="259" t="str">
        <f t="shared" si="28"/>
        <v/>
      </c>
      <c r="P57" s="259" t="str">
        <f t="shared" si="29"/>
        <v/>
      </c>
      <c r="Q57" s="256" t="str">
        <f t="shared" si="30"/>
        <v/>
      </c>
      <c r="R57" s="259" t="str">
        <f t="shared" si="31"/>
        <v/>
      </c>
      <c r="S57" s="259" t="str">
        <f t="shared" si="32"/>
        <v/>
      </c>
      <c r="T57" s="256" t="str">
        <f t="shared" si="33"/>
        <v/>
      </c>
      <c r="U57" s="217"/>
      <c r="V57" s="217"/>
      <c r="AB57" s="257" t="e">
        <f>VLOOKUP($B$6,Lookup_Source,50,0)</f>
        <v>#N/A</v>
      </c>
      <c r="AC57" s="241" t="str">
        <f t="shared" si="34"/>
        <v/>
      </c>
      <c r="AD57" s="242">
        <f t="shared" si="35"/>
        <v>7</v>
      </c>
      <c r="AE57" s="261" t="e">
        <f t="shared" si="4"/>
        <v>#N/A</v>
      </c>
      <c r="AF57" s="264" t="e">
        <f t="shared" si="36"/>
        <v>#N/A</v>
      </c>
      <c r="AG57" s="264" t="e">
        <f t="shared" si="37"/>
        <v>#N/A</v>
      </c>
      <c r="AH57" s="263" t="e">
        <f t="shared" si="5"/>
        <v>#N/A</v>
      </c>
      <c r="AI57" s="226">
        <f t="shared" si="38"/>
        <v>7</v>
      </c>
      <c r="AJ57" s="264" t="e">
        <f t="shared" si="6"/>
        <v>#N/A</v>
      </c>
      <c r="AK57" s="264" t="e">
        <f t="shared" si="39"/>
        <v>#N/A</v>
      </c>
      <c r="AL57" s="226" t="e">
        <f t="shared" si="7"/>
        <v>#N/A</v>
      </c>
      <c r="AM57" s="265" t="e">
        <f t="shared" si="40"/>
        <v>#N/A</v>
      </c>
      <c r="AN57" s="266" t="e">
        <f t="shared" si="8"/>
        <v>#N/A</v>
      </c>
      <c r="AO57" s="227" t="e">
        <f t="shared" si="9"/>
        <v>#N/A</v>
      </c>
      <c r="AP57" s="284">
        <f t="shared" si="41"/>
        <v>7</v>
      </c>
      <c r="AQ57" s="285" t="e">
        <f t="shared" si="10"/>
        <v>#N/A</v>
      </c>
      <c r="AR57" s="266" t="e">
        <f t="shared" si="42"/>
        <v>#N/A</v>
      </c>
      <c r="AS57" s="270" t="e">
        <f t="shared" si="11"/>
        <v>#N/A</v>
      </c>
      <c r="AT57" s="271">
        <f t="shared" si="43"/>
        <v>7</v>
      </c>
      <c r="AU57" s="272" t="e">
        <f t="shared" si="44"/>
        <v>#N/A</v>
      </c>
      <c r="AV57" s="273" t="e">
        <f t="shared" si="45"/>
        <v>#N/A</v>
      </c>
      <c r="AW57" s="274" t="e">
        <f t="shared" si="12"/>
        <v>#N/A</v>
      </c>
      <c r="AX57" s="232">
        <f t="shared" si="46"/>
        <v>7</v>
      </c>
      <c r="AY57" s="273" t="e">
        <f t="shared" si="13"/>
        <v>#N/A</v>
      </c>
      <c r="AZ57" s="232" t="e">
        <f t="shared" si="47"/>
        <v>#N/A</v>
      </c>
      <c r="BA57" s="232" t="e">
        <f t="shared" si="14"/>
        <v>#N/A</v>
      </c>
      <c r="BB57" s="275">
        <f t="shared" si="48"/>
        <v>7</v>
      </c>
      <c r="BC57" s="276" t="e">
        <f t="shared" si="49"/>
        <v>#N/A</v>
      </c>
      <c r="BD57" s="277" t="e">
        <f t="shared" si="50"/>
        <v>#N/A</v>
      </c>
      <c r="BE57" s="250" t="e">
        <f t="shared" si="15"/>
        <v>#N/A</v>
      </c>
      <c r="BF57" s="247">
        <f t="shared" si="51"/>
        <v>7</v>
      </c>
      <c r="BG57" s="276" t="e">
        <f t="shared" si="52"/>
        <v>#N/A</v>
      </c>
      <c r="BH57" s="277" t="e">
        <f t="shared" si="53"/>
        <v>#N/A</v>
      </c>
      <c r="BI57" s="250" t="e">
        <f t="shared" si="16"/>
        <v>#N/A</v>
      </c>
      <c r="BJ57" s="251">
        <f t="shared" si="54"/>
        <v>7</v>
      </c>
      <c r="BK57" s="278" t="e">
        <f t="shared" si="55"/>
        <v>#N/A</v>
      </c>
      <c r="BL57" s="278" t="e">
        <f t="shared" si="56"/>
        <v>#N/A</v>
      </c>
      <c r="BM57" s="279" t="e">
        <f t="shared" si="17"/>
        <v>#N/A</v>
      </c>
      <c r="BN57" s="280">
        <f t="shared" si="57"/>
        <v>7</v>
      </c>
      <c r="BO57" s="281" t="e">
        <f t="shared" si="58"/>
        <v>#N/A</v>
      </c>
      <c r="BP57" s="281" t="e">
        <f t="shared" si="59"/>
        <v>#N/A</v>
      </c>
      <c r="BQ57" s="279" t="e">
        <f t="shared" si="18"/>
        <v>#N/A</v>
      </c>
      <c r="BR57" s="282" t="e">
        <f t="shared" si="19"/>
        <v>#N/A</v>
      </c>
      <c r="BS57" s="217" t="e">
        <f>VLOOKUP($B57,SDR24_STOCK_BY_LA!$A$2:$C$11878,3,0)</f>
        <v>#N/A</v>
      </c>
      <c r="BT57" s="217" t="str">
        <f t="shared" si="60"/>
        <v/>
      </c>
    </row>
    <row r="58" spans="1:72" x14ac:dyDescent="0.2">
      <c r="A58" s="217" t="str">
        <f t="shared" si="61"/>
        <v/>
      </c>
      <c r="B58" s="217" t="str">
        <f t="shared" si="62"/>
        <v/>
      </c>
      <c r="C58" s="283" t="str">
        <f t="shared" si="20"/>
        <v/>
      </c>
      <c r="D58" s="256" t="str">
        <f>IF(B58="","",IF(totals!$Q$3=0,IFERROR(IF(AD58=2,"0",AE58),""),"-"))</f>
        <v/>
      </c>
      <c r="E58" s="258" t="str">
        <f t="shared" si="21"/>
        <v/>
      </c>
      <c r="F58" s="259" t="str">
        <f t="shared" si="22"/>
        <v/>
      </c>
      <c r="G58" s="259" t="str">
        <f t="shared" si="23"/>
        <v/>
      </c>
      <c r="H58" s="256" t="str">
        <f t="shared" si="1"/>
        <v/>
      </c>
      <c r="I58" s="259" t="str">
        <f t="shared" si="24"/>
        <v/>
      </c>
      <c r="J58" s="259" t="str">
        <f t="shared" si="25"/>
        <v/>
      </c>
      <c r="K58" s="256" t="str">
        <f t="shared" si="2"/>
        <v/>
      </c>
      <c r="L58" s="259" t="str">
        <f t="shared" si="3"/>
        <v/>
      </c>
      <c r="M58" s="259" t="str">
        <f t="shared" si="26"/>
        <v/>
      </c>
      <c r="N58" s="256" t="str">
        <f t="shared" si="27"/>
        <v/>
      </c>
      <c r="O58" s="259" t="str">
        <f t="shared" si="28"/>
        <v/>
      </c>
      <c r="P58" s="259" t="str">
        <f t="shared" si="29"/>
        <v/>
      </c>
      <c r="Q58" s="256" t="str">
        <f t="shared" si="30"/>
        <v/>
      </c>
      <c r="R58" s="259" t="str">
        <f t="shared" si="31"/>
        <v/>
      </c>
      <c r="S58" s="259" t="str">
        <f t="shared" si="32"/>
        <v/>
      </c>
      <c r="T58" s="256" t="str">
        <f t="shared" si="33"/>
        <v/>
      </c>
      <c r="U58" s="217"/>
      <c r="V58" s="217"/>
      <c r="AB58" s="217" t="e">
        <f>VLOOKUP($B$6,Lookup_Source,51,0)</f>
        <v>#N/A</v>
      </c>
      <c r="AC58" s="241" t="str">
        <f t="shared" si="34"/>
        <v/>
      </c>
      <c r="AD58" s="242">
        <f t="shared" si="35"/>
        <v>7</v>
      </c>
      <c r="AE58" s="261" t="e">
        <f t="shared" si="4"/>
        <v>#N/A</v>
      </c>
      <c r="AF58" s="264" t="e">
        <f t="shared" si="36"/>
        <v>#N/A</v>
      </c>
      <c r="AG58" s="264" t="e">
        <f t="shared" si="37"/>
        <v>#N/A</v>
      </c>
      <c r="AH58" s="263" t="e">
        <f t="shared" si="5"/>
        <v>#N/A</v>
      </c>
      <c r="AI58" s="226">
        <f t="shared" si="38"/>
        <v>7</v>
      </c>
      <c r="AJ58" s="264" t="e">
        <f t="shared" si="6"/>
        <v>#N/A</v>
      </c>
      <c r="AK58" s="264" t="e">
        <f t="shared" si="39"/>
        <v>#N/A</v>
      </c>
      <c r="AL58" s="226" t="e">
        <f t="shared" si="7"/>
        <v>#N/A</v>
      </c>
      <c r="AM58" s="265" t="e">
        <f t="shared" si="40"/>
        <v>#N/A</v>
      </c>
      <c r="AN58" s="266" t="e">
        <f t="shared" si="8"/>
        <v>#N/A</v>
      </c>
      <c r="AO58" s="227" t="e">
        <f t="shared" si="9"/>
        <v>#N/A</v>
      </c>
      <c r="AP58" s="284">
        <f t="shared" si="41"/>
        <v>7</v>
      </c>
      <c r="AQ58" s="285" t="e">
        <f t="shared" si="10"/>
        <v>#N/A</v>
      </c>
      <c r="AR58" s="266" t="e">
        <f t="shared" si="42"/>
        <v>#N/A</v>
      </c>
      <c r="AS58" s="270" t="e">
        <f t="shared" si="11"/>
        <v>#N/A</v>
      </c>
      <c r="AT58" s="271">
        <f t="shared" si="43"/>
        <v>7</v>
      </c>
      <c r="AU58" s="272" t="e">
        <f t="shared" si="44"/>
        <v>#N/A</v>
      </c>
      <c r="AV58" s="273" t="e">
        <f t="shared" si="45"/>
        <v>#N/A</v>
      </c>
      <c r="AW58" s="274" t="e">
        <f t="shared" si="12"/>
        <v>#N/A</v>
      </c>
      <c r="AX58" s="232">
        <f t="shared" si="46"/>
        <v>7</v>
      </c>
      <c r="AY58" s="273" t="e">
        <f t="shared" si="13"/>
        <v>#N/A</v>
      </c>
      <c r="AZ58" s="232" t="e">
        <f t="shared" si="47"/>
        <v>#N/A</v>
      </c>
      <c r="BA58" s="232" t="e">
        <f t="shared" si="14"/>
        <v>#N/A</v>
      </c>
      <c r="BB58" s="275">
        <f t="shared" si="48"/>
        <v>7</v>
      </c>
      <c r="BC58" s="276" t="e">
        <f t="shared" si="49"/>
        <v>#N/A</v>
      </c>
      <c r="BD58" s="277" t="e">
        <f t="shared" si="50"/>
        <v>#N/A</v>
      </c>
      <c r="BE58" s="250" t="e">
        <f t="shared" si="15"/>
        <v>#N/A</v>
      </c>
      <c r="BF58" s="247">
        <f t="shared" si="51"/>
        <v>7</v>
      </c>
      <c r="BG58" s="276" t="e">
        <f t="shared" si="52"/>
        <v>#N/A</v>
      </c>
      <c r="BH58" s="277" t="e">
        <f t="shared" si="53"/>
        <v>#N/A</v>
      </c>
      <c r="BI58" s="250" t="e">
        <f t="shared" si="16"/>
        <v>#N/A</v>
      </c>
      <c r="BJ58" s="251">
        <f t="shared" si="54"/>
        <v>7</v>
      </c>
      <c r="BK58" s="278" t="e">
        <f t="shared" si="55"/>
        <v>#N/A</v>
      </c>
      <c r="BL58" s="278" t="e">
        <f t="shared" si="56"/>
        <v>#N/A</v>
      </c>
      <c r="BM58" s="279" t="e">
        <f t="shared" si="17"/>
        <v>#N/A</v>
      </c>
      <c r="BN58" s="280">
        <f t="shared" si="57"/>
        <v>7</v>
      </c>
      <c r="BO58" s="281" t="e">
        <f t="shared" si="58"/>
        <v>#N/A</v>
      </c>
      <c r="BP58" s="281" t="e">
        <f t="shared" si="59"/>
        <v>#N/A</v>
      </c>
      <c r="BQ58" s="279" t="e">
        <f t="shared" si="18"/>
        <v>#N/A</v>
      </c>
      <c r="BR58" s="282" t="e">
        <f t="shared" si="19"/>
        <v>#N/A</v>
      </c>
      <c r="BS58" s="217" t="e">
        <f>VLOOKUP($B58,SDR24_STOCK_BY_LA!$A$2:$C$11878,3,0)</f>
        <v>#N/A</v>
      </c>
      <c r="BT58" s="217" t="str">
        <f t="shared" si="60"/>
        <v/>
      </c>
    </row>
    <row r="59" spans="1:72" x14ac:dyDescent="0.2">
      <c r="A59" s="256" t="str">
        <f t="shared" si="61"/>
        <v/>
      </c>
      <c r="B59" s="217" t="str">
        <f t="shared" si="62"/>
        <v/>
      </c>
      <c r="C59" s="257" t="str">
        <f t="shared" si="20"/>
        <v/>
      </c>
      <c r="D59" s="256" t="str">
        <f>IF(B59="","",IF(totals!$Q$3=0,IFERROR(IF(AD59=2,"0",AE59),""),"-"))</f>
        <v/>
      </c>
      <c r="E59" s="258" t="str">
        <f t="shared" si="21"/>
        <v/>
      </c>
      <c r="F59" s="259" t="str">
        <f t="shared" si="22"/>
        <v/>
      </c>
      <c r="G59" s="259" t="str">
        <f t="shared" si="23"/>
        <v/>
      </c>
      <c r="H59" s="256" t="str">
        <f t="shared" si="1"/>
        <v/>
      </c>
      <c r="I59" s="259" t="str">
        <f t="shared" si="24"/>
        <v/>
      </c>
      <c r="J59" s="259" t="str">
        <f t="shared" si="25"/>
        <v/>
      </c>
      <c r="K59" s="256" t="str">
        <f t="shared" si="2"/>
        <v/>
      </c>
      <c r="L59" s="259" t="str">
        <f t="shared" si="3"/>
        <v/>
      </c>
      <c r="M59" s="259" t="str">
        <f t="shared" si="26"/>
        <v/>
      </c>
      <c r="N59" s="256" t="str">
        <f t="shared" si="27"/>
        <v/>
      </c>
      <c r="O59" s="259" t="str">
        <f t="shared" si="28"/>
        <v/>
      </c>
      <c r="P59" s="259" t="str">
        <f t="shared" si="29"/>
        <v/>
      </c>
      <c r="Q59" s="256" t="str">
        <f t="shared" si="30"/>
        <v/>
      </c>
      <c r="R59" s="259" t="str">
        <f t="shared" si="31"/>
        <v/>
      </c>
      <c r="S59" s="259" t="str">
        <f t="shared" si="32"/>
        <v/>
      </c>
      <c r="T59" s="256" t="str">
        <f t="shared" si="33"/>
        <v/>
      </c>
      <c r="U59" s="217"/>
      <c r="V59" s="217"/>
      <c r="AB59" s="257" t="e">
        <f>VLOOKUP($B$6,Lookup_Source,52,0)</f>
        <v>#N/A</v>
      </c>
      <c r="AC59" s="241" t="str">
        <f t="shared" si="34"/>
        <v/>
      </c>
      <c r="AD59" s="242">
        <f t="shared" si="35"/>
        <v>7</v>
      </c>
      <c r="AE59" s="261" t="e">
        <f t="shared" si="4"/>
        <v>#N/A</v>
      </c>
      <c r="AF59" s="264" t="e">
        <f t="shared" si="36"/>
        <v>#N/A</v>
      </c>
      <c r="AG59" s="264" t="e">
        <f t="shared" si="37"/>
        <v>#N/A</v>
      </c>
      <c r="AH59" s="263" t="e">
        <f t="shared" si="5"/>
        <v>#N/A</v>
      </c>
      <c r="AI59" s="226">
        <f t="shared" si="38"/>
        <v>7</v>
      </c>
      <c r="AJ59" s="264" t="e">
        <f t="shared" si="6"/>
        <v>#N/A</v>
      </c>
      <c r="AK59" s="264" t="e">
        <f t="shared" si="39"/>
        <v>#N/A</v>
      </c>
      <c r="AL59" s="226" t="e">
        <f t="shared" si="7"/>
        <v>#N/A</v>
      </c>
      <c r="AM59" s="265" t="e">
        <f t="shared" si="40"/>
        <v>#N/A</v>
      </c>
      <c r="AN59" s="266" t="e">
        <f t="shared" si="8"/>
        <v>#N/A</v>
      </c>
      <c r="AO59" s="227" t="e">
        <f t="shared" si="9"/>
        <v>#N/A</v>
      </c>
      <c r="AP59" s="284">
        <f t="shared" si="41"/>
        <v>7</v>
      </c>
      <c r="AQ59" s="285" t="e">
        <f t="shared" si="10"/>
        <v>#N/A</v>
      </c>
      <c r="AR59" s="266" t="e">
        <f t="shared" si="42"/>
        <v>#N/A</v>
      </c>
      <c r="AS59" s="270" t="e">
        <f t="shared" si="11"/>
        <v>#N/A</v>
      </c>
      <c r="AT59" s="271">
        <f t="shared" si="43"/>
        <v>7</v>
      </c>
      <c r="AU59" s="272" t="e">
        <f t="shared" si="44"/>
        <v>#N/A</v>
      </c>
      <c r="AV59" s="273" t="e">
        <f t="shared" si="45"/>
        <v>#N/A</v>
      </c>
      <c r="AW59" s="274" t="e">
        <f t="shared" si="12"/>
        <v>#N/A</v>
      </c>
      <c r="AX59" s="232">
        <f t="shared" si="46"/>
        <v>7</v>
      </c>
      <c r="AY59" s="273" t="e">
        <f t="shared" si="13"/>
        <v>#N/A</v>
      </c>
      <c r="AZ59" s="232" t="e">
        <f t="shared" si="47"/>
        <v>#N/A</v>
      </c>
      <c r="BA59" s="232" t="e">
        <f t="shared" si="14"/>
        <v>#N/A</v>
      </c>
      <c r="BB59" s="275">
        <f t="shared" si="48"/>
        <v>7</v>
      </c>
      <c r="BC59" s="276" t="e">
        <f t="shared" si="49"/>
        <v>#N/A</v>
      </c>
      <c r="BD59" s="277" t="e">
        <f t="shared" si="50"/>
        <v>#N/A</v>
      </c>
      <c r="BE59" s="250" t="e">
        <f t="shared" si="15"/>
        <v>#N/A</v>
      </c>
      <c r="BF59" s="247">
        <f t="shared" si="51"/>
        <v>7</v>
      </c>
      <c r="BG59" s="276" t="e">
        <f t="shared" si="52"/>
        <v>#N/A</v>
      </c>
      <c r="BH59" s="277" t="e">
        <f t="shared" si="53"/>
        <v>#N/A</v>
      </c>
      <c r="BI59" s="250" t="e">
        <f t="shared" si="16"/>
        <v>#N/A</v>
      </c>
      <c r="BJ59" s="251">
        <f t="shared" si="54"/>
        <v>7</v>
      </c>
      <c r="BK59" s="278" t="e">
        <f t="shared" si="55"/>
        <v>#N/A</v>
      </c>
      <c r="BL59" s="278" t="e">
        <f t="shared" si="56"/>
        <v>#N/A</v>
      </c>
      <c r="BM59" s="279" t="e">
        <f t="shared" si="17"/>
        <v>#N/A</v>
      </c>
      <c r="BN59" s="280">
        <f t="shared" si="57"/>
        <v>7</v>
      </c>
      <c r="BO59" s="281" t="e">
        <f t="shared" si="58"/>
        <v>#N/A</v>
      </c>
      <c r="BP59" s="281" t="e">
        <f t="shared" si="59"/>
        <v>#N/A</v>
      </c>
      <c r="BQ59" s="279" t="e">
        <f t="shared" si="18"/>
        <v>#N/A</v>
      </c>
      <c r="BR59" s="282" t="e">
        <f t="shared" si="19"/>
        <v>#N/A</v>
      </c>
      <c r="BS59" s="217" t="e">
        <f>VLOOKUP($B59,SDR24_STOCK_BY_LA!$A$2:$C$11878,3,0)</f>
        <v>#N/A</v>
      </c>
      <c r="BT59" s="217" t="str">
        <f t="shared" si="60"/>
        <v/>
      </c>
    </row>
    <row r="60" spans="1:72" x14ac:dyDescent="0.2">
      <c r="A60" s="217" t="str">
        <f t="shared" si="61"/>
        <v/>
      </c>
      <c r="B60" s="217" t="str">
        <f t="shared" si="62"/>
        <v/>
      </c>
      <c r="C60" s="283" t="str">
        <f t="shared" si="20"/>
        <v/>
      </c>
      <c r="D60" s="256" t="str">
        <f>IF(B60="","",IF(totals!$Q$3=0,IFERROR(IF(AD60=2,"0",AE60),""),"-"))</f>
        <v/>
      </c>
      <c r="E60" s="258" t="str">
        <f t="shared" si="21"/>
        <v/>
      </c>
      <c r="F60" s="259" t="str">
        <f t="shared" si="22"/>
        <v/>
      </c>
      <c r="G60" s="259" t="str">
        <f t="shared" si="23"/>
        <v/>
      </c>
      <c r="H60" s="256" t="str">
        <f t="shared" si="1"/>
        <v/>
      </c>
      <c r="I60" s="259" t="str">
        <f t="shared" si="24"/>
        <v/>
      </c>
      <c r="J60" s="259" t="str">
        <f t="shared" si="25"/>
        <v/>
      </c>
      <c r="K60" s="256" t="str">
        <f t="shared" si="2"/>
        <v/>
      </c>
      <c r="L60" s="259" t="str">
        <f t="shared" si="3"/>
        <v/>
      </c>
      <c r="M60" s="259" t="str">
        <f t="shared" si="26"/>
        <v/>
      </c>
      <c r="N60" s="256" t="str">
        <f t="shared" si="27"/>
        <v/>
      </c>
      <c r="O60" s="259" t="str">
        <f t="shared" si="28"/>
        <v/>
      </c>
      <c r="P60" s="259" t="str">
        <f t="shared" si="29"/>
        <v/>
      </c>
      <c r="Q60" s="256" t="str">
        <f t="shared" si="30"/>
        <v/>
      </c>
      <c r="R60" s="259" t="str">
        <f t="shared" si="31"/>
        <v/>
      </c>
      <c r="S60" s="259" t="str">
        <f t="shared" si="32"/>
        <v/>
      </c>
      <c r="T60" s="256" t="str">
        <f t="shared" si="33"/>
        <v/>
      </c>
      <c r="U60" s="217"/>
      <c r="V60" s="217"/>
      <c r="AB60" s="217" t="e">
        <f>VLOOKUP($B$6,Lookup_Source,53,0)</f>
        <v>#N/A</v>
      </c>
      <c r="AC60" s="241" t="str">
        <f t="shared" si="34"/>
        <v/>
      </c>
      <c r="AD60" s="242">
        <f t="shared" si="35"/>
        <v>7</v>
      </c>
      <c r="AE60" s="261" t="e">
        <f t="shared" si="4"/>
        <v>#N/A</v>
      </c>
      <c r="AF60" s="264" t="e">
        <f t="shared" si="36"/>
        <v>#N/A</v>
      </c>
      <c r="AG60" s="264" t="e">
        <f t="shared" si="37"/>
        <v>#N/A</v>
      </c>
      <c r="AH60" s="263" t="e">
        <f t="shared" si="5"/>
        <v>#N/A</v>
      </c>
      <c r="AI60" s="226">
        <f t="shared" si="38"/>
        <v>7</v>
      </c>
      <c r="AJ60" s="264" t="e">
        <f t="shared" si="6"/>
        <v>#N/A</v>
      </c>
      <c r="AK60" s="264" t="e">
        <f t="shared" si="39"/>
        <v>#N/A</v>
      </c>
      <c r="AL60" s="226" t="e">
        <f t="shared" si="7"/>
        <v>#N/A</v>
      </c>
      <c r="AM60" s="265" t="e">
        <f t="shared" si="40"/>
        <v>#N/A</v>
      </c>
      <c r="AN60" s="266" t="e">
        <f t="shared" si="8"/>
        <v>#N/A</v>
      </c>
      <c r="AO60" s="227" t="e">
        <f t="shared" si="9"/>
        <v>#N/A</v>
      </c>
      <c r="AP60" s="284">
        <f t="shared" si="41"/>
        <v>7</v>
      </c>
      <c r="AQ60" s="285" t="e">
        <f t="shared" si="10"/>
        <v>#N/A</v>
      </c>
      <c r="AR60" s="266" t="e">
        <f t="shared" si="42"/>
        <v>#N/A</v>
      </c>
      <c r="AS60" s="270" t="e">
        <f t="shared" si="11"/>
        <v>#N/A</v>
      </c>
      <c r="AT60" s="271">
        <f t="shared" si="43"/>
        <v>7</v>
      </c>
      <c r="AU60" s="272" t="e">
        <f t="shared" si="44"/>
        <v>#N/A</v>
      </c>
      <c r="AV60" s="273" t="e">
        <f t="shared" si="45"/>
        <v>#N/A</v>
      </c>
      <c r="AW60" s="274" t="e">
        <f t="shared" si="12"/>
        <v>#N/A</v>
      </c>
      <c r="AX60" s="232">
        <f t="shared" si="46"/>
        <v>7</v>
      </c>
      <c r="AY60" s="273" t="e">
        <f t="shared" si="13"/>
        <v>#N/A</v>
      </c>
      <c r="AZ60" s="232" t="e">
        <f t="shared" si="47"/>
        <v>#N/A</v>
      </c>
      <c r="BA60" s="232" t="e">
        <f t="shared" si="14"/>
        <v>#N/A</v>
      </c>
      <c r="BB60" s="275">
        <f t="shared" si="48"/>
        <v>7</v>
      </c>
      <c r="BC60" s="276" t="e">
        <f t="shared" si="49"/>
        <v>#N/A</v>
      </c>
      <c r="BD60" s="277" t="e">
        <f t="shared" si="50"/>
        <v>#N/A</v>
      </c>
      <c r="BE60" s="250" t="e">
        <f t="shared" si="15"/>
        <v>#N/A</v>
      </c>
      <c r="BF60" s="247">
        <f t="shared" si="51"/>
        <v>7</v>
      </c>
      <c r="BG60" s="276" t="e">
        <f t="shared" si="52"/>
        <v>#N/A</v>
      </c>
      <c r="BH60" s="277" t="e">
        <f t="shared" si="53"/>
        <v>#N/A</v>
      </c>
      <c r="BI60" s="250" t="e">
        <f t="shared" si="16"/>
        <v>#N/A</v>
      </c>
      <c r="BJ60" s="251">
        <f t="shared" si="54"/>
        <v>7</v>
      </c>
      <c r="BK60" s="278" t="e">
        <f t="shared" si="55"/>
        <v>#N/A</v>
      </c>
      <c r="BL60" s="278" t="e">
        <f t="shared" si="56"/>
        <v>#N/A</v>
      </c>
      <c r="BM60" s="279" t="e">
        <f t="shared" si="17"/>
        <v>#N/A</v>
      </c>
      <c r="BN60" s="280">
        <f t="shared" si="57"/>
        <v>7</v>
      </c>
      <c r="BO60" s="281" t="e">
        <f t="shared" si="58"/>
        <v>#N/A</v>
      </c>
      <c r="BP60" s="281" t="e">
        <f t="shared" si="59"/>
        <v>#N/A</v>
      </c>
      <c r="BQ60" s="279" t="e">
        <f t="shared" si="18"/>
        <v>#N/A</v>
      </c>
      <c r="BR60" s="282" t="e">
        <f t="shared" si="19"/>
        <v>#N/A</v>
      </c>
      <c r="BS60" s="217" t="e">
        <f>VLOOKUP($B60,SDR24_STOCK_BY_LA!$A$2:$C$11878,3,0)</f>
        <v>#N/A</v>
      </c>
      <c r="BT60" s="217" t="str">
        <f t="shared" si="60"/>
        <v/>
      </c>
    </row>
    <row r="61" spans="1:72" x14ac:dyDescent="0.2">
      <c r="A61" s="256" t="str">
        <f t="shared" si="61"/>
        <v/>
      </c>
      <c r="B61" s="217" t="str">
        <f t="shared" si="62"/>
        <v/>
      </c>
      <c r="C61" s="257" t="str">
        <f t="shared" si="20"/>
        <v/>
      </c>
      <c r="D61" s="256" t="str">
        <f>IF(B61="","",IF(totals!$Q$3=0,IFERROR(IF(AD61=2,"0",AE61),""),"-"))</f>
        <v/>
      </c>
      <c r="E61" s="258" t="str">
        <f t="shared" si="21"/>
        <v/>
      </c>
      <c r="F61" s="259" t="str">
        <f t="shared" si="22"/>
        <v/>
      </c>
      <c r="G61" s="259" t="str">
        <f t="shared" si="23"/>
        <v/>
      </c>
      <c r="H61" s="256" t="str">
        <f t="shared" si="1"/>
        <v/>
      </c>
      <c r="I61" s="259" t="str">
        <f t="shared" si="24"/>
        <v/>
      </c>
      <c r="J61" s="259" t="str">
        <f t="shared" si="25"/>
        <v/>
      </c>
      <c r="K61" s="256" t="str">
        <f t="shared" si="2"/>
        <v/>
      </c>
      <c r="L61" s="259" t="str">
        <f t="shared" si="3"/>
        <v/>
      </c>
      <c r="M61" s="259" t="str">
        <f t="shared" si="26"/>
        <v/>
      </c>
      <c r="N61" s="256" t="str">
        <f t="shared" si="27"/>
        <v/>
      </c>
      <c r="O61" s="259" t="str">
        <f t="shared" si="28"/>
        <v/>
      </c>
      <c r="P61" s="259" t="str">
        <f t="shared" si="29"/>
        <v/>
      </c>
      <c r="Q61" s="256" t="str">
        <f t="shared" si="30"/>
        <v/>
      </c>
      <c r="R61" s="259" t="str">
        <f t="shared" si="31"/>
        <v/>
      </c>
      <c r="S61" s="259" t="str">
        <f t="shared" si="32"/>
        <v/>
      </c>
      <c r="T61" s="256" t="str">
        <f t="shared" si="33"/>
        <v/>
      </c>
      <c r="U61" s="217"/>
      <c r="V61" s="217"/>
      <c r="AB61" s="257" t="e">
        <f>VLOOKUP($B$6,Lookup_Source,54,0)</f>
        <v>#N/A</v>
      </c>
      <c r="AC61" s="241" t="str">
        <f t="shared" si="34"/>
        <v/>
      </c>
      <c r="AD61" s="242">
        <f t="shared" si="35"/>
        <v>7</v>
      </c>
      <c r="AE61" s="261" t="e">
        <f t="shared" si="4"/>
        <v>#N/A</v>
      </c>
      <c r="AF61" s="264" t="e">
        <f t="shared" si="36"/>
        <v>#N/A</v>
      </c>
      <c r="AG61" s="264" t="e">
        <f t="shared" si="37"/>
        <v>#N/A</v>
      </c>
      <c r="AH61" s="263" t="e">
        <f t="shared" si="5"/>
        <v>#N/A</v>
      </c>
      <c r="AI61" s="226">
        <f t="shared" si="38"/>
        <v>7</v>
      </c>
      <c r="AJ61" s="264" t="e">
        <f t="shared" si="6"/>
        <v>#N/A</v>
      </c>
      <c r="AK61" s="264" t="e">
        <f t="shared" si="39"/>
        <v>#N/A</v>
      </c>
      <c r="AL61" s="226" t="e">
        <f t="shared" si="7"/>
        <v>#N/A</v>
      </c>
      <c r="AM61" s="265" t="e">
        <f t="shared" si="40"/>
        <v>#N/A</v>
      </c>
      <c r="AN61" s="266" t="e">
        <f t="shared" si="8"/>
        <v>#N/A</v>
      </c>
      <c r="AO61" s="227" t="e">
        <f t="shared" si="9"/>
        <v>#N/A</v>
      </c>
      <c r="AP61" s="284">
        <f t="shared" si="41"/>
        <v>7</v>
      </c>
      <c r="AQ61" s="285" t="e">
        <f t="shared" si="10"/>
        <v>#N/A</v>
      </c>
      <c r="AR61" s="266" t="e">
        <f t="shared" si="42"/>
        <v>#N/A</v>
      </c>
      <c r="AS61" s="270" t="e">
        <f t="shared" si="11"/>
        <v>#N/A</v>
      </c>
      <c r="AT61" s="271">
        <f t="shared" si="43"/>
        <v>7</v>
      </c>
      <c r="AU61" s="272" t="e">
        <f t="shared" si="44"/>
        <v>#N/A</v>
      </c>
      <c r="AV61" s="273" t="e">
        <f t="shared" si="45"/>
        <v>#N/A</v>
      </c>
      <c r="AW61" s="274" t="e">
        <f t="shared" si="12"/>
        <v>#N/A</v>
      </c>
      <c r="AX61" s="232">
        <f t="shared" si="46"/>
        <v>7</v>
      </c>
      <c r="AY61" s="273" t="e">
        <f t="shared" si="13"/>
        <v>#N/A</v>
      </c>
      <c r="AZ61" s="232" t="e">
        <f t="shared" si="47"/>
        <v>#N/A</v>
      </c>
      <c r="BA61" s="232" t="e">
        <f t="shared" si="14"/>
        <v>#N/A</v>
      </c>
      <c r="BB61" s="275">
        <f t="shared" si="48"/>
        <v>7</v>
      </c>
      <c r="BC61" s="276" t="e">
        <f t="shared" si="49"/>
        <v>#N/A</v>
      </c>
      <c r="BD61" s="277" t="e">
        <f t="shared" si="50"/>
        <v>#N/A</v>
      </c>
      <c r="BE61" s="250" t="e">
        <f t="shared" si="15"/>
        <v>#N/A</v>
      </c>
      <c r="BF61" s="247">
        <f t="shared" si="51"/>
        <v>7</v>
      </c>
      <c r="BG61" s="276" t="e">
        <f t="shared" si="52"/>
        <v>#N/A</v>
      </c>
      <c r="BH61" s="277" t="e">
        <f t="shared" si="53"/>
        <v>#N/A</v>
      </c>
      <c r="BI61" s="250" t="e">
        <f t="shared" si="16"/>
        <v>#N/A</v>
      </c>
      <c r="BJ61" s="251">
        <f t="shared" si="54"/>
        <v>7</v>
      </c>
      <c r="BK61" s="278" t="e">
        <f t="shared" si="55"/>
        <v>#N/A</v>
      </c>
      <c r="BL61" s="278" t="e">
        <f t="shared" si="56"/>
        <v>#N/A</v>
      </c>
      <c r="BM61" s="279" t="e">
        <f t="shared" si="17"/>
        <v>#N/A</v>
      </c>
      <c r="BN61" s="280">
        <f t="shared" si="57"/>
        <v>7</v>
      </c>
      <c r="BO61" s="281" t="e">
        <f t="shared" si="58"/>
        <v>#N/A</v>
      </c>
      <c r="BP61" s="281" t="e">
        <f t="shared" si="59"/>
        <v>#N/A</v>
      </c>
      <c r="BQ61" s="279" t="e">
        <f t="shared" si="18"/>
        <v>#N/A</v>
      </c>
      <c r="BR61" s="282" t="e">
        <f t="shared" si="19"/>
        <v>#N/A</v>
      </c>
      <c r="BS61" s="217" t="e">
        <f>VLOOKUP($B61,SDR24_STOCK_BY_LA!$A$2:$C$11878,3,0)</f>
        <v>#N/A</v>
      </c>
      <c r="BT61" s="217" t="str">
        <f t="shared" si="60"/>
        <v/>
      </c>
    </row>
    <row r="62" spans="1:72" x14ac:dyDescent="0.2">
      <c r="A62" s="217" t="str">
        <f t="shared" si="61"/>
        <v/>
      </c>
      <c r="B62" s="217" t="str">
        <f t="shared" si="62"/>
        <v/>
      </c>
      <c r="C62" s="283" t="str">
        <f t="shared" si="20"/>
        <v/>
      </c>
      <c r="D62" s="256" t="str">
        <f>IF(B62="","",IF(totals!$Q$3=0,IFERROR(IF(AD62=2,"0",AE62),""),"-"))</f>
        <v/>
      </c>
      <c r="E62" s="258" t="str">
        <f t="shared" si="21"/>
        <v/>
      </c>
      <c r="F62" s="259" t="str">
        <f t="shared" si="22"/>
        <v/>
      </c>
      <c r="G62" s="259" t="str">
        <f t="shared" si="23"/>
        <v/>
      </c>
      <c r="H62" s="256" t="str">
        <f t="shared" si="1"/>
        <v/>
      </c>
      <c r="I62" s="259" t="str">
        <f t="shared" si="24"/>
        <v/>
      </c>
      <c r="J62" s="259" t="str">
        <f t="shared" si="25"/>
        <v/>
      </c>
      <c r="K62" s="256" t="str">
        <f t="shared" si="2"/>
        <v/>
      </c>
      <c r="L62" s="259" t="str">
        <f t="shared" si="3"/>
        <v/>
      </c>
      <c r="M62" s="259" t="str">
        <f t="shared" si="26"/>
        <v/>
      </c>
      <c r="N62" s="256" t="str">
        <f t="shared" si="27"/>
        <v/>
      </c>
      <c r="O62" s="259" t="str">
        <f t="shared" si="28"/>
        <v/>
      </c>
      <c r="P62" s="259" t="str">
        <f t="shared" si="29"/>
        <v/>
      </c>
      <c r="Q62" s="256" t="str">
        <f t="shared" si="30"/>
        <v/>
      </c>
      <c r="R62" s="259" t="str">
        <f t="shared" si="31"/>
        <v/>
      </c>
      <c r="S62" s="259" t="str">
        <f t="shared" si="32"/>
        <v/>
      </c>
      <c r="T62" s="256" t="str">
        <f t="shared" si="33"/>
        <v/>
      </c>
      <c r="U62" s="217"/>
      <c r="V62" s="217"/>
      <c r="AB62" s="217" t="e">
        <f>VLOOKUP($B$6,Lookup_Source,55,0)</f>
        <v>#N/A</v>
      </c>
      <c r="AC62" s="241" t="str">
        <f t="shared" si="34"/>
        <v/>
      </c>
      <c r="AD62" s="242">
        <f t="shared" si="35"/>
        <v>7</v>
      </c>
      <c r="AE62" s="261" t="e">
        <f t="shared" si="4"/>
        <v>#N/A</v>
      </c>
      <c r="AF62" s="264" t="e">
        <f t="shared" si="36"/>
        <v>#N/A</v>
      </c>
      <c r="AG62" s="264" t="e">
        <f t="shared" si="37"/>
        <v>#N/A</v>
      </c>
      <c r="AH62" s="263" t="e">
        <f t="shared" si="5"/>
        <v>#N/A</v>
      </c>
      <c r="AI62" s="226">
        <f t="shared" si="38"/>
        <v>7</v>
      </c>
      <c r="AJ62" s="264" t="e">
        <f t="shared" si="6"/>
        <v>#N/A</v>
      </c>
      <c r="AK62" s="264" t="e">
        <f t="shared" si="39"/>
        <v>#N/A</v>
      </c>
      <c r="AL62" s="226" t="e">
        <f t="shared" si="7"/>
        <v>#N/A</v>
      </c>
      <c r="AM62" s="265" t="e">
        <f t="shared" si="40"/>
        <v>#N/A</v>
      </c>
      <c r="AN62" s="266" t="e">
        <f t="shared" si="8"/>
        <v>#N/A</v>
      </c>
      <c r="AO62" s="227" t="e">
        <f t="shared" si="9"/>
        <v>#N/A</v>
      </c>
      <c r="AP62" s="284">
        <f t="shared" si="41"/>
        <v>7</v>
      </c>
      <c r="AQ62" s="285" t="e">
        <f t="shared" si="10"/>
        <v>#N/A</v>
      </c>
      <c r="AR62" s="266" t="e">
        <f t="shared" si="42"/>
        <v>#N/A</v>
      </c>
      <c r="AS62" s="270" t="e">
        <f t="shared" si="11"/>
        <v>#N/A</v>
      </c>
      <c r="AT62" s="271">
        <f t="shared" si="43"/>
        <v>7</v>
      </c>
      <c r="AU62" s="272" t="e">
        <f t="shared" si="44"/>
        <v>#N/A</v>
      </c>
      <c r="AV62" s="273" t="e">
        <f t="shared" si="45"/>
        <v>#N/A</v>
      </c>
      <c r="AW62" s="274" t="e">
        <f t="shared" si="12"/>
        <v>#N/A</v>
      </c>
      <c r="AX62" s="232">
        <f t="shared" si="46"/>
        <v>7</v>
      </c>
      <c r="AY62" s="273" t="e">
        <f t="shared" si="13"/>
        <v>#N/A</v>
      </c>
      <c r="AZ62" s="232" t="e">
        <f t="shared" si="47"/>
        <v>#N/A</v>
      </c>
      <c r="BA62" s="232" t="e">
        <f t="shared" si="14"/>
        <v>#N/A</v>
      </c>
      <c r="BB62" s="275">
        <f t="shared" si="48"/>
        <v>7</v>
      </c>
      <c r="BC62" s="276" t="e">
        <f t="shared" si="49"/>
        <v>#N/A</v>
      </c>
      <c r="BD62" s="277" t="e">
        <f t="shared" si="50"/>
        <v>#N/A</v>
      </c>
      <c r="BE62" s="250" t="e">
        <f t="shared" si="15"/>
        <v>#N/A</v>
      </c>
      <c r="BF62" s="247">
        <f t="shared" si="51"/>
        <v>7</v>
      </c>
      <c r="BG62" s="276" t="e">
        <f t="shared" si="52"/>
        <v>#N/A</v>
      </c>
      <c r="BH62" s="277" t="e">
        <f t="shared" si="53"/>
        <v>#N/A</v>
      </c>
      <c r="BI62" s="250" t="e">
        <f t="shared" si="16"/>
        <v>#N/A</v>
      </c>
      <c r="BJ62" s="251">
        <f t="shared" si="54"/>
        <v>7</v>
      </c>
      <c r="BK62" s="278" t="e">
        <f t="shared" si="55"/>
        <v>#N/A</v>
      </c>
      <c r="BL62" s="278" t="e">
        <f t="shared" si="56"/>
        <v>#N/A</v>
      </c>
      <c r="BM62" s="279" t="e">
        <f t="shared" si="17"/>
        <v>#N/A</v>
      </c>
      <c r="BN62" s="280">
        <f t="shared" si="57"/>
        <v>7</v>
      </c>
      <c r="BO62" s="281" t="e">
        <f t="shared" si="58"/>
        <v>#N/A</v>
      </c>
      <c r="BP62" s="281" t="e">
        <f t="shared" si="59"/>
        <v>#N/A</v>
      </c>
      <c r="BQ62" s="279" t="e">
        <f t="shared" si="18"/>
        <v>#N/A</v>
      </c>
      <c r="BR62" s="282" t="e">
        <f t="shared" si="19"/>
        <v>#N/A</v>
      </c>
      <c r="BS62" s="217" t="e">
        <f>VLOOKUP($B62,SDR24_STOCK_BY_LA!$A$2:$C$11878,3,0)</f>
        <v>#N/A</v>
      </c>
      <c r="BT62" s="217" t="str">
        <f t="shared" si="60"/>
        <v/>
      </c>
    </row>
    <row r="63" spans="1:72" x14ac:dyDescent="0.2">
      <c r="A63" s="256" t="str">
        <f t="shared" si="61"/>
        <v/>
      </c>
      <c r="B63" s="217" t="str">
        <f t="shared" si="62"/>
        <v/>
      </c>
      <c r="C63" s="257" t="str">
        <f t="shared" si="20"/>
        <v/>
      </c>
      <c r="D63" s="256" t="str">
        <f>IF(B63="","",IF(totals!$Q$3=0,IFERROR(IF(AD63=2,"0",AE63),""),"-"))</f>
        <v/>
      </c>
      <c r="E63" s="258" t="str">
        <f t="shared" si="21"/>
        <v/>
      </c>
      <c r="F63" s="259" t="str">
        <f t="shared" si="22"/>
        <v/>
      </c>
      <c r="G63" s="259" t="str">
        <f t="shared" si="23"/>
        <v/>
      </c>
      <c r="H63" s="256" t="str">
        <f t="shared" si="1"/>
        <v/>
      </c>
      <c r="I63" s="259" t="str">
        <f t="shared" si="24"/>
        <v/>
      </c>
      <c r="J63" s="259" t="str">
        <f t="shared" si="25"/>
        <v/>
      </c>
      <c r="K63" s="256" t="str">
        <f t="shared" si="2"/>
        <v/>
      </c>
      <c r="L63" s="259" t="str">
        <f t="shared" si="3"/>
        <v/>
      </c>
      <c r="M63" s="259" t="str">
        <f t="shared" si="26"/>
        <v/>
      </c>
      <c r="N63" s="256" t="str">
        <f t="shared" si="27"/>
        <v/>
      </c>
      <c r="O63" s="259" t="str">
        <f t="shared" si="28"/>
        <v/>
      </c>
      <c r="P63" s="259" t="str">
        <f t="shared" si="29"/>
        <v/>
      </c>
      <c r="Q63" s="256" t="str">
        <f t="shared" si="30"/>
        <v/>
      </c>
      <c r="R63" s="259" t="str">
        <f t="shared" si="31"/>
        <v/>
      </c>
      <c r="S63" s="259" t="str">
        <f t="shared" si="32"/>
        <v/>
      </c>
      <c r="T63" s="256" t="str">
        <f t="shared" si="33"/>
        <v/>
      </c>
      <c r="U63" s="217"/>
      <c r="V63" s="217"/>
      <c r="AB63" s="257" t="e">
        <f>VLOOKUP($B$6,Lookup_Source,56,0)</f>
        <v>#N/A</v>
      </c>
      <c r="AC63" s="241" t="str">
        <f t="shared" si="34"/>
        <v/>
      </c>
      <c r="AD63" s="242">
        <f t="shared" si="35"/>
        <v>7</v>
      </c>
      <c r="AE63" s="261" t="e">
        <f t="shared" si="4"/>
        <v>#N/A</v>
      </c>
      <c r="AF63" s="264" t="e">
        <f t="shared" si="36"/>
        <v>#N/A</v>
      </c>
      <c r="AG63" s="264" t="e">
        <f t="shared" si="37"/>
        <v>#N/A</v>
      </c>
      <c r="AH63" s="263" t="e">
        <f t="shared" si="5"/>
        <v>#N/A</v>
      </c>
      <c r="AI63" s="226">
        <f t="shared" si="38"/>
        <v>7</v>
      </c>
      <c r="AJ63" s="264" t="e">
        <f t="shared" si="6"/>
        <v>#N/A</v>
      </c>
      <c r="AK63" s="264" t="e">
        <f t="shared" si="39"/>
        <v>#N/A</v>
      </c>
      <c r="AL63" s="226" t="e">
        <f t="shared" si="7"/>
        <v>#N/A</v>
      </c>
      <c r="AM63" s="265" t="e">
        <f t="shared" si="40"/>
        <v>#N/A</v>
      </c>
      <c r="AN63" s="266" t="e">
        <f t="shared" si="8"/>
        <v>#N/A</v>
      </c>
      <c r="AO63" s="227" t="e">
        <f t="shared" si="9"/>
        <v>#N/A</v>
      </c>
      <c r="AP63" s="284">
        <f t="shared" si="41"/>
        <v>7</v>
      </c>
      <c r="AQ63" s="285" t="e">
        <f t="shared" si="10"/>
        <v>#N/A</v>
      </c>
      <c r="AR63" s="266" t="e">
        <f t="shared" si="42"/>
        <v>#N/A</v>
      </c>
      <c r="AS63" s="270" t="e">
        <f t="shared" si="11"/>
        <v>#N/A</v>
      </c>
      <c r="AT63" s="271">
        <f t="shared" si="43"/>
        <v>7</v>
      </c>
      <c r="AU63" s="272" t="e">
        <f t="shared" si="44"/>
        <v>#N/A</v>
      </c>
      <c r="AV63" s="273" t="e">
        <f t="shared" si="45"/>
        <v>#N/A</v>
      </c>
      <c r="AW63" s="274" t="e">
        <f t="shared" si="12"/>
        <v>#N/A</v>
      </c>
      <c r="AX63" s="232">
        <f t="shared" si="46"/>
        <v>7</v>
      </c>
      <c r="AY63" s="273" t="e">
        <f t="shared" si="13"/>
        <v>#N/A</v>
      </c>
      <c r="AZ63" s="232" t="e">
        <f t="shared" si="47"/>
        <v>#N/A</v>
      </c>
      <c r="BA63" s="232" t="e">
        <f t="shared" si="14"/>
        <v>#N/A</v>
      </c>
      <c r="BB63" s="275">
        <f t="shared" si="48"/>
        <v>7</v>
      </c>
      <c r="BC63" s="276" t="e">
        <f t="shared" si="49"/>
        <v>#N/A</v>
      </c>
      <c r="BD63" s="277" t="e">
        <f t="shared" si="50"/>
        <v>#N/A</v>
      </c>
      <c r="BE63" s="250" t="e">
        <f t="shared" si="15"/>
        <v>#N/A</v>
      </c>
      <c r="BF63" s="247">
        <f t="shared" si="51"/>
        <v>7</v>
      </c>
      <c r="BG63" s="276" t="e">
        <f t="shared" si="52"/>
        <v>#N/A</v>
      </c>
      <c r="BH63" s="277" t="e">
        <f t="shared" si="53"/>
        <v>#N/A</v>
      </c>
      <c r="BI63" s="250" t="e">
        <f t="shared" si="16"/>
        <v>#N/A</v>
      </c>
      <c r="BJ63" s="251">
        <f t="shared" si="54"/>
        <v>7</v>
      </c>
      <c r="BK63" s="278" t="e">
        <f t="shared" si="55"/>
        <v>#N/A</v>
      </c>
      <c r="BL63" s="278" t="e">
        <f t="shared" si="56"/>
        <v>#N/A</v>
      </c>
      <c r="BM63" s="279" t="e">
        <f t="shared" si="17"/>
        <v>#N/A</v>
      </c>
      <c r="BN63" s="280">
        <f t="shared" si="57"/>
        <v>7</v>
      </c>
      <c r="BO63" s="281" t="e">
        <f t="shared" si="58"/>
        <v>#N/A</v>
      </c>
      <c r="BP63" s="281" t="e">
        <f t="shared" si="59"/>
        <v>#N/A</v>
      </c>
      <c r="BQ63" s="279" t="e">
        <f t="shared" si="18"/>
        <v>#N/A</v>
      </c>
      <c r="BR63" s="282" t="e">
        <f t="shared" si="19"/>
        <v>#N/A</v>
      </c>
      <c r="BS63" s="217" t="e">
        <f>VLOOKUP($B63,SDR24_STOCK_BY_LA!$A$2:$C$11878,3,0)</f>
        <v>#N/A</v>
      </c>
      <c r="BT63" s="217" t="str">
        <f t="shared" si="60"/>
        <v/>
      </c>
    </row>
    <row r="64" spans="1:72" x14ac:dyDescent="0.2">
      <c r="A64" s="217" t="str">
        <f t="shared" si="61"/>
        <v/>
      </c>
      <c r="B64" s="217" t="str">
        <f t="shared" si="62"/>
        <v/>
      </c>
      <c r="C64" s="283" t="str">
        <f t="shared" si="20"/>
        <v/>
      </c>
      <c r="D64" s="256" t="str">
        <f>IF(B64="","",IF(totals!$Q$3=0,IFERROR(IF(AD64=2,"0",AE64),""),"-"))</f>
        <v/>
      </c>
      <c r="E64" s="258" t="str">
        <f t="shared" si="21"/>
        <v/>
      </c>
      <c r="F64" s="259" t="str">
        <f t="shared" si="22"/>
        <v/>
      </c>
      <c r="G64" s="259" t="str">
        <f t="shared" si="23"/>
        <v/>
      </c>
      <c r="H64" s="256" t="str">
        <f t="shared" si="1"/>
        <v/>
      </c>
      <c r="I64" s="259" t="str">
        <f t="shared" si="24"/>
        <v/>
      </c>
      <c r="J64" s="259" t="str">
        <f t="shared" si="25"/>
        <v/>
      </c>
      <c r="K64" s="256" t="str">
        <f t="shared" si="2"/>
        <v/>
      </c>
      <c r="L64" s="259" t="str">
        <f t="shared" si="3"/>
        <v/>
      </c>
      <c r="M64" s="259" t="str">
        <f t="shared" si="26"/>
        <v/>
      </c>
      <c r="N64" s="256" t="str">
        <f t="shared" si="27"/>
        <v/>
      </c>
      <c r="O64" s="259" t="str">
        <f t="shared" si="28"/>
        <v/>
      </c>
      <c r="P64" s="259" t="str">
        <f t="shared" si="29"/>
        <v/>
      </c>
      <c r="Q64" s="256" t="str">
        <f t="shared" si="30"/>
        <v/>
      </c>
      <c r="R64" s="259" t="str">
        <f t="shared" si="31"/>
        <v/>
      </c>
      <c r="S64" s="259" t="str">
        <f t="shared" si="32"/>
        <v/>
      </c>
      <c r="T64" s="256" t="str">
        <f t="shared" si="33"/>
        <v/>
      </c>
      <c r="U64" s="217"/>
      <c r="V64" s="217"/>
      <c r="AB64" s="217" t="e">
        <f>VLOOKUP($B$6,Lookup_Source,57,0)</f>
        <v>#N/A</v>
      </c>
      <c r="AC64" s="241" t="str">
        <f t="shared" si="34"/>
        <v/>
      </c>
      <c r="AD64" s="242">
        <f t="shared" si="35"/>
        <v>7</v>
      </c>
      <c r="AE64" s="261" t="e">
        <f t="shared" si="4"/>
        <v>#N/A</v>
      </c>
      <c r="AF64" s="264" t="e">
        <f t="shared" si="36"/>
        <v>#N/A</v>
      </c>
      <c r="AG64" s="264" t="e">
        <f t="shared" si="37"/>
        <v>#N/A</v>
      </c>
      <c r="AH64" s="263" t="e">
        <f t="shared" si="5"/>
        <v>#N/A</v>
      </c>
      <c r="AI64" s="226">
        <f t="shared" si="38"/>
        <v>7</v>
      </c>
      <c r="AJ64" s="264" t="e">
        <f t="shared" si="6"/>
        <v>#N/A</v>
      </c>
      <c r="AK64" s="264" t="e">
        <f t="shared" si="39"/>
        <v>#N/A</v>
      </c>
      <c r="AL64" s="226" t="e">
        <f t="shared" si="7"/>
        <v>#N/A</v>
      </c>
      <c r="AM64" s="265" t="e">
        <f t="shared" si="40"/>
        <v>#N/A</v>
      </c>
      <c r="AN64" s="266" t="e">
        <f t="shared" si="8"/>
        <v>#N/A</v>
      </c>
      <c r="AO64" s="227" t="e">
        <f t="shared" si="9"/>
        <v>#N/A</v>
      </c>
      <c r="AP64" s="284">
        <f t="shared" si="41"/>
        <v>7</v>
      </c>
      <c r="AQ64" s="285" t="e">
        <f t="shared" si="10"/>
        <v>#N/A</v>
      </c>
      <c r="AR64" s="266" t="e">
        <f t="shared" si="42"/>
        <v>#N/A</v>
      </c>
      <c r="AS64" s="270" t="e">
        <f t="shared" si="11"/>
        <v>#N/A</v>
      </c>
      <c r="AT64" s="271">
        <f t="shared" si="43"/>
        <v>7</v>
      </c>
      <c r="AU64" s="272" t="e">
        <f t="shared" si="44"/>
        <v>#N/A</v>
      </c>
      <c r="AV64" s="273" t="e">
        <f t="shared" si="45"/>
        <v>#N/A</v>
      </c>
      <c r="AW64" s="274" t="e">
        <f t="shared" si="12"/>
        <v>#N/A</v>
      </c>
      <c r="AX64" s="232">
        <f t="shared" si="46"/>
        <v>7</v>
      </c>
      <c r="AY64" s="273" t="e">
        <f t="shared" si="13"/>
        <v>#N/A</v>
      </c>
      <c r="AZ64" s="232" t="e">
        <f t="shared" si="47"/>
        <v>#N/A</v>
      </c>
      <c r="BA64" s="232" t="e">
        <f t="shared" si="14"/>
        <v>#N/A</v>
      </c>
      <c r="BB64" s="275">
        <f t="shared" si="48"/>
        <v>7</v>
      </c>
      <c r="BC64" s="276" t="e">
        <f t="shared" si="49"/>
        <v>#N/A</v>
      </c>
      <c r="BD64" s="277" t="e">
        <f t="shared" si="50"/>
        <v>#N/A</v>
      </c>
      <c r="BE64" s="250" t="e">
        <f t="shared" si="15"/>
        <v>#N/A</v>
      </c>
      <c r="BF64" s="247">
        <f t="shared" si="51"/>
        <v>7</v>
      </c>
      <c r="BG64" s="276" t="e">
        <f t="shared" si="52"/>
        <v>#N/A</v>
      </c>
      <c r="BH64" s="277" t="e">
        <f t="shared" si="53"/>
        <v>#N/A</v>
      </c>
      <c r="BI64" s="250" t="e">
        <f t="shared" si="16"/>
        <v>#N/A</v>
      </c>
      <c r="BJ64" s="251">
        <f t="shared" si="54"/>
        <v>7</v>
      </c>
      <c r="BK64" s="278" t="e">
        <f t="shared" si="55"/>
        <v>#N/A</v>
      </c>
      <c r="BL64" s="278" t="e">
        <f t="shared" si="56"/>
        <v>#N/A</v>
      </c>
      <c r="BM64" s="279" t="e">
        <f t="shared" si="17"/>
        <v>#N/A</v>
      </c>
      <c r="BN64" s="280">
        <f t="shared" si="57"/>
        <v>7</v>
      </c>
      <c r="BO64" s="281" t="e">
        <f t="shared" si="58"/>
        <v>#N/A</v>
      </c>
      <c r="BP64" s="281" t="e">
        <f t="shared" si="59"/>
        <v>#N/A</v>
      </c>
      <c r="BQ64" s="279" t="e">
        <f t="shared" si="18"/>
        <v>#N/A</v>
      </c>
      <c r="BR64" s="282" t="e">
        <f t="shared" si="19"/>
        <v>#N/A</v>
      </c>
      <c r="BS64" s="217" t="e">
        <f>VLOOKUP($B64,SDR24_STOCK_BY_LA!$A$2:$C$11878,3,0)</f>
        <v>#N/A</v>
      </c>
      <c r="BT64" s="217" t="str">
        <f t="shared" si="60"/>
        <v/>
      </c>
    </row>
    <row r="65" spans="1:72" x14ac:dyDescent="0.2">
      <c r="A65" s="256" t="str">
        <f t="shared" si="61"/>
        <v/>
      </c>
      <c r="B65" s="217" t="str">
        <f t="shared" si="62"/>
        <v/>
      </c>
      <c r="C65" s="257" t="str">
        <f t="shared" si="20"/>
        <v/>
      </c>
      <c r="D65" s="256" t="str">
        <f>IF(B65="","",IF(totals!$Q$3=0,IFERROR(IF(AD65=2,"0",AE65),""),"-"))</f>
        <v/>
      </c>
      <c r="E65" s="258" t="str">
        <f t="shared" si="21"/>
        <v/>
      </c>
      <c r="F65" s="259" t="str">
        <f t="shared" si="22"/>
        <v/>
      </c>
      <c r="G65" s="259" t="str">
        <f t="shared" si="23"/>
        <v/>
      </c>
      <c r="H65" s="256" t="str">
        <f t="shared" si="1"/>
        <v/>
      </c>
      <c r="I65" s="259" t="str">
        <f t="shared" si="24"/>
        <v/>
      </c>
      <c r="J65" s="259" t="str">
        <f t="shared" si="25"/>
        <v/>
      </c>
      <c r="K65" s="256" t="str">
        <f t="shared" si="2"/>
        <v/>
      </c>
      <c r="L65" s="259" t="str">
        <f t="shared" si="3"/>
        <v/>
      </c>
      <c r="M65" s="259" t="str">
        <f t="shared" si="26"/>
        <v/>
      </c>
      <c r="N65" s="256" t="str">
        <f t="shared" si="27"/>
        <v/>
      </c>
      <c r="O65" s="259" t="str">
        <f t="shared" si="28"/>
        <v/>
      </c>
      <c r="P65" s="259" t="str">
        <f t="shared" si="29"/>
        <v/>
      </c>
      <c r="Q65" s="256" t="str">
        <f t="shared" si="30"/>
        <v/>
      </c>
      <c r="R65" s="259" t="str">
        <f t="shared" si="31"/>
        <v/>
      </c>
      <c r="S65" s="259" t="str">
        <f t="shared" si="32"/>
        <v/>
      </c>
      <c r="T65" s="256" t="str">
        <f t="shared" si="33"/>
        <v/>
      </c>
      <c r="U65" s="217"/>
      <c r="V65" s="217"/>
      <c r="AB65" s="257" t="e">
        <f>VLOOKUP($B$6,Lookup_Source,58,0)</f>
        <v>#N/A</v>
      </c>
      <c r="AC65" s="241" t="str">
        <f t="shared" si="34"/>
        <v/>
      </c>
      <c r="AD65" s="242">
        <f t="shared" si="35"/>
        <v>7</v>
      </c>
      <c r="AE65" s="261" t="e">
        <f t="shared" si="4"/>
        <v>#N/A</v>
      </c>
      <c r="AF65" s="264" t="e">
        <f t="shared" si="36"/>
        <v>#N/A</v>
      </c>
      <c r="AG65" s="264" t="e">
        <f t="shared" si="37"/>
        <v>#N/A</v>
      </c>
      <c r="AH65" s="263" t="e">
        <f t="shared" si="5"/>
        <v>#N/A</v>
      </c>
      <c r="AI65" s="226">
        <f t="shared" si="38"/>
        <v>7</v>
      </c>
      <c r="AJ65" s="264" t="e">
        <f t="shared" si="6"/>
        <v>#N/A</v>
      </c>
      <c r="AK65" s="264" t="e">
        <f t="shared" si="39"/>
        <v>#N/A</v>
      </c>
      <c r="AL65" s="226" t="e">
        <f t="shared" si="7"/>
        <v>#N/A</v>
      </c>
      <c r="AM65" s="265" t="e">
        <f t="shared" si="40"/>
        <v>#N/A</v>
      </c>
      <c r="AN65" s="266" t="e">
        <f t="shared" si="8"/>
        <v>#N/A</v>
      </c>
      <c r="AO65" s="227" t="e">
        <f t="shared" si="9"/>
        <v>#N/A</v>
      </c>
      <c r="AP65" s="284">
        <f t="shared" si="41"/>
        <v>7</v>
      </c>
      <c r="AQ65" s="285" t="e">
        <f t="shared" si="10"/>
        <v>#N/A</v>
      </c>
      <c r="AR65" s="266" t="e">
        <f t="shared" si="42"/>
        <v>#N/A</v>
      </c>
      <c r="AS65" s="270" t="e">
        <f t="shared" si="11"/>
        <v>#N/A</v>
      </c>
      <c r="AT65" s="271">
        <f t="shared" si="43"/>
        <v>7</v>
      </c>
      <c r="AU65" s="272" t="e">
        <f t="shared" si="44"/>
        <v>#N/A</v>
      </c>
      <c r="AV65" s="273" t="e">
        <f t="shared" si="45"/>
        <v>#N/A</v>
      </c>
      <c r="AW65" s="274" t="e">
        <f t="shared" si="12"/>
        <v>#N/A</v>
      </c>
      <c r="AX65" s="232">
        <f t="shared" si="46"/>
        <v>7</v>
      </c>
      <c r="AY65" s="273" t="e">
        <f t="shared" si="13"/>
        <v>#N/A</v>
      </c>
      <c r="AZ65" s="232" t="e">
        <f t="shared" si="47"/>
        <v>#N/A</v>
      </c>
      <c r="BA65" s="232" t="e">
        <f t="shared" si="14"/>
        <v>#N/A</v>
      </c>
      <c r="BB65" s="275">
        <f t="shared" si="48"/>
        <v>7</v>
      </c>
      <c r="BC65" s="276" t="e">
        <f t="shared" si="49"/>
        <v>#N/A</v>
      </c>
      <c r="BD65" s="277" t="e">
        <f t="shared" si="50"/>
        <v>#N/A</v>
      </c>
      <c r="BE65" s="250" t="e">
        <f t="shared" si="15"/>
        <v>#N/A</v>
      </c>
      <c r="BF65" s="247">
        <f t="shared" si="51"/>
        <v>7</v>
      </c>
      <c r="BG65" s="276" t="e">
        <f t="shared" si="52"/>
        <v>#N/A</v>
      </c>
      <c r="BH65" s="277" t="e">
        <f t="shared" si="53"/>
        <v>#N/A</v>
      </c>
      <c r="BI65" s="250" t="e">
        <f t="shared" si="16"/>
        <v>#N/A</v>
      </c>
      <c r="BJ65" s="251">
        <f t="shared" si="54"/>
        <v>7</v>
      </c>
      <c r="BK65" s="278" t="e">
        <f t="shared" si="55"/>
        <v>#N/A</v>
      </c>
      <c r="BL65" s="278" t="e">
        <f t="shared" si="56"/>
        <v>#N/A</v>
      </c>
      <c r="BM65" s="279" t="e">
        <f t="shared" si="17"/>
        <v>#N/A</v>
      </c>
      <c r="BN65" s="280">
        <f t="shared" si="57"/>
        <v>7</v>
      </c>
      <c r="BO65" s="281" t="e">
        <f t="shared" si="58"/>
        <v>#N/A</v>
      </c>
      <c r="BP65" s="281" t="e">
        <f t="shared" si="59"/>
        <v>#N/A</v>
      </c>
      <c r="BQ65" s="279" t="e">
        <f t="shared" si="18"/>
        <v>#N/A</v>
      </c>
      <c r="BR65" s="282" t="e">
        <f t="shared" si="19"/>
        <v>#N/A</v>
      </c>
      <c r="BS65" s="217" t="e">
        <f>VLOOKUP($B65,SDR24_STOCK_BY_LA!$A$2:$C$11878,3,0)</f>
        <v>#N/A</v>
      </c>
      <c r="BT65" s="217" t="str">
        <f t="shared" si="60"/>
        <v/>
      </c>
    </row>
    <row r="66" spans="1:72" x14ac:dyDescent="0.2">
      <c r="A66" s="217" t="str">
        <f t="shared" si="61"/>
        <v/>
      </c>
      <c r="B66" s="217" t="str">
        <f t="shared" si="62"/>
        <v/>
      </c>
      <c r="C66" s="283" t="str">
        <f t="shared" si="20"/>
        <v/>
      </c>
      <c r="D66" s="256" t="str">
        <f>IF(B66="","",IF(totals!$Q$3=0,IFERROR(IF(AD66=2,"0",AE66),""),"-"))</f>
        <v/>
      </c>
      <c r="E66" s="258" t="str">
        <f t="shared" si="21"/>
        <v/>
      </c>
      <c r="F66" s="259" t="str">
        <f t="shared" si="22"/>
        <v/>
      </c>
      <c r="G66" s="259" t="str">
        <f t="shared" si="23"/>
        <v/>
      </c>
      <c r="H66" s="256" t="str">
        <f t="shared" si="1"/>
        <v/>
      </c>
      <c r="I66" s="259" t="str">
        <f t="shared" si="24"/>
        <v/>
      </c>
      <c r="J66" s="259" t="str">
        <f t="shared" si="25"/>
        <v/>
      </c>
      <c r="K66" s="256" t="str">
        <f t="shared" si="2"/>
        <v/>
      </c>
      <c r="L66" s="259" t="str">
        <f t="shared" si="3"/>
        <v/>
      </c>
      <c r="M66" s="259" t="str">
        <f t="shared" si="26"/>
        <v/>
      </c>
      <c r="N66" s="256" t="str">
        <f t="shared" si="27"/>
        <v/>
      </c>
      <c r="O66" s="259" t="str">
        <f t="shared" si="28"/>
        <v/>
      </c>
      <c r="P66" s="259" t="str">
        <f t="shared" si="29"/>
        <v/>
      </c>
      <c r="Q66" s="256" t="str">
        <f t="shared" si="30"/>
        <v/>
      </c>
      <c r="R66" s="259" t="str">
        <f t="shared" si="31"/>
        <v/>
      </c>
      <c r="S66" s="259" t="str">
        <f t="shared" si="32"/>
        <v/>
      </c>
      <c r="T66" s="256" t="str">
        <f t="shared" si="33"/>
        <v/>
      </c>
      <c r="U66" s="217"/>
      <c r="V66" s="217"/>
      <c r="AB66" s="217" t="e">
        <f>VLOOKUP($B$6,Lookup_Source,59,0)</f>
        <v>#N/A</v>
      </c>
      <c r="AC66" s="241" t="str">
        <f t="shared" si="34"/>
        <v/>
      </c>
      <c r="AD66" s="242">
        <f t="shared" si="35"/>
        <v>7</v>
      </c>
      <c r="AE66" s="261" t="e">
        <f t="shared" si="4"/>
        <v>#N/A</v>
      </c>
      <c r="AF66" s="264" t="e">
        <f t="shared" si="36"/>
        <v>#N/A</v>
      </c>
      <c r="AG66" s="264" t="e">
        <f t="shared" si="37"/>
        <v>#N/A</v>
      </c>
      <c r="AH66" s="263" t="e">
        <f t="shared" si="5"/>
        <v>#N/A</v>
      </c>
      <c r="AI66" s="226">
        <f t="shared" si="38"/>
        <v>7</v>
      </c>
      <c r="AJ66" s="264" t="e">
        <f t="shared" si="6"/>
        <v>#N/A</v>
      </c>
      <c r="AK66" s="264" t="e">
        <f t="shared" si="39"/>
        <v>#N/A</v>
      </c>
      <c r="AL66" s="226" t="e">
        <f t="shared" si="7"/>
        <v>#N/A</v>
      </c>
      <c r="AM66" s="265" t="e">
        <f t="shared" si="40"/>
        <v>#N/A</v>
      </c>
      <c r="AN66" s="266" t="e">
        <f t="shared" si="8"/>
        <v>#N/A</v>
      </c>
      <c r="AO66" s="227" t="e">
        <f t="shared" si="9"/>
        <v>#N/A</v>
      </c>
      <c r="AP66" s="284">
        <f t="shared" si="41"/>
        <v>7</v>
      </c>
      <c r="AQ66" s="285" t="e">
        <f t="shared" si="10"/>
        <v>#N/A</v>
      </c>
      <c r="AR66" s="266" t="e">
        <f t="shared" si="42"/>
        <v>#N/A</v>
      </c>
      <c r="AS66" s="270" t="e">
        <f t="shared" si="11"/>
        <v>#N/A</v>
      </c>
      <c r="AT66" s="271">
        <f t="shared" si="43"/>
        <v>7</v>
      </c>
      <c r="AU66" s="272" t="e">
        <f t="shared" si="44"/>
        <v>#N/A</v>
      </c>
      <c r="AV66" s="273" t="e">
        <f t="shared" si="45"/>
        <v>#N/A</v>
      </c>
      <c r="AW66" s="274" t="e">
        <f t="shared" si="12"/>
        <v>#N/A</v>
      </c>
      <c r="AX66" s="232">
        <f t="shared" si="46"/>
        <v>7</v>
      </c>
      <c r="AY66" s="273" t="e">
        <f t="shared" si="13"/>
        <v>#N/A</v>
      </c>
      <c r="AZ66" s="232" t="e">
        <f t="shared" si="47"/>
        <v>#N/A</v>
      </c>
      <c r="BA66" s="232" t="e">
        <f t="shared" si="14"/>
        <v>#N/A</v>
      </c>
      <c r="BB66" s="275">
        <f t="shared" si="48"/>
        <v>7</v>
      </c>
      <c r="BC66" s="276" t="e">
        <f t="shared" si="49"/>
        <v>#N/A</v>
      </c>
      <c r="BD66" s="277" t="e">
        <f t="shared" si="50"/>
        <v>#N/A</v>
      </c>
      <c r="BE66" s="250" t="e">
        <f t="shared" si="15"/>
        <v>#N/A</v>
      </c>
      <c r="BF66" s="247">
        <f t="shared" si="51"/>
        <v>7</v>
      </c>
      <c r="BG66" s="276" t="e">
        <f t="shared" si="52"/>
        <v>#N/A</v>
      </c>
      <c r="BH66" s="277" t="e">
        <f t="shared" si="53"/>
        <v>#N/A</v>
      </c>
      <c r="BI66" s="250" t="e">
        <f t="shared" si="16"/>
        <v>#N/A</v>
      </c>
      <c r="BJ66" s="251">
        <f t="shared" si="54"/>
        <v>7</v>
      </c>
      <c r="BK66" s="278" t="e">
        <f t="shared" si="55"/>
        <v>#N/A</v>
      </c>
      <c r="BL66" s="278" t="e">
        <f t="shared" si="56"/>
        <v>#N/A</v>
      </c>
      <c r="BM66" s="279" t="e">
        <f t="shared" si="17"/>
        <v>#N/A</v>
      </c>
      <c r="BN66" s="280">
        <f t="shared" si="57"/>
        <v>7</v>
      </c>
      <c r="BO66" s="281" t="e">
        <f t="shared" si="58"/>
        <v>#N/A</v>
      </c>
      <c r="BP66" s="281" t="e">
        <f t="shared" si="59"/>
        <v>#N/A</v>
      </c>
      <c r="BQ66" s="279" t="e">
        <f t="shared" si="18"/>
        <v>#N/A</v>
      </c>
      <c r="BR66" s="282" t="e">
        <f t="shared" si="19"/>
        <v>#N/A</v>
      </c>
      <c r="BS66" s="217" t="e">
        <f>VLOOKUP($B66,SDR24_STOCK_BY_LA!$A$2:$C$11878,3,0)</f>
        <v>#N/A</v>
      </c>
      <c r="BT66" s="217" t="str">
        <f t="shared" si="60"/>
        <v/>
      </c>
    </row>
    <row r="67" spans="1:72" x14ac:dyDescent="0.2">
      <c r="A67" s="256" t="str">
        <f t="shared" si="61"/>
        <v/>
      </c>
      <c r="B67" s="217" t="str">
        <f t="shared" si="62"/>
        <v/>
      </c>
      <c r="C67" s="257" t="str">
        <f t="shared" si="20"/>
        <v/>
      </c>
      <c r="D67" s="256" t="str">
        <f>IF(B67="","",IF(totals!$Q$3=0,IFERROR(IF(AD67=2,"0",AE67),""),"-"))</f>
        <v/>
      </c>
      <c r="E67" s="258" t="str">
        <f t="shared" si="21"/>
        <v/>
      </c>
      <c r="F67" s="259" t="str">
        <f t="shared" si="22"/>
        <v/>
      </c>
      <c r="G67" s="259" t="str">
        <f t="shared" si="23"/>
        <v/>
      </c>
      <c r="H67" s="256" t="str">
        <f t="shared" si="1"/>
        <v/>
      </c>
      <c r="I67" s="259" t="str">
        <f t="shared" si="24"/>
        <v/>
      </c>
      <c r="J67" s="259" t="str">
        <f t="shared" si="25"/>
        <v/>
      </c>
      <c r="K67" s="256" t="str">
        <f t="shared" si="2"/>
        <v/>
      </c>
      <c r="L67" s="259" t="str">
        <f t="shared" si="3"/>
        <v/>
      </c>
      <c r="M67" s="259" t="str">
        <f t="shared" si="26"/>
        <v/>
      </c>
      <c r="N67" s="256" t="str">
        <f t="shared" si="27"/>
        <v/>
      </c>
      <c r="O67" s="259" t="str">
        <f t="shared" si="28"/>
        <v/>
      </c>
      <c r="P67" s="259" t="str">
        <f t="shared" si="29"/>
        <v/>
      </c>
      <c r="Q67" s="256" t="str">
        <f t="shared" si="30"/>
        <v/>
      </c>
      <c r="R67" s="259" t="str">
        <f t="shared" si="31"/>
        <v/>
      </c>
      <c r="S67" s="259" t="str">
        <f t="shared" si="32"/>
        <v/>
      </c>
      <c r="T67" s="256" t="str">
        <f t="shared" si="33"/>
        <v/>
      </c>
      <c r="U67" s="217"/>
      <c r="V67" s="217"/>
      <c r="AB67" s="257" t="e">
        <f>VLOOKUP($B$6,Lookup_Source,60,0)</f>
        <v>#N/A</v>
      </c>
      <c r="AC67" s="241" t="str">
        <f t="shared" si="34"/>
        <v/>
      </c>
      <c r="AD67" s="242">
        <f t="shared" si="35"/>
        <v>7</v>
      </c>
      <c r="AE67" s="261" t="e">
        <f t="shared" si="4"/>
        <v>#N/A</v>
      </c>
      <c r="AF67" s="264" t="e">
        <f t="shared" si="36"/>
        <v>#N/A</v>
      </c>
      <c r="AG67" s="264" t="e">
        <f t="shared" si="37"/>
        <v>#N/A</v>
      </c>
      <c r="AH67" s="263" t="e">
        <f t="shared" si="5"/>
        <v>#N/A</v>
      </c>
      <c r="AI67" s="226">
        <f t="shared" si="38"/>
        <v>7</v>
      </c>
      <c r="AJ67" s="264" t="e">
        <f t="shared" si="6"/>
        <v>#N/A</v>
      </c>
      <c r="AK67" s="264" t="e">
        <f t="shared" si="39"/>
        <v>#N/A</v>
      </c>
      <c r="AL67" s="226" t="e">
        <f t="shared" si="7"/>
        <v>#N/A</v>
      </c>
      <c r="AM67" s="265" t="e">
        <f t="shared" si="40"/>
        <v>#N/A</v>
      </c>
      <c r="AN67" s="266" t="e">
        <f t="shared" si="8"/>
        <v>#N/A</v>
      </c>
      <c r="AO67" s="227" t="e">
        <f t="shared" si="9"/>
        <v>#N/A</v>
      </c>
      <c r="AP67" s="284">
        <f t="shared" si="41"/>
        <v>7</v>
      </c>
      <c r="AQ67" s="285" t="e">
        <f t="shared" si="10"/>
        <v>#N/A</v>
      </c>
      <c r="AR67" s="266" t="e">
        <f t="shared" si="42"/>
        <v>#N/A</v>
      </c>
      <c r="AS67" s="270" t="e">
        <f t="shared" si="11"/>
        <v>#N/A</v>
      </c>
      <c r="AT67" s="271">
        <f t="shared" si="43"/>
        <v>7</v>
      </c>
      <c r="AU67" s="272" t="e">
        <f t="shared" si="44"/>
        <v>#N/A</v>
      </c>
      <c r="AV67" s="273" t="e">
        <f t="shared" si="45"/>
        <v>#N/A</v>
      </c>
      <c r="AW67" s="274" t="e">
        <f t="shared" si="12"/>
        <v>#N/A</v>
      </c>
      <c r="AX67" s="232">
        <f t="shared" si="46"/>
        <v>7</v>
      </c>
      <c r="AY67" s="273" t="e">
        <f t="shared" si="13"/>
        <v>#N/A</v>
      </c>
      <c r="AZ67" s="232" t="e">
        <f t="shared" si="47"/>
        <v>#N/A</v>
      </c>
      <c r="BA67" s="232" t="e">
        <f t="shared" si="14"/>
        <v>#N/A</v>
      </c>
      <c r="BB67" s="275">
        <f t="shared" si="48"/>
        <v>7</v>
      </c>
      <c r="BC67" s="276" t="e">
        <f t="shared" si="49"/>
        <v>#N/A</v>
      </c>
      <c r="BD67" s="277" t="e">
        <f t="shared" si="50"/>
        <v>#N/A</v>
      </c>
      <c r="BE67" s="250" t="e">
        <f t="shared" si="15"/>
        <v>#N/A</v>
      </c>
      <c r="BF67" s="247">
        <f t="shared" si="51"/>
        <v>7</v>
      </c>
      <c r="BG67" s="276" t="e">
        <f t="shared" si="52"/>
        <v>#N/A</v>
      </c>
      <c r="BH67" s="277" t="e">
        <f t="shared" si="53"/>
        <v>#N/A</v>
      </c>
      <c r="BI67" s="250" t="e">
        <f t="shared" si="16"/>
        <v>#N/A</v>
      </c>
      <c r="BJ67" s="251">
        <f t="shared" si="54"/>
        <v>7</v>
      </c>
      <c r="BK67" s="278" t="e">
        <f t="shared" si="55"/>
        <v>#N/A</v>
      </c>
      <c r="BL67" s="278" t="e">
        <f t="shared" si="56"/>
        <v>#N/A</v>
      </c>
      <c r="BM67" s="279" t="e">
        <f t="shared" si="17"/>
        <v>#N/A</v>
      </c>
      <c r="BN67" s="280">
        <f t="shared" si="57"/>
        <v>7</v>
      </c>
      <c r="BO67" s="281" t="e">
        <f t="shared" si="58"/>
        <v>#N/A</v>
      </c>
      <c r="BP67" s="281" t="e">
        <f t="shared" si="59"/>
        <v>#N/A</v>
      </c>
      <c r="BQ67" s="279" t="e">
        <f t="shared" si="18"/>
        <v>#N/A</v>
      </c>
      <c r="BR67" s="282" t="e">
        <f t="shared" si="19"/>
        <v>#N/A</v>
      </c>
      <c r="BS67" s="217" t="e">
        <f>VLOOKUP($B67,SDR24_STOCK_BY_LA!$A$2:$C$11878,3,0)</f>
        <v>#N/A</v>
      </c>
      <c r="BT67" s="217" t="str">
        <f t="shared" si="60"/>
        <v/>
      </c>
    </row>
    <row r="68" spans="1:72" x14ac:dyDescent="0.2">
      <c r="A68" s="217" t="str">
        <f t="shared" si="61"/>
        <v/>
      </c>
      <c r="B68" s="217" t="str">
        <f t="shared" si="62"/>
        <v/>
      </c>
      <c r="C68" s="283" t="str">
        <f t="shared" si="20"/>
        <v/>
      </c>
      <c r="D68" s="256" t="str">
        <f>IF(B68="","",IF(totals!$Q$3=0,IFERROR(IF(AD68=2,"0",AE68),""),"-"))</f>
        <v/>
      </c>
      <c r="E68" s="258" t="str">
        <f t="shared" si="21"/>
        <v/>
      </c>
      <c r="F68" s="259" t="str">
        <f t="shared" si="22"/>
        <v/>
      </c>
      <c r="G68" s="259" t="str">
        <f t="shared" si="23"/>
        <v/>
      </c>
      <c r="H68" s="256" t="str">
        <f t="shared" si="1"/>
        <v/>
      </c>
      <c r="I68" s="259" t="str">
        <f t="shared" si="24"/>
        <v/>
      </c>
      <c r="J68" s="259" t="str">
        <f t="shared" si="25"/>
        <v/>
      </c>
      <c r="K68" s="256" t="str">
        <f t="shared" si="2"/>
        <v/>
      </c>
      <c r="L68" s="259" t="str">
        <f t="shared" si="3"/>
        <v/>
      </c>
      <c r="M68" s="259" t="str">
        <f t="shared" si="26"/>
        <v/>
      </c>
      <c r="N68" s="256" t="str">
        <f t="shared" si="27"/>
        <v/>
      </c>
      <c r="O68" s="259" t="str">
        <f t="shared" si="28"/>
        <v/>
      </c>
      <c r="P68" s="259" t="str">
        <f t="shared" si="29"/>
        <v/>
      </c>
      <c r="Q68" s="256" t="str">
        <f t="shared" si="30"/>
        <v/>
      </c>
      <c r="R68" s="259" t="str">
        <f t="shared" si="31"/>
        <v/>
      </c>
      <c r="S68" s="259" t="str">
        <f t="shared" si="32"/>
        <v/>
      </c>
      <c r="T68" s="256" t="str">
        <f t="shared" si="33"/>
        <v/>
      </c>
      <c r="U68" s="217"/>
      <c r="V68" s="217"/>
      <c r="AB68" s="217" t="e">
        <f>VLOOKUP($B$6,Lookup_Source,61,0)</f>
        <v>#N/A</v>
      </c>
      <c r="AC68" s="241" t="str">
        <f t="shared" si="34"/>
        <v/>
      </c>
      <c r="AD68" s="242">
        <f t="shared" si="35"/>
        <v>7</v>
      </c>
      <c r="AE68" s="261" t="e">
        <f t="shared" si="4"/>
        <v>#N/A</v>
      </c>
      <c r="AF68" s="264" t="e">
        <f t="shared" si="36"/>
        <v>#N/A</v>
      </c>
      <c r="AG68" s="264" t="e">
        <f t="shared" si="37"/>
        <v>#N/A</v>
      </c>
      <c r="AH68" s="263" t="e">
        <f t="shared" si="5"/>
        <v>#N/A</v>
      </c>
      <c r="AI68" s="226">
        <f t="shared" si="38"/>
        <v>7</v>
      </c>
      <c r="AJ68" s="264" t="e">
        <f t="shared" si="6"/>
        <v>#N/A</v>
      </c>
      <c r="AK68" s="264" t="e">
        <f t="shared" si="39"/>
        <v>#N/A</v>
      </c>
      <c r="AL68" s="226" t="e">
        <f t="shared" si="7"/>
        <v>#N/A</v>
      </c>
      <c r="AM68" s="265" t="e">
        <f t="shared" si="40"/>
        <v>#N/A</v>
      </c>
      <c r="AN68" s="266" t="e">
        <f t="shared" si="8"/>
        <v>#N/A</v>
      </c>
      <c r="AO68" s="227" t="e">
        <f t="shared" si="9"/>
        <v>#N/A</v>
      </c>
      <c r="AP68" s="284">
        <f t="shared" si="41"/>
        <v>7</v>
      </c>
      <c r="AQ68" s="285" t="e">
        <f t="shared" si="10"/>
        <v>#N/A</v>
      </c>
      <c r="AR68" s="266" t="e">
        <f t="shared" si="42"/>
        <v>#N/A</v>
      </c>
      <c r="AS68" s="270" t="e">
        <f t="shared" si="11"/>
        <v>#N/A</v>
      </c>
      <c r="AT68" s="271">
        <f t="shared" si="43"/>
        <v>7</v>
      </c>
      <c r="AU68" s="272" t="e">
        <f t="shared" si="44"/>
        <v>#N/A</v>
      </c>
      <c r="AV68" s="273" t="e">
        <f t="shared" si="45"/>
        <v>#N/A</v>
      </c>
      <c r="AW68" s="274" t="e">
        <f t="shared" si="12"/>
        <v>#N/A</v>
      </c>
      <c r="AX68" s="232">
        <f t="shared" si="46"/>
        <v>7</v>
      </c>
      <c r="AY68" s="273" t="e">
        <f t="shared" si="13"/>
        <v>#N/A</v>
      </c>
      <c r="AZ68" s="232" t="e">
        <f t="shared" si="47"/>
        <v>#N/A</v>
      </c>
      <c r="BA68" s="232" t="e">
        <f t="shared" si="14"/>
        <v>#N/A</v>
      </c>
      <c r="BB68" s="275">
        <f t="shared" si="48"/>
        <v>7</v>
      </c>
      <c r="BC68" s="276" t="e">
        <f t="shared" si="49"/>
        <v>#N/A</v>
      </c>
      <c r="BD68" s="277" t="e">
        <f t="shared" si="50"/>
        <v>#N/A</v>
      </c>
      <c r="BE68" s="250" t="e">
        <f t="shared" si="15"/>
        <v>#N/A</v>
      </c>
      <c r="BF68" s="247">
        <f t="shared" si="51"/>
        <v>7</v>
      </c>
      <c r="BG68" s="276" t="e">
        <f t="shared" si="52"/>
        <v>#N/A</v>
      </c>
      <c r="BH68" s="277" t="e">
        <f t="shared" si="53"/>
        <v>#N/A</v>
      </c>
      <c r="BI68" s="250" t="e">
        <f t="shared" si="16"/>
        <v>#N/A</v>
      </c>
      <c r="BJ68" s="251">
        <f t="shared" si="54"/>
        <v>7</v>
      </c>
      <c r="BK68" s="278" t="e">
        <f t="shared" si="55"/>
        <v>#N/A</v>
      </c>
      <c r="BL68" s="278" t="e">
        <f t="shared" si="56"/>
        <v>#N/A</v>
      </c>
      <c r="BM68" s="279" t="e">
        <f t="shared" si="17"/>
        <v>#N/A</v>
      </c>
      <c r="BN68" s="280">
        <f t="shared" si="57"/>
        <v>7</v>
      </c>
      <c r="BO68" s="281" t="e">
        <f t="shared" si="58"/>
        <v>#N/A</v>
      </c>
      <c r="BP68" s="281" t="e">
        <f t="shared" si="59"/>
        <v>#N/A</v>
      </c>
      <c r="BQ68" s="279" t="e">
        <f t="shared" si="18"/>
        <v>#N/A</v>
      </c>
      <c r="BR68" s="282" t="e">
        <f t="shared" si="19"/>
        <v>#N/A</v>
      </c>
      <c r="BS68" s="217" t="e">
        <f>VLOOKUP($B68,SDR24_STOCK_BY_LA!$A$2:$C$11878,3,0)</f>
        <v>#N/A</v>
      </c>
      <c r="BT68" s="217" t="str">
        <f t="shared" si="60"/>
        <v/>
      </c>
    </row>
    <row r="69" spans="1:72" x14ac:dyDescent="0.2">
      <c r="A69" s="256" t="str">
        <f t="shared" si="61"/>
        <v/>
      </c>
      <c r="B69" s="217" t="str">
        <f t="shared" si="62"/>
        <v/>
      </c>
      <c r="C69" s="257" t="str">
        <f t="shared" si="20"/>
        <v/>
      </c>
      <c r="D69" s="256" t="str">
        <f>IF(B69="","",IF(totals!$Q$3=0,IFERROR(IF(AD69=2,"0",AE69),""),"-"))</f>
        <v/>
      </c>
      <c r="E69" s="258" t="str">
        <f t="shared" si="21"/>
        <v/>
      </c>
      <c r="F69" s="259" t="str">
        <f t="shared" si="22"/>
        <v/>
      </c>
      <c r="G69" s="259" t="str">
        <f t="shared" si="23"/>
        <v/>
      </c>
      <c r="H69" s="256" t="str">
        <f t="shared" si="1"/>
        <v/>
      </c>
      <c r="I69" s="259" t="str">
        <f t="shared" si="24"/>
        <v/>
      </c>
      <c r="J69" s="259" t="str">
        <f t="shared" si="25"/>
        <v/>
      </c>
      <c r="K69" s="256" t="str">
        <f t="shared" si="2"/>
        <v/>
      </c>
      <c r="L69" s="259" t="str">
        <f t="shared" si="3"/>
        <v/>
      </c>
      <c r="M69" s="259" t="str">
        <f t="shared" si="26"/>
        <v/>
      </c>
      <c r="N69" s="256" t="str">
        <f t="shared" si="27"/>
        <v/>
      </c>
      <c r="O69" s="259" t="str">
        <f t="shared" si="28"/>
        <v/>
      </c>
      <c r="P69" s="259" t="str">
        <f t="shared" si="29"/>
        <v/>
      </c>
      <c r="Q69" s="256" t="str">
        <f t="shared" si="30"/>
        <v/>
      </c>
      <c r="R69" s="259" t="str">
        <f t="shared" si="31"/>
        <v/>
      </c>
      <c r="S69" s="259" t="str">
        <f t="shared" si="32"/>
        <v/>
      </c>
      <c r="T69" s="256" t="str">
        <f t="shared" si="33"/>
        <v/>
      </c>
      <c r="U69" s="217"/>
      <c r="V69" s="217"/>
      <c r="AB69" s="257" t="e">
        <f>VLOOKUP($B$6,Lookup_Source,62,0)</f>
        <v>#N/A</v>
      </c>
      <c r="AC69" s="241" t="str">
        <f t="shared" si="34"/>
        <v/>
      </c>
      <c r="AD69" s="242">
        <f t="shared" si="35"/>
        <v>7</v>
      </c>
      <c r="AE69" s="261" t="e">
        <f t="shared" si="4"/>
        <v>#N/A</v>
      </c>
      <c r="AF69" s="264" t="e">
        <f t="shared" si="36"/>
        <v>#N/A</v>
      </c>
      <c r="AG69" s="264" t="e">
        <f t="shared" si="37"/>
        <v>#N/A</v>
      </c>
      <c r="AH69" s="263" t="e">
        <f t="shared" si="5"/>
        <v>#N/A</v>
      </c>
      <c r="AI69" s="226">
        <f t="shared" si="38"/>
        <v>7</v>
      </c>
      <c r="AJ69" s="264" t="e">
        <f t="shared" si="6"/>
        <v>#N/A</v>
      </c>
      <c r="AK69" s="264" t="e">
        <f t="shared" si="39"/>
        <v>#N/A</v>
      </c>
      <c r="AL69" s="226" t="e">
        <f t="shared" si="7"/>
        <v>#N/A</v>
      </c>
      <c r="AM69" s="265" t="e">
        <f t="shared" si="40"/>
        <v>#N/A</v>
      </c>
      <c r="AN69" s="266" t="e">
        <f t="shared" si="8"/>
        <v>#N/A</v>
      </c>
      <c r="AO69" s="227" t="e">
        <f t="shared" si="9"/>
        <v>#N/A</v>
      </c>
      <c r="AP69" s="284">
        <f t="shared" si="41"/>
        <v>7</v>
      </c>
      <c r="AQ69" s="285" t="e">
        <f t="shared" si="10"/>
        <v>#N/A</v>
      </c>
      <c r="AR69" s="266" t="e">
        <f t="shared" si="42"/>
        <v>#N/A</v>
      </c>
      <c r="AS69" s="270" t="e">
        <f t="shared" si="11"/>
        <v>#N/A</v>
      </c>
      <c r="AT69" s="271">
        <f t="shared" si="43"/>
        <v>7</v>
      </c>
      <c r="AU69" s="272" t="e">
        <f t="shared" si="44"/>
        <v>#N/A</v>
      </c>
      <c r="AV69" s="273" t="e">
        <f t="shared" si="45"/>
        <v>#N/A</v>
      </c>
      <c r="AW69" s="274" t="e">
        <f t="shared" si="12"/>
        <v>#N/A</v>
      </c>
      <c r="AX69" s="232">
        <f t="shared" si="46"/>
        <v>7</v>
      </c>
      <c r="AY69" s="273" t="e">
        <f t="shared" si="13"/>
        <v>#N/A</v>
      </c>
      <c r="AZ69" s="232" t="e">
        <f t="shared" si="47"/>
        <v>#N/A</v>
      </c>
      <c r="BA69" s="232" t="e">
        <f t="shared" si="14"/>
        <v>#N/A</v>
      </c>
      <c r="BB69" s="275">
        <f t="shared" si="48"/>
        <v>7</v>
      </c>
      <c r="BC69" s="276" t="e">
        <f t="shared" si="49"/>
        <v>#N/A</v>
      </c>
      <c r="BD69" s="277" t="e">
        <f t="shared" si="50"/>
        <v>#N/A</v>
      </c>
      <c r="BE69" s="250" t="e">
        <f t="shared" si="15"/>
        <v>#N/A</v>
      </c>
      <c r="BF69" s="247">
        <f t="shared" si="51"/>
        <v>7</v>
      </c>
      <c r="BG69" s="276" t="e">
        <f t="shared" si="52"/>
        <v>#N/A</v>
      </c>
      <c r="BH69" s="277" t="e">
        <f t="shared" si="53"/>
        <v>#N/A</v>
      </c>
      <c r="BI69" s="250" t="e">
        <f t="shared" si="16"/>
        <v>#N/A</v>
      </c>
      <c r="BJ69" s="251">
        <f t="shared" si="54"/>
        <v>7</v>
      </c>
      <c r="BK69" s="278" t="e">
        <f t="shared" si="55"/>
        <v>#N/A</v>
      </c>
      <c r="BL69" s="278" t="e">
        <f t="shared" si="56"/>
        <v>#N/A</v>
      </c>
      <c r="BM69" s="279" t="e">
        <f t="shared" si="17"/>
        <v>#N/A</v>
      </c>
      <c r="BN69" s="280">
        <f t="shared" si="57"/>
        <v>7</v>
      </c>
      <c r="BO69" s="281" t="e">
        <f t="shared" si="58"/>
        <v>#N/A</v>
      </c>
      <c r="BP69" s="281" t="e">
        <f t="shared" si="59"/>
        <v>#N/A</v>
      </c>
      <c r="BQ69" s="279" t="e">
        <f t="shared" si="18"/>
        <v>#N/A</v>
      </c>
      <c r="BR69" s="282" t="e">
        <f t="shared" si="19"/>
        <v>#N/A</v>
      </c>
      <c r="BS69" s="217" t="e">
        <f>VLOOKUP($B69,SDR24_STOCK_BY_LA!$A$2:$C$11878,3,0)</f>
        <v>#N/A</v>
      </c>
      <c r="BT69" s="217" t="str">
        <f t="shared" si="60"/>
        <v/>
      </c>
    </row>
    <row r="70" spans="1:72" x14ac:dyDescent="0.2">
      <c r="A70" s="217" t="str">
        <f t="shared" si="61"/>
        <v/>
      </c>
      <c r="B70" s="217" t="str">
        <f t="shared" si="62"/>
        <v/>
      </c>
      <c r="C70" s="283" t="str">
        <f t="shared" si="20"/>
        <v/>
      </c>
      <c r="D70" s="256" t="str">
        <f>IF(B70="","",IF(totals!$Q$3=0,IFERROR(IF(AD70=2,"0",AE70),""),"-"))</f>
        <v/>
      </c>
      <c r="E70" s="258" t="str">
        <f t="shared" si="21"/>
        <v/>
      </c>
      <c r="F70" s="259" t="str">
        <f t="shared" si="22"/>
        <v/>
      </c>
      <c r="G70" s="259" t="str">
        <f t="shared" si="23"/>
        <v/>
      </c>
      <c r="H70" s="256" t="str">
        <f t="shared" si="1"/>
        <v/>
      </c>
      <c r="I70" s="259" t="str">
        <f t="shared" si="24"/>
        <v/>
      </c>
      <c r="J70" s="259" t="str">
        <f t="shared" si="25"/>
        <v/>
      </c>
      <c r="K70" s="256" t="str">
        <f t="shared" si="2"/>
        <v/>
      </c>
      <c r="L70" s="259" t="str">
        <f t="shared" si="3"/>
        <v/>
      </c>
      <c r="M70" s="259" t="str">
        <f t="shared" si="26"/>
        <v/>
      </c>
      <c r="N70" s="256" t="str">
        <f t="shared" si="27"/>
        <v/>
      </c>
      <c r="O70" s="259" t="str">
        <f t="shared" si="28"/>
        <v/>
      </c>
      <c r="P70" s="259" t="str">
        <f t="shared" si="29"/>
        <v/>
      </c>
      <c r="Q70" s="256" t="str">
        <f t="shared" si="30"/>
        <v/>
      </c>
      <c r="R70" s="259" t="str">
        <f t="shared" si="31"/>
        <v/>
      </c>
      <c r="S70" s="259" t="str">
        <f t="shared" si="32"/>
        <v/>
      </c>
      <c r="T70" s="256" t="str">
        <f t="shared" si="33"/>
        <v/>
      </c>
      <c r="U70" s="217"/>
      <c r="V70" s="217"/>
      <c r="AB70" s="217" t="e">
        <f>VLOOKUP($B$6,Lookup_Source,63,0)</f>
        <v>#N/A</v>
      </c>
      <c r="AC70" s="241" t="str">
        <f t="shared" si="34"/>
        <v/>
      </c>
      <c r="AD70" s="242">
        <f t="shared" si="35"/>
        <v>7</v>
      </c>
      <c r="AE70" s="261" t="e">
        <f t="shared" si="4"/>
        <v>#N/A</v>
      </c>
      <c r="AF70" s="264" t="e">
        <f t="shared" si="36"/>
        <v>#N/A</v>
      </c>
      <c r="AG70" s="264" t="e">
        <f t="shared" si="37"/>
        <v>#N/A</v>
      </c>
      <c r="AH70" s="263" t="e">
        <f t="shared" si="5"/>
        <v>#N/A</v>
      </c>
      <c r="AI70" s="226">
        <f t="shared" si="38"/>
        <v>7</v>
      </c>
      <c r="AJ70" s="264" t="e">
        <f t="shared" si="6"/>
        <v>#N/A</v>
      </c>
      <c r="AK70" s="264" t="e">
        <f t="shared" si="39"/>
        <v>#N/A</v>
      </c>
      <c r="AL70" s="226" t="e">
        <f t="shared" si="7"/>
        <v>#N/A</v>
      </c>
      <c r="AM70" s="265" t="e">
        <f t="shared" si="40"/>
        <v>#N/A</v>
      </c>
      <c r="AN70" s="266" t="e">
        <f t="shared" si="8"/>
        <v>#N/A</v>
      </c>
      <c r="AO70" s="227" t="e">
        <f t="shared" si="9"/>
        <v>#N/A</v>
      </c>
      <c r="AP70" s="284">
        <f t="shared" si="41"/>
        <v>7</v>
      </c>
      <c r="AQ70" s="285" t="e">
        <f t="shared" si="10"/>
        <v>#N/A</v>
      </c>
      <c r="AR70" s="266" t="e">
        <f t="shared" si="42"/>
        <v>#N/A</v>
      </c>
      <c r="AS70" s="270" t="e">
        <f t="shared" si="11"/>
        <v>#N/A</v>
      </c>
      <c r="AT70" s="271">
        <f t="shared" si="43"/>
        <v>7</v>
      </c>
      <c r="AU70" s="272" t="e">
        <f t="shared" si="44"/>
        <v>#N/A</v>
      </c>
      <c r="AV70" s="273" t="e">
        <f t="shared" si="45"/>
        <v>#N/A</v>
      </c>
      <c r="AW70" s="274" t="e">
        <f t="shared" si="12"/>
        <v>#N/A</v>
      </c>
      <c r="AX70" s="232">
        <f t="shared" si="46"/>
        <v>7</v>
      </c>
      <c r="AY70" s="273" t="e">
        <f t="shared" si="13"/>
        <v>#N/A</v>
      </c>
      <c r="AZ70" s="232" t="e">
        <f t="shared" si="47"/>
        <v>#N/A</v>
      </c>
      <c r="BA70" s="232" t="e">
        <f t="shared" si="14"/>
        <v>#N/A</v>
      </c>
      <c r="BB70" s="275">
        <f t="shared" si="48"/>
        <v>7</v>
      </c>
      <c r="BC70" s="276" t="e">
        <f t="shared" si="49"/>
        <v>#N/A</v>
      </c>
      <c r="BD70" s="277" t="e">
        <f t="shared" si="50"/>
        <v>#N/A</v>
      </c>
      <c r="BE70" s="250" t="e">
        <f t="shared" si="15"/>
        <v>#N/A</v>
      </c>
      <c r="BF70" s="247">
        <f t="shared" si="51"/>
        <v>7</v>
      </c>
      <c r="BG70" s="276" t="e">
        <f t="shared" si="52"/>
        <v>#N/A</v>
      </c>
      <c r="BH70" s="277" t="e">
        <f t="shared" si="53"/>
        <v>#N/A</v>
      </c>
      <c r="BI70" s="250" t="e">
        <f t="shared" si="16"/>
        <v>#N/A</v>
      </c>
      <c r="BJ70" s="251">
        <f t="shared" si="54"/>
        <v>7</v>
      </c>
      <c r="BK70" s="278" t="e">
        <f t="shared" si="55"/>
        <v>#N/A</v>
      </c>
      <c r="BL70" s="278" t="e">
        <f t="shared" si="56"/>
        <v>#N/A</v>
      </c>
      <c r="BM70" s="279" t="e">
        <f t="shared" si="17"/>
        <v>#N/A</v>
      </c>
      <c r="BN70" s="280">
        <f t="shared" si="57"/>
        <v>7</v>
      </c>
      <c r="BO70" s="281" t="e">
        <f t="shared" si="58"/>
        <v>#N/A</v>
      </c>
      <c r="BP70" s="281" t="e">
        <f t="shared" si="59"/>
        <v>#N/A</v>
      </c>
      <c r="BQ70" s="279" t="e">
        <f t="shared" si="18"/>
        <v>#N/A</v>
      </c>
      <c r="BR70" s="282" t="e">
        <f t="shared" si="19"/>
        <v>#N/A</v>
      </c>
      <c r="BS70" s="217" t="e">
        <f>VLOOKUP($B70,SDR24_STOCK_BY_LA!$A$2:$C$11878,3,0)</f>
        <v>#N/A</v>
      </c>
      <c r="BT70" s="217" t="str">
        <f t="shared" si="60"/>
        <v/>
      </c>
    </row>
    <row r="71" spans="1:72" x14ac:dyDescent="0.2">
      <c r="A71" s="256" t="str">
        <f t="shared" si="61"/>
        <v/>
      </c>
      <c r="B71" s="217" t="str">
        <f t="shared" si="62"/>
        <v/>
      </c>
      <c r="C71" s="257" t="str">
        <f t="shared" si="20"/>
        <v/>
      </c>
      <c r="D71" s="256" t="str">
        <f>IF(B71="","",IF(totals!$Q$3=0,IFERROR(IF(AD71=2,"0",AE71),""),"-"))</f>
        <v/>
      </c>
      <c r="E71" s="258" t="str">
        <f t="shared" si="21"/>
        <v/>
      </c>
      <c r="F71" s="259" t="str">
        <f t="shared" si="22"/>
        <v/>
      </c>
      <c r="G71" s="259" t="str">
        <f t="shared" si="23"/>
        <v/>
      </c>
      <c r="H71" s="256" t="str">
        <f t="shared" si="1"/>
        <v/>
      </c>
      <c r="I71" s="259" t="str">
        <f t="shared" si="24"/>
        <v/>
      </c>
      <c r="J71" s="259" t="str">
        <f t="shared" si="25"/>
        <v/>
      </c>
      <c r="K71" s="256" t="str">
        <f t="shared" si="2"/>
        <v/>
      </c>
      <c r="L71" s="259" t="str">
        <f t="shared" si="3"/>
        <v/>
      </c>
      <c r="M71" s="259" t="str">
        <f t="shared" si="26"/>
        <v/>
      </c>
      <c r="N71" s="256" t="str">
        <f t="shared" si="27"/>
        <v/>
      </c>
      <c r="O71" s="259" t="str">
        <f t="shared" si="28"/>
        <v/>
      </c>
      <c r="P71" s="259" t="str">
        <f t="shared" si="29"/>
        <v/>
      </c>
      <c r="Q71" s="256" t="str">
        <f t="shared" si="30"/>
        <v/>
      </c>
      <c r="R71" s="259" t="str">
        <f t="shared" si="31"/>
        <v/>
      </c>
      <c r="S71" s="259" t="str">
        <f t="shared" si="32"/>
        <v/>
      </c>
      <c r="T71" s="256" t="str">
        <f t="shared" si="33"/>
        <v/>
      </c>
      <c r="U71" s="217"/>
      <c r="V71" s="217"/>
      <c r="AB71" s="257" t="e">
        <f>VLOOKUP($B$6,Lookup_Source,64,0)</f>
        <v>#N/A</v>
      </c>
      <c r="AC71" s="241" t="str">
        <f t="shared" si="34"/>
        <v/>
      </c>
      <c r="AD71" s="242">
        <f t="shared" si="35"/>
        <v>7</v>
      </c>
      <c r="AE71" s="261" t="e">
        <f t="shared" si="4"/>
        <v>#N/A</v>
      </c>
      <c r="AF71" s="264" t="e">
        <f t="shared" si="36"/>
        <v>#N/A</v>
      </c>
      <c r="AG71" s="264" t="e">
        <f t="shared" si="37"/>
        <v>#N/A</v>
      </c>
      <c r="AH71" s="263" t="e">
        <f t="shared" si="5"/>
        <v>#N/A</v>
      </c>
      <c r="AI71" s="226">
        <f t="shared" si="38"/>
        <v>7</v>
      </c>
      <c r="AJ71" s="264" t="e">
        <f t="shared" si="6"/>
        <v>#N/A</v>
      </c>
      <c r="AK71" s="264" t="e">
        <f t="shared" si="39"/>
        <v>#N/A</v>
      </c>
      <c r="AL71" s="226" t="e">
        <f t="shared" si="7"/>
        <v>#N/A</v>
      </c>
      <c r="AM71" s="265" t="e">
        <f t="shared" si="40"/>
        <v>#N/A</v>
      </c>
      <c r="AN71" s="266" t="e">
        <f t="shared" si="8"/>
        <v>#N/A</v>
      </c>
      <c r="AO71" s="227" t="e">
        <f t="shared" si="9"/>
        <v>#N/A</v>
      </c>
      <c r="AP71" s="284">
        <f t="shared" si="41"/>
        <v>7</v>
      </c>
      <c r="AQ71" s="285" t="e">
        <f t="shared" si="10"/>
        <v>#N/A</v>
      </c>
      <c r="AR71" s="266" t="e">
        <f t="shared" si="42"/>
        <v>#N/A</v>
      </c>
      <c r="AS71" s="270" t="e">
        <f t="shared" si="11"/>
        <v>#N/A</v>
      </c>
      <c r="AT71" s="271">
        <f t="shared" si="43"/>
        <v>7</v>
      </c>
      <c r="AU71" s="272" t="e">
        <f t="shared" si="44"/>
        <v>#N/A</v>
      </c>
      <c r="AV71" s="273" t="e">
        <f t="shared" si="45"/>
        <v>#N/A</v>
      </c>
      <c r="AW71" s="274" t="e">
        <f t="shared" si="12"/>
        <v>#N/A</v>
      </c>
      <c r="AX71" s="232">
        <f t="shared" si="46"/>
        <v>7</v>
      </c>
      <c r="AY71" s="273" t="e">
        <f t="shared" si="13"/>
        <v>#N/A</v>
      </c>
      <c r="AZ71" s="232" t="e">
        <f t="shared" si="47"/>
        <v>#N/A</v>
      </c>
      <c r="BA71" s="232" t="e">
        <f t="shared" si="14"/>
        <v>#N/A</v>
      </c>
      <c r="BB71" s="275">
        <f t="shared" si="48"/>
        <v>7</v>
      </c>
      <c r="BC71" s="276" t="e">
        <f t="shared" si="49"/>
        <v>#N/A</v>
      </c>
      <c r="BD71" s="277" t="e">
        <f t="shared" si="50"/>
        <v>#N/A</v>
      </c>
      <c r="BE71" s="250" t="e">
        <f t="shared" si="15"/>
        <v>#N/A</v>
      </c>
      <c r="BF71" s="247">
        <f t="shared" si="51"/>
        <v>7</v>
      </c>
      <c r="BG71" s="276" t="e">
        <f t="shared" si="52"/>
        <v>#N/A</v>
      </c>
      <c r="BH71" s="277" t="e">
        <f t="shared" si="53"/>
        <v>#N/A</v>
      </c>
      <c r="BI71" s="250" t="e">
        <f t="shared" si="16"/>
        <v>#N/A</v>
      </c>
      <c r="BJ71" s="251">
        <f t="shared" si="54"/>
        <v>7</v>
      </c>
      <c r="BK71" s="278" t="e">
        <f t="shared" si="55"/>
        <v>#N/A</v>
      </c>
      <c r="BL71" s="278" t="e">
        <f t="shared" si="56"/>
        <v>#N/A</v>
      </c>
      <c r="BM71" s="279" t="e">
        <f t="shared" si="17"/>
        <v>#N/A</v>
      </c>
      <c r="BN71" s="280">
        <f t="shared" si="57"/>
        <v>7</v>
      </c>
      <c r="BO71" s="281" t="e">
        <f t="shared" si="58"/>
        <v>#N/A</v>
      </c>
      <c r="BP71" s="281" t="e">
        <f t="shared" si="59"/>
        <v>#N/A</v>
      </c>
      <c r="BQ71" s="279" t="e">
        <f t="shared" si="18"/>
        <v>#N/A</v>
      </c>
      <c r="BR71" s="282" t="e">
        <f t="shared" si="19"/>
        <v>#N/A</v>
      </c>
      <c r="BS71" s="217" t="e">
        <f>VLOOKUP($B71,SDR24_STOCK_BY_LA!$A$2:$C$11878,3,0)</f>
        <v>#N/A</v>
      </c>
      <c r="BT71" s="217" t="str">
        <f t="shared" si="60"/>
        <v/>
      </c>
    </row>
    <row r="72" spans="1:72" x14ac:dyDescent="0.2">
      <c r="A72" s="217" t="str">
        <f t="shared" si="61"/>
        <v/>
      </c>
      <c r="B72" s="217" t="str">
        <f t="shared" si="62"/>
        <v/>
      </c>
      <c r="C72" s="283" t="str">
        <f t="shared" si="20"/>
        <v/>
      </c>
      <c r="D72" s="256" t="str">
        <f>IF(B72="","",IF(totals!$Q$3=0,IFERROR(IF(AD72=2,"0",AE72),""),"-"))</f>
        <v/>
      </c>
      <c r="E72" s="258" t="str">
        <f t="shared" si="21"/>
        <v/>
      </c>
      <c r="F72" s="259" t="str">
        <f t="shared" si="22"/>
        <v/>
      </c>
      <c r="G72" s="259" t="str">
        <f t="shared" si="23"/>
        <v/>
      </c>
      <c r="H72" s="256" t="str">
        <f t="shared" si="1"/>
        <v/>
      </c>
      <c r="I72" s="259" t="str">
        <f t="shared" si="24"/>
        <v/>
      </c>
      <c r="J72" s="259" t="str">
        <f t="shared" si="25"/>
        <v/>
      </c>
      <c r="K72" s="256" t="str">
        <f t="shared" si="2"/>
        <v/>
      </c>
      <c r="L72" s="259" t="str">
        <f t="shared" si="3"/>
        <v/>
      </c>
      <c r="M72" s="259" t="str">
        <f t="shared" si="26"/>
        <v/>
      </c>
      <c r="N72" s="256" t="str">
        <f t="shared" si="27"/>
        <v/>
      </c>
      <c r="O72" s="259" t="str">
        <f t="shared" si="28"/>
        <v/>
      </c>
      <c r="P72" s="259" t="str">
        <f t="shared" si="29"/>
        <v/>
      </c>
      <c r="Q72" s="256" t="str">
        <f t="shared" si="30"/>
        <v/>
      </c>
      <c r="R72" s="259" t="str">
        <f t="shared" si="31"/>
        <v/>
      </c>
      <c r="S72" s="259" t="str">
        <f t="shared" si="32"/>
        <v/>
      </c>
      <c r="T72" s="256" t="str">
        <f t="shared" si="33"/>
        <v/>
      </c>
      <c r="U72" s="217"/>
      <c r="V72" s="217"/>
      <c r="AB72" s="217" t="e">
        <f>VLOOKUP($B$6,Lookup_Source,65,0)</f>
        <v>#N/A</v>
      </c>
      <c r="AC72" s="241" t="str">
        <f t="shared" si="34"/>
        <v/>
      </c>
      <c r="AD72" s="242">
        <f t="shared" si="35"/>
        <v>7</v>
      </c>
      <c r="AE72" s="261" t="e">
        <f t="shared" si="4"/>
        <v>#N/A</v>
      </c>
      <c r="AF72" s="264" t="e">
        <f t="shared" si="36"/>
        <v>#N/A</v>
      </c>
      <c r="AG72" s="264" t="e">
        <f t="shared" si="37"/>
        <v>#N/A</v>
      </c>
      <c r="AH72" s="263" t="e">
        <f t="shared" si="5"/>
        <v>#N/A</v>
      </c>
      <c r="AI72" s="226">
        <f t="shared" si="38"/>
        <v>7</v>
      </c>
      <c r="AJ72" s="264" t="e">
        <f t="shared" si="6"/>
        <v>#N/A</v>
      </c>
      <c r="AK72" s="264" t="e">
        <f t="shared" si="39"/>
        <v>#N/A</v>
      </c>
      <c r="AL72" s="226" t="e">
        <f t="shared" si="7"/>
        <v>#N/A</v>
      </c>
      <c r="AM72" s="265" t="e">
        <f t="shared" si="40"/>
        <v>#N/A</v>
      </c>
      <c r="AN72" s="266" t="e">
        <f t="shared" si="8"/>
        <v>#N/A</v>
      </c>
      <c r="AO72" s="227" t="e">
        <f t="shared" si="9"/>
        <v>#N/A</v>
      </c>
      <c r="AP72" s="284">
        <f t="shared" si="41"/>
        <v>7</v>
      </c>
      <c r="AQ72" s="285" t="e">
        <f t="shared" si="10"/>
        <v>#N/A</v>
      </c>
      <c r="AR72" s="266" t="e">
        <f t="shared" si="42"/>
        <v>#N/A</v>
      </c>
      <c r="AS72" s="270" t="e">
        <f t="shared" si="11"/>
        <v>#N/A</v>
      </c>
      <c r="AT72" s="271">
        <f t="shared" si="43"/>
        <v>7</v>
      </c>
      <c r="AU72" s="272" t="e">
        <f t="shared" si="44"/>
        <v>#N/A</v>
      </c>
      <c r="AV72" s="273" t="e">
        <f t="shared" si="45"/>
        <v>#N/A</v>
      </c>
      <c r="AW72" s="274" t="e">
        <f t="shared" si="12"/>
        <v>#N/A</v>
      </c>
      <c r="AX72" s="232">
        <f t="shared" si="46"/>
        <v>7</v>
      </c>
      <c r="AY72" s="273" t="e">
        <f t="shared" si="13"/>
        <v>#N/A</v>
      </c>
      <c r="AZ72" s="232" t="e">
        <f t="shared" si="47"/>
        <v>#N/A</v>
      </c>
      <c r="BA72" s="232" t="e">
        <f t="shared" si="14"/>
        <v>#N/A</v>
      </c>
      <c r="BB72" s="275">
        <f t="shared" si="48"/>
        <v>7</v>
      </c>
      <c r="BC72" s="276" t="e">
        <f t="shared" si="49"/>
        <v>#N/A</v>
      </c>
      <c r="BD72" s="277" t="e">
        <f t="shared" si="50"/>
        <v>#N/A</v>
      </c>
      <c r="BE72" s="250" t="e">
        <f t="shared" si="15"/>
        <v>#N/A</v>
      </c>
      <c r="BF72" s="247">
        <f t="shared" si="51"/>
        <v>7</v>
      </c>
      <c r="BG72" s="276" t="e">
        <f t="shared" si="52"/>
        <v>#N/A</v>
      </c>
      <c r="BH72" s="277" t="e">
        <f t="shared" si="53"/>
        <v>#N/A</v>
      </c>
      <c r="BI72" s="250" t="e">
        <f t="shared" si="16"/>
        <v>#N/A</v>
      </c>
      <c r="BJ72" s="251">
        <f t="shared" si="54"/>
        <v>7</v>
      </c>
      <c r="BK72" s="278" t="e">
        <f t="shared" si="55"/>
        <v>#N/A</v>
      </c>
      <c r="BL72" s="278" t="e">
        <f t="shared" si="56"/>
        <v>#N/A</v>
      </c>
      <c r="BM72" s="279" t="e">
        <f t="shared" si="17"/>
        <v>#N/A</v>
      </c>
      <c r="BN72" s="280">
        <f t="shared" si="57"/>
        <v>7</v>
      </c>
      <c r="BO72" s="281" t="e">
        <f t="shared" si="58"/>
        <v>#N/A</v>
      </c>
      <c r="BP72" s="281" t="e">
        <f t="shared" si="59"/>
        <v>#N/A</v>
      </c>
      <c r="BQ72" s="279" t="e">
        <f t="shared" si="18"/>
        <v>#N/A</v>
      </c>
      <c r="BR72" s="282" t="e">
        <f t="shared" si="19"/>
        <v>#N/A</v>
      </c>
      <c r="BS72" s="217" t="e">
        <f>VLOOKUP($B72,SDR24_STOCK_BY_LA!$A$2:$C$11878,3,0)</f>
        <v>#N/A</v>
      </c>
      <c r="BT72" s="217" t="str">
        <f t="shared" si="60"/>
        <v/>
      </c>
    </row>
    <row r="73" spans="1:72" x14ac:dyDescent="0.2">
      <c r="A73" s="256" t="str">
        <f t="shared" si="61"/>
        <v/>
      </c>
      <c r="B73" s="217" t="str">
        <f t="shared" si="62"/>
        <v/>
      </c>
      <c r="C73" s="257" t="str">
        <f t="shared" si="20"/>
        <v/>
      </c>
      <c r="D73" s="256" t="str">
        <f>IF(B73="","",IF(totals!$Q$3=0,IFERROR(IF(AD73=2,"0",AE73),""),"-"))</f>
        <v/>
      </c>
      <c r="E73" s="258" t="str">
        <f t="shared" si="21"/>
        <v/>
      </c>
      <c r="F73" s="259" t="str">
        <f t="shared" si="22"/>
        <v/>
      </c>
      <c r="G73" s="259" t="str">
        <f t="shared" si="23"/>
        <v/>
      </c>
      <c r="H73" s="256" t="str">
        <f t="shared" ref="H73:H136" si="63">IFERROR(AO73,"")</f>
        <v/>
      </c>
      <c r="I73" s="259" t="str">
        <f t="shared" si="24"/>
        <v/>
      </c>
      <c r="J73" s="259" t="str">
        <f t="shared" si="25"/>
        <v/>
      </c>
      <c r="K73" s="256" t="str">
        <f t="shared" ref="K73:K136" si="64">IFERROR(AW73,"")</f>
        <v/>
      </c>
      <c r="L73" s="259" t="str">
        <f t="shared" ref="L73:L136" si="65">IFERROR(IF(AT73=2,"-",AU73),"")</f>
        <v/>
      </c>
      <c r="M73" s="259" t="str">
        <f t="shared" si="26"/>
        <v/>
      </c>
      <c r="N73" s="256" t="str">
        <f t="shared" si="27"/>
        <v/>
      </c>
      <c r="O73" s="259" t="str">
        <f t="shared" si="28"/>
        <v/>
      </c>
      <c r="P73" s="259" t="str">
        <f t="shared" si="29"/>
        <v/>
      </c>
      <c r="Q73" s="256" t="str">
        <f t="shared" si="30"/>
        <v/>
      </c>
      <c r="R73" s="259" t="str">
        <f t="shared" si="31"/>
        <v/>
      </c>
      <c r="S73" s="259" t="str">
        <f t="shared" si="32"/>
        <v/>
      </c>
      <c r="T73" s="256" t="str">
        <f t="shared" si="33"/>
        <v/>
      </c>
      <c r="U73" s="217"/>
      <c r="V73" s="217"/>
      <c r="AB73" s="257" t="e">
        <f>VLOOKUP($B$6,Lookup_Source,66,0)</f>
        <v>#N/A</v>
      </c>
      <c r="AC73" s="241" t="str">
        <f t="shared" si="34"/>
        <v/>
      </c>
      <c r="AD73" s="242">
        <f t="shared" si="35"/>
        <v>7</v>
      </c>
      <c r="AE73" s="261" t="e">
        <f t="shared" ref="AE73:AE136" si="66">SUM(VLOOKUP($B73,Totals,8,0)-1)</f>
        <v>#N/A</v>
      </c>
      <c r="AF73" s="264" t="e">
        <f t="shared" si="36"/>
        <v>#N/A</v>
      </c>
      <c r="AG73" s="264" t="e">
        <f t="shared" si="37"/>
        <v>#N/A</v>
      </c>
      <c r="AH73" s="263" t="e">
        <f t="shared" ref="AH73:AH136" si="67">VLOOKUP($BT73,Stock_By_LA,2,0)</f>
        <v>#N/A</v>
      </c>
      <c r="AI73" s="226">
        <f t="shared" si="38"/>
        <v>7</v>
      </c>
      <c r="AJ73" s="264" t="e">
        <f t="shared" ref="AJ73:AJ136" si="68">IF(AK73&gt;0,AK73,"-")</f>
        <v>#N/A</v>
      </c>
      <c r="AK73" s="264" t="e">
        <f t="shared" si="39"/>
        <v>#N/A</v>
      </c>
      <c r="AL73" s="226" t="e">
        <f t="shared" ref="AL73:AL136" si="69">VLOOKUP($B73,Totals,7,0)</f>
        <v>#N/A</v>
      </c>
      <c r="AM73" s="265" t="e">
        <f t="shared" si="40"/>
        <v>#N/A</v>
      </c>
      <c r="AN73" s="266" t="e">
        <f t="shared" ref="AN73:AN136" si="70">$AO73/$AO$8</f>
        <v>#N/A</v>
      </c>
      <c r="AO73" s="227" t="e">
        <f t="shared" ref="AO73:AO136" si="71">VLOOKUP($BT73,Stock_By_LA,3,0)</f>
        <v>#N/A</v>
      </c>
      <c r="AP73" s="284">
        <f t="shared" si="41"/>
        <v>7</v>
      </c>
      <c r="AQ73" s="285" t="e">
        <f t="shared" ref="AQ73:AQ136" si="72">IF(AR73&gt;0,AR73,"-")</f>
        <v>#N/A</v>
      </c>
      <c r="AR73" s="266" t="e">
        <f t="shared" si="42"/>
        <v>#N/A</v>
      </c>
      <c r="AS73" s="270" t="e">
        <f t="shared" ref="AS73:AS136" si="73">VLOOKUP($B73,Totals,2,0)</f>
        <v>#N/A</v>
      </c>
      <c r="AT73" s="271">
        <f t="shared" si="43"/>
        <v>7</v>
      </c>
      <c r="AU73" s="272" t="e">
        <f t="shared" si="44"/>
        <v>#N/A</v>
      </c>
      <c r="AV73" s="273" t="e">
        <f t="shared" si="45"/>
        <v>#N/A</v>
      </c>
      <c r="AW73" s="274" t="e">
        <f t="shared" ref="AW73:AW136" si="74">VLOOKUP($BT73,Stock_By_LA,4,0)</f>
        <v>#N/A</v>
      </c>
      <c r="AX73" s="232">
        <f t="shared" si="46"/>
        <v>7</v>
      </c>
      <c r="AY73" s="273" t="e">
        <f t="shared" ref="AY73:AY136" si="75">IF(AZ73&gt;0,AZ73,"-")</f>
        <v>#N/A</v>
      </c>
      <c r="AZ73" s="232" t="e">
        <f t="shared" si="47"/>
        <v>#N/A</v>
      </c>
      <c r="BA73" s="232" t="e">
        <f t="shared" ref="BA73:BA136" si="76">VLOOKUP($B73,Totals,3,0)</f>
        <v>#N/A</v>
      </c>
      <c r="BB73" s="275">
        <f t="shared" si="48"/>
        <v>7</v>
      </c>
      <c r="BC73" s="276" t="e">
        <f t="shared" si="49"/>
        <v>#N/A</v>
      </c>
      <c r="BD73" s="277" t="e">
        <f t="shared" si="50"/>
        <v>#N/A</v>
      </c>
      <c r="BE73" s="250" t="e">
        <f t="shared" ref="BE73:BE136" si="77">VLOOKUP($BT73,Stock_By_LA,5,0)</f>
        <v>#N/A</v>
      </c>
      <c r="BF73" s="247">
        <f t="shared" si="51"/>
        <v>7</v>
      </c>
      <c r="BG73" s="276" t="e">
        <f t="shared" si="52"/>
        <v>#N/A</v>
      </c>
      <c r="BH73" s="277" t="e">
        <f t="shared" si="53"/>
        <v>#N/A</v>
      </c>
      <c r="BI73" s="250" t="e">
        <f t="shared" ref="BI73:BI136" si="78">VLOOKUP($B73,Totals,4,0)</f>
        <v>#N/A</v>
      </c>
      <c r="BJ73" s="251">
        <f t="shared" si="54"/>
        <v>7</v>
      </c>
      <c r="BK73" s="278" t="e">
        <f t="shared" si="55"/>
        <v>#N/A</v>
      </c>
      <c r="BL73" s="278" t="e">
        <f t="shared" si="56"/>
        <v>#N/A</v>
      </c>
      <c r="BM73" s="279" t="e">
        <f t="shared" ref="BM73:BM136" si="79">VLOOKUP($BT73,Stock_By_LA,6,0)</f>
        <v>#N/A</v>
      </c>
      <c r="BN73" s="280">
        <f t="shared" si="57"/>
        <v>7</v>
      </c>
      <c r="BO73" s="281" t="e">
        <f t="shared" si="58"/>
        <v>#N/A</v>
      </c>
      <c r="BP73" s="281" t="e">
        <f t="shared" si="59"/>
        <v>#N/A</v>
      </c>
      <c r="BQ73" s="279" t="e">
        <f t="shared" ref="BQ73:BQ136" si="80">VLOOKUP($B73,Totals,5,0)</f>
        <v>#N/A</v>
      </c>
      <c r="BR73" s="282" t="e">
        <f t="shared" ref="BR73:BR136" si="81">VLOOKUP($BT73,Stock_By_LA,8,0)</f>
        <v>#N/A</v>
      </c>
      <c r="BS73" s="217" t="e">
        <f>VLOOKUP($B73,SDR24_STOCK_BY_LA!$A$2:$C$11878,3,0)</f>
        <v>#N/A</v>
      </c>
      <c r="BT73" s="217" t="str">
        <f t="shared" si="60"/>
        <v/>
      </c>
    </row>
    <row r="74" spans="1:72" x14ac:dyDescent="0.2">
      <c r="A74" s="217" t="str">
        <f t="shared" si="61"/>
        <v/>
      </c>
      <c r="B74" s="217" t="str">
        <f t="shared" si="62"/>
        <v/>
      </c>
      <c r="C74" s="283" t="str">
        <f t="shared" ref="C74:C137" si="82">IFERROR(BS74,"")</f>
        <v/>
      </c>
      <c r="D74" s="256" t="str">
        <f>IF(B74="","",IF(totals!$Q$3=0,IFERROR(IF(AD74=2,"0",AE74),""),"-"))</f>
        <v/>
      </c>
      <c r="E74" s="258" t="str">
        <f t="shared" ref="E74:E137" si="83">IFERROR(AH74,"")</f>
        <v/>
      </c>
      <c r="F74" s="259" t="str">
        <f t="shared" ref="F74:F137" si="84">IFERROR(AF74,"")</f>
        <v/>
      </c>
      <c r="G74" s="259" t="str">
        <f t="shared" ref="G74:G137" si="85">IFERROR(IF(AI74=2,"-",AJ74),"")</f>
        <v/>
      </c>
      <c r="H74" s="256" t="str">
        <f t="shared" si="63"/>
        <v/>
      </c>
      <c r="I74" s="259" t="str">
        <f t="shared" ref="I74:I137" si="86">IFERROR(AM74,"")</f>
        <v/>
      </c>
      <c r="J74" s="259" t="str">
        <f t="shared" ref="J74:J137" si="87">IFERROR(IF(AP74=2,"-",AQ74),"")</f>
        <v/>
      </c>
      <c r="K74" s="256" t="str">
        <f t="shared" si="64"/>
        <v/>
      </c>
      <c r="L74" s="259" t="str">
        <f t="shared" si="65"/>
        <v/>
      </c>
      <c r="M74" s="259" t="str">
        <f t="shared" ref="M74:M137" si="88">IFERROR(IF(AX74=2,"-",AY74),"")</f>
        <v/>
      </c>
      <c r="N74" s="256" t="str">
        <f t="shared" ref="N74:N137" si="89">IFERROR(BE74,"")</f>
        <v/>
      </c>
      <c r="O74" s="259" t="str">
        <f t="shared" ref="O74:O137" si="90">IFERROR(IF(BB74=2,"-",BC74),"")</f>
        <v/>
      </c>
      <c r="P74" s="259" t="str">
        <f t="shared" ref="P74:P137" si="91">IFERROR(IF(BF74=2,"-",BG74),"")</f>
        <v/>
      </c>
      <c r="Q74" s="256" t="str">
        <f t="shared" ref="Q74:Q137" si="92">IFERROR(BM74,"")</f>
        <v/>
      </c>
      <c r="R74" s="259" t="str">
        <f t="shared" ref="R74:R137" si="93">IFERROR(IF(BJ74=2,"-",BK74),"")</f>
        <v/>
      </c>
      <c r="S74" s="259" t="str">
        <f t="shared" ref="S74:S137" si="94">IFERROR(IF(BN74=2,"-",BO74),"")</f>
        <v/>
      </c>
      <c r="T74" s="256" t="str">
        <f t="shared" ref="T74:T137" si="95">IFERROR(BR74,"")</f>
        <v/>
      </c>
      <c r="U74" s="217"/>
      <c r="V74" s="217"/>
      <c r="AB74" s="217" t="e">
        <f>VLOOKUP($B$6,Lookup_Source,67,0)</f>
        <v>#N/A</v>
      </c>
      <c r="AC74" s="241" t="str">
        <f t="shared" ref="AC74:AC137" si="96">IF(ISNUMBER(SEARCH("*",B74)),1,"")</f>
        <v/>
      </c>
      <c r="AD74" s="242">
        <f t="shared" ref="AD74:AD137" si="97">IFERROR(ERROR.TYPE(AE74),0)</f>
        <v>7</v>
      </c>
      <c r="AE74" s="261" t="e">
        <f t="shared" si="66"/>
        <v>#N/A</v>
      </c>
      <c r="AF74" s="264" t="e">
        <f t="shared" ref="AF74:AF137" si="98">IF(AG74&gt;0,AG74,"-")</f>
        <v>#N/A</v>
      </c>
      <c r="AG74" s="264" t="e">
        <f t="shared" ref="AG74:AG137" si="99">$AH74/$AH$8</f>
        <v>#N/A</v>
      </c>
      <c r="AH74" s="263" t="e">
        <f t="shared" si="67"/>
        <v>#N/A</v>
      </c>
      <c r="AI74" s="226">
        <f t="shared" ref="AI74:AI137" si="100">IFERROR(ERROR.TYPE(AJ74),0)</f>
        <v>7</v>
      </c>
      <c r="AJ74" s="264" t="e">
        <f t="shared" si="68"/>
        <v>#N/A</v>
      </c>
      <c r="AK74" s="264" t="e">
        <f t="shared" ref="AK74:AK137" si="101">$AH74/$AL74</f>
        <v>#N/A</v>
      </c>
      <c r="AL74" s="226" t="e">
        <f t="shared" si="69"/>
        <v>#N/A</v>
      </c>
      <c r="AM74" s="265" t="e">
        <f t="shared" ref="AM74:AM137" si="102">IF(AN74&gt;0,AN74,"-")</f>
        <v>#N/A</v>
      </c>
      <c r="AN74" s="266" t="e">
        <f t="shared" si="70"/>
        <v>#N/A</v>
      </c>
      <c r="AO74" s="227" t="e">
        <f t="shared" si="71"/>
        <v>#N/A</v>
      </c>
      <c r="AP74" s="284">
        <f t="shared" ref="AP74:AP137" si="103">IFERROR(ERROR.TYPE(AQ74),0)</f>
        <v>7</v>
      </c>
      <c r="AQ74" s="285" t="e">
        <f t="shared" si="72"/>
        <v>#N/A</v>
      </c>
      <c r="AR74" s="266" t="e">
        <f t="shared" ref="AR74:AR137" si="104">$AO74/$AS74</f>
        <v>#N/A</v>
      </c>
      <c r="AS74" s="270" t="e">
        <f t="shared" si="73"/>
        <v>#N/A</v>
      </c>
      <c r="AT74" s="271">
        <f t="shared" ref="AT74:AT137" si="105">IFERROR(ERROR.TYPE(AU74),0)</f>
        <v>7</v>
      </c>
      <c r="AU74" s="272" t="e">
        <f t="shared" ref="AU74:AU137" si="106">IF(AV74&gt;0,AV74,"-")</f>
        <v>#N/A</v>
      </c>
      <c r="AV74" s="273" t="e">
        <f t="shared" ref="AV74:AV137" si="107">AW74/$AW$8</f>
        <v>#N/A</v>
      </c>
      <c r="AW74" s="274" t="e">
        <f t="shared" si="74"/>
        <v>#N/A</v>
      </c>
      <c r="AX74" s="232">
        <f t="shared" ref="AX74:AX137" si="108">IFERROR(ERROR.TYPE(AY74),0)</f>
        <v>7</v>
      </c>
      <c r="AY74" s="273" t="e">
        <f t="shared" si="75"/>
        <v>#N/A</v>
      </c>
      <c r="AZ74" s="232" t="e">
        <f t="shared" ref="AZ74:AZ137" si="109">$AW74/$BA74</f>
        <v>#N/A</v>
      </c>
      <c r="BA74" s="232" t="e">
        <f t="shared" si="76"/>
        <v>#N/A</v>
      </c>
      <c r="BB74" s="275">
        <f t="shared" ref="BB74:BB137" si="110">IFERROR(ERROR.TYPE(BC74),0)</f>
        <v>7</v>
      </c>
      <c r="BC74" s="276" t="e">
        <f t="shared" ref="BC74:BC137" si="111">IF(BD74&gt;0,BD74,"-")</f>
        <v>#N/A</v>
      </c>
      <c r="BD74" s="277" t="e">
        <f t="shared" ref="BD74:BD137" si="112">$BE74/$BE$8</f>
        <v>#N/A</v>
      </c>
      <c r="BE74" s="250" t="e">
        <f t="shared" si="77"/>
        <v>#N/A</v>
      </c>
      <c r="BF74" s="247">
        <f t="shared" ref="BF74:BF137" si="113">IFERROR(ERROR.TYPE(BG74),0)</f>
        <v>7</v>
      </c>
      <c r="BG74" s="276" t="e">
        <f t="shared" ref="BG74:BG137" si="114">IF(BH74&gt;0,BH74,"-")</f>
        <v>#N/A</v>
      </c>
      <c r="BH74" s="277" t="e">
        <f t="shared" ref="BH74:BH137" si="115">$BE74/$BI74</f>
        <v>#N/A</v>
      </c>
      <c r="BI74" s="250" t="e">
        <f t="shared" si="78"/>
        <v>#N/A</v>
      </c>
      <c r="BJ74" s="251">
        <f t="shared" ref="BJ74:BJ137" si="116">IFERROR(ERROR.TYPE(BK74),0)</f>
        <v>7</v>
      </c>
      <c r="BK74" s="278" t="e">
        <f t="shared" ref="BK74:BK137" si="117">IF(BL74&gt;0,BL74,"-")</f>
        <v>#N/A</v>
      </c>
      <c r="BL74" s="278" t="e">
        <f t="shared" ref="BL74:BL137" si="118">$BM74/$BM$8</f>
        <v>#N/A</v>
      </c>
      <c r="BM74" s="279" t="e">
        <f t="shared" si="79"/>
        <v>#N/A</v>
      </c>
      <c r="BN74" s="280">
        <f t="shared" ref="BN74:BN137" si="119">IFERROR(ERROR.TYPE(BO74),0)</f>
        <v>7</v>
      </c>
      <c r="BO74" s="281" t="e">
        <f t="shared" ref="BO74:BO137" si="120">IF(BP74&gt;0,BP74,"-")</f>
        <v>#N/A</v>
      </c>
      <c r="BP74" s="281" t="e">
        <f t="shared" ref="BP74:BP137" si="121">$BM74/$BQ74</f>
        <v>#N/A</v>
      </c>
      <c r="BQ74" s="279" t="e">
        <f t="shared" si="80"/>
        <v>#N/A</v>
      </c>
      <c r="BR74" s="282" t="e">
        <f t="shared" si="81"/>
        <v>#N/A</v>
      </c>
      <c r="BS74" s="217" t="e">
        <f>VLOOKUP($B74,SDR24_STOCK_BY_LA!$A$2:$C$11878,3,0)</f>
        <v>#N/A</v>
      </c>
      <c r="BT74" s="217" t="str">
        <f t="shared" ref="BT74:BT137" si="122">$B$6&amp;$B74</f>
        <v/>
      </c>
    </row>
    <row r="75" spans="1:72" x14ac:dyDescent="0.2">
      <c r="A75" s="256" t="str">
        <f t="shared" ref="A75:A138" si="123">IF(AC75=1,A74+1,"")</f>
        <v/>
      </c>
      <c r="B75" s="217" t="str">
        <f t="shared" si="62"/>
        <v/>
      </c>
      <c r="C75" s="257" t="str">
        <f t="shared" si="82"/>
        <v/>
      </c>
      <c r="D75" s="256" t="str">
        <f>IF(B75="","",IF(totals!$Q$3=0,IFERROR(IF(AD75=2,"0",AE75),""),"-"))</f>
        <v/>
      </c>
      <c r="E75" s="258" t="str">
        <f t="shared" si="83"/>
        <v/>
      </c>
      <c r="F75" s="259" t="str">
        <f t="shared" si="84"/>
        <v/>
      </c>
      <c r="G75" s="259" t="str">
        <f t="shared" si="85"/>
        <v/>
      </c>
      <c r="H75" s="256" t="str">
        <f t="shared" si="63"/>
        <v/>
      </c>
      <c r="I75" s="259" t="str">
        <f t="shared" si="86"/>
        <v/>
      </c>
      <c r="J75" s="259" t="str">
        <f t="shared" si="87"/>
        <v/>
      </c>
      <c r="K75" s="256" t="str">
        <f t="shared" si="64"/>
        <v/>
      </c>
      <c r="L75" s="259" t="str">
        <f t="shared" si="65"/>
        <v/>
      </c>
      <c r="M75" s="259" t="str">
        <f t="shared" si="88"/>
        <v/>
      </c>
      <c r="N75" s="256" t="str">
        <f t="shared" si="89"/>
        <v/>
      </c>
      <c r="O75" s="259" t="str">
        <f t="shared" si="90"/>
        <v/>
      </c>
      <c r="P75" s="259" t="str">
        <f t="shared" si="91"/>
        <v/>
      </c>
      <c r="Q75" s="256" t="str">
        <f t="shared" si="92"/>
        <v/>
      </c>
      <c r="R75" s="259" t="str">
        <f t="shared" si="93"/>
        <v/>
      </c>
      <c r="S75" s="259" t="str">
        <f t="shared" si="94"/>
        <v/>
      </c>
      <c r="T75" s="256" t="str">
        <f t="shared" si="95"/>
        <v/>
      </c>
      <c r="U75" s="217"/>
      <c r="V75" s="217"/>
      <c r="AB75" s="257" t="e">
        <f>VLOOKUP($B$6,Lookup_Source,68,0)</f>
        <v>#N/A</v>
      </c>
      <c r="AC75" s="241" t="str">
        <f t="shared" si="96"/>
        <v/>
      </c>
      <c r="AD75" s="242">
        <f t="shared" si="97"/>
        <v>7</v>
      </c>
      <c r="AE75" s="261" t="e">
        <f t="shared" si="66"/>
        <v>#N/A</v>
      </c>
      <c r="AF75" s="264" t="e">
        <f t="shared" si="98"/>
        <v>#N/A</v>
      </c>
      <c r="AG75" s="264" t="e">
        <f t="shared" si="99"/>
        <v>#N/A</v>
      </c>
      <c r="AH75" s="263" t="e">
        <f t="shared" si="67"/>
        <v>#N/A</v>
      </c>
      <c r="AI75" s="226">
        <f t="shared" si="100"/>
        <v>7</v>
      </c>
      <c r="AJ75" s="264" t="e">
        <f t="shared" si="68"/>
        <v>#N/A</v>
      </c>
      <c r="AK75" s="264" t="e">
        <f t="shared" si="101"/>
        <v>#N/A</v>
      </c>
      <c r="AL75" s="226" t="e">
        <f t="shared" si="69"/>
        <v>#N/A</v>
      </c>
      <c r="AM75" s="265" t="e">
        <f t="shared" si="102"/>
        <v>#N/A</v>
      </c>
      <c r="AN75" s="266" t="e">
        <f t="shared" si="70"/>
        <v>#N/A</v>
      </c>
      <c r="AO75" s="227" t="e">
        <f t="shared" si="71"/>
        <v>#N/A</v>
      </c>
      <c r="AP75" s="284">
        <f t="shared" si="103"/>
        <v>7</v>
      </c>
      <c r="AQ75" s="285" t="e">
        <f t="shared" si="72"/>
        <v>#N/A</v>
      </c>
      <c r="AR75" s="266" t="e">
        <f t="shared" si="104"/>
        <v>#N/A</v>
      </c>
      <c r="AS75" s="270" t="e">
        <f t="shared" si="73"/>
        <v>#N/A</v>
      </c>
      <c r="AT75" s="271">
        <f t="shared" si="105"/>
        <v>7</v>
      </c>
      <c r="AU75" s="272" t="e">
        <f t="shared" si="106"/>
        <v>#N/A</v>
      </c>
      <c r="AV75" s="273" t="e">
        <f t="shared" si="107"/>
        <v>#N/A</v>
      </c>
      <c r="AW75" s="274" t="e">
        <f t="shared" si="74"/>
        <v>#N/A</v>
      </c>
      <c r="AX75" s="232">
        <f t="shared" si="108"/>
        <v>7</v>
      </c>
      <c r="AY75" s="273" t="e">
        <f t="shared" si="75"/>
        <v>#N/A</v>
      </c>
      <c r="AZ75" s="232" t="e">
        <f t="shared" si="109"/>
        <v>#N/A</v>
      </c>
      <c r="BA75" s="232" t="e">
        <f t="shared" si="76"/>
        <v>#N/A</v>
      </c>
      <c r="BB75" s="275">
        <f t="shared" si="110"/>
        <v>7</v>
      </c>
      <c r="BC75" s="276" t="e">
        <f t="shared" si="111"/>
        <v>#N/A</v>
      </c>
      <c r="BD75" s="277" t="e">
        <f t="shared" si="112"/>
        <v>#N/A</v>
      </c>
      <c r="BE75" s="250" t="e">
        <f t="shared" si="77"/>
        <v>#N/A</v>
      </c>
      <c r="BF75" s="247">
        <f t="shared" si="113"/>
        <v>7</v>
      </c>
      <c r="BG75" s="276" t="e">
        <f t="shared" si="114"/>
        <v>#N/A</v>
      </c>
      <c r="BH75" s="277" t="e">
        <f t="shared" si="115"/>
        <v>#N/A</v>
      </c>
      <c r="BI75" s="250" t="e">
        <f t="shared" si="78"/>
        <v>#N/A</v>
      </c>
      <c r="BJ75" s="251">
        <f t="shared" si="116"/>
        <v>7</v>
      </c>
      <c r="BK75" s="278" t="e">
        <f t="shared" si="117"/>
        <v>#N/A</v>
      </c>
      <c r="BL75" s="278" t="e">
        <f t="shared" si="118"/>
        <v>#N/A</v>
      </c>
      <c r="BM75" s="279" t="e">
        <f t="shared" si="79"/>
        <v>#N/A</v>
      </c>
      <c r="BN75" s="280">
        <f t="shared" si="119"/>
        <v>7</v>
      </c>
      <c r="BO75" s="281" t="e">
        <f t="shared" si="120"/>
        <v>#N/A</v>
      </c>
      <c r="BP75" s="281" t="e">
        <f t="shared" si="121"/>
        <v>#N/A</v>
      </c>
      <c r="BQ75" s="279" t="e">
        <f t="shared" si="80"/>
        <v>#N/A</v>
      </c>
      <c r="BR75" s="282" t="e">
        <f t="shared" si="81"/>
        <v>#N/A</v>
      </c>
      <c r="BS75" s="217" t="e">
        <f>VLOOKUP($B75,SDR24_STOCK_BY_LA!$A$2:$C$11878,3,0)</f>
        <v>#N/A</v>
      </c>
      <c r="BT75" s="217" t="str">
        <f t="shared" si="122"/>
        <v/>
      </c>
    </row>
    <row r="76" spans="1:72" x14ac:dyDescent="0.2">
      <c r="A76" s="217" t="str">
        <f t="shared" si="123"/>
        <v/>
      </c>
      <c r="B76" s="217" t="str">
        <f t="shared" si="62"/>
        <v/>
      </c>
      <c r="C76" s="283" t="str">
        <f t="shared" si="82"/>
        <v/>
      </c>
      <c r="D76" s="256" t="str">
        <f>IF(B76="","",IF(totals!$Q$3=0,IFERROR(IF(AD76=2,"0",AE76),""),"-"))</f>
        <v/>
      </c>
      <c r="E76" s="258" t="str">
        <f t="shared" si="83"/>
        <v/>
      </c>
      <c r="F76" s="259" t="str">
        <f t="shared" si="84"/>
        <v/>
      </c>
      <c r="G76" s="259" t="str">
        <f t="shared" si="85"/>
        <v/>
      </c>
      <c r="H76" s="256" t="str">
        <f t="shared" si="63"/>
        <v/>
      </c>
      <c r="I76" s="259" t="str">
        <f t="shared" si="86"/>
        <v/>
      </c>
      <c r="J76" s="259" t="str">
        <f t="shared" si="87"/>
        <v/>
      </c>
      <c r="K76" s="256" t="str">
        <f t="shared" si="64"/>
        <v/>
      </c>
      <c r="L76" s="259" t="str">
        <f t="shared" si="65"/>
        <v/>
      </c>
      <c r="M76" s="259" t="str">
        <f t="shared" si="88"/>
        <v/>
      </c>
      <c r="N76" s="256" t="str">
        <f t="shared" si="89"/>
        <v/>
      </c>
      <c r="O76" s="259" t="str">
        <f t="shared" si="90"/>
        <v/>
      </c>
      <c r="P76" s="259" t="str">
        <f t="shared" si="91"/>
        <v/>
      </c>
      <c r="Q76" s="256" t="str">
        <f t="shared" si="92"/>
        <v/>
      </c>
      <c r="R76" s="259" t="str">
        <f t="shared" si="93"/>
        <v/>
      </c>
      <c r="S76" s="259" t="str">
        <f t="shared" si="94"/>
        <v/>
      </c>
      <c r="T76" s="256" t="str">
        <f t="shared" si="95"/>
        <v/>
      </c>
      <c r="U76" s="217"/>
      <c r="V76" s="217"/>
      <c r="AB76" s="217" t="e">
        <f>VLOOKUP($B$6,Lookup_Source,69,0)</f>
        <v>#N/A</v>
      </c>
      <c r="AC76" s="241" t="str">
        <f t="shared" si="96"/>
        <v/>
      </c>
      <c r="AD76" s="242">
        <f t="shared" si="97"/>
        <v>7</v>
      </c>
      <c r="AE76" s="261" t="e">
        <f t="shared" si="66"/>
        <v>#N/A</v>
      </c>
      <c r="AF76" s="264" t="e">
        <f t="shared" si="98"/>
        <v>#N/A</v>
      </c>
      <c r="AG76" s="264" t="e">
        <f t="shared" si="99"/>
        <v>#N/A</v>
      </c>
      <c r="AH76" s="263" t="e">
        <f t="shared" si="67"/>
        <v>#N/A</v>
      </c>
      <c r="AI76" s="226">
        <f t="shared" si="100"/>
        <v>7</v>
      </c>
      <c r="AJ76" s="264" t="e">
        <f t="shared" si="68"/>
        <v>#N/A</v>
      </c>
      <c r="AK76" s="264" t="e">
        <f t="shared" si="101"/>
        <v>#N/A</v>
      </c>
      <c r="AL76" s="226" t="e">
        <f t="shared" si="69"/>
        <v>#N/A</v>
      </c>
      <c r="AM76" s="265" t="e">
        <f t="shared" si="102"/>
        <v>#N/A</v>
      </c>
      <c r="AN76" s="266" t="e">
        <f t="shared" si="70"/>
        <v>#N/A</v>
      </c>
      <c r="AO76" s="227" t="e">
        <f t="shared" si="71"/>
        <v>#N/A</v>
      </c>
      <c r="AP76" s="284">
        <f t="shared" si="103"/>
        <v>7</v>
      </c>
      <c r="AQ76" s="285" t="e">
        <f t="shared" si="72"/>
        <v>#N/A</v>
      </c>
      <c r="AR76" s="266" t="e">
        <f t="shared" si="104"/>
        <v>#N/A</v>
      </c>
      <c r="AS76" s="270" t="e">
        <f t="shared" si="73"/>
        <v>#N/A</v>
      </c>
      <c r="AT76" s="271">
        <f t="shared" si="105"/>
        <v>7</v>
      </c>
      <c r="AU76" s="272" t="e">
        <f t="shared" si="106"/>
        <v>#N/A</v>
      </c>
      <c r="AV76" s="273" t="e">
        <f t="shared" si="107"/>
        <v>#N/A</v>
      </c>
      <c r="AW76" s="274" t="e">
        <f t="shared" si="74"/>
        <v>#N/A</v>
      </c>
      <c r="AX76" s="232">
        <f t="shared" si="108"/>
        <v>7</v>
      </c>
      <c r="AY76" s="273" t="e">
        <f t="shared" si="75"/>
        <v>#N/A</v>
      </c>
      <c r="AZ76" s="232" t="e">
        <f t="shared" si="109"/>
        <v>#N/A</v>
      </c>
      <c r="BA76" s="232" t="e">
        <f t="shared" si="76"/>
        <v>#N/A</v>
      </c>
      <c r="BB76" s="275">
        <f t="shared" si="110"/>
        <v>7</v>
      </c>
      <c r="BC76" s="276" t="e">
        <f t="shared" si="111"/>
        <v>#N/A</v>
      </c>
      <c r="BD76" s="277" t="e">
        <f t="shared" si="112"/>
        <v>#N/A</v>
      </c>
      <c r="BE76" s="250" t="e">
        <f t="shared" si="77"/>
        <v>#N/A</v>
      </c>
      <c r="BF76" s="247">
        <f t="shared" si="113"/>
        <v>7</v>
      </c>
      <c r="BG76" s="276" t="e">
        <f t="shared" si="114"/>
        <v>#N/A</v>
      </c>
      <c r="BH76" s="277" t="e">
        <f t="shared" si="115"/>
        <v>#N/A</v>
      </c>
      <c r="BI76" s="250" t="e">
        <f t="shared" si="78"/>
        <v>#N/A</v>
      </c>
      <c r="BJ76" s="251">
        <f t="shared" si="116"/>
        <v>7</v>
      </c>
      <c r="BK76" s="278" t="e">
        <f t="shared" si="117"/>
        <v>#N/A</v>
      </c>
      <c r="BL76" s="278" t="e">
        <f t="shared" si="118"/>
        <v>#N/A</v>
      </c>
      <c r="BM76" s="279" t="e">
        <f t="shared" si="79"/>
        <v>#N/A</v>
      </c>
      <c r="BN76" s="280">
        <f t="shared" si="119"/>
        <v>7</v>
      </c>
      <c r="BO76" s="281" t="e">
        <f t="shared" si="120"/>
        <v>#N/A</v>
      </c>
      <c r="BP76" s="281" t="e">
        <f t="shared" si="121"/>
        <v>#N/A</v>
      </c>
      <c r="BQ76" s="279" t="e">
        <f t="shared" si="80"/>
        <v>#N/A</v>
      </c>
      <c r="BR76" s="282" t="e">
        <f t="shared" si="81"/>
        <v>#N/A</v>
      </c>
      <c r="BS76" s="217" t="e">
        <f>VLOOKUP($B76,SDR24_STOCK_BY_LA!$A$2:$C$11878,3,0)</f>
        <v>#N/A</v>
      </c>
      <c r="BT76" s="217" t="str">
        <f t="shared" si="122"/>
        <v/>
      </c>
    </row>
    <row r="77" spans="1:72" x14ac:dyDescent="0.2">
      <c r="A77" s="256" t="str">
        <f t="shared" si="123"/>
        <v/>
      </c>
      <c r="B77" s="217" t="str">
        <f t="shared" ref="B77:B140" si="124">IFERROR(IF(AB77=0,"",AB77),"")</f>
        <v/>
      </c>
      <c r="C77" s="257" t="str">
        <f t="shared" si="82"/>
        <v/>
      </c>
      <c r="D77" s="256" t="str">
        <f>IF(B77="","",IF(totals!$Q$3=0,IFERROR(IF(AD77=2,"0",AE77),""),"-"))</f>
        <v/>
      </c>
      <c r="E77" s="258" t="str">
        <f t="shared" si="83"/>
        <v/>
      </c>
      <c r="F77" s="259" t="str">
        <f t="shared" si="84"/>
        <v/>
      </c>
      <c r="G77" s="259" t="str">
        <f t="shared" si="85"/>
        <v/>
      </c>
      <c r="H77" s="256" t="str">
        <f t="shared" si="63"/>
        <v/>
      </c>
      <c r="I77" s="259" t="str">
        <f t="shared" si="86"/>
        <v/>
      </c>
      <c r="J77" s="259" t="str">
        <f t="shared" si="87"/>
        <v/>
      </c>
      <c r="K77" s="256" t="str">
        <f t="shared" si="64"/>
        <v/>
      </c>
      <c r="L77" s="259" t="str">
        <f t="shared" si="65"/>
        <v/>
      </c>
      <c r="M77" s="259" t="str">
        <f t="shared" si="88"/>
        <v/>
      </c>
      <c r="N77" s="256" t="str">
        <f t="shared" si="89"/>
        <v/>
      </c>
      <c r="O77" s="259" t="str">
        <f t="shared" si="90"/>
        <v/>
      </c>
      <c r="P77" s="259" t="str">
        <f t="shared" si="91"/>
        <v/>
      </c>
      <c r="Q77" s="256" t="str">
        <f t="shared" si="92"/>
        <v/>
      </c>
      <c r="R77" s="259" t="str">
        <f t="shared" si="93"/>
        <v/>
      </c>
      <c r="S77" s="259" t="str">
        <f t="shared" si="94"/>
        <v/>
      </c>
      <c r="T77" s="256" t="str">
        <f t="shared" si="95"/>
        <v/>
      </c>
      <c r="U77" s="217"/>
      <c r="V77" s="217"/>
      <c r="AB77" s="257" t="e">
        <f>VLOOKUP($B$6,Lookup_Source,70,0)</f>
        <v>#N/A</v>
      </c>
      <c r="AC77" s="241" t="str">
        <f t="shared" si="96"/>
        <v/>
      </c>
      <c r="AD77" s="242">
        <f t="shared" si="97"/>
        <v>7</v>
      </c>
      <c r="AE77" s="261" t="e">
        <f t="shared" si="66"/>
        <v>#N/A</v>
      </c>
      <c r="AF77" s="264" t="e">
        <f t="shared" si="98"/>
        <v>#N/A</v>
      </c>
      <c r="AG77" s="264" t="e">
        <f t="shared" si="99"/>
        <v>#N/A</v>
      </c>
      <c r="AH77" s="263" t="e">
        <f t="shared" si="67"/>
        <v>#N/A</v>
      </c>
      <c r="AI77" s="226">
        <f t="shared" si="100"/>
        <v>7</v>
      </c>
      <c r="AJ77" s="264" t="e">
        <f t="shared" si="68"/>
        <v>#N/A</v>
      </c>
      <c r="AK77" s="264" t="e">
        <f t="shared" si="101"/>
        <v>#N/A</v>
      </c>
      <c r="AL77" s="226" t="e">
        <f t="shared" si="69"/>
        <v>#N/A</v>
      </c>
      <c r="AM77" s="265" t="e">
        <f t="shared" si="102"/>
        <v>#N/A</v>
      </c>
      <c r="AN77" s="266" t="e">
        <f t="shared" si="70"/>
        <v>#N/A</v>
      </c>
      <c r="AO77" s="227" t="e">
        <f t="shared" si="71"/>
        <v>#N/A</v>
      </c>
      <c r="AP77" s="284">
        <f t="shared" si="103"/>
        <v>7</v>
      </c>
      <c r="AQ77" s="285" t="e">
        <f t="shared" si="72"/>
        <v>#N/A</v>
      </c>
      <c r="AR77" s="266" t="e">
        <f t="shared" si="104"/>
        <v>#N/A</v>
      </c>
      <c r="AS77" s="270" t="e">
        <f t="shared" si="73"/>
        <v>#N/A</v>
      </c>
      <c r="AT77" s="271">
        <f t="shared" si="105"/>
        <v>7</v>
      </c>
      <c r="AU77" s="272" t="e">
        <f t="shared" si="106"/>
        <v>#N/A</v>
      </c>
      <c r="AV77" s="273" t="e">
        <f t="shared" si="107"/>
        <v>#N/A</v>
      </c>
      <c r="AW77" s="274" t="e">
        <f t="shared" si="74"/>
        <v>#N/A</v>
      </c>
      <c r="AX77" s="232">
        <f t="shared" si="108"/>
        <v>7</v>
      </c>
      <c r="AY77" s="273" t="e">
        <f t="shared" si="75"/>
        <v>#N/A</v>
      </c>
      <c r="AZ77" s="232" t="e">
        <f t="shared" si="109"/>
        <v>#N/A</v>
      </c>
      <c r="BA77" s="232" t="e">
        <f t="shared" si="76"/>
        <v>#N/A</v>
      </c>
      <c r="BB77" s="275">
        <f t="shared" si="110"/>
        <v>7</v>
      </c>
      <c r="BC77" s="276" t="e">
        <f t="shared" si="111"/>
        <v>#N/A</v>
      </c>
      <c r="BD77" s="277" t="e">
        <f t="shared" si="112"/>
        <v>#N/A</v>
      </c>
      <c r="BE77" s="250" t="e">
        <f t="shared" si="77"/>
        <v>#N/A</v>
      </c>
      <c r="BF77" s="247">
        <f t="shared" si="113"/>
        <v>7</v>
      </c>
      <c r="BG77" s="276" t="e">
        <f t="shared" si="114"/>
        <v>#N/A</v>
      </c>
      <c r="BH77" s="277" t="e">
        <f t="shared" si="115"/>
        <v>#N/A</v>
      </c>
      <c r="BI77" s="250" t="e">
        <f t="shared" si="78"/>
        <v>#N/A</v>
      </c>
      <c r="BJ77" s="251">
        <f t="shared" si="116"/>
        <v>7</v>
      </c>
      <c r="BK77" s="278" t="e">
        <f t="shared" si="117"/>
        <v>#N/A</v>
      </c>
      <c r="BL77" s="278" t="e">
        <f t="shared" si="118"/>
        <v>#N/A</v>
      </c>
      <c r="BM77" s="279" t="e">
        <f t="shared" si="79"/>
        <v>#N/A</v>
      </c>
      <c r="BN77" s="280">
        <f t="shared" si="119"/>
        <v>7</v>
      </c>
      <c r="BO77" s="281" t="e">
        <f t="shared" si="120"/>
        <v>#N/A</v>
      </c>
      <c r="BP77" s="281" t="e">
        <f t="shared" si="121"/>
        <v>#N/A</v>
      </c>
      <c r="BQ77" s="279" t="e">
        <f t="shared" si="80"/>
        <v>#N/A</v>
      </c>
      <c r="BR77" s="282" t="e">
        <f t="shared" si="81"/>
        <v>#N/A</v>
      </c>
      <c r="BS77" s="217" t="e">
        <f>VLOOKUP($B77,SDR24_STOCK_BY_LA!$A$2:$C$11878,3,0)</f>
        <v>#N/A</v>
      </c>
      <c r="BT77" s="217" t="str">
        <f t="shared" si="122"/>
        <v/>
      </c>
    </row>
    <row r="78" spans="1:72" x14ac:dyDescent="0.2">
      <c r="A78" s="217" t="str">
        <f t="shared" si="123"/>
        <v/>
      </c>
      <c r="B78" s="217" t="str">
        <f t="shared" si="124"/>
        <v/>
      </c>
      <c r="C78" s="283" t="str">
        <f t="shared" si="82"/>
        <v/>
      </c>
      <c r="D78" s="256" t="str">
        <f>IF(B78="","",IF(totals!$Q$3=0,IFERROR(IF(AD78=2,"0",AE78),""),"-"))</f>
        <v/>
      </c>
      <c r="E78" s="258" t="str">
        <f t="shared" si="83"/>
        <v/>
      </c>
      <c r="F78" s="259" t="str">
        <f t="shared" si="84"/>
        <v/>
      </c>
      <c r="G78" s="259" t="str">
        <f t="shared" si="85"/>
        <v/>
      </c>
      <c r="H78" s="256" t="str">
        <f t="shared" si="63"/>
        <v/>
      </c>
      <c r="I78" s="259" t="str">
        <f t="shared" si="86"/>
        <v/>
      </c>
      <c r="J78" s="259" t="str">
        <f t="shared" si="87"/>
        <v/>
      </c>
      <c r="K78" s="256" t="str">
        <f t="shared" si="64"/>
        <v/>
      </c>
      <c r="L78" s="259" t="str">
        <f t="shared" si="65"/>
        <v/>
      </c>
      <c r="M78" s="259" t="str">
        <f t="shared" si="88"/>
        <v/>
      </c>
      <c r="N78" s="256" t="str">
        <f t="shared" si="89"/>
        <v/>
      </c>
      <c r="O78" s="259" t="str">
        <f t="shared" si="90"/>
        <v/>
      </c>
      <c r="P78" s="259" t="str">
        <f t="shared" si="91"/>
        <v/>
      </c>
      <c r="Q78" s="256" t="str">
        <f t="shared" si="92"/>
        <v/>
      </c>
      <c r="R78" s="259" t="str">
        <f t="shared" si="93"/>
        <v/>
      </c>
      <c r="S78" s="259" t="str">
        <f t="shared" si="94"/>
        <v/>
      </c>
      <c r="T78" s="256" t="str">
        <f t="shared" si="95"/>
        <v/>
      </c>
      <c r="U78" s="217"/>
      <c r="V78" s="217"/>
      <c r="AB78" s="217" t="e">
        <f>VLOOKUP($B$6,Lookup_Source,71,0)</f>
        <v>#N/A</v>
      </c>
      <c r="AC78" s="241" t="str">
        <f t="shared" si="96"/>
        <v/>
      </c>
      <c r="AD78" s="242">
        <f t="shared" si="97"/>
        <v>7</v>
      </c>
      <c r="AE78" s="261" t="e">
        <f t="shared" si="66"/>
        <v>#N/A</v>
      </c>
      <c r="AF78" s="264" t="e">
        <f t="shared" si="98"/>
        <v>#N/A</v>
      </c>
      <c r="AG78" s="264" t="e">
        <f t="shared" si="99"/>
        <v>#N/A</v>
      </c>
      <c r="AH78" s="263" t="e">
        <f t="shared" si="67"/>
        <v>#N/A</v>
      </c>
      <c r="AI78" s="226">
        <f t="shared" si="100"/>
        <v>7</v>
      </c>
      <c r="AJ78" s="264" t="e">
        <f t="shared" si="68"/>
        <v>#N/A</v>
      </c>
      <c r="AK78" s="264" t="e">
        <f t="shared" si="101"/>
        <v>#N/A</v>
      </c>
      <c r="AL78" s="226" t="e">
        <f t="shared" si="69"/>
        <v>#N/A</v>
      </c>
      <c r="AM78" s="265" t="e">
        <f t="shared" si="102"/>
        <v>#N/A</v>
      </c>
      <c r="AN78" s="266" t="e">
        <f t="shared" si="70"/>
        <v>#N/A</v>
      </c>
      <c r="AO78" s="227" t="e">
        <f t="shared" si="71"/>
        <v>#N/A</v>
      </c>
      <c r="AP78" s="284">
        <f t="shared" si="103"/>
        <v>7</v>
      </c>
      <c r="AQ78" s="285" t="e">
        <f t="shared" si="72"/>
        <v>#N/A</v>
      </c>
      <c r="AR78" s="266" t="e">
        <f t="shared" si="104"/>
        <v>#N/A</v>
      </c>
      <c r="AS78" s="270" t="e">
        <f t="shared" si="73"/>
        <v>#N/A</v>
      </c>
      <c r="AT78" s="271">
        <f t="shared" si="105"/>
        <v>7</v>
      </c>
      <c r="AU78" s="272" t="e">
        <f t="shared" si="106"/>
        <v>#N/A</v>
      </c>
      <c r="AV78" s="273" t="e">
        <f t="shared" si="107"/>
        <v>#N/A</v>
      </c>
      <c r="AW78" s="274" t="e">
        <f t="shared" si="74"/>
        <v>#N/A</v>
      </c>
      <c r="AX78" s="232">
        <f t="shared" si="108"/>
        <v>7</v>
      </c>
      <c r="AY78" s="273" t="e">
        <f t="shared" si="75"/>
        <v>#N/A</v>
      </c>
      <c r="AZ78" s="232" t="e">
        <f t="shared" si="109"/>
        <v>#N/A</v>
      </c>
      <c r="BA78" s="232" t="e">
        <f t="shared" si="76"/>
        <v>#N/A</v>
      </c>
      <c r="BB78" s="275">
        <f t="shared" si="110"/>
        <v>7</v>
      </c>
      <c r="BC78" s="276" t="e">
        <f t="shared" si="111"/>
        <v>#N/A</v>
      </c>
      <c r="BD78" s="277" t="e">
        <f t="shared" si="112"/>
        <v>#N/A</v>
      </c>
      <c r="BE78" s="250" t="e">
        <f t="shared" si="77"/>
        <v>#N/A</v>
      </c>
      <c r="BF78" s="247">
        <f t="shared" si="113"/>
        <v>7</v>
      </c>
      <c r="BG78" s="276" t="e">
        <f t="shared" si="114"/>
        <v>#N/A</v>
      </c>
      <c r="BH78" s="277" t="e">
        <f t="shared" si="115"/>
        <v>#N/A</v>
      </c>
      <c r="BI78" s="250" t="e">
        <f t="shared" si="78"/>
        <v>#N/A</v>
      </c>
      <c r="BJ78" s="251">
        <f t="shared" si="116"/>
        <v>7</v>
      </c>
      <c r="BK78" s="278" t="e">
        <f t="shared" si="117"/>
        <v>#N/A</v>
      </c>
      <c r="BL78" s="278" t="e">
        <f t="shared" si="118"/>
        <v>#N/A</v>
      </c>
      <c r="BM78" s="279" t="e">
        <f t="shared" si="79"/>
        <v>#N/A</v>
      </c>
      <c r="BN78" s="280">
        <f t="shared" si="119"/>
        <v>7</v>
      </c>
      <c r="BO78" s="281" t="e">
        <f t="shared" si="120"/>
        <v>#N/A</v>
      </c>
      <c r="BP78" s="281" t="e">
        <f t="shared" si="121"/>
        <v>#N/A</v>
      </c>
      <c r="BQ78" s="279" t="e">
        <f t="shared" si="80"/>
        <v>#N/A</v>
      </c>
      <c r="BR78" s="282" t="e">
        <f t="shared" si="81"/>
        <v>#N/A</v>
      </c>
      <c r="BS78" s="217" t="e">
        <f>VLOOKUP($B78,SDR24_STOCK_BY_LA!$A$2:$C$11878,3,0)</f>
        <v>#N/A</v>
      </c>
      <c r="BT78" s="217" t="str">
        <f t="shared" si="122"/>
        <v/>
      </c>
    </row>
    <row r="79" spans="1:72" x14ac:dyDescent="0.2">
      <c r="A79" s="256" t="str">
        <f t="shared" si="123"/>
        <v/>
      </c>
      <c r="B79" s="217" t="str">
        <f t="shared" si="124"/>
        <v/>
      </c>
      <c r="C79" s="257" t="str">
        <f t="shared" si="82"/>
        <v/>
      </c>
      <c r="D79" s="256" t="str">
        <f>IF(B79="","",IF(totals!$Q$3=0,IFERROR(IF(AD79=2,"0",AE79),""),"-"))</f>
        <v/>
      </c>
      <c r="E79" s="258" t="str">
        <f t="shared" si="83"/>
        <v/>
      </c>
      <c r="F79" s="259" t="str">
        <f t="shared" si="84"/>
        <v/>
      </c>
      <c r="G79" s="259" t="str">
        <f t="shared" si="85"/>
        <v/>
      </c>
      <c r="H79" s="256" t="str">
        <f t="shared" si="63"/>
        <v/>
      </c>
      <c r="I79" s="259" t="str">
        <f t="shared" si="86"/>
        <v/>
      </c>
      <c r="J79" s="259" t="str">
        <f t="shared" si="87"/>
        <v/>
      </c>
      <c r="K79" s="256" t="str">
        <f t="shared" si="64"/>
        <v/>
      </c>
      <c r="L79" s="259" t="str">
        <f t="shared" si="65"/>
        <v/>
      </c>
      <c r="M79" s="259" t="str">
        <f t="shared" si="88"/>
        <v/>
      </c>
      <c r="N79" s="256" t="str">
        <f t="shared" si="89"/>
        <v/>
      </c>
      <c r="O79" s="259" t="str">
        <f t="shared" si="90"/>
        <v/>
      </c>
      <c r="P79" s="259" t="str">
        <f t="shared" si="91"/>
        <v/>
      </c>
      <c r="Q79" s="256" t="str">
        <f t="shared" si="92"/>
        <v/>
      </c>
      <c r="R79" s="259" t="str">
        <f t="shared" si="93"/>
        <v/>
      </c>
      <c r="S79" s="259" t="str">
        <f t="shared" si="94"/>
        <v/>
      </c>
      <c r="T79" s="256" t="str">
        <f t="shared" si="95"/>
        <v/>
      </c>
      <c r="U79" s="217"/>
      <c r="V79" s="217"/>
      <c r="AB79" s="257" t="e">
        <f>VLOOKUP($B$6,Lookup_Source,72,0)</f>
        <v>#N/A</v>
      </c>
      <c r="AC79" s="241" t="str">
        <f t="shared" si="96"/>
        <v/>
      </c>
      <c r="AD79" s="242">
        <f t="shared" si="97"/>
        <v>7</v>
      </c>
      <c r="AE79" s="261" t="e">
        <f t="shared" si="66"/>
        <v>#N/A</v>
      </c>
      <c r="AF79" s="264" t="e">
        <f t="shared" si="98"/>
        <v>#N/A</v>
      </c>
      <c r="AG79" s="264" t="e">
        <f t="shared" si="99"/>
        <v>#N/A</v>
      </c>
      <c r="AH79" s="263" t="e">
        <f t="shared" si="67"/>
        <v>#N/A</v>
      </c>
      <c r="AI79" s="226">
        <f t="shared" si="100"/>
        <v>7</v>
      </c>
      <c r="AJ79" s="264" t="e">
        <f t="shared" si="68"/>
        <v>#N/A</v>
      </c>
      <c r="AK79" s="264" t="e">
        <f t="shared" si="101"/>
        <v>#N/A</v>
      </c>
      <c r="AL79" s="226" t="e">
        <f t="shared" si="69"/>
        <v>#N/A</v>
      </c>
      <c r="AM79" s="265" t="e">
        <f t="shared" si="102"/>
        <v>#N/A</v>
      </c>
      <c r="AN79" s="266" t="e">
        <f t="shared" si="70"/>
        <v>#N/A</v>
      </c>
      <c r="AO79" s="227" t="e">
        <f t="shared" si="71"/>
        <v>#N/A</v>
      </c>
      <c r="AP79" s="284">
        <f t="shared" si="103"/>
        <v>7</v>
      </c>
      <c r="AQ79" s="285" t="e">
        <f t="shared" si="72"/>
        <v>#N/A</v>
      </c>
      <c r="AR79" s="266" t="e">
        <f t="shared" si="104"/>
        <v>#N/A</v>
      </c>
      <c r="AS79" s="270" t="e">
        <f t="shared" si="73"/>
        <v>#N/A</v>
      </c>
      <c r="AT79" s="271">
        <f t="shared" si="105"/>
        <v>7</v>
      </c>
      <c r="AU79" s="272" t="e">
        <f t="shared" si="106"/>
        <v>#N/A</v>
      </c>
      <c r="AV79" s="273" t="e">
        <f t="shared" si="107"/>
        <v>#N/A</v>
      </c>
      <c r="AW79" s="274" t="e">
        <f t="shared" si="74"/>
        <v>#N/A</v>
      </c>
      <c r="AX79" s="232">
        <f t="shared" si="108"/>
        <v>7</v>
      </c>
      <c r="AY79" s="273" t="e">
        <f t="shared" si="75"/>
        <v>#N/A</v>
      </c>
      <c r="AZ79" s="232" t="e">
        <f t="shared" si="109"/>
        <v>#N/A</v>
      </c>
      <c r="BA79" s="232" t="e">
        <f t="shared" si="76"/>
        <v>#N/A</v>
      </c>
      <c r="BB79" s="275">
        <f t="shared" si="110"/>
        <v>7</v>
      </c>
      <c r="BC79" s="276" t="e">
        <f t="shared" si="111"/>
        <v>#N/A</v>
      </c>
      <c r="BD79" s="277" t="e">
        <f t="shared" si="112"/>
        <v>#N/A</v>
      </c>
      <c r="BE79" s="250" t="e">
        <f t="shared" si="77"/>
        <v>#N/A</v>
      </c>
      <c r="BF79" s="247">
        <f t="shared" si="113"/>
        <v>7</v>
      </c>
      <c r="BG79" s="276" t="e">
        <f t="shared" si="114"/>
        <v>#N/A</v>
      </c>
      <c r="BH79" s="277" t="e">
        <f t="shared" si="115"/>
        <v>#N/A</v>
      </c>
      <c r="BI79" s="250" t="e">
        <f t="shared" si="78"/>
        <v>#N/A</v>
      </c>
      <c r="BJ79" s="251">
        <f t="shared" si="116"/>
        <v>7</v>
      </c>
      <c r="BK79" s="278" t="e">
        <f t="shared" si="117"/>
        <v>#N/A</v>
      </c>
      <c r="BL79" s="278" t="e">
        <f t="shared" si="118"/>
        <v>#N/A</v>
      </c>
      <c r="BM79" s="279" t="e">
        <f t="shared" si="79"/>
        <v>#N/A</v>
      </c>
      <c r="BN79" s="280">
        <f t="shared" si="119"/>
        <v>7</v>
      </c>
      <c r="BO79" s="281" t="e">
        <f t="shared" si="120"/>
        <v>#N/A</v>
      </c>
      <c r="BP79" s="281" t="e">
        <f t="shared" si="121"/>
        <v>#N/A</v>
      </c>
      <c r="BQ79" s="279" t="e">
        <f t="shared" si="80"/>
        <v>#N/A</v>
      </c>
      <c r="BR79" s="282" t="e">
        <f t="shared" si="81"/>
        <v>#N/A</v>
      </c>
      <c r="BS79" s="217" t="e">
        <f>VLOOKUP($B79,SDR24_STOCK_BY_LA!$A$2:$C$11878,3,0)</f>
        <v>#N/A</v>
      </c>
      <c r="BT79" s="217" t="str">
        <f t="shared" si="122"/>
        <v/>
      </c>
    </row>
    <row r="80" spans="1:72" x14ac:dyDescent="0.2">
      <c r="A80" s="217" t="str">
        <f t="shared" si="123"/>
        <v/>
      </c>
      <c r="B80" s="217" t="str">
        <f t="shared" si="124"/>
        <v/>
      </c>
      <c r="C80" s="283" t="str">
        <f t="shared" si="82"/>
        <v/>
      </c>
      <c r="D80" s="256" t="str">
        <f>IF(B80="","",IF(totals!$Q$3=0,IFERROR(IF(AD80=2,"0",AE80),""),"-"))</f>
        <v/>
      </c>
      <c r="E80" s="258" t="str">
        <f t="shared" si="83"/>
        <v/>
      </c>
      <c r="F80" s="259" t="str">
        <f t="shared" si="84"/>
        <v/>
      </c>
      <c r="G80" s="259" t="str">
        <f t="shared" si="85"/>
        <v/>
      </c>
      <c r="H80" s="256" t="str">
        <f t="shared" si="63"/>
        <v/>
      </c>
      <c r="I80" s="259" t="str">
        <f t="shared" si="86"/>
        <v/>
      </c>
      <c r="J80" s="259" t="str">
        <f t="shared" si="87"/>
        <v/>
      </c>
      <c r="K80" s="256" t="str">
        <f t="shared" si="64"/>
        <v/>
      </c>
      <c r="L80" s="259" t="str">
        <f t="shared" si="65"/>
        <v/>
      </c>
      <c r="M80" s="259" t="str">
        <f t="shared" si="88"/>
        <v/>
      </c>
      <c r="N80" s="256" t="str">
        <f t="shared" si="89"/>
        <v/>
      </c>
      <c r="O80" s="259" t="str">
        <f t="shared" si="90"/>
        <v/>
      </c>
      <c r="P80" s="259" t="str">
        <f t="shared" si="91"/>
        <v/>
      </c>
      <c r="Q80" s="256" t="str">
        <f t="shared" si="92"/>
        <v/>
      </c>
      <c r="R80" s="259" t="str">
        <f t="shared" si="93"/>
        <v/>
      </c>
      <c r="S80" s="259" t="str">
        <f t="shared" si="94"/>
        <v/>
      </c>
      <c r="T80" s="256" t="str">
        <f t="shared" si="95"/>
        <v/>
      </c>
      <c r="U80" s="217"/>
      <c r="V80" s="217"/>
      <c r="AB80" s="217" t="e">
        <f>VLOOKUP($B$6,Lookup_Source,73,0)</f>
        <v>#N/A</v>
      </c>
      <c r="AC80" s="241" t="str">
        <f t="shared" si="96"/>
        <v/>
      </c>
      <c r="AD80" s="242">
        <f t="shared" si="97"/>
        <v>7</v>
      </c>
      <c r="AE80" s="261" t="e">
        <f t="shared" si="66"/>
        <v>#N/A</v>
      </c>
      <c r="AF80" s="264" t="e">
        <f t="shared" si="98"/>
        <v>#N/A</v>
      </c>
      <c r="AG80" s="264" t="e">
        <f t="shared" si="99"/>
        <v>#N/A</v>
      </c>
      <c r="AH80" s="263" t="e">
        <f t="shared" si="67"/>
        <v>#N/A</v>
      </c>
      <c r="AI80" s="226">
        <f t="shared" si="100"/>
        <v>7</v>
      </c>
      <c r="AJ80" s="264" t="e">
        <f t="shared" si="68"/>
        <v>#N/A</v>
      </c>
      <c r="AK80" s="264" t="e">
        <f t="shared" si="101"/>
        <v>#N/A</v>
      </c>
      <c r="AL80" s="226" t="e">
        <f t="shared" si="69"/>
        <v>#N/A</v>
      </c>
      <c r="AM80" s="265" t="e">
        <f t="shared" si="102"/>
        <v>#N/A</v>
      </c>
      <c r="AN80" s="266" t="e">
        <f t="shared" si="70"/>
        <v>#N/A</v>
      </c>
      <c r="AO80" s="227" t="e">
        <f t="shared" si="71"/>
        <v>#N/A</v>
      </c>
      <c r="AP80" s="284">
        <f t="shared" si="103"/>
        <v>7</v>
      </c>
      <c r="AQ80" s="285" t="e">
        <f t="shared" si="72"/>
        <v>#N/A</v>
      </c>
      <c r="AR80" s="266" t="e">
        <f t="shared" si="104"/>
        <v>#N/A</v>
      </c>
      <c r="AS80" s="270" t="e">
        <f t="shared" si="73"/>
        <v>#N/A</v>
      </c>
      <c r="AT80" s="271">
        <f t="shared" si="105"/>
        <v>7</v>
      </c>
      <c r="AU80" s="272" t="e">
        <f t="shared" si="106"/>
        <v>#N/A</v>
      </c>
      <c r="AV80" s="273" t="e">
        <f t="shared" si="107"/>
        <v>#N/A</v>
      </c>
      <c r="AW80" s="274" t="e">
        <f t="shared" si="74"/>
        <v>#N/A</v>
      </c>
      <c r="AX80" s="232">
        <f t="shared" si="108"/>
        <v>7</v>
      </c>
      <c r="AY80" s="273" t="e">
        <f t="shared" si="75"/>
        <v>#N/A</v>
      </c>
      <c r="AZ80" s="232" t="e">
        <f t="shared" si="109"/>
        <v>#N/A</v>
      </c>
      <c r="BA80" s="232" t="e">
        <f t="shared" si="76"/>
        <v>#N/A</v>
      </c>
      <c r="BB80" s="275">
        <f t="shared" si="110"/>
        <v>7</v>
      </c>
      <c r="BC80" s="276" t="e">
        <f t="shared" si="111"/>
        <v>#N/A</v>
      </c>
      <c r="BD80" s="277" t="e">
        <f t="shared" si="112"/>
        <v>#N/A</v>
      </c>
      <c r="BE80" s="250" t="e">
        <f t="shared" si="77"/>
        <v>#N/A</v>
      </c>
      <c r="BF80" s="247">
        <f t="shared" si="113"/>
        <v>7</v>
      </c>
      <c r="BG80" s="276" t="e">
        <f t="shared" si="114"/>
        <v>#N/A</v>
      </c>
      <c r="BH80" s="277" t="e">
        <f t="shared" si="115"/>
        <v>#N/A</v>
      </c>
      <c r="BI80" s="250" t="e">
        <f t="shared" si="78"/>
        <v>#N/A</v>
      </c>
      <c r="BJ80" s="251">
        <f t="shared" si="116"/>
        <v>7</v>
      </c>
      <c r="BK80" s="278" t="e">
        <f t="shared" si="117"/>
        <v>#N/A</v>
      </c>
      <c r="BL80" s="278" t="e">
        <f t="shared" si="118"/>
        <v>#N/A</v>
      </c>
      <c r="BM80" s="279" t="e">
        <f t="shared" si="79"/>
        <v>#N/A</v>
      </c>
      <c r="BN80" s="280">
        <f t="shared" si="119"/>
        <v>7</v>
      </c>
      <c r="BO80" s="281" t="e">
        <f t="shared" si="120"/>
        <v>#N/A</v>
      </c>
      <c r="BP80" s="281" t="e">
        <f t="shared" si="121"/>
        <v>#N/A</v>
      </c>
      <c r="BQ80" s="279" t="e">
        <f t="shared" si="80"/>
        <v>#N/A</v>
      </c>
      <c r="BR80" s="282" t="e">
        <f t="shared" si="81"/>
        <v>#N/A</v>
      </c>
      <c r="BS80" s="217" t="e">
        <f>VLOOKUP($B80,SDR24_STOCK_BY_LA!$A$2:$C$11878,3,0)</f>
        <v>#N/A</v>
      </c>
      <c r="BT80" s="217" t="str">
        <f t="shared" si="122"/>
        <v/>
      </c>
    </row>
    <row r="81" spans="1:72" x14ac:dyDescent="0.2">
      <c r="A81" s="256" t="str">
        <f t="shared" si="123"/>
        <v/>
      </c>
      <c r="B81" s="217" t="str">
        <f t="shared" si="124"/>
        <v/>
      </c>
      <c r="C81" s="257" t="str">
        <f t="shared" si="82"/>
        <v/>
      </c>
      <c r="D81" s="256" t="str">
        <f>IF(B81="","",IF(totals!$Q$3=0,IFERROR(IF(AD81=2,"0",AE81),""),"-"))</f>
        <v/>
      </c>
      <c r="E81" s="258" t="str">
        <f t="shared" si="83"/>
        <v/>
      </c>
      <c r="F81" s="259" t="str">
        <f t="shared" si="84"/>
        <v/>
      </c>
      <c r="G81" s="259" t="str">
        <f t="shared" si="85"/>
        <v/>
      </c>
      <c r="H81" s="256" t="str">
        <f t="shared" si="63"/>
        <v/>
      </c>
      <c r="I81" s="259" t="str">
        <f t="shared" si="86"/>
        <v/>
      </c>
      <c r="J81" s="259" t="str">
        <f t="shared" si="87"/>
        <v/>
      </c>
      <c r="K81" s="256" t="str">
        <f t="shared" si="64"/>
        <v/>
      </c>
      <c r="L81" s="259" t="str">
        <f t="shared" si="65"/>
        <v/>
      </c>
      <c r="M81" s="259" t="str">
        <f t="shared" si="88"/>
        <v/>
      </c>
      <c r="N81" s="256" t="str">
        <f t="shared" si="89"/>
        <v/>
      </c>
      <c r="O81" s="259" t="str">
        <f t="shared" si="90"/>
        <v/>
      </c>
      <c r="P81" s="259" t="str">
        <f t="shared" si="91"/>
        <v/>
      </c>
      <c r="Q81" s="256" t="str">
        <f t="shared" si="92"/>
        <v/>
      </c>
      <c r="R81" s="259" t="str">
        <f t="shared" si="93"/>
        <v/>
      </c>
      <c r="S81" s="259" t="str">
        <f t="shared" si="94"/>
        <v/>
      </c>
      <c r="T81" s="256" t="str">
        <f t="shared" si="95"/>
        <v/>
      </c>
      <c r="U81" s="217"/>
      <c r="V81" s="217"/>
      <c r="AB81" s="257" t="e">
        <f>VLOOKUP($B$6,Lookup_Source,74,0)</f>
        <v>#N/A</v>
      </c>
      <c r="AC81" s="241" t="str">
        <f t="shared" si="96"/>
        <v/>
      </c>
      <c r="AD81" s="242">
        <f t="shared" si="97"/>
        <v>7</v>
      </c>
      <c r="AE81" s="261" t="e">
        <f t="shared" si="66"/>
        <v>#N/A</v>
      </c>
      <c r="AF81" s="264" t="e">
        <f t="shared" si="98"/>
        <v>#N/A</v>
      </c>
      <c r="AG81" s="264" t="e">
        <f t="shared" si="99"/>
        <v>#N/A</v>
      </c>
      <c r="AH81" s="263" t="e">
        <f t="shared" si="67"/>
        <v>#N/A</v>
      </c>
      <c r="AI81" s="226">
        <f t="shared" si="100"/>
        <v>7</v>
      </c>
      <c r="AJ81" s="264" t="e">
        <f t="shared" si="68"/>
        <v>#N/A</v>
      </c>
      <c r="AK81" s="264" t="e">
        <f t="shared" si="101"/>
        <v>#N/A</v>
      </c>
      <c r="AL81" s="226" t="e">
        <f t="shared" si="69"/>
        <v>#N/A</v>
      </c>
      <c r="AM81" s="265" t="e">
        <f t="shared" si="102"/>
        <v>#N/A</v>
      </c>
      <c r="AN81" s="266" t="e">
        <f t="shared" si="70"/>
        <v>#N/A</v>
      </c>
      <c r="AO81" s="227" t="e">
        <f t="shared" si="71"/>
        <v>#N/A</v>
      </c>
      <c r="AP81" s="284">
        <f t="shared" si="103"/>
        <v>7</v>
      </c>
      <c r="AQ81" s="285" t="e">
        <f t="shared" si="72"/>
        <v>#N/A</v>
      </c>
      <c r="AR81" s="266" t="e">
        <f t="shared" si="104"/>
        <v>#N/A</v>
      </c>
      <c r="AS81" s="270" t="e">
        <f t="shared" si="73"/>
        <v>#N/A</v>
      </c>
      <c r="AT81" s="271">
        <f t="shared" si="105"/>
        <v>7</v>
      </c>
      <c r="AU81" s="272" t="e">
        <f t="shared" si="106"/>
        <v>#N/A</v>
      </c>
      <c r="AV81" s="273" t="e">
        <f t="shared" si="107"/>
        <v>#N/A</v>
      </c>
      <c r="AW81" s="274" t="e">
        <f t="shared" si="74"/>
        <v>#N/A</v>
      </c>
      <c r="AX81" s="232">
        <f t="shared" si="108"/>
        <v>7</v>
      </c>
      <c r="AY81" s="273" t="e">
        <f t="shared" si="75"/>
        <v>#N/A</v>
      </c>
      <c r="AZ81" s="232" t="e">
        <f t="shared" si="109"/>
        <v>#N/A</v>
      </c>
      <c r="BA81" s="232" t="e">
        <f t="shared" si="76"/>
        <v>#N/A</v>
      </c>
      <c r="BB81" s="275">
        <f t="shared" si="110"/>
        <v>7</v>
      </c>
      <c r="BC81" s="276" t="e">
        <f t="shared" si="111"/>
        <v>#N/A</v>
      </c>
      <c r="BD81" s="277" t="e">
        <f t="shared" si="112"/>
        <v>#N/A</v>
      </c>
      <c r="BE81" s="250" t="e">
        <f t="shared" si="77"/>
        <v>#N/A</v>
      </c>
      <c r="BF81" s="247">
        <f t="shared" si="113"/>
        <v>7</v>
      </c>
      <c r="BG81" s="276" t="e">
        <f t="shared" si="114"/>
        <v>#N/A</v>
      </c>
      <c r="BH81" s="277" t="e">
        <f t="shared" si="115"/>
        <v>#N/A</v>
      </c>
      <c r="BI81" s="250" t="e">
        <f t="shared" si="78"/>
        <v>#N/A</v>
      </c>
      <c r="BJ81" s="251">
        <f t="shared" si="116"/>
        <v>7</v>
      </c>
      <c r="BK81" s="278" t="e">
        <f t="shared" si="117"/>
        <v>#N/A</v>
      </c>
      <c r="BL81" s="278" t="e">
        <f t="shared" si="118"/>
        <v>#N/A</v>
      </c>
      <c r="BM81" s="279" t="e">
        <f t="shared" si="79"/>
        <v>#N/A</v>
      </c>
      <c r="BN81" s="280">
        <f t="shared" si="119"/>
        <v>7</v>
      </c>
      <c r="BO81" s="281" t="e">
        <f t="shared" si="120"/>
        <v>#N/A</v>
      </c>
      <c r="BP81" s="281" t="e">
        <f t="shared" si="121"/>
        <v>#N/A</v>
      </c>
      <c r="BQ81" s="279" t="e">
        <f t="shared" si="80"/>
        <v>#N/A</v>
      </c>
      <c r="BR81" s="282" t="e">
        <f t="shared" si="81"/>
        <v>#N/A</v>
      </c>
      <c r="BS81" s="217" t="e">
        <f>VLOOKUP($B81,SDR24_STOCK_BY_LA!$A$2:$C$11878,3,0)</f>
        <v>#N/A</v>
      </c>
      <c r="BT81" s="217" t="str">
        <f t="shared" si="122"/>
        <v/>
      </c>
    </row>
    <row r="82" spans="1:72" x14ac:dyDescent="0.2">
      <c r="A82" s="217" t="str">
        <f t="shared" si="123"/>
        <v/>
      </c>
      <c r="B82" s="217" t="str">
        <f t="shared" si="124"/>
        <v/>
      </c>
      <c r="C82" s="283" t="str">
        <f t="shared" si="82"/>
        <v/>
      </c>
      <c r="D82" s="256" t="str">
        <f>IF(B82="","",IF(totals!$Q$3=0,IFERROR(IF(AD82=2,"0",AE82),""),"-"))</f>
        <v/>
      </c>
      <c r="E82" s="258" t="str">
        <f t="shared" si="83"/>
        <v/>
      </c>
      <c r="F82" s="259" t="str">
        <f t="shared" si="84"/>
        <v/>
      </c>
      <c r="G82" s="259" t="str">
        <f t="shared" si="85"/>
        <v/>
      </c>
      <c r="H82" s="256" t="str">
        <f t="shared" si="63"/>
        <v/>
      </c>
      <c r="I82" s="259" t="str">
        <f t="shared" si="86"/>
        <v/>
      </c>
      <c r="J82" s="259" t="str">
        <f t="shared" si="87"/>
        <v/>
      </c>
      <c r="K82" s="256" t="str">
        <f t="shared" si="64"/>
        <v/>
      </c>
      <c r="L82" s="259" t="str">
        <f t="shared" si="65"/>
        <v/>
      </c>
      <c r="M82" s="259" t="str">
        <f t="shared" si="88"/>
        <v/>
      </c>
      <c r="N82" s="256" t="str">
        <f t="shared" si="89"/>
        <v/>
      </c>
      <c r="O82" s="259" t="str">
        <f t="shared" si="90"/>
        <v/>
      </c>
      <c r="P82" s="259" t="str">
        <f t="shared" si="91"/>
        <v/>
      </c>
      <c r="Q82" s="256" t="str">
        <f t="shared" si="92"/>
        <v/>
      </c>
      <c r="R82" s="259" t="str">
        <f t="shared" si="93"/>
        <v/>
      </c>
      <c r="S82" s="259" t="str">
        <f t="shared" si="94"/>
        <v/>
      </c>
      <c r="T82" s="256" t="str">
        <f t="shared" si="95"/>
        <v/>
      </c>
      <c r="U82" s="217"/>
      <c r="V82" s="217"/>
      <c r="AB82" s="217" t="e">
        <f>VLOOKUP($B$6,Lookup_Source,75,0)</f>
        <v>#N/A</v>
      </c>
      <c r="AC82" s="241" t="str">
        <f t="shared" si="96"/>
        <v/>
      </c>
      <c r="AD82" s="242">
        <f t="shared" si="97"/>
        <v>7</v>
      </c>
      <c r="AE82" s="261" t="e">
        <f t="shared" si="66"/>
        <v>#N/A</v>
      </c>
      <c r="AF82" s="264" t="e">
        <f t="shared" si="98"/>
        <v>#N/A</v>
      </c>
      <c r="AG82" s="264" t="e">
        <f t="shared" si="99"/>
        <v>#N/A</v>
      </c>
      <c r="AH82" s="263" t="e">
        <f t="shared" si="67"/>
        <v>#N/A</v>
      </c>
      <c r="AI82" s="226">
        <f t="shared" si="100"/>
        <v>7</v>
      </c>
      <c r="AJ82" s="264" t="e">
        <f t="shared" si="68"/>
        <v>#N/A</v>
      </c>
      <c r="AK82" s="264" t="e">
        <f t="shared" si="101"/>
        <v>#N/A</v>
      </c>
      <c r="AL82" s="226" t="e">
        <f t="shared" si="69"/>
        <v>#N/A</v>
      </c>
      <c r="AM82" s="265" t="e">
        <f t="shared" si="102"/>
        <v>#N/A</v>
      </c>
      <c r="AN82" s="266" t="e">
        <f t="shared" si="70"/>
        <v>#N/A</v>
      </c>
      <c r="AO82" s="227" t="e">
        <f t="shared" si="71"/>
        <v>#N/A</v>
      </c>
      <c r="AP82" s="284">
        <f t="shared" si="103"/>
        <v>7</v>
      </c>
      <c r="AQ82" s="285" t="e">
        <f t="shared" si="72"/>
        <v>#N/A</v>
      </c>
      <c r="AR82" s="266" t="e">
        <f t="shared" si="104"/>
        <v>#N/A</v>
      </c>
      <c r="AS82" s="270" t="e">
        <f t="shared" si="73"/>
        <v>#N/A</v>
      </c>
      <c r="AT82" s="271">
        <f t="shared" si="105"/>
        <v>7</v>
      </c>
      <c r="AU82" s="272" t="e">
        <f t="shared" si="106"/>
        <v>#N/A</v>
      </c>
      <c r="AV82" s="273" t="e">
        <f t="shared" si="107"/>
        <v>#N/A</v>
      </c>
      <c r="AW82" s="274" t="e">
        <f t="shared" si="74"/>
        <v>#N/A</v>
      </c>
      <c r="AX82" s="232">
        <f t="shared" si="108"/>
        <v>7</v>
      </c>
      <c r="AY82" s="273" t="e">
        <f t="shared" si="75"/>
        <v>#N/A</v>
      </c>
      <c r="AZ82" s="232" t="e">
        <f t="shared" si="109"/>
        <v>#N/A</v>
      </c>
      <c r="BA82" s="232" t="e">
        <f t="shared" si="76"/>
        <v>#N/A</v>
      </c>
      <c r="BB82" s="275">
        <f t="shared" si="110"/>
        <v>7</v>
      </c>
      <c r="BC82" s="276" t="e">
        <f t="shared" si="111"/>
        <v>#N/A</v>
      </c>
      <c r="BD82" s="277" t="e">
        <f t="shared" si="112"/>
        <v>#N/A</v>
      </c>
      <c r="BE82" s="250" t="e">
        <f t="shared" si="77"/>
        <v>#N/A</v>
      </c>
      <c r="BF82" s="247">
        <f t="shared" si="113"/>
        <v>7</v>
      </c>
      <c r="BG82" s="276" t="e">
        <f t="shared" si="114"/>
        <v>#N/A</v>
      </c>
      <c r="BH82" s="277" t="e">
        <f t="shared" si="115"/>
        <v>#N/A</v>
      </c>
      <c r="BI82" s="250" t="e">
        <f t="shared" si="78"/>
        <v>#N/A</v>
      </c>
      <c r="BJ82" s="251">
        <f t="shared" si="116"/>
        <v>7</v>
      </c>
      <c r="BK82" s="278" t="e">
        <f t="shared" si="117"/>
        <v>#N/A</v>
      </c>
      <c r="BL82" s="278" t="e">
        <f t="shared" si="118"/>
        <v>#N/A</v>
      </c>
      <c r="BM82" s="279" t="e">
        <f t="shared" si="79"/>
        <v>#N/A</v>
      </c>
      <c r="BN82" s="280">
        <f t="shared" si="119"/>
        <v>7</v>
      </c>
      <c r="BO82" s="281" t="e">
        <f t="shared" si="120"/>
        <v>#N/A</v>
      </c>
      <c r="BP82" s="281" t="e">
        <f t="shared" si="121"/>
        <v>#N/A</v>
      </c>
      <c r="BQ82" s="279" t="e">
        <f t="shared" si="80"/>
        <v>#N/A</v>
      </c>
      <c r="BR82" s="282" t="e">
        <f t="shared" si="81"/>
        <v>#N/A</v>
      </c>
      <c r="BS82" s="217" t="e">
        <f>VLOOKUP($B82,SDR24_STOCK_BY_LA!$A$2:$C$11878,3,0)</f>
        <v>#N/A</v>
      </c>
      <c r="BT82" s="217" t="str">
        <f t="shared" si="122"/>
        <v/>
      </c>
    </row>
    <row r="83" spans="1:72" x14ac:dyDescent="0.2">
      <c r="A83" s="256" t="str">
        <f t="shared" si="123"/>
        <v/>
      </c>
      <c r="B83" s="217" t="str">
        <f t="shared" si="124"/>
        <v/>
      </c>
      <c r="C83" s="257" t="str">
        <f t="shared" si="82"/>
        <v/>
      </c>
      <c r="D83" s="256" t="str">
        <f>IF(B83="","",IF(totals!$Q$3=0,IFERROR(IF(AD83=2,"0",AE83),""),"-"))</f>
        <v/>
      </c>
      <c r="E83" s="258" t="str">
        <f t="shared" si="83"/>
        <v/>
      </c>
      <c r="F83" s="259" t="str">
        <f t="shared" si="84"/>
        <v/>
      </c>
      <c r="G83" s="259" t="str">
        <f t="shared" si="85"/>
        <v/>
      </c>
      <c r="H83" s="256" t="str">
        <f t="shared" si="63"/>
        <v/>
      </c>
      <c r="I83" s="259" t="str">
        <f t="shared" si="86"/>
        <v/>
      </c>
      <c r="J83" s="259" t="str">
        <f t="shared" si="87"/>
        <v/>
      </c>
      <c r="K83" s="256" t="str">
        <f t="shared" si="64"/>
        <v/>
      </c>
      <c r="L83" s="259" t="str">
        <f t="shared" si="65"/>
        <v/>
      </c>
      <c r="M83" s="259" t="str">
        <f t="shared" si="88"/>
        <v/>
      </c>
      <c r="N83" s="256" t="str">
        <f t="shared" si="89"/>
        <v/>
      </c>
      <c r="O83" s="259" t="str">
        <f t="shared" si="90"/>
        <v/>
      </c>
      <c r="P83" s="259" t="str">
        <f t="shared" si="91"/>
        <v/>
      </c>
      <c r="Q83" s="256" t="str">
        <f t="shared" si="92"/>
        <v/>
      </c>
      <c r="R83" s="259" t="str">
        <f t="shared" si="93"/>
        <v/>
      </c>
      <c r="S83" s="259" t="str">
        <f t="shared" si="94"/>
        <v/>
      </c>
      <c r="T83" s="256" t="str">
        <f t="shared" si="95"/>
        <v/>
      </c>
      <c r="U83" s="217"/>
      <c r="V83" s="217"/>
      <c r="AB83" s="257" t="e">
        <f>VLOOKUP($B$6,Lookup_Source,76,0)</f>
        <v>#N/A</v>
      </c>
      <c r="AC83" s="241" t="str">
        <f t="shared" si="96"/>
        <v/>
      </c>
      <c r="AD83" s="242">
        <f t="shared" si="97"/>
        <v>7</v>
      </c>
      <c r="AE83" s="261" t="e">
        <f t="shared" si="66"/>
        <v>#N/A</v>
      </c>
      <c r="AF83" s="264" t="e">
        <f t="shared" si="98"/>
        <v>#N/A</v>
      </c>
      <c r="AG83" s="264" t="e">
        <f t="shared" si="99"/>
        <v>#N/A</v>
      </c>
      <c r="AH83" s="263" t="e">
        <f t="shared" si="67"/>
        <v>#N/A</v>
      </c>
      <c r="AI83" s="226">
        <f t="shared" si="100"/>
        <v>7</v>
      </c>
      <c r="AJ83" s="264" t="e">
        <f t="shared" si="68"/>
        <v>#N/A</v>
      </c>
      <c r="AK83" s="264" t="e">
        <f t="shared" si="101"/>
        <v>#N/A</v>
      </c>
      <c r="AL83" s="226" t="e">
        <f t="shared" si="69"/>
        <v>#N/A</v>
      </c>
      <c r="AM83" s="265" t="e">
        <f t="shared" si="102"/>
        <v>#N/A</v>
      </c>
      <c r="AN83" s="266" t="e">
        <f t="shared" si="70"/>
        <v>#N/A</v>
      </c>
      <c r="AO83" s="227" t="e">
        <f t="shared" si="71"/>
        <v>#N/A</v>
      </c>
      <c r="AP83" s="284">
        <f t="shared" si="103"/>
        <v>7</v>
      </c>
      <c r="AQ83" s="285" t="e">
        <f t="shared" si="72"/>
        <v>#N/A</v>
      </c>
      <c r="AR83" s="266" t="e">
        <f t="shared" si="104"/>
        <v>#N/A</v>
      </c>
      <c r="AS83" s="270" t="e">
        <f t="shared" si="73"/>
        <v>#N/A</v>
      </c>
      <c r="AT83" s="271">
        <f t="shared" si="105"/>
        <v>7</v>
      </c>
      <c r="AU83" s="272" t="e">
        <f t="shared" si="106"/>
        <v>#N/A</v>
      </c>
      <c r="AV83" s="273" t="e">
        <f t="shared" si="107"/>
        <v>#N/A</v>
      </c>
      <c r="AW83" s="274" t="e">
        <f t="shared" si="74"/>
        <v>#N/A</v>
      </c>
      <c r="AX83" s="232">
        <f t="shared" si="108"/>
        <v>7</v>
      </c>
      <c r="AY83" s="273" t="e">
        <f t="shared" si="75"/>
        <v>#N/A</v>
      </c>
      <c r="AZ83" s="232" t="e">
        <f t="shared" si="109"/>
        <v>#N/A</v>
      </c>
      <c r="BA83" s="232" t="e">
        <f t="shared" si="76"/>
        <v>#N/A</v>
      </c>
      <c r="BB83" s="275">
        <f t="shared" si="110"/>
        <v>7</v>
      </c>
      <c r="BC83" s="276" t="e">
        <f t="shared" si="111"/>
        <v>#N/A</v>
      </c>
      <c r="BD83" s="277" t="e">
        <f t="shared" si="112"/>
        <v>#N/A</v>
      </c>
      <c r="BE83" s="250" t="e">
        <f t="shared" si="77"/>
        <v>#N/A</v>
      </c>
      <c r="BF83" s="247">
        <f t="shared" si="113"/>
        <v>7</v>
      </c>
      <c r="BG83" s="276" t="e">
        <f t="shared" si="114"/>
        <v>#N/A</v>
      </c>
      <c r="BH83" s="277" t="e">
        <f t="shared" si="115"/>
        <v>#N/A</v>
      </c>
      <c r="BI83" s="250" t="e">
        <f t="shared" si="78"/>
        <v>#N/A</v>
      </c>
      <c r="BJ83" s="251">
        <f t="shared" si="116"/>
        <v>7</v>
      </c>
      <c r="BK83" s="278" t="e">
        <f t="shared" si="117"/>
        <v>#N/A</v>
      </c>
      <c r="BL83" s="278" t="e">
        <f t="shared" si="118"/>
        <v>#N/A</v>
      </c>
      <c r="BM83" s="279" t="e">
        <f t="shared" si="79"/>
        <v>#N/A</v>
      </c>
      <c r="BN83" s="280">
        <f t="shared" si="119"/>
        <v>7</v>
      </c>
      <c r="BO83" s="281" t="e">
        <f t="shared" si="120"/>
        <v>#N/A</v>
      </c>
      <c r="BP83" s="281" t="e">
        <f t="shared" si="121"/>
        <v>#N/A</v>
      </c>
      <c r="BQ83" s="279" t="e">
        <f t="shared" si="80"/>
        <v>#N/A</v>
      </c>
      <c r="BR83" s="282" t="e">
        <f t="shared" si="81"/>
        <v>#N/A</v>
      </c>
      <c r="BS83" s="217" t="e">
        <f>VLOOKUP($B83,SDR24_STOCK_BY_LA!$A$2:$C$11878,3,0)</f>
        <v>#N/A</v>
      </c>
      <c r="BT83" s="217" t="str">
        <f t="shared" si="122"/>
        <v/>
      </c>
    </row>
    <row r="84" spans="1:72" x14ac:dyDescent="0.2">
      <c r="A84" s="217" t="str">
        <f t="shared" si="123"/>
        <v/>
      </c>
      <c r="B84" s="217" t="str">
        <f t="shared" si="124"/>
        <v/>
      </c>
      <c r="C84" s="283" t="str">
        <f t="shared" si="82"/>
        <v/>
      </c>
      <c r="D84" s="256" t="str">
        <f>IF(B84="","",IF(totals!$Q$3=0,IFERROR(IF(AD84=2,"0",AE84),""),"-"))</f>
        <v/>
      </c>
      <c r="E84" s="258" t="str">
        <f t="shared" si="83"/>
        <v/>
      </c>
      <c r="F84" s="259" t="str">
        <f t="shared" si="84"/>
        <v/>
      </c>
      <c r="G84" s="259" t="str">
        <f t="shared" si="85"/>
        <v/>
      </c>
      <c r="H84" s="256" t="str">
        <f t="shared" si="63"/>
        <v/>
      </c>
      <c r="I84" s="259" t="str">
        <f t="shared" si="86"/>
        <v/>
      </c>
      <c r="J84" s="259" t="str">
        <f t="shared" si="87"/>
        <v/>
      </c>
      <c r="K84" s="256" t="str">
        <f t="shared" si="64"/>
        <v/>
      </c>
      <c r="L84" s="259" t="str">
        <f t="shared" si="65"/>
        <v/>
      </c>
      <c r="M84" s="259" t="str">
        <f t="shared" si="88"/>
        <v/>
      </c>
      <c r="N84" s="256" t="str">
        <f t="shared" si="89"/>
        <v/>
      </c>
      <c r="O84" s="259" t="str">
        <f t="shared" si="90"/>
        <v/>
      </c>
      <c r="P84" s="259" t="str">
        <f t="shared" si="91"/>
        <v/>
      </c>
      <c r="Q84" s="256" t="str">
        <f t="shared" si="92"/>
        <v/>
      </c>
      <c r="R84" s="259" t="str">
        <f t="shared" si="93"/>
        <v/>
      </c>
      <c r="S84" s="259" t="str">
        <f t="shared" si="94"/>
        <v/>
      </c>
      <c r="T84" s="256" t="str">
        <f t="shared" si="95"/>
        <v/>
      </c>
      <c r="U84" s="217"/>
      <c r="V84" s="217"/>
      <c r="AB84" s="217" t="e">
        <f>VLOOKUP($B$6,Lookup_Source,77,0)</f>
        <v>#N/A</v>
      </c>
      <c r="AC84" s="241" t="str">
        <f t="shared" si="96"/>
        <v/>
      </c>
      <c r="AD84" s="242">
        <f t="shared" si="97"/>
        <v>7</v>
      </c>
      <c r="AE84" s="261" t="e">
        <f t="shared" si="66"/>
        <v>#N/A</v>
      </c>
      <c r="AF84" s="264" t="e">
        <f t="shared" si="98"/>
        <v>#N/A</v>
      </c>
      <c r="AG84" s="264" t="e">
        <f t="shared" si="99"/>
        <v>#N/A</v>
      </c>
      <c r="AH84" s="263" t="e">
        <f t="shared" si="67"/>
        <v>#N/A</v>
      </c>
      <c r="AI84" s="226">
        <f t="shared" si="100"/>
        <v>7</v>
      </c>
      <c r="AJ84" s="264" t="e">
        <f t="shared" si="68"/>
        <v>#N/A</v>
      </c>
      <c r="AK84" s="264" t="e">
        <f t="shared" si="101"/>
        <v>#N/A</v>
      </c>
      <c r="AL84" s="226" t="e">
        <f t="shared" si="69"/>
        <v>#N/A</v>
      </c>
      <c r="AM84" s="265" t="e">
        <f t="shared" si="102"/>
        <v>#N/A</v>
      </c>
      <c r="AN84" s="266" t="e">
        <f t="shared" si="70"/>
        <v>#N/A</v>
      </c>
      <c r="AO84" s="227" t="e">
        <f t="shared" si="71"/>
        <v>#N/A</v>
      </c>
      <c r="AP84" s="284">
        <f t="shared" si="103"/>
        <v>7</v>
      </c>
      <c r="AQ84" s="285" t="e">
        <f t="shared" si="72"/>
        <v>#N/A</v>
      </c>
      <c r="AR84" s="266" t="e">
        <f t="shared" si="104"/>
        <v>#N/A</v>
      </c>
      <c r="AS84" s="270" t="e">
        <f t="shared" si="73"/>
        <v>#N/A</v>
      </c>
      <c r="AT84" s="271">
        <f t="shared" si="105"/>
        <v>7</v>
      </c>
      <c r="AU84" s="272" t="e">
        <f t="shared" si="106"/>
        <v>#N/A</v>
      </c>
      <c r="AV84" s="273" t="e">
        <f t="shared" si="107"/>
        <v>#N/A</v>
      </c>
      <c r="AW84" s="274" t="e">
        <f t="shared" si="74"/>
        <v>#N/A</v>
      </c>
      <c r="AX84" s="232">
        <f t="shared" si="108"/>
        <v>7</v>
      </c>
      <c r="AY84" s="273" t="e">
        <f t="shared" si="75"/>
        <v>#N/A</v>
      </c>
      <c r="AZ84" s="232" t="e">
        <f t="shared" si="109"/>
        <v>#N/A</v>
      </c>
      <c r="BA84" s="232" t="e">
        <f t="shared" si="76"/>
        <v>#N/A</v>
      </c>
      <c r="BB84" s="275">
        <f t="shared" si="110"/>
        <v>7</v>
      </c>
      <c r="BC84" s="276" t="e">
        <f t="shared" si="111"/>
        <v>#N/A</v>
      </c>
      <c r="BD84" s="277" t="e">
        <f t="shared" si="112"/>
        <v>#N/A</v>
      </c>
      <c r="BE84" s="250" t="e">
        <f t="shared" si="77"/>
        <v>#N/A</v>
      </c>
      <c r="BF84" s="247">
        <f t="shared" si="113"/>
        <v>7</v>
      </c>
      <c r="BG84" s="276" t="e">
        <f t="shared" si="114"/>
        <v>#N/A</v>
      </c>
      <c r="BH84" s="277" t="e">
        <f t="shared" si="115"/>
        <v>#N/A</v>
      </c>
      <c r="BI84" s="250" t="e">
        <f t="shared" si="78"/>
        <v>#N/A</v>
      </c>
      <c r="BJ84" s="251">
        <f t="shared" si="116"/>
        <v>7</v>
      </c>
      <c r="BK84" s="278" t="e">
        <f t="shared" si="117"/>
        <v>#N/A</v>
      </c>
      <c r="BL84" s="278" t="e">
        <f t="shared" si="118"/>
        <v>#N/A</v>
      </c>
      <c r="BM84" s="279" t="e">
        <f t="shared" si="79"/>
        <v>#N/A</v>
      </c>
      <c r="BN84" s="280">
        <f t="shared" si="119"/>
        <v>7</v>
      </c>
      <c r="BO84" s="281" t="e">
        <f t="shared" si="120"/>
        <v>#N/A</v>
      </c>
      <c r="BP84" s="281" t="e">
        <f t="shared" si="121"/>
        <v>#N/A</v>
      </c>
      <c r="BQ84" s="279" t="e">
        <f t="shared" si="80"/>
        <v>#N/A</v>
      </c>
      <c r="BR84" s="282" t="e">
        <f t="shared" si="81"/>
        <v>#N/A</v>
      </c>
      <c r="BS84" s="217" t="e">
        <f>VLOOKUP($B84,SDR24_STOCK_BY_LA!$A$2:$C$11878,3,0)</f>
        <v>#N/A</v>
      </c>
      <c r="BT84" s="217" t="str">
        <f t="shared" si="122"/>
        <v/>
      </c>
    </row>
    <row r="85" spans="1:72" x14ac:dyDescent="0.2">
      <c r="A85" s="256" t="str">
        <f t="shared" si="123"/>
        <v/>
      </c>
      <c r="B85" s="217" t="str">
        <f t="shared" si="124"/>
        <v/>
      </c>
      <c r="C85" s="257" t="str">
        <f t="shared" si="82"/>
        <v/>
      </c>
      <c r="D85" s="256" t="str">
        <f>IF(B85="","",IF(totals!$Q$3=0,IFERROR(IF(AD85=2,"0",AE85),""),"-"))</f>
        <v/>
      </c>
      <c r="E85" s="258" t="str">
        <f t="shared" si="83"/>
        <v/>
      </c>
      <c r="F85" s="259" t="str">
        <f t="shared" si="84"/>
        <v/>
      </c>
      <c r="G85" s="259" t="str">
        <f t="shared" si="85"/>
        <v/>
      </c>
      <c r="H85" s="256" t="str">
        <f t="shared" si="63"/>
        <v/>
      </c>
      <c r="I85" s="259" t="str">
        <f t="shared" si="86"/>
        <v/>
      </c>
      <c r="J85" s="259" t="str">
        <f t="shared" si="87"/>
        <v/>
      </c>
      <c r="K85" s="256" t="str">
        <f t="shared" si="64"/>
        <v/>
      </c>
      <c r="L85" s="259" t="str">
        <f t="shared" si="65"/>
        <v/>
      </c>
      <c r="M85" s="259" t="str">
        <f t="shared" si="88"/>
        <v/>
      </c>
      <c r="N85" s="256" t="str">
        <f t="shared" si="89"/>
        <v/>
      </c>
      <c r="O85" s="259" t="str">
        <f t="shared" si="90"/>
        <v/>
      </c>
      <c r="P85" s="259" t="str">
        <f t="shared" si="91"/>
        <v/>
      </c>
      <c r="Q85" s="256" t="str">
        <f t="shared" si="92"/>
        <v/>
      </c>
      <c r="R85" s="259" t="str">
        <f t="shared" si="93"/>
        <v/>
      </c>
      <c r="S85" s="259" t="str">
        <f t="shared" si="94"/>
        <v/>
      </c>
      <c r="T85" s="256" t="str">
        <f t="shared" si="95"/>
        <v/>
      </c>
      <c r="U85" s="217"/>
      <c r="V85" s="217"/>
      <c r="AB85" s="257" t="e">
        <f>VLOOKUP($B$6,Lookup_Source,78,0)</f>
        <v>#N/A</v>
      </c>
      <c r="AC85" s="241" t="str">
        <f t="shared" si="96"/>
        <v/>
      </c>
      <c r="AD85" s="242">
        <f t="shared" si="97"/>
        <v>7</v>
      </c>
      <c r="AE85" s="261" t="e">
        <f t="shared" si="66"/>
        <v>#N/A</v>
      </c>
      <c r="AF85" s="264" t="e">
        <f t="shared" si="98"/>
        <v>#N/A</v>
      </c>
      <c r="AG85" s="264" t="e">
        <f t="shared" si="99"/>
        <v>#N/A</v>
      </c>
      <c r="AH85" s="263" t="e">
        <f t="shared" si="67"/>
        <v>#N/A</v>
      </c>
      <c r="AI85" s="226">
        <f t="shared" si="100"/>
        <v>7</v>
      </c>
      <c r="AJ85" s="264" t="e">
        <f t="shared" si="68"/>
        <v>#N/A</v>
      </c>
      <c r="AK85" s="264" t="e">
        <f t="shared" si="101"/>
        <v>#N/A</v>
      </c>
      <c r="AL85" s="226" t="e">
        <f t="shared" si="69"/>
        <v>#N/A</v>
      </c>
      <c r="AM85" s="265" t="e">
        <f t="shared" si="102"/>
        <v>#N/A</v>
      </c>
      <c r="AN85" s="266" t="e">
        <f t="shared" si="70"/>
        <v>#N/A</v>
      </c>
      <c r="AO85" s="227" t="e">
        <f t="shared" si="71"/>
        <v>#N/A</v>
      </c>
      <c r="AP85" s="284">
        <f t="shared" si="103"/>
        <v>7</v>
      </c>
      <c r="AQ85" s="285" t="e">
        <f t="shared" si="72"/>
        <v>#N/A</v>
      </c>
      <c r="AR85" s="266" t="e">
        <f t="shared" si="104"/>
        <v>#N/A</v>
      </c>
      <c r="AS85" s="270" t="e">
        <f t="shared" si="73"/>
        <v>#N/A</v>
      </c>
      <c r="AT85" s="271">
        <f t="shared" si="105"/>
        <v>7</v>
      </c>
      <c r="AU85" s="272" t="e">
        <f t="shared" si="106"/>
        <v>#N/A</v>
      </c>
      <c r="AV85" s="273" t="e">
        <f t="shared" si="107"/>
        <v>#N/A</v>
      </c>
      <c r="AW85" s="274" t="e">
        <f t="shared" si="74"/>
        <v>#N/A</v>
      </c>
      <c r="AX85" s="232">
        <f t="shared" si="108"/>
        <v>7</v>
      </c>
      <c r="AY85" s="273" t="e">
        <f t="shared" si="75"/>
        <v>#N/A</v>
      </c>
      <c r="AZ85" s="232" t="e">
        <f t="shared" si="109"/>
        <v>#N/A</v>
      </c>
      <c r="BA85" s="232" t="e">
        <f t="shared" si="76"/>
        <v>#N/A</v>
      </c>
      <c r="BB85" s="275">
        <f t="shared" si="110"/>
        <v>7</v>
      </c>
      <c r="BC85" s="276" t="e">
        <f t="shared" si="111"/>
        <v>#N/A</v>
      </c>
      <c r="BD85" s="277" t="e">
        <f t="shared" si="112"/>
        <v>#N/A</v>
      </c>
      <c r="BE85" s="250" t="e">
        <f t="shared" si="77"/>
        <v>#N/A</v>
      </c>
      <c r="BF85" s="247">
        <f t="shared" si="113"/>
        <v>7</v>
      </c>
      <c r="BG85" s="276" t="e">
        <f t="shared" si="114"/>
        <v>#N/A</v>
      </c>
      <c r="BH85" s="277" t="e">
        <f t="shared" si="115"/>
        <v>#N/A</v>
      </c>
      <c r="BI85" s="250" t="e">
        <f t="shared" si="78"/>
        <v>#N/A</v>
      </c>
      <c r="BJ85" s="251">
        <f t="shared" si="116"/>
        <v>7</v>
      </c>
      <c r="BK85" s="278" t="e">
        <f t="shared" si="117"/>
        <v>#N/A</v>
      </c>
      <c r="BL85" s="278" t="e">
        <f t="shared" si="118"/>
        <v>#N/A</v>
      </c>
      <c r="BM85" s="279" t="e">
        <f t="shared" si="79"/>
        <v>#N/A</v>
      </c>
      <c r="BN85" s="280">
        <f t="shared" si="119"/>
        <v>7</v>
      </c>
      <c r="BO85" s="281" t="e">
        <f t="shared" si="120"/>
        <v>#N/A</v>
      </c>
      <c r="BP85" s="281" t="e">
        <f t="shared" si="121"/>
        <v>#N/A</v>
      </c>
      <c r="BQ85" s="279" t="e">
        <f t="shared" si="80"/>
        <v>#N/A</v>
      </c>
      <c r="BR85" s="282" t="e">
        <f t="shared" si="81"/>
        <v>#N/A</v>
      </c>
      <c r="BS85" s="217" t="e">
        <f>VLOOKUP($B85,SDR24_STOCK_BY_LA!$A$2:$C$11878,3,0)</f>
        <v>#N/A</v>
      </c>
      <c r="BT85" s="217" t="str">
        <f t="shared" si="122"/>
        <v/>
      </c>
    </row>
    <row r="86" spans="1:72" x14ac:dyDescent="0.2">
      <c r="A86" s="217" t="str">
        <f t="shared" si="123"/>
        <v/>
      </c>
      <c r="B86" s="217" t="str">
        <f t="shared" si="124"/>
        <v/>
      </c>
      <c r="C86" s="283" t="str">
        <f t="shared" si="82"/>
        <v/>
      </c>
      <c r="D86" s="256" t="str">
        <f>IF(B86="","",IF(totals!$Q$3=0,IFERROR(IF(AD86=2,"0",AE86),""),"-"))</f>
        <v/>
      </c>
      <c r="E86" s="258" t="str">
        <f t="shared" si="83"/>
        <v/>
      </c>
      <c r="F86" s="259" t="str">
        <f t="shared" si="84"/>
        <v/>
      </c>
      <c r="G86" s="259" t="str">
        <f t="shared" si="85"/>
        <v/>
      </c>
      <c r="H86" s="256" t="str">
        <f t="shared" si="63"/>
        <v/>
      </c>
      <c r="I86" s="259" t="str">
        <f t="shared" si="86"/>
        <v/>
      </c>
      <c r="J86" s="259" t="str">
        <f t="shared" si="87"/>
        <v/>
      </c>
      <c r="K86" s="256" t="str">
        <f t="shared" si="64"/>
        <v/>
      </c>
      <c r="L86" s="259" t="str">
        <f t="shared" si="65"/>
        <v/>
      </c>
      <c r="M86" s="259" t="str">
        <f t="shared" si="88"/>
        <v/>
      </c>
      <c r="N86" s="256" t="str">
        <f t="shared" si="89"/>
        <v/>
      </c>
      <c r="O86" s="259" t="str">
        <f t="shared" si="90"/>
        <v/>
      </c>
      <c r="P86" s="259" t="str">
        <f t="shared" si="91"/>
        <v/>
      </c>
      <c r="Q86" s="256" t="str">
        <f t="shared" si="92"/>
        <v/>
      </c>
      <c r="R86" s="259" t="str">
        <f t="shared" si="93"/>
        <v/>
      </c>
      <c r="S86" s="259" t="str">
        <f t="shared" si="94"/>
        <v/>
      </c>
      <c r="T86" s="256" t="str">
        <f t="shared" si="95"/>
        <v/>
      </c>
      <c r="U86" s="217"/>
      <c r="V86" s="217"/>
      <c r="AB86" s="217" t="e">
        <f>VLOOKUP($B$6,Lookup_Source,79,0)</f>
        <v>#N/A</v>
      </c>
      <c r="AC86" s="241" t="str">
        <f t="shared" si="96"/>
        <v/>
      </c>
      <c r="AD86" s="242">
        <f t="shared" si="97"/>
        <v>7</v>
      </c>
      <c r="AE86" s="261" t="e">
        <f t="shared" si="66"/>
        <v>#N/A</v>
      </c>
      <c r="AF86" s="264" t="e">
        <f t="shared" si="98"/>
        <v>#N/A</v>
      </c>
      <c r="AG86" s="264" t="e">
        <f t="shared" si="99"/>
        <v>#N/A</v>
      </c>
      <c r="AH86" s="263" t="e">
        <f t="shared" si="67"/>
        <v>#N/A</v>
      </c>
      <c r="AI86" s="226">
        <f t="shared" si="100"/>
        <v>7</v>
      </c>
      <c r="AJ86" s="264" t="e">
        <f t="shared" si="68"/>
        <v>#N/A</v>
      </c>
      <c r="AK86" s="264" t="e">
        <f t="shared" si="101"/>
        <v>#N/A</v>
      </c>
      <c r="AL86" s="226" t="e">
        <f t="shared" si="69"/>
        <v>#N/A</v>
      </c>
      <c r="AM86" s="265" t="e">
        <f t="shared" si="102"/>
        <v>#N/A</v>
      </c>
      <c r="AN86" s="266" t="e">
        <f t="shared" si="70"/>
        <v>#N/A</v>
      </c>
      <c r="AO86" s="227" t="e">
        <f t="shared" si="71"/>
        <v>#N/A</v>
      </c>
      <c r="AP86" s="284">
        <f t="shared" si="103"/>
        <v>7</v>
      </c>
      <c r="AQ86" s="285" t="e">
        <f t="shared" si="72"/>
        <v>#N/A</v>
      </c>
      <c r="AR86" s="266" t="e">
        <f t="shared" si="104"/>
        <v>#N/A</v>
      </c>
      <c r="AS86" s="270" t="e">
        <f t="shared" si="73"/>
        <v>#N/A</v>
      </c>
      <c r="AT86" s="271">
        <f t="shared" si="105"/>
        <v>7</v>
      </c>
      <c r="AU86" s="272" t="e">
        <f t="shared" si="106"/>
        <v>#N/A</v>
      </c>
      <c r="AV86" s="273" t="e">
        <f t="shared" si="107"/>
        <v>#N/A</v>
      </c>
      <c r="AW86" s="274" t="e">
        <f t="shared" si="74"/>
        <v>#N/A</v>
      </c>
      <c r="AX86" s="232">
        <f t="shared" si="108"/>
        <v>7</v>
      </c>
      <c r="AY86" s="273" t="e">
        <f t="shared" si="75"/>
        <v>#N/A</v>
      </c>
      <c r="AZ86" s="232" t="e">
        <f t="shared" si="109"/>
        <v>#N/A</v>
      </c>
      <c r="BA86" s="232" t="e">
        <f t="shared" si="76"/>
        <v>#N/A</v>
      </c>
      <c r="BB86" s="275">
        <f t="shared" si="110"/>
        <v>7</v>
      </c>
      <c r="BC86" s="276" t="e">
        <f t="shared" si="111"/>
        <v>#N/A</v>
      </c>
      <c r="BD86" s="277" t="e">
        <f t="shared" si="112"/>
        <v>#N/A</v>
      </c>
      <c r="BE86" s="250" t="e">
        <f t="shared" si="77"/>
        <v>#N/A</v>
      </c>
      <c r="BF86" s="247">
        <f t="shared" si="113"/>
        <v>7</v>
      </c>
      <c r="BG86" s="276" t="e">
        <f t="shared" si="114"/>
        <v>#N/A</v>
      </c>
      <c r="BH86" s="277" t="e">
        <f t="shared" si="115"/>
        <v>#N/A</v>
      </c>
      <c r="BI86" s="250" t="e">
        <f t="shared" si="78"/>
        <v>#N/A</v>
      </c>
      <c r="BJ86" s="251">
        <f t="shared" si="116"/>
        <v>7</v>
      </c>
      <c r="BK86" s="278" t="e">
        <f t="shared" si="117"/>
        <v>#N/A</v>
      </c>
      <c r="BL86" s="278" t="e">
        <f t="shared" si="118"/>
        <v>#N/A</v>
      </c>
      <c r="BM86" s="279" t="e">
        <f t="shared" si="79"/>
        <v>#N/A</v>
      </c>
      <c r="BN86" s="280">
        <f t="shared" si="119"/>
        <v>7</v>
      </c>
      <c r="BO86" s="281" t="e">
        <f t="shared" si="120"/>
        <v>#N/A</v>
      </c>
      <c r="BP86" s="281" t="e">
        <f t="shared" si="121"/>
        <v>#N/A</v>
      </c>
      <c r="BQ86" s="279" t="e">
        <f t="shared" si="80"/>
        <v>#N/A</v>
      </c>
      <c r="BR86" s="282" t="e">
        <f t="shared" si="81"/>
        <v>#N/A</v>
      </c>
      <c r="BS86" s="217" t="e">
        <f>VLOOKUP($B86,SDR24_STOCK_BY_LA!$A$2:$C$11878,3,0)</f>
        <v>#N/A</v>
      </c>
      <c r="BT86" s="217" t="str">
        <f t="shared" si="122"/>
        <v/>
      </c>
    </row>
    <row r="87" spans="1:72" x14ac:dyDescent="0.2">
      <c r="A87" s="256" t="str">
        <f t="shared" si="123"/>
        <v/>
      </c>
      <c r="B87" s="217" t="str">
        <f t="shared" si="124"/>
        <v/>
      </c>
      <c r="C87" s="257" t="str">
        <f t="shared" si="82"/>
        <v/>
      </c>
      <c r="D87" s="256" t="str">
        <f>IF(B87="","",IF(totals!$Q$3=0,IFERROR(IF(AD87=2,"0",AE87),""),"-"))</f>
        <v/>
      </c>
      <c r="E87" s="258" t="str">
        <f t="shared" si="83"/>
        <v/>
      </c>
      <c r="F87" s="259" t="str">
        <f t="shared" si="84"/>
        <v/>
      </c>
      <c r="G87" s="259" t="str">
        <f t="shared" si="85"/>
        <v/>
      </c>
      <c r="H87" s="256" t="str">
        <f t="shared" si="63"/>
        <v/>
      </c>
      <c r="I87" s="259" t="str">
        <f t="shared" si="86"/>
        <v/>
      </c>
      <c r="J87" s="259" t="str">
        <f t="shared" si="87"/>
        <v/>
      </c>
      <c r="K87" s="256" t="str">
        <f t="shared" si="64"/>
        <v/>
      </c>
      <c r="L87" s="259" t="str">
        <f t="shared" si="65"/>
        <v/>
      </c>
      <c r="M87" s="259" t="str">
        <f t="shared" si="88"/>
        <v/>
      </c>
      <c r="N87" s="256" t="str">
        <f t="shared" si="89"/>
        <v/>
      </c>
      <c r="O87" s="259" t="str">
        <f t="shared" si="90"/>
        <v/>
      </c>
      <c r="P87" s="259" t="str">
        <f t="shared" si="91"/>
        <v/>
      </c>
      <c r="Q87" s="256" t="str">
        <f t="shared" si="92"/>
        <v/>
      </c>
      <c r="R87" s="259" t="str">
        <f t="shared" si="93"/>
        <v/>
      </c>
      <c r="S87" s="259" t="str">
        <f t="shared" si="94"/>
        <v/>
      </c>
      <c r="T87" s="256" t="str">
        <f t="shared" si="95"/>
        <v/>
      </c>
      <c r="U87" s="217"/>
      <c r="V87" s="217"/>
      <c r="AB87" s="257" t="e">
        <f>VLOOKUP($B$6,Lookup_Source,80,0)</f>
        <v>#N/A</v>
      </c>
      <c r="AC87" s="241" t="str">
        <f t="shared" si="96"/>
        <v/>
      </c>
      <c r="AD87" s="242">
        <f t="shared" si="97"/>
        <v>7</v>
      </c>
      <c r="AE87" s="261" t="e">
        <f t="shared" si="66"/>
        <v>#N/A</v>
      </c>
      <c r="AF87" s="264" t="e">
        <f t="shared" si="98"/>
        <v>#N/A</v>
      </c>
      <c r="AG87" s="264" t="e">
        <f t="shared" si="99"/>
        <v>#N/A</v>
      </c>
      <c r="AH87" s="263" t="e">
        <f t="shared" si="67"/>
        <v>#N/A</v>
      </c>
      <c r="AI87" s="226">
        <f t="shared" si="100"/>
        <v>7</v>
      </c>
      <c r="AJ87" s="264" t="e">
        <f t="shared" si="68"/>
        <v>#N/A</v>
      </c>
      <c r="AK87" s="264" t="e">
        <f t="shared" si="101"/>
        <v>#N/A</v>
      </c>
      <c r="AL87" s="226" t="e">
        <f t="shared" si="69"/>
        <v>#N/A</v>
      </c>
      <c r="AM87" s="265" t="e">
        <f t="shared" si="102"/>
        <v>#N/A</v>
      </c>
      <c r="AN87" s="266" t="e">
        <f t="shared" si="70"/>
        <v>#N/A</v>
      </c>
      <c r="AO87" s="227" t="e">
        <f t="shared" si="71"/>
        <v>#N/A</v>
      </c>
      <c r="AP87" s="284">
        <f t="shared" si="103"/>
        <v>7</v>
      </c>
      <c r="AQ87" s="285" t="e">
        <f t="shared" si="72"/>
        <v>#N/A</v>
      </c>
      <c r="AR87" s="266" t="e">
        <f t="shared" si="104"/>
        <v>#N/A</v>
      </c>
      <c r="AS87" s="270" t="e">
        <f t="shared" si="73"/>
        <v>#N/A</v>
      </c>
      <c r="AT87" s="271">
        <f t="shared" si="105"/>
        <v>7</v>
      </c>
      <c r="AU87" s="272" t="e">
        <f t="shared" si="106"/>
        <v>#N/A</v>
      </c>
      <c r="AV87" s="273" t="e">
        <f t="shared" si="107"/>
        <v>#N/A</v>
      </c>
      <c r="AW87" s="274" t="e">
        <f t="shared" si="74"/>
        <v>#N/A</v>
      </c>
      <c r="AX87" s="232">
        <f t="shared" si="108"/>
        <v>7</v>
      </c>
      <c r="AY87" s="273" t="e">
        <f t="shared" si="75"/>
        <v>#N/A</v>
      </c>
      <c r="AZ87" s="232" t="e">
        <f t="shared" si="109"/>
        <v>#N/A</v>
      </c>
      <c r="BA87" s="232" t="e">
        <f t="shared" si="76"/>
        <v>#N/A</v>
      </c>
      <c r="BB87" s="275">
        <f t="shared" si="110"/>
        <v>7</v>
      </c>
      <c r="BC87" s="276" t="e">
        <f t="shared" si="111"/>
        <v>#N/A</v>
      </c>
      <c r="BD87" s="277" t="e">
        <f t="shared" si="112"/>
        <v>#N/A</v>
      </c>
      <c r="BE87" s="250" t="e">
        <f t="shared" si="77"/>
        <v>#N/A</v>
      </c>
      <c r="BF87" s="247">
        <f t="shared" si="113"/>
        <v>7</v>
      </c>
      <c r="BG87" s="276" t="e">
        <f t="shared" si="114"/>
        <v>#N/A</v>
      </c>
      <c r="BH87" s="277" t="e">
        <f t="shared" si="115"/>
        <v>#N/A</v>
      </c>
      <c r="BI87" s="250" t="e">
        <f t="shared" si="78"/>
        <v>#N/A</v>
      </c>
      <c r="BJ87" s="251">
        <f t="shared" si="116"/>
        <v>7</v>
      </c>
      <c r="BK87" s="278" t="e">
        <f t="shared" si="117"/>
        <v>#N/A</v>
      </c>
      <c r="BL87" s="278" t="e">
        <f t="shared" si="118"/>
        <v>#N/A</v>
      </c>
      <c r="BM87" s="279" t="e">
        <f t="shared" si="79"/>
        <v>#N/A</v>
      </c>
      <c r="BN87" s="280">
        <f t="shared" si="119"/>
        <v>7</v>
      </c>
      <c r="BO87" s="281" t="e">
        <f t="shared" si="120"/>
        <v>#N/A</v>
      </c>
      <c r="BP87" s="281" t="e">
        <f t="shared" si="121"/>
        <v>#N/A</v>
      </c>
      <c r="BQ87" s="279" t="e">
        <f t="shared" si="80"/>
        <v>#N/A</v>
      </c>
      <c r="BR87" s="282" t="e">
        <f t="shared" si="81"/>
        <v>#N/A</v>
      </c>
      <c r="BS87" s="217" t="e">
        <f>VLOOKUP($B87,SDR24_STOCK_BY_LA!$A$2:$C$11878,3,0)</f>
        <v>#N/A</v>
      </c>
      <c r="BT87" s="217" t="str">
        <f t="shared" si="122"/>
        <v/>
      </c>
    </row>
    <row r="88" spans="1:72" x14ac:dyDescent="0.2">
      <c r="A88" s="217" t="str">
        <f t="shared" si="123"/>
        <v/>
      </c>
      <c r="B88" s="217" t="str">
        <f t="shared" si="124"/>
        <v/>
      </c>
      <c r="C88" s="283" t="str">
        <f t="shared" si="82"/>
        <v/>
      </c>
      <c r="D88" s="256" t="str">
        <f>IF(B88="","",IF(totals!$Q$3=0,IFERROR(IF(AD88=2,"0",AE88),""),"-"))</f>
        <v/>
      </c>
      <c r="E88" s="258" t="str">
        <f t="shared" si="83"/>
        <v/>
      </c>
      <c r="F88" s="259" t="str">
        <f t="shared" si="84"/>
        <v/>
      </c>
      <c r="G88" s="259" t="str">
        <f t="shared" si="85"/>
        <v/>
      </c>
      <c r="H88" s="256" t="str">
        <f t="shared" si="63"/>
        <v/>
      </c>
      <c r="I88" s="259" t="str">
        <f t="shared" si="86"/>
        <v/>
      </c>
      <c r="J88" s="259" t="str">
        <f t="shared" si="87"/>
        <v/>
      </c>
      <c r="K88" s="256" t="str">
        <f t="shared" si="64"/>
        <v/>
      </c>
      <c r="L88" s="259" t="str">
        <f t="shared" si="65"/>
        <v/>
      </c>
      <c r="M88" s="259" t="str">
        <f t="shared" si="88"/>
        <v/>
      </c>
      <c r="N88" s="256" t="str">
        <f t="shared" si="89"/>
        <v/>
      </c>
      <c r="O88" s="259" t="str">
        <f t="shared" si="90"/>
        <v/>
      </c>
      <c r="P88" s="259" t="str">
        <f t="shared" si="91"/>
        <v/>
      </c>
      <c r="Q88" s="256" t="str">
        <f t="shared" si="92"/>
        <v/>
      </c>
      <c r="R88" s="259" t="str">
        <f t="shared" si="93"/>
        <v/>
      </c>
      <c r="S88" s="259" t="str">
        <f t="shared" si="94"/>
        <v/>
      </c>
      <c r="T88" s="256" t="str">
        <f t="shared" si="95"/>
        <v/>
      </c>
      <c r="U88" s="217"/>
      <c r="V88" s="217"/>
      <c r="AB88" s="217" t="e">
        <f>VLOOKUP($B$6,Lookup_Source,81,0)</f>
        <v>#N/A</v>
      </c>
      <c r="AC88" s="241" t="str">
        <f t="shared" si="96"/>
        <v/>
      </c>
      <c r="AD88" s="242">
        <f t="shared" si="97"/>
        <v>7</v>
      </c>
      <c r="AE88" s="261" t="e">
        <f t="shared" si="66"/>
        <v>#N/A</v>
      </c>
      <c r="AF88" s="264" t="e">
        <f t="shared" si="98"/>
        <v>#N/A</v>
      </c>
      <c r="AG88" s="264" t="e">
        <f t="shared" si="99"/>
        <v>#N/A</v>
      </c>
      <c r="AH88" s="263" t="e">
        <f t="shared" si="67"/>
        <v>#N/A</v>
      </c>
      <c r="AI88" s="226">
        <f t="shared" si="100"/>
        <v>7</v>
      </c>
      <c r="AJ88" s="264" t="e">
        <f t="shared" si="68"/>
        <v>#N/A</v>
      </c>
      <c r="AK88" s="264" t="e">
        <f t="shared" si="101"/>
        <v>#N/A</v>
      </c>
      <c r="AL88" s="226" t="e">
        <f t="shared" si="69"/>
        <v>#N/A</v>
      </c>
      <c r="AM88" s="265" t="e">
        <f t="shared" si="102"/>
        <v>#N/A</v>
      </c>
      <c r="AN88" s="266" t="e">
        <f t="shared" si="70"/>
        <v>#N/A</v>
      </c>
      <c r="AO88" s="227" t="e">
        <f t="shared" si="71"/>
        <v>#N/A</v>
      </c>
      <c r="AP88" s="284">
        <f t="shared" si="103"/>
        <v>7</v>
      </c>
      <c r="AQ88" s="285" t="e">
        <f t="shared" si="72"/>
        <v>#N/A</v>
      </c>
      <c r="AR88" s="266" t="e">
        <f t="shared" si="104"/>
        <v>#N/A</v>
      </c>
      <c r="AS88" s="270" t="e">
        <f t="shared" si="73"/>
        <v>#N/A</v>
      </c>
      <c r="AT88" s="271">
        <f t="shared" si="105"/>
        <v>7</v>
      </c>
      <c r="AU88" s="272" t="e">
        <f t="shared" si="106"/>
        <v>#N/A</v>
      </c>
      <c r="AV88" s="273" t="e">
        <f t="shared" si="107"/>
        <v>#N/A</v>
      </c>
      <c r="AW88" s="274" t="e">
        <f t="shared" si="74"/>
        <v>#N/A</v>
      </c>
      <c r="AX88" s="232">
        <f t="shared" si="108"/>
        <v>7</v>
      </c>
      <c r="AY88" s="273" t="e">
        <f t="shared" si="75"/>
        <v>#N/A</v>
      </c>
      <c r="AZ88" s="232" t="e">
        <f t="shared" si="109"/>
        <v>#N/A</v>
      </c>
      <c r="BA88" s="232" t="e">
        <f t="shared" si="76"/>
        <v>#N/A</v>
      </c>
      <c r="BB88" s="275">
        <f t="shared" si="110"/>
        <v>7</v>
      </c>
      <c r="BC88" s="276" t="e">
        <f t="shared" si="111"/>
        <v>#N/A</v>
      </c>
      <c r="BD88" s="277" t="e">
        <f t="shared" si="112"/>
        <v>#N/A</v>
      </c>
      <c r="BE88" s="250" t="e">
        <f t="shared" si="77"/>
        <v>#N/A</v>
      </c>
      <c r="BF88" s="247">
        <f t="shared" si="113"/>
        <v>7</v>
      </c>
      <c r="BG88" s="276" t="e">
        <f t="shared" si="114"/>
        <v>#N/A</v>
      </c>
      <c r="BH88" s="277" t="e">
        <f t="shared" si="115"/>
        <v>#N/A</v>
      </c>
      <c r="BI88" s="250" t="e">
        <f t="shared" si="78"/>
        <v>#N/A</v>
      </c>
      <c r="BJ88" s="251">
        <f t="shared" si="116"/>
        <v>7</v>
      </c>
      <c r="BK88" s="278" t="e">
        <f t="shared" si="117"/>
        <v>#N/A</v>
      </c>
      <c r="BL88" s="278" t="e">
        <f t="shared" si="118"/>
        <v>#N/A</v>
      </c>
      <c r="BM88" s="279" t="e">
        <f t="shared" si="79"/>
        <v>#N/A</v>
      </c>
      <c r="BN88" s="280">
        <f t="shared" si="119"/>
        <v>7</v>
      </c>
      <c r="BO88" s="281" t="e">
        <f t="shared" si="120"/>
        <v>#N/A</v>
      </c>
      <c r="BP88" s="281" t="e">
        <f t="shared" si="121"/>
        <v>#N/A</v>
      </c>
      <c r="BQ88" s="279" t="e">
        <f t="shared" si="80"/>
        <v>#N/A</v>
      </c>
      <c r="BR88" s="282" t="e">
        <f t="shared" si="81"/>
        <v>#N/A</v>
      </c>
      <c r="BS88" s="217" t="e">
        <f>VLOOKUP($B88,SDR24_STOCK_BY_LA!$A$2:$C$11878,3,0)</f>
        <v>#N/A</v>
      </c>
      <c r="BT88" s="217" t="str">
        <f t="shared" si="122"/>
        <v/>
      </c>
    </row>
    <row r="89" spans="1:72" x14ac:dyDescent="0.2">
      <c r="A89" s="256" t="str">
        <f t="shared" si="123"/>
        <v/>
      </c>
      <c r="B89" s="217" t="str">
        <f t="shared" si="124"/>
        <v/>
      </c>
      <c r="C89" s="257" t="str">
        <f t="shared" si="82"/>
        <v/>
      </c>
      <c r="D89" s="256" t="str">
        <f>IF(B89="","",IF(totals!$Q$3=0,IFERROR(IF(AD89=2,"0",AE89),""),"-"))</f>
        <v/>
      </c>
      <c r="E89" s="258" t="str">
        <f t="shared" si="83"/>
        <v/>
      </c>
      <c r="F89" s="259" t="str">
        <f t="shared" si="84"/>
        <v/>
      </c>
      <c r="G89" s="259" t="str">
        <f t="shared" si="85"/>
        <v/>
      </c>
      <c r="H89" s="256" t="str">
        <f t="shared" si="63"/>
        <v/>
      </c>
      <c r="I89" s="259" t="str">
        <f t="shared" si="86"/>
        <v/>
      </c>
      <c r="J89" s="259" t="str">
        <f t="shared" si="87"/>
        <v/>
      </c>
      <c r="K89" s="256" t="str">
        <f t="shared" si="64"/>
        <v/>
      </c>
      <c r="L89" s="259" t="str">
        <f t="shared" si="65"/>
        <v/>
      </c>
      <c r="M89" s="259" t="str">
        <f t="shared" si="88"/>
        <v/>
      </c>
      <c r="N89" s="256" t="str">
        <f t="shared" si="89"/>
        <v/>
      </c>
      <c r="O89" s="259" t="str">
        <f t="shared" si="90"/>
        <v/>
      </c>
      <c r="P89" s="259" t="str">
        <f t="shared" si="91"/>
        <v/>
      </c>
      <c r="Q89" s="256" t="str">
        <f t="shared" si="92"/>
        <v/>
      </c>
      <c r="R89" s="259" t="str">
        <f t="shared" si="93"/>
        <v/>
      </c>
      <c r="S89" s="259" t="str">
        <f t="shared" si="94"/>
        <v/>
      </c>
      <c r="T89" s="256" t="str">
        <f t="shared" si="95"/>
        <v/>
      </c>
      <c r="U89" s="217"/>
      <c r="V89" s="217"/>
      <c r="AB89" s="257" t="e">
        <f>VLOOKUP($B$6,Lookup_Source,82,0)</f>
        <v>#N/A</v>
      </c>
      <c r="AC89" s="241" t="str">
        <f t="shared" si="96"/>
        <v/>
      </c>
      <c r="AD89" s="242">
        <f t="shared" si="97"/>
        <v>7</v>
      </c>
      <c r="AE89" s="261" t="e">
        <f t="shared" si="66"/>
        <v>#N/A</v>
      </c>
      <c r="AF89" s="264" t="e">
        <f t="shared" si="98"/>
        <v>#N/A</v>
      </c>
      <c r="AG89" s="264" t="e">
        <f t="shared" si="99"/>
        <v>#N/A</v>
      </c>
      <c r="AH89" s="263" t="e">
        <f t="shared" si="67"/>
        <v>#N/A</v>
      </c>
      <c r="AI89" s="226">
        <f t="shared" si="100"/>
        <v>7</v>
      </c>
      <c r="AJ89" s="264" t="e">
        <f t="shared" si="68"/>
        <v>#N/A</v>
      </c>
      <c r="AK89" s="264" t="e">
        <f t="shared" si="101"/>
        <v>#N/A</v>
      </c>
      <c r="AL89" s="226" t="e">
        <f t="shared" si="69"/>
        <v>#N/A</v>
      </c>
      <c r="AM89" s="265" t="e">
        <f t="shared" si="102"/>
        <v>#N/A</v>
      </c>
      <c r="AN89" s="266" t="e">
        <f t="shared" si="70"/>
        <v>#N/A</v>
      </c>
      <c r="AO89" s="227" t="e">
        <f t="shared" si="71"/>
        <v>#N/A</v>
      </c>
      <c r="AP89" s="284">
        <f t="shared" si="103"/>
        <v>7</v>
      </c>
      <c r="AQ89" s="285" t="e">
        <f t="shared" si="72"/>
        <v>#N/A</v>
      </c>
      <c r="AR89" s="266" t="e">
        <f t="shared" si="104"/>
        <v>#N/A</v>
      </c>
      <c r="AS89" s="270" t="e">
        <f t="shared" si="73"/>
        <v>#N/A</v>
      </c>
      <c r="AT89" s="271">
        <f t="shared" si="105"/>
        <v>7</v>
      </c>
      <c r="AU89" s="272" t="e">
        <f t="shared" si="106"/>
        <v>#N/A</v>
      </c>
      <c r="AV89" s="273" t="e">
        <f t="shared" si="107"/>
        <v>#N/A</v>
      </c>
      <c r="AW89" s="274" t="e">
        <f t="shared" si="74"/>
        <v>#N/A</v>
      </c>
      <c r="AX89" s="232">
        <f t="shared" si="108"/>
        <v>7</v>
      </c>
      <c r="AY89" s="273" t="e">
        <f t="shared" si="75"/>
        <v>#N/A</v>
      </c>
      <c r="AZ89" s="232" t="e">
        <f t="shared" si="109"/>
        <v>#N/A</v>
      </c>
      <c r="BA89" s="232" t="e">
        <f t="shared" si="76"/>
        <v>#N/A</v>
      </c>
      <c r="BB89" s="275">
        <f t="shared" si="110"/>
        <v>7</v>
      </c>
      <c r="BC89" s="276" t="e">
        <f t="shared" si="111"/>
        <v>#N/A</v>
      </c>
      <c r="BD89" s="277" t="e">
        <f t="shared" si="112"/>
        <v>#N/A</v>
      </c>
      <c r="BE89" s="250" t="e">
        <f t="shared" si="77"/>
        <v>#N/A</v>
      </c>
      <c r="BF89" s="247">
        <f t="shared" si="113"/>
        <v>7</v>
      </c>
      <c r="BG89" s="276" t="e">
        <f t="shared" si="114"/>
        <v>#N/A</v>
      </c>
      <c r="BH89" s="277" t="e">
        <f t="shared" si="115"/>
        <v>#N/A</v>
      </c>
      <c r="BI89" s="250" t="e">
        <f t="shared" si="78"/>
        <v>#N/A</v>
      </c>
      <c r="BJ89" s="251">
        <f t="shared" si="116"/>
        <v>7</v>
      </c>
      <c r="BK89" s="278" t="e">
        <f t="shared" si="117"/>
        <v>#N/A</v>
      </c>
      <c r="BL89" s="278" t="e">
        <f t="shared" si="118"/>
        <v>#N/A</v>
      </c>
      <c r="BM89" s="279" t="e">
        <f t="shared" si="79"/>
        <v>#N/A</v>
      </c>
      <c r="BN89" s="280">
        <f t="shared" si="119"/>
        <v>7</v>
      </c>
      <c r="BO89" s="281" t="e">
        <f t="shared" si="120"/>
        <v>#N/A</v>
      </c>
      <c r="BP89" s="281" t="e">
        <f t="shared" si="121"/>
        <v>#N/A</v>
      </c>
      <c r="BQ89" s="279" t="e">
        <f t="shared" si="80"/>
        <v>#N/A</v>
      </c>
      <c r="BR89" s="282" t="e">
        <f t="shared" si="81"/>
        <v>#N/A</v>
      </c>
      <c r="BS89" s="217" t="e">
        <f>VLOOKUP($B89,SDR24_STOCK_BY_LA!$A$2:$C$11878,3,0)</f>
        <v>#N/A</v>
      </c>
      <c r="BT89" s="217" t="str">
        <f t="shared" si="122"/>
        <v/>
      </c>
    </row>
    <row r="90" spans="1:72" x14ac:dyDescent="0.2">
      <c r="A90" s="217" t="str">
        <f t="shared" si="123"/>
        <v/>
      </c>
      <c r="B90" s="217" t="str">
        <f t="shared" si="124"/>
        <v/>
      </c>
      <c r="C90" s="283" t="str">
        <f t="shared" si="82"/>
        <v/>
      </c>
      <c r="D90" s="256" t="str">
        <f>IF(B90="","",IF(totals!$Q$3=0,IFERROR(IF(AD90=2,"0",AE90),""),"-"))</f>
        <v/>
      </c>
      <c r="E90" s="258" t="str">
        <f t="shared" si="83"/>
        <v/>
      </c>
      <c r="F90" s="259" t="str">
        <f t="shared" si="84"/>
        <v/>
      </c>
      <c r="G90" s="259" t="str">
        <f t="shared" si="85"/>
        <v/>
      </c>
      <c r="H90" s="256" t="str">
        <f t="shared" si="63"/>
        <v/>
      </c>
      <c r="I90" s="259" t="str">
        <f t="shared" si="86"/>
        <v/>
      </c>
      <c r="J90" s="259" t="str">
        <f t="shared" si="87"/>
        <v/>
      </c>
      <c r="K90" s="256" t="str">
        <f t="shared" si="64"/>
        <v/>
      </c>
      <c r="L90" s="259" t="str">
        <f t="shared" si="65"/>
        <v/>
      </c>
      <c r="M90" s="259" t="str">
        <f t="shared" si="88"/>
        <v/>
      </c>
      <c r="N90" s="256" t="str">
        <f t="shared" si="89"/>
        <v/>
      </c>
      <c r="O90" s="259" t="str">
        <f t="shared" si="90"/>
        <v/>
      </c>
      <c r="P90" s="259" t="str">
        <f t="shared" si="91"/>
        <v/>
      </c>
      <c r="Q90" s="256" t="str">
        <f t="shared" si="92"/>
        <v/>
      </c>
      <c r="R90" s="259" t="str">
        <f t="shared" si="93"/>
        <v/>
      </c>
      <c r="S90" s="259" t="str">
        <f t="shared" si="94"/>
        <v/>
      </c>
      <c r="T90" s="256" t="str">
        <f t="shared" si="95"/>
        <v/>
      </c>
      <c r="U90" s="217"/>
      <c r="V90" s="217"/>
      <c r="AB90" s="217" t="e">
        <f>VLOOKUP($B$6,Lookup_Source,83,0)</f>
        <v>#N/A</v>
      </c>
      <c r="AC90" s="241" t="str">
        <f t="shared" si="96"/>
        <v/>
      </c>
      <c r="AD90" s="242">
        <f t="shared" si="97"/>
        <v>7</v>
      </c>
      <c r="AE90" s="261" t="e">
        <f t="shared" si="66"/>
        <v>#N/A</v>
      </c>
      <c r="AF90" s="264" t="e">
        <f t="shared" si="98"/>
        <v>#N/A</v>
      </c>
      <c r="AG90" s="264" t="e">
        <f t="shared" si="99"/>
        <v>#N/A</v>
      </c>
      <c r="AH90" s="263" t="e">
        <f t="shared" si="67"/>
        <v>#N/A</v>
      </c>
      <c r="AI90" s="226">
        <f t="shared" si="100"/>
        <v>7</v>
      </c>
      <c r="AJ90" s="264" t="e">
        <f t="shared" si="68"/>
        <v>#N/A</v>
      </c>
      <c r="AK90" s="264" t="e">
        <f t="shared" si="101"/>
        <v>#N/A</v>
      </c>
      <c r="AL90" s="226" t="e">
        <f t="shared" si="69"/>
        <v>#N/A</v>
      </c>
      <c r="AM90" s="265" t="e">
        <f t="shared" si="102"/>
        <v>#N/A</v>
      </c>
      <c r="AN90" s="266" t="e">
        <f t="shared" si="70"/>
        <v>#N/A</v>
      </c>
      <c r="AO90" s="227" t="e">
        <f t="shared" si="71"/>
        <v>#N/A</v>
      </c>
      <c r="AP90" s="284">
        <f t="shared" si="103"/>
        <v>7</v>
      </c>
      <c r="AQ90" s="285" t="e">
        <f t="shared" si="72"/>
        <v>#N/A</v>
      </c>
      <c r="AR90" s="266" t="e">
        <f t="shared" si="104"/>
        <v>#N/A</v>
      </c>
      <c r="AS90" s="270" t="e">
        <f t="shared" si="73"/>
        <v>#N/A</v>
      </c>
      <c r="AT90" s="271">
        <f t="shared" si="105"/>
        <v>7</v>
      </c>
      <c r="AU90" s="272" t="e">
        <f t="shared" si="106"/>
        <v>#N/A</v>
      </c>
      <c r="AV90" s="273" t="e">
        <f t="shared" si="107"/>
        <v>#N/A</v>
      </c>
      <c r="AW90" s="274" t="e">
        <f t="shared" si="74"/>
        <v>#N/A</v>
      </c>
      <c r="AX90" s="232">
        <f t="shared" si="108"/>
        <v>7</v>
      </c>
      <c r="AY90" s="273" t="e">
        <f t="shared" si="75"/>
        <v>#N/A</v>
      </c>
      <c r="AZ90" s="232" t="e">
        <f t="shared" si="109"/>
        <v>#N/A</v>
      </c>
      <c r="BA90" s="232" t="e">
        <f t="shared" si="76"/>
        <v>#N/A</v>
      </c>
      <c r="BB90" s="275">
        <f t="shared" si="110"/>
        <v>7</v>
      </c>
      <c r="BC90" s="276" t="e">
        <f t="shared" si="111"/>
        <v>#N/A</v>
      </c>
      <c r="BD90" s="277" t="e">
        <f t="shared" si="112"/>
        <v>#N/A</v>
      </c>
      <c r="BE90" s="250" t="e">
        <f t="shared" si="77"/>
        <v>#N/A</v>
      </c>
      <c r="BF90" s="247">
        <f t="shared" si="113"/>
        <v>7</v>
      </c>
      <c r="BG90" s="276" t="e">
        <f t="shared" si="114"/>
        <v>#N/A</v>
      </c>
      <c r="BH90" s="277" t="e">
        <f t="shared" si="115"/>
        <v>#N/A</v>
      </c>
      <c r="BI90" s="250" t="e">
        <f t="shared" si="78"/>
        <v>#N/A</v>
      </c>
      <c r="BJ90" s="251">
        <f t="shared" si="116"/>
        <v>7</v>
      </c>
      <c r="BK90" s="278" t="e">
        <f t="shared" si="117"/>
        <v>#N/A</v>
      </c>
      <c r="BL90" s="278" t="e">
        <f t="shared" si="118"/>
        <v>#N/A</v>
      </c>
      <c r="BM90" s="279" t="e">
        <f t="shared" si="79"/>
        <v>#N/A</v>
      </c>
      <c r="BN90" s="280">
        <f t="shared" si="119"/>
        <v>7</v>
      </c>
      <c r="BO90" s="281" t="e">
        <f t="shared" si="120"/>
        <v>#N/A</v>
      </c>
      <c r="BP90" s="281" t="e">
        <f t="shared" si="121"/>
        <v>#N/A</v>
      </c>
      <c r="BQ90" s="279" t="e">
        <f t="shared" si="80"/>
        <v>#N/A</v>
      </c>
      <c r="BR90" s="282" t="e">
        <f t="shared" si="81"/>
        <v>#N/A</v>
      </c>
      <c r="BS90" s="217" t="e">
        <f>VLOOKUP($B90,SDR24_STOCK_BY_LA!$A$2:$C$11878,3,0)</f>
        <v>#N/A</v>
      </c>
      <c r="BT90" s="217" t="str">
        <f t="shared" si="122"/>
        <v/>
      </c>
    </row>
    <row r="91" spans="1:72" x14ac:dyDescent="0.2">
      <c r="A91" s="256" t="str">
        <f t="shared" si="123"/>
        <v/>
      </c>
      <c r="B91" s="217" t="str">
        <f t="shared" si="124"/>
        <v/>
      </c>
      <c r="C91" s="257" t="str">
        <f t="shared" si="82"/>
        <v/>
      </c>
      <c r="D91" s="256" t="str">
        <f>IF(B91="","",IF(totals!$Q$3=0,IFERROR(IF(AD91=2,"0",AE91),""),"-"))</f>
        <v/>
      </c>
      <c r="E91" s="258" t="str">
        <f t="shared" si="83"/>
        <v/>
      </c>
      <c r="F91" s="259" t="str">
        <f t="shared" si="84"/>
        <v/>
      </c>
      <c r="G91" s="259" t="str">
        <f t="shared" si="85"/>
        <v/>
      </c>
      <c r="H91" s="256" t="str">
        <f t="shared" si="63"/>
        <v/>
      </c>
      <c r="I91" s="259" t="str">
        <f t="shared" si="86"/>
        <v/>
      </c>
      <c r="J91" s="259" t="str">
        <f t="shared" si="87"/>
        <v/>
      </c>
      <c r="K91" s="256" t="str">
        <f t="shared" si="64"/>
        <v/>
      </c>
      <c r="L91" s="259" t="str">
        <f t="shared" si="65"/>
        <v/>
      </c>
      <c r="M91" s="259" t="str">
        <f t="shared" si="88"/>
        <v/>
      </c>
      <c r="N91" s="256" t="str">
        <f t="shared" si="89"/>
        <v/>
      </c>
      <c r="O91" s="259" t="str">
        <f t="shared" si="90"/>
        <v/>
      </c>
      <c r="P91" s="259" t="str">
        <f t="shared" si="91"/>
        <v/>
      </c>
      <c r="Q91" s="256" t="str">
        <f t="shared" si="92"/>
        <v/>
      </c>
      <c r="R91" s="259" t="str">
        <f t="shared" si="93"/>
        <v/>
      </c>
      <c r="S91" s="259" t="str">
        <f t="shared" si="94"/>
        <v/>
      </c>
      <c r="T91" s="256" t="str">
        <f t="shared" si="95"/>
        <v/>
      </c>
      <c r="U91" s="217"/>
      <c r="V91" s="217"/>
      <c r="AB91" s="257" t="e">
        <f>VLOOKUP($B$6,Lookup_Source,84,0)</f>
        <v>#N/A</v>
      </c>
      <c r="AC91" s="241" t="str">
        <f t="shared" si="96"/>
        <v/>
      </c>
      <c r="AD91" s="242">
        <f t="shared" si="97"/>
        <v>7</v>
      </c>
      <c r="AE91" s="261" t="e">
        <f t="shared" si="66"/>
        <v>#N/A</v>
      </c>
      <c r="AF91" s="264" t="e">
        <f t="shared" si="98"/>
        <v>#N/A</v>
      </c>
      <c r="AG91" s="264" t="e">
        <f t="shared" si="99"/>
        <v>#N/A</v>
      </c>
      <c r="AH91" s="263" t="e">
        <f t="shared" si="67"/>
        <v>#N/A</v>
      </c>
      <c r="AI91" s="226">
        <f t="shared" si="100"/>
        <v>7</v>
      </c>
      <c r="AJ91" s="264" t="e">
        <f t="shared" si="68"/>
        <v>#N/A</v>
      </c>
      <c r="AK91" s="264" t="e">
        <f t="shared" si="101"/>
        <v>#N/A</v>
      </c>
      <c r="AL91" s="226" t="e">
        <f t="shared" si="69"/>
        <v>#N/A</v>
      </c>
      <c r="AM91" s="265" t="e">
        <f t="shared" si="102"/>
        <v>#N/A</v>
      </c>
      <c r="AN91" s="266" t="e">
        <f t="shared" si="70"/>
        <v>#N/A</v>
      </c>
      <c r="AO91" s="227" t="e">
        <f t="shared" si="71"/>
        <v>#N/A</v>
      </c>
      <c r="AP91" s="284">
        <f t="shared" si="103"/>
        <v>7</v>
      </c>
      <c r="AQ91" s="285" t="e">
        <f t="shared" si="72"/>
        <v>#N/A</v>
      </c>
      <c r="AR91" s="266" t="e">
        <f t="shared" si="104"/>
        <v>#N/A</v>
      </c>
      <c r="AS91" s="270" t="e">
        <f t="shared" si="73"/>
        <v>#N/A</v>
      </c>
      <c r="AT91" s="271">
        <f t="shared" si="105"/>
        <v>7</v>
      </c>
      <c r="AU91" s="272" t="e">
        <f t="shared" si="106"/>
        <v>#N/A</v>
      </c>
      <c r="AV91" s="273" t="e">
        <f t="shared" si="107"/>
        <v>#N/A</v>
      </c>
      <c r="AW91" s="274" t="e">
        <f t="shared" si="74"/>
        <v>#N/A</v>
      </c>
      <c r="AX91" s="232">
        <f t="shared" si="108"/>
        <v>7</v>
      </c>
      <c r="AY91" s="273" t="e">
        <f t="shared" si="75"/>
        <v>#N/A</v>
      </c>
      <c r="AZ91" s="232" t="e">
        <f t="shared" si="109"/>
        <v>#N/A</v>
      </c>
      <c r="BA91" s="232" t="e">
        <f t="shared" si="76"/>
        <v>#N/A</v>
      </c>
      <c r="BB91" s="275">
        <f t="shared" si="110"/>
        <v>7</v>
      </c>
      <c r="BC91" s="276" t="e">
        <f t="shared" si="111"/>
        <v>#N/A</v>
      </c>
      <c r="BD91" s="277" t="e">
        <f t="shared" si="112"/>
        <v>#N/A</v>
      </c>
      <c r="BE91" s="250" t="e">
        <f t="shared" si="77"/>
        <v>#N/A</v>
      </c>
      <c r="BF91" s="247">
        <f t="shared" si="113"/>
        <v>7</v>
      </c>
      <c r="BG91" s="276" t="e">
        <f t="shared" si="114"/>
        <v>#N/A</v>
      </c>
      <c r="BH91" s="277" t="e">
        <f t="shared" si="115"/>
        <v>#N/A</v>
      </c>
      <c r="BI91" s="250" t="e">
        <f t="shared" si="78"/>
        <v>#N/A</v>
      </c>
      <c r="BJ91" s="251">
        <f t="shared" si="116"/>
        <v>7</v>
      </c>
      <c r="BK91" s="278" t="e">
        <f t="shared" si="117"/>
        <v>#N/A</v>
      </c>
      <c r="BL91" s="278" t="e">
        <f t="shared" si="118"/>
        <v>#N/A</v>
      </c>
      <c r="BM91" s="279" t="e">
        <f t="shared" si="79"/>
        <v>#N/A</v>
      </c>
      <c r="BN91" s="280">
        <f t="shared" si="119"/>
        <v>7</v>
      </c>
      <c r="BO91" s="281" t="e">
        <f t="shared" si="120"/>
        <v>#N/A</v>
      </c>
      <c r="BP91" s="281" t="e">
        <f t="shared" si="121"/>
        <v>#N/A</v>
      </c>
      <c r="BQ91" s="279" t="e">
        <f t="shared" si="80"/>
        <v>#N/A</v>
      </c>
      <c r="BR91" s="282" t="e">
        <f t="shared" si="81"/>
        <v>#N/A</v>
      </c>
      <c r="BS91" s="217" t="e">
        <f>VLOOKUP($B91,SDR24_STOCK_BY_LA!$A$2:$C$11878,3,0)</f>
        <v>#N/A</v>
      </c>
      <c r="BT91" s="217" t="str">
        <f t="shared" si="122"/>
        <v/>
      </c>
    </row>
    <row r="92" spans="1:72" x14ac:dyDescent="0.2">
      <c r="A92" s="217" t="str">
        <f t="shared" si="123"/>
        <v/>
      </c>
      <c r="B92" s="217" t="str">
        <f t="shared" si="124"/>
        <v/>
      </c>
      <c r="C92" s="283" t="str">
        <f t="shared" si="82"/>
        <v/>
      </c>
      <c r="D92" s="256" t="str">
        <f>IF(B92="","",IF(totals!$Q$3=0,IFERROR(IF(AD92=2,"0",AE92),""),"-"))</f>
        <v/>
      </c>
      <c r="E92" s="258" t="str">
        <f t="shared" si="83"/>
        <v/>
      </c>
      <c r="F92" s="259" t="str">
        <f t="shared" si="84"/>
        <v/>
      </c>
      <c r="G92" s="259" t="str">
        <f t="shared" si="85"/>
        <v/>
      </c>
      <c r="H92" s="256" t="str">
        <f t="shared" si="63"/>
        <v/>
      </c>
      <c r="I92" s="259" t="str">
        <f t="shared" si="86"/>
        <v/>
      </c>
      <c r="J92" s="259" t="str">
        <f t="shared" si="87"/>
        <v/>
      </c>
      <c r="K92" s="256" t="str">
        <f t="shared" si="64"/>
        <v/>
      </c>
      <c r="L92" s="259" t="str">
        <f t="shared" si="65"/>
        <v/>
      </c>
      <c r="M92" s="259" t="str">
        <f t="shared" si="88"/>
        <v/>
      </c>
      <c r="N92" s="256" t="str">
        <f t="shared" si="89"/>
        <v/>
      </c>
      <c r="O92" s="259" t="str">
        <f t="shared" si="90"/>
        <v/>
      </c>
      <c r="P92" s="259" t="str">
        <f t="shared" si="91"/>
        <v/>
      </c>
      <c r="Q92" s="256" t="str">
        <f t="shared" si="92"/>
        <v/>
      </c>
      <c r="R92" s="259" t="str">
        <f t="shared" si="93"/>
        <v/>
      </c>
      <c r="S92" s="259" t="str">
        <f t="shared" si="94"/>
        <v/>
      </c>
      <c r="T92" s="256" t="str">
        <f t="shared" si="95"/>
        <v/>
      </c>
      <c r="U92" s="217"/>
      <c r="V92" s="217"/>
      <c r="AB92" s="217" t="e">
        <f>VLOOKUP($B$6,Lookup_Source,85,0)</f>
        <v>#N/A</v>
      </c>
      <c r="AC92" s="241" t="str">
        <f t="shared" si="96"/>
        <v/>
      </c>
      <c r="AD92" s="242">
        <f t="shared" si="97"/>
        <v>7</v>
      </c>
      <c r="AE92" s="261" t="e">
        <f t="shared" si="66"/>
        <v>#N/A</v>
      </c>
      <c r="AF92" s="264" t="e">
        <f t="shared" si="98"/>
        <v>#N/A</v>
      </c>
      <c r="AG92" s="264" t="e">
        <f t="shared" si="99"/>
        <v>#N/A</v>
      </c>
      <c r="AH92" s="263" t="e">
        <f t="shared" si="67"/>
        <v>#N/A</v>
      </c>
      <c r="AI92" s="226">
        <f t="shared" si="100"/>
        <v>7</v>
      </c>
      <c r="AJ92" s="264" t="e">
        <f t="shared" si="68"/>
        <v>#N/A</v>
      </c>
      <c r="AK92" s="264" t="e">
        <f t="shared" si="101"/>
        <v>#N/A</v>
      </c>
      <c r="AL92" s="226" t="e">
        <f t="shared" si="69"/>
        <v>#N/A</v>
      </c>
      <c r="AM92" s="265" t="e">
        <f t="shared" si="102"/>
        <v>#N/A</v>
      </c>
      <c r="AN92" s="266" t="e">
        <f t="shared" si="70"/>
        <v>#N/A</v>
      </c>
      <c r="AO92" s="227" t="e">
        <f t="shared" si="71"/>
        <v>#N/A</v>
      </c>
      <c r="AP92" s="284">
        <f t="shared" si="103"/>
        <v>7</v>
      </c>
      <c r="AQ92" s="285" t="e">
        <f t="shared" si="72"/>
        <v>#N/A</v>
      </c>
      <c r="AR92" s="266" t="e">
        <f t="shared" si="104"/>
        <v>#N/A</v>
      </c>
      <c r="AS92" s="270" t="e">
        <f t="shared" si="73"/>
        <v>#N/A</v>
      </c>
      <c r="AT92" s="271">
        <f t="shared" si="105"/>
        <v>7</v>
      </c>
      <c r="AU92" s="272" t="e">
        <f t="shared" si="106"/>
        <v>#N/A</v>
      </c>
      <c r="AV92" s="273" t="e">
        <f t="shared" si="107"/>
        <v>#N/A</v>
      </c>
      <c r="AW92" s="274" t="e">
        <f t="shared" si="74"/>
        <v>#N/A</v>
      </c>
      <c r="AX92" s="232">
        <f t="shared" si="108"/>
        <v>7</v>
      </c>
      <c r="AY92" s="273" t="e">
        <f t="shared" si="75"/>
        <v>#N/A</v>
      </c>
      <c r="AZ92" s="232" t="e">
        <f t="shared" si="109"/>
        <v>#N/A</v>
      </c>
      <c r="BA92" s="232" t="e">
        <f t="shared" si="76"/>
        <v>#N/A</v>
      </c>
      <c r="BB92" s="275">
        <f t="shared" si="110"/>
        <v>7</v>
      </c>
      <c r="BC92" s="276" t="e">
        <f t="shared" si="111"/>
        <v>#N/A</v>
      </c>
      <c r="BD92" s="277" t="e">
        <f t="shared" si="112"/>
        <v>#N/A</v>
      </c>
      <c r="BE92" s="250" t="e">
        <f t="shared" si="77"/>
        <v>#N/A</v>
      </c>
      <c r="BF92" s="247">
        <f t="shared" si="113"/>
        <v>7</v>
      </c>
      <c r="BG92" s="276" t="e">
        <f t="shared" si="114"/>
        <v>#N/A</v>
      </c>
      <c r="BH92" s="277" t="e">
        <f t="shared" si="115"/>
        <v>#N/A</v>
      </c>
      <c r="BI92" s="250" t="e">
        <f t="shared" si="78"/>
        <v>#N/A</v>
      </c>
      <c r="BJ92" s="251">
        <f t="shared" si="116"/>
        <v>7</v>
      </c>
      <c r="BK92" s="278" t="e">
        <f t="shared" si="117"/>
        <v>#N/A</v>
      </c>
      <c r="BL92" s="278" t="e">
        <f t="shared" si="118"/>
        <v>#N/A</v>
      </c>
      <c r="BM92" s="279" t="e">
        <f t="shared" si="79"/>
        <v>#N/A</v>
      </c>
      <c r="BN92" s="280">
        <f t="shared" si="119"/>
        <v>7</v>
      </c>
      <c r="BO92" s="281" t="e">
        <f t="shared" si="120"/>
        <v>#N/A</v>
      </c>
      <c r="BP92" s="281" t="e">
        <f t="shared" si="121"/>
        <v>#N/A</v>
      </c>
      <c r="BQ92" s="279" t="e">
        <f t="shared" si="80"/>
        <v>#N/A</v>
      </c>
      <c r="BR92" s="282" t="e">
        <f t="shared" si="81"/>
        <v>#N/A</v>
      </c>
      <c r="BS92" s="217" t="e">
        <f>VLOOKUP($B92,SDR24_STOCK_BY_LA!$A$2:$C$11878,3,0)</f>
        <v>#N/A</v>
      </c>
      <c r="BT92" s="217" t="str">
        <f t="shared" si="122"/>
        <v/>
      </c>
    </row>
    <row r="93" spans="1:72" x14ac:dyDescent="0.2">
      <c r="A93" s="256" t="str">
        <f t="shared" si="123"/>
        <v/>
      </c>
      <c r="B93" s="217" t="str">
        <f t="shared" si="124"/>
        <v/>
      </c>
      <c r="C93" s="257" t="str">
        <f t="shared" si="82"/>
        <v/>
      </c>
      <c r="D93" s="256" t="str">
        <f>IF(B93="","",IF(totals!$Q$3=0,IFERROR(IF(AD93=2,"0",AE93),""),"-"))</f>
        <v/>
      </c>
      <c r="E93" s="258" t="str">
        <f t="shared" si="83"/>
        <v/>
      </c>
      <c r="F93" s="259" t="str">
        <f t="shared" si="84"/>
        <v/>
      </c>
      <c r="G93" s="259" t="str">
        <f t="shared" si="85"/>
        <v/>
      </c>
      <c r="H93" s="256" t="str">
        <f t="shared" si="63"/>
        <v/>
      </c>
      <c r="I93" s="259" t="str">
        <f t="shared" si="86"/>
        <v/>
      </c>
      <c r="J93" s="259" t="str">
        <f t="shared" si="87"/>
        <v/>
      </c>
      <c r="K93" s="256" t="str">
        <f t="shared" si="64"/>
        <v/>
      </c>
      <c r="L93" s="259" t="str">
        <f t="shared" si="65"/>
        <v/>
      </c>
      <c r="M93" s="259" t="str">
        <f t="shared" si="88"/>
        <v/>
      </c>
      <c r="N93" s="256" t="str">
        <f t="shared" si="89"/>
        <v/>
      </c>
      <c r="O93" s="259" t="str">
        <f t="shared" si="90"/>
        <v/>
      </c>
      <c r="P93" s="259" t="str">
        <f t="shared" si="91"/>
        <v/>
      </c>
      <c r="Q93" s="256" t="str">
        <f t="shared" si="92"/>
        <v/>
      </c>
      <c r="R93" s="259" t="str">
        <f t="shared" si="93"/>
        <v/>
      </c>
      <c r="S93" s="259" t="str">
        <f t="shared" si="94"/>
        <v/>
      </c>
      <c r="T93" s="256" t="str">
        <f t="shared" si="95"/>
        <v/>
      </c>
      <c r="U93" s="217"/>
      <c r="V93" s="217"/>
      <c r="AB93" s="257" t="e">
        <f>VLOOKUP($B$6,Lookup_Source,86,0)</f>
        <v>#N/A</v>
      </c>
      <c r="AC93" s="241" t="str">
        <f t="shared" si="96"/>
        <v/>
      </c>
      <c r="AD93" s="242">
        <f t="shared" si="97"/>
        <v>7</v>
      </c>
      <c r="AE93" s="261" t="e">
        <f t="shared" si="66"/>
        <v>#N/A</v>
      </c>
      <c r="AF93" s="264" t="e">
        <f t="shared" si="98"/>
        <v>#N/A</v>
      </c>
      <c r="AG93" s="264" t="e">
        <f t="shared" si="99"/>
        <v>#N/A</v>
      </c>
      <c r="AH93" s="263" t="e">
        <f t="shared" si="67"/>
        <v>#N/A</v>
      </c>
      <c r="AI93" s="226">
        <f t="shared" si="100"/>
        <v>7</v>
      </c>
      <c r="AJ93" s="264" t="e">
        <f t="shared" si="68"/>
        <v>#N/A</v>
      </c>
      <c r="AK93" s="264" t="e">
        <f t="shared" si="101"/>
        <v>#N/A</v>
      </c>
      <c r="AL93" s="226" t="e">
        <f t="shared" si="69"/>
        <v>#N/A</v>
      </c>
      <c r="AM93" s="265" t="e">
        <f t="shared" si="102"/>
        <v>#N/A</v>
      </c>
      <c r="AN93" s="266" t="e">
        <f t="shared" si="70"/>
        <v>#N/A</v>
      </c>
      <c r="AO93" s="227" t="e">
        <f t="shared" si="71"/>
        <v>#N/A</v>
      </c>
      <c r="AP93" s="284">
        <f t="shared" si="103"/>
        <v>7</v>
      </c>
      <c r="AQ93" s="285" t="e">
        <f t="shared" si="72"/>
        <v>#N/A</v>
      </c>
      <c r="AR93" s="266" t="e">
        <f t="shared" si="104"/>
        <v>#N/A</v>
      </c>
      <c r="AS93" s="270" t="e">
        <f t="shared" si="73"/>
        <v>#N/A</v>
      </c>
      <c r="AT93" s="271">
        <f t="shared" si="105"/>
        <v>7</v>
      </c>
      <c r="AU93" s="272" t="e">
        <f t="shared" si="106"/>
        <v>#N/A</v>
      </c>
      <c r="AV93" s="273" t="e">
        <f t="shared" si="107"/>
        <v>#N/A</v>
      </c>
      <c r="AW93" s="274" t="e">
        <f t="shared" si="74"/>
        <v>#N/A</v>
      </c>
      <c r="AX93" s="232">
        <f t="shared" si="108"/>
        <v>7</v>
      </c>
      <c r="AY93" s="273" t="e">
        <f t="shared" si="75"/>
        <v>#N/A</v>
      </c>
      <c r="AZ93" s="232" t="e">
        <f t="shared" si="109"/>
        <v>#N/A</v>
      </c>
      <c r="BA93" s="232" t="e">
        <f t="shared" si="76"/>
        <v>#N/A</v>
      </c>
      <c r="BB93" s="275">
        <f t="shared" si="110"/>
        <v>7</v>
      </c>
      <c r="BC93" s="276" t="e">
        <f t="shared" si="111"/>
        <v>#N/A</v>
      </c>
      <c r="BD93" s="277" t="e">
        <f t="shared" si="112"/>
        <v>#N/A</v>
      </c>
      <c r="BE93" s="250" t="e">
        <f t="shared" si="77"/>
        <v>#N/A</v>
      </c>
      <c r="BF93" s="247">
        <f t="shared" si="113"/>
        <v>7</v>
      </c>
      <c r="BG93" s="276" t="e">
        <f t="shared" si="114"/>
        <v>#N/A</v>
      </c>
      <c r="BH93" s="277" t="e">
        <f t="shared" si="115"/>
        <v>#N/A</v>
      </c>
      <c r="BI93" s="250" t="e">
        <f t="shared" si="78"/>
        <v>#N/A</v>
      </c>
      <c r="BJ93" s="251">
        <f t="shared" si="116"/>
        <v>7</v>
      </c>
      <c r="BK93" s="278" t="e">
        <f t="shared" si="117"/>
        <v>#N/A</v>
      </c>
      <c r="BL93" s="278" t="e">
        <f t="shared" si="118"/>
        <v>#N/A</v>
      </c>
      <c r="BM93" s="279" t="e">
        <f t="shared" si="79"/>
        <v>#N/A</v>
      </c>
      <c r="BN93" s="280">
        <f t="shared" si="119"/>
        <v>7</v>
      </c>
      <c r="BO93" s="281" t="e">
        <f t="shared" si="120"/>
        <v>#N/A</v>
      </c>
      <c r="BP93" s="281" t="e">
        <f t="shared" si="121"/>
        <v>#N/A</v>
      </c>
      <c r="BQ93" s="279" t="e">
        <f t="shared" si="80"/>
        <v>#N/A</v>
      </c>
      <c r="BR93" s="282" t="e">
        <f t="shared" si="81"/>
        <v>#N/A</v>
      </c>
      <c r="BS93" s="217" t="e">
        <f>VLOOKUP($B93,SDR24_STOCK_BY_LA!$A$2:$C$11878,3,0)</f>
        <v>#N/A</v>
      </c>
      <c r="BT93" s="217" t="str">
        <f t="shared" si="122"/>
        <v/>
      </c>
    </row>
    <row r="94" spans="1:72" x14ac:dyDescent="0.2">
      <c r="A94" s="217" t="str">
        <f t="shared" si="123"/>
        <v/>
      </c>
      <c r="B94" s="217" t="str">
        <f t="shared" si="124"/>
        <v/>
      </c>
      <c r="C94" s="283" t="str">
        <f t="shared" si="82"/>
        <v/>
      </c>
      <c r="D94" s="256" t="str">
        <f>IF(B94="","",IF(totals!$Q$3=0,IFERROR(IF(AD94=2,"0",AE94),""),"-"))</f>
        <v/>
      </c>
      <c r="E94" s="258" t="str">
        <f t="shared" si="83"/>
        <v/>
      </c>
      <c r="F94" s="259" t="str">
        <f t="shared" si="84"/>
        <v/>
      </c>
      <c r="G94" s="259" t="str">
        <f t="shared" si="85"/>
        <v/>
      </c>
      <c r="H94" s="256" t="str">
        <f t="shared" si="63"/>
        <v/>
      </c>
      <c r="I94" s="259" t="str">
        <f t="shared" si="86"/>
        <v/>
      </c>
      <c r="J94" s="259" t="str">
        <f t="shared" si="87"/>
        <v/>
      </c>
      <c r="K94" s="256" t="str">
        <f t="shared" si="64"/>
        <v/>
      </c>
      <c r="L94" s="259" t="str">
        <f t="shared" si="65"/>
        <v/>
      </c>
      <c r="M94" s="259" t="str">
        <f t="shared" si="88"/>
        <v/>
      </c>
      <c r="N94" s="256" t="str">
        <f t="shared" si="89"/>
        <v/>
      </c>
      <c r="O94" s="259" t="str">
        <f t="shared" si="90"/>
        <v/>
      </c>
      <c r="P94" s="259" t="str">
        <f t="shared" si="91"/>
        <v/>
      </c>
      <c r="Q94" s="256" t="str">
        <f t="shared" si="92"/>
        <v/>
      </c>
      <c r="R94" s="259" t="str">
        <f t="shared" si="93"/>
        <v/>
      </c>
      <c r="S94" s="259" t="str">
        <f t="shared" si="94"/>
        <v/>
      </c>
      <c r="T94" s="256" t="str">
        <f t="shared" si="95"/>
        <v/>
      </c>
      <c r="U94" s="217"/>
      <c r="V94" s="217"/>
      <c r="AB94" s="217" t="e">
        <f>VLOOKUP($B$6,Lookup_Source,87,0)</f>
        <v>#N/A</v>
      </c>
      <c r="AC94" s="241" t="str">
        <f t="shared" si="96"/>
        <v/>
      </c>
      <c r="AD94" s="242">
        <f t="shared" si="97"/>
        <v>7</v>
      </c>
      <c r="AE94" s="261" t="e">
        <f t="shared" si="66"/>
        <v>#N/A</v>
      </c>
      <c r="AF94" s="264" t="e">
        <f t="shared" si="98"/>
        <v>#N/A</v>
      </c>
      <c r="AG94" s="264" t="e">
        <f t="shared" si="99"/>
        <v>#N/A</v>
      </c>
      <c r="AH94" s="263" t="e">
        <f t="shared" si="67"/>
        <v>#N/A</v>
      </c>
      <c r="AI94" s="226">
        <f t="shared" si="100"/>
        <v>7</v>
      </c>
      <c r="AJ94" s="264" t="e">
        <f t="shared" si="68"/>
        <v>#N/A</v>
      </c>
      <c r="AK94" s="264" t="e">
        <f t="shared" si="101"/>
        <v>#N/A</v>
      </c>
      <c r="AL94" s="226" t="e">
        <f t="shared" si="69"/>
        <v>#N/A</v>
      </c>
      <c r="AM94" s="265" t="e">
        <f t="shared" si="102"/>
        <v>#N/A</v>
      </c>
      <c r="AN94" s="266" t="e">
        <f t="shared" si="70"/>
        <v>#N/A</v>
      </c>
      <c r="AO94" s="227" t="e">
        <f t="shared" si="71"/>
        <v>#N/A</v>
      </c>
      <c r="AP94" s="284">
        <f t="shared" si="103"/>
        <v>7</v>
      </c>
      <c r="AQ94" s="285" t="e">
        <f t="shared" si="72"/>
        <v>#N/A</v>
      </c>
      <c r="AR94" s="266" t="e">
        <f t="shared" si="104"/>
        <v>#N/A</v>
      </c>
      <c r="AS94" s="270" t="e">
        <f t="shared" si="73"/>
        <v>#N/A</v>
      </c>
      <c r="AT94" s="271">
        <f t="shared" si="105"/>
        <v>7</v>
      </c>
      <c r="AU94" s="272" t="e">
        <f t="shared" si="106"/>
        <v>#N/A</v>
      </c>
      <c r="AV94" s="273" t="e">
        <f t="shared" si="107"/>
        <v>#N/A</v>
      </c>
      <c r="AW94" s="274" t="e">
        <f t="shared" si="74"/>
        <v>#N/A</v>
      </c>
      <c r="AX94" s="232">
        <f t="shared" si="108"/>
        <v>7</v>
      </c>
      <c r="AY94" s="273" t="e">
        <f t="shared" si="75"/>
        <v>#N/A</v>
      </c>
      <c r="AZ94" s="232" t="e">
        <f t="shared" si="109"/>
        <v>#N/A</v>
      </c>
      <c r="BA94" s="232" t="e">
        <f t="shared" si="76"/>
        <v>#N/A</v>
      </c>
      <c r="BB94" s="275">
        <f t="shared" si="110"/>
        <v>7</v>
      </c>
      <c r="BC94" s="276" t="e">
        <f t="shared" si="111"/>
        <v>#N/A</v>
      </c>
      <c r="BD94" s="277" t="e">
        <f t="shared" si="112"/>
        <v>#N/A</v>
      </c>
      <c r="BE94" s="250" t="e">
        <f t="shared" si="77"/>
        <v>#N/A</v>
      </c>
      <c r="BF94" s="247">
        <f t="shared" si="113"/>
        <v>7</v>
      </c>
      <c r="BG94" s="276" t="e">
        <f t="shared" si="114"/>
        <v>#N/A</v>
      </c>
      <c r="BH94" s="277" t="e">
        <f t="shared" si="115"/>
        <v>#N/A</v>
      </c>
      <c r="BI94" s="250" t="e">
        <f t="shared" si="78"/>
        <v>#N/A</v>
      </c>
      <c r="BJ94" s="251">
        <f t="shared" si="116"/>
        <v>7</v>
      </c>
      <c r="BK94" s="278" t="e">
        <f t="shared" si="117"/>
        <v>#N/A</v>
      </c>
      <c r="BL94" s="278" t="e">
        <f t="shared" si="118"/>
        <v>#N/A</v>
      </c>
      <c r="BM94" s="279" t="e">
        <f t="shared" si="79"/>
        <v>#N/A</v>
      </c>
      <c r="BN94" s="280">
        <f t="shared" si="119"/>
        <v>7</v>
      </c>
      <c r="BO94" s="281" t="e">
        <f t="shared" si="120"/>
        <v>#N/A</v>
      </c>
      <c r="BP94" s="281" t="e">
        <f t="shared" si="121"/>
        <v>#N/A</v>
      </c>
      <c r="BQ94" s="279" t="e">
        <f t="shared" si="80"/>
        <v>#N/A</v>
      </c>
      <c r="BR94" s="282" t="e">
        <f t="shared" si="81"/>
        <v>#N/A</v>
      </c>
      <c r="BS94" s="217" t="e">
        <f>VLOOKUP($B94,SDR24_STOCK_BY_LA!$A$2:$C$11878,3,0)</f>
        <v>#N/A</v>
      </c>
      <c r="BT94" s="217" t="str">
        <f t="shared" si="122"/>
        <v/>
      </c>
    </row>
    <row r="95" spans="1:72" x14ac:dyDescent="0.2">
      <c r="A95" s="256" t="str">
        <f t="shared" si="123"/>
        <v/>
      </c>
      <c r="B95" s="217" t="str">
        <f t="shared" si="124"/>
        <v/>
      </c>
      <c r="C95" s="257" t="str">
        <f t="shared" si="82"/>
        <v/>
      </c>
      <c r="D95" s="256" t="str">
        <f>IF(B95="","",IF(totals!$Q$3=0,IFERROR(IF(AD95=2,"0",AE95),""),"-"))</f>
        <v/>
      </c>
      <c r="E95" s="258" t="str">
        <f t="shared" si="83"/>
        <v/>
      </c>
      <c r="F95" s="259" t="str">
        <f t="shared" si="84"/>
        <v/>
      </c>
      <c r="G95" s="259" t="str">
        <f t="shared" si="85"/>
        <v/>
      </c>
      <c r="H95" s="256" t="str">
        <f t="shared" si="63"/>
        <v/>
      </c>
      <c r="I95" s="259" t="str">
        <f t="shared" si="86"/>
        <v/>
      </c>
      <c r="J95" s="259" t="str">
        <f t="shared" si="87"/>
        <v/>
      </c>
      <c r="K95" s="256" t="str">
        <f t="shared" si="64"/>
        <v/>
      </c>
      <c r="L95" s="259" t="str">
        <f t="shared" si="65"/>
        <v/>
      </c>
      <c r="M95" s="259" t="str">
        <f t="shared" si="88"/>
        <v/>
      </c>
      <c r="N95" s="256" t="str">
        <f t="shared" si="89"/>
        <v/>
      </c>
      <c r="O95" s="259" t="str">
        <f t="shared" si="90"/>
        <v/>
      </c>
      <c r="P95" s="259" t="str">
        <f t="shared" si="91"/>
        <v/>
      </c>
      <c r="Q95" s="256" t="str">
        <f t="shared" si="92"/>
        <v/>
      </c>
      <c r="R95" s="259" t="str">
        <f t="shared" si="93"/>
        <v/>
      </c>
      <c r="S95" s="259" t="str">
        <f t="shared" si="94"/>
        <v/>
      </c>
      <c r="T95" s="256" t="str">
        <f t="shared" si="95"/>
        <v/>
      </c>
      <c r="U95" s="217"/>
      <c r="V95" s="217"/>
      <c r="AB95" s="257" t="e">
        <f>VLOOKUP($B$6,Lookup_Source,88,0)</f>
        <v>#N/A</v>
      </c>
      <c r="AC95" s="241" t="str">
        <f t="shared" si="96"/>
        <v/>
      </c>
      <c r="AD95" s="242">
        <f t="shared" si="97"/>
        <v>7</v>
      </c>
      <c r="AE95" s="261" t="e">
        <f t="shared" si="66"/>
        <v>#N/A</v>
      </c>
      <c r="AF95" s="264" t="e">
        <f t="shared" si="98"/>
        <v>#N/A</v>
      </c>
      <c r="AG95" s="264" t="e">
        <f t="shared" si="99"/>
        <v>#N/A</v>
      </c>
      <c r="AH95" s="263" t="e">
        <f t="shared" si="67"/>
        <v>#N/A</v>
      </c>
      <c r="AI95" s="226">
        <f t="shared" si="100"/>
        <v>7</v>
      </c>
      <c r="AJ95" s="264" t="e">
        <f t="shared" si="68"/>
        <v>#N/A</v>
      </c>
      <c r="AK95" s="264" t="e">
        <f t="shared" si="101"/>
        <v>#N/A</v>
      </c>
      <c r="AL95" s="226" t="e">
        <f t="shared" si="69"/>
        <v>#N/A</v>
      </c>
      <c r="AM95" s="265" t="e">
        <f t="shared" si="102"/>
        <v>#N/A</v>
      </c>
      <c r="AN95" s="266" t="e">
        <f t="shared" si="70"/>
        <v>#N/A</v>
      </c>
      <c r="AO95" s="227" t="e">
        <f t="shared" si="71"/>
        <v>#N/A</v>
      </c>
      <c r="AP95" s="284">
        <f t="shared" si="103"/>
        <v>7</v>
      </c>
      <c r="AQ95" s="285" t="e">
        <f t="shared" si="72"/>
        <v>#N/A</v>
      </c>
      <c r="AR95" s="266" t="e">
        <f t="shared" si="104"/>
        <v>#N/A</v>
      </c>
      <c r="AS95" s="270" t="e">
        <f t="shared" si="73"/>
        <v>#N/A</v>
      </c>
      <c r="AT95" s="271">
        <f t="shared" si="105"/>
        <v>7</v>
      </c>
      <c r="AU95" s="272" t="e">
        <f t="shared" si="106"/>
        <v>#N/A</v>
      </c>
      <c r="AV95" s="273" t="e">
        <f t="shared" si="107"/>
        <v>#N/A</v>
      </c>
      <c r="AW95" s="274" t="e">
        <f t="shared" si="74"/>
        <v>#N/A</v>
      </c>
      <c r="AX95" s="232">
        <f t="shared" si="108"/>
        <v>7</v>
      </c>
      <c r="AY95" s="273" t="e">
        <f t="shared" si="75"/>
        <v>#N/A</v>
      </c>
      <c r="AZ95" s="232" t="e">
        <f t="shared" si="109"/>
        <v>#N/A</v>
      </c>
      <c r="BA95" s="232" t="e">
        <f t="shared" si="76"/>
        <v>#N/A</v>
      </c>
      <c r="BB95" s="275">
        <f t="shared" si="110"/>
        <v>7</v>
      </c>
      <c r="BC95" s="276" t="e">
        <f t="shared" si="111"/>
        <v>#N/A</v>
      </c>
      <c r="BD95" s="277" t="e">
        <f t="shared" si="112"/>
        <v>#N/A</v>
      </c>
      <c r="BE95" s="250" t="e">
        <f t="shared" si="77"/>
        <v>#N/A</v>
      </c>
      <c r="BF95" s="247">
        <f t="shared" si="113"/>
        <v>7</v>
      </c>
      <c r="BG95" s="276" t="e">
        <f t="shared" si="114"/>
        <v>#N/A</v>
      </c>
      <c r="BH95" s="277" t="e">
        <f t="shared" si="115"/>
        <v>#N/A</v>
      </c>
      <c r="BI95" s="250" t="e">
        <f t="shared" si="78"/>
        <v>#N/A</v>
      </c>
      <c r="BJ95" s="251">
        <f t="shared" si="116"/>
        <v>7</v>
      </c>
      <c r="BK95" s="278" t="e">
        <f t="shared" si="117"/>
        <v>#N/A</v>
      </c>
      <c r="BL95" s="278" t="e">
        <f t="shared" si="118"/>
        <v>#N/A</v>
      </c>
      <c r="BM95" s="279" t="e">
        <f t="shared" si="79"/>
        <v>#N/A</v>
      </c>
      <c r="BN95" s="280">
        <f t="shared" si="119"/>
        <v>7</v>
      </c>
      <c r="BO95" s="281" t="e">
        <f t="shared" si="120"/>
        <v>#N/A</v>
      </c>
      <c r="BP95" s="281" t="e">
        <f t="shared" si="121"/>
        <v>#N/A</v>
      </c>
      <c r="BQ95" s="279" t="e">
        <f t="shared" si="80"/>
        <v>#N/A</v>
      </c>
      <c r="BR95" s="282" t="e">
        <f t="shared" si="81"/>
        <v>#N/A</v>
      </c>
      <c r="BS95" s="217" t="e">
        <f>VLOOKUP($B95,SDR24_STOCK_BY_LA!$A$2:$C$11878,3,0)</f>
        <v>#N/A</v>
      </c>
      <c r="BT95" s="217" t="str">
        <f t="shared" si="122"/>
        <v/>
      </c>
    </row>
    <row r="96" spans="1:72" x14ac:dyDescent="0.2">
      <c r="A96" s="217" t="str">
        <f t="shared" si="123"/>
        <v/>
      </c>
      <c r="B96" s="217" t="str">
        <f t="shared" si="124"/>
        <v/>
      </c>
      <c r="C96" s="283" t="str">
        <f t="shared" si="82"/>
        <v/>
      </c>
      <c r="D96" s="256" t="str">
        <f>IF(B96="","",IF(totals!$Q$3=0,IFERROR(IF(AD96=2,"0",AE96),""),"-"))</f>
        <v/>
      </c>
      <c r="E96" s="258" t="str">
        <f t="shared" si="83"/>
        <v/>
      </c>
      <c r="F96" s="259" t="str">
        <f t="shared" si="84"/>
        <v/>
      </c>
      <c r="G96" s="259" t="str">
        <f t="shared" si="85"/>
        <v/>
      </c>
      <c r="H96" s="256" t="str">
        <f t="shared" si="63"/>
        <v/>
      </c>
      <c r="I96" s="259" t="str">
        <f t="shared" si="86"/>
        <v/>
      </c>
      <c r="J96" s="259" t="str">
        <f t="shared" si="87"/>
        <v/>
      </c>
      <c r="K96" s="256" t="str">
        <f t="shared" si="64"/>
        <v/>
      </c>
      <c r="L96" s="259" t="str">
        <f t="shared" si="65"/>
        <v/>
      </c>
      <c r="M96" s="259" t="str">
        <f t="shared" si="88"/>
        <v/>
      </c>
      <c r="N96" s="256" t="str">
        <f t="shared" si="89"/>
        <v/>
      </c>
      <c r="O96" s="259" t="str">
        <f t="shared" si="90"/>
        <v/>
      </c>
      <c r="P96" s="259" t="str">
        <f t="shared" si="91"/>
        <v/>
      </c>
      <c r="Q96" s="256" t="str">
        <f t="shared" si="92"/>
        <v/>
      </c>
      <c r="R96" s="259" t="str">
        <f t="shared" si="93"/>
        <v/>
      </c>
      <c r="S96" s="259" t="str">
        <f t="shared" si="94"/>
        <v/>
      </c>
      <c r="T96" s="256" t="str">
        <f t="shared" si="95"/>
        <v/>
      </c>
      <c r="U96" s="217"/>
      <c r="V96" s="217"/>
      <c r="AB96" s="217" t="e">
        <f>VLOOKUP($B$6,Lookup_Source,89,0)</f>
        <v>#N/A</v>
      </c>
      <c r="AC96" s="241" t="str">
        <f t="shared" si="96"/>
        <v/>
      </c>
      <c r="AD96" s="242">
        <f t="shared" si="97"/>
        <v>7</v>
      </c>
      <c r="AE96" s="261" t="e">
        <f t="shared" si="66"/>
        <v>#N/A</v>
      </c>
      <c r="AF96" s="264" t="e">
        <f t="shared" si="98"/>
        <v>#N/A</v>
      </c>
      <c r="AG96" s="264" t="e">
        <f t="shared" si="99"/>
        <v>#N/A</v>
      </c>
      <c r="AH96" s="263" t="e">
        <f t="shared" si="67"/>
        <v>#N/A</v>
      </c>
      <c r="AI96" s="226">
        <f t="shared" si="100"/>
        <v>7</v>
      </c>
      <c r="AJ96" s="264" t="e">
        <f t="shared" si="68"/>
        <v>#N/A</v>
      </c>
      <c r="AK96" s="264" t="e">
        <f t="shared" si="101"/>
        <v>#N/A</v>
      </c>
      <c r="AL96" s="226" t="e">
        <f t="shared" si="69"/>
        <v>#N/A</v>
      </c>
      <c r="AM96" s="265" t="e">
        <f t="shared" si="102"/>
        <v>#N/A</v>
      </c>
      <c r="AN96" s="266" t="e">
        <f t="shared" si="70"/>
        <v>#N/A</v>
      </c>
      <c r="AO96" s="227" t="e">
        <f t="shared" si="71"/>
        <v>#N/A</v>
      </c>
      <c r="AP96" s="284">
        <f t="shared" si="103"/>
        <v>7</v>
      </c>
      <c r="AQ96" s="285" t="e">
        <f t="shared" si="72"/>
        <v>#N/A</v>
      </c>
      <c r="AR96" s="266" t="e">
        <f t="shared" si="104"/>
        <v>#N/A</v>
      </c>
      <c r="AS96" s="270" t="e">
        <f t="shared" si="73"/>
        <v>#N/A</v>
      </c>
      <c r="AT96" s="271">
        <f t="shared" si="105"/>
        <v>7</v>
      </c>
      <c r="AU96" s="272" t="e">
        <f t="shared" si="106"/>
        <v>#N/A</v>
      </c>
      <c r="AV96" s="273" t="e">
        <f t="shared" si="107"/>
        <v>#N/A</v>
      </c>
      <c r="AW96" s="274" t="e">
        <f t="shared" si="74"/>
        <v>#N/A</v>
      </c>
      <c r="AX96" s="232">
        <f t="shared" si="108"/>
        <v>7</v>
      </c>
      <c r="AY96" s="273" t="e">
        <f t="shared" si="75"/>
        <v>#N/A</v>
      </c>
      <c r="AZ96" s="232" t="e">
        <f t="shared" si="109"/>
        <v>#N/A</v>
      </c>
      <c r="BA96" s="232" t="e">
        <f t="shared" si="76"/>
        <v>#N/A</v>
      </c>
      <c r="BB96" s="275">
        <f t="shared" si="110"/>
        <v>7</v>
      </c>
      <c r="BC96" s="276" t="e">
        <f t="shared" si="111"/>
        <v>#N/A</v>
      </c>
      <c r="BD96" s="277" t="e">
        <f t="shared" si="112"/>
        <v>#N/A</v>
      </c>
      <c r="BE96" s="250" t="e">
        <f t="shared" si="77"/>
        <v>#N/A</v>
      </c>
      <c r="BF96" s="247">
        <f t="shared" si="113"/>
        <v>7</v>
      </c>
      <c r="BG96" s="276" t="e">
        <f t="shared" si="114"/>
        <v>#N/A</v>
      </c>
      <c r="BH96" s="277" t="e">
        <f t="shared" si="115"/>
        <v>#N/A</v>
      </c>
      <c r="BI96" s="250" t="e">
        <f t="shared" si="78"/>
        <v>#N/A</v>
      </c>
      <c r="BJ96" s="251">
        <f t="shared" si="116"/>
        <v>7</v>
      </c>
      <c r="BK96" s="278" t="e">
        <f t="shared" si="117"/>
        <v>#N/A</v>
      </c>
      <c r="BL96" s="278" t="e">
        <f t="shared" si="118"/>
        <v>#N/A</v>
      </c>
      <c r="BM96" s="279" t="e">
        <f t="shared" si="79"/>
        <v>#N/A</v>
      </c>
      <c r="BN96" s="280">
        <f t="shared" si="119"/>
        <v>7</v>
      </c>
      <c r="BO96" s="281" t="e">
        <f t="shared" si="120"/>
        <v>#N/A</v>
      </c>
      <c r="BP96" s="281" t="e">
        <f t="shared" si="121"/>
        <v>#N/A</v>
      </c>
      <c r="BQ96" s="279" t="e">
        <f t="shared" si="80"/>
        <v>#N/A</v>
      </c>
      <c r="BR96" s="282" t="e">
        <f t="shared" si="81"/>
        <v>#N/A</v>
      </c>
      <c r="BS96" s="217" t="e">
        <f>VLOOKUP($B96,SDR24_STOCK_BY_LA!$A$2:$C$11878,3,0)</f>
        <v>#N/A</v>
      </c>
      <c r="BT96" s="217" t="str">
        <f t="shared" si="122"/>
        <v/>
      </c>
    </row>
    <row r="97" spans="1:72" x14ac:dyDescent="0.2">
      <c r="A97" s="256" t="str">
        <f t="shared" si="123"/>
        <v/>
      </c>
      <c r="B97" s="217" t="str">
        <f t="shared" si="124"/>
        <v/>
      </c>
      <c r="C97" s="257" t="str">
        <f t="shared" si="82"/>
        <v/>
      </c>
      <c r="D97" s="256" t="str">
        <f>IF(B97="","",IF(totals!$Q$3=0,IFERROR(IF(AD97=2,"0",AE97),""),"-"))</f>
        <v/>
      </c>
      <c r="E97" s="258" t="str">
        <f t="shared" si="83"/>
        <v/>
      </c>
      <c r="F97" s="259" t="str">
        <f t="shared" si="84"/>
        <v/>
      </c>
      <c r="G97" s="259" t="str">
        <f t="shared" si="85"/>
        <v/>
      </c>
      <c r="H97" s="256" t="str">
        <f t="shared" si="63"/>
        <v/>
      </c>
      <c r="I97" s="259" t="str">
        <f t="shared" si="86"/>
        <v/>
      </c>
      <c r="J97" s="259" t="str">
        <f t="shared" si="87"/>
        <v/>
      </c>
      <c r="K97" s="256" t="str">
        <f t="shared" si="64"/>
        <v/>
      </c>
      <c r="L97" s="259" t="str">
        <f t="shared" si="65"/>
        <v/>
      </c>
      <c r="M97" s="259" t="str">
        <f t="shared" si="88"/>
        <v/>
      </c>
      <c r="N97" s="256" t="str">
        <f t="shared" si="89"/>
        <v/>
      </c>
      <c r="O97" s="259" t="str">
        <f t="shared" si="90"/>
        <v/>
      </c>
      <c r="P97" s="259" t="str">
        <f t="shared" si="91"/>
        <v/>
      </c>
      <c r="Q97" s="256" t="str">
        <f t="shared" si="92"/>
        <v/>
      </c>
      <c r="R97" s="259" t="str">
        <f t="shared" si="93"/>
        <v/>
      </c>
      <c r="S97" s="259" t="str">
        <f t="shared" si="94"/>
        <v/>
      </c>
      <c r="T97" s="256" t="str">
        <f t="shared" si="95"/>
        <v/>
      </c>
      <c r="U97" s="217"/>
      <c r="V97" s="217"/>
      <c r="AB97" s="257" t="e">
        <f>VLOOKUP($B$6,Lookup_Source,90,0)</f>
        <v>#N/A</v>
      </c>
      <c r="AC97" s="241" t="str">
        <f t="shared" si="96"/>
        <v/>
      </c>
      <c r="AD97" s="242">
        <f t="shared" si="97"/>
        <v>7</v>
      </c>
      <c r="AE97" s="261" t="e">
        <f t="shared" si="66"/>
        <v>#N/A</v>
      </c>
      <c r="AF97" s="264" t="e">
        <f t="shared" si="98"/>
        <v>#N/A</v>
      </c>
      <c r="AG97" s="264" t="e">
        <f t="shared" si="99"/>
        <v>#N/A</v>
      </c>
      <c r="AH97" s="263" t="e">
        <f t="shared" si="67"/>
        <v>#N/A</v>
      </c>
      <c r="AI97" s="226">
        <f t="shared" si="100"/>
        <v>7</v>
      </c>
      <c r="AJ97" s="264" t="e">
        <f t="shared" si="68"/>
        <v>#N/A</v>
      </c>
      <c r="AK97" s="264" t="e">
        <f t="shared" si="101"/>
        <v>#N/A</v>
      </c>
      <c r="AL97" s="226" t="e">
        <f t="shared" si="69"/>
        <v>#N/A</v>
      </c>
      <c r="AM97" s="265" t="e">
        <f t="shared" si="102"/>
        <v>#N/A</v>
      </c>
      <c r="AN97" s="266" t="e">
        <f t="shared" si="70"/>
        <v>#N/A</v>
      </c>
      <c r="AO97" s="227" t="e">
        <f t="shared" si="71"/>
        <v>#N/A</v>
      </c>
      <c r="AP97" s="284">
        <f t="shared" si="103"/>
        <v>7</v>
      </c>
      <c r="AQ97" s="285" t="e">
        <f t="shared" si="72"/>
        <v>#N/A</v>
      </c>
      <c r="AR97" s="266" t="e">
        <f t="shared" si="104"/>
        <v>#N/A</v>
      </c>
      <c r="AS97" s="270" t="e">
        <f t="shared" si="73"/>
        <v>#N/A</v>
      </c>
      <c r="AT97" s="271">
        <f t="shared" si="105"/>
        <v>7</v>
      </c>
      <c r="AU97" s="272" t="e">
        <f t="shared" si="106"/>
        <v>#N/A</v>
      </c>
      <c r="AV97" s="273" t="e">
        <f t="shared" si="107"/>
        <v>#N/A</v>
      </c>
      <c r="AW97" s="274" t="e">
        <f t="shared" si="74"/>
        <v>#N/A</v>
      </c>
      <c r="AX97" s="232">
        <f t="shared" si="108"/>
        <v>7</v>
      </c>
      <c r="AY97" s="273" t="e">
        <f t="shared" si="75"/>
        <v>#N/A</v>
      </c>
      <c r="AZ97" s="232" t="e">
        <f t="shared" si="109"/>
        <v>#N/A</v>
      </c>
      <c r="BA97" s="232" t="e">
        <f t="shared" si="76"/>
        <v>#N/A</v>
      </c>
      <c r="BB97" s="275">
        <f t="shared" si="110"/>
        <v>7</v>
      </c>
      <c r="BC97" s="276" t="e">
        <f t="shared" si="111"/>
        <v>#N/A</v>
      </c>
      <c r="BD97" s="277" t="e">
        <f t="shared" si="112"/>
        <v>#N/A</v>
      </c>
      <c r="BE97" s="250" t="e">
        <f t="shared" si="77"/>
        <v>#N/A</v>
      </c>
      <c r="BF97" s="247">
        <f t="shared" si="113"/>
        <v>7</v>
      </c>
      <c r="BG97" s="276" t="e">
        <f t="shared" si="114"/>
        <v>#N/A</v>
      </c>
      <c r="BH97" s="277" t="e">
        <f t="shared" si="115"/>
        <v>#N/A</v>
      </c>
      <c r="BI97" s="250" t="e">
        <f t="shared" si="78"/>
        <v>#N/A</v>
      </c>
      <c r="BJ97" s="251">
        <f t="shared" si="116"/>
        <v>7</v>
      </c>
      <c r="BK97" s="278" t="e">
        <f t="shared" si="117"/>
        <v>#N/A</v>
      </c>
      <c r="BL97" s="278" t="e">
        <f t="shared" si="118"/>
        <v>#N/A</v>
      </c>
      <c r="BM97" s="279" t="e">
        <f t="shared" si="79"/>
        <v>#N/A</v>
      </c>
      <c r="BN97" s="280">
        <f t="shared" si="119"/>
        <v>7</v>
      </c>
      <c r="BO97" s="281" t="e">
        <f t="shared" si="120"/>
        <v>#N/A</v>
      </c>
      <c r="BP97" s="281" t="e">
        <f t="shared" si="121"/>
        <v>#N/A</v>
      </c>
      <c r="BQ97" s="279" t="e">
        <f t="shared" si="80"/>
        <v>#N/A</v>
      </c>
      <c r="BR97" s="282" t="e">
        <f t="shared" si="81"/>
        <v>#N/A</v>
      </c>
      <c r="BS97" s="217" t="e">
        <f>VLOOKUP($B97,SDR24_STOCK_BY_LA!$A$2:$C$11878,3,0)</f>
        <v>#N/A</v>
      </c>
      <c r="BT97" s="217" t="str">
        <f t="shared" si="122"/>
        <v/>
      </c>
    </row>
    <row r="98" spans="1:72" x14ac:dyDescent="0.2">
      <c r="A98" s="217" t="str">
        <f t="shared" si="123"/>
        <v/>
      </c>
      <c r="B98" s="217" t="str">
        <f t="shared" si="124"/>
        <v/>
      </c>
      <c r="C98" s="283" t="str">
        <f t="shared" si="82"/>
        <v/>
      </c>
      <c r="D98" s="256" t="str">
        <f>IF(B98="","",IF(totals!$Q$3=0,IFERROR(IF(AD98=2,"0",AE98),""),"-"))</f>
        <v/>
      </c>
      <c r="E98" s="258" t="str">
        <f t="shared" si="83"/>
        <v/>
      </c>
      <c r="F98" s="259" t="str">
        <f t="shared" si="84"/>
        <v/>
      </c>
      <c r="G98" s="259" t="str">
        <f t="shared" si="85"/>
        <v/>
      </c>
      <c r="H98" s="256" t="str">
        <f t="shared" si="63"/>
        <v/>
      </c>
      <c r="I98" s="259" t="str">
        <f t="shared" si="86"/>
        <v/>
      </c>
      <c r="J98" s="259" t="str">
        <f t="shared" si="87"/>
        <v/>
      </c>
      <c r="K98" s="256" t="str">
        <f t="shared" si="64"/>
        <v/>
      </c>
      <c r="L98" s="259" t="str">
        <f t="shared" si="65"/>
        <v/>
      </c>
      <c r="M98" s="259" t="str">
        <f t="shared" si="88"/>
        <v/>
      </c>
      <c r="N98" s="256" t="str">
        <f t="shared" si="89"/>
        <v/>
      </c>
      <c r="O98" s="259" t="str">
        <f t="shared" si="90"/>
        <v/>
      </c>
      <c r="P98" s="259" t="str">
        <f t="shared" si="91"/>
        <v/>
      </c>
      <c r="Q98" s="256" t="str">
        <f t="shared" si="92"/>
        <v/>
      </c>
      <c r="R98" s="259" t="str">
        <f t="shared" si="93"/>
        <v/>
      </c>
      <c r="S98" s="259" t="str">
        <f t="shared" si="94"/>
        <v/>
      </c>
      <c r="T98" s="256" t="str">
        <f t="shared" si="95"/>
        <v/>
      </c>
      <c r="U98" s="217"/>
      <c r="V98" s="217"/>
      <c r="AB98" s="217" t="e">
        <f>VLOOKUP($B$6,Lookup_Source,91,0)</f>
        <v>#N/A</v>
      </c>
      <c r="AC98" s="241" t="str">
        <f t="shared" si="96"/>
        <v/>
      </c>
      <c r="AD98" s="242">
        <f t="shared" si="97"/>
        <v>7</v>
      </c>
      <c r="AE98" s="261" t="e">
        <f t="shared" si="66"/>
        <v>#N/A</v>
      </c>
      <c r="AF98" s="264" t="e">
        <f t="shared" si="98"/>
        <v>#N/A</v>
      </c>
      <c r="AG98" s="264" t="e">
        <f t="shared" si="99"/>
        <v>#N/A</v>
      </c>
      <c r="AH98" s="263" t="e">
        <f t="shared" si="67"/>
        <v>#N/A</v>
      </c>
      <c r="AI98" s="226">
        <f t="shared" si="100"/>
        <v>7</v>
      </c>
      <c r="AJ98" s="264" t="e">
        <f t="shared" si="68"/>
        <v>#N/A</v>
      </c>
      <c r="AK98" s="264" t="e">
        <f t="shared" si="101"/>
        <v>#N/A</v>
      </c>
      <c r="AL98" s="226" t="e">
        <f t="shared" si="69"/>
        <v>#N/A</v>
      </c>
      <c r="AM98" s="265" t="e">
        <f t="shared" si="102"/>
        <v>#N/A</v>
      </c>
      <c r="AN98" s="266" t="e">
        <f t="shared" si="70"/>
        <v>#N/A</v>
      </c>
      <c r="AO98" s="227" t="e">
        <f t="shared" si="71"/>
        <v>#N/A</v>
      </c>
      <c r="AP98" s="284">
        <f t="shared" si="103"/>
        <v>7</v>
      </c>
      <c r="AQ98" s="285" t="e">
        <f t="shared" si="72"/>
        <v>#N/A</v>
      </c>
      <c r="AR98" s="266" t="e">
        <f t="shared" si="104"/>
        <v>#N/A</v>
      </c>
      <c r="AS98" s="270" t="e">
        <f t="shared" si="73"/>
        <v>#N/A</v>
      </c>
      <c r="AT98" s="271">
        <f t="shared" si="105"/>
        <v>7</v>
      </c>
      <c r="AU98" s="272" t="e">
        <f t="shared" si="106"/>
        <v>#N/A</v>
      </c>
      <c r="AV98" s="273" t="e">
        <f t="shared" si="107"/>
        <v>#N/A</v>
      </c>
      <c r="AW98" s="274" t="e">
        <f t="shared" si="74"/>
        <v>#N/A</v>
      </c>
      <c r="AX98" s="232">
        <f t="shared" si="108"/>
        <v>7</v>
      </c>
      <c r="AY98" s="273" t="e">
        <f t="shared" si="75"/>
        <v>#N/A</v>
      </c>
      <c r="AZ98" s="232" t="e">
        <f t="shared" si="109"/>
        <v>#N/A</v>
      </c>
      <c r="BA98" s="232" t="e">
        <f t="shared" si="76"/>
        <v>#N/A</v>
      </c>
      <c r="BB98" s="275">
        <f t="shared" si="110"/>
        <v>7</v>
      </c>
      <c r="BC98" s="276" t="e">
        <f t="shared" si="111"/>
        <v>#N/A</v>
      </c>
      <c r="BD98" s="277" t="e">
        <f t="shared" si="112"/>
        <v>#N/A</v>
      </c>
      <c r="BE98" s="250" t="e">
        <f t="shared" si="77"/>
        <v>#N/A</v>
      </c>
      <c r="BF98" s="247">
        <f t="shared" si="113"/>
        <v>7</v>
      </c>
      <c r="BG98" s="276" t="e">
        <f t="shared" si="114"/>
        <v>#N/A</v>
      </c>
      <c r="BH98" s="277" t="e">
        <f t="shared" si="115"/>
        <v>#N/A</v>
      </c>
      <c r="BI98" s="250" t="e">
        <f t="shared" si="78"/>
        <v>#N/A</v>
      </c>
      <c r="BJ98" s="251">
        <f t="shared" si="116"/>
        <v>7</v>
      </c>
      <c r="BK98" s="278" t="e">
        <f t="shared" si="117"/>
        <v>#N/A</v>
      </c>
      <c r="BL98" s="278" t="e">
        <f t="shared" si="118"/>
        <v>#N/A</v>
      </c>
      <c r="BM98" s="279" t="e">
        <f t="shared" si="79"/>
        <v>#N/A</v>
      </c>
      <c r="BN98" s="280">
        <f t="shared" si="119"/>
        <v>7</v>
      </c>
      <c r="BO98" s="281" t="e">
        <f t="shared" si="120"/>
        <v>#N/A</v>
      </c>
      <c r="BP98" s="281" t="e">
        <f t="shared" si="121"/>
        <v>#N/A</v>
      </c>
      <c r="BQ98" s="279" t="e">
        <f t="shared" si="80"/>
        <v>#N/A</v>
      </c>
      <c r="BR98" s="282" t="e">
        <f t="shared" si="81"/>
        <v>#N/A</v>
      </c>
      <c r="BS98" s="217" t="e">
        <f>VLOOKUP($B98,SDR24_STOCK_BY_LA!$A$2:$C$11878,3,0)</f>
        <v>#N/A</v>
      </c>
      <c r="BT98" s="217" t="str">
        <f t="shared" si="122"/>
        <v/>
      </c>
    </row>
    <row r="99" spans="1:72" x14ac:dyDescent="0.2">
      <c r="A99" s="256" t="str">
        <f t="shared" si="123"/>
        <v/>
      </c>
      <c r="B99" s="217" t="str">
        <f t="shared" si="124"/>
        <v/>
      </c>
      <c r="C99" s="257" t="str">
        <f t="shared" si="82"/>
        <v/>
      </c>
      <c r="D99" s="256" t="str">
        <f>IF(B99="","",IF(totals!$Q$3=0,IFERROR(IF(AD99=2,"0",AE99),""),"-"))</f>
        <v/>
      </c>
      <c r="E99" s="258" t="str">
        <f t="shared" si="83"/>
        <v/>
      </c>
      <c r="F99" s="259" t="str">
        <f t="shared" si="84"/>
        <v/>
      </c>
      <c r="G99" s="259" t="str">
        <f t="shared" si="85"/>
        <v/>
      </c>
      <c r="H99" s="256" t="str">
        <f t="shared" si="63"/>
        <v/>
      </c>
      <c r="I99" s="259" t="str">
        <f t="shared" si="86"/>
        <v/>
      </c>
      <c r="J99" s="259" t="str">
        <f t="shared" si="87"/>
        <v/>
      </c>
      <c r="K99" s="256" t="str">
        <f t="shared" si="64"/>
        <v/>
      </c>
      <c r="L99" s="259" t="str">
        <f t="shared" si="65"/>
        <v/>
      </c>
      <c r="M99" s="259" t="str">
        <f t="shared" si="88"/>
        <v/>
      </c>
      <c r="N99" s="256" t="str">
        <f t="shared" si="89"/>
        <v/>
      </c>
      <c r="O99" s="259" t="str">
        <f t="shared" si="90"/>
        <v/>
      </c>
      <c r="P99" s="259" t="str">
        <f t="shared" si="91"/>
        <v/>
      </c>
      <c r="Q99" s="256" t="str">
        <f t="shared" si="92"/>
        <v/>
      </c>
      <c r="R99" s="259" t="str">
        <f t="shared" si="93"/>
        <v/>
      </c>
      <c r="S99" s="259" t="str">
        <f t="shared" si="94"/>
        <v/>
      </c>
      <c r="T99" s="256" t="str">
        <f t="shared" si="95"/>
        <v/>
      </c>
      <c r="U99" s="217"/>
      <c r="V99" s="217"/>
      <c r="AB99" s="257" t="e">
        <f>VLOOKUP($B$6,Lookup_Source,92,0)</f>
        <v>#N/A</v>
      </c>
      <c r="AC99" s="241" t="str">
        <f t="shared" si="96"/>
        <v/>
      </c>
      <c r="AD99" s="242">
        <f t="shared" si="97"/>
        <v>7</v>
      </c>
      <c r="AE99" s="261" t="e">
        <f t="shared" si="66"/>
        <v>#N/A</v>
      </c>
      <c r="AF99" s="264" t="e">
        <f t="shared" si="98"/>
        <v>#N/A</v>
      </c>
      <c r="AG99" s="264" t="e">
        <f t="shared" si="99"/>
        <v>#N/A</v>
      </c>
      <c r="AH99" s="263" t="e">
        <f t="shared" si="67"/>
        <v>#N/A</v>
      </c>
      <c r="AI99" s="226">
        <f t="shared" si="100"/>
        <v>7</v>
      </c>
      <c r="AJ99" s="264" t="e">
        <f t="shared" si="68"/>
        <v>#N/A</v>
      </c>
      <c r="AK99" s="264" t="e">
        <f t="shared" si="101"/>
        <v>#N/A</v>
      </c>
      <c r="AL99" s="226" t="e">
        <f t="shared" si="69"/>
        <v>#N/A</v>
      </c>
      <c r="AM99" s="265" t="e">
        <f t="shared" si="102"/>
        <v>#N/A</v>
      </c>
      <c r="AN99" s="266" t="e">
        <f t="shared" si="70"/>
        <v>#N/A</v>
      </c>
      <c r="AO99" s="227" t="e">
        <f t="shared" si="71"/>
        <v>#N/A</v>
      </c>
      <c r="AP99" s="284">
        <f t="shared" si="103"/>
        <v>7</v>
      </c>
      <c r="AQ99" s="285" t="e">
        <f t="shared" si="72"/>
        <v>#N/A</v>
      </c>
      <c r="AR99" s="266" t="e">
        <f t="shared" si="104"/>
        <v>#N/A</v>
      </c>
      <c r="AS99" s="270" t="e">
        <f t="shared" si="73"/>
        <v>#N/A</v>
      </c>
      <c r="AT99" s="271">
        <f t="shared" si="105"/>
        <v>7</v>
      </c>
      <c r="AU99" s="272" t="e">
        <f t="shared" si="106"/>
        <v>#N/A</v>
      </c>
      <c r="AV99" s="273" t="e">
        <f t="shared" si="107"/>
        <v>#N/A</v>
      </c>
      <c r="AW99" s="274" t="e">
        <f t="shared" si="74"/>
        <v>#N/A</v>
      </c>
      <c r="AX99" s="232">
        <f t="shared" si="108"/>
        <v>7</v>
      </c>
      <c r="AY99" s="273" t="e">
        <f t="shared" si="75"/>
        <v>#N/A</v>
      </c>
      <c r="AZ99" s="232" t="e">
        <f t="shared" si="109"/>
        <v>#N/A</v>
      </c>
      <c r="BA99" s="232" t="e">
        <f t="shared" si="76"/>
        <v>#N/A</v>
      </c>
      <c r="BB99" s="275">
        <f t="shared" si="110"/>
        <v>7</v>
      </c>
      <c r="BC99" s="276" t="e">
        <f t="shared" si="111"/>
        <v>#N/A</v>
      </c>
      <c r="BD99" s="277" t="e">
        <f t="shared" si="112"/>
        <v>#N/A</v>
      </c>
      <c r="BE99" s="250" t="e">
        <f t="shared" si="77"/>
        <v>#N/A</v>
      </c>
      <c r="BF99" s="247">
        <f t="shared" si="113"/>
        <v>7</v>
      </c>
      <c r="BG99" s="276" t="e">
        <f t="shared" si="114"/>
        <v>#N/A</v>
      </c>
      <c r="BH99" s="277" t="e">
        <f t="shared" si="115"/>
        <v>#N/A</v>
      </c>
      <c r="BI99" s="250" t="e">
        <f t="shared" si="78"/>
        <v>#N/A</v>
      </c>
      <c r="BJ99" s="251">
        <f t="shared" si="116"/>
        <v>7</v>
      </c>
      <c r="BK99" s="278" t="e">
        <f t="shared" si="117"/>
        <v>#N/A</v>
      </c>
      <c r="BL99" s="278" t="e">
        <f t="shared" si="118"/>
        <v>#N/A</v>
      </c>
      <c r="BM99" s="279" t="e">
        <f t="shared" si="79"/>
        <v>#N/A</v>
      </c>
      <c r="BN99" s="280">
        <f t="shared" si="119"/>
        <v>7</v>
      </c>
      <c r="BO99" s="281" t="e">
        <f t="shared" si="120"/>
        <v>#N/A</v>
      </c>
      <c r="BP99" s="281" t="e">
        <f t="shared" si="121"/>
        <v>#N/A</v>
      </c>
      <c r="BQ99" s="279" t="e">
        <f t="shared" si="80"/>
        <v>#N/A</v>
      </c>
      <c r="BR99" s="282" t="e">
        <f t="shared" si="81"/>
        <v>#N/A</v>
      </c>
      <c r="BS99" s="217" t="e">
        <f>VLOOKUP($B99,SDR24_STOCK_BY_LA!$A$2:$C$11878,3,0)</f>
        <v>#N/A</v>
      </c>
      <c r="BT99" s="217" t="str">
        <f t="shared" si="122"/>
        <v/>
      </c>
    </row>
    <row r="100" spans="1:72" x14ac:dyDescent="0.2">
      <c r="A100" s="217" t="str">
        <f t="shared" si="123"/>
        <v/>
      </c>
      <c r="B100" s="217" t="str">
        <f t="shared" si="124"/>
        <v/>
      </c>
      <c r="C100" s="283" t="str">
        <f t="shared" si="82"/>
        <v/>
      </c>
      <c r="D100" s="256" t="str">
        <f>IF(B100="","",IF(totals!$Q$3=0,IFERROR(IF(AD100=2,"0",AE100),""),"-"))</f>
        <v/>
      </c>
      <c r="E100" s="258" t="str">
        <f t="shared" si="83"/>
        <v/>
      </c>
      <c r="F100" s="259" t="str">
        <f t="shared" si="84"/>
        <v/>
      </c>
      <c r="G100" s="259" t="str">
        <f t="shared" si="85"/>
        <v/>
      </c>
      <c r="H100" s="256" t="str">
        <f t="shared" si="63"/>
        <v/>
      </c>
      <c r="I100" s="259" t="str">
        <f t="shared" si="86"/>
        <v/>
      </c>
      <c r="J100" s="259" t="str">
        <f t="shared" si="87"/>
        <v/>
      </c>
      <c r="K100" s="256" t="str">
        <f t="shared" si="64"/>
        <v/>
      </c>
      <c r="L100" s="259" t="str">
        <f t="shared" si="65"/>
        <v/>
      </c>
      <c r="M100" s="259" t="str">
        <f t="shared" si="88"/>
        <v/>
      </c>
      <c r="N100" s="256" t="str">
        <f t="shared" si="89"/>
        <v/>
      </c>
      <c r="O100" s="259" t="str">
        <f t="shared" si="90"/>
        <v/>
      </c>
      <c r="P100" s="259" t="str">
        <f t="shared" si="91"/>
        <v/>
      </c>
      <c r="Q100" s="256" t="str">
        <f t="shared" si="92"/>
        <v/>
      </c>
      <c r="R100" s="259" t="str">
        <f t="shared" si="93"/>
        <v/>
      </c>
      <c r="S100" s="259" t="str">
        <f t="shared" si="94"/>
        <v/>
      </c>
      <c r="T100" s="256" t="str">
        <f t="shared" si="95"/>
        <v/>
      </c>
      <c r="U100" s="217"/>
      <c r="V100" s="217"/>
      <c r="AB100" s="217" t="e">
        <f>VLOOKUP($B$6,Lookup_Source,93,0)</f>
        <v>#N/A</v>
      </c>
      <c r="AC100" s="241" t="str">
        <f t="shared" si="96"/>
        <v/>
      </c>
      <c r="AD100" s="242">
        <f t="shared" si="97"/>
        <v>7</v>
      </c>
      <c r="AE100" s="261" t="e">
        <f t="shared" si="66"/>
        <v>#N/A</v>
      </c>
      <c r="AF100" s="264" t="e">
        <f t="shared" si="98"/>
        <v>#N/A</v>
      </c>
      <c r="AG100" s="264" t="e">
        <f t="shared" si="99"/>
        <v>#N/A</v>
      </c>
      <c r="AH100" s="263" t="e">
        <f t="shared" si="67"/>
        <v>#N/A</v>
      </c>
      <c r="AI100" s="226">
        <f t="shared" si="100"/>
        <v>7</v>
      </c>
      <c r="AJ100" s="264" t="e">
        <f t="shared" si="68"/>
        <v>#N/A</v>
      </c>
      <c r="AK100" s="264" t="e">
        <f t="shared" si="101"/>
        <v>#N/A</v>
      </c>
      <c r="AL100" s="226" t="e">
        <f t="shared" si="69"/>
        <v>#N/A</v>
      </c>
      <c r="AM100" s="265" t="e">
        <f t="shared" si="102"/>
        <v>#N/A</v>
      </c>
      <c r="AN100" s="266" t="e">
        <f t="shared" si="70"/>
        <v>#N/A</v>
      </c>
      <c r="AO100" s="227" t="e">
        <f t="shared" si="71"/>
        <v>#N/A</v>
      </c>
      <c r="AP100" s="284">
        <f t="shared" si="103"/>
        <v>7</v>
      </c>
      <c r="AQ100" s="285" t="e">
        <f t="shared" si="72"/>
        <v>#N/A</v>
      </c>
      <c r="AR100" s="266" t="e">
        <f t="shared" si="104"/>
        <v>#N/A</v>
      </c>
      <c r="AS100" s="270" t="e">
        <f t="shared" si="73"/>
        <v>#N/A</v>
      </c>
      <c r="AT100" s="271">
        <f t="shared" si="105"/>
        <v>7</v>
      </c>
      <c r="AU100" s="272" t="e">
        <f t="shared" si="106"/>
        <v>#N/A</v>
      </c>
      <c r="AV100" s="273" t="e">
        <f t="shared" si="107"/>
        <v>#N/A</v>
      </c>
      <c r="AW100" s="274" t="e">
        <f t="shared" si="74"/>
        <v>#N/A</v>
      </c>
      <c r="AX100" s="232">
        <f t="shared" si="108"/>
        <v>7</v>
      </c>
      <c r="AY100" s="273" t="e">
        <f t="shared" si="75"/>
        <v>#N/A</v>
      </c>
      <c r="AZ100" s="232" t="e">
        <f t="shared" si="109"/>
        <v>#N/A</v>
      </c>
      <c r="BA100" s="232" t="e">
        <f t="shared" si="76"/>
        <v>#N/A</v>
      </c>
      <c r="BB100" s="275">
        <f t="shared" si="110"/>
        <v>7</v>
      </c>
      <c r="BC100" s="276" t="e">
        <f t="shared" si="111"/>
        <v>#N/A</v>
      </c>
      <c r="BD100" s="277" t="e">
        <f t="shared" si="112"/>
        <v>#N/A</v>
      </c>
      <c r="BE100" s="250" t="e">
        <f t="shared" si="77"/>
        <v>#N/A</v>
      </c>
      <c r="BF100" s="247">
        <f t="shared" si="113"/>
        <v>7</v>
      </c>
      <c r="BG100" s="276" t="e">
        <f t="shared" si="114"/>
        <v>#N/A</v>
      </c>
      <c r="BH100" s="277" t="e">
        <f t="shared" si="115"/>
        <v>#N/A</v>
      </c>
      <c r="BI100" s="250" t="e">
        <f t="shared" si="78"/>
        <v>#N/A</v>
      </c>
      <c r="BJ100" s="251">
        <f t="shared" si="116"/>
        <v>7</v>
      </c>
      <c r="BK100" s="278" t="e">
        <f t="shared" si="117"/>
        <v>#N/A</v>
      </c>
      <c r="BL100" s="278" t="e">
        <f t="shared" si="118"/>
        <v>#N/A</v>
      </c>
      <c r="BM100" s="279" t="e">
        <f t="shared" si="79"/>
        <v>#N/A</v>
      </c>
      <c r="BN100" s="280">
        <f t="shared" si="119"/>
        <v>7</v>
      </c>
      <c r="BO100" s="281" t="e">
        <f t="shared" si="120"/>
        <v>#N/A</v>
      </c>
      <c r="BP100" s="281" t="e">
        <f t="shared" si="121"/>
        <v>#N/A</v>
      </c>
      <c r="BQ100" s="279" t="e">
        <f t="shared" si="80"/>
        <v>#N/A</v>
      </c>
      <c r="BR100" s="282" t="e">
        <f t="shared" si="81"/>
        <v>#N/A</v>
      </c>
      <c r="BS100" s="217" t="e">
        <f>VLOOKUP($B100,SDR24_STOCK_BY_LA!$A$2:$C$11878,3,0)</f>
        <v>#N/A</v>
      </c>
      <c r="BT100" s="217" t="str">
        <f t="shared" si="122"/>
        <v/>
      </c>
    </row>
    <row r="101" spans="1:72" x14ac:dyDescent="0.2">
      <c r="A101" s="256" t="str">
        <f t="shared" si="123"/>
        <v/>
      </c>
      <c r="B101" s="217" t="str">
        <f t="shared" si="124"/>
        <v/>
      </c>
      <c r="C101" s="257" t="str">
        <f t="shared" si="82"/>
        <v/>
      </c>
      <c r="D101" s="256" t="str">
        <f>IF(B101="","",IF(totals!$Q$3=0,IFERROR(IF(AD101=2,"0",AE101),""),"-"))</f>
        <v/>
      </c>
      <c r="E101" s="258" t="str">
        <f t="shared" si="83"/>
        <v/>
      </c>
      <c r="F101" s="259" t="str">
        <f t="shared" si="84"/>
        <v/>
      </c>
      <c r="G101" s="259" t="str">
        <f t="shared" si="85"/>
        <v/>
      </c>
      <c r="H101" s="256" t="str">
        <f t="shared" si="63"/>
        <v/>
      </c>
      <c r="I101" s="259" t="str">
        <f t="shared" si="86"/>
        <v/>
      </c>
      <c r="J101" s="259" t="str">
        <f t="shared" si="87"/>
        <v/>
      </c>
      <c r="K101" s="256" t="str">
        <f t="shared" si="64"/>
        <v/>
      </c>
      <c r="L101" s="259" t="str">
        <f t="shared" si="65"/>
        <v/>
      </c>
      <c r="M101" s="259" t="str">
        <f t="shared" si="88"/>
        <v/>
      </c>
      <c r="N101" s="256" t="str">
        <f t="shared" si="89"/>
        <v/>
      </c>
      <c r="O101" s="259" t="str">
        <f t="shared" si="90"/>
        <v/>
      </c>
      <c r="P101" s="259" t="str">
        <f t="shared" si="91"/>
        <v/>
      </c>
      <c r="Q101" s="256" t="str">
        <f t="shared" si="92"/>
        <v/>
      </c>
      <c r="R101" s="259" t="str">
        <f t="shared" si="93"/>
        <v/>
      </c>
      <c r="S101" s="259" t="str">
        <f t="shared" si="94"/>
        <v/>
      </c>
      <c r="T101" s="256" t="str">
        <f t="shared" si="95"/>
        <v/>
      </c>
      <c r="U101" s="217"/>
      <c r="V101" s="217"/>
      <c r="AB101" s="257" t="e">
        <f>VLOOKUP($B$6,Lookup_Source,94,0)</f>
        <v>#N/A</v>
      </c>
      <c r="AC101" s="241" t="str">
        <f t="shared" si="96"/>
        <v/>
      </c>
      <c r="AD101" s="242">
        <f t="shared" si="97"/>
        <v>7</v>
      </c>
      <c r="AE101" s="261" t="e">
        <f t="shared" si="66"/>
        <v>#N/A</v>
      </c>
      <c r="AF101" s="264" t="e">
        <f t="shared" si="98"/>
        <v>#N/A</v>
      </c>
      <c r="AG101" s="264" t="e">
        <f t="shared" si="99"/>
        <v>#N/A</v>
      </c>
      <c r="AH101" s="263" t="e">
        <f t="shared" si="67"/>
        <v>#N/A</v>
      </c>
      <c r="AI101" s="226">
        <f t="shared" si="100"/>
        <v>7</v>
      </c>
      <c r="AJ101" s="264" t="e">
        <f t="shared" si="68"/>
        <v>#N/A</v>
      </c>
      <c r="AK101" s="264" t="e">
        <f t="shared" si="101"/>
        <v>#N/A</v>
      </c>
      <c r="AL101" s="226" t="e">
        <f t="shared" si="69"/>
        <v>#N/A</v>
      </c>
      <c r="AM101" s="265" t="e">
        <f t="shared" si="102"/>
        <v>#N/A</v>
      </c>
      <c r="AN101" s="266" t="e">
        <f t="shared" si="70"/>
        <v>#N/A</v>
      </c>
      <c r="AO101" s="227" t="e">
        <f t="shared" si="71"/>
        <v>#N/A</v>
      </c>
      <c r="AP101" s="284">
        <f t="shared" si="103"/>
        <v>7</v>
      </c>
      <c r="AQ101" s="285" t="e">
        <f t="shared" si="72"/>
        <v>#N/A</v>
      </c>
      <c r="AR101" s="266" t="e">
        <f t="shared" si="104"/>
        <v>#N/A</v>
      </c>
      <c r="AS101" s="270" t="e">
        <f t="shared" si="73"/>
        <v>#N/A</v>
      </c>
      <c r="AT101" s="271">
        <f t="shared" si="105"/>
        <v>7</v>
      </c>
      <c r="AU101" s="272" t="e">
        <f t="shared" si="106"/>
        <v>#N/A</v>
      </c>
      <c r="AV101" s="273" t="e">
        <f t="shared" si="107"/>
        <v>#N/A</v>
      </c>
      <c r="AW101" s="274" t="e">
        <f t="shared" si="74"/>
        <v>#N/A</v>
      </c>
      <c r="AX101" s="232">
        <f t="shared" si="108"/>
        <v>7</v>
      </c>
      <c r="AY101" s="273" t="e">
        <f t="shared" si="75"/>
        <v>#N/A</v>
      </c>
      <c r="AZ101" s="232" t="e">
        <f t="shared" si="109"/>
        <v>#N/A</v>
      </c>
      <c r="BA101" s="232" t="e">
        <f t="shared" si="76"/>
        <v>#N/A</v>
      </c>
      <c r="BB101" s="275">
        <f t="shared" si="110"/>
        <v>7</v>
      </c>
      <c r="BC101" s="276" t="e">
        <f t="shared" si="111"/>
        <v>#N/A</v>
      </c>
      <c r="BD101" s="277" t="e">
        <f t="shared" si="112"/>
        <v>#N/A</v>
      </c>
      <c r="BE101" s="250" t="e">
        <f t="shared" si="77"/>
        <v>#N/A</v>
      </c>
      <c r="BF101" s="247">
        <f t="shared" si="113"/>
        <v>7</v>
      </c>
      <c r="BG101" s="276" t="e">
        <f t="shared" si="114"/>
        <v>#N/A</v>
      </c>
      <c r="BH101" s="277" t="e">
        <f t="shared" si="115"/>
        <v>#N/A</v>
      </c>
      <c r="BI101" s="250" t="e">
        <f t="shared" si="78"/>
        <v>#N/A</v>
      </c>
      <c r="BJ101" s="251">
        <f t="shared" si="116"/>
        <v>7</v>
      </c>
      <c r="BK101" s="278" t="e">
        <f t="shared" si="117"/>
        <v>#N/A</v>
      </c>
      <c r="BL101" s="278" t="e">
        <f t="shared" si="118"/>
        <v>#N/A</v>
      </c>
      <c r="BM101" s="279" t="e">
        <f t="shared" si="79"/>
        <v>#N/A</v>
      </c>
      <c r="BN101" s="280">
        <f t="shared" si="119"/>
        <v>7</v>
      </c>
      <c r="BO101" s="281" t="e">
        <f t="shared" si="120"/>
        <v>#N/A</v>
      </c>
      <c r="BP101" s="281" t="e">
        <f t="shared" si="121"/>
        <v>#N/A</v>
      </c>
      <c r="BQ101" s="279" t="e">
        <f t="shared" si="80"/>
        <v>#N/A</v>
      </c>
      <c r="BR101" s="282" t="e">
        <f t="shared" si="81"/>
        <v>#N/A</v>
      </c>
      <c r="BS101" s="217" t="e">
        <f>VLOOKUP($B101,SDR24_STOCK_BY_LA!$A$2:$C$11878,3,0)</f>
        <v>#N/A</v>
      </c>
      <c r="BT101" s="217" t="str">
        <f t="shared" si="122"/>
        <v/>
      </c>
    </row>
    <row r="102" spans="1:72" x14ac:dyDescent="0.2">
      <c r="A102" s="217" t="str">
        <f t="shared" si="123"/>
        <v/>
      </c>
      <c r="B102" s="217" t="str">
        <f t="shared" si="124"/>
        <v/>
      </c>
      <c r="C102" s="283" t="str">
        <f t="shared" si="82"/>
        <v/>
      </c>
      <c r="D102" s="256" t="str">
        <f>IF(B102="","",IF(totals!$Q$3=0,IFERROR(IF(AD102=2,"0",AE102),""),"-"))</f>
        <v/>
      </c>
      <c r="E102" s="258" t="str">
        <f t="shared" si="83"/>
        <v/>
      </c>
      <c r="F102" s="259" t="str">
        <f t="shared" si="84"/>
        <v/>
      </c>
      <c r="G102" s="259" t="str">
        <f t="shared" si="85"/>
        <v/>
      </c>
      <c r="H102" s="256" t="str">
        <f t="shared" si="63"/>
        <v/>
      </c>
      <c r="I102" s="259" t="str">
        <f t="shared" si="86"/>
        <v/>
      </c>
      <c r="J102" s="259" t="str">
        <f t="shared" si="87"/>
        <v/>
      </c>
      <c r="K102" s="256" t="str">
        <f t="shared" si="64"/>
        <v/>
      </c>
      <c r="L102" s="259" t="str">
        <f t="shared" si="65"/>
        <v/>
      </c>
      <c r="M102" s="259" t="str">
        <f t="shared" si="88"/>
        <v/>
      </c>
      <c r="N102" s="256" t="str">
        <f t="shared" si="89"/>
        <v/>
      </c>
      <c r="O102" s="259" t="str">
        <f t="shared" si="90"/>
        <v/>
      </c>
      <c r="P102" s="259" t="str">
        <f t="shared" si="91"/>
        <v/>
      </c>
      <c r="Q102" s="256" t="str">
        <f t="shared" si="92"/>
        <v/>
      </c>
      <c r="R102" s="259" t="str">
        <f t="shared" si="93"/>
        <v/>
      </c>
      <c r="S102" s="259" t="str">
        <f t="shared" si="94"/>
        <v/>
      </c>
      <c r="T102" s="256" t="str">
        <f t="shared" si="95"/>
        <v/>
      </c>
      <c r="U102" s="217"/>
      <c r="V102" s="217"/>
      <c r="AB102" s="217" t="e">
        <f>VLOOKUP($B$6,Lookup_Source,95,0)</f>
        <v>#N/A</v>
      </c>
      <c r="AC102" s="241" t="str">
        <f t="shared" si="96"/>
        <v/>
      </c>
      <c r="AD102" s="242">
        <f t="shared" si="97"/>
        <v>7</v>
      </c>
      <c r="AE102" s="261" t="e">
        <f t="shared" si="66"/>
        <v>#N/A</v>
      </c>
      <c r="AF102" s="264" t="e">
        <f t="shared" si="98"/>
        <v>#N/A</v>
      </c>
      <c r="AG102" s="264" t="e">
        <f t="shared" si="99"/>
        <v>#N/A</v>
      </c>
      <c r="AH102" s="263" t="e">
        <f t="shared" si="67"/>
        <v>#N/A</v>
      </c>
      <c r="AI102" s="226">
        <f t="shared" si="100"/>
        <v>7</v>
      </c>
      <c r="AJ102" s="264" t="e">
        <f t="shared" si="68"/>
        <v>#N/A</v>
      </c>
      <c r="AK102" s="264" t="e">
        <f t="shared" si="101"/>
        <v>#N/A</v>
      </c>
      <c r="AL102" s="226" t="e">
        <f t="shared" si="69"/>
        <v>#N/A</v>
      </c>
      <c r="AM102" s="265" t="e">
        <f t="shared" si="102"/>
        <v>#N/A</v>
      </c>
      <c r="AN102" s="266" t="e">
        <f t="shared" si="70"/>
        <v>#N/A</v>
      </c>
      <c r="AO102" s="227" t="e">
        <f t="shared" si="71"/>
        <v>#N/A</v>
      </c>
      <c r="AP102" s="284">
        <f t="shared" si="103"/>
        <v>7</v>
      </c>
      <c r="AQ102" s="285" t="e">
        <f t="shared" si="72"/>
        <v>#N/A</v>
      </c>
      <c r="AR102" s="266" t="e">
        <f t="shared" si="104"/>
        <v>#N/A</v>
      </c>
      <c r="AS102" s="270" t="e">
        <f t="shared" si="73"/>
        <v>#N/A</v>
      </c>
      <c r="AT102" s="271">
        <f t="shared" si="105"/>
        <v>7</v>
      </c>
      <c r="AU102" s="272" t="e">
        <f t="shared" si="106"/>
        <v>#N/A</v>
      </c>
      <c r="AV102" s="273" t="e">
        <f t="shared" si="107"/>
        <v>#N/A</v>
      </c>
      <c r="AW102" s="274" t="e">
        <f t="shared" si="74"/>
        <v>#N/A</v>
      </c>
      <c r="AX102" s="232">
        <f t="shared" si="108"/>
        <v>7</v>
      </c>
      <c r="AY102" s="273" t="e">
        <f t="shared" si="75"/>
        <v>#N/A</v>
      </c>
      <c r="AZ102" s="232" t="e">
        <f t="shared" si="109"/>
        <v>#N/A</v>
      </c>
      <c r="BA102" s="232" t="e">
        <f t="shared" si="76"/>
        <v>#N/A</v>
      </c>
      <c r="BB102" s="275">
        <f t="shared" si="110"/>
        <v>7</v>
      </c>
      <c r="BC102" s="276" t="e">
        <f t="shared" si="111"/>
        <v>#N/A</v>
      </c>
      <c r="BD102" s="277" t="e">
        <f t="shared" si="112"/>
        <v>#N/A</v>
      </c>
      <c r="BE102" s="250" t="e">
        <f t="shared" si="77"/>
        <v>#N/A</v>
      </c>
      <c r="BF102" s="247">
        <f t="shared" si="113"/>
        <v>7</v>
      </c>
      <c r="BG102" s="276" t="e">
        <f t="shared" si="114"/>
        <v>#N/A</v>
      </c>
      <c r="BH102" s="277" t="e">
        <f t="shared" si="115"/>
        <v>#N/A</v>
      </c>
      <c r="BI102" s="250" t="e">
        <f t="shared" si="78"/>
        <v>#N/A</v>
      </c>
      <c r="BJ102" s="251">
        <f t="shared" si="116"/>
        <v>7</v>
      </c>
      <c r="BK102" s="278" t="e">
        <f t="shared" si="117"/>
        <v>#N/A</v>
      </c>
      <c r="BL102" s="278" t="e">
        <f t="shared" si="118"/>
        <v>#N/A</v>
      </c>
      <c r="BM102" s="279" t="e">
        <f t="shared" si="79"/>
        <v>#N/A</v>
      </c>
      <c r="BN102" s="280">
        <f t="shared" si="119"/>
        <v>7</v>
      </c>
      <c r="BO102" s="281" t="e">
        <f t="shared" si="120"/>
        <v>#N/A</v>
      </c>
      <c r="BP102" s="281" t="e">
        <f t="shared" si="121"/>
        <v>#N/A</v>
      </c>
      <c r="BQ102" s="279" t="e">
        <f t="shared" si="80"/>
        <v>#N/A</v>
      </c>
      <c r="BR102" s="282" t="e">
        <f t="shared" si="81"/>
        <v>#N/A</v>
      </c>
      <c r="BS102" s="217" t="e">
        <f>VLOOKUP($B102,SDR24_STOCK_BY_LA!$A$2:$C$11878,3,0)</f>
        <v>#N/A</v>
      </c>
      <c r="BT102" s="217" t="str">
        <f t="shared" si="122"/>
        <v/>
      </c>
    </row>
    <row r="103" spans="1:72" x14ac:dyDescent="0.2">
      <c r="A103" s="256" t="str">
        <f t="shared" si="123"/>
        <v/>
      </c>
      <c r="B103" s="217" t="str">
        <f t="shared" si="124"/>
        <v/>
      </c>
      <c r="C103" s="257" t="str">
        <f t="shared" si="82"/>
        <v/>
      </c>
      <c r="D103" s="256" t="str">
        <f>IF(B103="","",IF(totals!$Q$3=0,IFERROR(IF(AD103=2,"0",AE103),""),"-"))</f>
        <v/>
      </c>
      <c r="E103" s="258" t="str">
        <f t="shared" si="83"/>
        <v/>
      </c>
      <c r="F103" s="259" t="str">
        <f t="shared" si="84"/>
        <v/>
      </c>
      <c r="G103" s="259" t="str">
        <f t="shared" si="85"/>
        <v/>
      </c>
      <c r="H103" s="256" t="str">
        <f t="shared" si="63"/>
        <v/>
      </c>
      <c r="I103" s="259" t="str">
        <f t="shared" si="86"/>
        <v/>
      </c>
      <c r="J103" s="259" t="str">
        <f t="shared" si="87"/>
        <v/>
      </c>
      <c r="K103" s="256" t="str">
        <f t="shared" si="64"/>
        <v/>
      </c>
      <c r="L103" s="259" t="str">
        <f t="shared" si="65"/>
        <v/>
      </c>
      <c r="M103" s="259" t="str">
        <f t="shared" si="88"/>
        <v/>
      </c>
      <c r="N103" s="256" t="str">
        <f t="shared" si="89"/>
        <v/>
      </c>
      <c r="O103" s="259" t="str">
        <f t="shared" si="90"/>
        <v/>
      </c>
      <c r="P103" s="259" t="str">
        <f t="shared" si="91"/>
        <v/>
      </c>
      <c r="Q103" s="256" t="str">
        <f t="shared" si="92"/>
        <v/>
      </c>
      <c r="R103" s="259" t="str">
        <f t="shared" si="93"/>
        <v/>
      </c>
      <c r="S103" s="259" t="str">
        <f t="shared" si="94"/>
        <v/>
      </c>
      <c r="T103" s="256" t="str">
        <f t="shared" si="95"/>
        <v/>
      </c>
      <c r="U103" s="217"/>
      <c r="V103" s="217"/>
      <c r="AB103" s="257" t="e">
        <f>VLOOKUP($B$6,Lookup_Source,96,0)</f>
        <v>#N/A</v>
      </c>
      <c r="AC103" s="241" t="str">
        <f t="shared" si="96"/>
        <v/>
      </c>
      <c r="AD103" s="242">
        <f t="shared" si="97"/>
        <v>7</v>
      </c>
      <c r="AE103" s="261" t="e">
        <f t="shared" si="66"/>
        <v>#N/A</v>
      </c>
      <c r="AF103" s="264" t="e">
        <f t="shared" si="98"/>
        <v>#N/A</v>
      </c>
      <c r="AG103" s="264" t="e">
        <f t="shared" si="99"/>
        <v>#N/A</v>
      </c>
      <c r="AH103" s="263" t="e">
        <f t="shared" si="67"/>
        <v>#N/A</v>
      </c>
      <c r="AI103" s="226">
        <f t="shared" si="100"/>
        <v>7</v>
      </c>
      <c r="AJ103" s="264" t="e">
        <f t="shared" si="68"/>
        <v>#N/A</v>
      </c>
      <c r="AK103" s="264" t="e">
        <f t="shared" si="101"/>
        <v>#N/A</v>
      </c>
      <c r="AL103" s="226" t="e">
        <f t="shared" si="69"/>
        <v>#N/A</v>
      </c>
      <c r="AM103" s="265" t="e">
        <f t="shared" si="102"/>
        <v>#N/A</v>
      </c>
      <c r="AN103" s="266" t="e">
        <f t="shared" si="70"/>
        <v>#N/A</v>
      </c>
      <c r="AO103" s="227" t="e">
        <f t="shared" si="71"/>
        <v>#N/A</v>
      </c>
      <c r="AP103" s="284">
        <f t="shared" si="103"/>
        <v>7</v>
      </c>
      <c r="AQ103" s="285" t="e">
        <f t="shared" si="72"/>
        <v>#N/A</v>
      </c>
      <c r="AR103" s="266" t="e">
        <f t="shared" si="104"/>
        <v>#N/A</v>
      </c>
      <c r="AS103" s="270" t="e">
        <f t="shared" si="73"/>
        <v>#N/A</v>
      </c>
      <c r="AT103" s="271">
        <f t="shared" si="105"/>
        <v>7</v>
      </c>
      <c r="AU103" s="272" t="e">
        <f t="shared" si="106"/>
        <v>#N/A</v>
      </c>
      <c r="AV103" s="273" t="e">
        <f t="shared" si="107"/>
        <v>#N/A</v>
      </c>
      <c r="AW103" s="274" t="e">
        <f t="shared" si="74"/>
        <v>#N/A</v>
      </c>
      <c r="AX103" s="232">
        <f t="shared" si="108"/>
        <v>7</v>
      </c>
      <c r="AY103" s="273" t="e">
        <f t="shared" si="75"/>
        <v>#N/A</v>
      </c>
      <c r="AZ103" s="232" t="e">
        <f t="shared" si="109"/>
        <v>#N/A</v>
      </c>
      <c r="BA103" s="232" t="e">
        <f t="shared" si="76"/>
        <v>#N/A</v>
      </c>
      <c r="BB103" s="275">
        <f t="shared" si="110"/>
        <v>7</v>
      </c>
      <c r="BC103" s="276" t="e">
        <f t="shared" si="111"/>
        <v>#N/A</v>
      </c>
      <c r="BD103" s="277" t="e">
        <f t="shared" si="112"/>
        <v>#N/A</v>
      </c>
      <c r="BE103" s="250" t="e">
        <f t="shared" si="77"/>
        <v>#N/A</v>
      </c>
      <c r="BF103" s="247">
        <f t="shared" si="113"/>
        <v>7</v>
      </c>
      <c r="BG103" s="276" t="e">
        <f t="shared" si="114"/>
        <v>#N/A</v>
      </c>
      <c r="BH103" s="277" t="e">
        <f t="shared" si="115"/>
        <v>#N/A</v>
      </c>
      <c r="BI103" s="250" t="e">
        <f t="shared" si="78"/>
        <v>#N/A</v>
      </c>
      <c r="BJ103" s="251">
        <f t="shared" si="116"/>
        <v>7</v>
      </c>
      <c r="BK103" s="278" t="e">
        <f t="shared" si="117"/>
        <v>#N/A</v>
      </c>
      <c r="BL103" s="278" t="e">
        <f t="shared" si="118"/>
        <v>#N/A</v>
      </c>
      <c r="BM103" s="279" t="e">
        <f t="shared" si="79"/>
        <v>#N/A</v>
      </c>
      <c r="BN103" s="280">
        <f t="shared" si="119"/>
        <v>7</v>
      </c>
      <c r="BO103" s="281" t="e">
        <f t="shared" si="120"/>
        <v>#N/A</v>
      </c>
      <c r="BP103" s="281" t="e">
        <f t="shared" si="121"/>
        <v>#N/A</v>
      </c>
      <c r="BQ103" s="279" t="e">
        <f t="shared" si="80"/>
        <v>#N/A</v>
      </c>
      <c r="BR103" s="282" t="e">
        <f t="shared" si="81"/>
        <v>#N/A</v>
      </c>
      <c r="BS103" s="217" t="e">
        <f>VLOOKUP($B103,SDR24_STOCK_BY_LA!$A$2:$C$11878,3,0)</f>
        <v>#N/A</v>
      </c>
      <c r="BT103" s="217" t="str">
        <f t="shared" si="122"/>
        <v/>
      </c>
    </row>
    <row r="104" spans="1:72" x14ac:dyDescent="0.2">
      <c r="A104" s="217" t="str">
        <f t="shared" si="123"/>
        <v/>
      </c>
      <c r="B104" s="217" t="str">
        <f t="shared" si="124"/>
        <v/>
      </c>
      <c r="C104" s="283" t="str">
        <f t="shared" si="82"/>
        <v/>
      </c>
      <c r="D104" s="256" t="str">
        <f>IF(B104="","",IF(totals!$Q$3=0,IFERROR(IF(AD104=2,"0",AE104),""),"-"))</f>
        <v/>
      </c>
      <c r="E104" s="258" t="str">
        <f t="shared" si="83"/>
        <v/>
      </c>
      <c r="F104" s="259" t="str">
        <f t="shared" si="84"/>
        <v/>
      </c>
      <c r="G104" s="259" t="str">
        <f t="shared" si="85"/>
        <v/>
      </c>
      <c r="H104" s="256" t="str">
        <f t="shared" si="63"/>
        <v/>
      </c>
      <c r="I104" s="259" t="str">
        <f t="shared" si="86"/>
        <v/>
      </c>
      <c r="J104" s="259" t="str">
        <f t="shared" si="87"/>
        <v/>
      </c>
      <c r="K104" s="256" t="str">
        <f t="shared" si="64"/>
        <v/>
      </c>
      <c r="L104" s="259" t="str">
        <f t="shared" si="65"/>
        <v/>
      </c>
      <c r="M104" s="259" t="str">
        <f t="shared" si="88"/>
        <v/>
      </c>
      <c r="N104" s="256" t="str">
        <f t="shared" si="89"/>
        <v/>
      </c>
      <c r="O104" s="259" t="str">
        <f t="shared" si="90"/>
        <v/>
      </c>
      <c r="P104" s="259" t="str">
        <f t="shared" si="91"/>
        <v/>
      </c>
      <c r="Q104" s="256" t="str">
        <f t="shared" si="92"/>
        <v/>
      </c>
      <c r="R104" s="259" t="str">
        <f t="shared" si="93"/>
        <v/>
      </c>
      <c r="S104" s="259" t="str">
        <f t="shared" si="94"/>
        <v/>
      </c>
      <c r="T104" s="256" t="str">
        <f t="shared" si="95"/>
        <v/>
      </c>
      <c r="U104" s="217"/>
      <c r="V104" s="217"/>
      <c r="AB104" s="217" t="e">
        <f>VLOOKUP($B$6,Lookup_Source,97,0)</f>
        <v>#N/A</v>
      </c>
      <c r="AC104" s="241" t="str">
        <f t="shared" si="96"/>
        <v/>
      </c>
      <c r="AD104" s="242">
        <f t="shared" si="97"/>
        <v>7</v>
      </c>
      <c r="AE104" s="261" t="e">
        <f t="shared" si="66"/>
        <v>#N/A</v>
      </c>
      <c r="AF104" s="264" t="e">
        <f t="shared" si="98"/>
        <v>#N/A</v>
      </c>
      <c r="AG104" s="264" t="e">
        <f t="shared" si="99"/>
        <v>#N/A</v>
      </c>
      <c r="AH104" s="263" t="e">
        <f t="shared" si="67"/>
        <v>#N/A</v>
      </c>
      <c r="AI104" s="226">
        <f t="shared" si="100"/>
        <v>7</v>
      </c>
      <c r="AJ104" s="264" t="e">
        <f t="shared" si="68"/>
        <v>#N/A</v>
      </c>
      <c r="AK104" s="264" t="e">
        <f t="shared" si="101"/>
        <v>#N/A</v>
      </c>
      <c r="AL104" s="226" t="e">
        <f t="shared" si="69"/>
        <v>#N/A</v>
      </c>
      <c r="AM104" s="265" t="e">
        <f t="shared" si="102"/>
        <v>#N/A</v>
      </c>
      <c r="AN104" s="266" t="e">
        <f t="shared" si="70"/>
        <v>#N/A</v>
      </c>
      <c r="AO104" s="227" t="e">
        <f t="shared" si="71"/>
        <v>#N/A</v>
      </c>
      <c r="AP104" s="284">
        <f t="shared" si="103"/>
        <v>7</v>
      </c>
      <c r="AQ104" s="285" t="e">
        <f t="shared" si="72"/>
        <v>#N/A</v>
      </c>
      <c r="AR104" s="266" t="e">
        <f t="shared" si="104"/>
        <v>#N/A</v>
      </c>
      <c r="AS104" s="270" t="e">
        <f t="shared" si="73"/>
        <v>#N/A</v>
      </c>
      <c r="AT104" s="271">
        <f t="shared" si="105"/>
        <v>7</v>
      </c>
      <c r="AU104" s="272" t="e">
        <f t="shared" si="106"/>
        <v>#N/A</v>
      </c>
      <c r="AV104" s="273" t="e">
        <f t="shared" si="107"/>
        <v>#N/A</v>
      </c>
      <c r="AW104" s="274" t="e">
        <f t="shared" si="74"/>
        <v>#N/A</v>
      </c>
      <c r="AX104" s="232">
        <f t="shared" si="108"/>
        <v>7</v>
      </c>
      <c r="AY104" s="273" t="e">
        <f t="shared" si="75"/>
        <v>#N/A</v>
      </c>
      <c r="AZ104" s="232" t="e">
        <f t="shared" si="109"/>
        <v>#N/A</v>
      </c>
      <c r="BA104" s="232" t="e">
        <f t="shared" si="76"/>
        <v>#N/A</v>
      </c>
      <c r="BB104" s="275">
        <f t="shared" si="110"/>
        <v>7</v>
      </c>
      <c r="BC104" s="276" t="e">
        <f t="shared" si="111"/>
        <v>#N/A</v>
      </c>
      <c r="BD104" s="277" t="e">
        <f t="shared" si="112"/>
        <v>#N/A</v>
      </c>
      <c r="BE104" s="250" t="e">
        <f t="shared" si="77"/>
        <v>#N/A</v>
      </c>
      <c r="BF104" s="247">
        <f t="shared" si="113"/>
        <v>7</v>
      </c>
      <c r="BG104" s="276" t="e">
        <f t="shared" si="114"/>
        <v>#N/A</v>
      </c>
      <c r="BH104" s="277" t="e">
        <f t="shared" si="115"/>
        <v>#N/A</v>
      </c>
      <c r="BI104" s="250" t="e">
        <f t="shared" si="78"/>
        <v>#N/A</v>
      </c>
      <c r="BJ104" s="251">
        <f t="shared" si="116"/>
        <v>7</v>
      </c>
      <c r="BK104" s="278" t="e">
        <f t="shared" si="117"/>
        <v>#N/A</v>
      </c>
      <c r="BL104" s="278" t="e">
        <f t="shared" si="118"/>
        <v>#N/A</v>
      </c>
      <c r="BM104" s="279" t="e">
        <f t="shared" si="79"/>
        <v>#N/A</v>
      </c>
      <c r="BN104" s="280">
        <f t="shared" si="119"/>
        <v>7</v>
      </c>
      <c r="BO104" s="281" t="e">
        <f t="shared" si="120"/>
        <v>#N/A</v>
      </c>
      <c r="BP104" s="281" t="e">
        <f t="shared" si="121"/>
        <v>#N/A</v>
      </c>
      <c r="BQ104" s="279" t="e">
        <f t="shared" si="80"/>
        <v>#N/A</v>
      </c>
      <c r="BR104" s="282" t="e">
        <f t="shared" si="81"/>
        <v>#N/A</v>
      </c>
      <c r="BS104" s="217" t="e">
        <f>VLOOKUP($B104,SDR24_STOCK_BY_LA!$A$2:$C$11878,3,0)</f>
        <v>#N/A</v>
      </c>
      <c r="BT104" s="217" t="str">
        <f t="shared" si="122"/>
        <v/>
      </c>
    </row>
    <row r="105" spans="1:72" x14ac:dyDescent="0.2">
      <c r="A105" s="256" t="str">
        <f t="shared" si="123"/>
        <v/>
      </c>
      <c r="B105" s="217" t="str">
        <f t="shared" si="124"/>
        <v/>
      </c>
      <c r="C105" s="257" t="str">
        <f t="shared" si="82"/>
        <v/>
      </c>
      <c r="D105" s="256" t="str">
        <f>IF(B105="","",IF(totals!$Q$3=0,IFERROR(IF(AD105=2,"0",AE105),""),"-"))</f>
        <v/>
      </c>
      <c r="E105" s="258" t="str">
        <f t="shared" si="83"/>
        <v/>
      </c>
      <c r="F105" s="259" t="str">
        <f t="shared" si="84"/>
        <v/>
      </c>
      <c r="G105" s="259" t="str">
        <f t="shared" si="85"/>
        <v/>
      </c>
      <c r="H105" s="256" t="str">
        <f t="shared" si="63"/>
        <v/>
      </c>
      <c r="I105" s="259" t="str">
        <f t="shared" si="86"/>
        <v/>
      </c>
      <c r="J105" s="259" t="str">
        <f t="shared" si="87"/>
        <v/>
      </c>
      <c r="K105" s="256" t="str">
        <f t="shared" si="64"/>
        <v/>
      </c>
      <c r="L105" s="259" t="str">
        <f t="shared" si="65"/>
        <v/>
      </c>
      <c r="M105" s="259" t="str">
        <f t="shared" si="88"/>
        <v/>
      </c>
      <c r="N105" s="256" t="str">
        <f t="shared" si="89"/>
        <v/>
      </c>
      <c r="O105" s="259" t="str">
        <f t="shared" si="90"/>
        <v/>
      </c>
      <c r="P105" s="259" t="str">
        <f t="shared" si="91"/>
        <v/>
      </c>
      <c r="Q105" s="256" t="str">
        <f t="shared" si="92"/>
        <v/>
      </c>
      <c r="R105" s="259" t="str">
        <f t="shared" si="93"/>
        <v/>
      </c>
      <c r="S105" s="259" t="str">
        <f t="shared" si="94"/>
        <v/>
      </c>
      <c r="T105" s="256" t="str">
        <f t="shared" si="95"/>
        <v/>
      </c>
      <c r="U105" s="217"/>
      <c r="V105" s="217"/>
      <c r="AB105" s="257" t="e">
        <f>VLOOKUP($B$6,Lookup_Source,98,0)</f>
        <v>#N/A</v>
      </c>
      <c r="AC105" s="241" t="str">
        <f t="shared" si="96"/>
        <v/>
      </c>
      <c r="AD105" s="242">
        <f t="shared" si="97"/>
        <v>7</v>
      </c>
      <c r="AE105" s="261" t="e">
        <f t="shared" si="66"/>
        <v>#N/A</v>
      </c>
      <c r="AF105" s="264" t="e">
        <f t="shared" si="98"/>
        <v>#N/A</v>
      </c>
      <c r="AG105" s="264" t="e">
        <f t="shared" si="99"/>
        <v>#N/A</v>
      </c>
      <c r="AH105" s="263" t="e">
        <f t="shared" si="67"/>
        <v>#N/A</v>
      </c>
      <c r="AI105" s="226">
        <f t="shared" si="100"/>
        <v>7</v>
      </c>
      <c r="AJ105" s="264" t="e">
        <f t="shared" si="68"/>
        <v>#N/A</v>
      </c>
      <c r="AK105" s="264" t="e">
        <f t="shared" si="101"/>
        <v>#N/A</v>
      </c>
      <c r="AL105" s="226" t="e">
        <f t="shared" si="69"/>
        <v>#N/A</v>
      </c>
      <c r="AM105" s="265" t="e">
        <f t="shared" si="102"/>
        <v>#N/A</v>
      </c>
      <c r="AN105" s="266" t="e">
        <f t="shared" si="70"/>
        <v>#N/A</v>
      </c>
      <c r="AO105" s="227" t="e">
        <f t="shared" si="71"/>
        <v>#N/A</v>
      </c>
      <c r="AP105" s="284">
        <f t="shared" si="103"/>
        <v>7</v>
      </c>
      <c r="AQ105" s="285" t="e">
        <f t="shared" si="72"/>
        <v>#N/A</v>
      </c>
      <c r="AR105" s="266" t="e">
        <f t="shared" si="104"/>
        <v>#N/A</v>
      </c>
      <c r="AS105" s="270" t="e">
        <f t="shared" si="73"/>
        <v>#N/A</v>
      </c>
      <c r="AT105" s="271">
        <f t="shared" si="105"/>
        <v>7</v>
      </c>
      <c r="AU105" s="272" t="e">
        <f t="shared" si="106"/>
        <v>#N/A</v>
      </c>
      <c r="AV105" s="273" t="e">
        <f t="shared" si="107"/>
        <v>#N/A</v>
      </c>
      <c r="AW105" s="274" t="e">
        <f t="shared" si="74"/>
        <v>#N/A</v>
      </c>
      <c r="AX105" s="232">
        <f t="shared" si="108"/>
        <v>7</v>
      </c>
      <c r="AY105" s="273" t="e">
        <f t="shared" si="75"/>
        <v>#N/A</v>
      </c>
      <c r="AZ105" s="232" t="e">
        <f t="shared" si="109"/>
        <v>#N/A</v>
      </c>
      <c r="BA105" s="232" t="e">
        <f t="shared" si="76"/>
        <v>#N/A</v>
      </c>
      <c r="BB105" s="275">
        <f t="shared" si="110"/>
        <v>7</v>
      </c>
      <c r="BC105" s="276" t="e">
        <f t="shared" si="111"/>
        <v>#N/A</v>
      </c>
      <c r="BD105" s="277" t="e">
        <f t="shared" si="112"/>
        <v>#N/A</v>
      </c>
      <c r="BE105" s="250" t="e">
        <f t="shared" si="77"/>
        <v>#N/A</v>
      </c>
      <c r="BF105" s="247">
        <f t="shared" si="113"/>
        <v>7</v>
      </c>
      <c r="BG105" s="276" t="e">
        <f t="shared" si="114"/>
        <v>#N/A</v>
      </c>
      <c r="BH105" s="277" t="e">
        <f t="shared" si="115"/>
        <v>#N/A</v>
      </c>
      <c r="BI105" s="250" t="e">
        <f t="shared" si="78"/>
        <v>#N/A</v>
      </c>
      <c r="BJ105" s="251">
        <f t="shared" si="116"/>
        <v>7</v>
      </c>
      <c r="BK105" s="278" t="e">
        <f t="shared" si="117"/>
        <v>#N/A</v>
      </c>
      <c r="BL105" s="278" t="e">
        <f t="shared" si="118"/>
        <v>#N/A</v>
      </c>
      <c r="BM105" s="279" t="e">
        <f t="shared" si="79"/>
        <v>#N/A</v>
      </c>
      <c r="BN105" s="280">
        <f t="shared" si="119"/>
        <v>7</v>
      </c>
      <c r="BO105" s="281" t="e">
        <f t="shared" si="120"/>
        <v>#N/A</v>
      </c>
      <c r="BP105" s="281" t="e">
        <f t="shared" si="121"/>
        <v>#N/A</v>
      </c>
      <c r="BQ105" s="279" t="e">
        <f t="shared" si="80"/>
        <v>#N/A</v>
      </c>
      <c r="BR105" s="282" t="e">
        <f t="shared" si="81"/>
        <v>#N/A</v>
      </c>
      <c r="BS105" s="217" t="e">
        <f>VLOOKUP($B105,SDR24_STOCK_BY_LA!$A$2:$C$11878,3,0)</f>
        <v>#N/A</v>
      </c>
      <c r="BT105" s="217" t="str">
        <f t="shared" si="122"/>
        <v/>
      </c>
    </row>
    <row r="106" spans="1:72" x14ac:dyDescent="0.2">
      <c r="A106" s="217" t="str">
        <f t="shared" si="123"/>
        <v/>
      </c>
      <c r="B106" s="217" t="str">
        <f t="shared" si="124"/>
        <v/>
      </c>
      <c r="C106" s="283" t="str">
        <f t="shared" si="82"/>
        <v/>
      </c>
      <c r="D106" s="256" t="str">
        <f>IF(B106="","",IF(totals!$Q$3=0,IFERROR(IF(AD106=2,"0",AE106),""),"-"))</f>
        <v/>
      </c>
      <c r="E106" s="258" t="str">
        <f t="shared" si="83"/>
        <v/>
      </c>
      <c r="F106" s="259" t="str">
        <f t="shared" si="84"/>
        <v/>
      </c>
      <c r="G106" s="259" t="str">
        <f t="shared" si="85"/>
        <v/>
      </c>
      <c r="H106" s="256" t="str">
        <f t="shared" si="63"/>
        <v/>
      </c>
      <c r="I106" s="259" t="str">
        <f t="shared" si="86"/>
        <v/>
      </c>
      <c r="J106" s="259" t="str">
        <f t="shared" si="87"/>
        <v/>
      </c>
      <c r="K106" s="256" t="str">
        <f t="shared" si="64"/>
        <v/>
      </c>
      <c r="L106" s="259" t="str">
        <f t="shared" si="65"/>
        <v/>
      </c>
      <c r="M106" s="259" t="str">
        <f t="shared" si="88"/>
        <v/>
      </c>
      <c r="N106" s="256" t="str">
        <f t="shared" si="89"/>
        <v/>
      </c>
      <c r="O106" s="259" t="str">
        <f t="shared" si="90"/>
        <v/>
      </c>
      <c r="P106" s="259" t="str">
        <f t="shared" si="91"/>
        <v/>
      </c>
      <c r="Q106" s="256" t="str">
        <f t="shared" si="92"/>
        <v/>
      </c>
      <c r="R106" s="259" t="str">
        <f t="shared" si="93"/>
        <v/>
      </c>
      <c r="S106" s="259" t="str">
        <f t="shared" si="94"/>
        <v/>
      </c>
      <c r="T106" s="256" t="str">
        <f t="shared" si="95"/>
        <v/>
      </c>
      <c r="U106" s="217"/>
      <c r="V106" s="217"/>
      <c r="AB106" s="217" t="e">
        <f>VLOOKUP($B$6,Lookup_Source,99,0)</f>
        <v>#N/A</v>
      </c>
      <c r="AC106" s="241" t="str">
        <f t="shared" si="96"/>
        <v/>
      </c>
      <c r="AD106" s="242">
        <f t="shared" si="97"/>
        <v>7</v>
      </c>
      <c r="AE106" s="261" t="e">
        <f t="shared" si="66"/>
        <v>#N/A</v>
      </c>
      <c r="AF106" s="264" t="e">
        <f t="shared" si="98"/>
        <v>#N/A</v>
      </c>
      <c r="AG106" s="264" t="e">
        <f t="shared" si="99"/>
        <v>#N/A</v>
      </c>
      <c r="AH106" s="263" t="e">
        <f t="shared" si="67"/>
        <v>#N/A</v>
      </c>
      <c r="AI106" s="226">
        <f t="shared" si="100"/>
        <v>7</v>
      </c>
      <c r="AJ106" s="264" t="e">
        <f t="shared" si="68"/>
        <v>#N/A</v>
      </c>
      <c r="AK106" s="264" t="e">
        <f t="shared" si="101"/>
        <v>#N/A</v>
      </c>
      <c r="AL106" s="226" t="e">
        <f t="shared" si="69"/>
        <v>#N/A</v>
      </c>
      <c r="AM106" s="265" t="e">
        <f t="shared" si="102"/>
        <v>#N/A</v>
      </c>
      <c r="AN106" s="266" t="e">
        <f t="shared" si="70"/>
        <v>#N/A</v>
      </c>
      <c r="AO106" s="227" t="e">
        <f t="shared" si="71"/>
        <v>#N/A</v>
      </c>
      <c r="AP106" s="284">
        <f t="shared" si="103"/>
        <v>7</v>
      </c>
      <c r="AQ106" s="285" t="e">
        <f t="shared" si="72"/>
        <v>#N/A</v>
      </c>
      <c r="AR106" s="266" t="e">
        <f t="shared" si="104"/>
        <v>#N/A</v>
      </c>
      <c r="AS106" s="270" t="e">
        <f t="shared" si="73"/>
        <v>#N/A</v>
      </c>
      <c r="AT106" s="271">
        <f t="shared" si="105"/>
        <v>7</v>
      </c>
      <c r="AU106" s="272" t="e">
        <f t="shared" si="106"/>
        <v>#N/A</v>
      </c>
      <c r="AV106" s="273" t="e">
        <f t="shared" si="107"/>
        <v>#N/A</v>
      </c>
      <c r="AW106" s="274" t="e">
        <f t="shared" si="74"/>
        <v>#N/A</v>
      </c>
      <c r="AX106" s="232">
        <f t="shared" si="108"/>
        <v>7</v>
      </c>
      <c r="AY106" s="273" t="e">
        <f t="shared" si="75"/>
        <v>#N/A</v>
      </c>
      <c r="AZ106" s="232" t="e">
        <f t="shared" si="109"/>
        <v>#N/A</v>
      </c>
      <c r="BA106" s="232" t="e">
        <f t="shared" si="76"/>
        <v>#N/A</v>
      </c>
      <c r="BB106" s="275">
        <f t="shared" si="110"/>
        <v>7</v>
      </c>
      <c r="BC106" s="276" t="e">
        <f t="shared" si="111"/>
        <v>#N/A</v>
      </c>
      <c r="BD106" s="277" t="e">
        <f t="shared" si="112"/>
        <v>#N/A</v>
      </c>
      <c r="BE106" s="250" t="e">
        <f t="shared" si="77"/>
        <v>#N/A</v>
      </c>
      <c r="BF106" s="247">
        <f t="shared" si="113"/>
        <v>7</v>
      </c>
      <c r="BG106" s="276" t="e">
        <f t="shared" si="114"/>
        <v>#N/A</v>
      </c>
      <c r="BH106" s="277" t="e">
        <f t="shared" si="115"/>
        <v>#N/A</v>
      </c>
      <c r="BI106" s="250" t="e">
        <f t="shared" si="78"/>
        <v>#N/A</v>
      </c>
      <c r="BJ106" s="251">
        <f t="shared" si="116"/>
        <v>7</v>
      </c>
      <c r="BK106" s="278" t="e">
        <f t="shared" si="117"/>
        <v>#N/A</v>
      </c>
      <c r="BL106" s="278" t="e">
        <f t="shared" si="118"/>
        <v>#N/A</v>
      </c>
      <c r="BM106" s="279" t="e">
        <f t="shared" si="79"/>
        <v>#N/A</v>
      </c>
      <c r="BN106" s="280">
        <f t="shared" si="119"/>
        <v>7</v>
      </c>
      <c r="BO106" s="281" t="e">
        <f t="shared" si="120"/>
        <v>#N/A</v>
      </c>
      <c r="BP106" s="281" t="e">
        <f t="shared" si="121"/>
        <v>#N/A</v>
      </c>
      <c r="BQ106" s="279" t="e">
        <f t="shared" si="80"/>
        <v>#N/A</v>
      </c>
      <c r="BR106" s="282" t="e">
        <f t="shared" si="81"/>
        <v>#N/A</v>
      </c>
      <c r="BS106" s="217" t="e">
        <f>VLOOKUP($B106,SDR24_STOCK_BY_LA!$A$2:$C$11878,3,0)</f>
        <v>#N/A</v>
      </c>
      <c r="BT106" s="217" t="str">
        <f t="shared" si="122"/>
        <v/>
      </c>
    </row>
    <row r="107" spans="1:72" x14ac:dyDescent="0.2">
      <c r="A107" s="256" t="str">
        <f t="shared" si="123"/>
        <v/>
      </c>
      <c r="B107" s="217" t="str">
        <f t="shared" si="124"/>
        <v/>
      </c>
      <c r="C107" s="257" t="str">
        <f t="shared" si="82"/>
        <v/>
      </c>
      <c r="D107" s="256" t="str">
        <f>IF(B107="","",IF(totals!$Q$3=0,IFERROR(IF(AD107=2,"0",AE107),""),"-"))</f>
        <v/>
      </c>
      <c r="E107" s="258" t="str">
        <f t="shared" si="83"/>
        <v/>
      </c>
      <c r="F107" s="259" t="str">
        <f t="shared" si="84"/>
        <v/>
      </c>
      <c r="G107" s="259" t="str">
        <f t="shared" si="85"/>
        <v/>
      </c>
      <c r="H107" s="256" t="str">
        <f t="shared" si="63"/>
        <v/>
      </c>
      <c r="I107" s="259" t="str">
        <f t="shared" si="86"/>
        <v/>
      </c>
      <c r="J107" s="259" t="str">
        <f t="shared" si="87"/>
        <v/>
      </c>
      <c r="K107" s="256" t="str">
        <f t="shared" si="64"/>
        <v/>
      </c>
      <c r="L107" s="259" t="str">
        <f t="shared" si="65"/>
        <v/>
      </c>
      <c r="M107" s="259" t="str">
        <f t="shared" si="88"/>
        <v/>
      </c>
      <c r="N107" s="256" t="str">
        <f t="shared" si="89"/>
        <v/>
      </c>
      <c r="O107" s="259" t="str">
        <f t="shared" si="90"/>
        <v/>
      </c>
      <c r="P107" s="259" t="str">
        <f t="shared" si="91"/>
        <v/>
      </c>
      <c r="Q107" s="256" t="str">
        <f t="shared" si="92"/>
        <v/>
      </c>
      <c r="R107" s="259" t="str">
        <f t="shared" si="93"/>
        <v/>
      </c>
      <c r="S107" s="259" t="str">
        <f t="shared" si="94"/>
        <v/>
      </c>
      <c r="T107" s="256" t="str">
        <f t="shared" si="95"/>
        <v/>
      </c>
      <c r="U107" s="217"/>
      <c r="V107" s="217"/>
      <c r="AB107" s="257" t="e">
        <f>VLOOKUP($B$6,Lookup_Source,100,0)</f>
        <v>#N/A</v>
      </c>
      <c r="AC107" s="241" t="str">
        <f t="shared" si="96"/>
        <v/>
      </c>
      <c r="AD107" s="242">
        <f t="shared" si="97"/>
        <v>7</v>
      </c>
      <c r="AE107" s="261" t="e">
        <f t="shared" si="66"/>
        <v>#N/A</v>
      </c>
      <c r="AF107" s="264" t="e">
        <f t="shared" si="98"/>
        <v>#N/A</v>
      </c>
      <c r="AG107" s="264" t="e">
        <f t="shared" si="99"/>
        <v>#N/A</v>
      </c>
      <c r="AH107" s="263" t="e">
        <f t="shared" si="67"/>
        <v>#N/A</v>
      </c>
      <c r="AI107" s="226">
        <f t="shared" si="100"/>
        <v>7</v>
      </c>
      <c r="AJ107" s="264" t="e">
        <f t="shared" si="68"/>
        <v>#N/A</v>
      </c>
      <c r="AK107" s="264" t="e">
        <f t="shared" si="101"/>
        <v>#N/A</v>
      </c>
      <c r="AL107" s="226" t="e">
        <f t="shared" si="69"/>
        <v>#N/A</v>
      </c>
      <c r="AM107" s="265" t="e">
        <f t="shared" si="102"/>
        <v>#N/A</v>
      </c>
      <c r="AN107" s="266" t="e">
        <f t="shared" si="70"/>
        <v>#N/A</v>
      </c>
      <c r="AO107" s="227" t="e">
        <f t="shared" si="71"/>
        <v>#N/A</v>
      </c>
      <c r="AP107" s="284">
        <f t="shared" si="103"/>
        <v>7</v>
      </c>
      <c r="AQ107" s="285" t="e">
        <f t="shared" si="72"/>
        <v>#N/A</v>
      </c>
      <c r="AR107" s="266" t="e">
        <f t="shared" si="104"/>
        <v>#N/A</v>
      </c>
      <c r="AS107" s="270" t="e">
        <f t="shared" si="73"/>
        <v>#N/A</v>
      </c>
      <c r="AT107" s="271">
        <f t="shared" si="105"/>
        <v>7</v>
      </c>
      <c r="AU107" s="272" t="e">
        <f t="shared" si="106"/>
        <v>#N/A</v>
      </c>
      <c r="AV107" s="273" t="e">
        <f t="shared" si="107"/>
        <v>#N/A</v>
      </c>
      <c r="AW107" s="274" t="e">
        <f t="shared" si="74"/>
        <v>#N/A</v>
      </c>
      <c r="AX107" s="232">
        <f t="shared" si="108"/>
        <v>7</v>
      </c>
      <c r="AY107" s="273" t="e">
        <f t="shared" si="75"/>
        <v>#N/A</v>
      </c>
      <c r="AZ107" s="232" t="e">
        <f t="shared" si="109"/>
        <v>#N/A</v>
      </c>
      <c r="BA107" s="232" t="e">
        <f t="shared" si="76"/>
        <v>#N/A</v>
      </c>
      <c r="BB107" s="275">
        <f t="shared" si="110"/>
        <v>7</v>
      </c>
      <c r="BC107" s="276" t="e">
        <f t="shared" si="111"/>
        <v>#N/A</v>
      </c>
      <c r="BD107" s="277" t="e">
        <f t="shared" si="112"/>
        <v>#N/A</v>
      </c>
      <c r="BE107" s="250" t="e">
        <f t="shared" si="77"/>
        <v>#N/A</v>
      </c>
      <c r="BF107" s="247">
        <f t="shared" si="113"/>
        <v>7</v>
      </c>
      <c r="BG107" s="276" t="e">
        <f t="shared" si="114"/>
        <v>#N/A</v>
      </c>
      <c r="BH107" s="277" t="e">
        <f t="shared" si="115"/>
        <v>#N/A</v>
      </c>
      <c r="BI107" s="250" t="e">
        <f t="shared" si="78"/>
        <v>#N/A</v>
      </c>
      <c r="BJ107" s="251">
        <f t="shared" si="116"/>
        <v>7</v>
      </c>
      <c r="BK107" s="278" t="e">
        <f t="shared" si="117"/>
        <v>#N/A</v>
      </c>
      <c r="BL107" s="278" t="e">
        <f t="shared" si="118"/>
        <v>#N/A</v>
      </c>
      <c r="BM107" s="279" t="e">
        <f t="shared" si="79"/>
        <v>#N/A</v>
      </c>
      <c r="BN107" s="280">
        <f t="shared" si="119"/>
        <v>7</v>
      </c>
      <c r="BO107" s="281" t="e">
        <f t="shared" si="120"/>
        <v>#N/A</v>
      </c>
      <c r="BP107" s="281" t="e">
        <f t="shared" si="121"/>
        <v>#N/A</v>
      </c>
      <c r="BQ107" s="279" t="e">
        <f t="shared" si="80"/>
        <v>#N/A</v>
      </c>
      <c r="BR107" s="282" t="e">
        <f t="shared" si="81"/>
        <v>#N/A</v>
      </c>
      <c r="BS107" s="217" t="e">
        <f>VLOOKUP($B107,SDR24_STOCK_BY_LA!$A$2:$C$11878,3,0)</f>
        <v>#N/A</v>
      </c>
      <c r="BT107" s="217" t="str">
        <f t="shared" si="122"/>
        <v/>
      </c>
    </row>
    <row r="108" spans="1:72" x14ac:dyDescent="0.2">
      <c r="A108" s="217" t="str">
        <f t="shared" si="123"/>
        <v/>
      </c>
      <c r="B108" s="217" t="str">
        <f t="shared" si="124"/>
        <v/>
      </c>
      <c r="C108" s="283" t="str">
        <f t="shared" si="82"/>
        <v/>
      </c>
      <c r="D108" s="256" t="str">
        <f>IF(B108="","",IF(totals!$Q$3=0,IFERROR(IF(AD108=2,"0",AE108),""),"-"))</f>
        <v/>
      </c>
      <c r="E108" s="258" t="str">
        <f t="shared" si="83"/>
        <v/>
      </c>
      <c r="F108" s="259" t="str">
        <f t="shared" si="84"/>
        <v/>
      </c>
      <c r="G108" s="259" t="str">
        <f t="shared" si="85"/>
        <v/>
      </c>
      <c r="H108" s="256" t="str">
        <f t="shared" si="63"/>
        <v/>
      </c>
      <c r="I108" s="259" t="str">
        <f t="shared" si="86"/>
        <v/>
      </c>
      <c r="J108" s="259" t="str">
        <f t="shared" si="87"/>
        <v/>
      </c>
      <c r="K108" s="256" t="str">
        <f t="shared" si="64"/>
        <v/>
      </c>
      <c r="L108" s="259" t="str">
        <f t="shared" si="65"/>
        <v/>
      </c>
      <c r="M108" s="259" t="str">
        <f t="shared" si="88"/>
        <v/>
      </c>
      <c r="N108" s="256" t="str">
        <f t="shared" si="89"/>
        <v/>
      </c>
      <c r="O108" s="259" t="str">
        <f t="shared" si="90"/>
        <v/>
      </c>
      <c r="P108" s="259" t="str">
        <f t="shared" si="91"/>
        <v/>
      </c>
      <c r="Q108" s="256" t="str">
        <f t="shared" si="92"/>
        <v/>
      </c>
      <c r="R108" s="259" t="str">
        <f t="shared" si="93"/>
        <v/>
      </c>
      <c r="S108" s="259" t="str">
        <f t="shared" si="94"/>
        <v/>
      </c>
      <c r="T108" s="256" t="str">
        <f t="shared" si="95"/>
        <v/>
      </c>
      <c r="U108" s="217"/>
      <c r="V108" s="217"/>
      <c r="AB108" s="217" t="e">
        <f>VLOOKUP($B$6,Lookup_Source,101,0)</f>
        <v>#N/A</v>
      </c>
      <c r="AC108" s="241" t="str">
        <f t="shared" si="96"/>
        <v/>
      </c>
      <c r="AD108" s="242">
        <f t="shared" si="97"/>
        <v>7</v>
      </c>
      <c r="AE108" s="261" t="e">
        <f t="shared" si="66"/>
        <v>#N/A</v>
      </c>
      <c r="AF108" s="264" t="e">
        <f t="shared" si="98"/>
        <v>#N/A</v>
      </c>
      <c r="AG108" s="264" t="e">
        <f t="shared" si="99"/>
        <v>#N/A</v>
      </c>
      <c r="AH108" s="263" t="e">
        <f t="shared" si="67"/>
        <v>#N/A</v>
      </c>
      <c r="AI108" s="226">
        <f t="shared" si="100"/>
        <v>7</v>
      </c>
      <c r="AJ108" s="264" t="e">
        <f t="shared" si="68"/>
        <v>#N/A</v>
      </c>
      <c r="AK108" s="264" t="e">
        <f t="shared" si="101"/>
        <v>#N/A</v>
      </c>
      <c r="AL108" s="226" t="e">
        <f t="shared" si="69"/>
        <v>#N/A</v>
      </c>
      <c r="AM108" s="265" t="e">
        <f t="shared" si="102"/>
        <v>#N/A</v>
      </c>
      <c r="AN108" s="266" t="e">
        <f t="shared" si="70"/>
        <v>#N/A</v>
      </c>
      <c r="AO108" s="227" t="e">
        <f t="shared" si="71"/>
        <v>#N/A</v>
      </c>
      <c r="AP108" s="284">
        <f t="shared" si="103"/>
        <v>7</v>
      </c>
      <c r="AQ108" s="285" t="e">
        <f t="shared" si="72"/>
        <v>#N/A</v>
      </c>
      <c r="AR108" s="266" t="e">
        <f t="shared" si="104"/>
        <v>#N/A</v>
      </c>
      <c r="AS108" s="270" t="e">
        <f t="shared" si="73"/>
        <v>#N/A</v>
      </c>
      <c r="AT108" s="271">
        <f t="shared" si="105"/>
        <v>7</v>
      </c>
      <c r="AU108" s="272" t="e">
        <f t="shared" si="106"/>
        <v>#N/A</v>
      </c>
      <c r="AV108" s="273" t="e">
        <f t="shared" si="107"/>
        <v>#N/A</v>
      </c>
      <c r="AW108" s="274" t="e">
        <f t="shared" si="74"/>
        <v>#N/A</v>
      </c>
      <c r="AX108" s="232">
        <f t="shared" si="108"/>
        <v>7</v>
      </c>
      <c r="AY108" s="273" t="e">
        <f t="shared" si="75"/>
        <v>#N/A</v>
      </c>
      <c r="AZ108" s="232" t="e">
        <f t="shared" si="109"/>
        <v>#N/A</v>
      </c>
      <c r="BA108" s="232" t="e">
        <f t="shared" si="76"/>
        <v>#N/A</v>
      </c>
      <c r="BB108" s="275">
        <f t="shared" si="110"/>
        <v>7</v>
      </c>
      <c r="BC108" s="276" t="e">
        <f t="shared" si="111"/>
        <v>#N/A</v>
      </c>
      <c r="BD108" s="277" t="e">
        <f t="shared" si="112"/>
        <v>#N/A</v>
      </c>
      <c r="BE108" s="250" t="e">
        <f t="shared" si="77"/>
        <v>#N/A</v>
      </c>
      <c r="BF108" s="247">
        <f t="shared" si="113"/>
        <v>7</v>
      </c>
      <c r="BG108" s="276" t="e">
        <f t="shared" si="114"/>
        <v>#N/A</v>
      </c>
      <c r="BH108" s="277" t="e">
        <f t="shared" si="115"/>
        <v>#N/A</v>
      </c>
      <c r="BI108" s="250" t="e">
        <f t="shared" si="78"/>
        <v>#N/A</v>
      </c>
      <c r="BJ108" s="251">
        <f t="shared" si="116"/>
        <v>7</v>
      </c>
      <c r="BK108" s="278" t="e">
        <f t="shared" si="117"/>
        <v>#N/A</v>
      </c>
      <c r="BL108" s="278" t="e">
        <f t="shared" si="118"/>
        <v>#N/A</v>
      </c>
      <c r="BM108" s="279" t="e">
        <f t="shared" si="79"/>
        <v>#N/A</v>
      </c>
      <c r="BN108" s="280">
        <f t="shared" si="119"/>
        <v>7</v>
      </c>
      <c r="BO108" s="281" t="e">
        <f t="shared" si="120"/>
        <v>#N/A</v>
      </c>
      <c r="BP108" s="281" t="e">
        <f t="shared" si="121"/>
        <v>#N/A</v>
      </c>
      <c r="BQ108" s="279" t="e">
        <f t="shared" si="80"/>
        <v>#N/A</v>
      </c>
      <c r="BR108" s="282" t="e">
        <f t="shared" si="81"/>
        <v>#N/A</v>
      </c>
      <c r="BS108" s="217" t="e">
        <f>VLOOKUP($B108,SDR24_STOCK_BY_LA!$A$2:$C$11878,3,0)</f>
        <v>#N/A</v>
      </c>
      <c r="BT108" s="217" t="str">
        <f t="shared" si="122"/>
        <v/>
      </c>
    </row>
    <row r="109" spans="1:72" x14ac:dyDescent="0.2">
      <c r="A109" s="256" t="str">
        <f t="shared" si="123"/>
        <v/>
      </c>
      <c r="B109" s="217" t="str">
        <f t="shared" si="124"/>
        <v/>
      </c>
      <c r="C109" s="257" t="str">
        <f t="shared" si="82"/>
        <v/>
      </c>
      <c r="D109" s="256" t="str">
        <f>IF(B109="","",IF(totals!$Q$3=0,IFERROR(IF(AD109=2,"0",AE109),""),"-"))</f>
        <v/>
      </c>
      <c r="E109" s="258" t="str">
        <f t="shared" si="83"/>
        <v/>
      </c>
      <c r="F109" s="259" t="str">
        <f t="shared" si="84"/>
        <v/>
      </c>
      <c r="G109" s="259" t="str">
        <f t="shared" si="85"/>
        <v/>
      </c>
      <c r="H109" s="256" t="str">
        <f t="shared" si="63"/>
        <v/>
      </c>
      <c r="I109" s="259" t="str">
        <f t="shared" si="86"/>
        <v/>
      </c>
      <c r="J109" s="259" t="str">
        <f t="shared" si="87"/>
        <v/>
      </c>
      <c r="K109" s="256" t="str">
        <f t="shared" si="64"/>
        <v/>
      </c>
      <c r="L109" s="259" t="str">
        <f t="shared" si="65"/>
        <v/>
      </c>
      <c r="M109" s="259" t="str">
        <f t="shared" si="88"/>
        <v/>
      </c>
      <c r="N109" s="256" t="str">
        <f t="shared" si="89"/>
        <v/>
      </c>
      <c r="O109" s="259" t="str">
        <f t="shared" si="90"/>
        <v/>
      </c>
      <c r="P109" s="259" t="str">
        <f t="shared" si="91"/>
        <v/>
      </c>
      <c r="Q109" s="256" t="str">
        <f t="shared" si="92"/>
        <v/>
      </c>
      <c r="R109" s="259" t="str">
        <f t="shared" si="93"/>
        <v/>
      </c>
      <c r="S109" s="259" t="str">
        <f t="shared" si="94"/>
        <v/>
      </c>
      <c r="T109" s="256" t="str">
        <f t="shared" si="95"/>
        <v/>
      </c>
      <c r="U109" s="217"/>
      <c r="V109" s="217"/>
      <c r="AB109" s="257" t="e">
        <f>VLOOKUP($B$6,Lookup_Source,102,0)</f>
        <v>#N/A</v>
      </c>
      <c r="AC109" s="241" t="str">
        <f t="shared" si="96"/>
        <v/>
      </c>
      <c r="AD109" s="242">
        <f t="shared" si="97"/>
        <v>7</v>
      </c>
      <c r="AE109" s="261" t="e">
        <f t="shared" si="66"/>
        <v>#N/A</v>
      </c>
      <c r="AF109" s="264" t="e">
        <f t="shared" si="98"/>
        <v>#N/A</v>
      </c>
      <c r="AG109" s="264" t="e">
        <f t="shared" si="99"/>
        <v>#N/A</v>
      </c>
      <c r="AH109" s="263" t="e">
        <f t="shared" si="67"/>
        <v>#N/A</v>
      </c>
      <c r="AI109" s="226">
        <f t="shared" si="100"/>
        <v>7</v>
      </c>
      <c r="AJ109" s="264" t="e">
        <f t="shared" si="68"/>
        <v>#N/A</v>
      </c>
      <c r="AK109" s="264" t="e">
        <f t="shared" si="101"/>
        <v>#N/A</v>
      </c>
      <c r="AL109" s="226" t="e">
        <f t="shared" si="69"/>
        <v>#N/A</v>
      </c>
      <c r="AM109" s="265" t="e">
        <f t="shared" si="102"/>
        <v>#N/A</v>
      </c>
      <c r="AN109" s="266" t="e">
        <f t="shared" si="70"/>
        <v>#N/A</v>
      </c>
      <c r="AO109" s="227" t="e">
        <f t="shared" si="71"/>
        <v>#N/A</v>
      </c>
      <c r="AP109" s="284">
        <f t="shared" si="103"/>
        <v>7</v>
      </c>
      <c r="AQ109" s="285" t="e">
        <f t="shared" si="72"/>
        <v>#N/A</v>
      </c>
      <c r="AR109" s="266" t="e">
        <f t="shared" si="104"/>
        <v>#N/A</v>
      </c>
      <c r="AS109" s="270" t="e">
        <f t="shared" si="73"/>
        <v>#N/A</v>
      </c>
      <c r="AT109" s="271">
        <f t="shared" si="105"/>
        <v>7</v>
      </c>
      <c r="AU109" s="272" t="e">
        <f t="shared" si="106"/>
        <v>#N/A</v>
      </c>
      <c r="AV109" s="273" t="e">
        <f t="shared" si="107"/>
        <v>#N/A</v>
      </c>
      <c r="AW109" s="274" t="e">
        <f t="shared" si="74"/>
        <v>#N/A</v>
      </c>
      <c r="AX109" s="232">
        <f t="shared" si="108"/>
        <v>7</v>
      </c>
      <c r="AY109" s="273" t="e">
        <f t="shared" si="75"/>
        <v>#N/A</v>
      </c>
      <c r="AZ109" s="232" t="e">
        <f t="shared" si="109"/>
        <v>#N/A</v>
      </c>
      <c r="BA109" s="232" t="e">
        <f t="shared" si="76"/>
        <v>#N/A</v>
      </c>
      <c r="BB109" s="275">
        <f t="shared" si="110"/>
        <v>7</v>
      </c>
      <c r="BC109" s="276" t="e">
        <f t="shared" si="111"/>
        <v>#N/A</v>
      </c>
      <c r="BD109" s="277" t="e">
        <f t="shared" si="112"/>
        <v>#N/A</v>
      </c>
      <c r="BE109" s="250" t="e">
        <f t="shared" si="77"/>
        <v>#N/A</v>
      </c>
      <c r="BF109" s="247">
        <f t="shared" si="113"/>
        <v>7</v>
      </c>
      <c r="BG109" s="276" t="e">
        <f t="shared" si="114"/>
        <v>#N/A</v>
      </c>
      <c r="BH109" s="277" t="e">
        <f t="shared" si="115"/>
        <v>#N/A</v>
      </c>
      <c r="BI109" s="250" t="e">
        <f t="shared" si="78"/>
        <v>#N/A</v>
      </c>
      <c r="BJ109" s="251">
        <f t="shared" si="116"/>
        <v>7</v>
      </c>
      <c r="BK109" s="278" t="e">
        <f t="shared" si="117"/>
        <v>#N/A</v>
      </c>
      <c r="BL109" s="278" t="e">
        <f t="shared" si="118"/>
        <v>#N/A</v>
      </c>
      <c r="BM109" s="279" t="e">
        <f t="shared" si="79"/>
        <v>#N/A</v>
      </c>
      <c r="BN109" s="280">
        <f t="shared" si="119"/>
        <v>7</v>
      </c>
      <c r="BO109" s="281" t="e">
        <f t="shared" si="120"/>
        <v>#N/A</v>
      </c>
      <c r="BP109" s="281" t="e">
        <f t="shared" si="121"/>
        <v>#N/A</v>
      </c>
      <c r="BQ109" s="279" t="e">
        <f t="shared" si="80"/>
        <v>#N/A</v>
      </c>
      <c r="BR109" s="282" t="e">
        <f t="shared" si="81"/>
        <v>#N/A</v>
      </c>
      <c r="BS109" s="217" t="e">
        <f>VLOOKUP($B109,SDR24_STOCK_BY_LA!$A$2:$C$11878,3,0)</f>
        <v>#N/A</v>
      </c>
      <c r="BT109" s="217" t="str">
        <f t="shared" si="122"/>
        <v/>
      </c>
    </row>
    <row r="110" spans="1:72" x14ac:dyDescent="0.2">
      <c r="A110" s="217" t="str">
        <f t="shared" si="123"/>
        <v/>
      </c>
      <c r="B110" s="217" t="str">
        <f t="shared" si="124"/>
        <v/>
      </c>
      <c r="C110" s="283" t="str">
        <f t="shared" si="82"/>
        <v/>
      </c>
      <c r="D110" s="256" t="str">
        <f>IF(B110="","",IF(totals!$Q$3=0,IFERROR(IF(AD110=2,"0",AE110),""),"-"))</f>
        <v/>
      </c>
      <c r="E110" s="258" t="str">
        <f t="shared" si="83"/>
        <v/>
      </c>
      <c r="F110" s="259" t="str">
        <f t="shared" si="84"/>
        <v/>
      </c>
      <c r="G110" s="259" t="str">
        <f t="shared" si="85"/>
        <v/>
      </c>
      <c r="H110" s="256" t="str">
        <f t="shared" si="63"/>
        <v/>
      </c>
      <c r="I110" s="259" t="str">
        <f t="shared" si="86"/>
        <v/>
      </c>
      <c r="J110" s="259" t="str">
        <f t="shared" si="87"/>
        <v/>
      </c>
      <c r="K110" s="256" t="str">
        <f t="shared" si="64"/>
        <v/>
      </c>
      <c r="L110" s="259" t="str">
        <f t="shared" si="65"/>
        <v/>
      </c>
      <c r="M110" s="259" t="str">
        <f t="shared" si="88"/>
        <v/>
      </c>
      <c r="N110" s="256" t="str">
        <f t="shared" si="89"/>
        <v/>
      </c>
      <c r="O110" s="259" t="str">
        <f t="shared" si="90"/>
        <v/>
      </c>
      <c r="P110" s="259" t="str">
        <f t="shared" si="91"/>
        <v/>
      </c>
      <c r="Q110" s="256" t="str">
        <f t="shared" si="92"/>
        <v/>
      </c>
      <c r="R110" s="259" t="str">
        <f t="shared" si="93"/>
        <v/>
      </c>
      <c r="S110" s="259" t="str">
        <f t="shared" si="94"/>
        <v/>
      </c>
      <c r="T110" s="256" t="str">
        <f t="shared" si="95"/>
        <v/>
      </c>
      <c r="U110" s="217"/>
      <c r="V110" s="217"/>
      <c r="AB110" s="217" t="e">
        <f>VLOOKUP($B$6,Lookup_Source,103,0)</f>
        <v>#N/A</v>
      </c>
      <c r="AC110" s="241" t="str">
        <f t="shared" si="96"/>
        <v/>
      </c>
      <c r="AD110" s="242">
        <f t="shared" si="97"/>
        <v>7</v>
      </c>
      <c r="AE110" s="261" t="e">
        <f t="shared" si="66"/>
        <v>#N/A</v>
      </c>
      <c r="AF110" s="264" t="e">
        <f t="shared" si="98"/>
        <v>#N/A</v>
      </c>
      <c r="AG110" s="264" t="e">
        <f t="shared" si="99"/>
        <v>#N/A</v>
      </c>
      <c r="AH110" s="263" t="e">
        <f t="shared" si="67"/>
        <v>#N/A</v>
      </c>
      <c r="AI110" s="226">
        <f t="shared" si="100"/>
        <v>7</v>
      </c>
      <c r="AJ110" s="264" t="e">
        <f t="shared" si="68"/>
        <v>#N/A</v>
      </c>
      <c r="AK110" s="264" t="e">
        <f t="shared" si="101"/>
        <v>#N/A</v>
      </c>
      <c r="AL110" s="226" t="e">
        <f t="shared" si="69"/>
        <v>#N/A</v>
      </c>
      <c r="AM110" s="265" t="e">
        <f t="shared" si="102"/>
        <v>#N/A</v>
      </c>
      <c r="AN110" s="266" t="e">
        <f t="shared" si="70"/>
        <v>#N/A</v>
      </c>
      <c r="AO110" s="227" t="e">
        <f t="shared" si="71"/>
        <v>#N/A</v>
      </c>
      <c r="AP110" s="284">
        <f t="shared" si="103"/>
        <v>7</v>
      </c>
      <c r="AQ110" s="285" t="e">
        <f t="shared" si="72"/>
        <v>#N/A</v>
      </c>
      <c r="AR110" s="266" t="e">
        <f t="shared" si="104"/>
        <v>#N/A</v>
      </c>
      <c r="AS110" s="270" t="e">
        <f t="shared" si="73"/>
        <v>#N/A</v>
      </c>
      <c r="AT110" s="271">
        <f t="shared" si="105"/>
        <v>7</v>
      </c>
      <c r="AU110" s="272" t="e">
        <f t="shared" si="106"/>
        <v>#N/A</v>
      </c>
      <c r="AV110" s="273" t="e">
        <f t="shared" si="107"/>
        <v>#N/A</v>
      </c>
      <c r="AW110" s="274" t="e">
        <f t="shared" si="74"/>
        <v>#N/A</v>
      </c>
      <c r="AX110" s="232">
        <f t="shared" si="108"/>
        <v>7</v>
      </c>
      <c r="AY110" s="273" t="e">
        <f t="shared" si="75"/>
        <v>#N/A</v>
      </c>
      <c r="AZ110" s="232" t="e">
        <f t="shared" si="109"/>
        <v>#N/A</v>
      </c>
      <c r="BA110" s="232" t="e">
        <f t="shared" si="76"/>
        <v>#N/A</v>
      </c>
      <c r="BB110" s="275">
        <f t="shared" si="110"/>
        <v>7</v>
      </c>
      <c r="BC110" s="276" t="e">
        <f t="shared" si="111"/>
        <v>#N/A</v>
      </c>
      <c r="BD110" s="277" t="e">
        <f t="shared" si="112"/>
        <v>#N/A</v>
      </c>
      <c r="BE110" s="250" t="e">
        <f t="shared" si="77"/>
        <v>#N/A</v>
      </c>
      <c r="BF110" s="247">
        <f t="shared" si="113"/>
        <v>7</v>
      </c>
      <c r="BG110" s="276" t="e">
        <f t="shared" si="114"/>
        <v>#N/A</v>
      </c>
      <c r="BH110" s="277" t="e">
        <f t="shared" si="115"/>
        <v>#N/A</v>
      </c>
      <c r="BI110" s="250" t="e">
        <f t="shared" si="78"/>
        <v>#N/A</v>
      </c>
      <c r="BJ110" s="251">
        <f t="shared" si="116"/>
        <v>7</v>
      </c>
      <c r="BK110" s="278" t="e">
        <f t="shared" si="117"/>
        <v>#N/A</v>
      </c>
      <c r="BL110" s="278" t="e">
        <f t="shared" si="118"/>
        <v>#N/A</v>
      </c>
      <c r="BM110" s="279" t="e">
        <f t="shared" si="79"/>
        <v>#N/A</v>
      </c>
      <c r="BN110" s="280">
        <f t="shared" si="119"/>
        <v>7</v>
      </c>
      <c r="BO110" s="281" t="e">
        <f t="shared" si="120"/>
        <v>#N/A</v>
      </c>
      <c r="BP110" s="281" t="e">
        <f t="shared" si="121"/>
        <v>#N/A</v>
      </c>
      <c r="BQ110" s="279" t="e">
        <f t="shared" si="80"/>
        <v>#N/A</v>
      </c>
      <c r="BR110" s="282" t="e">
        <f t="shared" si="81"/>
        <v>#N/A</v>
      </c>
      <c r="BS110" s="217" t="e">
        <f>VLOOKUP($B110,SDR24_STOCK_BY_LA!$A$2:$C$11878,3,0)</f>
        <v>#N/A</v>
      </c>
      <c r="BT110" s="217" t="str">
        <f t="shared" si="122"/>
        <v/>
      </c>
    </row>
    <row r="111" spans="1:72" x14ac:dyDescent="0.2">
      <c r="A111" s="256" t="str">
        <f t="shared" si="123"/>
        <v/>
      </c>
      <c r="B111" s="217" t="str">
        <f t="shared" si="124"/>
        <v/>
      </c>
      <c r="C111" s="257" t="str">
        <f t="shared" si="82"/>
        <v/>
      </c>
      <c r="D111" s="256" t="str">
        <f>IF(B111="","",IF(totals!$Q$3=0,IFERROR(IF(AD111=2,"0",AE111),""),"-"))</f>
        <v/>
      </c>
      <c r="E111" s="258" t="str">
        <f t="shared" si="83"/>
        <v/>
      </c>
      <c r="F111" s="259" t="str">
        <f t="shared" si="84"/>
        <v/>
      </c>
      <c r="G111" s="259" t="str">
        <f t="shared" si="85"/>
        <v/>
      </c>
      <c r="H111" s="256" t="str">
        <f t="shared" si="63"/>
        <v/>
      </c>
      <c r="I111" s="259" t="str">
        <f t="shared" si="86"/>
        <v/>
      </c>
      <c r="J111" s="259" t="str">
        <f t="shared" si="87"/>
        <v/>
      </c>
      <c r="K111" s="256" t="str">
        <f t="shared" si="64"/>
        <v/>
      </c>
      <c r="L111" s="259" t="str">
        <f t="shared" si="65"/>
        <v/>
      </c>
      <c r="M111" s="259" t="str">
        <f t="shared" si="88"/>
        <v/>
      </c>
      <c r="N111" s="256" t="str">
        <f t="shared" si="89"/>
        <v/>
      </c>
      <c r="O111" s="259" t="str">
        <f t="shared" si="90"/>
        <v/>
      </c>
      <c r="P111" s="259" t="str">
        <f t="shared" si="91"/>
        <v/>
      </c>
      <c r="Q111" s="256" t="str">
        <f t="shared" si="92"/>
        <v/>
      </c>
      <c r="R111" s="259" t="str">
        <f t="shared" si="93"/>
        <v/>
      </c>
      <c r="S111" s="259" t="str">
        <f t="shared" si="94"/>
        <v/>
      </c>
      <c r="T111" s="256" t="str">
        <f t="shared" si="95"/>
        <v/>
      </c>
      <c r="U111" s="217"/>
      <c r="V111" s="217"/>
      <c r="AB111" s="257" t="e">
        <f>VLOOKUP($B$6,Lookup_Source,104,0)</f>
        <v>#N/A</v>
      </c>
      <c r="AC111" s="241" t="str">
        <f t="shared" si="96"/>
        <v/>
      </c>
      <c r="AD111" s="242">
        <f t="shared" si="97"/>
        <v>7</v>
      </c>
      <c r="AE111" s="261" t="e">
        <f t="shared" si="66"/>
        <v>#N/A</v>
      </c>
      <c r="AF111" s="264" t="e">
        <f t="shared" si="98"/>
        <v>#N/A</v>
      </c>
      <c r="AG111" s="264" t="e">
        <f t="shared" si="99"/>
        <v>#N/A</v>
      </c>
      <c r="AH111" s="263" t="e">
        <f t="shared" si="67"/>
        <v>#N/A</v>
      </c>
      <c r="AI111" s="226">
        <f t="shared" si="100"/>
        <v>7</v>
      </c>
      <c r="AJ111" s="264" t="e">
        <f t="shared" si="68"/>
        <v>#N/A</v>
      </c>
      <c r="AK111" s="264" t="e">
        <f t="shared" si="101"/>
        <v>#N/A</v>
      </c>
      <c r="AL111" s="226" t="e">
        <f t="shared" si="69"/>
        <v>#N/A</v>
      </c>
      <c r="AM111" s="265" t="e">
        <f t="shared" si="102"/>
        <v>#N/A</v>
      </c>
      <c r="AN111" s="266" t="e">
        <f t="shared" si="70"/>
        <v>#N/A</v>
      </c>
      <c r="AO111" s="227" t="e">
        <f t="shared" si="71"/>
        <v>#N/A</v>
      </c>
      <c r="AP111" s="284">
        <f t="shared" si="103"/>
        <v>7</v>
      </c>
      <c r="AQ111" s="285" t="e">
        <f t="shared" si="72"/>
        <v>#N/A</v>
      </c>
      <c r="AR111" s="266" t="e">
        <f t="shared" si="104"/>
        <v>#N/A</v>
      </c>
      <c r="AS111" s="270" t="e">
        <f t="shared" si="73"/>
        <v>#N/A</v>
      </c>
      <c r="AT111" s="271">
        <f t="shared" si="105"/>
        <v>7</v>
      </c>
      <c r="AU111" s="272" t="e">
        <f t="shared" si="106"/>
        <v>#N/A</v>
      </c>
      <c r="AV111" s="273" t="e">
        <f t="shared" si="107"/>
        <v>#N/A</v>
      </c>
      <c r="AW111" s="274" t="e">
        <f t="shared" si="74"/>
        <v>#N/A</v>
      </c>
      <c r="AX111" s="232">
        <f t="shared" si="108"/>
        <v>7</v>
      </c>
      <c r="AY111" s="273" t="e">
        <f t="shared" si="75"/>
        <v>#N/A</v>
      </c>
      <c r="AZ111" s="232" t="e">
        <f t="shared" si="109"/>
        <v>#N/A</v>
      </c>
      <c r="BA111" s="232" t="e">
        <f t="shared" si="76"/>
        <v>#N/A</v>
      </c>
      <c r="BB111" s="275">
        <f t="shared" si="110"/>
        <v>7</v>
      </c>
      <c r="BC111" s="276" t="e">
        <f t="shared" si="111"/>
        <v>#N/A</v>
      </c>
      <c r="BD111" s="277" t="e">
        <f t="shared" si="112"/>
        <v>#N/A</v>
      </c>
      <c r="BE111" s="250" t="e">
        <f t="shared" si="77"/>
        <v>#N/A</v>
      </c>
      <c r="BF111" s="247">
        <f t="shared" si="113"/>
        <v>7</v>
      </c>
      <c r="BG111" s="276" t="e">
        <f t="shared" si="114"/>
        <v>#N/A</v>
      </c>
      <c r="BH111" s="277" t="e">
        <f t="shared" si="115"/>
        <v>#N/A</v>
      </c>
      <c r="BI111" s="250" t="e">
        <f t="shared" si="78"/>
        <v>#N/A</v>
      </c>
      <c r="BJ111" s="251">
        <f t="shared" si="116"/>
        <v>7</v>
      </c>
      <c r="BK111" s="278" t="e">
        <f t="shared" si="117"/>
        <v>#N/A</v>
      </c>
      <c r="BL111" s="278" t="e">
        <f t="shared" si="118"/>
        <v>#N/A</v>
      </c>
      <c r="BM111" s="279" t="e">
        <f t="shared" si="79"/>
        <v>#N/A</v>
      </c>
      <c r="BN111" s="280">
        <f t="shared" si="119"/>
        <v>7</v>
      </c>
      <c r="BO111" s="281" t="e">
        <f t="shared" si="120"/>
        <v>#N/A</v>
      </c>
      <c r="BP111" s="281" t="e">
        <f t="shared" si="121"/>
        <v>#N/A</v>
      </c>
      <c r="BQ111" s="279" t="e">
        <f t="shared" si="80"/>
        <v>#N/A</v>
      </c>
      <c r="BR111" s="282" t="e">
        <f t="shared" si="81"/>
        <v>#N/A</v>
      </c>
      <c r="BS111" s="217" t="e">
        <f>VLOOKUP($B111,SDR24_STOCK_BY_LA!$A$2:$C$11878,3,0)</f>
        <v>#N/A</v>
      </c>
      <c r="BT111" s="217" t="str">
        <f t="shared" si="122"/>
        <v/>
      </c>
    </row>
    <row r="112" spans="1:72" x14ac:dyDescent="0.2">
      <c r="A112" s="217" t="str">
        <f t="shared" si="123"/>
        <v/>
      </c>
      <c r="B112" s="217" t="str">
        <f t="shared" si="124"/>
        <v/>
      </c>
      <c r="C112" s="283" t="str">
        <f t="shared" si="82"/>
        <v/>
      </c>
      <c r="D112" s="256" t="str">
        <f>IF(B112="","",IF(totals!$Q$3=0,IFERROR(IF(AD112=2,"0",AE112),""),"-"))</f>
        <v/>
      </c>
      <c r="E112" s="258" t="str">
        <f t="shared" si="83"/>
        <v/>
      </c>
      <c r="F112" s="259" t="str">
        <f t="shared" si="84"/>
        <v/>
      </c>
      <c r="G112" s="259" t="str">
        <f t="shared" si="85"/>
        <v/>
      </c>
      <c r="H112" s="256" t="str">
        <f t="shared" si="63"/>
        <v/>
      </c>
      <c r="I112" s="259" t="str">
        <f t="shared" si="86"/>
        <v/>
      </c>
      <c r="J112" s="259" t="str">
        <f t="shared" si="87"/>
        <v/>
      </c>
      <c r="K112" s="256" t="str">
        <f t="shared" si="64"/>
        <v/>
      </c>
      <c r="L112" s="259" t="str">
        <f t="shared" si="65"/>
        <v/>
      </c>
      <c r="M112" s="259" t="str">
        <f t="shared" si="88"/>
        <v/>
      </c>
      <c r="N112" s="256" t="str">
        <f t="shared" si="89"/>
        <v/>
      </c>
      <c r="O112" s="259" t="str">
        <f t="shared" si="90"/>
        <v/>
      </c>
      <c r="P112" s="259" t="str">
        <f t="shared" si="91"/>
        <v/>
      </c>
      <c r="Q112" s="256" t="str">
        <f t="shared" si="92"/>
        <v/>
      </c>
      <c r="R112" s="259" t="str">
        <f t="shared" si="93"/>
        <v/>
      </c>
      <c r="S112" s="259" t="str">
        <f t="shared" si="94"/>
        <v/>
      </c>
      <c r="T112" s="256" t="str">
        <f t="shared" si="95"/>
        <v/>
      </c>
      <c r="U112" s="217"/>
      <c r="V112" s="217"/>
      <c r="AB112" s="217" t="e">
        <f>VLOOKUP($B$6,Lookup_Source,105,0)</f>
        <v>#N/A</v>
      </c>
      <c r="AC112" s="241" t="str">
        <f t="shared" si="96"/>
        <v/>
      </c>
      <c r="AD112" s="242">
        <f t="shared" si="97"/>
        <v>7</v>
      </c>
      <c r="AE112" s="261" t="e">
        <f t="shared" si="66"/>
        <v>#N/A</v>
      </c>
      <c r="AF112" s="264" t="e">
        <f t="shared" si="98"/>
        <v>#N/A</v>
      </c>
      <c r="AG112" s="264" t="e">
        <f t="shared" si="99"/>
        <v>#N/A</v>
      </c>
      <c r="AH112" s="263" t="e">
        <f t="shared" si="67"/>
        <v>#N/A</v>
      </c>
      <c r="AI112" s="226">
        <f t="shared" si="100"/>
        <v>7</v>
      </c>
      <c r="AJ112" s="264" t="e">
        <f t="shared" si="68"/>
        <v>#N/A</v>
      </c>
      <c r="AK112" s="264" t="e">
        <f t="shared" si="101"/>
        <v>#N/A</v>
      </c>
      <c r="AL112" s="226" t="e">
        <f t="shared" si="69"/>
        <v>#N/A</v>
      </c>
      <c r="AM112" s="265" t="e">
        <f t="shared" si="102"/>
        <v>#N/A</v>
      </c>
      <c r="AN112" s="266" t="e">
        <f t="shared" si="70"/>
        <v>#N/A</v>
      </c>
      <c r="AO112" s="227" t="e">
        <f t="shared" si="71"/>
        <v>#N/A</v>
      </c>
      <c r="AP112" s="284">
        <f t="shared" si="103"/>
        <v>7</v>
      </c>
      <c r="AQ112" s="285" t="e">
        <f t="shared" si="72"/>
        <v>#N/A</v>
      </c>
      <c r="AR112" s="266" t="e">
        <f t="shared" si="104"/>
        <v>#N/A</v>
      </c>
      <c r="AS112" s="270" t="e">
        <f t="shared" si="73"/>
        <v>#N/A</v>
      </c>
      <c r="AT112" s="271">
        <f t="shared" si="105"/>
        <v>7</v>
      </c>
      <c r="AU112" s="272" t="e">
        <f t="shared" si="106"/>
        <v>#N/A</v>
      </c>
      <c r="AV112" s="273" t="e">
        <f t="shared" si="107"/>
        <v>#N/A</v>
      </c>
      <c r="AW112" s="274" t="e">
        <f t="shared" si="74"/>
        <v>#N/A</v>
      </c>
      <c r="AX112" s="232">
        <f t="shared" si="108"/>
        <v>7</v>
      </c>
      <c r="AY112" s="273" t="e">
        <f t="shared" si="75"/>
        <v>#N/A</v>
      </c>
      <c r="AZ112" s="232" t="e">
        <f t="shared" si="109"/>
        <v>#N/A</v>
      </c>
      <c r="BA112" s="232" t="e">
        <f t="shared" si="76"/>
        <v>#N/A</v>
      </c>
      <c r="BB112" s="275">
        <f t="shared" si="110"/>
        <v>7</v>
      </c>
      <c r="BC112" s="276" t="e">
        <f t="shared" si="111"/>
        <v>#N/A</v>
      </c>
      <c r="BD112" s="277" t="e">
        <f t="shared" si="112"/>
        <v>#N/A</v>
      </c>
      <c r="BE112" s="250" t="e">
        <f t="shared" si="77"/>
        <v>#N/A</v>
      </c>
      <c r="BF112" s="247">
        <f t="shared" si="113"/>
        <v>7</v>
      </c>
      <c r="BG112" s="276" t="e">
        <f t="shared" si="114"/>
        <v>#N/A</v>
      </c>
      <c r="BH112" s="277" t="e">
        <f t="shared" si="115"/>
        <v>#N/A</v>
      </c>
      <c r="BI112" s="250" t="e">
        <f t="shared" si="78"/>
        <v>#N/A</v>
      </c>
      <c r="BJ112" s="251">
        <f t="shared" si="116"/>
        <v>7</v>
      </c>
      <c r="BK112" s="278" t="e">
        <f t="shared" si="117"/>
        <v>#N/A</v>
      </c>
      <c r="BL112" s="278" t="e">
        <f t="shared" si="118"/>
        <v>#N/A</v>
      </c>
      <c r="BM112" s="279" t="e">
        <f t="shared" si="79"/>
        <v>#N/A</v>
      </c>
      <c r="BN112" s="280">
        <f t="shared" si="119"/>
        <v>7</v>
      </c>
      <c r="BO112" s="281" t="e">
        <f t="shared" si="120"/>
        <v>#N/A</v>
      </c>
      <c r="BP112" s="281" t="e">
        <f t="shared" si="121"/>
        <v>#N/A</v>
      </c>
      <c r="BQ112" s="279" t="e">
        <f t="shared" si="80"/>
        <v>#N/A</v>
      </c>
      <c r="BR112" s="282" t="e">
        <f t="shared" si="81"/>
        <v>#N/A</v>
      </c>
      <c r="BS112" s="217" t="e">
        <f>VLOOKUP($B112,SDR24_STOCK_BY_LA!$A$2:$C$11878,3,0)</f>
        <v>#N/A</v>
      </c>
      <c r="BT112" s="217" t="str">
        <f t="shared" si="122"/>
        <v/>
      </c>
    </row>
    <row r="113" spans="1:72" x14ac:dyDescent="0.2">
      <c r="A113" s="256" t="str">
        <f t="shared" si="123"/>
        <v/>
      </c>
      <c r="B113" s="217" t="str">
        <f t="shared" si="124"/>
        <v/>
      </c>
      <c r="C113" s="257" t="str">
        <f t="shared" si="82"/>
        <v/>
      </c>
      <c r="D113" s="256" t="str">
        <f>IF(B113="","",IF(totals!$Q$3=0,IFERROR(IF(AD113=2,"0",AE113),""),"-"))</f>
        <v/>
      </c>
      <c r="E113" s="258" t="str">
        <f t="shared" si="83"/>
        <v/>
      </c>
      <c r="F113" s="259" t="str">
        <f t="shared" si="84"/>
        <v/>
      </c>
      <c r="G113" s="259" t="str">
        <f t="shared" si="85"/>
        <v/>
      </c>
      <c r="H113" s="256" t="str">
        <f t="shared" si="63"/>
        <v/>
      </c>
      <c r="I113" s="259" t="str">
        <f t="shared" si="86"/>
        <v/>
      </c>
      <c r="J113" s="259" t="str">
        <f t="shared" si="87"/>
        <v/>
      </c>
      <c r="K113" s="256" t="str">
        <f t="shared" si="64"/>
        <v/>
      </c>
      <c r="L113" s="259" t="str">
        <f t="shared" si="65"/>
        <v/>
      </c>
      <c r="M113" s="259" t="str">
        <f t="shared" si="88"/>
        <v/>
      </c>
      <c r="N113" s="256" t="str">
        <f t="shared" si="89"/>
        <v/>
      </c>
      <c r="O113" s="259" t="str">
        <f t="shared" si="90"/>
        <v/>
      </c>
      <c r="P113" s="259" t="str">
        <f t="shared" si="91"/>
        <v/>
      </c>
      <c r="Q113" s="256" t="str">
        <f t="shared" si="92"/>
        <v/>
      </c>
      <c r="R113" s="259" t="str">
        <f t="shared" si="93"/>
        <v/>
      </c>
      <c r="S113" s="259" t="str">
        <f t="shared" si="94"/>
        <v/>
      </c>
      <c r="T113" s="256" t="str">
        <f t="shared" si="95"/>
        <v/>
      </c>
      <c r="U113" s="217"/>
      <c r="V113" s="217"/>
      <c r="AB113" s="257" t="e">
        <f>VLOOKUP($B$6,Lookup_Source,106,0)</f>
        <v>#N/A</v>
      </c>
      <c r="AC113" s="241" t="str">
        <f t="shared" si="96"/>
        <v/>
      </c>
      <c r="AD113" s="242">
        <f t="shared" si="97"/>
        <v>7</v>
      </c>
      <c r="AE113" s="261" t="e">
        <f t="shared" si="66"/>
        <v>#N/A</v>
      </c>
      <c r="AF113" s="264" t="e">
        <f t="shared" si="98"/>
        <v>#N/A</v>
      </c>
      <c r="AG113" s="264" t="e">
        <f t="shared" si="99"/>
        <v>#N/A</v>
      </c>
      <c r="AH113" s="263" t="e">
        <f t="shared" si="67"/>
        <v>#N/A</v>
      </c>
      <c r="AI113" s="226">
        <f t="shared" si="100"/>
        <v>7</v>
      </c>
      <c r="AJ113" s="264" t="e">
        <f t="shared" si="68"/>
        <v>#N/A</v>
      </c>
      <c r="AK113" s="264" t="e">
        <f t="shared" si="101"/>
        <v>#N/A</v>
      </c>
      <c r="AL113" s="226" t="e">
        <f t="shared" si="69"/>
        <v>#N/A</v>
      </c>
      <c r="AM113" s="265" t="e">
        <f t="shared" si="102"/>
        <v>#N/A</v>
      </c>
      <c r="AN113" s="266" t="e">
        <f t="shared" si="70"/>
        <v>#N/A</v>
      </c>
      <c r="AO113" s="227" t="e">
        <f t="shared" si="71"/>
        <v>#N/A</v>
      </c>
      <c r="AP113" s="284">
        <f t="shared" si="103"/>
        <v>7</v>
      </c>
      <c r="AQ113" s="285" t="e">
        <f t="shared" si="72"/>
        <v>#N/A</v>
      </c>
      <c r="AR113" s="266" t="e">
        <f t="shared" si="104"/>
        <v>#N/A</v>
      </c>
      <c r="AS113" s="270" t="e">
        <f t="shared" si="73"/>
        <v>#N/A</v>
      </c>
      <c r="AT113" s="271">
        <f t="shared" si="105"/>
        <v>7</v>
      </c>
      <c r="AU113" s="272" t="e">
        <f t="shared" si="106"/>
        <v>#N/A</v>
      </c>
      <c r="AV113" s="273" t="e">
        <f t="shared" si="107"/>
        <v>#N/A</v>
      </c>
      <c r="AW113" s="274" t="e">
        <f t="shared" si="74"/>
        <v>#N/A</v>
      </c>
      <c r="AX113" s="232">
        <f t="shared" si="108"/>
        <v>7</v>
      </c>
      <c r="AY113" s="273" t="e">
        <f t="shared" si="75"/>
        <v>#N/A</v>
      </c>
      <c r="AZ113" s="232" t="e">
        <f t="shared" si="109"/>
        <v>#N/A</v>
      </c>
      <c r="BA113" s="232" t="e">
        <f t="shared" si="76"/>
        <v>#N/A</v>
      </c>
      <c r="BB113" s="275">
        <f t="shared" si="110"/>
        <v>7</v>
      </c>
      <c r="BC113" s="276" t="e">
        <f t="shared" si="111"/>
        <v>#N/A</v>
      </c>
      <c r="BD113" s="277" t="e">
        <f t="shared" si="112"/>
        <v>#N/A</v>
      </c>
      <c r="BE113" s="250" t="e">
        <f t="shared" si="77"/>
        <v>#N/A</v>
      </c>
      <c r="BF113" s="247">
        <f t="shared" si="113"/>
        <v>7</v>
      </c>
      <c r="BG113" s="276" t="e">
        <f t="shared" si="114"/>
        <v>#N/A</v>
      </c>
      <c r="BH113" s="277" t="e">
        <f t="shared" si="115"/>
        <v>#N/A</v>
      </c>
      <c r="BI113" s="250" t="e">
        <f t="shared" si="78"/>
        <v>#N/A</v>
      </c>
      <c r="BJ113" s="251">
        <f t="shared" si="116"/>
        <v>7</v>
      </c>
      <c r="BK113" s="278" t="e">
        <f t="shared" si="117"/>
        <v>#N/A</v>
      </c>
      <c r="BL113" s="278" t="e">
        <f t="shared" si="118"/>
        <v>#N/A</v>
      </c>
      <c r="BM113" s="279" t="e">
        <f t="shared" si="79"/>
        <v>#N/A</v>
      </c>
      <c r="BN113" s="280">
        <f t="shared" si="119"/>
        <v>7</v>
      </c>
      <c r="BO113" s="281" t="e">
        <f t="shared" si="120"/>
        <v>#N/A</v>
      </c>
      <c r="BP113" s="281" t="e">
        <f t="shared" si="121"/>
        <v>#N/A</v>
      </c>
      <c r="BQ113" s="279" t="e">
        <f t="shared" si="80"/>
        <v>#N/A</v>
      </c>
      <c r="BR113" s="282" t="e">
        <f t="shared" si="81"/>
        <v>#N/A</v>
      </c>
      <c r="BS113" s="217" t="e">
        <f>VLOOKUP($B113,SDR24_STOCK_BY_LA!$A$2:$C$11878,3,0)</f>
        <v>#N/A</v>
      </c>
      <c r="BT113" s="217" t="str">
        <f t="shared" si="122"/>
        <v/>
      </c>
    </row>
    <row r="114" spans="1:72" x14ac:dyDescent="0.2">
      <c r="A114" s="217" t="str">
        <f t="shared" si="123"/>
        <v/>
      </c>
      <c r="B114" s="217" t="str">
        <f t="shared" si="124"/>
        <v/>
      </c>
      <c r="C114" s="283" t="str">
        <f t="shared" si="82"/>
        <v/>
      </c>
      <c r="D114" s="256" t="str">
        <f>IF(B114="","",IF(totals!$Q$3=0,IFERROR(IF(AD114=2,"0",AE114),""),"-"))</f>
        <v/>
      </c>
      <c r="E114" s="258" t="str">
        <f t="shared" si="83"/>
        <v/>
      </c>
      <c r="F114" s="259" t="str">
        <f t="shared" si="84"/>
        <v/>
      </c>
      <c r="G114" s="259" t="str">
        <f t="shared" si="85"/>
        <v/>
      </c>
      <c r="H114" s="256" t="str">
        <f t="shared" si="63"/>
        <v/>
      </c>
      <c r="I114" s="259" t="str">
        <f t="shared" si="86"/>
        <v/>
      </c>
      <c r="J114" s="259" t="str">
        <f t="shared" si="87"/>
        <v/>
      </c>
      <c r="K114" s="256" t="str">
        <f t="shared" si="64"/>
        <v/>
      </c>
      <c r="L114" s="259" t="str">
        <f t="shared" si="65"/>
        <v/>
      </c>
      <c r="M114" s="259" t="str">
        <f t="shared" si="88"/>
        <v/>
      </c>
      <c r="N114" s="256" t="str">
        <f t="shared" si="89"/>
        <v/>
      </c>
      <c r="O114" s="259" t="str">
        <f t="shared" si="90"/>
        <v/>
      </c>
      <c r="P114" s="259" t="str">
        <f t="shared" si="91"/>
        <v/>
      </c>
      <c r="Q114" s="256" t="str">
        <f t="shared" si="92"/>
        <v/>
      </c>
      <c r="R114" s="259" t="str">
        <f t="shared" si="93"/>
        <v/>
      </c>
      <c r="S114" s="259" t="str">
        <f t="shared" si="94"/>
        <v/>
      </c>
      <c r="T114" s="256" t="str">
        <f t="shared" si="95"/>
        <v/>
      </c>
      <c r="U114" s="217"/>
      <c r="V114" s="217"/>
      <c r="AB114" s="217" t="e">
        <f>VLOOKUP($B$6,Lookup_Source,107,0)</f>
        <v>#N/A</v>
      </c>
      <c r="AC114" s="241" t="str">
        <f t="shared" si="96"/>
        <v/>
      </c>
      <c r="AD114" s="242">
        <f t="shared" si="97"/>
        <v>7</v>
      </c>
      <c r="AE114" s="261" t="e">
        <f t="shared" si="66"/>
        <v>#N/A</v>
      </c>
      <c r="AF114" s="264" t="e">
        <f t="shared" si="98"/>
        <v>#N/A</v>
      </c>
      <c r="AG114" s="264" t="e">
        <f t="shared" si="99"/>
        <v>#N/A</v>
      </c>
      <c r="AH114" s="263" t="e">
        <f t="shared" si="67"/>
        <v>#N/A</v>
      </c>
      <c r="AI114" s="226">
        <f t="shared" si="100"/>
        <v>7</v>
      </c>
      <c r="AJ114" s="264" t="e">
        <f t="shared" si="68"/>
        <v>#N/A</v>
      </c>
      <c r="AK114" s="264" t="e">
        <f t="shared" si="101"/>
        <v>#N/A</v>
      </c>
      <c r="AL114" s="226" t="e">
        <f t="shared" si="69"/>
        <v>#N/A</v>
      </c>
      <c r="AM114" s="265" t="e">
        <f t="shared" si="102"/>
        <v>#N/A</v>
      </c>
      <c r="AN114" s="266" t="e">
        <f t="shared" si="70"/>
        <v>#N/A</v>
      </c>
      <c r="AO114" s="227" t="e">
        <f t="shared" si="71"/>
        <v>#N/A</v>
      </c>
      <c r="AP114" s="284">
        <f t="shared" si="103"/>
        <v>7</v>
      </c>
      <c r="AQ114" s="285" t="e">
        <f t="shared" si="72"/>
        <v>#N/A</v>
      </c>
      <c r="AR114" s="266" t="e">
        <f t="shared" si="104"/>
        <v>#N/A</v>
      </c>
      <c r="AS114" s="270" t="e">
        <f t="shared" si="73"/>
        <v>#N/A</v>
      </c>
      <c r="AT114" s="271">
        <f t="shared" si="105"/>
        <v>7</v>
      </c>
      <c r="AU114" s="272" t="e">
        <f t="shared" si="106"/>
        <v>#N/A</v>
      </c>
      <c r="AV114" s="273" t="e">
        <f t="shared" si="107"/>
        <v>#N/A</v>
      </c>
      <c r="AW114" s="274" t="e">
        <f t="shared" si="74"/>
        <v>#N/A</v>
      </c>
      <c r="AX114" s="232">
        <f t="shared" si="108"/>
        <v>7</v>
      </c>
      <c r="AY114" s="273" t="e">
        <f t="shared" si="75"/>
        <v>#N/A</v>
      </c>
      <c r="AZ114" s="232" t="e">
        <f t="shared" si="109"/>
        <v>#N/A</v>
      </c>
      <c r="BA114" s="232" t="e">
        <f t="shared" si="76"/>
        <v>#N/A</v>
      </c>
      <c r="BB114" s="275">
        <f t="shared" si="110"/>
        <v>7</v>
      </c>
      <c r="BC114" s="276" t="e">
        <f t="shared" si="111"/>
        <v>#N/A</v>
      </c>
      <c r="BD114" s="277" t="e">
        <f t="shared" si="112"/>
        <v>#N/A</v>
      </c>
      <c r="BE114" s="250" t="e">
        <f t="shared" si="77"/>
        <v>#N/A</v>
      </c>
      <c r="BF114" s="247">
        <f t="shared" si="113"/>
        <v>7</v>
      </c>
      <c r="BG114" s="276" t="e">
        <f t="shared" si="114"/>
        <v>#N/A</v>
      </c>
      <c r="BH114" s="277" t="e">
        <f t="shared" si="115"/>
        <v>#N/A</v>
      </c>
      <c r="BI114" s="250" t="e">
        <f t="shared" si="78"/>
        <v>#N/A</v>
      </c>
      <c r="BJ114" s="251">
        <f t="shared" si="116"/>
        <v>7</v>
      </c>
      <c r="BK114" s="278" t="e">
        <f t="shared" si="117"/>
        <v>#N/A</v>
      </c>
      <c r="BL114" s="278" t="e">
        <f t="shared" si="118"/>
        <v>#N/A</v>
      </c>
      <c r="BM114" s="279" t="e">
        <f t="shared" si="79"/>
        <v>#N/A</v>
      </c>
      <c r="BN114" s="280">
        <f t="shared" si="119"/>
        <v>7</v>
      </c>
      <c r="BO114" s="281" t="e">
        <f t="shared" si="120"/>
        <v>#N/A</v>
      </c>
      <c r="BP114" s="281" t="e">
        <f t="shared" si="121"/>
        <v>#N/A</v>
      </c>
      <c r="BQ114" s="279" t="e">
        <f t="shared" si="80"/>
        <v>#N/A</v>
      </c>
      <c r="BR114" s="282" t="e">
        <f t="shared" si="81"/>
        <v>#N/A</v>
      </c>
      <c r="BS114" s="217" t="e">
        <f>VLOOKUP($B114,SDR24_STOCK_BY_LA!$A$2:$C$11878,3,0)</f>
        <v>#N/A</v>
      </c>
      <c r="BT114" s="217" t="str">
        <f t="shared" si="122"/>
        <v/>
      </c>
    </row>
    <row r="115" spans="1:72" x14ac:dyDescent="0.2">
      <c r="A115" s="256" t="str">
        <f t="shared" si="123"/>
        <v/>
      </c>
      <c r="B115" s="217" t="str">
        <f t="shared" si="124"/>
        <v/>
      </c>
      <c r="C115" s="257" t="str">
        <f t="shared" si="82"/>
        <v/>
      </c>
      <c r="D115" s="256" t="str">
        <f>IF(B115="","",IF(totals!$Q$3=0,IFERROR(IF(AD115=2,"0",AE115),""),"-"))</f>
        <v/>
      </c>
      <c r="E115" s="258" t="str">
        <f t="shared" si="83"/>
        <v/>
      </c>
      <c r="F115" s="259" t="str">
        <f t="shared" si="84"/>
        <v/>
      </c>
      <c r="G115" s="259" t="str">
        <f t="shared" si="85"/>
        <v/>
      </c>
      <c r="H115" s="256" t="str">
        <f t="shared" si="63"/>
        <v/>
      </c>
      <c r="I115" s="259" t="str">
        <f t="shared" si="86"/>
        <v/>
      </c>
      <c r="J115" s="259" t="str">
        <f t="shared" si="87"/>
        <v/>
      </c>
      <c r="K115" s="256" t="str">
        <f t="shared" si="64"/>
        <v/>
      </c>
      <c r="L115" s="259" t="str">
        <f t="shared" si="65"/>
        <v/>
      </c>
      <c r="M115" s="259" t="str">
        <f t="shared" si="88"/>
        <v/>
      </c>
      <c r="N115" s="256" t="str">
        <f t="shared" si="89"/>
        <v/>
      </c>
      <c r="O115" s="259" t="str">
        <f t="shared" si="90"/>
        <v/>
      </c>
      <c r="P115" s="259" t="str">
        <f t="shared" si="91"/>
        <v/>
      </c>
      <c r="Q115" s="256" t="str">
        <f t="shared" si="92"/>
        <v/>
      </c>
      <c r="R115" s="259" t="str">
        <f t="shared" si="93"/>
        <v/>
      </c>
      <c r="S115" s="259" t="str">
        <f t="shared" si="94"/>
        <v/>
      </c>
      <c r="T115" s="256" t="str">
        <f t="shared" si="95"/>
        <v/>
      </c>
      <c r="U115" s="217"/>
      <c r="V115" s="217"/>
      <c r="AB115" s="257" t="e">
        <f>VLOOKUP($B$6,Lookup_Source,108,0)</f>
        <v>#N/A</v>
      </c>
      <c r="AC115" s="241" t="str">
        <f t="shared" si="96"/>
        <v/>
      </c>
      <c r="AD115" s="242">
        <f t="shared" si="97"/>
        <v>7</v>
      </c>
      <c r="AE115" s="261" t="e">
        <f t="shared" si="66"/>
        <v>#N/A</v>
      </c>
      <c r="AF115" s="264" t="e">
        <f t="shared" si="98"/>
        <v>#N/A</v>
      </c>
      <c r="AG115" s="264" t="e">
        <f t="shared" si="99"/>
        <v>#N/A</v>
      </c>
      <c r="AH115" s="263" t="e">
        <f t="shared" si="67"/>
        <v>#N/A</v>
      </c>
      <c r="AI115" s="226">
        <f t="shared" si="100"/>
        <v>7</v>
      </c>
      <c r="AJ115" s="264" t="e">
        <f t="shared" si="68"/>
        <v>#N/A</v>
      </c>
      <c r="AK115" s="264" t="e">
        <f t="shared" si="101"/>
        <v>#N/A</v>
      </c>
      <c r="AL115" s="226" t="e">
        <f t="shared" si="69"/>
        <v>#N/A</v>
      </c>
      <c r="AM115" s="265" t="e">
        <f t="shared" si="102"/>
        <v>#N/A</v>
      </c>
      <c r="AN115" s="266" t="e">
        <f t="shared" si="70"/>
        <v>#N/A</v>
      </c>
      <c r="AO115" s="227" t="e">
        <f t="shared" si="71"/>
        <v>#N/A</v>
      </c>
      <c r="AP115" s="284">
        <f t="shared" si="103"/>
        <v>7</v>
      </c>
      <c r="AQ115" s="285" t="e">
        <f t="shared" si="72"/>
        <v>#N/A</v>
      </c>
      <c r="AR115" s="266" t="e">
        <f t="shared" si="104"/>
        <v>#N/A</v>
      </c>
      <c r="AS115" s="270" t="e">
        <f t="shared" si="73"/>
        <v>#N/A</v>
      </c>
      <c r="AT115" s="271">
        <f t="shared" si="105"/>
        <v>7</v>
      </c>
      <c r="AU115" s="272" t="e">
        <f t="shared" si="106"/>
        <v>#N/A</v>
      </c>
      <c r="AV115" s="273" t="e">
        <f t="shared" si="107"/>
        <v>#N/A</v>
      </c>
      <c r="AW115" s="274" t="e">
        <f t="shared" si="74"/>
        <v>#N/A</v>
      </c>
      <c r="AX115" s="232">
        <f t="shared" si="108"/>
        <v>7</v>
      </c>
      <c r="AY115" s="273" t="e">
        <f t="shared" si="75"/>
        <v>#N/A</v>
      </c>
      <c r="AZ115" s="232" t="e">
        <f t="shared" si="109"/>
        <v>#N/A</v>
      </c>
      <c r="BA115" s="232" t="e">
        <f t="shared" si="76"/>
        <v>#N/A</v>
      </c>
      <c r="BB115" s="275">
        <f t="shared" si="110"/>
        <v>7</v>
      </c>
      <c r="BC115" s="276" t="e">
        <f t="shared" si="111"/>
        <v>#N/A</v>
      </c>
      <c r="BD115" s="277" t="e">
        <f t="shared" si="112"/>
        <v>#N/A</v>
      </c>
      <c r="BE115" s="250" t="e">
        <f t="shared" si="77"/>
        <v>#N/A</v>
      </c>
      <c r="BF115" s="247">
        <f t="shared" si="113"/>
        <v>7</v>
      </c>
      <c r="BG115" s="276" t="e">
        <f t="shared" si="114"/>
        <v>#N/A</v>
      </c>
      <c r="BH115" s="277" t="e">
        <f t="shared" si="115"/>
        <v>#N/A</v>
      </c>
      <c r="BI115" s="250" t="e">
        <f t="shared" si="78"/>
        <v>#N/A</v>
      </c>
      <c r="BJ115" s="251">
        <f t="shared" si="116"/>
        <v>7</v>
      </c>
      <c r="BK115" s="278" t="e">
        <f t="shared" si="117"/>
        <v>#N/A</v>
      </c>
      <c r="BL115" s="278" t="e">
        <f t="shared" si="118"/>
        <v>#N/A</v>
      </c>
      <c r="BM115" s="279" t="e">
        <f t="shared" si="79"/>
        <v>#N/A</v>
      </c>
      <c r="BN115" s="280">
        <f t="shared" si="119"/>
        <v>7</v>
      </c>
      <c r="BO115" s="281" t="e">
        <f t="shared" si="120"/>
        <v>#N/A</v>
      </c>
      <c r="BP115" s="281" t="e">
        <f t="shared" si="121"/>
        <v>#N/A</v>
      </c>
      <c r="BQ115" s="279" t="e">
        <f t="shared" si="80"/>
        <v>#N/A</v>
      </c>
      <c r="BR115" s="282" t="e">
        <f t="shared" si="81"/>
        <v>#N/A</v>
      </c>
      <c r="BS115" s="217" t="e">
        <f>VLOOKUP($B115,SDR24_STOCK_BY_LA!$A$2:$C$11878,3,0)</f>
        <v>#N/A</v>
      </c>
      <c r="BT115" s="217" t="str">
        <f t="shared" si="122"/>
        <v/>
      </c>
    </row>
    <row r="116" spans="1:72" x14ac:dyDescent="0.2">
      <c r="A116" s="217" t="str">
        <f t="shared" si="123"/>
        <v/>
      </c>
      <c r="B116" s="217" t="str">
        <f t="shared" si="124"/>
        <v/>
      </c>
      <c r="C116" s="283" t="str">
        <f t="shared" si="82"/>
        <v/>
      </c>
      <c r="D116" s="256" t="str">
        <f>IF(B116="","",IF(totals!$Q$3=0,IFERROR(IF(AD116=2,"0",AE116),""),"-"))</f>
        <v/>
      </c>
      <c r="E116" s="258" t="str">
        <f t="shared" si="83"/>
        <v/>
      </c>
      <c r="F116" s="259" t="str">
        <f t="shared" si="84"/>
        <v/>
      </c>
      <c r="G116" s="259" t="str">
        <f t="shared" si="85"/>
        <v/>
      </c>
      <c r="H116" s="256" t="str">
        <f t="shared" si="63"/>
        <v/>
      </c>
      <c r="I116" s="259" t="str">
        <f t="shared" si="86"/>
        <v/>
      </c>
      <c r="J116" s="259" t="str">
        <f t="shared" si="87"/>
        <v/>
      </c>
      <c r="K116" s="256" t="str">
        <f t="shared" si="64"/>
        <v/>
      </c>
      <c r="L116" s="259" t="str">
        <f t="shared" si="65"/>
        <v/>
      </c>
      <c r="M116" s="259" t="str">
        <f t="shared" si="88"/>
        <v/>
      </c>
      <c r="N116" s="256" t="str">
        <f t="shared" si="89"/>
        <v/>
      </c>
      <c r="O116" s="259" t="str">
        <f t="shared" si="90"/>
        <v/>
      </c>
      <c r="P116" s="259" t="str">
        <f t="shared" si="91"/>
        <v/>
      </c>
      <c r="Q116" s="256" t="str">
        <f t="shared" si="92"/>
        <v/>
      </c>
      <c r="R116" s="259" t="str">
        <f t="shared" si="93"/>
        <v/>
      </c>
      <c r="S116" s="259" t="str">
        <f t="shared" si="94"/>
        <v/>
      </c>
      <c r="T116" s="256" t="str">
        <f t="shared" si="95"/>
        <v/>
      </c>
      <c r="U116" s="217"/>
      <c r="V116" s="217"/>
      <c r="AB116" s="217" t="e">
        <f>VLOOKUP($B$6,Lookup_Source,109,0)</f>
        <v>#N/A</v>
      </c>
      <c r="AC116" s="241" t="str">
        <f t="shared" si="96"/>
        <v/>
      </c>
      <c r="AD116" s="242">
        <f t="shared" si="97"/>
        <v>7</v>
      </c>
      <c r="AE116" s="261" t="e">
        <f t="shared" si="66"/>
        <v>#N/A</v>
      </c>
      <c r="AF116" s="264" t="e">
        <f t="shared" si="98"/>
        <v>#N/A</v>
      </c>
      <c r="AG116" s="264" t="e">
        <f t="shared" si="99"/>
        <v>#N/A</v>
      </c>
      <c r="AH116" s="263" t="e">
        <f t="shared" si="67"/>
        <v>#N/A</v>
      </c>
      <c r="AI116" s="226">
        <f t="shared" si="100"/>
        <v>7</v>
      </c>
      <c r="AJ116" s="264" t="e">
        <f t="shared" si="68"/>
        <v>#N/A</v>
      </c>
      <c r="AK116" s="264" t="e">
        <f t="shared" si="101"/>
        <v>#N/A</v>
      </c>
      <c r="AL116" s="226" t="e">
        <f t="shared" si="69"/>
        <v>#N/A</v>
      </c>
      <c r="AM116" s="265" t="e">
        <f t="shared" si="102"/>
        <v>#N/A</v>
      </c>
      <c r="AN116" s="266" t="e">
        <f t="shared" si="70"/>
        <v>#N/A</v>
      </c>
      <c r="AO116" s="227" t="e">
        <f t="shared" si="71"/>
        <v>#N/A</v>
      </c>
      <c r="AP116" s="284">
        <f t="shared" si="103"/>
        <v>7</v>
      </c>
      <c r="AQ116" s="285" t="e">
        <f t="shared" si="72"/>
        <v>#N/A</v>
      </c>
      <c r="AR116" s="266" t="e">
        <f t="shared" si="104"/>
        <v>#N/A</v>
      </c>
      <c r="AS116" s="270" t="e">
        <f t="shared" si="73"/>
        <v>#N/A</v>
      </c>
      <c r="AT116" s="271">
        <f t="shared" si="105"/>
        <v>7</v>
      </c>
      <c r="AU116" s="272" t="e">
        <f t="shared" si="106"/>
        <v>#N/A</v>
      </c>
      <c r="AV116" s="273" t="e">
        <f t="shared" si="107"/>
        <v>#N/A</v>
      </c>
      <c r="AW116" s="274" t="e">
        <f t="shared" si="74"/>
        <v>#N/A</v>
      </c>
      <c r="AX116" s="232">
        <f t="shared" si="108"/>
        <v>7</v>
      </c>
      <c r="AY116" s="273" t="e">
        <f t="shared" si="75"/>
        <v>#N/A</v>
      </c>
      <c r="AZ116" s="232" t="e">
        <f t="shared" si="109"/>
        <v>#N/A</v>
      </c>
      <c r="BA116" s="232" t="e">
        <f t="shared" si="76"/>
        <v>#N/A</v>
      </c>
      <c r="BB116" s="275">
        <f t="shared" si="110"/>
        <v>7</v>
      </c>
      <c r="BC116" s="276" t="e">
        <f t="shared" si="111"/>
        <v>#N/A</v>
      </c>
      <c r="BD116" s="277" t="e">
        <f t="shared" si="112"/>
        <v>#N/A</v>
      </c>
      <c r="BE116" s="250" t="e">
        <f t="shared" si="77"/>
        <v>#N/A</v>
      </c>
      <c r="BF116" s="247">
        <f t="shared" si="113"/>
        <v>7</v>
      </c>
      <c r="BG116" s="276" t="e">
        <f t="shared" si="114"/>
        <v>#N/A</v>
      </c>
      <c r="BH116" s="277" t="e">
        <f t="shared" si="115"/>
        <v>#N/A</v>
      </c>
      <c r="BI116" s="250" t="e">
        <f t="shared" si="78"/>
        <v>#N/A</v>
      </c>
      <c r="BJ116" s="251">
        <f t="shared" si="116"/>
        <v>7</v>
      </c>
      <c r="BK116" s="278" t="e">
        <f t="shared" si="117"/>
        <v>#N/A</v>
      </c>
      <c r="BL116" s="278" t="e">
        <f t="shared" si="118"/>
        <v>#N/A</v>
      </c>
      <c r="BM116" s="279" t="e">
        <f t="shared" si="79"/>
        <v>#N/A</v>
      </c>
      <c r="BN116" s="280">
        <f t="shared" si="119"/>
        <v>7</v>
      </c>
      <c r="BO116" s="281" t="e">
        <f t="shared" si="120"/>
        <v>#N/A</v>
      </c>
      <c r="BP116" s="281" t="e">
        <f t="shared" si="121"/>
        <v>#N/A</v>
      </c>
      <c r="BQ116" s="279" t="e">
        <f t="shared" si="80"/>
        <v>#N/A</v>
      </c>
      <c r="BR116" s="282" t="e">
        <f t="shared" si="81"/>
        <v>#N/A</v>
      </c>
      <c r="BS116" s="217" t="e">
        <f>VLOOKUP($B116,SDR24_STOCK_BY_LA!$A$2:$C$11878,3,0)</f>
        <v>#N/A</v>
      </c>
      <c r="BT116" s="217" t="str">
        <f t="shared" si="122"/>
        <v/>
      </c>
    </row>
    <row r="117" spans="1:72" x14ac:dyDescent="0.2">
      <c r="A117" s="256" t="str">
        <f t="shared" si="123"/>
        <v/>
      </c>
      <c r="B117" s="217" t="str">
        <f t="shared" si="124"/>
        <v/>
      </c>
      <c r="C117" s="257" t="str">
        <f t="shared" si="82"/>
        <v/>
      </c>
      <c r="D117" s="256" t="str">
        <f>IF(B117="","",IF(totals!$Q$3=0,IFERROR(IF(AD117=2,"0",AE117),""),"-"))</f>
        <v/>
      </c>
      <c r="E117" s="258" t="str">
        <f t="shared" si="83"/>
        <v/>
      </c>
      <c r="F117" s="259" t="str">
        <f t="shared" si="84"/>
        <v/>
      </c>
      <c r="G117" s="259" t="str">
        <f t="shared" si="85"/>
        <v/>
      </c>
      <c r="H117" s="256" t="str">
        <f t="shared" si="63"/>
        <v/>
      </c>
      <c r="I117" s="259" t="str">
        <f t="shared" si="86"/>
        <v/>
      </c>
      <c r="J117" s="259" t="str">
        <f t="shared" si="87"/>
        <v/>
      </c>
      <c r="K117" s="256" t="str">
        <f t="shared" si="64"/>
        <v/>
      </c>
      <c r="L117" s="259" t="str">
        <f t="shared" si="65"/>
        <v/>
      </c>
      <c r="M117" s="259" t="str">
        <f t="shared" si="88"/>
        <v/>
      </c>
      <c r="N117" s="256" t="str">
        <f t="shared" si="89"/>
        <v/>
      </c>
      <c r="O117" s="259" t="str">
        <f t="shared" si="90"/>
        <v/>
      </c>
      <c r="P117" s="259" t="str">
        <f t="shared" si="91"/>
        <v/>
      </c>
      <c r="Q117" s="256" t="str">
        <f t="shared" si="92"/>
        <v/>
      </c>
      <c r="R117" s="259" t="str">
        <f t="shared" si="93"/>
        <v/>
      </c>
      <c r="S117" s="259" t="str">
        <f t="shared" si="94"/>
        <v/>
      </c>
      <c r="T117" s="256" t="str">
        <f t="shared" si="95"/>
        <v/>
      </c>
      <c r="U117" s="217"/>
      <c r="V117" s="217"/>
      <c r="AB117" s="257" t="e">
        <f>VLOOKUP($B$6,Lookup_Source,110,0)</f>
        <v>#N/A</v>
      </c>
      <c r="AC117" s="241" t="str">
        <f t="shared" si="96"/>
        <v/>
      </c>
      <c r="AD117" s="242">
        <f t="shared" si="97"/>
        <v>7</v>
      </c>
      <c r="AE117" s="261" t="e">
        <f t="shared" si="66"/>
        <v>#N/A</v>
      </c>
      <c r="AF117" s="264" t="e">
        <f t="shared" si="98"/>
        <v>#N/A</v>
      </c>
      <c r="AG117" s="264" t="e">
        <f t="shared" si="99"/>
        <v>#N/A</v>
      </c>
      <c r="AH117" s="263" t="e">
        <f t="shared" si="67"/>
        <v>#N/A</v>
      </c>
      <c r="AI117" s="226">
        <f t="shared" si="100"/>
        <v>7</v>
      </c>
      <c r="AJ117" s="264" t="e">
        <f t="shared" si="68"/>
        <v>#N/A</v>
      </c>
      <c r="AK117" s="264" t="e">
        <f t="shared" si="101"/>
        <v>#N/A</v>
      </c>
      <c r="AL117" s="226" t="e">
        <f t="shared" si="69"/>
        <v>#N/A</v>
      </c>
      <c r="AM117" s="265" t="e">
        <f t="shared" si="102"/>
        <v>#N/A</v>
      </c>
      <c r="AN117" s="266" t="e">
        <f t="shared" si="70"/>
        <v>#N/A</v>
      </c>
      <c r="AO117" s="227" t="e">
        <f t="shared" si="71"/>
        <v>#N/A</v>
      </c>
      <c r="AP117" s="284">
        <f t="shared" si="103"/>
        <v>7</v>
      </c>
      <c r="AQ117" s="285" t="e">
        <f t="shared" si="72"/>
        <v>#N/A</v>
      </c>
      <c r="AR117" s="266" t="e">
        <f t="shared" si="104"/>
        <v>#N/A</v>
      </c>
      <c r="AS117" s="270" t="e">
        <f t="shared" si="73"/>
        <v>#N/A</v>
      </c>
      <c r="AT117" s="271">
        <f t="shared" si="105"/>
        <v>7</v>
      </c>
      <c r="AU117" s="272" t="e">
        <f t="shared" si="106"/>
        <v>#N/A</v>
      </c>
      <c r="AV117" s="273" t="e">
        <f t="shared" si="107"/>
        <v>#N/A</v>
      </c>
      <c r="AW117" s="274" t="e">
        <f t="shared" si="74"/>
        <v>#N/A</v>
      </c>
      <c r="AX117" s="232">
        <f t="shared" si="108"/>
        <v>7</v>
      </c>
      <c r="AY117" s="273" t="e">
        <f t="shared" si="75"/>
        <v>#N/A</v>
      </c>
      <c r="AZ117" s="232" t="e">
        <f t="shared" si="109"/>
        <v>#N/A</v>
      </c>
      <c r="BA117" s="232" t="e">
        <f t="shared" si="76"/>
        <v>#N/A</v>
      </c>
      <c r="BB117" s="275">
        <f t="shared" si="110"/>
        <v>7</v>
      </c>
      <c r="BC117" s="276" t="e">
        <f t="shared" si="111"/>
        <v>#N/A</v>
      </c>
      <c r="BD117" s="277" t="e">
        <f t="shared" si="112"/>
        <v>#N/A</v>
      </c>
      <c r="BE117" s="250" t="e">
        <f t="shared" si="77"/>
        <v>#N/A</v>
      </c>
      <c r="BF117" s="247">
        <f t="shared" si="113"/>
        <v>7</v>
      </c>
      <c r="BG117" s="276" t="e">
        <f t="shared" si="114"/>
        <v>#N/A</v>
      </c>
      <c r="BH117" s="277" t="e">
        <f t="shared" si="115"/>
        <v>#N/A</v>
      </c>
      <c r="BI117" s="250" t="e">
        <f t="shared" si="78"/>
        <v>#N/A</v>
      </c>
      <c r="BJ117" s="251">
        <f t="shared" si="116"/>
        <v>7</v>
      </c>
      <c r="BK117" s="278" t="e">
        <f t="shared" si="117"/>
        <v>#N/A</v>
      </c>
      <c r="BL117" s="278" t="e">
        <f t="shared" si="118"/>
        <v>#N/A</v>
      </c>
      <c r="BM117" s="279" t="e">
        <f t="shared" si="79"/>
        <v>#N/A</v>
      </c>
      <c r="BN117" s="280">
        <f t="shared" si="119"/>
        <v>7</v>
      </c>
      <c r="BO117" s="281" t="e">
        <f t="shared" si="120"/>
        <v>#N/A</v>
      </c>
      <c r="BP117" s="281" t="e">
        <f t="shared" si="121"/>
        <v>#N/A</v>
      </c>
      <c r="BQ117" s="279" t="e">
        <f t="shared" si="80"/>
        <v>#N/A</v>
      </c>
      <c r="BR117" s="282" t="e">
        <f t="shared" si="81"/>
        <v>#N/A</v>
      </c>
      <c r="BS117" s="217" t="e">
        <f>VLOOKUP($B117,SDR24_STOCK_BY_LA!$A$2:$C$11878,3,0)</f>
        <v>#N/A</v>
      </c>
      <c r="BT117" s="217" t="str">
        <f t="shared" si="122"/>
        <v/>
      </c>
    </row>
    <row r="118" spans="1:72" x14ac:dyDescent="0.2">
      <c r="A118" s="217" t="str">
        <f t="shared" si="123"/>
        <v/>
      </c>
      <c r="B118" s="217" t="str">
        <f t="shared" si="124"/>
        <v/>
      </c>
      <c r="C118" s="283" t="str">
        <f t="shared" si="82"/>
        <v/>
      </c>
      <c r="D118" s="256" t="str">
        <f>IF(B118="","",IF(totals!$Q$3=0,IFERROR(IF(AD118=2,"0",AE118),""),"-"))</f>
        <v/>
      </c>
      <c r="E118" s="258" t="str">
        <f t="shared" si="83"/>
        <v/>
      </c>
      <c r="F118" s="259" t="str">
        <f t="shared" si="84"/>
        <v/>
      </c>
      <c r="G118" s="259" t="str">
        <f t="shared" si="85"/>
        <v/>
      </c>
      <c r="H118" s="256" t="str">
        <f t="shared" si="63"/>
        <v/>
      </c>
      <c r="I118" s="259" t="str">
        <f t="shared" si="86"/>
        <v/>
      </c>
      <c r="J118" s="259" t="str">
        <f t="shared" si="87"/>
        <v/>
      </c>
      <c r="K118" s="256" t="str">
        <f t="shared" si="64"/>
        <v/>
      </c>
      <c r="L118" s="259" t="str">
        <f t="shared" si="65"/>
        <v/>
      </c>
      <c r="M118" s="259" t="str">
        <f t="shared" si="88"/>
        <v/>
      </c>
      <c r="N118" s="256" t="str">
        <f t="shared" si="89"/>
        <v/>
      </c>
      <c r="O118" s="259" t="str">
        <f t="shared" si="90"/>
        <v/>
      </c>
      <c r="P118" s="259" t="str">
        <f t="shared" si="91"/>
        <v/>
      </c>
      <c r="Q118" s="256" t="str">
        <f t="shared" si="92"/>
        <v/>
      </c>
      <c r="R118" s="259" t="str">
        <f t="shared" si="93"/>
        <v/>
      </c>
      <c r="S118" s="259" t="str">
        <f t="shared" si="94"/>
        <v/>
      </c>
      <c r="T118" s="256" t="str">
        <f t="shared" si="95"/>
        <v/>
      </c>
      <c r="U118" s="217"/>
      <c r="V118" s="217"/>
      <c r="AB118" s="217" t="e">
        <f>VLOOKUP($B$6,Lookup_Source,111,0)</f>
        <v>#N/A</v>
      </c>
      <c r="AC118" s="241" t="str">
        <f t="shared" si="96"/>
        <v/>
      </c>
      <c r="AD118" s="242">
        <f t="shared" si="97"/>
        <v>7</v>
      </c>
      <c r="AE118" s="261" t="e">
        <f t="shared" si="66"/>
        <v>#N/A</v>
      </c>
      <c r="AF118" s="264" t="e">
        <f t="shared" si="98"/>
        <v>#N/A</v>
      </c>
      <c r="AG118" s="264" t="e">
        <f t="shared" si="99"/>
        <v>#N/A</v>
      </c>
      <c r="AH118" s="263" t="e">
        <f t="shared" si="67"/>
        <v>#N/A</v>
      </c>
      <c r="AI118" s="226">
        <f t="shared" si="100"/>
        <v>7</v>
      </c>
      <c r="AJ118" s="264" t="e">
        <f t="shared" si="68"/>
        <v>#N/A</v>
      </c>
      <c r="AK118" s="264" t="e">
        <f t="shared" si="101"/>
        <v>#N/A</v>
      </c>
      <c r="AL118" s="226" t="e">
        <f t="shared" si="69"/>
        <v>#N/A</v>
      </c>
      <c r="AM118" s="265" t="e">
        <f t="shared" si="102"/>
        <v>#N/A</v>
      </c>
      <c r="AN118" s="266" t="e">
        <f t="shared" si="70"/>
        <v>#N/A</v>
      </c>
      <c r="AO118" s="227" t="e">
        <f t="shared" si="71"/>
        <v>#N/A</v>
      </c>
      <c r="AP118" s="284">
        <f t="shared" si="103"/>
        <v>7</v>
      </c>
      <c r="AQ118" s="285" t="e">
        <f t="shared" si="72"/>
        <v>#N/A</v>
      </c>
      <c r="AR118" s="266" t="e">
        <f t="shared" si="104"/>
        <v>#N/A</v>
      </c>
      <c r="AS118" s="270" t="e">
        <f t="shared" si="73"/>
        <v>#N/A</v>
      </c>
      <c r="AT118" s="271">
        <f t="shared" si="105"/>
        <v>7</v>
      </c>
      <c r="AU118" s="272" t="e">
        <f t="shared" si="106"/>
        <v>#N/A</v>
      </c>
      <c r="AV118" s="273" t="e">
        <f t="shared" si="107"/>
        <v>#N/A</v>
      </c>
      <c r="AW118" s="274" t="e">
        <f t="shared" si="74"/>
        <v>#N/A</v>
      </c>
      <c r="AX118" s="232">
        <f t="shared" si="108"/>
        <v>7</v>
      </c>
      <c r="AY118" s="273" t="e">
        <f t="shared" si="75"/>
        <v>#N/A</v>
      </c>
      <c r="AZ118" s="232" t="e">
        <f t="shared" si="109"/>
        <v>#N/A</v>
      </c>
      <c r="BA118" s="232" t="e">
        <f t="shared" si="76"/>
        <v>#N/A</v>
      </c>
      <c r="BB118" s="275">
        <f t="shared" si="110"/>
        <v>7</v>
      </c>
      <c r="BC118" s="276" t="e">
        <f t="shared" si="111"/>
        <v>#N/A</v>
      </c>
      <c r="BD118" s="277" t="e">
        <f t="shared" si="112"/>
        <v>#N/A</v>
      </c>
      <c r="BE118" s="250" t="e">
        <f t="shared" si="77"/>
        <v>#N/A</v>
      </c>
      <c r="BF118" s="247">
        <f t="shared" si="113"/>
        <v>7</v>
      </c>
      <c r="BG118" s="276" t="e">
        <f t="shared" si="114"/>
        <v>#N/A</v>
      </c>
      <c r="BH118" s="277" t="e">
        <f t="shared" si="115"/>
        <v>#N/A</v>
      </c>
      <c r="BI118" s="250" t="e">
        <f t="shared" si="78"/>
        <v>#N/A</v>
      </c>
      <c r="BJ118" s="251">
        <f t="shared" si="116"/>
        <v>7</v>
      </c>
      <c r="BK118" s="278" t="e">
        <f t="shared" si="117"/>
        <v>#N/A</v>
      </c>
      <c r="BL118" s="278" t="e">
        <f t="shared" si="118"/>
        <v>#N/A</v>
      </c>
      <c r="BM118" s="279" t="e">
        <f t="shared" si="79"/>
        <v>#N/A</v>
      </c>
      <c r="BN118" s="280">
        <f t="shared" si="119"/>
        <v>7</v>
      </c>
      <c r="BO118" s="281" t="e">
        <f t="shared" si="120"/>
        <v>#N/A</v>
      </c>
      <c r="BP118" s="281" t="e">
        <f t="shared" si="121"/>
        <v>#N/A</v>
      </c>
      <c r="BQ118" s="279" t="e">
        <f t="shared" si="80"/>
        <v>#N/A</v>
      </c>
      <c r="BR118" s="282" t="e">
        <f t="shared" si="81"/>
        <v>#N/A</v>
      </c>
      <c r="BS118" s="217" t="e">
        <f>VLOOKUP($B118,SDR24_STOCK_BY_LA!$A$2:$C$11878,3,0)</f>
        <v>#N/A</v>
      </c>
      <c r="BT118" s="217" t="str">
        <f t="shared" si="122"/>
        <v/>
      </c>
    </row>
    <row r="119" spans="1:72" x14ac:dyDescent="0.2">
      <c r="A119" s="256" t="str">
        <f t="shared" si="123"/>
        <v/>
      </c>
      <c r="B119" s="217" t="str">
        <f t="shared" si="124"/>
        <v/>
      </c>
      <c r="C119" s="257" t="str">
        <f t="shared" si="82"/>
        <v/>
      </c>
      <c r="D119" s="256" t="str">
        <f>IF(B119="","",IF(totals!$Q$3=0,IFERROR(IF(AD119=2,"0",AE119),""),"-"))</f>
        <v/>
      </c>
      <c r="E119" s="258" t="str">
        <f t="shared" si="83"/>
        <v/>
      </c>
      <c r="F119" s="259" t="str">
        <f t="shared" si="84"/>
        <v/>
      </c>
      <c r="G119" s="259" t="str">
        <f t="shared" si="85"/>
        <v/>
      </c>
      <c r="H119" s="256" t="str">
        <f t="shared" si="63"/>
        <v/>
      </c>
      <c r="I119" s="259" t="str">
        <f t="shared" si="86"/>
        <v/>
      </c>
      <c r="J119" s="259" t="str">
        <f t="shared" si="87"/>
        <v/>
      </c>
      <c r="K119" s="256" t="str">
        <f t="shared" si="64"/>
        <v/>
      </c>
      <c r="L119" s="259" t="str">
        <f t="shared" si="65"/>
        <v/>
      </c>
      <c r="M119" s="259" t="str">
        <f t="shared" si="88"/>
        <v/>
      </c>
      <c r="N119" s="256" t="str">
        <f t="shared" si="89"/>
        <v/>
      </c>
      <c r="O119" s="259" t="str">
        <f t="shared" si="90"/>
        <v/>
      </c>
      <c r="P119" s="259" t="str">
        <f t="shared" si="91"/>
        <v/>
      </c>
      <c r="Q119" s="256" t="str">
        <f t="shared" si="92"/>
        <v/>
      </c>
      <c r="R119" s="259" t="str">
        <f t="shared" si="93"/>
        <v/>
      </c>
      <c r="S119" s="259" t="str">
        <f t="shared" si="94"/>
        <v/>
      </c>
      <c r="T119" s="256" t="str">
        <f t="shared" si="95"/>
        <v/>
      </c>
      <c r="U119" s="217"/>
      <c r="V119" s="217"/>
      <c r="AB119" s="257" t="e">
        <f>VLOOKUP($B$6,Lookup_Source,112,0)</f>
        <v>#N/A</v>
      </c>
      <c r="AC119" s="241" t="str">
        <f t="shared" si="96"/>
        <v/>
      </c>
      <c r="AD119" s="242">
        <f t="shared" si="97"/>
        <v>7</v>
      </c>
      <c r="AE119" s="261" t="e">
        <f t="shared" si="66"/>
        <v>#N/A</v>
      </c>
      <c r="AF119" s="264" t="e">
        <f t="shared" si="98"/>
        <v>#N/A</v>
      </c>
      <c r="AG119" s="264" t="e">
        <f t="shared" si="99"/>
        <v>#N/A</v>
      </c>
      <c r="AH119" s="263" t="e">
        <f t="shared" si="67"/>
        <v>#N/A</v>
      </c>
      <c r="AI119" s="226">
        <f t="shared" si="100"/>
        <v>7</v>
      </c>
      <c r="AJ119" s="264" t="e">
        <f t="shared" si="68"/>
        <v>#N/A</v>
      </c>
      <c r="AK119" s="264" t="e">
        <f t="shared" si="101"/>
        <v>#N/A</v>
      </c>
      <c r="AL119" s="226" t="e">
        <f t="shared" si="69"/>
        <v>#N/A</v>
      </c>
      <c r="AM119" s="265" t="e">
        <f t="shared" si="102"/>
        <v>#N/A</v>
      </c>
      <c r="AN119" s="266" t="e">
        <f t="shared" si="70"/>
        <v>#N/A</v>
      </c>
      <c r="AO119" s="227" t="e">
        <f t="shared" si="71"/>
        <v>#N/A</v>
      </c>
      <c r="AP119" s="284">
        <f t="shared" si="103"/>
        <v>7</v>
      </c>
      <c r="AQ119" s="285" t="e">
        <f t="shared" si="72"/>
        <v>#N/A</v>
      </c>
      <c r="AR119" s="266" t="e">
        <f t="shared" si="104"/>
        <v>#N/A</v>
      </c>
      <c r="AS119" s="270" t="e">
        <f t="shared" si="73"/>
        <v>#N/A</v>
      </c>
      <c r="AT119" s="271">
        <f t="shared" si="105"/>
        <v>7</v>
      </c>
      <c r="AU119" s="272" t="e">
        <f t="shared" si="106"/>
        <v>#N/A</v>
      </c>
      <c r="AV119" s="273" t="e">
        <f t="shared" si="107"/>
        <v>#N/A</v>
      </c>
      <c r="AW119" s="274" t="e">
        <f t="shared" si="74"/>
        <v>#N/A</v>
      </c>
      <c r="AX119" s="232">
        <f t="shared" si="108"/>
        <v>7</v>
      </c>
      <c r="AY119" s="273" t="e">
        <f t="shared" si="75"/>
        <v>#N/A</v>
      </c>
      <c r="AZ119" s="232" t="e">
        <f t="shared" si="109"/>
        <v>#N/A</v>
      </c>
      <c r="BA119" s="232" t="e">
        <f t="shared" si="76"/>
        <v>#N/A</v>
      </c>
      <c r="BB119" s="275">
        <f t="shared" si="110"/>
        <v>7</v>
      </c>
      <c r="BC119" s="276" t="e">
        <f t="shared" si="111"/>
        <v>#N/A</v>
      </c>
      <c r="BD119" s="277" t="e">
        <f t="shared" si="112"/>
        <v>#N/A</v>
      </c>
      <c r="BE119" s="250" t="e">
        <f t="shared" si="77"/>
        <v>#N/A</v>
      </c>
      <c r="BF119" s="247">
        <f t="shared" si="113"/>
        <v>7</v>
      </c>
      <c r="BG119" s="276" t="e">
        <f t="shared" si="114"/>
        <v>#N/A</v>
      </c>
      <c r="BH119" s="277" t="e">
        <f t="shared" si="115"/>
        <v>#N/A</v>
      </c>
      <c r="BI119" s="250" t="e">
        <f t="shared" si="78"/>
        <v>#N/A</v>
      </c>
      <c r="BJ119" s="251">
        <f t="shared" si="116"/>
        <v>7</v>
      </c>
      <c r="BK119" s="278" t="e">
        <f t="shared" si="117"/>
        <v>#N/A</v>
      </c>
      <c r="BL119" s="278" t="e">
        <f t="shared" si="118"/>
        <v>#N/A</v>
      </c>
      <c r="BM119" s="279" t="e">
        <f t="shared" si="79"/>
        <v>#N/A</v>
      </c>
      <c r="BN119" s="280">
        <f t="shared" si="119"/>
        <v>7</v>
      </c>
      <c r="BO119" s="281" t="e">
        <f t="shared" si="120"/>
        <v>#N/A</v>
      </c>
      <c r="BP119" s="281" t="e">
        <f t="shared" si="121"/>
        <v>#N/A</v>
      </c>
      <c r="BQ119" s="279" t="e">
        <f t="shared" si="80"/>
        <v>#N/A</v>
      </c>
      <c r="BR119" s="282" t="e">
        <f t="shared" si="81"/>
        <v>#N/A</v>
      </c>
      <c r="BS119" s="217" t="e">
        <f>VLOOKUP($B119,SDR24_STOCK_BY_LA!$A$2:$C$11878,3,0)</f>
        <v>#N/A</v>
      </c>
      <c r="BT119" s="217" t="str">
        <f t="shared" si="122"/>
        <v/>
      </c>
    </row>
    <row r="120" spans="1:72" x14ac:dyDescent="0.2">
      <c r="A120" s="217" t="str">
        <f t="shared" si="123"/>
        <v/>
      </c>
      <c r="B120" s="217" t="str">
        <f t="shared" si="124"/>
        <v/>
      </c>
      <c r="C120" s="283" t="str">
        <f t="shared" si="82"/>
        <v/>
      </c>
      <c r="D120" s="256" t="str">
        <f>IF(B120="","",IF(totals!$Q$3=0,IFERROR(IF(AD120=2,"0",AE120),""),"-"))</f>
        <v/>
      </c>
      <c r="E120" s="258" t="str">
        <f t="shared" si="83"/>
        <v/>
      </c>
      <c r="F120" s="259" t="str">
        <f t="shared" si="84"/>
        <v/>
      </c>
      <c r="G120" s="259" t="str">
        <f t="shared" si="85"/>
        <v/>
      </c>
      <c r="H120" s="256" t="str">
        <f t="shared" si="63"/>
        <v/>
      </c>
      <c r="I120" s="259" t="str">
        <f t="shared" si="86"/>
        <v/>
      </c>
      <c r="J120" s="259" t="str">
        <f t="shared" si="87"/>
        <v/>
      </c>
      <c r="K120" s="256" t="str">
        <f t="shared" si="64"/>
        <v/>
      </c>
      <c r="L120" s="259" t="str">
        <f t="shared" si="65"/>
        <v/>
      </c>
      <c r="M120" s="259" t="str">
        <f t="shared" si="88"/>
        <v/>
      </c>
      <c r="N120" s="256" t="str">
        <f t="shared" si="89"/>
        <v/>
      </c>
      <c r="O120" s="259" t="str">
        <f t="shared" si="90"/>
        <v/>
      </c>
      <c r="P120" s="259" t="str">
        <f t="shared" si="91"/>
        <v/>
      </c>
      <c r="Q120" s="256" t="str">
        <f t="shared" si="92"/>
        <v/>
      </c>
      <c r="R120" s="259" t="str">
        <f t="shared" si="93"/>
        <v/>
      </c>
      <c r="S120" s="259" t="str">
        <f t="shared" si="94"/>
        <v/>
      </c>
      <c r="T120" s="256" t="str">
        <f t="shared" si="95"/>
        <v/>
      </c>
      <c r="U120" s="217"/>
      <c r="V120" s="217"/>
      <c r="AB120" s="217" t="e">
        <f>VLOOKUP($B$6,Lookup_Source,113,0)</f>
        <v>#N/A</v>
      </c>
      <c r="AC120" s="241" t="str">
        <f t="shared" si="96"/>
        <v/>
      </c>
      <c r="AD120" s="242">
        <f t="shared" si="97"/>
        <v>7</v>
      </c>
      <c r="AE120" s="261" t="e">
        <f t="shared" si="66"/>
        <v>#N/A</v>
      </c>
      <c r="AF120" s="264" t="e">
        <f t="shared" si="98"/>
        <v>#N/A</v>
      </c>
      <c r="AG120" s="264" t="e">
        <f t="shared" si="99"/>
        <v>#N/A</v>
      </c>
      <c r="AH120" s="263" t="e">
        <f t="shared" si="67"/>
        <v>#N/A</v>
      </c>
      <c r="AI120" s="226">
        <f t="shared" si="100"/>
        <v>7</v>
      </c>
      <c r="AJ120" s="264" t="e">
        <f t="shared" si="68"/>
        <v>#N/A</v>
      </c>
      <c r="AK120" s="264" t="e">
        <f t="shared" si="101"/>
        <v>#N/A</v>
      </c>
      <c r="AL120" s="226" t="e">
        <f t="shared" si="69"/>
        <v>#N/A</v>
      </c>
      <c r="AM120" s="265" t="e">
        <f t="shared" si="102"/>
        <v>#N/A</v>
      </c>
      <c r="AN120" s="266" t="e">
        <f t="shared" si="70"/>
        <v>#N/A</v>
      </c>
      <c r="AO120" s="227" t="e">
        <f t="shared" si="71"/>
        <v>#N/A</v>
      </c>
      <c r="AP120" s="284">
        <f t="shared" si="103"/>
        <v>7</v>
      </c>
      <c r="AQ120" s="285" t="e">
        <f t="shared" si="72"/>
        <v>#N/A</v>
      </c>
      <c r="AR120" s="266" t="e">
        <f t="shared" si="104"/>
        <v>#N/A</v>
      </c>
      <c r="AS120" s="270" t="e">
        <f t="shared" si="73"/>
        <v>#N/A</v>
      </c>
      <c r="AT120" s="271">
        <f t="shared" si="105"/>
        <v>7</v>
      </c>
      <c r="AU120" s="272" t="e">
        <f t="shared" si="106"/>
        <v>#N/A</v>
      </c>
      <c r="AV120" s="273" t="e">
        <f t="shared" si="107"/>
        <v>#N/A</v>
      </c>
      <c r="AW120" s="274" t="e">
        <f t="shared" si="74"/>
        <v>#N/A</v>
      </c>
      <c r="AX120" s="232">
        <f t="shared" si="108"/>
        <v>7</v>
      </c>
      <c r="AY120" s="273" t="e">
        <f t="shared" si="75"/>
        <v>#N/A</v>
      </c>
      <c r="AZ120" s="232" t="e">
        <f t="shared" si="109"/>
        <v>#N/A</v>
      </c>
      <c r="BA120" s="232" t="e">
        <f t="shared" si="76"/>
        <v>#N/A</v>
      </c>
      <c r="BB120" s="275">
        <f t="shared" si="110"/>
        <v>7</v>
      </c>
      <c r="BC120" s="276" t="e">
        <f t="shared" si="111"/>
        <v>#N/A</v>
      </c>
      <c r="BD120" s="277" t="e">
        <f t="shared" si="112"/>
        <v>#N/A</v>
      </c>
      <c r="BE120" s="250" t="e">
        <f t="shared" si="77"/>
        <v>#N/A</v>
      </c>
      <c r="BF120" s="247">
        <f t="shared" si="113"/>
        <v>7</v>
      </c>
      <c r="BG120" s="276" t="e">
        <f t="shared" si="114"/>
        <v>#N/A</v>
      </c>
      <c r="BH120" s="277" t="e">
        <f t="shared" si="115"/>
        <v>#N/A</v>
      </c>
      <c r="BI120" s="250" t="e">
        <f t="shared" si="78"/>
        <v>#N/A</v>
      </c>
      <c r="BJ120" s="251">
        <f t="shared" si="116"/>
        <v>7</v>
      </c>
      <c r="BK120" s="278" t="e">
        <f t="shared" si="117"/>
        <v>#N/A</v>
      </c>
      <c r="BL120" s="278" t="e">
        <f t="shared" si="118"/>
        <v>#N/A</v>
      </c>
      <c r="BM120" s="279" t="e">
        <f t="shared" si="79"/>
        <v>#N/A</v>
      </c>
      <c r="BN120" s="280">
        <f t="shared" si="119"/>
        <v>7</v>
      </c>
      <c r="BO120" s="281" t="e">
        <f t="shared" si="120"/>
        <v>#N/A</v>
      </c>
      <c r="BP120" s="281" t="e">
        <f t="shared" si="121"/>
        <v>#N/A</v>
      </c>
      <c r="BQ120" s="279" t="e">
        <f t="shared" si="80"/>
        <v>#N/A</v>
      </c>
      <c r="BR120" s="282" t="e">
        <f t="shared" si="81"/>
        <v>#N/A</v>
      </c>
      <c r="BS120" s="217" t="e">
        <f>VLOOKUP($B120,SDR24_STOCK_BY_LA!$A$2:$C$11878,3,0)</f>
        <v>#N/A</v>
      </c>
      <c r="BT120" s="217" t="str">
        <f t="shared" si="122"/>
        <v/>
      </c>
    </row>
    <row r="121" spans="1:72" x14ac:dyDescent="0.2">
      <c r="A121" s="256" t="str">
        <f t="shared" si="123"/>
        <v/>
      </c>
      <c r="B121" s="217" t="str">
        <f t="shared" si="124"/>
        <v/>
      </c>
      <c r="C121" s="257" t="str">
        <f t="shared" si="82"/>
        <v/>
      </c>
      <c r="D121" s="256" t="str">
        <f>IF(B121="","",IF(totals!$Q$3=0,IFERROR(IF(AD121=2,"0",AE121),""),"-"))</f>
        <v/>
      </c>
      <c r="E121" s="258" t="str">
        <f t="shared" si="83"/>
        <v/>
      </c>
      <c r="F121" s="259" t="str">
        <f t="shared" si="84"/>
        <v/>
      </c>
      <c r="G121" s="259" t="str">
        <f t="shared" si="85"/>
        <v/>
      </c>
      <c r="H121" s="256" t="str">
        <f t="shared" si="63"/>
        <v/>
      </c>
      <c r="I121" s="259" t="str">
        <f t="shared" si="86"/>
        <v/>
      </c>
      <c r="J121" s="259" t="str">
        <f t="shared" si="87"/>
        <v/>
      </c>
      <c r="K121" s="256" t="str">
        <f t="shared" si="64"/>
        <v/>
      </c>
      <c r="L121" s="259" t="str">
        <f t="shared" si="65"/>
        <v/>
      </c>
      <c r="M121" s="259" t="str">
        <f t="shared" si="88"/>
        <v/>
      </c>
      <c r="N121" s="256" t="str">
        <f t="shared" si="89"/>
        <v/>
      </c>
      <c r="O121" s="259" t="str">
        <f t="shared" si="90"/>
        <v/>
      </c>
      <c r="P121" s="259" t="str">
        <f t="shared" si="91"/>
        <v/>
      </c>
      <c r="Q121" s="256" t="str">
        <f t="shared" si="92"/>
        <v/>
      </c>
      <c r="R121" s="259" t="str">
        <f t="shared" si="93"/>
        <v/>
      </c>
      <c r="S121" s="259" t="str">
        <f t="shared" si="94"/>
        <v/>
      </c>
      <c r="T121" s="256" t="str">
        <f t="shared" si="95"/>
        <v/>
      </c>
      <c r="U121" s="217"/>
      <c r="V121" s="217"/>
      <c r="AB121" s="257" t="e">
        <f>VLOOKUP($B$6,Lookup_Source,114,0)</f>
        <v>#N/A</v>
      </c>
      <c r="AC121" s="241" t="str">
        <f t="shared" si="96"/>
        <v/>
      </c>
      <c r="AD121" s="242">
        <f t="shared" si="97"/>
        <v>7</v>
      </c>
      <c r="AE121" s="261" t="e">
        <f t="shared" si="66"/>
        <v>#N/A</v>
      </c>
      <c r="AF121" s="264" t="e">
        <f t="shared" si="98"/>
        <v>#N/A</v>
      </c>
      <c r="AG121" s="264" t="e">
        <f t="shared" si="99"/>
        <v>#N/A</v>
      </c>
      <c r="AH121" s="263" t="e">
        <f t="shared" si="67"/>
        <v>#N/A</v>
      </c>
      <c r="AI121" s="226">
        <f t="shared" si="100"/>
        <v>7</v>
      </c>
      <c r="AJ121" s="264" t="e">
        <f t="shared" si="68"/>
        <v>#N/A</v>
      </c>
      <c r="AK121" s="264" t="e">
        <f t="shared" si="101"/>
        <v>#N/A</v>
      </c>
      <c r="AL121" s="226" t="e">
        <f t="shared" si="69"/>
        <v>#N/A</v>
      </c>
      <c r="AM121" s="265" t="e">
        <f t="shared" si="102"/>
        <v>#N/A</v>
      </c>
      <c r="AN121" s="266" t="e">
        <f t="shared" si="70"/>
        <v>#N/A</v>
      </c>
      <c r="AO121" s="227" t="e">
        <f t="shared" si="71"/>
        <v>#N/A</v>
      </c>
      <c r="AP121" s="284">
        <f t="shared" si="103"/>
        <v>7</v>
      </c>
      <c r="AQ121" s="285" t="e">
        <f t="shared" si="72"/>
        <v>#N/A</v>
      </c>
      <c r="AR121" s="266" t="e">
        <f t="shared" si="104"/>
        <v>#N/A</v>
      </c>
      <c r="AS121" s="270" t="e">
        <f t="shared" si="73"/>
        <v>#N/A</v>
      </c>
      <c r="AT121" s="271">
        <f t="shared" si="105"/>
        <v>7</v>
      </c>
      <c r="AU121" s="272" t="e">
        <f t="shared" si="106"/>
        <v>#N/A</v>
      </c>
      <c r="AV121" s="273" t="e">
        <f t="shared" si="107"/>
        <v>#N/A</v>
      </c>
      <c r="AW121" s="274" t="e">
        <f t="shared" si="74"/>
        <v>#N/A</v>
      </c>
      <c r="AX121" s="232">
        <f t="shared" si="108"/>
        <v>7</v>
      </c>
      <c r="AY121" s="273" t="e">
        <f t="shared" si="75"/>
        <v>#N/A</v>
      </c>
      <c r="AZ121" s="232" t="e">
        <f t="shared" si="109"/>
        <v>#N/A</v>
      </c>
      <c r="BA121" s="232" t="e">
        <f t="shared" si="76"/>
        <v>#N/A</v>
      </c>
      <c r="BB121" s="275">
        <f t="shared" si="110"/>
        <v>7</v>
      </c>
      <c r="BC121" s="276" t="e">
        <f t="shared" si="111"/>
        <v>#N/A</v>
      </c>
      <c r="BD121" s="277" t="e">
        <f t="shared" si="112"/>
        <v>#N/A</v>
      </c>
      <c r="BE121" s="250" t="e">
        <f t="shared" si="77"/>
        <v>#N/A</v>
      </c>
      <c r="BF121" s="247">
        <f t="shared" si="113"/>
        <v>7</v>
      </c>
      <c r="BG121" s="276" t="e">
        <f t="shared" si="114"/>
        <v>#N/A</v>
      </c>
      <c r="BH121" s="277" t="e">
        <f t="shared" si="115"/>
        <v>#N/A</v>
      </c>
      <c r="BI121" s="250" t="e">
        <f t="shared" si="78"/>
        <v>#N/A</v>
      </c>
      <c r="BJ121" s="251">
        <f t="shared" si="116"/>
        <v>7</v>
      </c>
      <c r="BK121" s="278" t="e">
        <f t="shared" si="117"/>
        <v>#N/A</v>
      </c>
      <c r="BL121" s="278" t="e">
        <f t="shared" si="118"/>
        <v>#N/A</v>
      </c>
      <c r="BM121" s="279" t="e">
        <f t="shared" si="79"/>
        <v>#N/A</v>
      </c>
      <c r="BN121" s="280">
        <f t="shared" si="119"/>
        <v>7</v>
      </c>
      <c r="BO121" s="281" t="e">
        <f t="shared" si="120"/>
        <v>#N/A</v>
      </c>
      <c r="BP121" s="281" t="e">
        <f t="shared" si="121"/>
        <v>#N/A</v>
      </c>
      <c r="BQ121" s="279" t="e">
        <f t="shared" si="80"/>
        <v>#N/A</v>
      </c>
      <c r="BR121" s="282" t="e">
        <f t="shared" si="81"/>
        <v>#N/A</v>
      </c>
      <c r="BS121" s="217" t="e">
        <f>VLOOKUP($B121,SDR24_STOCK_BY_LA!$A$2:$C$11878,3,0)</f>
        <v>#N/A</v>
      </c>
      <c r="BT121" s="217" t="str">
        <f t="shared" si="122"/>
        <v/>
      </c>
    </row>
    <row r="122" spans="1:72" x14ac:dyDescent="0.2">
      <c r="A122" s="217" t="str">
        <f t="shared" si="123"/>
        <v/>
      </c>
      <c r="B122" s="217" t="str">
        <f t="shared" si="124"/>
        <v/>
      </c>
      <c r="C122" s="283" t="str">
        <f t="shared" si="82"/>
        <v/>
      </c>
      <c r="D122" s="256" t="str">
        <f>IF(B122="","",IF(totals!$Q$3=0,IFERROR(IF(AD122=2,"0",AE122),""),"-"))</f>
        <v/>
      </c>
      <c r="E122" s="258" t="str">
        <f t="shared" si="83"/>
        <v/>
      </c>
      <c r="F122" s="259" t="str">
        <f t="shared" si="84"/>
        <v/>
      </c>
      <c r="G122" s="259" t="str">
        <f t="shared" si="85"/>
        <v/>
      </c>
      <c r="H122" s="256" t="str">
        <f t="shared" si="63"/>
        <v/>
      </c>
      <c r="I122" s="259" t="str">
        <f t="shared" si="86"/>
        <v/>
      </c>
      <c r="J122" s="259" t="str">
        <f t="shared" si="87"/>
        <v/>
      </c>
      <c r="K122" s="256" t="str">
        <f t="shared" si="64"/>
        <v/>
      </c>
      <c r="L122" s="259" t="str">
        <f t="shared" si="65"/>
        <v/>
      </c>
      <c r="M122" s="259" t="str">
        <f t="shared" si="88"/>
        <v/>
      </c>
      <c r="N122" s="256" t="str">
        <f t="shared" si="89"/>
        <v/>
      </c>
      <c r="O122" s="259" t="str">
        <f t="shared" si="90"/>
        <v/>
      </c>
      <c r="P122" s="259" t="str">
        <f t="shared" si="91"/>
        <v/>
      </c>
      <c r="Q122" s="256" t="str">
        <f t="shared" si="92"/>
        <v/>
      </c>
      <c r="R122" s="259" t="str">
        <f t="shared" si="93"/>
        <v/>
      </c>
      <c r="S122" s="259" t="str">
        <f t="shared" si="94"/>
        <v/>
      </c>
      <c r="T122" s="256" t="str">
        <f t="shared" si="95"/>
        <v/>
      </c>
      <c r="U122" s="217"/>
      <c r="V122" s="217"/>
      <c r="AB122" s="217" t="e">
        <f>VLOOKUP($B$6,Lookup_Source,115,0)</f>
        <v>#N/A</v>
      </c>
      <c r="AC122" s="241" t="str">
        <f t="shared" si="96"/>
        <v/>
      </c>
      <c r="AD122" s="242">
        <f t="shared" si="97"/>
        <v>7</v>
      </c>
      <c r="AE122" s="261" t="e">
        <f t="shared" si="66"/>
        <v>#N/A</v>
      </c>
      <c r="AF122" s="264" t="e">
        <f t="shared" si="98"/>
        <v>#N/A</v>
      </c>
      <c r="AG122" s="264" t="e">
        <f t="shared" si="99"/>
        <v>#N/A</v>
      </c>
      <c r="AH122" s="263" t="e">
        <f t="shared" si="67"/>
        <v>#N/A</v>
      </c>
      <c r="AI122" s="226">
        <f t="shared" si="100"/>
        <v>7</v>
      </c>
      <c r="AJ122" s="264" t="e">
        <f t="shared" si="68"/>
        <v>#N/A</v>
      </c>
      <c r="AK122" s="264" t="e">
        <f t="shared" si="101"/>
        <v>#N/A</v>
      </c>
      <c r="AL122" s="226" t="e">
        <f t="shared" si="69"/>
        <v>#N/A</v>
      </c>
      <c r="AM122" s="265" t="e">
        <f t="shared" si="102"/>
        <v>#N/A</v>
      </c>
      <c r="AN122" s="266" t="e">
        <f t="shared" si="70"/>
        <v>#N/A</v>
      </c>
      <c r="AO122" s="227" t="e">
        <f t="shared" si="71"/>
        <v>#N/A</v>
      </c>
      <c r="AP122" s="284">
        <f t="shared" si="103"/>
        <v>7</v>
      </c>
      <c r="AQ122" s="285" t="e">
        <f t="shared" si="72"/>
        <v>#N/A</v>
      </c>
      <c r="AR122" s="266" t="e">
        <f t="shared" si="104"/>
        <v>#N/A</v>
      </c>
      <c r="AS122" s="270" t="e">
        <f t="shared" si="73"/>
        <v>#N/A</v>
      </c>
      <c r="AT122" s="271">
        <f t="shared" si="105"/>
        <v>7</v>
      </c>
      <c r="AU122" s="272" t="e">
        <f t="shared" si="106"/>
        <v>#N/A</v>
      </c>
      <c r="AV122" s="273" t="e">
        <f t="shared" si="107"/>
        <v>#N/A</v>
      </c>
      <c r="AW122" s="274" t="e">
        <f t="shared" si="74"/>
        <v>#N/A</v>
      </c>
      <c r="AX122" s="232">
        <f t="shared" si="108"/>
        <v>7</v>
      </c>
      <c r="AY122" s="273" t="e">
        <f t="shared" si="75"/>
        <v>#N/A</v>
      </c>
      <c r="AZ122" s="232" t="e">
        <f t="shared" si="109"/>
        <v>#N/A</v>
      </c>
      <c r="BA122" s="232" t="e">
        <f t="shared" si="76"/>
        <v>#N/A</v>
      </c>
      <c r="BB122" s="275">
        <f t="shared" si="110"/>
        <v>7</v>
      </c>
      <c r="BC122" s="276" t="e">
        <f t="shared" si="111"/>
        <v>#N/A</v>
      </c>
      <c r="BD122" s="277" t="e">
        <f t="shared" si="112"/>
        <v>#N/A</v>
      </c>
      <c r="BE122" s="250" t="e">
        <f t="shared" si="77"/>
        <v>#N/A</v>
      </c>
      <c r="BF122" s="247">
        <f t="shared" si="113"/>
        <v>7</v>
      </c>
      <c r="BG122" s="276" t="e">
        <f t="shared" si="114"/>
        <v>#N/A</v>
      </c>
      <c r="BH122" s="277" t="e">
        <f t="shared" si="115"/>
        <v>#N/A</v>
      </c>
      <c r="BI122" s="250" t="e">
        <f t="shared" si="78"/>
        <v>#N/A</v>
      </c>
      <c r="BJ122" s="251">
        <f t="shared" si="116"/>
        <v>7</v>
      </c>
      <c r="BK122" s="278" t="e">
        <f t="shared" si="117"/>
        <v>#N/A</v>
      </c>
      <c r="BL122" s="278" t="e">
        <f t="shared" si="118"/>
        <v>#N/A</v>
      </c>
      <c r="BM122" s="279" t="e">
        <f t="shared" si="79"/>
        <v>#N/A</v>
      </c>
      <c r="BN122" s="280">
        <f t="shared" si="119"/>
        <v>7</v>
      </c>
      <c r="BO122" s="281" t="e">
        <f t="shared" si="120"/>
        <v>#N/A</v>
      </c>
      <c r="BP122" s="281" t="e">
        <f t="shared" si="121"/>
        <v>#N/A</v>
      </c>
      <c r="BQ122" s="279" t="e">
        <f t="shared" si="80"/>
        <v>#N/A</v>
      </c>
      <c r="BR122" s="282" t="e">
        <f t="shared" si="81"/>
        <v>#N/A</v>
      </c>
      <c r="BS122" s="217" t="e">
        <f>VLOOKUP($B122,SDR24_STOCK_BY_LA!$A$2:$C$11878,3,0)</f>
        <v>#N/A</v>
      </c>
      <c r="BT122" s="217" t="str">
        <f t="shared" si="122"/>
        <v/>
      </c>
    </row>
    <row r="123" spans="1:72" x14ac:dyDescent="0.2">
      <c r="A123" s="256" t="str">
        <f t="shared" si="123"/>
        <v/>
      </c>
      <c r="B123" s="217" t="str">
        <f t="shared" si="124"/>
        <v/>
      </c>
      <c r="C123" s="257" t="str">
        <f t="shared" si="82"/>
        <v/>
      </c>
      <c r="D123" s="256" t="str">
        <f>IF(B123="","",IF(totals!$Q$3=0,IFERROR(IF(AD123=2,"0",AE123),""),"-"))</f>
        <v/>
      </c>
      <c r="E123" s="258" t="str">
        <f t="shared" si="83"/>
        <v/>
      </c>
      <c r="F123" s="259" t="str">
        <f t="shared" si="84"/>
        <v/>
      </c>
      <c r="G123" s="259" t="str">
        <f t="shared" si="85"/>
        <v/>
      </c>
      <c r="H123" s="256" t="str">
        <f t="shared" si="63"/>
        <v/>
      </c>
      <c r="I123" s="259" t="str">
        <f t="shared" si="86"/>
        <v/>
      </c>
      <c r="J123" s="259" t="str">
        <f t="shared" si="87"/>
        <v/>
      </c>
      <c r="K123" s="256" t="str">
        <f t="shared" si="64"/>
        <v/>
      </c>
      <c r="L123" s="259" t="str">
        <f t="shared" si="65"/>
        <v/>
      </c>
      <c r="M123" s="259" t="str">
        <f t="shared" si="88"/>
        <v/>
      </c>
      <c r="N123" s="256" t="str">
        <f t="shared" si="89"/>
        <v/>
      </c>
      <c r="O123" s="259" t="str">
        <f t="shared" si="90"/>
        <v/>
      </c>
      <c r="P123" s="259" t="str">
        <f t="shared" si="91"/>
        <v/>
      </c>
      <c r="Q123" s="256" t="str">
        <f t="shared" si="92"/>
        <v/>
      </c>
      <c r="R123" s="259" t="str">
        <f t="shared" si="93"/>
        <v/>
      </c>
      <c r="S123" s="259" t="str">
        <f t="shared" si="94"/>
        <v/>
      </c>
      <c r="T123" s="256" t="str">
        <f t="shared" si="95"/>
        <v/>
      </c>
      <c r="U123" s="217"/>
      <c r="V123" s="217"/>
      <c r="AB123" s="257" t="e">
        <f>VLOOKUP($B$6,Lookup_Source,116,0)</f>
        <v>#N/A</v>
      </c>
      <c r="AC123" s="241" t="str">
        <f t="shared" si="96"/>
        <v/>
      </c>
      <c r="AD123" s="242">
        <f t="shared" si="97"/>
        <v>7</v>
      </c>
      <c r="AE123" s="261" t="e">
        <f t="shared" si="66"/>
        <v>#N/A</v>
      </c>
      <c r="AF123" s="264" t="e">
        <f t="shared" si="98"/>
        <v>#N/A</v>
      </c>
      <c r="AG123" s="264" t="e">
        <f t="shared" si="99"/>
        <v>#N/A</v>
      </c>
      <c r="AH123" s="263" t="e">
        <f t="shared" si="67"/>
        <v>#N/A</v>
      </c>
      <c r="AI123" s="226">
        <f t="shared" si="100"/>
        <v>7</v>
      </c>
      <c r="AJ123" s="264" t="e">
        <f t="shared" si="68"/>
        <v>#N/A</v>
      </c>
      <c r="AK123" s="264" t="e">
        <f t="shared" si="101"/>
        <v>#N/A</v>
      </c>
      <c r="AL123" s="226" t="e">
        <f t="shared" si="69"/>
        <v>#N/A</v>
      </c>
      <c r="AM123" s="265" t="e">
        <f t="shared" si="102"/>
        <v>#N/A</v>
      </c>
      <c r="AN123" s="266" t="e">
        <f t="shared" si="70"/>
        <v>#N/A</v>
      </c>
      <c r="AO123" s="227" t="e">
        <f t="shared" si="71"/>
        <v>#N/A</v>
      </c>
      <c r="AP123" s="284">
        <f t="shared" si="103"/>
        <v>7</v>
      </c>
      <c r="AQ123" s="285" t="e">
        <f t="shared" si="72"/>
        <v>#N/A</v>
      </c>
      <c r="AR123" s="266" t="e">
        <f t="shared" si="104"/>
        <v>#N/A</v>
      </c>
      <c r="AS123" s="270" t="e">
        <f t="shared" si="73"/>
        <v>#N/A</v>
      </c>
      <c r="AT123" s="271">
        <f t="shared" si="105"/>
        <v>7</v>
      </c>
      <c r="AU123" s="272" t="e">
        <f t="shared" si="106"/>
        <v>#N/A</v>
      </c>
      <c r="AV123" s="273" t="e">
        <f t="shared" si="107"/>
        <v>#N/A</v>
      </c>
      <c r="AW123" s="274" t="e">
        <f t="shared" si="74"/>
        <v>#N/A</v>
      </c>
      <c r="AX123" s="232">
        <f t="shared" si="108"/>
        <v>7</v>
      </c>
      <c r="AY123" s="273" t="e">
        <f t="shared" si="75"/>
        <v>#N/A</v>
      </c>
      <c r="AZ123" s="232" t="e">
        <f t="shared" si="109"/>
        <v>#N/A</v>
      </c>
      <c r="BA123" s="232" t="e">
        <f t="shared" si="76"/>
        <v>#N/A</v>
      </c>
      <c r="BB123" s="275">
        <f t="shared" si="110"/>
        <v>7</v>
      </c>
      <c r="BC123" s="276" t="e">
        <f t="shared" si="111"/>
        <v>#N/A</v>
      </c>
      <c r="BD123" s="277" t="e">
        <f t="shared" si="112"/>
        <v>#N/A</v>
      </c>
      <c r="BE123" s="250" t="e">
        <f t="shared" si="77"/>
        <v>#N/A</v>
      </c>
      <c r="BF123" s="247">
        <f t="shared" si="113"/>
        <v>7</v>
      </c>
      <c r="BG123" s="276" t="e">
        <f t="shared" si="114"/>
        <v>#N/A</v>
      </c>
      <c r="BH123" s="277" t="e">
        <f t="shared" si="115"/>
        <v>#N/A</v>
      </c>
      <c r="BI123" s="250" t="e">
        <f t="shared" si="78"/>
        <v>#N/A</v>
      </c>
      <c r="BJ123" s="251">
        <f t="shared" si="116"/>
        <v>7</v>
      </c>
      <c r="BK123" s="278" t="e">
        <f t="shared" si="117"/>
        <v>#N/A</v>
      </c>
      <c r="BL123" s="278" t="e">
        <f t="shared" si="118"/>
        <v>#N/A</v>
      </c>
      <c r="BM123" s="279" t="e">
        <f t="shared" si="79"/>
        <v>#N/A</v>
      </c>
      <c r="BN123" s="280">
        <f t="shared" si="119"/>
        <v>7</v>
      </c>
      <c r="BO123" s="281" t="e">
        <f t="shared" si="120"/>
        <v>#N/A</v>
      </c>
      <c r="BP123" s="281" t="e">
        <f t="shared" si="121"/>
        <v>#N/A</v>
      </c>
      <c r="BQ123" s="279" t="e">
        <f t="shared" si="80"/>
        <v>#N/A</v>
      </c>
      <c r="BR123" s="282" t="e">
        <f t="shared" si="81"/>
        <v>#N/A</v>
      </c>
      <c r="BS123" s="217" t="e">
        <f>VLOOKUP($B123,SDR24_STOCK_BY_LA!$A$2:$C$11878,3,0)</f>
        <v>#N/A</v>
      </c>
      <c r="BT123" s="217" t="str">
        <f t="shared" si="122"/>
        <v/>
      </c>
    </row>
    <row r="124" spans="1:72" x14ac:dyDescent="0.2">
      <c r="A124" s="217" t="str">
        <f t="shared" si="123"/>
        <v/>
      </c>
      <c r="B124" s="217" t="str">
        <f t="shared" si="124"/>
        <v/>
      </c>
      <c r="C124" s="283" t="str">
        <f t="shared" si="82"/>
        <v/>
      </c>
      <c r="D124" s="256" t="str">
        <f>IF(B124="","",IF(totals!$Q$3=0,IFERROR(IF(AD124=2,"0",AE124),""),"-"))</f>
        <v/>
      </c>
      <c r="E124" s="258" t="str">
        <f t="shared" si="83"/>
        <v/>
      </c>
      <c r="F124" s="259" t="str">
        <f t="shared" si="84"/>
        <v/>
      </c>
      <c r="G124" s="259" t="str">
        <f t="shared" si="85"/>
        <v/>
      </c>
      <c r="H124" s="256" t="str">
        <f t="shared" si="63"/>
        <v/>
      </c>
      <c r="I124" s="259" t="str">
        <f t="shared" si="86"/>
        <v/>
      </c>
      <c r="J124" s="259" t="str">
        <f t="shared" si="87"/>
        <v/>
      </c>
      <c r="K124" s="256" t="str">
        <f t="shared" si="64"/>
        <v/>
      </c>
      <c r="L124" s="259" t="str">
        <f t="shared" si="65"/>
        <v/>
      </c>
      <c r="M124" s="259" t="str">
        <f t="shared" si="88"/>
        <v/>
      </c>
      <c r="N124" s="256" t="str">
        <f t="shared" si="89"/>
        <v/>
      </c>
      <c r="O124" s="259" t="str">
        <f t="shared" si="90"/>
        <v/>
      </c>
      <c r="P124" s="259" t="str">
        <f t="shared" si="91"/>
        <v/>
      </c>
      <c r="Q124" s="256" t="str">
        <f t="shared" si="92"/>
        <v/>
      </c>
      <c r="R124" s="259" t="str">
        <f t="shared" si="93"/>
        <v/>
      </c>
      <c r="S124" s="259" t="str">
        <f t="shared" si="94"/>
        <v/>
      </c>
      <c r="T124" s="256" t="str">
        <f t="shared" si="95"/>
        <v/>
      </c>
      <c r="U124" s="217"/>
      <c r="V124" s="217"/>
      <c r="AB124" s="217" t="e">
        <f>VLOOKUP($B$6,Lookup_Source,117,0)</f>
        <v>#N/A</v>
      </c>
      <c r="AC124" s="241" t="str">
        <f t="shared" si="96"/>
        <v/>
      </c>
      <c r="AD124" s="242">
        <f t="shared" si="97"/>
        <v>7</v>
      </c>
      <c r="AE124" s="261" t="e">
        <f t="shared" si="66"/>
        <v>#N/A</v>
      </c>
      <c r="AF124" s="264" t="e">
        <f t="shared" si="98"/>
        <v>#N/A</v>
      </c>
      <c r="AG124" s="264" t="e">
        <f t="shared" si="99"/>
        <v>#N/A</v>
      </c>
      <c r="AH124" s="263" t="e">
        <f t="shared" si="67"/>
        <v>#N/A</v>
      </c>
      <c r="AI124" s="226">
        <f t="shared" si="100"/>
        <v>7</v>
      </c>
      <c r="AJ124" s="264" t="e">
        <f t="shared" si="68"/>
        <v>#N/A</v>
      </c>
      <c r="AK124" s="264" t="e">
        <f t="shared" si="101"/>
        <v>#N/A</v>
      </c>
      <c r="AL124" s="226" t="e">
        <f t="shared" si="69"/>
        <v>#N/A</v>
      </c>
      <c r="AM124" s="265" t="e">
        <f t="shared" si="102"/>
        <v>#N/A</v>
      </c>
      <c r="AN124" s="266" t="e">
        <f t="shared" si="70"/>
        <v>#N/A</v>
      </c>
      <c r="AO124" s="227" t="e">
        <f t="shared" si="71"/>
        <v>#N/A</v>
      </c>
      <c r="AP124" s="284">
        <f t="shared" si="103"/>
        <v>7</v>
      </c>
      <c r="AQ124" s="285" t="e">
        <f t="shared" si="72"/>
        <v>#N/A</v>
      </c>
      <c r="AR124" s="266" t="e">
        <f t="shared" si="104"/>
        <v>#N/A</v>
      </c>
      <c r="AS124" s="270" t="e">
        <f t="shared" si="73"/>
        <v>#N/A</v>
      </c>
      <c r="AT124" s="271">
        <f t="shared" si="105"/>
        <v>7</v>
      </c>
      <c r="AU124" s="272" t="e">
        <f t="shared" si="106"/>
        <v>#N/A</v>
      </c>
      <c r="AV124" s="273" t="e">
        <f t="shared" si="107"/>
        <v>#N/A</v>
      </c>
      <c r="AW124" s="274" t="e">
        <f t="shared" si="74"/>
        <v>#N/A</v>
      </c>
      <c r="AX124" s="232">
        <f t="shared" si="108"/>
        <v>7</v>
      </c>
      <c r="AY124" s="273" t="e">
        <f t="shared" si="75"/>
        <v>#N/A</v>
      </c>
      <c r="AZ124" s="232" t="e">
        <f t="shared" si="109"/>
        <v>#N/A</v>
      </c>
      <c r="BA124" s="232" t="e">
        <f t="shared" si="76"/>
        <v>#N/A</v>
      </c>
      <c r="BB124" s="275">
        <f t="shared" si="110"/>
        <v>7</v>
      </c>
      <c r="BC124" s="276" t="e">
        <f t="shared" si="111"/>
        <v>#N/A</v>
      </c>
      <c r="BD124" s="277" t="e">
        <f t="shared" si="112"/>
        <v>#N/A</v>
      </c>
      <c r="BE124" s="250" t="e">
        <f t="shared" si="77"/>
        <v>#N/A</v>
      </c>
      <c r="BF124" s="247">
        <f t="shared" si="113"/>
        <v>7</v>
      </c>
      <c r="BG124" s="276" t="e">
        <f t="shared" si="114"/>
        <v>#N/A</v>
      </c>
      <c r="BH124" s="277" t="e">
        <f t="shared" si="115"/>
        <v>#N/A</v>
      </c>
      <c r="BI124" s="250" t="e">
        <f t="shared" si="78"/>
        <v>#N/A</v>
      </c>
      <c r="BJ124" s="251">
        <f t="shared" si="116"/>
        <v>7</v>
      </c>
      <c r="BK124" s="278" t="e">
        <f t="shared" si="117"/>
        <v>#N/A</v>
      </c>
      <c r="BL124" s="278" t="e">
        <f t="shared" si="118"/>
        <v>#N/A</v>
      </c>
      <c r="BM124" s="279" t="e">
        <f t="shared" si="79"/>
        <v>#N/A</v>
      </c>
      <c r="BN124" s="280">
        <f t="shared" si="119"/>
        <v>7</v>
      </c>
      <c r="BO124" s="281" t="e">
        <f t="shared" si="120"/>
        <v>#N/A</v>
      </c>
      <c r="BP124" s="281" t="e">
        <f t="shared" si="121"/>
        <v>#N/A</v>
      </c>
      <c r="BQ124" s="279" t="e">
        <f t="shared" si="80"/>
        <v>#N/A</v>
      </c>
      <c r="BR124" s="282" t="e">
        <f t="shared" si="81"/>
        <v>#N/A</v>
      </c>
      <c r="BS124" s="217" t="e">
        <f>VLOOKUP($B124,SDR24_STOCK_BY_LA!$A$2:$C$11878,3,0)</f>
        <v>#N/A</v>
      </c>
      <c r="BT124" s="217" t="str">
        <f t="shared" si="122"/>
        <v/>
      </c>
    </row>
    <row r="125" spans="1:72" x14ac:dyDescent="0.2">
      <c r="A125" s="256" t="str">
        <f t="shared" si="123"/>
        <v/>
      </c>
      <c r="B125" s="217" t="str">
        <f t="shared" si="124"/>
        <v/>
      </c>
      <c r="C125" s="257" t="str">
        <f t="shared" si="82"/>
        <v/>
      </c>
      <c r="D125" s="256" t="str">
        <f>IF(B125="","",IF(totals!$Q$3=0,IFERROR(IF(AD125=2,"0",AE125),""),"-"))</f>
        <v/>
      </c>
      <c r="E125" s="258" t="str">
        <f t="shared" si="83"/>
        <v/>
      </c>
      <c r="F125" s="259" t="str">
        <f t="shared" si="84"/>
        <v/>
      </c>
      <c r="G125" s="259" t="str">
        <f t="shared" si="85"/>
        <v/>
      </c>
      <c r="H125" s="256" t="str">
        <f t="shared" si="63"/>
        <v/>
      </c>
      <c r="I125" s="259" t="str">
        <f t="shared" si="86"/>
        <v/>
      </c>
      <c r="J125" s="259" t="str">
        <f t="shared" si="87"/>
        <v/>
      </c>
      <c r="K125" s="256" t="str">
        <f t="shared" si="64"/>
        <v/>
      </c>
      <c r="L125" s="259" t="str">
        <f t="shared" si="65"/>
        <v/>
      </c>
      <c r="M125" s="259" t="str">
        <f t="shared" si="88"/>
        <v/>
      </c>
      <c r="N125" s="256" t="str">
        <f t="shared" si="89"/>
        <v/>
      </c>
      <c r="O125" s="259" t="str">
        <f t="shared" si="90"/>
        <v/>
      </c>
      <c r="P125" s="259" t="str">
        <f t="shared" si="91"/>
        <v/>
      </c>
      <c r="Q125" s="256" t="str">
        <f t="shared" si="92"/>
        <v/>
      </c>
      <c r="R125" s="259" t="str">
        <f t="shared" si="93"/>
        <v/>
      </c>
      <c r="S125" s="259" t="str">
        <f t="shared" si="94"/>
        <v/>
      </c>
      <c r="T125" s="256" t="str">
        <f t="shared" si="95"/>
        <v/>
      </c>
      <c r="U125" s="217"/>
      <c r="V125" s="217"/>
      <c r="AB125" s="257" t="e">
        <f>VLOOKUP($B$6,Lookup_Source,118,0)</f>
        <v>#N/A</v>
      </c>
      <c r="AC125" s="241" t="str">
        <f t="shared" si="96"/>
        <v/>
      </c>
      <c r="AD125" s="242">
        <f t="shared" si="97"/>
        <v>7</v>
      </c>
      <c r="AE125" s="261" t="e">
        <f t="shared" si="66"/>
        <v>#N/A</v>
      </c>
      <c r="AF125" s="264" t="e">
        <f t="shared" si="98"/>
        <v>#N/A</v>
      </c>
      <c r="AG125" s="264" t="e">
        <f t="shared" si="99"/>
        <v>#N/A</v>
      </c>
      <c r="AH125" s="263" t="e">
        <f t="shared" si="67"/>
        <v>#N/A</v>
      </c>
      <c r="AI125" s="226">
        <f t="shared" si="100"/>
        <v>7</v>
      </c>
      <c r="AJ125" s="264" t="e">
        <f t="shared" si="68"/>
        <v>#N/A</v>
      </c>
      <c r="AK125" s="264" t="e">
        <f t="shared" si="101"/>
        <v>#N/A</v>
      </c>
      <c r="AL125" s="226" t="e">
        <f t="shared" si="69"/>
        <v>#N/A</v>
      </c>
      <c r="AM125" s="265" t="e">
        <f t="shared" si="102"/>
        <v>#N/A</v>
      </c>
      <c r="AN125" s="266" t="e">
        <f t="shared" si="70"/>
        <v>#N/A</v>
      </c>
      <c r="AO125" s="227" t="e">
        <f t="shared" si="71"/>
        <v>#N/A</v>
      </c>
      <c r="AP125" s="284">
        <f t="shared" si="103"/>
        <v>7</v>
      </c>
      <c r="AQ125" s="285" t="e">
        <f t="shared" si="72"/>
        <v>#N/A</v>
      </c>
      <c r="AR125" s="266" t="e">
        <f t="shared" si="104"/>
        <v>#N/A</v>
      </c>
      <c r="AS125" s="270" t="e">
        <f t="shared" si="73"/>
        <v>#N/A</v>
      </c>
      <c r="AT125" s="271">
        <f t="shared" si="105"/>
        <v>7</v>
      </c>
      <c r="AU125" s="272" t="e">
        <f t="shared" si="106"/>
        <v>#N/A</v>
      </c>
      <c r="AV125" s="273" t="e">
        <f t="shared" si="107"/>
        <v>#N/A</v>
      </c>
      <c r="AW125" s="274" t="e">
        <f t="shared" si="74"/>
        <v>#N/A</v>
      </c>
      <c r="AX125" s="232">
        <f t="shared" si="108"/>
        <v>7</v>
      </c>
      <c r="AY125" s="273" t="e">
        <f t="shared" si="75"/>
        <v>#N/A</v>
      </c>
      <c r="AZ125" s="232" t="e">
        <f t="shared" si="109"/>
        <v>#N/A</v>
      </c>
      <c r="BA125" s="232" t="e">
        <f t="shared" si="76"/>
        <v>#N/A</v>
      </c>
      <c r="BB125" s="275">
        <f t="shared" si="110"/>
        <v>7</v>
      </c>
      <c r="BC125" s="276" t="e">
        <f t="shared" si="111"/>
        <v>#N/A</v>
      </c>
      <c r="BD125" s="277" t="e">
        <f t="shared" si="112"/>
        <v>#N/A</v>
      </c>
      <c r="BE125" s="250" t="e">
        <f t="shared" si="77"/>
        <v>#N/A</v>
      </c>
      <c r="BF125" s="247">
        <f t="shared" si="113"/>
        <v>7</v>
      </c>
      <c r="BG125" s="276" t="e">
        <f t="shared" si="114"/>
        <v>#N/A</v>
      </c>
      <c r="BH125" s="277" t="e">
        <f t="shared" si="115"/>
        <v>#N/A</v>
      </c>
      <c r="BI125" s="250" t="e">
        <f t="shared" si="78"/>
        <v>#N/A</v>
      </c>
      <c r="BJ125" s="251">
        <f t="shared" si="116"/>
        <v>7</v>
      </c>
      <c r="BK125" s="278" t="e">
        <f t="shared" si="117"/>
        <v>#N/A</v>
      </c>
      <c r="BL125" s="278" t="e">
        <f t="shared" si="118"/>
        <v>#N/A</v>
      </c>
      <c r="BM125" s="279" t="e">
        <f t="shared" si="79"/>
        <v>#N/A</v>
      </c>
      <c r="BN125" s="280">
        <f t="shared" si="119"/>
        <v>7</v>
      </c>
      <c r="BO125" s="281" t="e">
        <f t="shared" si="120"/>
        <v>#N/A</v>
      </c>
      <c r="BP125" s="281" t="e">
        <f t="shared" si="121"/>
        <v>#N/A</v>
      </c>
      <c r="BQ125" s="279" t="e">
        <f t="shared" si="80"/>
        <v>#N/A</v>
      </c>
      <c r="BR125" s="282" t="e">
        <f t="shared" si="81"/>
        <v>#N/A</v>
      </c>
      <c r="BS125" s="217" t="e">
        <f>VLOOKUP($B125,SDR24_STOCK_BY_LA!$A$2:$C$11878,3,0)</f>
        <v>#N/A</v>
      </c>
      <c r="BT125" s="217" t="str">
        <f t="shared" si="122"/>
        <v/>
      </c>
    </row>
    <row r="126" spans="1:72" x14ac:dyDescent="0.2">
      <c r="A126" s="217" t="str">
        <f t="shared" si="123"/>
        <v/>
      </c>
      <c r="B126" s="217" t="str">
        <f t="shared" si="124"/>
        <v/>
      </c>
      <c r="C126" s="283" t="str">
        <f t="shared" si="82"/>
        <v/>
      </c>
      <c r="D126" s="256" t="str">
        <f>IF(B126="","",IF(totals!$Q$3=0,IFERROR(IF(AD126=2,"0",AE126),""),"-"))</f>
        <v/>
      </c>
      <c r="E126" s="258" t="str">
        <f t="shared" si="83"/>
        <v/>
      </c>
      <c r="F126" s="259" t="str">
        <f t="shared" si="84"/>
        <v/>
      </c>
      <c r="G126" s="259" t="str">
        <f t="shared" si="85"/>
        <v/>
      </c>
      <c r="H126" s="256" t="str">
        <f t="shared" si="63"/>
        <v/>
      </c>
      <c r="I126" s="259" t="str">
        <f t="shared" si="86"/>
        <v/>
      </c>
      <c r="J126" s="259" t="str">
        <f t="shared" si="87"/>
        <v/>
      </c>
      <c r="K126" s="256" t="str">
        <f t="shared" si="64"/>
        <v/>
      </c>
      <c r="L126" s="259" t="str">
        <f t="shared" si="65"/>
        <v/>
      </c>
      <c r="M126" s="259" t="str">
        <f t="shared" si="88"/>
        <v/>
      </c>
      <c r="N126" s="256" t="str">
        <f t="shared" si="89"/>
        <v/>
      </c>
      <c r="O126" s="259" t="str">
        <f t="shared" si="90"/>
        <v/>
      </c>
      <c r="P126" s="259" t="str">
        <f t="shared" si="91"/>
        <v/>
      </c>
      <c r="Q126" s="256" t="str">
        <f t="shared" si="92"/>
        <v/>
      </c>
      <c r="R126" s="259" t="str">
        <f t="shared" si="93"/>
        <v/>
      </c>
      <c r="S126" s="259" t="str">
        <f t="shared" si="94"/>
        <v/>
      </c>
      <c r="T126" s="256" t="str">
        <f t="shared" si="95"/>
        <v/>
      </c>
      <c r="U126" s="217"/>
      <c r="V126" s="217"/>
      <c r="AB126" s="217" t="e">
        <f>VLOOKUP($B$6,Lookup_Source,119,0)</f>
        <v>#N/A</v>
      </c>
      <c r="AC126" s="241" t="str">
        <f t="shared" si="96"/>
        <v/>
      </c>
      <c r="AD126" s="242">
        <f t="shared" si="97"/>
        <v>7</v>
      </c>
      <c r="AE126" s="261" t="e">
        <f t="shared" si="66"/>
        <v>#N/A</v>
      </c>
      <c r="AF126" s="264" t="e">
        <f t="shared" si="98"/>
        <v>#N/A</v>
      </c>
      <c r="AG126" s="264" t="e">
        <f t="shared" si="99"/>
        <v>#N/A</v>
      </c>
      <c r="AH126" s="263" t="e">
        <f t="shared" si="67"/>
        <v>#N/A</v>
      </c>
      <c r="AI126" s="226">
        <f t="shared" si="100"/>
        <v>7</v>
      </c>
      <c r="AJ126" s="264" t="e">
        <f t="shared" si="68"/>
        <v>#N/A</v>
      </c>
      <c r="AK126" s="264" t="e">
        <f t="shared" si="101"/>
        <v>#N/A</v>
      </c>
      <c r="AL126" s="226" t="e">
        <f t="shared" si="69"/>
        <v>#N/A</v>
      </c>
      <c r="AM126" s="265" t="e">
        <f t="shared" si="102"/>
        <v>#N/A</v>
      </c>
      <c r="AN126" s="266" t="e">
        <f t="shared" si="70"/>
        <v>#N/A</v>
      </c>
      <c r="AO126" s="227" t="e">
        <f t="shared" si="71"/>
        <v>#N/A</v>
      </c>
      <c r="AP126" s="284">
        <f t="shared" si="103"/>
        <v>7</v>
      </c>
      <c r="AQ126" s="285" t="e">
        <f t="shared" si="72"/>
        <v>#N/A</v>
      </c>
      <c r="AR126" s="266" t="e">
        <f t="shared" si="104"/>
        <v>#N/A</v>
      </c>
      <c r="AS126" s="270" t="e">
        <f t="shared" si="73"/>
        <v>#N/A</v>
      </c>
      <c r="AT126" s="271">
        <f t="shared" si="105"/>
        <v>7</v>
      </c>
      <c r="AU126" s="272" t="e">
        <f t="shared" si="106"/>
        <v>#N/A</v>
      </c>
      <c r="AV126" s="273" t="e">
        <f t="shared" si="107"/>
        <v>#N/A</v>
      </c>
      <c r="AW126" s="274" t="e">
        <f t="shared" si="74"/>
        <v>#N/A</v>
      </c>
      <c r="AX126" s="232">
        <f t="shared" si="108"/>
        <v>7</v>
      </c>
      <c r="AY126" s="273" t="e">
        <f t="shared" si="75"/>
        <v>#N/A</v>
      </c>
      <c r="AZ126" s="232" t="e">
        <f t="shared" si="109"/>
        <v>#N/A</v>
      </c>
      <c r="BA126" s="232" t="e">
        <f t="shared" si="76"/>
        <v>#N/A</v>
      </c>
      <c r="BB126" s="275">
        <f t="shared" si="110"/>
        <v>7</v>
      </c>
      <c r="BC126" s="276" t="e">
        <f t="shared" si="111"/>
        <v>#N/A</v>
      </c>
      <c r="BD126" s="277" t="e">
        <f t="shared" si="112"/>
        <v>#N/A</v>
      </c>
      <c r="BE126" s="250" t="e">
        <f t="shared" si="77"/>
        <v>#N/A</v>
      </c>
      <c r="BF126" s="247">
        <f t="shared" si="113"/>
        <v>7</v>
      </c>
      <c r="BG126" s="276" t="e">
        <f t="shared" si="114"/>
        <v>#N/A</v>
      </c>
      <c r="BH126" s="277" t="e">
        <f t="shared" si="115"/>
        <v>#N/A</v>
      </c>
      <c r="BI126" s="250" t="e">
        <f t="shared" si="78"/>
        <v>#N/A</v>
      </c>
      <c r="BJ126" s="251">
        <f t="shared" si="116"/>
        <v>7</v>
      </c>
      <c r="BK126" s="278" t="e">
        <f t="shared" si="117"/>
        <v>#N/A</v>
      </c>
      <c r="BL126" s="278" t="e">
        <f t="shared" si="118"/>
        <v>#N/A</v>
      </c>
      <c r="BM126" s="279" t="e">
        <f t="shared" si="79"/>
        <v>#N/A</v>
      </c>
      <c r="BN126" s="280">
        <f t="shared" si="119"/>
        <v>7</v>
      </c>
      <c r="BO126" s="281" t="e">
        <f t="shared" si="120"/>
        <v>#N/A</v>
      </c>
      <c r="BP126" s="281" t="e">
        <f t="shared" si="121"/>
        <v>#N/A</v>
      </c>
      <c r="BQ126" s="279" t="e">
        <f t="shared" si="80"/>
        <v>#N/A</v>
      </c>
      <c r="BR126" s="282" t="e">
        <f t="shared" si="81"/>
        <v>#N/A</v>
      </c>
      <c r="BS126" s="217" t="e">
        <f>VLOOKUP($B126,SDR24_STOCK_BY_LA!$A$2:$C$11878,3,0)</f>
        <v>#N/A</v>
      </c>
      <c r="BT126" s="217" t="str">
        <f t="shared" si="122"/>
        <v/>
      </c>
    </row>
    <row r="127" spans="1:72" x14ac:dyDescent="0.2">
      <c r="A127" s="256" t="str">
        <f t="shared" si="123"/>
        <v/>
      </c>
      <c r="B127" s="217" t="str">
        <f t="shared" si="124"/>
        <v/>
      </c>
      <c r="C127" s="257" t="str">
        <f t="shared" si="82"/>
        <v/>
      </c>
      <c r="D127" s="256" t="str">
        <f>IF(B127="","",IF(totals!$Q$3=0,IFERROR(IF(AD127=2,"0",AE127),""),"-"))</f>
        <v/>
      </c>
      <c r="E127" s="258" t="str">
        <f t="shared" si="83"/>
        <v/>
      </c>
      <c r="F127" s="259" t="str">
        <f t="shared" si="84"/>
        <v/>
      </c>
      <c r="G127" s="259" t="str">
        <f t="shared" si="85"/>
        <v/>
      </c>
      <c r="H127" s="256" t="str">
        <f t="shared" si="63"/>
        <v/>
      </c>
      <c r="I127" s="259" t="str">
        <f t="shared" si="86"/>
        <v/>
      </c>
      <c r="J127" s="259" t="str">
        <f t="shared" si="87"/>
        <v/>
      </c>
      <c r="K127" s="256" t="str">
        <f t="shared" si="64"/>
        <v/>
      </c>
      <c r="L127" s="259" t="str">
        <f t="shared" si="65"/>
        <v/>
      </c>
      <c r="M127" s="259" t="str">
        <f t="shared" si="88"/>
        <v/>
      </c>
      <c r="N127" s="256" t="str">
        <f t="shared" si="89"/>
        <v/>
      </c>
      <c r="O127" s="259" t="str">
        <f t="shared" si="90"/>
        <v/>
      </c>
      <c r="P127" s="259" t="str">
        <f t="shared" si="91"/>
        <v/>
      </c>
      <c r="Q127" s="256" t="str">
        <f t="shared" si="92"/>
        <v/>
      </c>
      <c r="R127" s="259" t="str">
        <f t="shared" si="93"/>
        <v/>
      </c>
      <c r="S127" s="259" t="str">
        <f t="shared" si="94"/>
        <v/>
      </c>
      <c r="T127" s="256" t="str">
        <f t="shared" si="95"/>
        <v/>
      </c>
      <c r="U127" s="217"/>
      <c r="V127" s="217"/>
      <c r="AB127" s="257" t="e">
        <f>VLOOKUP($B$6,Lookup_Source,120,0)</f>
        <v>#N/A</v>
      </c>
      <c r="AC127" s="241" t="str">
        <f t="shared" si="96"/>
        <v/>
      </c>
      <c r="AD127" s="242">
        <f t="shared" si="97"/>
        <v>7</v>
      </c>
      <c r="AE127" s="261" t="e">
        <f t="shared" si="66"/>
        <v>#N/A</v>
      </c>
      <c r="AF127" s="264" t="e">
        <f t="shared" si="98"/>
        <v>#N/A</v>
      </c>
      <c r="AG127" s="264" t="e">
        <f t="shared" si="99"/>
        <v>#N/A</v>
      </c>
      <c r="AH127" s="263" t="e">
        <f t="shared" si="67"/>
        <v>#N/A</v>
      </c>
      <c r="AI127" s="226">
        <f t="shared" si="100"/>
        <v>7</v>
      </c>
      <c r="AJ127" s="264" t="e">
        <f t="shared" si="68"/>
        <v>#N/A</v>
      </c>
      <c r="AK127" s="264" t="e">
        <f t="shared" si="101"/>
        <v>#N/A</v>
      </c>
      <c r="AL127" s="226" t="e">
        <f t="shared" si="69"/>
        <v>#N/A</v>
      </c>
      <c r="AM127" s="265" t="e">
        <f t="shared" si="102"/>
        <v>#N/A</v>
      </c>
      <c r="AN127" s="266" t="e">
        <f t="shared" si="70"/>
        <v>#N/A</v>
      </c>
      <c r="AO127" s="227" t="e">
        <f t="shared" si="71"/>
        <v>#N/A</v>
      </c>
      <c r="AP127" s="284">
        <f t="shared" si="103"/>
        <v>7</v>
      </c>
      <c r="AQ127" s="285" t="e">
        <f t="shared" si="72"/>
        <v>#N/A</v>
      </c>
      <c r="AR127" s="266" t="e">
        <f t="shared" si="104"/>
        <v>#N/A</v>
      </c>
      <c r="AS127" s="270" t="e">
        <f t="shared" si="73"/>
        <v>#N/A</v>
      </c>
      <c r="AT127" s="271">
        <f t="shared" si="105"/>
        <v>7</v>
      </c>
      <c r="AU127" s="272" t="e">
        <f t="shared" si="106"/>
        <v>#N/A</v>
      </c>
      <c r="AV127" s="273" t="e">
        <f t="shared" si="107"/>
        <v>#N/A</v>
      </c>
      <c r="AW127" s="274" t="e">
        <f t="shared" si="74"/>
        <v>#N/A</v>
      </c>
      <c r="AX127" s="232">
        <f t="shared" si="108"/>
        <v>7</v>
      </c>
      <c r="AY127" s="273" t="e">
        <f t="shared" si="75"/>
        <v>#N/A</v>
      </c>
      <c r="AZ127" s="232" t="e">
        <f t="shared" si="109"/>
        <v>#N/A</v>
      </c>
      <c r="BA127" s="232" t="e">
        <f t="shared" si="76"/>
        <v>#N/A</v>
      </c>
      <c r="BB127" s="275">
        <f t="shared" si="110"/>
        <v>7</v>
      </c>
      <c r="BC127" s="276" t="e">
        <f t="shared" si="111"/>
        <v>#N/A</v>
      </c>
      <c r="BD127" s="277" t="e">
        <f t="shared" si="112"/>
        <v>#N/A</v>
      </c>
      <c r="BE127" s="250" t="e">
        <f t="shared" si="77"/>
        <v>#N/A</v>
      </c>
      <c r="BF127" s="247">
        <f t="shared" si="113"/>
        <v>7</v>
      </c>
      <c r="BG127" s="276" t="e">
        <f t="shared" si="114"/>
        <v>#N/A</v>
      </c>
      <c r="BH127" s="277" t="e">
        <f t="shared" si="115"/>
        <v>#N/A</v>
      </c>
      <c r="BI127" s="250" t="e">
        <f t="shared" si="78"/>
        <v>#N/A</v>
      </c>
      <c r="BJ127" s="251">
        <f t="shared" si="116"/>
        <v>7</v>
      </c>
      <c r="BK127" s="278" t="e">
        <f t="shared" si="117"/>
        <v>#N/A</v>
      </c>
      <c r="BL127" s="278" t="e">
        <f t="shared" si="118"/>
        <v>#N/A</v>
      </c>
      <c r="BM127" s="279" t="e">
        <f t="shared" si="79"/>
        <v>#N/A</v>
      </c>
      <c r="BN127" s="280">
        <f t="shared" si="119"/>
        <v>7</v>
      </c>
      <c r="BO127" s="281" t="e">
        <f t="shared" si="120"/>
        <v>#N/A</v>
      </c>
      <c r="BP127" s="281" t="e">
        <f t="shared" si="121"/>
        <v>#N/A</v>
      </c>
      <c r="BQ127" s="279" t="e">
        <f t="shared" si="80"/>
        <v>#N/A</v>
      </c>
      <c r="BR127" s="282" t="e">
        <f t="shared" si="81"/>
        <v>#N/A</v>
      </c>
      <c r="BS127" s="217" t="e">
        <f>VLOOKUP($B127,SDR24_STOCK_BY_LA!$A$2:$C$11878,3,0)</f>
        <v>#N/A</v>
      </c>
      <c r="BT127" s="217" t="str">
        <f t="shared" si="122"/>
        <v/>
      </c>
    </row>
    <row r="128" spans="1:72" x14ac:dyDescent="0.2">
      <c r="A128" s="217" t="str">
        <f t="shared" si="123"/>
        <v/>
      </c>
      <c r="B128" s="217" t="str">
        <f t="shared" si="124"/>
        <v/>
      </c>
      <c r="C128" s="283" t="str">
        <f t="shared" si="82"/>
        <v/>
      </c>
      <c r="D128" s="256" t="str">
        <f>IF(B128="","",IF(totals!$Q$3=0,IFERROR(IF(AD128=2,"0",AE128),""),"-"))</f>
        <v/>
      </c>
      <c r="E128" s="258" t="str">
        <f t="shared" si="83"/>
        <v/>
      </c>
      <c r="F128" s="259" t="str">
        <f t="shared" si="84"/>
        <v/>
      </c>
      <c r="G128" s="259" t="str">
        <f t="shared" si="85"/>
        <v/>
      </c>
      <c r="H128" s="256" t="str">
        <f t="shared" si="63"/>
        <v/>
      </c>
      <c r="I128" s="259" t="str">
        <f t="shared" si="86"/>
        <v/>
      </c>
      <c r="J128" s="259" t="str">
        <f t="shared" si="87"/>
        <v/>
      </c>
      <c r="K128" s="256" t="str">
        <f t="shared" si="64"/>
        <v/>
      </c>
      <c r="L128" s="259" t="str">
        <f t="shared" si="65"/>
        <v/>
      </c>
      <c r="M128" s="259" t="str">
        <f t="shared" si="88"/>
        <v/>
      </c>
      <c r="N128" s="256" t="str">
        <f t="shared" si="89"/>
        <v/>
      </c>
      <c r="O128" s="259" t="str">
        <f t="shared" si="90"/>
        <v/>
      </c>
      <c r="P128" s="259" t="str">
        <f t="shared" si="91"/>
        <v/>
      </c>
      <c r="Q128" s="256" t="str">
        <f t="shared" si="92"/>
        <v/>
      </c>
      <c r="R128" s="259" t="str">
        <f t="shared" si="93"/>
        <v/>
      </c>
      <c r="S128" s="259" t="str">
        <f t="shared" si="94"/>
        <v/>
      </c>
      <c r="T128" s="256" t="str">
        <f t="shared" si="95"/>
        <v/>
      </c>
      <c r="U128" s="217"/>
      <c r="V128" s="217"/>
      <c r="AB128" s="217" t="e">
        <f>VLOOKUP($B$6,Lookup_Source,121,0)</f>
        <v>#N/A</v>
      </c>
      <c r="AC128" s="241" t="str">
        <f t="shared" si="96"/>
        <v/>
      </c>
      <c r="AD128" s="242">
        <f t="shared" si="97"/>
        <v>7</v>
      </c>
      <c r="AE128" s="261" t="e">
        <f t="shared" si="66"/>
        <v>#N/A</v>
      </c>
      <c r="AF128" s="264" t="e">
        <f t="shared" si="98"/>
        <v>#N/A</v>
      </c>
      <c r="AG128" s="264" t="e">
        <f t="shared" si="99"/>
        <v>#N/A</v>
      </c>
      <c r="AH128" s="263" t="e">
        <f t="shared" si="67"/>
        <v>#N/A</v>
      </c>
      <c r="AI128" s="226">
        <f t="shared" si="100"/>
        <v>7</v>
      </c>
      <c r="AJ128" s="264" t="e">
        <f t="shared" si="68"/>
        <v>#N/A</v>
      </c>
      <c r="AK128" s="264" t="e">
        <f t="shared" si="101"/>
        <v>#N/A</v>
      </c>
      <c r="AL128" s="226" t="e">
        <f t="shared" si="69"/>
        <v>#N/A</v>
      </c>
      <c r="AM128" s="265" t="e">
        <f t="shared" si="102"/>
        <v>#N/A</v>
      </c>
      <c r="AN128" s="266" t="e">
        <f t="shared" si="70"/>
        <v>#N/A</v>
      </c>
      <c r="AO128" s="227" t="e">
        <f t="shared" si="71"/>
        <v>#N/A</v>
      </c>
      <c r="AP128" s="284">
        <f t="shared" si="103"/>
        <v>7</v>
      </c>
      <c r="AQ128" s="285" t="e">
        <f t="shared" si="72"/>
        <v>#N/A</v>
      </c>
      <c r="AR128" s="266" t="e">
        <f t="shared" si="104"/>
        <v>#N/A</v>
      </c>
      <c r="AS128" s="270" t="e">
        <f t="shared" si="73"/>
        <v>#N/A</v>
      </c>
      <c r="AT128" s="271">
        <f t="shared" si="105"/>
        <v>7</v>
      </c>
      <c r="AU128" s="272" t="e">
        <f t="shared" si="106"/>
        <v>#N/A</v>
      </c>
      <c r="AV128" s="273" t="e">
        <f t="shared" si="107"/>
        <v>#N/A</v>
      </c>
      <c r="AW128" s="274" t="e">
        <f t="shared" si="74"/>
        <v>#N/A</v>
      </c>
      <c r="AX128" s="232">
        <f t="shared" si="108"/>
        <v>7</v>
      </c>
      <c r="AY128" s="273" t="e">
        <f t="shared" si="75"/>
        <v>#N/A</v>
      </c>
      <c r="AZ128" s="232" t="e">
        <f t="shared" si="109"/>
        <v>#N/A</v>
      </c>
      <c r="BA128" s="232" t="e">
        <f t="shared" si="76"/>
        <v>#N/A</v>
      </c>
      <c r="BB128" s="275">
        <f t="shared" si="110"/>
        <v>7</v>
      </c>
      <c r="BC128" s="276" t="e">
        <f t="shared" si="111"/>
        <v>#N/A</v>
      </c>
      <c r="BD128" s="277" t="e">
        <f t="shared" si="112"/>
        <v>#N/A</v>
      </c>
      <c r="BE128" s="250" t="e">
        <f t="shared" si="77"/>
        <v>#N/A</v>
      </c>
      <c r="BF128" s="247">
        <f t="shared" si="113"/>
        <v>7</v>
      </c>
      <c r="BG128" s="276" t="e">
        <f t="shared" si="114"/>
        <v>#N/A</v>
      </c>
      <c r="BH128" s="277" t="e">
        <f t="shared" si="115"/>
        <v>#N/A</v>
      </c>
      <c r="BI128" s="250" t="e">
        <f t="shared" si="78"/>
        <v>#N/A</v>
      </c>
      <c r="BJ128" s="251">
        <f t="shared" si="116"/>
        <v>7</v>
      </c>
      <c r="BK128" s="278" t="e">
        <f t="shared" si="117"/>
        <v>#N/A</v>
      </c>
      <c r="BL128" s="278" t="e">
        <f t="shared" si="118"/>
        <v>#N/A</v>
      </c>
      <c r="BM128" s="279" t="e">
        <f t="shared" si="79"/>
        <v>#N/A</v>
      </c>
      <c r="BN128" s="280">
        <f t="shared" si="119"/>
        <v>7</v>
      </c>
      <c r="BO128" s="281" t="e">
        <f t="shared" si="120"/>
        <v>#N/A</v>
      </c>
      <c r="BP128" s="281" t="e">
        <f t="shared" si="121"/>
        <v>#N/A</v>
      </c>
      <c r="BQ128" s="279" t="e">
        <f t="shared" si="80"/>
        <v>#N/A</v>
      </c>
      <c r="BR128" s="282" t="e">
        <f t="shared" si="81"/>
        <v>#N/A</v>
      </c>
      <c r="BS128" s="217" t="e">
        <f>VLOOKUP($B128,SDR24_STOCK_BY_LA!$A$2:$C$11878,3,0)</f>
        <v>#N/A</v>
      </c>
      <c r="BT128" s="217" t="str">
        <f t="shared" si="122"/>
        <v/>
      </c>
    </row>
    <row r="129" spans="1:72" x14ac:dyDescent="0.2">
      <c r="A129" s="256" t="str">
        <f t="shared" si="123"/>
        <v/>
      </c>
      <c r="B129" s="217" t="str">
        <f t="shared" si="124"/>
        <v/>
      </c>
      <c r="C129" s="257" t="str">
        <f t="shared" si="82"/>
        <v/>
      </c>
      <c r="D129" s="256" t="str">
        <f>IF(B129="","",IF(totals!$Q$3=0,IFERROR(IF(AD129=2,"0",AE129),""),"-"))</f>
        <v/>
      </c>
      <c r="E129" s="258" t="str">
        <f t="shared" si="83"/>
        <v/>
      </c>
      <c r="F129" s="259" t="str">
        <f t="shared" si="84"/>
        <v/>
      </c>
      <c r="G129" s="259" t="str">
        <f t="shared" si="85"/>
        <v/>
      </c>
      <c r="H129" s="256" t="str">
        <f t="shared" si="63"/>
        <v/>
      </c>
      <c r="I129" s="259" t="str">
        <f t="shared" si="86"/>
        <v/>
      </c>
      <c r="J129" s="259" t="str">
        <f t="shared" si="87"/>
        <v/>
      </c>
      <c r="K129" s="256" t="str">
        <f t="shared" si="64"/>
        <v/>
      </c>
      <c r="L129" s="259" t="str">
        <f t="shared" si="65"/>
        <v/>
      </c>
      <c r="M129" s="259" t="str">
        <f t="shared" si="88"/>
        <v/>
      </c>
      <c r="N129" s="256" t="str">
        <f t="shared" si="89"/>
        <v/>
      </c>
      <c r="O129" s="259" t="str">
        <f t="shared" si="90"/>
        <v/>
      </c>
      <c r="P129" s="259" t="str">
        <f t="shared" si="91"/>
        <v/>
      </c>
      <c r="Q129" s="256" t="str">
        <f t="shared" si="92"/>
        <v/>
      </c>
      <c r="R129" s="259" t="str">
        <f t="shared" si="93"/>
        <v/>
      </c>
      <c r="S129" s="259" t="str">
        <f t="shared" si="94"/>
        <v/>
      </c>
      <c r="T129" s="256" t="str">
        <f t="shared" si="95"/>
        <v/>
      </c>
      <c r="U129" s="217"/>
      <c r="V129" s="217"/>
      <c r="AB129" s="257" t="e">
        <f>VLOOKUP($B$6,Lookup_Source,122,0)</f>
        <v>#N/A</v>
      </c>
      <c r="AC129" s="241" t="str">
        <f t="shared" si="96"/>
        <v/>
      </c>
      <c r="AD129" s="242">
        <f t="shared" si="97"/>
        <v>7</v>
      </c>
      <c r="AE129" s="261" t="e">
        <f t="shared" si="66"/>
        <v>#N/A</v>
      </c>
      <c r="AF129" s="264" t="e">
        <f t="shared" si="98"/>
        <v>#N/A</v>
      </c>
      <c r="AG129" s="264" t="e">
        <f t="shared" si="99"/>
        <v>#N/A</v>
      </c>
      <c r="AH129" s="263" t="e">
        <f t="shared" si="67"/>
        <v>#N/A</v>
      </c>
      <c r="AI129" s="226">
        <f t="shared" si="100"/>
        <v>7</v>
      </c>
      <c r="AJ129" s="264" t="e">
        <f t="shared" si="68"/>
        <v>#N/A</v>
      </c>
      <c r="AK129" s="264" t="e">
        <f t="shared" si="101"/>
        <v>#N/A</v>
      </c>
      <c r="AL129" s="226" t="e">
        <f t="shared" si="69"/>
        <v>#N/A</v>
      </c>
      <c r="AM129" s="265" t="e">
        <f t="shared" si="102"/>
        <v>#N/A</v>
      </c>
      <c r="AN129" s="266" t="e">
        <f t="shared" si="70"/>
        <v>#N/A</v>
      </c>
      <c r="AO129" s="227" t="e">
        <f t="shared" si="71"/>
        <v>#N/A</v>
      </c>
      <c r="AP129" s="284">
        <f t="shared" si="103"/>
        <v>7</v>
      </c>
      <c r="AQ129" s="285" t="e">
        <f t="shared" si="72"/>
        <v>#N/A</v>
      </c>
      <c r="AR129" s="266" t="e">
        <f t="shared" si="104"/>
        <v>#N/A</v>
      </c>
      <c r="AS129" s="270" t="e">
        <f t="shared" si="73"/>
        <v>#N/A</v>
      </c>
      <c r="AT129" s="271">
        <f t="shared" si="105"/>
        <v>7</v>
      </c>
      <c r="AU129" s="272" t="e">
        <f t="shared" si="106"/>
        <v>#N/A</v>
      </c>
      <c r="AV129" s="273" t="e">
        <f t="shared" si="107"/>
        <v>#N/A</v>
      </c>
      <c r="AW129" s="274" t="e">
        <f t="shared" si="74"/>
        <v>#N/A</v>
      </c>
      <c r="AX129" s="232">
        <f t="shared" si="108"/>
        <v>7</v>
      </c>
      <c r="AY129" s="273" t="e">
        <f t="shared" si="75"/>
        <v>#N/A</v>
      </c>
      <c r="AZ129" s="232" t="e">
        <f t="shared" si="109"/>
        <v>#N/A</v>
      </c>
      <c r="BA129" s="232" t="e">
        <f t="shared" si="76"/>
        <v>#N/A</v>
      </c>
      <c r="BB129" s="275">
        <f t="shared" si="110"/>
        <v>7</v>
      </c>
      <c r="BC129" s="276" t="e">
        <f t="shared" si="111"/>
        <v>#N/A</v>
      </c>
      <c r="BD129" s="277" t="e">
        <f t="shared" si="112"/>
        <v>#N/A</v>
      </c>
      <c r="BE129" s="250" t="e">
        <f t="shared" si="77"/>
        <v>#N/A</v>
      </c>
      <c r="BF129" s="247">
        <f t="shared" si="113"/>
        <v>7</v>
      </c>
      <c r="BG129" s="276" t="e">
        <f t="shared" si="114"/>
        <v>#N/A</v>
      </c>
      <c r="BH129" s="277" t="e">
        <f t="shared" si="115"/>
        <v>#N/A</v>
      </c>
      <c r="BI129" s="250" t="e">
        <f t="shared" si="78"/>
        <v>#N/A</v>
      </c>
      <c r="BJ129" s="251">
        <f t="shared" si="116"/>
        <v>7</v>
      </c>
      <c r="BK129" s="278" t="e">
        <f t="shared" si="117"/>
        <v>#N/A</v>
      </c>
      <c r="BL129" s="278" t="e">
        <f t="shared" si="118"/>
        <v>#N/A</v>
      </c>
      <c r="BM129" s="279" t="e">
        <f t="shared" si="79"/>
        <v>#N/A</v>
      </c>
      <c r="BN129" s="280">
        <f t="shared" si="119"/>
        <v>7</v>
      </c>
      <c r="BO129" s="281" t="e">
        <f t="shared" si="120"/>
        <v>#N/A</v>
      </c>
      <c r="BP129" s="281" t="e">
        <f t="shared" si="121"/>
        <v>#N/A</v>
      </c>
      <c r="BQ129" s="279" t="e">
        <f t="shared" si="80"/>
        <v>#N/A</v>
      </c>
      <c r="BR129" s="282" t="e">
        <f t="shared" si="81"/>
        <v>#N/A</v>
      </c>
      <c r="BS129" s="217" t="e">
        <f>VLOOKUP($B129,SDR24_STOCK_BY_LA!$A$2:$C$11878,3,0)</f>
        <v>#N/A</v>
      </c>
      <c r="BT129" s="217" t="str">
        <f t="shared" si="122"/>
        <v/>
      </c>
    </row>
    <row r="130" spans="1:72" x14ac:dyDescent="0.2">
      <c r="A130" s="217" t="str">
        <f t="shared" si="123"/>
        <v/>
      </c>
      <c r="B130" s="217" t="str">
        <f t="shared" si="124"/>
        <v/>
      </c>
      <c r="C130" s="283" t="str">
        <f t="shared" si="82"/>
        <v/>
      </c>
      <c r="D130" s="256" t="str">
        <f>IF(B130="","",IF(totals!$Q$3=0,IFERROR(IF(AD130=2,"0",AE130),""),"-"))</f>
        <v/>
      </c>
      <c r="E130" s="258" t="str">
        <f t="shared" si="83"/>
        <v/>
      </c>
      <c r="F130" s="259" t="str">
        <f t="shared" si="84"/>
        <v/>
      </c>
      <c r="G130" s="259" t="str">
        <f t="shared" si="85"/>
        <v/>
      </c>
      <c r="H130" s="256" t="str">
        <f t="shared" si="63"/>
        <v/>
      </c>
      <c r="I130" s="259" t="str">
        <f t="shared" si="86"/>
        <v/>
      </c>
      <c r="J130" s="259" t="str">
        <f t="shared" si="87"/>
        <v/>
      </c>
      <c r="K130" s="256" t="str">
        <f t="shared" si="64"/>
        <v/>
      </c>
      <c r="L130" s="259" t="str">
        <f t="shared" si="65"/>
        <v/>
      </c>
      <c r="M130" s="259" t="str">
        <f t="shared" si="88"/>
        <v/>
      </c>
      <c r="N130" s="256" t="str">
        <f t="shared" si="89"/>
        <v/>
      </c>
      <c r="O130" s="259" t="str">
        <f t="shared" si="90"/>
        <v/>
      </c>
      <c r="P130" s="259" t="str">
        <f t="shared" si="91"/>
        <v/>
      </c>
      <c r="Q130" s="256" t="str">
        <f t="shared" si="92"/>
        <v/>
      </c>
      <c r="R130" s="259" t="str">
        <f t="shared" si="93"/>
        <v/>
      </c>
      <c r="S130" s="259" t="str">
        <f t="shared" si="94"/>
        <v/>
      </c>
      <c r="T130" s="256" t="str">
        <f t="shared" si="95"/>
        <v/>
      </c>
      <c r="U130" s="217"/>
      <c r="V130" s="217"/>
      <c r="AB130" s="217" t="e">
        <f>VLOOKUP($B$6,Lookup_Source,123,0)</f>
        <v>#N/A</v>
      </c>
      <c r="AC130" s="241" t="str">
        <f t="shared" si="96"/>
        <v/>
      </c>
      <c r="AD130" s="242">
        <f t="shared" si="97"/>
        <v>7</v>
      </c>
      <c r="AE130" s="261" t="e">
        <f t="shared" si="66"/>
        <v>#N/A</v>
      </c>
      <c r="AF130" s="264" t="e">
        <f t="shared" si="98"/>
        <v>#N/A</v>
      </c>
      <c r="AG130" s="264" t="e">
        <f t="shared" si="99"/>
        <v>#N/A</v>
      </c>
      <c r="AH130" s="263" t="e">
        <f t="shared" si="67"/>
        <v>#N/A</v>
      </c>
      <c r="AI130" s="226">
        <f t="shared" si="100"/>
        <v>7</v>
      </c>
      <c r="AJ130" s="264" t="e">
        <f t="shared" si="68"/>
        <v>#N/A</v>
      </c>
      <c r="AK130" s="264" t="e">
        <f t="shared" si="101"/>
        <v>#N/A</v>
      </c>
      <c r="AL130" s="226" t="e">
        <f t="shared" si="69"/>
        <v>#N/A</v>
      </c>
      <c r="AM130" s="265" t="e">
        <f t="shared" si="102"/>
        <v>#N/A</v>
      </c>
      <c r="AN130" s="266" t="e">
        <f t="shared" si="70"/>
        <v>#N/A</v>
      </c>
      <c r="AO130" s="227" t="e">
        <f t="shared" si="71"/>
        <v>#N/A</v>
      </c>
      <c r="AP130" s="284">
        <f t="shared" si="103"/>
        <v>7</v>
      </c>
      <c r="AQ130" s="285" t="e">
        <f t="shared" si="72"/>
        <v>#N/A</v>
      </c>
      <c r="AR130" s="266" t="e">
        <f t="shared" si="104"/>
        <v>#N/A</v>
      </c>
      <c r="AS130" s="270" t="e">
        <f t="shared" si="73"/>
        <v>#N/A</v>
      </c>
      <c r="AT130" s="271">
        <f t="shared" si="105"/>
        <v>7</v>
      </c>
      <c r="AU130" s="272" t="e">
        <f t="shared" si="106"/>
        <v>#N/A</v>
      </c>
      <c r="AV130" s="273" t="e">
        <f t="shared" si="107"/>
        <v>#N/A</v>
      </c>
      <c r="AW130" s="274" t="e">
        <f t="shared" si="74"/>
        <v>#N/A</v>
      </c>
      <c r="AX130" s="232">
        <f t="shared" si="108"/>
        <v>7</v>
      </c>
      <c r="AY130" s="273" t="e">
        <f t="shared" si="75"/>
        <v>#N/A</v>
      </c>
      <c r="AZ130" s="232" t="e">
        <f t="shared" si="109"/>
        <v>#N/A</v>
      </c>
      <c r="BA130" s="232" t="e">
        <f t="shared" si="76"/>
        <v>#N/A</v>
      </c>
      <c r="BB130" s="275">
        <f t="shared" si="110"/>
        <v>7</v>
      </c>
      <c r="BC130" s="276" t="e">
        <f t="shared" si="111"/>
        <v>#N/A</v>
      </c>
      <c r="BD130" s="277" t="e">
        <f t="shared" si="112"/>
        <v>#N/A</v>
      </c>
      <c r="BE130" s="250" t="e">
        <f t="shared" si="77"/>
        <v>#N/A</v>
      </c>
      <c r="BF130" s="247">
        <f t="shared" si="113"/>
        <v>7</v>
      </c>
      <c r="BG130" s="276" t="e">
        <f t="shared" si="114"/>
        <v>#N/A</v>
      </c>
      <c r="BH130" s="277" t="e">
        <f t="shared" si="115"/>
        <v>#N/A</v>
      </c>
      <c r="BI130" s="250" t="e">
        <f t="shared" si="78"/>
        <v>#N/A</v>
      </c>
      <c r="BJ130" s="251">
        <f t="shared" si="116"/>
        <v>7</v>
      </c>
      <c r="BK130" s="278" t="e">
        <f t="shared" si="117"/>
        <v>#N/A</v>
      </c>
      <c r="BL130" s="278" t="e">
        <f t="shared" si="118"/>
        <v>#N/A</v>
      </c>
      <c r="BM130" s="279" t="e">
        <f t="shared" si="79"/>
        <v>#N/A</v>
      </c>
      <c r="BN130" s="280">
        <f t="shared" si="119"/>
        <v>7</v>
      </c>
      <c r="BO130" s="281" t="e">
        <f t="shared" si="120"/>
        <v>#N/A</v>
      </c>
      <c r="BP130" s="281" t="e">
        <f t="shared" si="121"/>
        <v>#N/A</v>
      </c>
      <c r="BQ130" s="279" t="e">
        <f t="shared" si="80"/>
        <v>#N/A</v>
      </c>
      <c r="BR130" s="282" t="e">
        <f t="shared" si="81"/>
        <v>#N/A</v>
      </c>
      <c r="BS130" s="217" t="e">
        <f>VLOOKUP($B130,SDR24_STOCK_BY_LA!$A$2:$C$11878,3,0)</f>
        <v>#N/A</v>
      </c>
      <c r="BT130" s="217" t="str">
        <f t="shared" si="122"/>
        <v/>
      </c>
    </row>
    <row r="131" spans="1:72" x14ac:dyDescent="0.2">
      <c r="A131" s="256" t="str">
        <f t="shared" si="123"/>
        <v/>
      </c>
      <c r="B131" s="217" t="str">
        <f t="shared" si="124"/>
        <v/>
      </c>
      <c r="C131" s="257" t="str">
        <f t="shared" si="82"/>
        <v/>
      </c>
      <c r="D131" s="256" t="str">
        <f>IF(B131="","",IF(totals!$Q$3=0,IFERROR(IF(AD131=2,"0",AE131),""),"-"))</f>
        <v/>
      </c>
      <c r="E131" s="258" t="str">
        <f t="shared" si="83"/>
        <v/>
      </c>
      <c r="F131" s="259" t="str">
        <f t="shared" si="84"/>
        <v/>
      </c>
      <c r="G131" s="259" t="str">
        <f t="shared" si="85"/>
        <v/>
      </c>
      <c r="H131" s="256" t="str">
        <f t="shared" si="63"/>
        <v/>
      </c>
      <c r="I131" s="259" t="str">
        <f t="shared" si="86"/>
        <v/>
      </c>
      <c r="J131" s="259" t="str">
        <f t="shared" si="87"/>
        <v/>
      </c>
      <c r="K131" s="256" t="str">
        <f t="shared" si="64"/>
        <v/>
      </c>
      <c r="L131" s="259" t="str">
        <f t="shared" si="65"/>
        <v/>
      </c>
      <c r="M131" s="259" t="str">
        <f t="shared" si="88"/>
        <v/>
      </c>
      <c r="N131" s="256" t="str">
        <f t="shared" si="89"/>
        <v/>
      </c>
      <c r="O131" s="259" t="str">
        <f t="shared" si="90"/>
        <v/>
      </c>
      <c r="P131" s="259" t="str">
        <f t="shared" si="91"/>
        <v/>
      </c>
      <c r="Q131" s="256" t="str">
        <f t="shared" si="92"/>
        <v/>
      </c>
      <c r="R131" s="259" t="str">
        <f t="shared" si="93"/>
        <v/>
      </c>
      <c r="S131" s="259" t="str">
        <f t="shared" si="94"/>
        <v/>
      </c>
      <c r="T131" s="256" t="str">
        <f t="shared" si="95"/>
        <v/>
      </c>
      <c r="U131" s="217"/>
      <c r="V131" s="217"/>
      <c r="AB131" s="257" t="e">
        <f>VLOOKUP($B$6,Lookup_Source,124,0)</f>
        <v>#N/A</v>
      </c>
      <c r="AC131" s="241" t="str">
        <f t="shared" si="96"/>
        <v/>
      </c>
      <c r="AD131" s="242">
        <f t="shared" si="97"/>
        <v>7</v>
      </c>
      <c r="AE131" s="261" t="e">
        <f t="shared" si="66"/>
        <v>#N/A</v>
      </c>
      <c r="AF131" s="264" t="e">
        <f t="shared" si="98"/>
        <v>#N/A</v>
      </c>
      <c r="AG131" s="264" t="e">
        <f t="shared" si="99"/>
        <v>#N/A</v>
      </c>
      <c r="AH131" s="263" t="e">
        <f t="shared" si="67"/>
        <v>#N/A</v>
      </c>
      <c r="AI131" s="226">
        <f t="shared" si="100"/>
        <v>7</v>
      </c>
      <c r="AJ131" s="264" t="e">
        <f t="shared" si="68"/>
        <v>#N/A</v>
      </c>
      <c r="AK131" s="264" t="e">
        <f t="shared" si="101"/>
        <v>#N/A</v>
      </c>
      <c r="AL131" s="226" t="e">
        <f t="shared" si="69"/>
        <v>#N/A</v>
      </c>
      <c r="AM131" s="265" t="e">
        <f t="shared" si="102"/>
        <v>#N/A</v>
      </c>
      <c r="AN131" s="266" t="e">
        <f t="shared" si="70"/>
        <v>#N/A</v>
      </c>
      <c r="AO131" s="227" t="e">
        <f t="shared" si="71"/>
        <v>#N/A</v>
      </c>
      <c r="AP131" s="284">
        <f t="shared" si="103"/>
        <v>7</v>
      </c>
      <c r="AQ131" s="285" t="e">
        <f t="shared" si="72"/>
        <v>#N/A</v>
      </c>
      <c r="AR131" s="266" t="e">
        <f t="shared" si="104"/>
        <v>#N/A</v>
      </c>
      <c r="AS131" s="270" t="e">
        <f t="shared" si="73"/>
        <v>#N/A</v>
      </c>
      <c r="AT131" s="271">
        <f t="shared" si="105"/>
        <v>7</v>
      </c>
      <c r="AU131" s="272" t="e">
        <f t="shared" si="106"/>
        <v>#N/A</v>
      </c>
      <c r="AV131" s="273" t="e">
        <f t="shared" si="107"/>
        <v>#N/A</v>
      </c>
      <c r="AW131" s="274" t="e">
        <f t="shared" si="74"/>
        <v>#N/A</v>
      </c>
      <c r="AX131" s="232">
        <f t="shared" si="108"/>
        <v>7</v>
      </c>
      <c r="AY131" s="273" t="e">
        <f t="shared" si="75"/>
        <v>#N/A</v>
      </c>
      <c r="AZ131" s="232" t="e">
        <f t="shared" si="109"/>
        <v>#N/A</v>
      </c>
      <c r="BA131" s="232" t="e">
        <f t="shared" si="76"/>
        <v>#N/A</v>
      </c>
      <c r="BB131" s="275">
        <f t="shared" si="110"/>
        <v>7</v>
      </c>
      <c r="BC131" s="276" t="e">
        <f t="shared" si="111"/>
        <v>#N/A</v>
      </c>
      <c r="BD131" s="277" t="e">
        <f t="shared" si="112"/>
        <v>#N/A</v>
      </c>
      <c r="BE131" s="250" t="e">
        <f t="shared" si="77"/>
        <v>#N/A</v>
      </c>
      <c r="BF131" s="247">
        <f t="shared" si="113"/>
        <v>7</v>
      </c>
      <c r="BG131" s="276" t="e">
        <f t="shared" si="114"/>
        <v>#N/A</v>
      </c>
      <c r="BH131" s="277" t="e">
        <f t="shared" si="115"/>
        <v>#N/A</v>
      </c>
      <c r="BI131" s="250" t="e">
        <f t="shared" si="78"/>
        <v>#N/A</v>
      </c>
      <c r="BJ131" s="251">
        <f t="shared" si="116"/>
        <v>7</v>
      </c>
      <c r="BK131" s="278" t="e">
        <f t="shared" si="117"/>
        <v>#N/A</v>
      </c>
      <c r="BL131" s="278" t="e">
        <f t="shared" si="118"/>
        <v>#N/A</v>
      </c>
      <c r="BM131" s="279" t="e">
        <f t="shared" si="79"/>
        <v>#N/A</v>
      </c>
      <c r="BN131" s="280">
        <f t="shared" si="119"/>
        <v>7</v>
      </c>
      <c r="BO131" s="281" t="e">
        <f t="shared" si="120"/>
        <v>#N/A</v>
      </c>
      <c r="BP131" s="281" t="e">
        <f t="shared" si="121"/>
        <v>#N/A</v>
      </c>
      <c r="BQ131" s="279" t="e">
        <f t="shared" si="80"/>
        <v>#N/A</v>
      </c>
      <c r="BR131" s="282" t="e">
        <f t="shared" si="81"/>
        <v>#N/A</v>
      </c>
      <c r="BS131" s="217" t="e">
        <f>VLOOKUP($B131,SDR24_STOCK_BY_LA!$A$2:$C$11878,3,0)</f>
        <v>#N/A</v>
      </c>
      <c r="BT131" s="217" t="str">
        <f t="shared" si="122"/>
        <v/>
      </c>
    </row>
    <row r="132" spans="1:72" x14ac:dyDescent="0.2">
      <c r="A132" s="217" t="str">
        <f t="shared" si="123"/>
        <v/>
      </c>
      <c r="B132" s="217" t="str">
        <f t="shared" si="124"/>
        <v/>
      </c>
      <c r="C132" s="283" t="str">
        <f t="shared" si="82"/>
        <v/>
      </c>
      <c r="D132" s="256" t="str">
        <f>IF(B132="","",IF(totals!$Q$3=0,IFERROR(IF(AD132=2,"0",AE132),""),"-"))</f>
        <v/>
      </c>
      <c r="E132" s="258" t="str">
        <f t="shared" si="83"/>
        <v/>
      </c>
      <c r="F132" s="259" t="str">
        <f t="shared" si="84"/>
        <v/>
      </c>
      <c r="G132" s="259" t="str">
        <f t="shared" si="85"/>
        <v/>
      </c>
      <c r="H132" s="256" t="str">
        <f t="shared" si="63"/>
        <v/>
      </c>
      <c r="I132" s="259" t="str">
        <f t="shared" si="86"/>
        <v/>
      </c>
      <c r="J132" s="259" t="str">
        <f t="shared" si="87"/>
        <v/>
      </c>
      <c r="K132" s="256" t="str">
        <f t="shared" si="64"/>
        <v/>
      </c>
      <c r="L132" s="259" t="str">
        <f t="shared" si="65"/>
        <v/>
      </c>
      <c r="M132" s="259" t="str">
        <f t="shared" si="88"/>
        <v/>
      </c>
      <c r="N132" s="256" t="str">
        <f t="shared" si="89"/>
        <v/>
      </c>
      <c r="O132" s="259" t="str">
        <f t="shared" si="90"/>
        <v/>
      </c>
      <c r="P132" s="259" t="str">
        <f t="shared" si="91"/>
        <v/>
      </c>
      <c r="Q132" s="256" t="str">
        <f t="shared" si="92"/>
        <v/>
      </c>
      <c r="R132" s="259" t="str">
        <f t="shared" si="93"/>
        <v/>
      </c>
      <c r="S132" s="259" t="str">
        <f t="shared" si="94"/>
        <v/>
      </c>
      <c r="T132" s="256" t="str">
        <f t="shared" si="95"/>
        <v/>
      </c>
      <c r="U132" s="217"/>
      <c r="V132" s="217"/>
      <c r="AB132" s="217" t="e">
        <f>VLOOKUP($B$6,Lookup_Source,125,0)</f>
        <v>#N/A</v>
      </c>
      <c r="AC132" s="241" t="str">
        <f t="shared" si="96"/>
        <v/>
      </c>
      <c r="AD132" s="242">
        <f t="shared" si="97"/>
        <v>7</v>
      </c>
      <c r="AE132" s="261" t="e">
        <f t="shared" si="66"/>
        <v>#N/A</v>
      </c>
      <c r="AF132" s="264" t="e">
        <f t="shared" si="98"/>
        <v>#N/A</v>
      </c>
      <c r="AG132" s="264" t="e">
        <f t="shared" si="99"/>
        <v>#N/A</v>
      </c>
      <c r="AH132" s="263" t="e">
        <f t="shared" si="67"/>
        <v>#N/A</v>
      </c>
      <c r="AI132" s="226">
        <f t="shared" si="100"/>
        <v>7</v>
      </c>
      <c r="AJ132" s="264" t="e">
        <f t="shared" si="68"/>
        <v>#N/A</v>
      </c>
      <c r="AK132" s="264" t="e">
        <f t="shared" si="101"/>
        <v>#N/A</v>
      </c>
      <c r="AL132" s="226" t="e">
        <f t="shared" si="69"/>
        <v>#N/A</v>
      </c>
      <c r="AM132" s="265" t="e">
        <f t="shared" si="102"/>
        <v>#N/A</v>
      </c>
      <c r="AN132" s="266" t="e">
        <f t="shared" si="70"/>
        <v>#N/A</v>
      </c>
      <c r="AO132" s="227" t="e">
        <f t="shared" si="71"/>
        <v>#N/A</v>
      </c>
      <c r="AP132" s="284">
        <f t="shared" si="103"/>
        <v>7</v>
      </c>
      <c r="AQ132" s="285" t="e">
        <f t="shared" si="72"/>
        <v>#N/A</v>
      </c>
      <c r="AR132" s="266" t="e">
        <f t="shared" si="104"/>
        <v>#N/A</v>
      </c>
      <c r="AS132" s="270" t="e">
        <f t="shared" si="73"/>
        <v>#N/A</v>
      </c>
      <c r="AT132" s="271">
        <f t="shared" si="105"/>
        <v>7</v>
      </c>
      <c r="AU132" s="272" t="e">
        <f t="shared" si="106"/>
        <v>#N/A</v>
      </c>
      <c r="AV132" s="273" t="e">
        <f t="shared" si="107"/>
        <v>#N/A</v>
      </c>
      <c r="AW132" s="274" t="e">
        <f t="shared" si="74"/>
        <v>#N/A</v>
      </c>
      <c r="AX132" s="232">
        <f t="shared" si="108"/>
        <v>7</v>
      </c>
      <c r="AY132" s="273" t="e">
        <f t="shared" si="75"/>
        <v>#N/A</v>
      </c>
      <c r="AZ132" s="232" t="e">
        <f t="shared" si="109"/>
        <v>#N/A</v>
      </c>
      <c r="BA132" s="232" t="e">
        <f t="shared" si="76"/>
        <v>#N/A</v>
      </c>
      <c r="BB132" s="275">
        <f t="shared" si="110"/>
        <v>7</v>
      </c>
      <c r="BC132" s="276" t="e">
        <f t="shared" si="111"/>
        <v>#N/A</v>
      </c>
      <c r="BD132" s="277" t="e">
        <f t="shared" si="112"/>
        <v>#N/A</v>
      </c>
      <c r="BE132" s="250" t="e">
        <f t="shared" si="77"/>
        <v>#N/A</v>
      </c>
      <c r="BF132" s="247">
        <f t="shared" si="113"/>
        <v>7</v>
      </c>
      <c r="BG132" s="276" t="e">
        <f t="shared" si="114"/>
        <v>#N/A</v>
      </c>
      <c r="BH132" s="277" t="e">
        <f t="shared" si="115"/>
        <v>#N/A</v>
      </c>
      <c r="BI132" s="250" t="e">
        <f t="shared" si="78"/>
        <v>#N/A</v>
      </c>
      <c r="BJ132" s="251">
        <f t="shared" si="116"/>
        <v>7</v>
      </c>
      <c r="BK132" s="278" t="e">
        <f t="shared" si="117"/>
        <v>#N/A</v>
      </c>
      <c r="BL132" s="278" t="e">
        <f t="shared" si="118"/>
        <v>#N/A</v>
      </c>
      <c r="BM132" s="279" t="e">
        <f t="shared" si="79"/>
        <v>#N/A</v>
      </c>
      <c r="BN132" s="280">
        <f t="shared" si="119"/>
        <v>7</v>
      </c>
      <c r="BO132" s="281" t="e">
        <f t="shared" si="120"/>
        <v>#N/A</v>
      </c>
      <c r="BP132" s="281" t="e">
        <f t="shared" si="121"/>
        <v>#N/A</v>
      </c>
      <c r="BQ132" s="279" t="e">
        <f t="shared" si="80"/>
        <v>#N/A</v>
      </c>
      <c r="BR132" s="282" t="e">
        <f t="shared" si="81"/>
        <v>#N/A</v>
      </c>
      <c r="BS132" s="217" t="e">
        <f>VLOOKUP($B132,SDR24_STOCK_BY_LA!$A$2:$C$11878,3,0)</f>
        <v>#N/A</v>
      </c>
      <c r="BT132" s="217" t="str">
        <f t="shared" si="122"/>
        <v/>
      </c>
    </row>
    <row r="133" spans="1:72" x14ac:dyDescent="0.2">
      <c r="A133" s="256" t="str">
        <f t="shared" si="123"/>
        <v/>
      </c>
      <c r="B133" s="217" t="str">
        <f t="shared" si="124"/>
        <v/>
      </c>
      <c r="C133" s="257" t="str">
        <f t="shared" si="82"/>
        <v/>
      </c>
      <c r="D133" s="256" t="str">
        <f>IF(B133="","",IF(totals!$Q$3=0,IFERROR(IF(AD133=2,"0",AE133),""),"-"))</f>
        <v/>
      </c>
      <c r="E133" s="258" t="str">
        <f t="shared" si="83"/>
        <v/>
      </c>
      <c r="F133" s="259" t="str">
        <f t="shared" si="84"/>
        <v/>
      </c>
      <c r="G133" s="259" t="str">
        <f t="shared" si="85"/>
        <v/>
      </c>
      <c r="H133" s="256" t="str">
        <f t="shared" si="63"/>
        <v/>
      </c>
      <c r="I133" s="259" t="str">
        <f t="shared" si="86"/>
        <v/>
      </c>
      <c r="J133" s="259" t="str">
        <f t="shared" si="87"/>
        <v/>
      </c>
      <c r="K133" s="256" t="str">
        <f t="shared" si="64"/>
        <v/>
      </c>
      <c r="L133" s="259" t="str">
        <f t="shared" si="65"/>
        <v/>
      </c>
      <c r="M133" s="259" t="str">
        <f t="shared" si="88"/>
        <v/>
      </c>
      <c r="N133" s="256" t="str">
        <f t="shared" si="89"/>
        <v/>
      </c>
      <c r="O133" s="259" t="str">
        <f t="shared" si="90"/>
        <v/>
      </c>
      <c r="P133" s="259" t="str">
        <f t="shared" si="91"/>
        <v/>
      </c>
      <c r="Q133" s="256" t="str">
        <f t="shared" si="92"/>
        <v/>
      </c>
      <c r="R133" s="259" t="str">
        <f t="shared" si="93"/>
        <v/>
      </c>
      <c r="S133" s="259" t="str">
        <f t="shared" si="94"/>
        <v/>
      </c>
      <c r="T133" s="256" t="str">
        <f t="shared" si="95"/>
        <v/>
      </c>
      <c r="U133" s="217"/>
      <c r="V133" s="217"/>
      <c r="AB133" s="257" t="e">
        <f>VLOOKUP($B$6,Lookup_Source,126,0)</f>
        <v>#N/A</v>
      </c>
      <c r="AC133" s="241" t="str">
        <f t="shared" si="96"/>
        <v/>
      </c>
      <c r="AD133" s="242">
        <f t="shared" si="97"/>
        <v>7</v>
      </c>
      <c r="AE133" s="261" t="e">
        <f t="shared" si="66"/>
        <v>#N/A</v>
      </c>
      <c r="AF133" s="264" t="e">
        <f t="shared" si="98"/>
        <v>#N/A</v>
      </c>
      <c r="AG133" s="264" t="e">
        <f t="shared" si="99"/>
        <v>#N/A</v>
      </c>
      <c r="AH133" s="263" t="e">
        <f t="shared" si="67"/>
        <v>#N/A</v>
      </c>
      <c r="AI133" s="226">
        <f t="shared" si="100"/>
        <v>7</v>
      </c>
      <c r="AJ133" s="264" t="e">
        <f t="shared" si="68"/>
        <v>#N/A</v>
      </c>
      <c r="AK133" s="264" t="e">
        <f t="shared" si="101"/>
        <v>#N/A</v>
      </c>
      <c r="AL133" s="226" t="e">
        <f t="shared" si="69"/>
        <v>#N/A</v>
      </c>
      <c r="AM133" s="265" t="e">
        <f t="shared" si="102"/>
        <v>#N/A</v>
      </c>
      <c r="AN133" s="266" t="e">
        <f t="shared" si="70"/>
        <v>#N/A</v>
      </c>
      <c r="AO133" s="227" t="e">
        <f t="shared" si="71"/>
        <v>#N/A</v>
      </c>
      <c r="AP133" s="284">
        <f t="shared" si="103"/>
        <v>7</v>
      </c>
      <c r="AQ133" s="285" t="e">
        <f t="shared" si="72"/>
        <v>#N/A</v>
      </c>
      <c r="AR133" s="266" t="e">
        <f t="shared" si="104"/>
        <v>#N/A</v>
      </c>
      <c r="AS133" s="270" t="e">
        <f t="shared" si="73"/>
        <v>#N/A</v>
      </c>
      <c r="AT133" s="271">
        <f t="shared" si="105"/>
        <v>7</v>
      </c>
      <c r="AU133" s="272" t="e">
        <f t="shared" si="106"/>
        <v>#N/A</v>
      </c>
      <c r="AV133" s="273" t="e">
        <f t="shared" si="107"/>
        <v>#N/A</v>
      </c>
      <c r="AW133" s="274" t="e">
        <f t="shared" si="74"/>
        <v>#N/A</v>
      </c>
      <c r="AX133" s="232">
        <f t="shared" si="108"/>
        <v>7</v>
      </c>
      <c r="AY133" s="273" t="e">
        <f t="shared" si="75"/>
        <v>#N/A</v>
      </c>
      <c r="AZ133" s="232" t="e">
        <f t="shared" si="109"/>
        <v>#N/A</v>
      </c>
      <c r="BA133" s="232" t="e">
        <f t="shared" si="76"/>
        <v>#N/A</v>
      </c>
      <c r="BB133" s="275">
        <f t="shared" si="110"/>
        <v>7</v>
      </c>
      <c r="BC133" s="276" t="e">
        <f t="shared" si="111"/>
        <v>#N/A</v>
      </c>
      <c r="BD133" s="277" t="e">
        <f t="shared" si="112"/>
        <v>#N/A</v>
      </c>
      <c r="BE133" s="250" t="e">
        <f t="shared" si="77"/>
        <v>#N/A</v>
      </c>
      <c r="BF133" s="247">
        <f t="shared" si="113"/>
        <v>7</v>
      </c>
      <c r="BG133" s="276" t="e">
        <f t="shared" si="114"/>
        <v>#N/A</v>
      </c>
      <c r="BH133" s="277" t="e">
        <f t="shared" si="115"/>
        <v>#N/A</v>
      </c>
      <c r="BI133" s="250" t="e">
        <f t="shared" si="78"/>
        <v>#N/A</v>
      </c>
      <c r="BJ133" s="251">
        <f t="shared" si="116"/>
        <v>7</v>
      </c>
      <c r="BK133" s="278" t="e">
        <f t="shared" si="117"/>
        <v>#N/A</v>
      </c>
      <c r="BL133" s="278" t="e">
        <f t="shared" si="118"/>
        <v>#N/A</v>
      </c>
      <c r="BM133" s="279" t="e">
        <f t="shared" si="79"/>
        <v>#N/A</v>
      </c>
      <c r="BN133" s="280">
        <f t="shared" si="119"/>
        <v>7</v>
      </c>
      <c r="BO133" s="281" t="e">
        <f t="shared" si="120"/>
        <v>#N/A</v>
      </c>
      <c r="BP133" s="281" t="e">
        <f t="shared" si="121"/>
        <v>#N/A</v>
      </c>
      <c r="BQ133" s="279" t="e">
        <f t="shared" si="80"/>
        <v>#N/A</v>
      </c>
      <c r="BR133" s="282" t="e">
        <f t="shared" si="81"/>
        <v>#N/A</v>
      </c>
      <c r="BS133" s="217" t="e">
        <f>VLOOKUP($B133,SDR24_STOCK_BY_LA!$A$2:$C$11878,3,0)</f>
        <v>#N/A</v>
      </c>
      <c r="BT133" s="217" t="str">
        <f t="shared" si="122"/>
        <v/>
      </c>
    </row>
    <row r="134" spans="1:72" x14ac:dyDescent="0.2">
      <c r="A134" s="217" t="str">
        <f t="shared" si="123"/>
        <v/>
      </c>
      <c r="B134" s="217" t="str">
        <f t="shared" si="124"/>
        <v/>
      </c>
      <c r="C134" s="283" t="str">
        <f t="shared" si="82"/>
        <v/>
      </c>
      <c r="D134" s="256" t="str">
        <f>IF(B134="","",IF(totals!$Q$3=0,IFERROR(IF(AD134=2,"0",AE134),""),"-"))</f>
        <v/>
      </c>
      <c r="E134" s="258" t="str">
        <f t="shared" si="83"/>
        <v/>
      </c>
      <c r="F134" s="259" t="str">
        <f t="shared" si="84"/>
        <v/>
      </c>
      <c r="G134" s="259" t="str">
        <f t="shared" si="85"/>
        <v/>
      </c>
      <c r="H134" s="256" t="str">
        <f t="shared" si="63"/>
        <v/>
      </c>
      <c r="I134" s="259" t="str">
        <f t="shared" si="86"/>
        <v/>
      </c>
      <c r="J134" s="259" t="str">
        <f t="shared" si="87"/>
        <v/>
      </c>
      <c r="K134" s="256" t="str">
        <f t="shared" si="64"/>
        <v/>
      </c>
      <c r="L134" s="259" t="str">
        <f t="shared" si="65"/>
        <v/>
      </c>
      <c r="M134" s="259" t="str">
        <f t="shared" si="88"/>
        <v/>
      </c>
      <c r="N134" s="256" t="str">
        <f t="shared" si="89"/>
        <v/>
      </c>
      <c r="O134" s="259" t="str">
        <f t="shared" si="90"/>
        <v/>
      </c>
      <c r="P134" s="259" t="str">
        <f t="shared" si="91"/>
        <v/>
      </c>
      <c r="Q134" s="256" t="str">
        <f t="shared" si="92"/>
        <v/>
      </c>
      <c r="R134" s="259" t="str">
        <f t="shared" si="93"/>
        <v/>
      </c>
      <c r="S134" s="259" t="str">
        <f t="shared" si="94"/>
        <v/>
      </c>
      <c r="T134" s="256" t="str">
        <f t="shared" si="95"/>
        <v/>
      </c>
      <c r="U134" s="217"/>
      <c r="V134" s="217"/>
      <c r="AB134" s="217" t="e">
        <f>VLOOKUP($B$6,Lookup_Source,127,0)</f>
        <v>#N/A</v>
      </c>
      <c r="AC134" s="241" t="str">
        <f t="shared" si="96"/>
        <v/>
      </c>
      <c r="AD134" s="242">
        <f t="shared" si="97"/>
        <v>7</v>
      </c>
      <c r="AE134" s="261" t="e">
        <f t="shared" si="66"/>
        <v>#N/A</v>
      </c>
      <c r="AF134" s="264" t="e">
        <f t="shared" si="98"/>
        <v>#N/A</v>
      </c>
      <c r="AG134" s="264" t="e">
        <f t="shared" si="99"/>
        <v>#N/A</v>
      </c>
      <c r="AH134" s="263" t="e">
        <f t="shared" si="67"/>
        <v>#N/A</v>
      </c>
      <c r="AI134" s="226">
        <f t="shared" si="100"/>
        <v>7</v>
      </c>
      <c r="AJ134" s="264" t="e">
        <f t="shared" si="68"/>
        <v>#N/A</v>
      </c>
      <c r="AK134" s="264" t="e">
        <f t="shared" si="101"/>
        <v>#N/A</v>
      </c>
      <c r="AL134" s="226" t="e">
        <f t="shared" si="69"/>
        <v>#N/A</v>
      </c>
      <c r="AM134" s="265" t="e">
        <f t="shared" si="102"/>
        <v>#N/A</v>
      </c>
      <c r="AN134" s="266" t="e">
        <f t="shared" si="70"/>
        <v>#N/A</v>
      </c>
      <c r="AO134" s="227" t="e">
        <f t="shared" si="71"/>
        <v>#N/A</v>
      </c>
      <c r="AP134" s="284">
        <f t="shared" si="103"/>
        <v>7</v>
      </c>
      <c r="AQ134" s="285" t="e">
        <f t="shared" si="72"/>
        <v>#N/A</v>
      </c>
      <c r="AR134" s="266" t="e">
        <f t="shared" si="104"/>
        <v>#N/A</v>
      </c>
      <c r="AS134" s="270" t="e">
        <f t="shared" si="73"/>
        <v>#N/A</v>
      </c>
      <c r="AT134" s="271">
        <f t="shared" si="105"/>
        <v>7</v>
      </c>
      <c r="AU134" s="272" t="e">
        <f t="shared" si="106"/>
        <v>#N/A</v>
      </c>
      <c r="AV134" s="273" t="e">
        <f t="shared" si="107"/>
        <v>#N/A</v>
      </c>
      <c r="AW134" s="274" t="e">
        <f t="shared" si="74"/>
        <v>#N/A</v>
      </c>
      <c r="AX134" s="232">
        <f t="shared" si="108"/>
        <v>7</v>
      </c>
      <c r="AY134" s="273" t="e">
        <f t="shared" si="75"/>
        <v>#N/A</v>
      </c>
      <c r="AZ134" s="232" t="e">
        <f t="shared" si="109"/>
        <v>#N/A</v>
      </c>
      <c r="BA134" s="232" t="e">
        <f t="shared" si="76"/>
        <v>#N/A</v>
      </c>
      <c r="BB134" s="275">
        <f t="shared" si="110"/>
        <v>7</v>
      </c>
      <c r="BC134" s="276" t="e">
        <f t="shared" si="111"/>
        <v>#N/A</v>
      </c>
      <c r="BD134" s="277" t="e">
        <f t="shared" si="112"/>
        <v>#N/A</v>
      </c>
      <c r="BE134" s="250" t="e">
        <f t="shared" si="77"/>
        <v>#N/A</v>
      </c>
      <c r="BF134" s="247">
        <f t="shared" si="113"/>
        <v>7</v>
      </c>
      <c r="BG134" s="276" t="e">
        <f t="shared" si="114"/>
        <v>#N/A</v>
      </c>
      <c r="BH134" s="277" t="e">
        <f t="shared" si="115"/>
        <v>#N/A</v>
      </c>
      <c r="BI134" s="250" t="e">
        <f t="shared" si="78"/>
        <v>#N/A</v>
      </c>
      <c r="BJ134" s="251">
        <f t="shared" si="116"/>
        <v>7</v>
      </c>
      <c r="BK134" s="278" t="e">
        <f t="shared" si="117"/>
        <v>#N/A</v>
      </c>
      <c r="BL134" s="278" t="e">
        <f t="shared" si="118"/>
        <v>#N/A</v>
      </c>
      <c r="BM134" s="279" t="e">
        <f t="shared" si="79"/>
        <v>#N/A</v>
      </c>
      <c r="BN134" s="280">
        <f t="shared" si="119"/>
        <v>7</v>
      </c>
      <c r="BO134" s="281" t="e">
        <f t="shared" si="120"/>
        <v>#N/A</v>
      </c>
      <c r="BP134" s="281" t="e">
        <f t="shared" si="121"/>
        <v>#N/A</v>
      </c>
      <c r="BQ134" s="279" t="e">
        <f t="shared" si="80"/>
        <v>#N/A</v>
      </c>
      <c r="BR134" s="282" t="e">
        <f t="shared" si="81"/>
        <v>#N/A</v>
      </c>
      <c r="BS134" s="217" t="e">
        <f>VLOOKUP($B134,SDR24_STOCK_BY_LA!$A$2:$C$11878,3,0)</f>
        <v>#N/A</v>
      </c>
      <c r="BT134" s="217" t="str">
        <f t="shared" si="122"/>
        <v/>
      </c>
    </row>
    <row r="135" spans="1:72" x14ac:dyDescent="0.2">
      <c r="A135" s="256" t="str">
        <f t="shared" si="123"/>
        <v/>
      </c>
      <c r="B135" s="217" t="str">
        <f t="shared" si="124"/>
        <v/>
      </c>
      <c r="C135" s="257" t="str">
        <f t="shared" si="82"/>
        <v/>
      </c>
      <c r="D135" s="256" t="str">
        <f>IF(B135="","",IF(totals!$Q$3=0,IFERROR(IF(AD135=2,"0",AE135),""),"-"))</f>
        <v/>
      </c>
      <c r="E135" s="258" t="str">
        <f t="shared" si="83"/>
        <v/>
      </c>
      <c r="F135" s="259" t="str">
        <f t="shared" si="84"/>
        <v/>
      </c>
      <c r="G135" s="259" t="str">
        <f t="shared" si="85"/>
        <v/>
      </c>
      <c r="H135" s="256" t="str">
        <f t="shared" si="63"/>
        <v/>
      </c>
      <c r="I135" s="259" t="str">
        <f t="shared" si="86"/>
        <v/>
      </c>
      <c r="J135" s="259" t="str">
        <f t="shared" si="87"/>
        <v/>
      </c>
      <c r="K135" s="256" t="str">
        <f t="shared" si="64"/>
        <v/>
      </c>
      <c r="L135" s="259" t="str">
        <f t="shared" si="65"/>
        <v/>
      </c>
      <c r="M135" s="259" t="str">
        <f t="shared" si="88"/>
        <v/>
      </c>
      <c r="N135" s="256" t="str">
        <f t="shared" si="89"/>
        <v/>
      </c>
      <c r="O135" s="259" t="str">
        <f t="shared" si="90"/>
        <v/>
      </c>
      <c r="P135" s="259" t="str">
        <f t="shared" si="91"/>
        <v/>
      </c>
      <c r="Q135" s="256" t="str">
        <f t="shared" si="92"/>
        <v/>
      </c>
      <c r="R135" s="259" t="str">
        <f t="shared" si="93"/>
        <v/>
      </c>
      <c r="S135" s="259" t="str">
        <f t="shared" si="94"/>
        <v/>
      </c>
      <c r="T135" s="256" t="str">
        <f t="shared" si="95"/>
        <v/>
      </c>
      <c r="U135" s="217"/>
      <c r="V135" s="217"/>
      <c r="AB135" s="257" t="e">
        <f>VLOOKUP($B$6,Lookup_Source,128,0)</f>
        <v>#N/A</v>
      </c>
      <c r="AC135" s="241" t="str">
        <f t="shared" si="96"/>
        <v/>
      </c>
      <c r="AD135" s="242">
        <f t="shared" si="97"/>
        <v>7</v>
      </c>
      <c r="AE135" s="261" t="e">
        <f t="shared" si="66"/>
        <v>#N/A</v>
      </c>
      <c r="AF135" s="264" t="e">
        <f t="shared" si="98"/>
        <v>#N/A</v>
      </c>
      <c r="AG135" s="264" t="e">
        <f t="shared" si="99"/>
        <v>#N/A</v>
      </c>
      <c r="AH135" s="263" t="e">
        <f t="shared" si="67"/>
        <v>#N/A</v>
      </c>
      <c r="AI135" s="226">
        <f t="shared" si="100"/>
        <v>7</v>
      </c>
      <c r="AJ135" s="264" t="e">
        <f t="shared" si="68"/>
        <v>#N/A</v>
      </c>
      <c r="AK135" s="264" t="e">
        <f t="shared" si="101"/>
        <v>#N/A</v>
      </c>
      <c r="AL135" s="226" t="e">
        <f t="shared" si="69"/>
        <v>#N/A</v>
      </c>
      <c r="AM135" s="265" t="e">
        <f t="shared" si="102"/>
        <v>#N/A</v>
      </c>
      <c r="AN135" s="266" t="e">
        <f t="shared" si="70"/>
        <v>#N/A</v>
      </c>
      <c r="AO135" s="227" t="e">
        <f t="shared" si="71"/>
        <v>#N/A</v>
      </c>
      <c r="AP135" s="284">
        <f t="shared" si="103"/>
        <v>7</v>
      </c>
      <c r="AQ135" s="285" t="e">
        <f t="shared" si="72"/>
        <v>#N/A</v>
      </c>
      <c r="AR135" s="266" t="e">
        <f t="shared" si="104"/>
        <v>#N/A</v>
      </c>
      <c r="AS135" s="270" t="e">
        <f t="shared" si="73"/>
        <v>#N/A</v>
      </c>
      <c r="AT135" s="271">
        <f t="shared" si="105"/>
        <v>7</v>
      </c>
      <c r="AU135" s="272" t="e">
        <f t="shared" si="106"/>
        <v>#N/A</v>
      </c>
      <c r="AV135" s="273" t="e">
        <f t="shared" si="107"/>
        <v>#N/A</v>
      </c>
      <c r="AW135" s="274" t="e">
        <f t="shared" si="74"/>
        <v>#N/A</v>
      </c>
      <c r="AX135" s="232">
        <f t="shared" si="108"/>
        <v>7</v>
      </c>
      <c r="AY135" s="273" t="e">
        <f t="shared" si="75"/>
        <v>#N/A</v>
      </c>
      <c r="AZ135" s="232" t="e">
        <f t="shared" si="109"/>
        <v>#N/A</v>
      </c>
      <c r="BA135" s="232" t="e">
        <f t="shared" si="76"/>
        <v>#N/A</v>
      </c>
      <c r="BB135" s="275">
        <f t="shared" si="110"/>
        <v>7</v>
      </c>
      <c r="BC135" s="276" t="e">
        <f t="shared" si="111"/>
        <v>#N/A</v>
      </c>
      <c r="BD135" s="277" t="e">
        <f t="shared" si="112"/>
        <v>#N/A</v>
      </c>
      <c r="BE135" s="250" t="e">
        <f t="shared" si="77"/>
        <v>#N/A</v>
      </c>
      <c r="BF135" s="247">
        <f t="shared" si="113"/>
        <v>7</v>
      </c>
      <c r="BG135" s="276" t="e">
        <f t="shared" si="114"/>
        <v>#N/A</v>
      </c>
      <c r="BH135" s="277" t="e">
        <f t="shared" si="115"/>
        <v>#N/A</v>
      </c>
      <c r="BI135" s="250" t="e">
        <f t="shared" si="78"/>
        <v>#N/A</v>
      </c>
      <c r="BJ135" s="251">
        <f t="shared" si="116"/>
        <v>7</v>
      </c>
      <c r="BK135" s="278" t="e">
        <f t="shared" si="117"/>
        <v>#N/A</v>
      </c>
      <c r="BL135" s="278" t="e">
        <f t="shared" si="118"/>
        <v>#N/A</v>
      </c>
      <c r="BM135" s="279" t="e">
        <f t="shared" si="79"/>
        <v>#N/A</v>
      </c>
      <c r="BN135" s="280">
        <f t="shared" si="119"/>
        <v>7</v>
      </c>
      <c r="BO135" s="281" t="e">
        <f t="shared" si="120"/>
        <v>#N/A</v>
      </c>
      <c r="BP135" s="281" t="e">
        <f t="shared" si="121"/>
        <v>#N/A</v>
      </c>
      <c r="BQ135" s="279" t="e">
        <f t="shared" si="80"/>
        <v>#N/A</v>
      </c>
      <c r="BR135" s="282" t="e">
        <f t="shared" si="81"/>
        <v>#N/A</v>
      </c>
      <c r="BS135" s="217" t="e">
        <f>VLOOKUP($B135,SDR24_STOCK_BY_LA!$A$2:$C$11878,3,0)</f>
        <v>#N/A</v>
      </c>
      <c r="BT135" s="217" t="str">
        <f t="shared" si="122"/>
        <v/>
      </c>
    </row>
    <row r="136" spans="1:72" x14ac:dyDescent="0.2">
      <c r="A136" s="217" t="str">
        <f t="shared" si="123"/>
        <v/>
      </c>
      <c r="B136" s="217" t="str">
        <f t="shared" si="124"/>
        <v/>
      </c>
      <c r="C136" s="283" t="str">
        <f t="shared" si="82"/>
        <v/>
      </c>
      <c r="D136" s="256" t="str">
        <f>IF(B136="","",IF(totals!$Q$3=0,IFERROR(IF(AD136=2,"0",AE136),""),"-"))</f>
        <v/>
      </c>
      <c r="E136" s="258" t="str">
        <f t="shared" si="83"/>
        <v/>
      </c>
      <c r="F136" s="259" t="str">
        <f t="shared" si="84"/>
        <v/>
      </c>
      <c r="G136" s="259" t="str">
        <f t="shared" si="85"/>
        <v/>
      </c>
      <c r="H136" s="256" t="str">
        <f t="shared" si="63"/>
        <v/>
      </c>
      <c r="I136" s="259" t="str">
        <f t="shared" si="86"/>
        <v/>
      </c>
      <c r="J136" s="259" t="str">
        <f t="shared" si="87"/>
        <v/>
      </c>
      <c r="K136" s="256" t="str">
        <f t="shared" si="64"/>
        <v/>
      </c>
      <c r="L136" s="259" t="str">
        <f t="shared" si="65"/>
        <v/>
      </c>
      <c r="M136" s="259" t="str">
        <f t="shared" si="88"/>
        <v/>
      </c>
      <c r="N136" s="256" t="str">
        <f t="shared" si="89"/>
        <v/>
      </c>
      <c r="O136" s="259" t="str">
        <f t="shared" si="90"/>
        <v/>
      </c>
      <c r="P136" s="259" t="str">
        <f t="shared" si="91"/>
        <v/>
      </c>
      <c r="Q136" s="256" t="str">
        <f t="shared" si="92"/>
        <v/>
      </c>
      <c r="R136" s="259" t="str">
        <f t="shared" si="93"/>
        <v/>
      </c>
      <c r="S136" s="259" t="str">
        <f t="shared" si="94"/>
        <v/>
      </c>
      <c r="T136" s="256" t="str">
        <f t="shared" si="95"/>
        <v/>
      </c>
      <c r="U136" s="217"/>
      <c r="V136" s="217"/>
      <c r="AB136" s="217" t="e">
        <f>VLOOKUP($B$6,Lookup_Source,129,0)</f>
        <v>#N/A</v>
      </c>
      <c r="AC136" s="241" t="str">
        <f t="shared" si="96"/>
        <v/>
      </c>
      <c r="AD136" s="242">
        <f t="shared" si="97"/>
        <v>7</v>
      </c>
      <c r="AE136" s="261" t="e">
        <f t="shared" si="66"/>
        <v>#N/A</v>
      </c>
      <c r="AF136" s="264" t="e">
        <f t="shared" si="98"/>
        <v>#N/A</v>
      </c>
      <c r="AG136" s="264" t="e">
        <f t="shared" si="99"/>
        <v>#N/A</v>
      </c>
      <c r="AH136" s="263" t="e">
        <f t="shared" si="67"/>
        <v>#N/A</v>
      </c>
      <c r="AI136" s="226">
        <f t="shared" si="100"/>
        <v>7</v>
      </c>
      <c r="AJ136" s="264" t="e">
        <f t="shared" si="68"/>
        <v>#N/A</v>
      </c>
      <c r="AK136" s="264" t="e">
        <f t="shared" si="101"/>
        <v>#N/A</v>
      </c>
      <c r="AL136" s="226" t="e">
        <f t="shared" si="69"/>
        <v>#N/A</v>
      </c>
      <c r="AM136" s="265" t="e">
        <f t="shared" si="102"/>
        <v>#N/A</v>
      </c>
      <c r="AN136" s="266" t="e">
        <f t="shared" si="70"/>
        <v>#N/A</v>
      </c>
      <c r="AO136" s="227" t="e">
        <f t="shared" si="71"/>
        <v>#N/A</v>
      </c>
      <c r="AP136" s="284">
        <f t="shared" si="103"/>
        <v>7</v>
      </c>
      <c r="AQ136" s="285" t="e">
        <f t="shared" si="72"/>
        <v>#N/A</v>
      </c>
      <c r="AR136" s="266" t="e">
        <f t="shared" si="104"/>
        <v>#N/A</v>
      </c>
      <c r="AS136" s="270" t="e">
        <f t="shared" si="73"/>
        <v>#N/A</v>
      </c>
      <c r="AT136" s="271">
        <f t="shared" si="105"/>
        <v>7</v>
      </c>
      <c r="AU136" s="272" t="e">
        <f t="shared" si="106"/>
        <v>#N/A</v>
      </c>
      <c r="AV136" s="273" t="e">
        <f t="shared" si="107"/>
        <v>#N/A</v>
      </c>
      <c r="AW136" s="274" t="e">
        <f t="shared" si="74"/>
        <v>#N/A</v>
      </c>
      <c r="AX136" s="232">
        <f t="shared" si="108"/>
        <v>7</v>
      </c>
      <c r="AY136" s="273" t="e">
        <f t="shared" si="75"/>
        <v>#N/A</v>
      </c>
      <c r="AZ136" s="232" t="e">
        <f t="shared" si="109"/>
        <v>#N/A</v>
      </c>
      <c r="BA136" s="232" t="e">
        <f t="shared" si="76"/>
        <v>#N/A</v>
      </c>
      <c r="BB136" s="275">
        <f t="shared" si="110"/>
        <v>7</v>
      </c>
      <c r="BC136" s="276" t="e">
        <f t="shared" si="111"/>
        <v>#N/A</v>
      </c>
      <c r="BD136" s="277" t="e">
        <f t="shared" si="112"/>
        <v>#N/A</v>
      </c>
      <c r="BE136" s="250" t="e">
        <f t="shared" si="77"/>
        <v>#N/A</v>
      </c>
      <c r="BF136" s="247">
        <f t="shared" si="113"/>
        <v>7</v>
      </c>
      <c r="BG136" s="276" t="e">
        <f t="shared" si="114"/>
        <v>#N/A</v>
      </c>
      <c r="BH136" s="277" t="e">
        <f t="shared" si="115"/>
        <v>#N/A</v>
      </c>
      <c r="BI136" s="250" t="e">
        <f t="shared" si="78"/>
        <v>#N/A</v>
      </c>
      <c r="BJ136" s="251">
        <f t="shared" si="116"/>
        <v>7</v>
      </c>
      <c r="BK136" s="278" t="e">
        <f t="shared" si="117"/>
        <v>#N/A</v>
      </c>
      <c r="BL136" s="278" t="e">
        <f t="shared" si="118"/>
        <v>#N/A</v>
      </c>
      <c r="BM136" s="279" t="e">
        <f t="shared" si="79"/>
        <v>#N/A</v>
      </c>
      <c r="BN136" s="280">
        <f t="shared" si="119"/>
        <v>7</v>
      </c>
      <c r="BO136" s="281" t="e">
        <f t="shared" si="120"/>
        <v>#N/A</v>
      </c>
      <c r="BP136" s="281" t="e">
        <f t="shared" si="121"/>
        <v>#N/A</v>
      </c>
      <c r="BQ136" s="279" t="e">
        <f t="shared" si="80"/>
        <v>#N/A</v>
      </c>
      <c r="BR136" s="282" t="e">
        <f t="shared" si="81"/>
        <v>#N/A</v>
      </c>
      <c r="BS136" s="217" t="e">
        <f>VLOOKUP($B136,SDR24_STOCK_BY_LA!$A$2:$C$11878,3,0)</f>
        <v>#N/A</v>
      </c>
      <c r="BT136" s="217" t="str">
        <f t="shared" si="122"/>
        <v/>
      </c>
    </row>
    <row r="137" spans="1:72" x14ac:dyDescent="0.2">
      <c r="A137" s="256" t="str">
        <f t="shared" si="123"/>
        <v/>
      </c>
      <c r="B137" s="217" t="str">
        <f t="shared" si="124"/>
        <v/>
      </c>
      <c r="C137" s="257" t="str">
        <f t="shared" si="82"/>
        <v/>
      </c>
      <c r="D137" s="256" t="str">
        <f>IF(B137="","",IF(totals!$Q$3=0,IFERROR(IF(AD137=2,"0",AE137),""),"-"))</f>
        <v/>
      </c>
      <c r="E137" s="258" t="str">
        <f t="shared" si="83"/>
        <v/>
      </c>
      <c r="F137" s="259" t="str">
        <f t="shared" si="84"/>
        <v/>
      </c>
      <c r="G137" s="259" t="str">
        <f t="shared" si="85"/>
        <v/>
      </c>
      <c r="H137" s="256" t="str">
        <f t="shared" ref="H137:H200" si="125">IFERROR(AO137,"")</f>
        <v/>
      </c>
      <c r="I137" s="259" t="str">
        <f t="shared" si="86"/>
        <v/>
      </c>
      <c r="J137" s="259" t="str">
        <f t="shared" si="87"/>
        <v/>
      </c>
      <c r="K137" s="256" t="str">
        <f t="shared" ref="K137:K200" si="126">IFERROR(AW137,"")</f>
        <v/>
      </c>
      <c r="L137" s="259" t="str">
        <f t="shared" ref="L137:L200" si="127">IFERROR(IF(AT137=2,"-",AU137),"")</f>
        <v/>
      </c>
      <c r="M137" s="259" t="str">
        <f t="shared" si="88"/>
        <v/>
      </c>
      <c r="N137" s="256" t="str">
        <f t="shared" si="89"/>
        <v/>
      </c>
      <c r="O137" s="259" t="str">
        <f t="shared" si="90"/>
        <v/>
      </c>
      <c r="P137" s="259" t="str">
        <f t="shared" si="91"/>
        <v/>
      </c>
      <c r="Q137" s="256" t="str">
        <f t="shared" si="92"/>
        <v/>
      </c>
      <c r="R137" s="259" t="str">
        <f t="shared" si="93"/>
        <v/>
      </c>
      <c r="S137" s="259" t="str">
        <f t="shared" si="94"/>
        <v/>
      </c>
      <c r="T137" s="256" t="str">
        <f t="shared" si="95"/>
        <v/>
      </c>
      <c r="U137" s="217"/>
      <c r="V137" s="217"/>
      <c r="AB137" s="257" t="e">
        <f>VLOOKUP($B$6,Lookup_Source,130,0)</f>
        <v>#N/A</v>
      </c>
      <c r="AC137" s="241" t="str">
        <f t="shared" si="96"/>
        <v/>
      </c>
      <c r="AD137" s="242">
        <f t="shared" si="97"/>
        <v>7</v>
      </c>
      <c r="AE137" s="261" t="e">
        <f t="shared" ref="AE137:AE200" si="128">SUM(VLOOKUP($B137,Totals,8,0)-1)</f>
        <v>#N/A</v>
      </c>
      <c r="AF137" s="264" t="e">
        <f t="shared" si="98"/>
        <v>#N/A</v>
      </c>
      <c r="AG137" s="264" t="e">
        <f t="shared" si="99"/>
        <v>#N/A</v>
      </c>
      <c r="AH137" s="263" t="e">
        <f t="shared" ref="AH137:AH200" si="129">VLOOKUP($BT137,Stock_By_LA,2,0)</f>
        <v>#N/A</v>
      </c>
      <c r="AI137" s="226">
        <f t="shared" si="100"/>
        <v>7</v>
      </c>
      <c r="AJ137" s="264" t="e">
        <f t="shared" ref="AJ137:AJ200" si="130">IF(AK137&gt;0,AK137,"-")</f>
        <v>#N/A</v>
      </c>
      <c r="AK137" s="264" t="e">
        <f t="shared" si="101"/>
        <v>#N/A</v>
      </c>
      <c r="AL137" s="226" t="e">
        <f t="shared" ref="AL137:AL200" si="131">VLOOKUP($B137,Totals,7,0)</f>
        <v>#N/A</v>
      </c>
      <c r="AM137" s="265" t="e">
        <f t="shared" si="102"/>
        <v>#N/A</v>
      </c>
      <c r="AN137" s="266" t="e">
        <f t="shared" ref="AN137:AN200" si="132">$AO137/$AO$8</f>
        <v>#N/A</v>
      </c>
      <c r="AO137" s="227" t="e">
        <f t="shared" ref="AO137:AO200" si="133">VLOOKUP($BT137,Stock_By_LA,3,0)</f>
        <v>#N/A</v>
      </c>
      <c r="AP137" s="284">
        <f t="shared" si="103"/>
        <v>7</v>
      </c>
      <c r="AQ137" s="285" t="e">
        <f t="shared" ref="AQ137:AQ200" si="134">IF(AR137&gt;0,AR137,"-")</f>
        <v>#N/A</v>
      </c>
      <c r="AR137" s="266" t="e">
        <f t="shared" si="104"/>
        <v>#N/A</v>
      </c>
      <c r="AS137" s="270" t="e">
        <f t="shared" ref="AS137:AS200" si="135">VLOOKUP($B137,Totals,2,0)</f>
        <v>#N/A</v>
      </c>
      <c r="AT137" s="271">
        <f t="shared" si="105"/>
        <v>7</v>
      </c>
      <c r="AU137" s="272" t="e">
        <f t="shared" si="106"/>
        <v>#N/A</v>
      </c>
      <c r="AV137" s="273" t="e">
        <f t="shared" si="107"/>
        <v>#N/A</v>
      </c>
      <c r="AW137" s="274" t="e">
        <f t="shared" ref="AW137:AW200" si="136">VLOOKUP($BT137,Stock_By_LA,4,0)</f>
        <v>#N/A</v>
      </c>
      <c r="AX137" s="232">
        <f t="shared" si="108"/>
        <v>7</v>
      </c>
      <c r="AY137" s="273" t="e">
        <f t="shared" ref="AY137:AY200" si="137">IF(AZ137&gt;0,AZ137,"-")</f>
        <v>#N/A</v>
      </c>
      <c r="AZ137" s="232" t="e">
        <f t="shared" si="109"/>
        <v>#N/A</v>
      </c>
      <c r="BA137" s="232" t="e">
        <f t="shared" ref="BA137:BA200" si="138">VLOOKUP($B137,Totals,3,0)</f>
        <v>#N/A</v>
      </c>
      <c r="BB137" s="275">
        <f t="shared" si="110"/>
        <v>7</v>
      </c>
      <c r="BC137" s="276" t="e">
        <f t="shared" si="111"/>
        <v>#N/A</v>
      </c>
      <c r="BD137" s="277" t="e">
        <f t="shared" si="112"/>
        <v>#N/A</v>
      </c>
      <c r="BE137" s="250" t="e">
        <f t="shared" ref="BE137:BE200" si="139">VLOOKUP($BT137,Stock_By_LA,5,0)</f>
        <v>#N/A</v>
      </c>
      <c r="BF137" s="247">
        <f t="shared" si="113"/>
        <v>7</v>
      </c>
      <c r="BG137" s="276" t="e">
        <f t="shared" si="114"/>
        <v>#N/A</v>
      </c>
      <c r="BH137" s="277" t="e">
        <f t="shared" si="115"/>
        <v>#N/A</v>
      </c>
      <c r="BI137" s="250" t="e">
        <f t="shared" ref="BI137:BI200" si="140">VLOOKUP($B137,Totals,4,0)</f>
        <v>#N/A</v>
      </c>
      <c r="BJ137" s="251">
        <f t="shared" si="116"/>
        <v>7</v>
      </c>
      <c r="BK137" s="278" t="e">
        <f t="shared" si="117"/>
        <v>#N/A</v>
      </c>
      <c r="BL137" s="278" t="e">
        <f t="shared" si="118"/>
        <v>#N/A</v>
      </c>
      <c r="BM137" s="279" t="e">
        <f t="shared" ref="BM137:BM200" si="141">VLOOKUP($BT137,Stock_By_LA,6,0)</f>
        <v>#N/A</v>
      </c>
      <c r="BN137" s="280">
        <f t="shared" si="119"/>
        <v>7</v>
      </c>
      <c r="BO137" s="281" t="e">
        <f t="shared" si="120"/>
        <v>#N/A</v>
      </c>
      <c r="BP137" s="281" t="e">
        <f t="shared" si="121"/>
        <v>#N/A</v>
      </c>
      <c r="BQ137" s="279" t="e">
        <f t="shared" ref="BQ137:BQ200" si="142">VLOOKUP($B137,Totals,5,0)</f>
        <v>#N/A</v>
      </c>
      <c r="BR137" s="282" t="e">
        <f t="shared" ref="BR137:BR200" si="143">VLOOKUP($BT137,Stock_By_LA,8,0)</f>
        <v>#N/A</v>
      </c>
      <c r="BS137" s="217" t="e">
        <f>VLOOKUP($B137,SDR24_STOCK_BY_LA!$A$2:$C$11878,3,0)</f>
        <v>#N/A</v>
      </c>
      <c r="BT137" s="217" t="str">
        <f t="shared" si="122"/>
        <v/>
      </c>
    </row>
    <row r="138" spans="1:72" x14ac:dyDescent="0.2">
      <c r="A138" s="217" t="str">
        <f t="shared" si="123"/>
        <v/>
      </c>
      <c r="B138" s="217" t="str">
        <f t="shared" si="124"/>
        <v/>
      </c>
      <c r="C138" s="283" t="str">
        <f t="shared" ref="C138:C201" si="144">IFERROR(BS138,"")</f>
        <v/>
      </c>
      <c r="D138" s="256" t="str">
        <f>IF(B138="","",IF(totals!$Q$3=0,IFERROR(IF(AD138=2,"0",AE138),""),"-"))</f>
        <v/>
      </c>
      <c r="E138" s="258" t="str">
        <f t="shared" ref="E138:E201" si="145">IFERROR(AH138,"")</f>
        <v/>
      </c>
      <c r="F138" s="259" t="str">
        <f t="shared" ref="F138:F201" si="146">IFERROR(AF138,"")</f>
        <v/>
      </c>
      <c r="G138" s="259" t="str">
        <f t="shared" ref="G138:G201" si="147">IFERROR(IF(AI138=2,"-",AJ138),"")</f>
        <v/>
      </c>
      <c r="H138" s="256" t="str">
        <f t="shared" si="125"/>
        <v/>
      </c>
      <c r="I138" s="259" t="str">
        <f t="shared" ref="I138:I201" si="148">IFERROR(AM138,"")</f>
        <v/>
      </c>
      <c r="J138" s="259" t="str">
        <f t="shared" ref="J138:J201" si="149">IFERROR(IF(AP138=2,"-",AQ138),"")</f>
        <v/>
      </c>
      <c r="K138" s="256" t="str">
        <f t="shared" si="126"/>
        <v/>
      </c>
      <c r="L138" s="259" t="str">
        <f t="shared" si="127"/>
        <v/>
      </c>
      <c r="M138" s="259" t="str">
        <f t="shared" ref="M138:M201" si="150">IFERROR(IF(AX138=2,"-",AY138),"")</f>
        <v/>
      </c>
      <c r="N138" s="256" t="str">
        <f t="shared" ref="N138:N201" si="151">IFERROR(BE138,"")</f>
        <v/>
      </c>
      <c r="O138" s="259" t="str">
        <f t="shared" ref="O138:O201" si="152">IFERROR(IF(BB138=2,"-",BC138),"")</f>
        <v/>
      </c>
      <c r="P138" s="259" t="str">
        <f t="shared" ref="P138:P201" si="153">IFERROR(IF(BF138=2,"-",BG138),"")</f>
        <v/>
      </c>
      <c r="Q138" s="256" t="str">
        <f t="shared" ref="Q138:Q201" si="154">IFERROR(BM138,"")</f>
        <v/>
      </c>
      <c r="R138" s="259" t="str">
        <f t="shared" ref="R138:R201" si="155">IFERROR(IF(BJ138=2,"-",BK138),"")</f>
        <v/>
      </c>
      <c r="S138" s="259" t="str">
        <f t="shared" ref="S138:S201" si="156">IFERROR(IF(BN138=2,"-",BO138),"")</f>
        <v/>
      </c>
      <c r="T138" s="256" t="str">
        <f t="shared" ref="T138:T201" si="157">IFERROR(BR138,"")</f>
        <v/>
      </c>
      <c r="U138" s="217"/>
      <c r="V138" s="217"/>
      <c r="AB138" s="217" t="e">
        <f>VLOOKUP($B$6,Lookup_Source,131,0)</f>
        <v>#N/A</v>
      </c>
      <c r="AC138" s="241" t="str">
        <f t="shared" ref="AC138:AC201" si="158">IF(ISNUMBER(SEARCH("*",B138)),1,"")</f>
        <v/>
      </c>
      <c r="AD138" s="242">
        <f t="shared" ref="AD138:AD201" si="159">IFERROR(ERROR.TYPE(AE138),0)</f>
        <v>7</v>
      </c>
      <c r="AE138" s="261" t="e">
        <f t="shared" si="128"/>
        <v>#N/A</v>
      </c>
      <c r="AF138" s="264" t="e">
        <f t="shared" ref="AF138:AF201" si="160">IF(AG138&gt;0,AG138,"-")</f>
        <v>#N/A</v>
      </c>
      <c r="AG138" s="264" t="e">
        <f t="shared" ref="AG138:AG201" si="161">$AH138/$AH$8</f>
        <v>#N/A</v>
      </c>
      <c r="AH138" s="263" t="e">
        <f t="shared" si="129"/>
        <v>#N/A</v>
      </c>
      <c r="AI138" s="226">
        <f t="shared" ref="AI138:AI201" si="162">IFERROR(ERROR.TYPE(AJ138),0)</f>
        <v>7</v>
      </c>
      <c r="AJ138" s="264" t="e">
        <f t="shared" si="130"/>
        <v>#N/A</v>
      </c>
      <c r="AK138" s="264" t="e">
        <f t="shared" ref="AK138:AK201" si="163">$AH138/$AL138</f>
        <v>#N/A</v>
      </c>
      <c r="AL138" s="226" t="e">
        <f t="shared" si="131"/>
        <v>#N/A</v>
      </c>
      <c r="AM138" s="265" t="e">
        <f t="shared" ref="AM138:AM201" si="164">IF(AN138&gt;0,AN138,"-")</f>
        <v>#N/A</v>
      </c>
      <c r="AN138" s="266" t="e">
        <f t="shared" si="132"/>
        <v>#N/A</v>
      </c>
      <c r="AO138" s="227" t="e">
        <f t="shared" si="133"/>
        <v>#N/A</v>
      </c>
      <c r="AP138" s="284">
        <f t="shared" ref="AP138:AP201" si="165">IFERROR(ERROR.TYPE(AQ138),0)</f>
        <v>7</v>
      </c>
      <c r="AQ138" s="285" t="e">
        <f t="shared" si="134"/>
        <v>#N/A</v>
      </c>
      <c r="AR138" s="266" t="e">
        <f t="shared" ref="AR138:AR201" si="166">$AO138/$AS138</f>
        <v>#N/A</v>
      </c>
      <c r="AS138" s="270" t="e">
        <f t="shared" si="135"/>
        <v>#N/A</v>
      </c>
      <c r="AT138" s="271">
        <f t="shared" ref="AT138:AT201" si="167">IFERROR(ERROR.TYPE(AU138),0)</f>
        <v>7</v>
      </c>
      <c r="AU138" s="272" t="e">
        <f t="shared" ref="AU138:AU201" si="168">IF(AV138&gt;0,AV138,"-")</f>
        <v>#N/A</v>
      </c>
      <c r="AV138" s="273" t="e">
        <f t="shared" ref="AV138:AV201" si="169">AW138/$AW$8</f>
        <v>#N/A</v>
      </c>
      <c r="AW138" s="274" t="e">
        <f t="shared" si="136"/>
        <v>#N/A</v>
      </c>
      <c r="AX138" s="232">
        <f t="shared" ref="AX138:AX201" si="170">IFERROR(ERROR.TYPE(AY138),0)</f>
        <v>7</v>
      </c>
      <c r="AY138" s="273" t="e">
        <f t="shared" si="137"/>
        <v>#N/A</v>
      </c>
      <c r="AZ138" s="232" t="e">
        <f t="shared" ref="AZ138:AZ201" si="171">$AW138/$BA138</f>
        <v>#N/A</v>
      </c>
      <c r="BA138" s="232" t="e">
        <f t="shared" si="138"/>
        <v>#N/A</v>
      </c>
      <c r="BB138" s="275">
        <f t="shared" ref="BB138:BB201" si="172">IFERROR(ERROR.TYPE(BC138),0)</f>
        <v>7</v>
      </c>
      <c r="BC138" s="276" t="e">
        <f t="shared" ref="BC138:BC201" si="173">IF(BD138&gt;0,BD138,"-")</f>
        <v>#N/A</v>
      </c>
      <c r="BD138" s="277" t="e">
        <f t="shared" ref="BD138:BD201" si="174">$BE138/$BE$8</f>
        <v>#N/A</v>
      </c>
      <c r="BE138" s="250" t="e">
        <f t="shared" si="139"/>
        <v>#N/A</v>
      </c>
      <c r="BF138" s="247">
        <f t="shared" ref="BF138:BF201" si="175">IFERROR(ERROR.TYPE(BG138),0)</f>
        <v>7</v>
      </c>
      <c r="BG138" s="276" t="e">
        <f t="shared" ref="BG138:BG201" si="176">IF(BH138&gt;0,BH138,"-")</f>
        <v>#N/A</v>
      </c>
      <c r="BH138" s="277" t="e">
        <f t="shared" ref="BH138:BH201" si="177">$BE138/$BI138</f>
        <v>#N/A</v>
      </c>
      <c r="BI138" s="250" t="e">
        <f t="shared" si="140"/>
        <v>#N/A</v>
      </c>
      <c r="BJ138" s="251">
        <f t="shared" ref="BJ138:BJ201" si="178">IFERROR(ERROR.TYPE(BK138),0)</f>
        <v>7</v>
      </c>
      <c r="BK138" s="278" t="e">
        <f t="shared" ref="BK138:BK201" si="179">IF(BL138&gt;0,BL138,"-")</f>
        <v>#N/A</v>
      </c>
      <c r="BL138" s="278" t="e">
        <f t="shared" ref="BL138:BL201" si="180">$BM138/$BM$8</f>
        <v>#N/A</v>
      </c>
      <c r="BM138" s="279" t="e">
        <f t="shared" si="141"/>
        <v>#N/A</v>
      </c>
      <c r="BN138" s="280">
        <f t="shared" ref="BN138:BN201" si="181">IFERROR(ERROR.TYPE(BO138),0)</f>
        <v>7</v>
      </c>
      <c r="BO138" s="281" t="e">
        <f t="shared" ref="BO138:BO201" si="182">IF(BP138&gt;0,BP138,"-")</f>
        <v>#N/A</v>
      </c>
      <c r="BP138" s="281" t="e">
        <f t="shared" ref="BP138:BP201" si="183">$BM138/$BQ138</f>
        <v>#N/A</v>
      </c>
      <c r="BQ138" s="279" t="e">
        <f t="shared" si="142"/>
        <v>#N/A</v>
      </c>
      <c r="BR138" s="282" t="e">
        <f t="shared" si="143"/>
        <v>#N/A</v>
      </c>
      <c r="BS138" s="217" t="e">
        <f>VLOOKUP($B138,SDR24_STOCK_BY_LA!$A$2:$C$11878,3,0)</f>
        <v>#N/A</v>
      </c>
      <c r="BT138" s="217" t="str">
        <f t="shared" ref="BT138:BT201" si="184">$B$6&amp;$B138</f>
        <v/>
      </c>
    </row>
    <row r="139" spans="1:72" x14ac:dyDescent="0.2">
      <c r="A139" s="256" t="str">
        <f t="shared" ref="A139:A202" si="185">IF(AC139=1,A138+1,"")</f>
        <v/>
      </c>
      <c r="B139" s="217" t="str">
        <f t="shared" si="124"/>
        <v/>
      </c>
      <c r="C139" s="257" t="str">
        <f t="shared" si="144"/>
        <v/>
      </c>
      <c r="D139" s="256" t="str">
        <f>IF(B139="","",IF(totals!$Q$3=0,IFERROR(IF(AD139=2,"0",AE139),""),"-"))</f>
        <v/>
      </c>
      <c r="E139" s="258" t="str">
        <f t="shared" si="145"/>
        <v/>
      </c>
      <c r="F139" s="259" t="str">
        <f t="shared" si="146"/>
        <v/>
      </c>
      <c r="G139" s="259" t="str">
        <f t="shared" si="147"/>
        <v/>
      </c>
      <c r="H139" s="256" t="str">
        <f t="shared" si="125"/>
        <v/>
      </c>
      <c r="I139" s="259" t="str">
        <f t="shared" si="148"/>
        <v/>
      </c>
      <c r="J139" s="259" t="str">
        <f t="shared" si="149"/>
        <v/>
      </c>
      <c r="K139" s="256" t="str">
        <f t="shared" si="126"/>
        <v/>
      </c>
      <c r="L139" s="259" t="str">
        <f t="shared" si="127"/>
        <v/>
      </c>
      <c r="M139" s="259" t="str">
        <f t="shared" si="150"/>
        <v/>
      </c>
      <c r="N139" s="256" t="str">
        <f t="shared" si="151"/>
        <v/>
      </c>
      <c r="O139" s="259" t="str">
        <f t="shared" si="152"/>
        <v/>
      </c>
      <c r="P139" s="259" t="str">
        <f t="shared" si="153"/>
        <v/>
      </c>
      <c r="Q139" s="256" t="str">
        <f t="shared" si="154"/>
        <v/>
      </c>
      <c r="R139" s="259" t="str">
        <f t="shared" si="155"/>
        <v/>
      </c>
      <c r="S139" s="259" t="str">
        <f t="shared" si="156"/>
        <v/>
      </c>
      <c r="T139" s="256" t="str">
        <f t="shared" si="157"/>
        <v/>
      </c>
      <c r="U139" s="217"/>
      <c r="V139" s="217"/>
      <c r="AB139" s="257" t="e">
        <f>VLOOKUP($B$6,Lookup_Source,132,0)</f>
        <v>#N/A</v>
      </c>
      <c r="AC139" s="241" t="str">
        <f t="shared" si="158"/>
        <v/>
      </c>
      <c r="AD139" s="242">
        <f t="shared" si="159"/>
        <v>7</v>
      </c>
      <c r="AE139" s="261" t="e">
        <f t="shared" si="128"/>
        <v>#N/A</v>
      </c>
      <c r="AF139" s="264" t="e">
        <f t="shared" si="160"/>
        <v>#N/A</v>
      </c>
      <c r="AG139" s="264" t="e">
        <f t="shared" si="161"/>
        <v>#N/A</v>
      </c>
      <c r="AH139" s="263" t="e">
        <f t="shared" si="129"/>
        <v>#N/A</v>
      </c>
      <c r="AI139" s="226">
        <f t="shared" si="162"/>
        <v>7</v>
      </c>
      <c r="AJ139" s="264" t="e">
        <f t="shared" si="130"/>
        <v>#N/A</v>
      </c>
      <c r="AK139" s="264" t="e">
        <f t="shared" si="163"/>
        <v>#N/A</v>
      </c>
      <c r="AL139" s="226" t="e">
        <f t="shared" si="131"/>
        <v>#N/A</v>
      </c>
      <c r="AM139" s="265" t="e">
        <f t="shared" si="164"/>
        <v>#N/A</v>
      </c>
      <c r="AN139" s="266" t="e">
        <f t="shared" si="132"/>
        <v>#N/A</v>
      </c>
      <c r="AO139" s="227" t="e">
        <f t="shared" si="133"/>
        <v>#N/A</v>
      </c>
      <c r="AP139" s="284">
        <f t="shared" si="165"/>
        <v>7</v>
      </c>
      <c r="AQ139" s="285" t="e">
        <f t="shared" si="134"/>
        <v>#N/A</v>
      </c>
      <c r="AR139" s="266" t="e">
        <f t="shared" si="166"/>
        <v>#N/A</v>
      </c>
      <c r="AS139" s="270" t="e">
        <f t="shared" si="135"/>
        <v>#N/A</v>
      </c>
      <c r="AT139" s="271">
        <f t="shared" si="167"/>
        <v>7</v>
      </c>
      <c r="AU139" s="272" t="e">
        <f t="shared" si="168"/>
        <v>#N/A</v>
      </c>
      <c r="AV139" s="273" t="e">
        <f t="shared" si="169"/>
        <v>#N/A</v>
      </c>
      <c r="AW139" s="274" t="e">
        <f t="shared" si="136"/>
        <v>#N/A</v>
      </c>
      <c r="AX139" s="232">
        <f t="shared" si="170"/>
        <v>7</v>
      </c>
      <c r="AY139" s="273" t="e">
        <f t="shared" si="137"/>
        <v>#N/A</v>
      </c>
      <c r="AZ139" s="232" t="e">
        <f t="shared" si="171"/>
        <v>#N/A</v>
      </c>
      <c r="BA139" s="232" t="e">
        <f t="shared" si="138"/>
        <v>#N/A</v>
      </c>
      <c r="BB139" s="275">
        <f t="shared" si="172"/>
        <v>7</v>
      </c>
      <c r="BC139" s="276" t="e">
        <f t="shared" si="173"/>
        <v>#N/A</v>
      </c>
      <c r="BD139" s="277" t="e">
        <f t="shared" si="174"/>
        <v>#N/A</v>
      </c>
      <c r="BE139" s="250" t="e">
        <f t="shared" si="139"/>
        <v>#N/A</v>
      </c>
      <c r="BF139" s="247">
        <f t="shared" si="175"/>
        <v>7</v>
      </c>
      <c r="BG139" s="276" t="e">
        <f t="shared" si="176"/>
        <v>#N/A</v>
      </c>
      <c r="BH139" s="277" t="e">
        <f t="shared" si="177"/>
        <v>#N/A</v>
      </c>
      <c r="BI139" s="250" t="e">
        <f t="shared" si="140"/>
        <v>#N/A</v>
      </c>
      <c r="BJ139" s="251">
        <f t="shared" si="178"/>
        <v>7</v>
      </c>
      <c r="BK139" s="278" t="e">
        <f t="shared" si="179"/>
        <v>#N/A</v>
      </c>
      <c r="BL139" s="278" t="e">
        <f t="shared" si="180"/>
        <v>#N/A</v>
      </c>
      <c r="BM139" s="279" t="e">
        <f t="shared" si="141"/>
        <v>#N/A</v>
      </c>
      <c r="BN139" s="280">
        <f t="shared" si="181"/>
        <v>7</v>
      </c>
      <c r="BO139" s="281" t="e">
        <f t="shared" si="182"/>
        <v>#N/A</v>
      </c>
      <c r="BP139" s="281" t="e">
        <f t="shared" si="183"/>
        <v>#N/A</v>
      </c>
      <c r="BQ139" s="279" t="e">
        <f t="shared" si="142"/>
        <v>#N/A</v>
      </c>
      <c r="BR139" s="282" t="e">
        <f t="shared" si="143"/>
        <v>#N/A</v>
      </c>
      <c r="BS139" s="217" t="e">
        <f>VLOOKUP($B139,SDR24_STOCK_BY_LA!$A$2:$C$11878,3,0)</f>
        <v>#N/A</v>
      </c>
      <c r="BT139" s="217" t="str">
        <f t="shared" si="184"/>
        <v/>
      </c>
    </row>
    <row r="140" spans="1:72" x14ac:dyDescent="0.2">
      <c r="A140" s="217" t="str">
        <f t="shared" si="185"/>
        <v/>
      </c>
      <c r="B140" s="217" t="str">
        <f t="shared" si="124"/>
        <v/>
      </c>
      <c r="C140" s="283" t="str">
        <f t="shared" si="144"/>
        <v/>
      </c>
      <c r="D140" s="256" t="str">
        <f>IF(B140="","",IF(totals!$Q$3=0,IFERROR(IF(AD140=2,"0",AE140),""),"-"))</f>
        <v/>
      </c>
      <c r="E140" s="258" t="str">
        <f t="shared" si="145"/>
        <v/>
      </c>
      <c r="F140" s="259" t="str">
        <f t="shared" si="146"/>
        <v/>
      </c>
      <c r="G140" s="259" t="str">
        <f t="shared" si="147"/>
        <v/>
      </c>
      <c r="H140" s="256" t="str">
        <f t="shared" si="125"/>
        <v/>
      </c>
      <c r="I140" s="259" t="str">
        <f t="shared" si="148"/>
        <v/>
      </c>
      <c r="J140" s="259" t="str">
        <f t="shared" si="149"/>
        <v/>
      </c>
      <c r="K140" s="256" t="str">
        <f t="shared" si="126"/>
        <v/>
      </c>
      <c r="L140" s="259" t="str">
        <f t="shared" si="127"/>
        <v/>
      </c>
      <c r="M140" s="259" t="str">
        <f t="shared" si="150"/>
        <v/>
      </c>
      <c r="N140" s="256" t="str">
        <f t="shared" si="151"/>
        <v/>
      </c>
      <c r="O140" s="259" t="str">
        <f t="shared" si="152"/>
        <v/>
      </c>
      <c r="P140" s="259" t="str">
        <f t="shared" si="153"/>
        <v/>
      </c>
      <c r="Q140" s="256" t="str">
        <f t="shared" si="154"/>
        <v/>
      </c>
      <c r="R140" s="259" t="str">
        <f t="shared" si="155"/>
        <v/>
      </c>
      <c r="S140" s="259" t="str">
        <f t="shared" si="156"/>
        <v/>
      </c>
      <c r="T140" s="256" t="str">
        <f t="shared" si="157"/>
        <v/>
      </c>
      <c r="U140" s="217"/>
      <c r="V140" s="217"/>
      <c r="AB140" s="217" t="e">
        <f>VLOOKUP($B$6,Lookup_Source,133,0)</f>
        <v>#N/A</v>
      </c>
      <c r="AC140" s="241" t="str">
        <f t="shared" si="158"/>
        <v/>
      </c>
      <c r="AD140" s="242">
        <f t="shared" si="159"/>
        <v>7</v>
      </c>
      <c r="AE140" s="261" t="e">
        <f t="shared" si="128"/>
        <v>#N/A</v>
      </c>
      <c r="AF140" s="264" t="e">
        <f t="shared" si="160"/>
        <v>#N/A</v>
      </c>
      <c r="AG140" s="264" t="e">
        <f t="shared" si="161"/>
        <v>#N/A</v>
      </c>
      <c r="AH140" s="263" t="e">
        <f t="shared" si="129"/>
        <v>#N/A</v>
      </c>
      <c r="AI140" s="226">
        <f t="shared" si="162"/>
        <v>7</v>
      </c>
      <c r="AJ140" s="264" t="e">
        <f t="shared" si="130"/>
        <v>#N/A</v>
      </c>
      <c r="AK140" s="264" t="e">
        <f t="shared" si="163"/>
        <v>#N/A</v>
      </c>
      <c r="AL140" s="226" t="e">
        <f t="shared" si="131"/>
        <v>#N/A</v>
      </c>
      <c r="AM140" s="265" t="e">
        <f t="shared" si="164"/>
        <v>#N/A</v>
      </c>
      <c r="AN140" s="266" t="e">
        <f t="shared" si="132"/>
        <v>#N/A</v>
      </c>
      <c r="AO140" s="227" t="e">
        <f t="shared" si="133"/>
        <v>#N/A</v>
      </c>
      <c r="AP140" s="284">
        <f t="shared" si="165"/>
        <v>7</v>
      </c>
      <c r="AQ140" s="285" t="e">
        <f t="shared" si="134"/>
        <v>#N/A</v>
      </c>
      <c r="AR140" s="266" t="e">
        <f t="shared" si="166"/>
        <v>#N/A</v>
      </c>
      <c r="AS140" s="270" t="e">
        <f t="shared" si="135"/>
        <v>#N/A</v>
      </c>
      <c r="AT140" s="271">
        <f t="shared" si="167"/>
        <v>7</v>
      </c>
      <c r="AU140" s="272" t="e">
        <f t="shared" si="168"/>
        <v>#N/A</v>
      </c>
      <c r="AV140" s="273" t="e">
        <f t="shared" si="169"/>
        <v>#N/A</v>
      </c>
      <c r="AW140" s="274" t="e">
        <f t="shared" si="136"/>
        <v>#N/A</v>
      </c>
      <c r="AX140" s="232">
        <f t="shared" si="170"/>
        <v>7</v>
      </c>
      <c r="AY140" s="273" t="e">
        <f t="shared" si="137"/>
        <v>#N/A</v>
      </c>
      <c r="AZ140" s="232" t="e">
        <f t="shared" si="171"/>
        <v>#N/A</v>
      </c>
      <c r="BA140" s="232" t="e">
        <f t="shared" si="138"/>
        <v>#N/A</v>
      </c>
      <c r="BB140" s="275">
        <f t="shared" si="172"/>
        <v>7</v>
      </c>
      <c r="BC140" s="276" t="e">
        <f t="shared" si="173"/>
        <v>#N/A</v>
      </c>
      <c r="BD140" s="277" t="e">
        <f t="shared" si="174"/>
        <v>#N/A</v>
      </c>
      <c r="BE140" s="250" t="e">
        <f t="shared" si="139"/>
        <v>#N/A</v>
      </c>
      <c r="BF140" s="247">
        <f t="shared" si="175"/>
        <v>7</v>
      </c>
      <c r="BG140" s="276" t="e">
        <f t="shared" si="176"/>
        <v>#N/A</v>
      </c>
      <c r="BH140" s="277" t="e">
        <f t="shared" si="177"/>
        <v>#N/A</v>
      </c>
      <c r="BI140" s="250" t="e">
        <f t="shared" si="140"/>
        <v>#N/A</v>
      </c>
      <c r="BJ140" s="251">
        <f t="shared" si="178"/>
        <v>7</v>
      </c>
      <c r="BK140" s="278" t="e">
        <f t="shared" si="179"/>
        <v>#N/A</v>
      </c>
      <c r="BL140" s="278" t="e">
        <f t="shared" si="180"/>
        <v>#N/A</v>
      </c>
      <c r="BM140" s="279" t="e">
        <f t="shared" si="141"/>
        <v>#N/A</v>
      </c>
      <c r="BN140" s="280">
        <f t="shared" si="181"/>
        <v>7</v>
      </c>
      <c r="BO140" s="281" t="e">
        <f t="shared" si="182"/>
        <v>#N/A</v>
      </c>
      <c r="BP140" s="281" t="e">
        <f t="shared" si="183"/>
        <v>#N/A</v>
      </c>
      <c r="BQ140" s="279" t="e">
        <f t="shared" si="142"/>
        <v>#N/A</v>
      </c>
      <c r="BR140" s="282" t="e">
        <f t="shared" si="143"/>
        <v>#N/A</v>
      </c>
      <c r="BS140" s="217" t="e">
        <f>VLOOKUP($B140,SDR24_STOCK_BY_LA!$A$2:$C$11878,3,0)</f>
        <v>#N/A</v>
      </c>
      <c r="BT140" s="217" t="str">
        <f t="shared" si="184"/>
        <v/>
      </c>
    </row>
    <row r="141" spans="1:72" x14ac:dyDescent="0.2">
      <c r="A141" s="256" t="str">
        <f t="shared" si="185"/>
        <v/>
      </c>
      <c r="B141" s="217" t="str">
        <f t="shared" ref="B141:B204" si="186">IFERROR(IF(AB141=0,"",AB141),"")</f>
        <v/>
      </c>
      <c r="C141" s="257" t="str">
        <f t="shared" si="144"/>
        <v/>
      </c>
      <c r="D141" s="256" t="str">
        <f>IF(B141="","",IF(totals!$Q$3=0,IFERROR(IF(AD141=2,"0",AE141),""),"-"))</f>
        <v/>
      </c>
      <c r="E141" s="258" t="str">
        <f t="shared" si="145"/>
        <v/>
      </c>
      <c r="F141" s="259" t="str">
        <f t="shared" si="146"/>
        <v/>
      </c>
      <c r="G141" s="259" t="str">
        <f t="shared" si="147"/>
        <v/>
      </c>
      <c r="H141" s="256" t="str">
        <f t="shared" si="125"/>
        <v/>
      </c>
      <c r="I141" s="259" t="str">
        <f t="shared" si="148"/>
        <v/>
      </c>
      <c r="J141" s="259" t="str">
        <f t="shared" si="149"/>
        <v/>
      </c>
      <c r="K141" s="256" t="str">
        <f t="shared" si="126"/>
        <v/>
      </c>
      <c r="L141" s="259" t="str">
        <f t="shared" si="127"/>
        <v/>
      </c>
      <c r="M141" s="259" t="str">
        <f t="shared" si="150"/>
        <v/>
      </c>
      <c r="N141" s="256" t="str">
        <f t="shared" si="151"/>
        <v/>
      </c>
      <c r="O141" s="259" t="str">
        <f t="shared" si="152"/>
        <v/>
      </c>
      <c r="P141" s="259" t="str">
        <f t="shared" si="153"/>
        <v/>
      </c>
      <c r="Q141" s="256" t="str">
        <f t="shared" si="154"/>
        <v/>
      </c>
      <c r="R141" s="259" t="str">
        <f t="shared" si="155"/>
        <v/>
      </c>
      <c r="S141" s="259" t="str">
        <f t="shared" si="156"/>
        <v/>
      </c>
      <c r="T141" s="256" t="str">
        <f t="shared" si="157"/>
        <v/>
      </c>
      <c r="U141" s="217"/>
      <c r="V141" s="217"/>
      <c r="AB141" s="257" t="e">
        <f>VLOOKUP($B$6,Lookup_Source,134,0)</f>
        <v>#N/A</v>
      </c>
      <c r="AC141" s="241" t="str">
        <f t="shared" si="158"/>
        <v/>
      </c>
      <c r="AD141" s="242">
        <f t="shared" si="159"/>
        <v>7</v>
      </c>
      <c r="AE141" s="261" t="e">
        <f t="shared" si="128"/>
        <v>#N/A</v>
      </c>
      <c r="AF141" s="264" t="e">
        <f t="shared" si="160"/>
        <v>#N/A</v>
      </c>
      <c r="AG141" s="264" t="e">
        <f t="shared" si="161"/>
        <v>#N/A</v>
      </c>
      <c r="AH141" s="263" t="e">
        <f t="shared" si="129"/>
        <v>#N/A</v>
      </c>
      <c r="AI141" s="226">
        <f t="shared" si="162"/>
        <v>7</v>
      </c>
      <c r="AJ141" s="264" t="e">
        <f t="shared" si="130"/>
        <v>#N/A</v>
      </c>
      <c r="AK141" s="264" t="e">
        <f t="shared" si="163"/>
        <v>#N/A</v>
      </c>
      <c r="AL141" s="226" t="e">
        <f t="shared" si="131"/>
        <v>#N/A</v>
      </c>
      <c r="AM141" s="265" t="e">
        <f t="shared" si="164"/>
        <v>#N/A</v>
      </c>
      <c r="AN141" s="266" t="e">
        <f t="shared" si="132"/>
        <v>#N/A</v>
      </c>
      <c r="AO141" s="227" t="e">
        <f t="shared" si="133"/>
        <v>#N/A</v>
      </c>
      <c r="AP141" s="284">
        <f t="shared" si="165"/>
        <v>7</v>
      </c>
      <c r="AQ141" s="285" t="e">
        <f t="shared" si="134"/>
        <v>#N/A</v>
      </c>
      <c r="AR141" s="266" t="e">
        <f t="shared" si="166"/>
        <v>#N/A</v>
      </c>
      <c r="AS141" s="270" t="e">
        <f t="shared" si="135"/>
        <v>#N/A</v>
      </c>
      <c r="AT141" s="271">
        <f t="shared" si="167"/>
        <v>7</v>
      </c>
      <c r="AU141" s="272" t="e">
        <f t="shared" si="168"/>
        <v>#N/A</v>
      </c>
      <c r="AV141" s="273" t="e">
        <f t="shared" si="169"/>
        <v>#N/A</v>
      </c>
      <c r="AW141" s="274" t="e">
        <f t="shared" si="136"/>
        <v>#N/A</v>
      </c>
      <c r="AX141" s="232">
        <f t="shared" si="170"/>
        <v>7</v>
      </c>
      <c r="AY141" s="273" t="e">
        <f t="shared" si="137"/>
        <v>#N/A</v>
      </c>
      <c r="AZ141" s="232" t="e">
        <f t="shared" si="171"/>
        <v>#N/A</v>
      </c>
      <c r="BA141" s="232" t="e">
        <f t="shared" si="138"/>
        <v>#N/A</v>
      </c>
      <c r="BB141" s="275">
        <f t="shared" si="172"/>
        <v>7</v>
      </c>
      <c r="BC141" s="276" t="e">
        <f t="shared" si="173"/>
        <v>#N/A</v>
      </c>
      <c r="BD141" s="277" t="e">
        <f t="shared" si="174"/>
        <v>#N/A</v>
      </c>
      <c r="BE141" s="250" t="e">
        <f t="shared" si="139"/>
        <v>#N/A</v>
      </c>
      <c r="BF141" s="247">
        <f t="shared" si="175"/>
        <v>7</v>
      </c>
      <c r="BG141" s="276" t="e">
        <f t="shared" si="176"/>
        <v>#N/A</v>
      </c>
      <c r="BH141" s="277" t="e">
        <f t="shared" si="177"/>
        <v>#N/A</v>
      </c>
      <c r="BI141" s="250" t="e">
        <f t="shared" si="140"/>
        <v>#N/A</v>
      </c>
      <c r="BJ141" s="251">
        <f t="shared" si="178"/>
        <v>7</v>
      </c>
      <c r="BK141" s="278" t="e">
        <f t="shared" si="179"/>
        <v>#N/A</v>
      </c>
      <c r="BL141" s="278" t="e">
        <f t="shared" si="180"/>
        <v>#N/A</v>
      </c>
      <c r="BM141" s="279" t="e">
        <f t="shared" si="141"/>
        <v>#N/A</v>
      </c>
      <c r="BN141" s="280">
        <f t="shared" si="181"/>
        <v>7</v>
      </c>
      <c r="BO141" s="281" t="e">
        <f t="shared" si="182"/>
        <v>#N/A</v>
      </c>
      <c r="BP141" s="281" t="e">
        <f t="shared" si="183"/>
        <v>#N/A</v>
      </c>
      <c r="BQ141" s="279" t="e">
        <f t="shared" si="142"/>
        <v>#N/A</v>
      </c>
      <c r="BR141" s="282" t="e">
        <f t="shared" si="143"/>
        <v>#N/A</v>
      </c>
      <c r="BS141" s="217" t="e">
        <f>VLOOKUP($B141,SDR24_STOCK_BY_LA!$A$2:$C$11878,3,0)</f>
        <v>#N/A</v>
      </c>
      <c r="BT141" s="217" t="str">
        <f t="shared" si="184"/>
        <v/>
      </c>
    </row>
    <row r="142" spans="1:72" x14ac:dyDescent="0.2">
      <c r="A142" s="217" t="str">
        <f t="shared" si="185"/>
        <v/>
      </c>
      <c r="B142" s="217" t="str">
        <f t="shared" si="186"/>
        <v/>
      </c>
      <c r="C142" s="283" t="str">
        <f t="shared" si="144"/>
        <v/>
      </c>
      <c r="D142" s="256" t="str">
        <f>IF(B142="","",IF(totals!$Q$3=0,IFERROR(IF(AD142=2,"0",AE142),""),"-"))</f>
        <v/>
      </c>
      <c r="E142" s="258" t="str">
        <f t="shared" si="145"/>
        <v/>
      </c>
      <c r="F142" s="259" t="str">
        <f t="shared" si="146"/>
        <v/>
      </c>
      <c r="G142" s="259" t="str">
        <f t="shared" si="147"/>
        <v/>
      </c>
      <c r="H142" s="256" t="str">
        <f t="shared" si="125"/>
        <v/>
      </c>
      <c r="I142" s="259" t="str">
        <f t="shared" si="148"/>
        <v/>
      </c>
      <c r="J142" s="259" t="str">
        <f t="shared" si="149"/>
        <v/>
      </c>
      <c r="K142" s="256" t="str">
        <f t="shared" si="126"/>
        <v/>
      </c>
      <c r="L142" s="259" t="str">
        <f t="shared" si="127"/>
        <v/>
      </c>
      <c r="M142" s="259" t="str">
        <f t="shared" si="150"/>
        <v/>
      </c>
      <c r="N142" s="256" t="str">
        <f t="shared" si="151"/>
        <v/>
      </c>
      <c r="O142" s="259" t="str">
        <f t="shared" si="152"/>
        <v/>
      </c>
      <c r="P142" s="259" t="str">
        <f t="shared" si="153"/>
        <v/>
      </c>
      <c r="Q142" s="256" t="str">
        <f t="shared" si="154"/>
        <v/>
      </c>
      <c r="R142" s="259" t="str">
        <f t="shared" si="155"/>
        <v/>
      </c>
      <c r="S142" s="259" t="str">
        <f t="shared" si="156"/>
        <v/>
      </c>
      <c r="T142" s="256" t="str">
        <f t="shared" si="157"/>
        <v/>
      </c>
      <c r="U142" s="217"/>
      <c r="V142" s="217"/>
      <c r="AB142" s="217" t="e">
        <f>VLOOKUP($B$6,Lookup_Source,135,0)</f>
        <v>#N/A</v>
      </c>
      <c r="AC142" s="241" t="str">
        <f t="shared" si="158"/>
        <v/>
      </c>
      <c r="AD142" s="242">
        <f t="shared" si="159"/>
        <v>7</v>
      </c>
      <c r="AE142" s="261" t="e">
        <f t="shared" si="128"/>
        <v>#N/A</v>
      </c>
      <c r="AF142" s="264" t="e">
        <f t="shared" si="160"/>
        <v>#N/A</v>
      </c>
      <c r="AG142" s="264" t="e">
        <f t="shared" si="161"/>
        <v>#N/A</v>
      </c>
      <c r="AH142" s="263" t="e">
        <f t="shared" si="129"/>
        <v>#N/A</v>
      </c>
      <c r="AI142" s="226">
        <f t="shared" si="162"/>
        <v>7</v>
      </c>
      <c r="AJ142" s="264" t="e">
        <f t="shared" si="130"/>
        <v>#N/A</v>
      </c>
      <c r="AK142" s="264" t="e">
        <f t="shared" si="163"/>
        <v>#N/A</v>
      </c>
      <c r="AL142" s="226" t="e">
        <f t="shared" si="131"/>
        <v>#N/A</v>
      </c>
      <c r="AM142" s="265" t="e">
        <f t="shared" si="164"/>
        <v>#N/A</v>
      </c>
      <c r="AN142" s="266" t="e">
        <f t="shared" si="132"/>
        <v>#N/A</v>
      </c>
      <c r="AO142" s="227" t="e">
        <f t="shared" si="133"/>
        <v>#N/A</v>
      </c>
      <c r="AP142" s="284">
        <f t="shared" si="165"/>
        <v>7</v>
      </c>
      <c r="AQ142" s="285" t="e">
        <f t="shared" si="134"/>
        <v>#N/A</v>
      </c>
      <c r="AR142" s="266" t="e">
        <f t="shared" si="166"/>
        <v>#N/A</v>
      </c>
      <c r="AS142" s="270" t="e">
        <f t="shared" si="135"/>
        <v>#N/A</v>
      </c>
      <c r="AT142" s="271">
        <f t="shared" si="167"/>
        <v>7</v>
      </c>
      <c r="AU142" s="272" t="e">
        <f t="shared" si="168"/>
        <v>#N/A</v>
      </c>
      <c r="AV142" s="273" t="e">
        <f t="shared" si="169"/>
        <v>#N/A</v>
      </c>
      <c r="AW142" s="274" t="e">
        <f t="shared" si="136"/>
        <v>#N/A</v>
      </c>
      <c r="AX142" s="232">
        <f t="shared" si="170"/>
        <v>7</v>
      </c>
      <c r="AY142" s="273" t="e">
        <f t="shared" si="137"/>
        <v>#N/A</v>
      </c>
      <c r="AZ142" s="232" t="e">
        <f t="shared" si="171"/>
        <v>#N/A</v>
      </c>
      <c r="BA142" s="232" t="e">
        <f t="shared" si="138"/>
        <v>#N/A</v>
      </c>
      <c r="BB142" s="275">
        <f t="shared" si="172"/>
        <v>7</v>
      </c>
      <c r="BC142" s="276" t="e">
        <f t="shared" si="173"/>
        <v>#N/A</v>
      </c>
      <c r="BD142" s="277" t="e">
        <f t="shared" si="174"/>
        <v>#N/A</v>
      </c>
      <c r="BE142" s="250" t="e">
        <f t="shared" si="139"/>
        <v>#N/A</v>
      </c>
      <c r="BF142" s="247">
        <f t="shared" si="175"/>
        <v>7</v>
      </c>
      <c r="BG142" s="276" t="e">
        <f t="shared" si="176"/>
        <v>#N/A</v>
      </c>
      <c r="BH142" s="277" t="e">
        <f t="shared" si="177"/>
        <v>#N/A</v>
      </c>
      <c r="BI142" s="250" t="e">
        <f t="shared" si="140"/>
        <v>#N/A</v>
      </c>
      <c r="BJ142" s="251">
        <f t="shared" si="178"/>
        <v>7</v>
      </c>
      <c r="BK142" s="278" t="e">
        <f t="shared" si="179"/>
        <v>#N/A</v>
      </c>
      <c r="BL142" s="278" t="e">
        <f t="shared" si="180"/>
        <v>#N/A</v>
      </c>
      <c r="BM142" s="279" t="e">
        <f t="shared" si="141"/>
        <v>#N/A</v>
      </c>
      <c r="BN142" s="280">
        <f t="shared" si="181"/>
        <v>7</v>
      </c>
      <c r="BO142" s="281" t="e">
        <f t="shared" si="182"/>
        <v>#N/A</v>
      </c>
      <c r="BP142" s="281" t="e">
        <f t="shared" si="183"/>
        <v>#N/A</v>
      </c>
      <c r="BQ142" s="279" t="e">
        <f t="shared" si="142"/>
        <v>#N/A</v>
      </c>
      <c r="BR142" s="282" t="e">
        <f t="shared" si="143"/>
        <v>#N/A</v>
      </c>
      <c r="BS142" s="217" t="e">
        <f>VLOOKUP($B142,SDR24_STOCK_BY_LA!$A$2:$C$11878,3,0)</f>
        <v>#N/A</v>
      </c>
      <c r="BT142" s="217" t="str">
        <f t="shared" si="184"/>
        <v/>
      </c>
    </row>
    <row r="143" spans="1:72" x14ac:dyDescent="0.2">
      <c r="A143" s="256" t="str">
        <f t="shared" si="185"/>
        <v/>
      </c>
      <c r="B143" s="217" t="str">
        <f t="shared" si="186"/>
        <v/>
      </c>
      <c r="C143" s="257" t="str">
        <f t="shared" si="144"/>
        <v/>
      </c>
      <c r="D143" s="256" t="str">
        <f>IF(B143="","",IF(totals!$Q$3=0,IFERROR(IF(AD143=2,"0",AE143),""),"-"))</f>
        <v/>
      </c>
      <c r="E143" s="258" t="str">
        <f t="shared" si="145"/>
        <v/>
      </c>
      <c r="F143" s="259" t="str">
        <f t="shared" si="146"/>
        <v/>
      </c>
      <c r="G143" s="259" t="str">
        <f t="shared" si="147"/>
        <v/>
      </c>
      <c r="H143" s="256" t="str">
        <f t="shared" si="125"/>
        <v/>
      </c>
      <c r="I143" s="259" t="str">
        <f t="shared" si="148"/>
        <v/>
      </c>
      <c r="J143" s="259" t="str">
        <f t="shared" si="149"/>
        <v/>
      </c>
      <c r="K143" s="256" t="str">
        <f t="shared" si="126"/>
        <v/>
      </c>
      <c r="L143" s="259" t="str">
        <f t="shared" si="127"/>
        <v/>
      </c>
      <c r="M143" s="259" t="str">
        <f t="shared" si="150"/>
        <v/>
      </c>
      <c r="N143" s="256" t="str">
        <f t="shared" si="151"/>
        <v/>
      </c>
      <c r="O143" s="259" t="str">
        <f t="shared" si="152"/>
        <v/>
      </c>
      <c r="P143" s="259" t="str">
        <f t="shared" si="153"/>
        <v/>
      </c>
      <c r="Q143" s="256" t="str">
        <f t="shared" si="154"/>
        <v/>
      </c>
      <c r="R143" s="259" t="str">
        <f t="shared" si="155"/>
        <v/>
      </c>
      <c r="S143" s="259" t="str">
        <f t="shared" si="156"/>
        <v/>
      </c>
      <c r="T143" s="256" t="str">
        <f t="shared" si="157"/>
        <v/>
      </c>
      <c r="U143" s="217"/>
      <c r="V143" s="217"/>
      <c r="AB143" s="257" t="e">
        <f>VLOOKUP($B$6,Lookup_Source,136,0)</f>
        <v>#N/A</v>
      </c>
      <c r="AC143" s="241" t="str">
        <f t="shared" si="158"/>
        <v/>
      </c>
      <c r="AD143" s="242">
        <f t="shared" si="159"/>
        <v>7</v>
      </c>
      <c r="AE143" s="261" t="e">
        <f t="shared" si="128"/>
        <v>#N/A</v>
      </c>
      <c r="AF143" s="264" t="e">
        <f t="shared" si="160"/>
        <v>#N/A</v>
      </c>
      <c r="AG143" s="264" t="e">
        <f t="shared" si="161"/>
        <v>#N/A</v>
      </c>
      <c r="AH143" s="263" t="e">
        <f t="shared" si="129"/>
        <v>#N/A</v>
      </c>
      <c r="AI143" s="226">
        <f t="shared" si="162"/>
        <v>7</v>
      </c>
      <c r="AJ143" s="264" t="e">
        <f t="shared" si="130"/>
        <v>#N/A</v>
      </c>
      <c r="AK143" s="264" t="e">
        <f t="shared" si="163"/>
        <v>#N/A</v>
      </c>
      <c r="AL143" s="226" t="e">
        <f t="shared" si="131"/>
        <v>#N/A</v>
      </c>
      <c r="AM143" s="265" t="e">
        <f t="shared" si="164"/>
        <v>#N/A</v>
      </c>
      <c r="AN143" s="266" t="e">
        <f t="shared" si="132"/>
        <v>#N/A</v>
      </c>
      <c r="AO143" s="227" t="e">
        <f t="shared" si="133"/>
        <v>#N/A</v>
      </c>
      <c r="AP143" s="284">
        <f t="shared" si="165"/>
        <v>7</v>
      </c>
      <c r="AQ143" s="285" t="e">
        <f t="shared" si="134"/>
        <v>#N/A</v>
      </c>
      <c r="AR143" s="266" t="e">
        <f t="shared" si="166"/>
        <v>#N/A</v>
      </c>
      <c r="AS143" s="270" t="e">
        <f t="shared" si="135"/>
        <v>#N/A</v>
      </c>
      <c r="AT143" s="271">
        <f t="shared" si="167"/>
        <v>7</v>
      </c>
      <c r="AU143" s="272" t="e">
        <f t="shared" si="168"/>
        <v>#N/A</v>
      </c>
      <c r="AV143" s="273" t="e">
        <f t="shared" si="169"/>
        <v>#N/A</v>
      </c>
      <c r="AW143" s="274" t="e">
        <f t="shared" si="136"/>
        <v>#N/A</v>
      </c>
      <c r="AX143" s="232">
        <f t="shared" si="170"/>
        <v>7</v>
      </c>
      <c r="AY143" s="273" t="e">
        <f t="shared" si="137"/>
        <v>#N/A</v>
      </c>
      <c r="AZ143" s="232" t="e">
        <f t="shared" si="171"/>
        <v>#N/A</v>
      </c>
      <c r="BA143" s="232" t="e">
        <f t="shared" si="138"/>
        <v>#N/A</v>
      </c>
      <c r="BB143" s="275">
        <f t="shared" si="172"/>
        <v>7</v>
      </c>
      <c r="BC143" s="276" t="e">
        <f t="shared" si="173"/>
        <v>#N/A</v>
      </c>
      <c r="BD143" s="277" t="e">
        <f t="shared" si="174"/>
        <v>#N/A</v>
      </c>
      <c r="BE143" s="250" t="e">
        <f t="shared" si="139"/>
        <v>#N/A</v>
      </c>
      <c r="BF143" s="247">
        <f t="shared" si="175"/>
        <v>7</v>
      </c>
      <c r="BG143" s="276" t="e">
        <f t="shared" si="176"/>
        <v>#N/A</v>
      </c>
      <c r="BH143" s="277" t="e">
        <f t="shared" si="177"/>
        <v>#N/A</v>
      </c>
      <c r="BI143" s="250" t="e">
        <f t="shared" si="140"/>
        <v>#N/A</v>
      </c>
      <c r="BJ143" s="251">
        <f t="shared" si="178"/>
        <v>7</v>
      </c>
      <c r="BK143" s="278" t="e">
        <f t="shared" si="179"/>
        <v>#N/A</v>
      </c>
      <c r="BL143" s="278" t="e">
        <f t="shared" si="180"/>
        <v>#N/A</v>
      </c>
      <c r="BM143" s="279" t="e">
        <f t="shared" si="141"/>
        <v>#N/A</v>
      </c>
      <c r="BN143" s="280">
        <f t="shared" si="181"/>
        <v>7</v>
      </c>
      <c r="BO143" s="281" t="e">
        <f t="shared" si="182"/>
        <v>#N/A</v>
      </c>
      <c r="BP143" s="281" t="e">
        <f t="shared" si="183"/>
        <v>#N/A</v>
      </c>
      <c r="BQ143" s="279" t="e">
        <f t="shared" si="142"/>
        <v>#N/A</v>
      </c>
      <c r="BR143" s="282" t="e">
        <f t="shared" si="143"/>
        <v>#N/A</v>
      </c>
      <c r="BS143" s="217" t="e">
        <f>VLOOKUP($B143,SDR24_STOCK_BY_LA!$A$2:$C$11878,3,0)</f>
        <v>#N/A</v>
      </c>
      <c r="BT143" s="217" t="str">
        <f t="shared" si="184"/>
        <v/>
      </c>
    </row>
    <row r="144" spans="1:72" x14ac:dyDescent="0.2">
      <c r="A144" s="217" t="str">
        <f t="shared" si="185"/>
        <v/>
      </c>
      <c r="B144" s="217" t="str">
        <f t="shared" si="186"/>
        <v/>
      </c>
      <c r="C144" s="283" t="str">
        <f t="shared" si="144"/>
        <v/>
      </c>
      <c r="D144" s="256" t="str">
        <f>IF(B144="","",IF(totals!$Q$3=0,IFERROR(IF(AD144=2,"0",AE144),""),"-"))</f>
        <v/>
      </c>
      <c r="E144" s="258" t="str">
        <f t="shared" si="145"/>
        <v/>
      </c>
      <c r="F144" s="259" t="str">
        <f t="shared" si="146"/>
        <v/>
      </c>
      <c r="G144" s="259" t="str">
        <f t="shared" si="147"/>
        <v/>
      </c>
      <c r="H144" s="256" t="str">
        <f t="shared" si="125"/>
        <v/>
      </c>
      <c r="I144" s="259" t="str">
        <f t="shared" si="148"/>
        <v/>
      </c>
      <c r="J144" s="259" t="str">
        <f t="shared" si="149"/>
        <v/>
      </c>
      <c r="K144" s="256" t="str">
        <f t="shared" si="126"/>
        <v/>
      </c>
      <c r="L144" s="259" t="str">
        <f t="shared" si="127"/>
        <v/>
      </c>
      <c r="M144" s="259" t="str">
        <f t="shared" si="150"/>
        <v/>
      </c>
      <c r="N144" s="256" t="str">
        <f t="shared" si="151"/>
        <v/>
      </c>
      <c r="O144" s="259" t="str">
        <f t="shared" si="152"/>
        <v/>
      </c>
      <c r="P144" s="259" t="str">
        <f t="shared" si="153"/>
        <v/>
      </c>
      <c r="Q144" s="256" t="str">
        <f t="shared" si="154"/>
        <v/>
      </c>
      <c r="R144" s="259" t="str">
        <f t="shared" si="155"/>
        <v/>
      </c>
      <c r="S144" s="259" t="str">
        <f t="shared" si="156"/>
        <v/>
      </c>
      <c r="T144" s="256" t="str">
        <f t="shared" si="157"/>
        <v/>
      </c>
      <c r="U144" s="217"/>
      <c r="V144" s="217"/>
      <c r="AB144" s="217" t="e">
        <f>VLOOKUP($B$6,Lookup_Source,137,0)</f>
        <v>#N/A</v>
      </c>
      <c r="AC144" s="241" t="str">
        <f t="shared" si="158"/>
        <v/>
      </c>
      <c r="AD144" s="242">
        <f t="shared" si="159"/>
        <v>7</v>
      </c>
      <c r="AE144" s="261" t="e">
        <f t="shared" si="128"/>
        <v>#N/A</v>
      </c>
      <c r="AF144" s="264" t="e">
        <f t="shared" si="160"/>
        <v>#N/A</v>
      </c>
      <c r="AG144" s="264" t="e">
        <f t="shared" si="161"/>
        <v>#N/A</v>
      </c>
      <c r="AH144" s="263" t="e">
        <f t="shared" si="129"/>
        <v>#N/A</v>
      </c>
      <c r="AI144" s="226">
        <f t="shared" si="162"/>
        <v>7</v>
      </c>
      <c r="AJ144" s="264" t="e">
        <f t="shared" si="130"/>
        <v>#N/A</v>
      </c>
      <c r="AK144" s="264" t="e">
        <f t="shared" si="163"/>
        <v>#N/A</v>
      </c>
      <c r="AL144" s="226" t="e">
        <f t="shared" si="131"/>
        <v>#N/A</v>
      </c>
      <c r="AM144" s="265" t="e">
        <f t="shared" si="164"/>
        <v>#N/A</v>
      </c>
      <c r="AN144" s="266" t="e">
        <f t="shared" si="132"/>
        <v>#N/A</v>
      </c>
      <c r="AO144" s="227" t="e">
        <f t="shared" si="133"/>
        <v>#N/A</v>
      </c>
      <c r="AP144" s="284">
        <f t="shared" si="165"/>
        <v>7</v>
      </c>
      <c r="AQ144" s="285" t="e">
        <f t="shared" si="134"/>
        <v>#N/A</v>
      </c>
      <c r="AR144" s="266" t="e">
        <f t="shared" si="166"/>
        <v>#N/A</v>
      </c>
      <c r="AS144" s="270" t="e">
        <f t="shared" si="135"/>
        <v>#N/A</v>
      </c>
      <c r="AT144" s="271">
        <f t="shared" si="167"/>
        <v>7</v>
      </c>
      <c r="AU144" s="272" t="e">
        <f t="shared" si="168"/>
        <v>#N/A</v>
      </c>
      <c r="AV144" s="273" t="e">
        <f t="shared" si="169"/>
        <v>#N/A</v>
      </c>
      <c r="AW144" s="274" t="e">
        <f t="shared" si="136"/>
        <v>#N/A</v>
      </c>
      <c r="AX144" s="232">
        <f t="shared" si="170"/>
        <v>7</v>
      </c>
      <c r="AY144" s="273" t="e">
        <f t="shared" si="137"/>
        <v>#N/A</v>
      </c>
      <c r="AZ144" s="232" t="e">
        <f t="shared" si="171"/>
        <v>#N/A</v>
      </c>
      <c r="BA144" s="232" t="e">
        <f t="shared" si="138"/>
        <v>#N/A</v>
      </c>
      <c r="BB144" s="275">
        <f t="shared" si="172"/>
        <v>7</v>
      </c>
      <c r="BC144" s="276" t="e">
        <f t="shared" si="173"/>
        <v>#N/A</v>
      </c>
      <c r="BD144" s="277" t="e">
        <f t="shared" si="174"/>
        <v>#N/A</v>
      </c>
      <c r="BE144" s="250" t="e">
        <f t="shared" si="139"/>
        <v>#N/A</v>
      </c>
      <c r="BF144" s="247">
        <f t="shared" si="175"/>
        <v>7</v>
      </c>
      <c r="BG144" s="276" t="e">
        <f t="shared" si="176"/>
        <v>#N/A</v>
      </c>
      <c r="BH144" s="277" t="e">
        <f t="shared" si="177"/>
        <v>#N/A</v>
      </c>
      <c r="BI144" s="250" t="e">
        <f t="shared" si="140"/>
        <v>#N/A</v>
      </c>
      <c r="BJ144" s="251">
        <f t="shared" si="178"/>
        <v>7</v>
      </c>
      <c r="BK144" s="278" t="e">
        <f t="shared" si="179"/>
        <v>#N/A</v>
      </c>
      <c r="BL144" s="278" t="e">
        <f t="shared" si="180"/>
        <v>#N/A</v>
      </c>
      <c r="BM144" s="279" t="e">
        <f t="shared" si="141"/>
        <v>#N/A</v>
      </c>
      <c r="BN144" s="280">
        <f t="shared" si="181"/>
        <v>7</v>
      </c>
      <c r="BO144" s="281" t="e">
        <f t="shared" si="182"/>
        <v>#N/A</v>
      </c>
      <c r="BP144" s="281" t="e">
        <f t="shared" si="183"/>
        <v>#N/A</v>
      </c>
      <c r="BQ144" s="279" t="e">
        <f t="shared" si="142"/>
        <v>#N/A</v>
      </c>
      <c r="BR144" s="282" t="e">
        <f t="shared" si="143"/>
        <v>#N/A</v>
      </c>
      <c r="BS144" s="217" t="e">
        <f>VLOOKUP($B144,SDR24_STOCK_BY_LA!$A$2:$C$11878,3,0)</f>
        <v>#N/A</v>
      </c>
      <c r="BT144" s="217" t="str">
        <f t="shared" si="184"/>
        <v/>
      </c>
    </row>
    <row r="145" spans="1:72" x14ac:dyDescent="0.2">
      <c r="A145" s="256" t="str">
        <f t="shared" si="185"/>
        <v/>
      </c>
      <c r="B145" s="217" t="str">
        <f t="shared" si="186"/>
        <v/>
      </c>
      <c r="C145" s="257" t="str">
        <f t="shared" si="144"/>
        <v/>
      </c>
      <c r="D145" s="256" t="str">
        <f>IF(B145="","",IF(totals!$Q$3=0,IFERROR(IF(AD145=2,"0",AE145),""),"-"))</f>
        <v/>
      </c>
      <c r="E145" s="258" t="str">
        <f t="shared" si="145"/>
        <v/>
      </c>
      <c r="F145" s="259" t="str">
        <f t="shared" si="146"/>
        <v/>
      </c>
      <c r="G145" s="259" t="str">
        <f t="shared" si="147"/>
        <v/>
      </c>
      <c r="H145" s="256" t="str">
        <f t="shared" si="125"/>
        <v/>
      </c>
      <c r="I145" s="259" t="str">
        <f t="shared" si="148"/>
        <v/>
      </c>
      <c r="J145" s="259" t="str">
        <f t="shared" si="149"/>
        <v/>
      </c>
      <c r="K145" s="256" t="str">
        <f t="shared" si="126"/>
        <v/>
      </c>
      <c r="L145" s="259" t="str">
        <f t="shared" si="127"/>
        <v/>
      </c>
      <c r="M145" s="259" t="str">
        <f t="shared" si="150"/>
        <v/>
      </c>
      <c r="N145" s="256" t="str">
        <f t="shared" si="151"/>
        <v/>
      </c>
      <c r="O145" s="259" t="str">
        <f t="shared" si="152"/>
        <v/>
      </c>
      <c r="P145" s="259" t="str">
        <f t="shared" si="153"/>
        <v/>
      </c>
      <c r="Q145" s="256" t="str">
        <f t="shared" si="154"/>
        <v/>
      </c>
      <c r="R145" s="259" t="str">
        <f t="shared" si="155"/>
        <v/>
      </c>
      <c r="S145" s="259" t="str">
        <f t="shared" si="156"/>
        <v/>
      </c>
      <c r="T145" s="256" t="str">
        <f t="shared" si="157"/>
        <v/>
      </c>
      <c r="U145" s="217"/>
      <c r="V145" s="217"/>
      <c r="AB145" s="257" t="e">
        <f>VLOOKUP($B$6,Lookup_Source,138,0)</f>
        <v>#N/A</v>
      </c>
      <c r="AC145" s="241" t="str">
        <f t="shared" si="158"/>
        <v/>
      </c>
      <c r="AD145" s="242">
        <f t="shared" si="159"/>
        <v>7</v>
      </c>
      <c r="AE145" s="261" t="e">
        <f t="shared" si="128"/>
        <v>#N/A</v>
      </c>
      <c r="AF145" s="264" t="e">
        <f t="shared" si="160"/>
        <v>#N/A</v>
      </c>
      <c r="AG145" s="264" t="e">
        <f t="shared" si="161"/>
        <v>#N/A</v>
      </c>
      <c r="AH145" s="263" t="e">
        <f t="shared" si="129"/>
        <v>#N/A</v>
      </c>
      <c r="AI145" s="226">
        <f t="shared" si="162"/>
        <v>7</v>
      </c>
      <c r="AJ145" s="264" t="e">
        <f t="shared" si="130"/>
        <v>#N/A</v>
      </c>
      <c r="AK145" s="264" t="e">
        <f t="shared" si="163"/>
        <v>#N/A</v>
      </c>
      <c r="AL145" s="226" t="e">
        <f t="shared" si="131"/>
        <v>#N/A</v>
      </c>
      <c r="AM145" s="265" t="e">
        <f t="shared" si="164"/>
        <v>#N/A</v>
      </c>
      <c r="AN145" s="266" t="e">
        <f t="shared" si="132"/>
        <v>#N/A</v>
      </c>
      <c r="AO145" s="227" t="e">
        <f t="shared" si="133"/>
        <v>#N/A</v>
      </c>
      <c r="AP145" s="284">
        <f t="shared" si="165"/>
        <v>7</v>
      </c>
      <c r="AQ145" s="285" t="e">
        <f t="shared" si="134"/>
        <v>#N/A</v>
      </c>
      <c r="AR145" s="266" t="e">
        <f t="shared" si="166"/>
        <v>#N/A</v>
      </c>
      <c r="AS145" s="270" t="e">
        <f t="shared" si="135"/>
        <v>#N/A</v>
      </c>
      <c r="AT145" s="271">
        <f t="shared" si="167"/>
        <v>7</v>
      </c>
      <c r="AU145" s="272" t="e">
        <f t="shared" si="168"/>
        <v>#N/A</v>
      </c>
      <c r="AV145" s="273" t="e">
        <f t="shared" si="169"/>
        <v>#N/A</v>
      </c>
      <c r="AW145" s="274" t="e">
        <f t="shared" si="136"/>
        <v>#N/A</v>
      </c>
      <c r="AX145" s="232">
        <f t="shared" si="170"/>
        <v>7</v>
      </c>
      <c r="AY145" s="273" t="e">
        <f t="shared" si="137"/>
        <v>#N/A</v>
      </c>
      <c r="AZ145" s="232" t="e">
        <f t="shared" si="171"/>
        <v>#N/A</v>
      </c>
      <c r="BA145" s="232" t="e">
        <f t="shared" si="138"/>
        <v>#N/A</v>
      </c>
      <c r="BB145" s="275">
        <f t="shared" si="172"/>
        <v>7</v>
      </c>
      <c r="BC145" s="276" t="e">
        <f t="shared" si="173"/>
        <v>#N/A</v>
      </c>
      <c r="BD145" s="277" t="e">
        <f t="shared" si="174"/>
        <v>#N/A</v>
      </c>
      <c r="BE145" s="250" t="e">
        <f t="shared" si="139"/>
        <v>#N/A</v>
      </c>
      <c r="BF145" s="247">
        <f t="shared" si="175"/>
        <v>7</v>
      </c>
      <c r="BG145" s="276" t="e">
        <f t="shared" si="176"/>
        <v>#N/A</v>
      </c>
      <c r="BH145" s="277" t="e">
        <f t="shared" si="177"/>
        <v>#N/A</v>
      </c>
      <c r="BI145" s="250" t="e">
        <f t="shared" si="140"/>
        <v>#N/A</v>
      </c>
      <c r="BJ145" s="251">
        <f t="shared" si="178"/>
        <v>7</v>
      </c>
      <c r="BK145" s="278" t="e">
        <f t="shared" si="179"/>
        <v>#N/A</v>
      </c>
      <c r="BL145" s="278" t="e">
        <f t="shared" si="180"/>
        <v>#N/A</v>
      </c>
      <c r="BM145" s="279" t="e">
        <f t="shared" si="141"/>
        <v>#N/A</v>
      </c>
      <c r="BN145" s="280">
        <f t="shared" si="181"/>
        <v>7</v>
      </c>
      <c r="BO145" s="281" t="e">
        <f t="shared" si="182"/>
        <v>#N/A</v>
      </c>
      <c r="BP145" s="281" t="e">
        <f t="shared" si="183"/>
        <v>#N/A</v>
      </c>
      <c r="BQ145" s="279" t="e">
        <f t="shared" si="142"/>
        <v>#N/A</v>
      </c>
      <c r="BR145" s="282" t="e">
        <f t="shared" si="143"/>
        <v>#N/A</v>
      </c>
      <c r="BS145" s="217" t="e">
        <f>VLOOKUP($B145,SDR24_STOCK_BY_LA!$A$2:$C$11878,3,0)</f>
        <v>#N/A</v>
      </c>
      <c r="BT145" s="217" t="str">
        <f t="shared" si="184"/>
        <v/>
      </c>
    </row>
    <row r="146" spans="1:72" x14ac:dyDescent="0.2">
      <c r="A146" s="217" t="str">
        <f t="shared" si="185"/>
        <v/>
      </c>
      <c r="B146" s="217" t="str">
        <f t="shared" si="186"/>
        <v/>
      </c>
      <c r="C146" s="283" t="str">
        <f t="shared" si="144"/>
        <v/>
      </c>
      <c r="D146" s="256" t="str">
        <f>IF(B146="","",IF(totals!$Q$3=0,IFERROR(IF(AD146=2,"0",AE146),""),"-"))</f>
        <v/>
      </c>
      <c r="E146" s="258" t="str">
        <f t="shared" si="145"/>
        <v/>
      </c>
      <c r="F146" s="259" t="str">
        <f t="shared" si="146"/>
        <v/>
      </c>
      <c r="G146" s="259" t="str">
        <f t="shared" si="147"/>
        <v/>
      </c>
      <c r="H146" s="256" t="str">
        <f t="shared" si="125"/>
        <v/>
      </c>
      <c r="I146" s="259" t="str">
        <f t="shared" si="148"/>
        <v/>
      </c>
      <c r="J146" s="259" t="str">
        <f t="shared" si="149"/>
        <v/>
      </c>
      <c r="K146" s="256" t="str">
        <f t="shared" si="126"/>
        <v/>
      </c>
      <c r="L146" s="259" t="str">
        <f t="shared" si="127"/>
        <v/>
      </c>
      <c r="M146" s="259" t="str">
        <f t="shared" si="150"/>
        <v/>
      </c>
      <c r="N146" s="256" t="str">
        <f t="shared" si="151"/>
        <v/>
      </c>
      <c r="O146" s="259" t="str">
        <f t="shared" si="152"/>
        <v/>
      </c>
      <c r="P146" s="259" t="str">
        <f t="shared" si="153"/>
        <v/>
      </c>
      <c r="Q146" s="256" t="str">
        <f t="shared" si="154"/>
        <v/>
      </c>
      <c r="R146" s="259" t="str">
        <f t="shared" si="155"/>
        <v/>
      </c>
      <c r="S146" s="259" t="str">
        <f t="shared" si="156"/>
        <v/>
      </c>
      <c r="T146" s="256" t="str">
        <f t="shared" si="157"/>
        <v/>
      </c>
      <c r="U146" s="217"/>
      <c r="V146" s="217"/>
      <c r="AB146" s="217" t="e">
        <f>VLOOKUP($B$6,Lookup_Source,139,0)</f>
        <v>#N/A</v>
      </c>
      <c r="AC146" s="241" t="str">
        <f t="shared" si="158"/>
        <v/>
      </c>
      <c r="AD146" s="242">
        <f t="shared" si="159"/>
        <v>7</v>
      </c>
      <c r="AE146" s="261" t="e">
        <f t="shared" si="128"/>
        <v>#N/A</v>
      </c>
      <c r="AF146" s="264" t="e">
        <f t="shared" si="160"/>
        <v>#N/A</v>
      </c>
      <c r="AG146" s="264" t="e">
        <f t="shared" si="161"/>
        <v>#N/A</v>
      </c>
      <c r="AH146" s="263" t="e">
        <f t="shared" si="129"/>
        <v>#N/A</v>
      </c>
      <c r="AI146" s="226">
        <f t="shared" si="162"/>
        <v>7</v>
      </c>
      <c r="AJ146" s="264" t="e">
        <f t="shared" si="130"/>
        <v>#N/A</v>
      </c>
      <c r="AK146" s="264" t="e">
        <f t="shared" si="163"/>
        <v>#N/A</v>
      </c>
      <c r="AL146" s="226" t="e">
        <f t="shared" si="131"/>
        <v>#N/A</v>
      </c>
      <c r="AM146" s="265" t="e">
        <f t="shared" si="164"/>
        <v>#N/A</v>
      </c>
      <c r="AN146" s="266" t="e">
        <f t="shared" si="132"/>
        <v>#N/A</v>
      </c>
      <c r="AO146" s="227" t="e">
        <f t="shared" si="133"/>
        <v>#N/A</v>
      </c>
      <c r="AP146" s="284">
        <f t="shared" si="165"/>
        <v>7</v>
      </c>
      <c r="AQ146" s="285" t="e">
        <f t="shared" si="134"/>
        <v>#N/A</v>
      </c>
      <c r="AR146" s="266" t="e">
        <f t="shared" si="166"/>
        <v>#N/A</v>
      </c>
      <c r="AS146" s="270" t="e">
        <f t="shared" si="135"/>
        <v>#N/A</v>
      </c>
      <c r="AT146" s="271">
        <f t="shared" si="167"/>
        <v>7</v>
      </c>
      <c r="AU146" s="272" t="e">
        <f t="shared" si="168"/>
        <v>#N/A</v>
      </c>
      <c r="AV146" s="273" t="e">
        <f t="shared" si="169"/>
        <v>#N/A</v>
      </c>
      <c r="AW146" s="274" t="e">
        <f t="shared" si="136"/>
        <v>#N/A</v>
      </c>
      <c r="AX146" s="232">
        <f t="shared" si="170"/>
        <v>7</v>
      </c>
      <c r="AY146" s="273" t="e">
        <f t="shared" si="137"/>
        <v>#N/A</v>
      </c>
      <c r="AZ146" s="232" t="e">
        <f t="shared" si="171"/>
        <v>#N/A</v>
      </c>
      <c r="BA146" s="232" t="e">
        <f t="shared" si="138"/>
        <v>#N/A</v>
      </c>
      <c r="BB146" s="275">
        <f t="shared" si="172"/>
        <v>7</v>
      </c>
      <c r="BC146" s="276" t="e">
        <f t="shared" si="173"/>
        <v>#N/A</v>
      </c>
      <c r="BD146" s="277" t="e">
        <f t="shared" si="174"/>
        <v>#N/A</v>
      </c>
      <c r="BE146" s="250" t="e">
        <f t="shared" si="139"/>
        <v>#N/A</v>
      </c>
      <c r="BF146" s="247">
        <f t="shared" si="175"/>
        <v>7</v>
      </c>
      <c r="BG146" s="276" t="e">
        <f t="shared" si="176"/>
        <v>#N/A</v>
      </c>
      <c r="BH146" s="277" t="e">
        <f t="shared" si="177"/>
        <v>#N/A</v>
      </c>
      <c r="BI146" s="250" t="e">
        <f t="shared" si="140"/>
        <v>#N/A</v>
      </c>
      <c r="BJ146" s="251">
        <f t="shared" si="178"/>
        <v>7</v>
      </c>
      <c r="BK146" s="278" t="e">
        <f t="shared" si="179"/>
        <v>#N/A</v>
      </c>
      <c r="BL146" s="278" t="e">
        <f t="shared" si="180"/>
        <v>#N/A</v>
      </c>
      <c r="BM146" s="279" t="e">
        <f t="shared" si="141"/>
        <v>#N/A</v>
      </c>
      <c r="BN146" s="280">
        <f t="shared" si="181"/>
        <v>7</v>
      </c>
      <c r="BO146" s="281" t="e">
        <f t="shared" si="182"/>
        <v>#N/A</v>
      </c>
      <c r="BP146" s="281" t="e">
        <f t="shared" si="183"/>
        <v>#N/A</v>
      </c>
      <c r="BQ146" s="279" t="e">
        <f t="shared" si="142"/>
        <v>#N/A</v>
      </c>
      <c r="BR146" s="282" t="e">
        <f t="shared" si="143"/>
        <v>#N/A</v>
      </c>
      <c r="BS146" s="217" t="e">
        <f>VLOOKUP($B146,SDR24_STOCK_BY_LA!$A$2:$C$11878,3,0)</f>
        <v>#N/A</v>
      </c>
      <c r="BT146" s="217" t="str">
        <f t="shared" si="184"/>
        <v/>
      </c>
    </row>
    <row r="147" spans="1:72" x14ac:dyDescent="0.2">
      <c r="A147" s="256" t="str">
        <f t="shared" si="185"/>
        <v/>
      </c>
      <c r="B147" s="217" t="str">
        <f t="shared" si="186"/>
        <v/>
      </c>
      <c r="C147" s="257" t="str">
        <f t="shared" si="144"/>
        <v/>
      </c>
      <c r="D147" s="256" t="str">
        <f>IF(B147="","",IF(totals!$Q$3=0,IFERROR(IF(AD147=2,"0",AE147),""),"-"))</f>
        <v/>
      </c>
      <c r="E147" s="258" t="str">
        <f t="shared" si="145"/>
        <v/>
      </c>
      <c r="F147" s="259" t="str">
        <f t="shared" si="146"/>
        <v/>
      </c>
      <c r="G147" s="259" t="str">
        <f t="shared" si="147"/>
        <v/>
      </c>
      <c r="H147" s="256" t="str">
        <f t="shared" si="125"/>
        <v/>
      </c>
      <c r="I147" s="259" t="str">
        <f t="shared" si="148"/>
        <v/>
      </c>
      <c r="J147" s="259" t="str">
        <f t="shared" si="149"/>
        <v/>
      </c>
      <c r="K147" s="256" t="str">
        <f t="shared" si="126"/>
        <v/>
      </c>
      <c r="L147" s="259" t="str">
        <f t="shared" si="127"/>
        <v/>
      </c>
      <c r="M147" s="259" t="str">
        <f t="shared" si="150"/>
        <v/>
      </c>
      <c r="N147" s="256" t="str">
        <f t="shared" si="151"/>
        <v/>
      </c>
      <c r="O147" s="259" t="str">
        <f t="shared" si="152"/>
        <v/>
      </c>
      <c r="P147" s="259" t="str">
        <f t="shared" si="153"/>
        <v/>
      </c>
      <c r="Q147" s="256" t="str">
        <f t="shared" si="154"/>
        <v/>
      </c>
      <c r="R147" s="259" t="str">
        <f t="shared" si="155"/>
        <v/>
      </c>
      <c r="S147" s="259" t="str">
        <f t="shared" si="156"/>
        <v/>
      </c>
      <c r="T147" s="256" t="str">
        <f t="shared" si="157"/>
        <v/>
      </c>
      <c r="U147" s="217"/>
      <c r="V147" s="217"/>
      <c r="AB147" s="257" t="e">
        <f>VLOOKUP($B$6,Lookup_Source,140,0)</f>
        <v>#N/A</v>
      </c>
      <c r="AC147" s="241" t="str">
        <f t="shared" si="158"/>
        <v/>
      </c>
      <c r="AD147" s="242">
        <f t="shared" si="159"/>
        <v>7</v>
      </c>
      <c r="AE147" s="261" t="e">
        <f t="shared" si="128"/>
        <v>#N/A</v>
      </c>
      <c r="AF147" s="264" t="e">
        <f t="shared" si="160"/>
        <v>#N/A</v>
      </c>
      <c r="AG147" s="264" t="e">
        <f t="shared" si="161"/>
        <v>#N/A</v>
      </c>
      <c r="AH147" s="263" t="e">
        <f t="shared" si="129"/>
        <v>#N/A</v>
      </c>
      <c r="AI147" s="226">
        <f t="shared" si="162"/>
        <v>7</v>
      </c>
      <c r="AJ147" s="264" t="e">
        <f t="shared" si="130"/>
        <v>#N/A</v>
      </c>
      <c r="AK147" s="264" t="e">
        <f t="shared" si="163"/>
        <v>#N/A</v>
      </c>
      <c r="AL147" s="226" t="e">
        <f t="shared" si="131"/>
        <v>#N/A</v>
      </c>
      <c r="AM147" s="265" t="e">
        <f t="shared" si="164"/>
        <v>#N/A</v>
      </c>
      <c r="AN147" s="266" t="e">
        <f t="shared" si="132"/>
        <v>#N/A</v>
      </c>
      <c r="AO147" s="227" t="e">
        <f t="shared" si="133"/>
        <v>#N/A</v>
      </c>
      <c r="AP147" s="284">
        <f t="shared" si="165"/>
        <v>7</v>
      </c>
      <c r="AQ147" s="285" t="e">
        <f t="shared" si="134"/>
        <v>#N/A</v>
      </c>
      <c r="AR147" s="266" t="e">
        <f t="shared" si="166"/>
        <v>#N/A</v>
      </c>
      <c r="AS147" s="270" t="e">
        <f t="shared" si="135"/>
        <v>#N/A</v>
      </c>
      <c r="AT147" s="271">
        <f t="shared" si="167"/>
        <v>7</v>
      </c>
      <c r="AU147" s="272" t="e">
        <f t="shared" si="168"/>
        <v>#N/A</v>
      </c>
      <c r="AV147" s="273" t="e">
        <f t="shared" si="169"/>
        <v>#N/A</v>
      </c>
      <c r="AW147" s="274" t="e">
        <f t="shared" si="136"/>
        <v>#N/A</v>
      </c>
      <c r="AX147" s="232">
        <f t="shared" si="170"/>
        <v>7</v>
      </c>
      <c r="AY147" s="273" t="e">
        <f t="shared" si="137"/>
        <v>#N/A</v>
      </c>
      <c r="AZ147" s="232" t="e">
        <f t="shared" si="171"/>
        <v>#N/A</v>
      </c>
      <c r="BA147" s="232" t="e">
        <f t="shared" si="138"/>
        <v>#N/A</v>
      </c>
      <c r="BB147" s="275">
        <f t="shared" si="172"/>
        <v>7</v>
      </c>
      <c r="BC147" s="276" t="e">
        <f t="shared" si="173"/>
        <v>#N/A</v>
      </c>
      <c r="BD147" s="277" t="e">
        <f t="shared" si="174"/>
        <v>#N/A</v>
      </c>
      <c r="BE147" s="250" t="e">
        <f t="shared" si="139"/>
        <v>#N/A</v>
      </c>
      <c r="BF147" s="247">
        <f t="shared" si="175"/>
        <v>7</v>
      </c>
      <c r="BG147" s="276" t="e">
        <f t="shared" si="176"/>
        <v>#N/A</v>
      </c>
      <c r="BH147" s="277" t="e">
        <f t="shared" si="177"/>
        <v>#N/A</v>
      </c>
      <c r="BI147" s="250" t="e">
        <f t="shared" si="140"/>
        <v>#N/A</v>
      </c>
      <c r="BJ147" s="251">
        <f t="shared" si="178"/>
        <v>7</v>
      </c>
      <c r="BK147" s="278" t="e">
        <f t="shared" si="179"/>
        <v>#N/A</v>
      </c>
      <c r="BL147" s="278" t="e">
        <f t="shared" si="180"/>
        <v>#N/A</v>
      </c>
      <c r="BM147" s="279" t="e">
        <f t="shared" si="141"/>
        <v>#N/A</v>
      </c>
      <c r="BN147" s="280">
        <f t="shared" si="181"/>
        <v>7</v>
      </c>
      <c r="BO147" s="281" t="e">
        <f t="shared" si="182"/>
        <v>#N/A</v>
      </c>
      <c r="BP147" s="281" t="e">
        <f t="shared" si="183"/>
        <v>#N/A</v>
      </c>
      <c r="BQ147" s="279" t="e">
        <f t="shared" si="142"/>
        <v>#N/A</v>
      </c>
      <c r="BR147" s="282" t="e">
        <f t="shared" si="143"/>
        <v>#N/A</v>
      </c>
      <c r="BS147" s="217" t="e">
        <f>VLOOKUP($B147,SDR24_STOCK_BY_LA!$A$2:$C$11878,3,0)</f>
        <v>#N/A</v>
      </c>
      <c r="BT147" s="217" t="str">
        <f t="shared" si="184"/>
        <v/>
      </c>
    </row>
    <row r="148" spans="1:72" x14ac:dyDescent="0.2">
      <c r="A148" s="217" t="str">
        <f t="shared" si="185"/>
        <v/>
      </c>
      <c r="B148" s="217" t="str">
        <f t="shared" si="186"/>
        <v/>
      </c>
      <c r="C148" s="283" t="str">
        <f t="shared" si="144"/>
        <v/>
      </c>
      <c r="D148" s="256" t="str">
        <f>IF(B148="","",IF(totals!$Q$3=0,IFERROR(IF(AD148=2,"0",AE148),""),"-"))</f>
        <v/>
      </c>
      <c r="E148" s="258" t="str">
        <f t="shared" si="145"/>
        <v/>
      </c>
      <c r="F148" s="259" t="str">
        <f t="shared" si="146"/>
        <v/>
      </c>
      <c r="G148" s="259" t="str">
        <f t="shared" si="147"/>
        <v/>
      </c>
      <c r="H148" s="256" t="str">
        <f t="shared" si="125"/>
        <v/>
      </c>
      <c r="I148" s="259" t="str">
        <f t="shared" si="148"/>
        <v/>
      </c>
      <c r="J148" s="259" t="str">
        <f t="shared" si="149"/>
        <v/>
      </c>
      <c r="K148" s="256" t="str">
        <f t="shared" si="126"/>
        <v/>
      </c>
      <c r="L148" s="259" t="str">
        <f t="shared" si="127"/>
        <v/>
      </c>
      <c r="M148" s="259" t="str">
        <f t="shared" si="150"/>
        <v/>
      </c>
      <c r="N148" s="256" t="str">
        <f t="shared" si="151"/>
        <v/>
      </c>
      <c r="O148" s="259" t="str">
        <f t="shared" si="152"/>
        <v/>
      </c>
      <c r="P148" s="259" t="str">
        <f t="shared" si="153"/>
        <v/>
      </c>
      <c r="Q148" s="256" t="str">
        <f t="shared" si="154"/>
        <v/>
      </c>
      <c r="R148" s="259" t="str">
        <f t="shared" si="155"/>
        <v/>
      </c>
      <c r="S148" s="259" t="str">
        <f t="shared" si="156"/>
        <v/>
      </c>
      <c r="T148" s="256" t="str">
        <f t="shared" si="157"/>
        <v/>
      </c>
      <c r="U148" s="217"/>
      <c r="V148" s="217"/>
      <c r="AB148" s="217" t="e">
        <f>VLOOKUP($B$6,Lookup_Source,141,0)</f>
        <v>#N/A</v>
      </c>
      <c r="AC148" s="241" t="str">
        <f t="shared" si="158"/>
        <v/>
      </c>
      <c r="AD148" s="242">
        <f t="shared" si="159"/>
        <v>7</v>
      </c>
      <c r="AE148" s="261" t="e">
        <f t="shared" si="128"/>
        <v>#N/A</v>
      </c>
      <c r="AF148" s="264" t="e">
        <f t="shared" si="160"/>
        <v>#N/A</v>
      </c>
      <c r="AG148" s="264" t="e">
        <f t="shared" si="161"/>
        <v>#N/A</v>
      </c>
      <c r="AH148" s="263" t="e">
        <f t="shared" si="129"/>
        <v>#N/A</v>
      </c>
      <c r="AI148" s="226">
        <f t="shared" si="162"/>
        <v>7</v>
      </c>
      <c r="AJ148" s="264" t="e">
        <f t="shared" si="130"/>
        <v>#N/A</v>
      </c>
      <c r="AK148" s="264" t="e">
        <f t="shared" si="163"/>
        <v>#N/A</v>
      </c>
      <c r="AL148" s="226" t="e">
        <f t="shared" si="131"/>
        <v>#N/A</v>
      </c>
      <c r="AM148" s="265" t="e">
        <f t="shared" si="164"/>
        <v>#N/A</v>
      </c>
      <c r="AN148" s="266" t="e">
        <f t="shared" si="132"/>
        <v>#N/A</v>
      </c>
      <c r="AO148" s="227" t="e">
        <f t="shared" si="133"/>
        <v>#N/A</v>
      </c>
      <c r="AP148" s="284">
        <f t="shared" si="165"/>
        <v>7</v>
      </c>
      <c r="AQ148" s="285" t="e">
        <f t="shared" si="134"/>
        <v>#N/A</v>
      </c>
      <c r="AR148" s="266" t="e">
        <f t="shared" si="166"/>
        <v>#N/A</v>
      </c>
      <c r="AS148" s="270" t="e">
        <f t="shared" si="135"/>
        <v>#N/A</v>
      </c>
      <c r="AT148" s="271">
        <f t="shared" si="167"/>
        <v>7</v>
      </c>
      <c r="AU148" s="272" t="e">
        <f t="shared" si="168"/>
        <v>#N/A</v>
      </c>
      <c r="AV148" s="273" t="e">
        <f t="shared" si="169"/>
        <v>#N/A</v>
      </c>
      <c r="AW148" s="274" t="e">
        <f t="shared" si="136"/>
        <v>#N/A</v>
      </c>
      <c r="AX148" s="232">
        <f t="shared" si="170"/>
        <v>7</v>
      </c>
      <c r="AY148" s="273" t="e">
        <f t="shared" si="137"/>
        <v>#N/A</v>
      </c>
      <c r="AZ148" s="232" t="e">
        <f t="shared" si="171"/>
        <v>#N/A</v>
      </c>
      <c r="BA148" s="232" t="e">
        <f t="shared" si="138"/>
        <v>#N/A</v>
      </c>
      <c r="BB148" s="275">
        <f t="shared" si="172"/>
        <v>7</v>
      </c>
      <c r="BC148" s="276" t="e">
        <f t="shared" si="173"/>
        <v>#N/A</v>
      </c>
      <c r="BD148" s="277" t="e">
        <f t="shared" si="174"/>
        <v>#N/A</v>
      </c>
      <c r="BE148" s="250" t="e">
        <f t="shared" si="139"/>
        <v>#N/A</v>
      </c>
      <c r="BF148" s="247">
        <f t="shared" si="175"/>
        <v>7</v>
      </c>
      <c r="BG148" s="276" t="e">
        <f t="shared" si="176"/>
        <v>#N/A</v>
      </c>
      <c r="BH148" s="277" t="e">
        <f t="shared" si="177"/>
        <v>#N/A</v>
      </c>
      <c r="BI148" s="250" t="e">
        <f t="shared" si="140"/>
        <v>#N/A</v>
      </c>
      <c r="BJ148" s="251">
        <f t="shared" si="178"/>
        <v>7</v>
      </c>
      <c r="BK148" s="278" t="e">
        <f t="shared" si="179"/>
        <v>#N/A</v>
      </c>
      <c r="BL148" s="278" t="e">
        <f t="shared" si="180"/>
        <v>#N/A</v>
      </c>
      <c r="BM148" s="279" t="e">
        <f t="shared" si="141"/>
        <v>#N/A</v>
      </c>
      <c r="BN148" s="280">
        <f t="shared" si="181"/>
        <v>7</v>
      </c>
      <c r="BO148" s="281" t="e">
        <f t="shared" si="182"/>
        <v>#N/A</v>
      </c>
      <c r="BP148" s="281" t="e">
        <f t="shared" si="183"/>
        <v>#N/A</v>
      </c>
      <c r="BQ148" s="279" t="e">
        <f t="shared" si="142"/>
        <v>#N/A</v>
      </c>
      <c r="BR148" s="282" t="e">
        <f t="shared" si="143"/>
        <v>#N/A</v>
      </c>
      <c r="BS148" s="217" t="e">
        <f>VLOOKUP($B148,SDR24_STOCK_BY_LA!$A$2:$C$11878,3,0)</f>
        <v>#N/A</v>
      </c>
      <c r="BT148" s="217" t="str">
        <f t="shared" si="184"/>
        <v/>
      </c>
    </row>
    <row r="149" spans="1:72" x14ac:dyDescent="0.2">
      <c r="A149" s="256" t="str">
        <f t="shared" si="185"/>
        <v/>
      </c>
      <c r="B149" s="217" t="str">
        <f t="shared" si="186"/>
        <v/>
      </c>
      <c r="C149" s="257" t="str">
        <f t="shared" si="144"/>
        <v/>
      </c>
      <c r="D149" s="256" t="str">
        <f>IF(B149="","",IF(totals!$Q$3=0,IFERROR(IF(AD149=2,"0",AE149),""),"-"))</f>
        <v/>
      </c>
      <c r="E149" s="258" t="str">
        <f t="shared" si="145"/>
        <v/>
      </c>
      <c r="F149" s="259" t="str">
        <f t="shared" si="146"/>
        <v/>
      </c>
      <c r="G149" s="259" t="str">
        <f t="shared" si="147"/>
        <v/>
      </c>
      <c r="H149" s="256" t="str">
        <f t="shared" si="125"/>
        <v/>
      </c>
      <c r="I149" s="259" t="str">
        <f t="shared" si="148"/>
        <v/>
      </c>
      <c r="J149" s="259" t="str">
        <f t="shared" si="149"/>
        <v/>
      </c>
      <c r="K149" s="256" t="str">
        <f t="shared" si="126"/>
        <v/>
      </c>
      <c r="L149" s="259" t="str">
        <f t="shared" si="127"/>
        <v/>
      </c>
      <c r="M149" s="259" t="str">
        <f t="shared" si="150"/>
        <v/>
      </c>
      <c r="N149" s="256" t="str">
        <f t="shared" si="151"/>
        <v/>
      </c>
      <c r="O149" s="259" t="str">
        <f t="shared" si="152"/>
        <v/>
      </c>
      <c r="P149" s="259" t="str">
        <f t="shared" si="153"/>
        <v/>
      </c>
      <c r="Q149" s="256" t="str">
        <f t="shared" si="154"/>
        <v/>
      </c>
      <c r="R149" s="259" t="str">
        <f t="shared" si="155"/>
        <v/>
      </c>
      <c r="S149" s="259" t="str">
        <f t="shared" si="156"/>
        <v/>
      </c>
      <c r="T149" s="256" t="str">
        <f t="shared" si="157"/>
        <v/>
      </c>
      <c r="U149" s="217"/>
      <c r="V149" s="217"/>
      <c r="AB149" s="257" t="e">
        <f>VLOOKUP($B$6,Lookup_Source,142,0)</f>
        <v>#N/A</v>
      </c>
      <c r="AC149" s="241" t="str">
        <f t="shared" si="158"/>
        <v/>
      </c>
      <c r="AD149" s="242">
        <f t="shared" si="159"/>
        <v>7</v>
      </c>
      <c r="AE149" s="261" t="e">
        <f t="shared" si="128"/>
        <v>#N/A</v>
      </c>
      <c r="AF149" s="264" t="e">
        <f t="shared" si="160"/>
        <v>#N/A</v>
      </c>
      <c r="AG149" s="264" t="e">
        <f t="shared" si="161"/>
        <v>#N/A</v>
      </c>
      <c r="AH149" s="263" t="e">
        <f t="shared" si="129"/>
        <v>#N/A</v>
      </c>
      <c r="AI149" s="226">
        <f t="shared" si="162"/>
        <v>7</v>
      </c>
      <c r="AJ149" s="264" t="e">
        <f t="shared" si="130"/>
        <v>#N/A</v>
      </c>
      <c r="AK149" s="264" t="e">
        <f t="shared" si="163"/>
        <v>#N/A</v>
      </c>
      <c r="AL149" s="226" t="e">
        <f t="shared" si="131"/>
        <v>#N/A</v>
      </c>
      <c r="AM149" s="265" t="e">
        <f t="shared" si="164"/>
        <v>#N/A</v>
      </c>
      <c r="AN149" s="266" t="e">
        <f t="shared" si="132"/>
        <v>#N/A</v>
      </c>
      <c r="AO149" s="227" t="e">
        <f t="shared" si="133"/>
        <v>#N/A</v>
      </c>
      <c r="AP149" s="284">
        <f t="shared" si="165"/>
        <v>7</v>
      </c>
      <c r="AQ149" s="285" t="e">
        <f t="shared" si="134"/>
        <v>#N/A</v>
      </c>
      <c r="AR149" s="266" t="e">
        <f t="shared" si="166"/>
        <v>#N/A</v>
      </c>
      <c r="AS149" s="270" t="e">
        <f t="shared" si="135"/>
        <v>#N/A</v>
      </c>
      <c r="AT149" s="271">
        <f t="shared" si="167"/>
        <v>7</v>
      </c>
      <c r="AU149" s="272" t="e">
        <f t="shared" si="168"/>
        <v>#N/A</v>
      </c>
      <c r="AV149" s="273" t="e">
        <f t="shared" si="169"/>
        <v>#N/A</v>
      </c>
      <c r="AW149" s="274" t="e">
        <f t="shared" si="136"/>
        <v>#N/A</v>
      </c>
      <c r="AX149" s="232">
        <f t="shared" si="170"/>
        <v>7</v>
      </c>
      <c r="AY149" s="273" t="e">
        <f t="shared" si="137"/>
        <v>#N/A</v>
      </c>
      <c r="AZ149" s="232" t="e">
        <f t="shared" si="171"/>
        <v>#N/A</v>
      </c>
      <c r="BA149" s="232" t="e">
        <f t="shared" si="138"/>
        <v>#N/A</v>
      </c>
      <c r="BB149" s="275">
        <f t="shared" si="172"/>
        <v>7</v>
      </c>
      <c r="BC149" s="276" t="e">
        <f t="shared" si="173"/>
        <v>#N/A</v>
      </c>
      <c r="BD149" s="277" t="e">
        <f t="shared" si="174"/>
        <v>#N/A</v>
      </c>
      <c r="BE149" s="250" t="e">
        <f t="shared" si="139"/>
        <v>#N/A</v>
      </c>
      <c r="BF149" s="247">
        <f t="shared" si="175"/>
        <v>7</v>
      </c>
      <c r="BG149" s="276" t="e">
        <f t="shared" si="176"/>
        <v>#N/A</v>
      </c>
      <c r="BH149" s="277" t="e">
        <f t="shared" si="177"/>
        <v>#N/A</v>
      </c>
      <c r="BI149" s="250" t="e">
        <f t="shared" si="140"/>
        <v>#N/A</v>
      </c>
      <c r="BJ149" s="251">
        <f t="shared" si="178"/>
        <v>7</v>
      </c>
      <c r="BK149" s="278" t="e">
        <f t="shared" si="179"/>
        <v>#N/A</v>
      </c>
      <c r="BL149" s="278" t="e">
        <f t="shared" si="180"/>
        <v>#N/A</v>
      </c>
      <c r="BM149" s="279" t="e">
        <f t="shared" si="141"/>
        <v>#N/A</v>
      </c>
      <c r="BN149" s="280">
        <f t="shared" si="181"/>
        <v>7</v>
      </c>
      <c r="BO149" s="281" t="e">
        <f t="shared" si="182"/>
        <v>#N/A</v>
      </c>
      <c r="BP149" s="281" t="e">
        <f t="shared" si="183"/>
        <v>#N/A</v>
      </c>
      <c r="BQ149" s="279" t="e">
        <f t="shared" si="142"/>
        <v>#N/A</v>
      </c>
      <c r="BR149" s="282" t="e">
        <f t="shared" si="143"/>
        <v>#N/A</v>
      </c>
      <c r="BS149" s="217" t="e">
        <f>VLOOKUP($B149,SDR24_STOCK_BY_LA!$A$2:$C$11878,3,0)</f>
        <v>#N/A</v>
      </c>
      <c r="BT149" s="217" t="str">
        <f t="shared" si="184"/>
        <v/>
      </c>
    </row>
    <row r="150" spans="1:72" x14ac:dyDescent="0.2">
      <c r="A150" s="217" t="str">
        <f t="shared" si="185"/>
        <v/>
      </c>
      <c r="B150" s="217" t="str">
        <f t="shared" si="186"/>
        <v/>
      </c>
      <c r="C150" s="283" t="str">
        <f t="shared" si="144"/>
        <v/>
      </c>
      <c r="D150" s="256" t="str">
        <f>IF(B150="","",IF(totals!$Q$3=0,IFERROR(IF(AD150=2,"0",AE150),""),"-"))</f>
        <v/>
      </c>
      <c r="E150" s="258" t="str">
        <f t="shared" si="145"/>
        <v/>
      </c>
      <c r="F150" s="259" t="str">
        <f t="shared" si="146"/>
        <v/>
      </c>
      <c r="G150" s="259" t="str">
        <f t="shared" si="147"/>
        <v/>
      </c>
      <c r="H150" s="256" t="str">
        <f t="shared" si="125"/>
        <v/>
      </c>
      <c r="I150" s="259" t="str">
        <f t="shared" si="148"/>
        <v/>
      </c>
      <c r="J150" s="259" t="str">
        <f t="shared" si="149"/>
        <v/>
      </c>
      <c r="K150" s="256" t="str">
        <f t="shared" si="126"/>
        <v/>
      </c>
      <c r="L150" s="259" t="str">
        <f t="shared" si="127"/>
        <v/>
      </c>
      <c r="M150" s="259" t="str">
        <f t="shared" si="150"/>
        <v/>
      </c>
      <c r="N150" s="256" t="str">
        <f t="shared" si="151"/>
        <v/>
      </c>
      <c r="O150" s="259" t="str">
        <f t="shared" si="152"/>
        <v/>
      </c>
      <c r="P150" s="259" t="str">
        <f t="shared" si="153"/>
        <v/>
      </c>
      <c r="Q150" s="256" t="str">
        <f t="shared" si="154"/>
        <v/>
      </c>
      <c r="R150" s="259" t="str">
        <f t="shared" si="155"/>
        <v/>
      </c>
      <c r="S150" s="259" t="str">
        <f t="shared" si="156"/>
        <v/>
      </c>
      <c r="T150" s="256" t="str">
        <f t="shared" si="157"/>
        <v/>
      </c>
      <c r="U150" s="217"/>
      <c r="V150" s="217"/>
      <c r="AB150" s="217" t="e">
        <f>VLOOKUP($B$6,Lookup_Source,143,0)</f>
        <v>#N/A</v>
      </c>
      <c r="AC150" s="241" t="str">
        <f t="shared" si="158"/>
        <v/>
      </c>
      <c r="AD150" s="242">
        <f t="shared" si="159"/>
        <v>7</v>
      </c>
      <c r="AE150" s="261" t="e">
        <f t="shared" si="128"/>
        <v>#N/A</v>
      </c>
      <c r="AF150" s="264" t="e">
        <f t="shared" si="160"/>
        <v>#N/A</v>
      </c>
      <c r="AG150" s="264" t="e">
        <f t="shared" si="161"/>
        <v>#N/A</v>
      </c>
      <c r="AH150" s="263" t="e">
        <f t="shared" si="129"/>
        <v>#N/A</v>
      </c>
      <c r="AI150" s="226">
        <f t="shared" si="162"/>
        <v>7</v>
      </c>
      <c r="AJ150" s="264" t="e">
        <f t="shared" si="130"/>
        <v>#N/A</v>
      </c>
      <c r="AK150" s="264" t="e">
        <f t="shared" si="163"/>
        <v>#N/A</v>
      </c>
      <c r="AL150" s="226" t="e">
        <f t="shared" si="131"/>
        <v>#N/A</v>
      </c>
      <c r="AM150" s="265" t="e">
        <f t="shared" si="164"/>
        <v>#N/A</v>
      </c>
      <c r="AN150" s="266" t="e">
        <f t="shared" si="132"/>
        <v>#N/A</v>
      </c>
      <c r="AO150" s="227" t="e">
        <f t="shared" si="133"/>
        <v>#N/A</v>
      </c>
      <c r="AP150" s="284">
        <f t="shared" si="165"/>
        <v>7</v>
      </c>
      <c r="AQ150" s="285" t="e">
        <f t="shared" si="134"/>
        <v>#N/A</v>
      </c>
      <c r="AR150" s="266" t="e">
        <f t="shared" si="166"/>
        <v>#N/A</v>
      </c>
      <c r="AS150" s="270" t="e">
        <f t="shared" si="135"/>
        <v>#N/A</v>
      </c>
      <c r="AT150" s="271">
        <f t="shared" si="167"/>
        <v>7</v>
      </c>
      <c r="AU150" s="272" t="e">
        <f t="shared" si="168"/>
        <v>#N/A</v>
      </c>
      <c r="AV150" s="273" t="e">
        <f t="shared" si="169"/>
        <v>#N/A</v>
      </c>
      <c r="AW150" s="274" t="e">
        <f t="shared" si="136"/>
        <v>#N/A</v>
      </c>
      <c r="AX150" s="232">
        <f t="shared" si="170"/>
        <v>7</v>
      </c>
      <c r="AY150" s="273" t="e">
        <f t="shared" si="137"/>
        <v>#N/A</v>
      </c>
      <c r="AZ150" s="232" t="e">
        <f t="shared" si="171"/>
        <v>#N/A</v>
      </c>
      <c r="BA150" s="232" t="e">
        <f t="shared" si="138"/>
        <v>#N/A</v>
      </c>
      <c r="BB150" s="275">
        <f t="shared" si="172"/>
        <v>7</v>
      </c>
      <c r="BC150" s="276" t="e">
        <f t="shared" si="173"/>
        <v>#N/A</v>
      </c>
      <c r="BD150" s="277" t="e">
        <f t="shared" si="174"/>
        <v>#N/A</v>
      </c>
      <c r="BE150" s="250" t="e">
        <f t="shared" si="139"/>
        <v>#N/A</v>
      </c>
      <c r="BF150" s="247">
        <f t="shared" si="175"/>
        <v>7</v>
      </c>
      <c r="BG150" s="276" t="e">
        <f t="shared" si="176"/>
        <v>#N/A</v>
      </c>
      <c r="BH150" s="277" t="e">
        <f t="shared" si="177"/>
        <v>#N/A</v>
      </c>
      <c r="BI150" s="250" t="e">
        <f t="shared" si="140"/>
        <v>#N/A</v>
      </c>
      <c r="BJ150" s="251">
        <f t="shared" si="178"/>
        <v>7</v>
      </c>
      <c r="BK150" s="278" t="e">
        <f t="shared" si="179"/>
        <v>#N/A</v>
      </c>
      <c r="BL150" s="278" t="e">
        <f t="shared" si="180"/>
        <v>#N/A</v>
      </c>
      <c r="BM150" s="279" t="e">
        <f t="shared" si="141"/>
        <v>#N/A</v>
      </c>
      <c r="BN150" s="280">
        <f t="shared" si="181"/>
        <v>7</v>
      </c>
      <c r="BO150" s="281" t="e">
        <f t="shared" si="182"/>
        <v>#N/A</v>
      </c>
      <c r="BP150" s="281" t="e">
        <f t="shared" si="183"/>
        <v>#N/A</v>
      </c>
      <c r="BQ150" s="279" t="e">
        <f t="shared" si="142"/>
        <v>#N/A</v>
      </c>
      <c r="BR150" s="282" t="e">
        <f t="shared" si="143"/>
        <v>#N/A</v>
      </c>
      <c r="BS150" s="217" t="e">
        <f>VLOOKUP($B150,SDR24_STOCK_BY_LA!$A$2:$C$11878,3,0)</f>
        <v>#N/A</v>
      </c>
      <c r="BT150" s="217" t="str">
        <f t="shared" si="184"/>
        <v/>
      </c>
    </row>
    <row r="151" spans="1:72" x14ac:dyDescent="0.2">
      <c r="A151" s="256" t="str">
        <f t="shared" si="185"/>
        <v/>
      </c>
      <c r="B151" s="217" t="str">
        <f t="shared" si="186"/>
        <v/>
      </c>
      <c r="C151" s="257" t="str">
        <f t="shared" si="144"/>
        <v/>
      </c>
      <c r="D151" s="256" t="str">
        <f>IF(B151="","",IF(totals!$Q$3=0,IFERROR(IF(AD151=2,"0",AE151),""),"-"))</f>
        <v/>
      </c>
      <c r="E151" s="258" t="str">
        <f t="shared" si="145"/>
        <v/>
      </c>
      <c r="F151" s="259" t="str">
        <f t="shared" si="146"/>
        <v/>
      </c>
      <c r="G151" s="259" t="str">
        <f t="shared" si="147"/>
        <v/>
      </c>
      <c r="H151" s="256" t="str">
        <f t="shared" si="125"/>
        <v/>
      </c>
      <c r="I151" s="259" t="str">
        <f t="shared" si="148"/>
        <v/>
      </c>
      <c r="J151" s="259" t="str">
        <f t="shared" si="149"/>
        <v/>
      </c>
      <c r="K151" s="256" t="str">
        <f t="shared" si="126"/>
        <v/>
      </c>
      <c r="L151" s="259" t="str">
        <f t="shared" si="127"/>
        <v/>
      </c>
      <c r="M151" s="259" t="str">
        <f t="shared" si="150"/>
        <v/>
      </c>
      <c r="N151" s="256" t="str">
        <f t="shared" si="151"/>
        <v/>
      </c>
      <c r="O151" s="259" t="str">
        <f t="shared" si="152"/>
        <v/>
      </c>
      <c r="P151" s="259" t="str">
        <f t="shared" si="153"/>
        <v/>
      </c>
      <c r="Q151" s="256" t="str">
        <f t="shared" si="154"/>
        <v/>
      </c>
      <c r="R151" s="259" t="str">
        <f t="shared" si="155"/>
        <v/>
      </c>
      <c r="S151" s="259" t="str">
        <f t="shared" si="156"/>
        <v/>
      </c>
      <c r="T151" s="256" t="str">
        <f t="shared" si="157"/>
        <v/>
      </c>
      <c r="U151" s="217"/>
      <c r="V151" s="217"/>
      <c r="AB151" s="257" t="e">
        <f>VLOOKUP($B$6,Lookup_Source,144,0)</f>
        <v>#N/A</v>
      </c>
      <c r="AC151" s="241" t="str">
        <f t="shared" si="158"/>
        <v/>
      </c>
      <c r="AD151" s="242">
        <f t="shared" si="159"/>
        <v>7</v>
      </c>
      <c r="AE151" s="261" t="e">
        <f t="shared" si="128"/>
        <v>#N/A</v>
      </c>
      <c r="AF151" s="264" t="e">
        <f t="shared" si="160"/>
        <v>#N/A</v>
      </c>
      <c r="AG151" s="264" t="e">
        <f t="shared" si="161"/>
        <v>#N/A</v>
      </c>
      <c r="AH151" s="263" t="e">
        <f t="shared" si="129"/>
        <v>#N/A</v>
      </c>
      <c r="AI151" s="226">
        <f t="shared" si="162"/>
        <v>7</v>
      </c>
      <c r="AJ151" s="264" t="e">
        <f t="shared" si="130"/>
        <v>#N/A</v>
      </c>
      <c r="AK151" s="264" t="e">
        <f t="shared" si="163"/>
        <v>#N/A</v>
      </c>
      <c r="AL151" s="226" t="e">
        <f t="shared" si="131"/>
        <v>#N/A</v>
      </c>
      <c r="AM151" s="265" t="e">
        <f t="shared" si="164"/>
        <v>#N/A</v>
      </c>
      <c r="AN151" s="266" t="e">
        <f t="shared" si="132"/>
        <v>#N/A</v>
      </c>
      <c r="AO151" s="227" t="e">
        <f t="shared" si="133"/>
        <v>#N/A</v>
      </c>
      <c r="AP151" s="284">
        <f t="shared" si="165"/>
        <v>7</v>
      </c>
      <c r="AQ151" s="285" t="e">
        <f t="shared" si="134"/>
        <v>#N/A</v>
      </c>
      <c r="AR151" s="266" t="e">
        <f t="shared" si="166"/>
        <v>#N/A</v>
      </c>
      <c r="AS151" s="270" t="e">
        <f t="shared" si="135"/>
        <v>#N/A</v>
      </c>
      <c r="AT151" s="271">
        <f t="shared" si="167"/>
        <v>7</v>
      </c>
      <c r="AU151" s="272" t="e">
        <f t="shared" si="168"/>
        <v>#N/A</v>
      </c>
      <c r="AV151" s="273" t="e">
        <f t="shared" si="169"/>
        <v>#N/A</v>
      </c>
      <c r="AW151" s="274" t="e">
        <f t="shared" si="136"/>
        <v>#N/A</v>
      </c>
      <c r="AX151" s="232">
        <f t="shared" si="170"/>
        <v>7</v>
      </c>
      <c r="AY151" s="273" t="e">
        <f t="shared" si="137"/>
        <v>#N/A</v>
      </c>
      <c r="AZ151" s="232" t="e">
        <f t="shared" si="171"/>
        <v>#N/A</v>
      </c>
      <c r="BA151" s="232" t="e">
        <f t="shared" si="138"/>
        <v>#N/A</v>
      </c>
      <c r="BB151" s="275">
        <f t="shared" si="172"/>
        <v>7</v>
      </c>
      <c r="BC151" s="276" t="e">
        <f t="shared" si="173"/>
        <v>#N/A</v>
      </c>
      <c r="BD151" s="277" t="e">
        <f t="shared" si="174"/>
        <v>#N/A</v>
      </c>
      <c r="BE151" s="250" t="e">
        <f t="shared" si="139"/>
        <v>#N/A</v>
      </c>
      <c r="BF151" s="247">
        <f t="shared" si="175"/>
        <v>7</v>
      </c>
      <c r="BG151" s="276" t="e">
        <f t="shared" si="176"/>
        <v>#N/A</v>
      </c>
      <c r="BH151" s="277" t="e">
        <f t="shared" si="177"/>
        <v>#N/A</v>
      </c>
      <c r="BI151" s="250" t="e">
        <f t="shared" si="140"/>
        <v>#N/A</v>
      </c>
      <c r="BJ151" s="251">
        <f t="shared" si="178"/>
        <v>7</v>
      </c>
      <c r="BK151" s="278" t="e">
        <f t="shared" si="179"/>
        <v>#N/A</v>
      </c>
      <c r="BL151" s="278" t="e">
        <f t="shared" si="180"/>
        <v>#N/A</v>
      </c>
      <c r="BM151" s="279" t="e">
        <f t="shared" si="141"/>
        <v>#N/A</v>
      </c>
      <c r="BN151" s="280">
        <f t="shared" si="181"/>
        <v>7</v>
      </c>
      <c r="BO151" s="281" t="e">
        <f t="shared" si="182"/>
        <v>#N/A</v>
      </c>
      <c r="BP151" s="281" t="e">
        <f t="shared" si="183"/>
        <v>#N/A</v>
      </c>
      <c r="BQ151" s="279" t="e">
        <f t="shared" si="142"/>
        <v>#N/A</v>
      </c>
      <c r="BR151" s="282" t="e">
        <f t="shared" si="143"/>
        <v>#N/A</v>
      </c>
      <c r="BS151" s="217" t="e">
        <f>VLOOKUP($B151,SDR24_STOCK_BY_LA!$A$2:$C$11878,3,0)</f>
        <v>#N/A</v>
      </c>
      <c r="BT151" s="217" t="str">
        <f t="shared" si="184"/>
        <v/>
      </c>
    </row>
    <row r="152" spans="1:72" x14ac:dyDescent="0.2">
      <c r="A152" s="217" t="str">
        <f t="shared" si="185"/>
        <v/>
      </c>
      <c r="B152" s="217" t="str">
        <f t="shared" si="186"/>
        <v/>
      </c>
      <c r="C152" s="283" t="str">
        <f t="shared" si="144"/>
        <v/>
      </c>
      <c r="D152" s="256" t="str">
        <f>IF(B152="","",IF(totals!$Q$3=0,IFERROR(IF(AD152=2,"0",AE152),""),"-"))</f>
        <v/>
      </c>
      <c r="E152" s="258" t="str">
        <f t="shared" si="145"/>
        <v/>
      </c>
      <c r="F152" s="259" t="str">
        <f t="shared" si="146"/>
        <v/>
      </c>
      <c r="G152" s="259" t="str">
        <f t="shared" si="147"/>
        <v/>
      </c>
      <c r="H152" s="256" t="str">
        <f t="shared" si="125"/>
        <v/>
      </c>
      <c r="I152" s="259" t="str">
        <f t="shared" si="148"/>
        <v/>
      </c>
      <c r="J152" s="259" t="str">
        <f t="shared" si="149"/>
        <v/>
      </c>
      <c r="K152" s="256" t="str">
        <f t="shared" si="126"/>
        <v/>
      </c>
      <c r="L152" s="259" t="str">
        <f t="shared" si="127"/>
        <v/>
      </c>
      <c r="M152" s="259" t="str">
        <f t="shared" si="150"/>
        <v/>
      </c>
      <c r="N152" s="256" t="str">
        <f t="shared" si="151"/>
        <v/>
      </c>
      <c r="O152" s="259" t="str">
        <f t="shared" si="152"/>
        <v/>
      </c>
      <c r="P152" s="259" t="str">
        <f t="shared" si="153"/>
        <v/>
      </c>
      <c r="Q152" s="256" t="str">
        <f t="shared" si="154"/>
        <v/>
      </c>
      <c r="R152" s="259" t="str">
        <f t="shared" si="155"/>
        <v/>
      </c>
      <c r="S152" s="259" t="str">
        <f t="shared" si="156"/>
        <v/>
      </c>
      <c r="T152" s="256" t="str">
        <f t="shared" si="157"/>
        <v/>
      </c>
      <c r="U152" s="217"/>
      <c r="V152" s="217"/>
      <c r="AB152" s="217" t="e">
        <f>VLOOKUP($B$6,Lookup_Source,145,0)</f>
        <v>#N/A</v>
      </c>
      <c r="AC152" s="241" t="str">
        <f t="shared" si="158"/>
        <v/>
      </c>
      <c r="AD152" s="242">
        <f t="shared" si="159"/>
        <v>7</v>
      </c>
      <c r="AE152" s="261" t="e">
        <f t="shared" si="128"/>
        <v>#N/A</v>
      </c>
      <c r="AF152" s="264" t="e">
        <f t="shared" si="160"/>
        <v>#N/A</v>
      </c>
      <c r="AG152" s="264" t="e">
        <f t="shared" si="161"/>
        <v>#N/A</v>
      </c>
      <c r="AH152" s="263" t="e">
        <f t="shared" si="129"/>
        <v>#N/A</v>
      </c>
      <c r="AI152" s="226">
        <f t="shared" si="162"/>
        <v>7</v>
      </c>
      <c r="AJ152" s="264" t="e">
        <f t="shared" si="130"/>
        <v>#N/A</v>
      </c>
      <c r="AK152" s="264" t="e">
        <f t="shared" si="163"/>
        <v>#N/A</v>
      </c>
      <c r="AL152" s="226" t="e">
        <f t="shared" si="131"/>
        <v>#N/A</v>
      </c>
      <c r="AM152" s="265" t="e">
        <f t="shared" si="164"/>
        <v>#N/A</v>
      </c>
      <c r="AN152" s="266" t="e">
        <f t="shared" si="132"/>
        <v>#N/A</v>
      </c>
      <c r="AO152" s="227" t="e">
        <f t="shared" si="133"/>
        <v>#N/A</v>
      </c>
      <c r="AP152" s="284">
        <f t="shared" si="165"/>
        <v>7</v>
      </c>
      <c r="AQ152" s="285" t="e">
        <f t="shared" si="134"/>
        <v>#N/A</v>
      </c>
      <c r="AR152" s="266" t="e">
        <f t="shared" si="166"/>
        <v>#N/A</v>
      </c>
      <c r="AS152" s="270" t="e">
        <f t="shared" si="135"/>
        <v>#N/A</v>
      </c>
      <c r="AT152" s="271">
        <f t="shared" si="167"/>
        <v>7</v>
      </c>
      <c r="AU152" s="272" t="e">
        <f t="shared" si="168"/>
        <v>#N/A</v>
      </c>
      <c r="AV152" s="273" t="e">
        <f t="shared" si="169"/>
        <v>#N/A</v>
      </c>
      <c r="AW152" s="274" t="e">
        <f t="shared" si="136"/>
        <v>#N/A</v>
      </c>
      <c r="AX152" s="232">
        <f t="shared" si="170"/>
        <v>7</v>
      </c>
      <c r="AY152" s="273" t="e">
        <f t="shared" si="137"/>
        <v>#N/A</v>
      </c>
      <c r="AZ152" s="232" t="e">
        <f t="shared" si="171"/>
        <v>#N/A</v>
      </c>
      <c r="BA152" s="232" t="e">
        <f t="shared" si="138"/>
        <v>#N/A</v>
      </c>
      <c r="BB152" s="275">
        <f t="shared" si="172"/>
        <v>7</v>
      </c>
      <c r="BC152" s="276" t="e">
        <f t="shared" si="173"/>
        <v>#N/A</v>
      </c>
      <c r="BD152" s="277" t="e">
        <f t="shared" si="174"/>
        <v>#N/A</v>
      </c>
      <c r="BE152" s="250" t="e">
        <f t="shared" si="139"/>
        <v>#N/A</v>
      </c>
      <c r="BF152" s="247">
        <f t="shared" si="175"/>
        <v>7</v>
      </c>
      <c r="BG152" s="276" t="e">
        <f t="shared" si="176"/>
        <v>#N/A</v>
      </c>
      <c r="BH152" s="277" t="e">
        <f t="shared" si="177"/>
        <v>#N/A</v>
      </c>
      <c r="BI152" s="250" t="e">
        <f t="shared" si="140"/>
        <v>#N/A</v>
      </c>
      <c r="BJ152" s="251">
        <f t="shared" si="178"/>
        <v>7</v>
      </c>
      <c r="BK152" s="278" t="e">
        <f t="shared" si="179"/>
        <v>#N/A</v>
      </c>
      <c r="BL152" s="278" t="e">
        <f t="shared" si="180"/>
        <v>#N/A</v>
      </c>
      <c r="BM152" s="279" t="e">
        <f t="shared" si="141"/>
        <v>#N/A</v>
      </c>
      <c r="BN152" s="280">
        <f t="shared" si="181"/>
        <v>7</v>
      </c>
      <c r="BO152" s="281" t="e">
        <f t="shared" si="182"/>
        <v>#N/A</v>
      </c>
      <c r="BP152" s="281" t="e">
        <f t="shared" si="183"/>
        <v>#N/A</v>
      </c>
      <c r="BQ152" s="279" t="e">
        <f t="shared" si="142"/>
        <v>#N/A</v>
      </c>
      <c r="BR152" s="282" t="e">
        <f t="shared" si="143"/>
        <v>#N/A</v>
      </c>
      <c r="BS152" s="217" t="e">
        <f>VLOOKUP($B152,SDR24_STOCK_BY_LA!$A$2:$C$11878,3,0)</f>
        <v>#N/A</v>
      </c>
      <c r="BT152" s="217" t="str">
        <f t="shared" si="184"/>
        <v/>
      </c>
    </row>
    <row r="153" spans="1:72" x14ac:dyDescent="0.2">
      <c r="A153" s="256" t="str">
        <f t="shared" si="185"/>
        <v/>
      </c>
      <c r="B153" s="217" t="str">
        <f t="shared" si="186"/>
        <v/>
      </c>
      <c r="C153" s="257" t="str">
        <f t="shared" si="144"/>
        <v/>
      </c>
      <c r="D153" s="256" t="str">
        <f>IF(B153="","",IF(totals!$Q$3=0,IFERROR(IF(AD153=2,"0",AE153),""),"-"))</f>
        <v/>
      </c>
      <c r="E153" s="258" t="str">
        <f t="shared" si="145"/>
        <v/>
      </c>
      <c r="F153" s="259" t="str">
        <f t="shared" si="146"/>
        <v/>
      </c>
      <c r="G153" s="259" t="str">
        <f t="shared" si="147"/>
        <v/>
      </c>
      <c r="H153" s="256" t="str">
        <f t="shared" si="125"/>
        <v/>
      </c>
      <c r="I153" s="259" t="str">
        <f t="shared" si="148"/>
        <v/>
      </c>
      <c r="J153" s="259" t="str">
        <f t="shared" si="149"/>
        <v/>
      </c>
      <c r="K153" s="256" t="str">
        <f t="shared" si="126"/>
        <v/>
      </c>
      <c r="L153" s="259" t="str">
        <f t="shared" si="127"/>
        <v/>
      </c>
      <c r="M153" s="259" t="str">
        <f t="shared" si="150"/>
        <v/>
      </c>
      <c r="N153" s="256" t="str">
        <f t="shared" si="151"/>
        <v/>
      </c>
      <c r="O153" s="259" t="str">
        <f t="shared" si="152"/>
        <v/>
      </c>
      <c r="P153" s="259" t="str">
        <f t="shared" si="153"/>
        <v/>
      </c>
      <c r="Q153" s="256" t="str">
        <f t="shared" si="154"/>
        <v/>
      </c>
      <c r="R153" s="259" t="str">
        <f t="shared" si="155"/>
        <v/>
      </c>
      <c r="S153" s="259" t="str">
        <f t="shared" si="156"/>
        <v/>
      </c>
      <c r="T153" s="256" t="str">
        <f t="shared" si="157"/>
        <v/>
      </c>
      <c r="U153" s="217"/>
      <c r="V153" s="217"/>
      <c r="AB153" s="257" t="e">
        <f>VLOOKUP($B$6,Lookup_Source,146,0)</f>
        <v>#N/A</v>
      </c>
      <c r="AC153" s="241" t="str">
        <f t="shared" si="158"/>
        <v/>
      </c>
      <c r="AD153" s="242">
        <f t="shared" si="159"/>
        <v>7</v>
      </c>
      <c r="AE153" s="261" t="e">
        <f t="shared" si="128"/>
        <v>#N/A</v>
      </c>
      <c r="AF153" s="264" t="e">
        <f t="shared" si="160"/>
        <v>#N/A</v>
      </c>
      <c r="AG153" s="264" t="e">
        <f t="shared" si="161"/>
        <v>#N/A</v>
      </c>
      <c r="AH153" s="263" t="e">
        <f t="shared" si="129"/>
        <v>#N/A</v>
      </c>
      <c r="AI153" s="226">
        <f t="shared" si="162"/>
        <v>7</v>
      </c>
      <c r="AJ153" s="264" t="e">
        <f t="shared" si="130"/>
        <v>#N/A</v>
      </c>
      <c r="AK153" s="264" t="e">
        <f t="shared" si="163"/>
        <v>#N/A</v>
      </c>
      <c r="AL153" s="226" t="e">
        <f t="shared" si="131"/>
        <v>#N/A</v>
      </c>
      <c r="AM153" s="265" t="e">
        <f t="shared" si="164"/>
        <v>#N/A</v>
      </c>
      <c r="AN153" s="266" t="e">
        <f t="shared" si="132"/>
        <v>#N/A</v>
      </c>
      <c r="AO153" s="227" t="e">
        <f t="shared" si="133"/>
        <v>#N/A</v>
      </c>
      <c r="AP153" s="284">
        <f t="shared" si="165"/>
        <v>7</v>
      </c>
      <c r="AQ153" s="285" t="e">
        <f t="shared" si="134"/>
        <v>#N/A</v>
      </c>
      <c r="AR153" s="266" t="e">
        <f t="shared" si="166"/>
        <v>#N/A</v>
      </c>
      <c r="AS153" s="270" t="e">
        <f t="shared" si="135"/>
        <v>#N/A</v>
      </c>
      <c r="AT153" s="271">
        <f t="shared" si="167"/>
        <v>7</v>
      </c>
      <c r="AU153" s="272" t="e">
        <f t="shared" si="168"/>
        <v>#N/A</v>
      </c>
      <c r="AV153" s="273" t="e">
        <f t="shared" si="169"/>
        <v>#N/A</v>
      </c>
      <c r="AW153" s="274" t="e">
        <f t="shared" si="136"/>
        <v>#N/A</v>
      </c>
      <c r="AX153" s="232">
        <f t="shared" si="170"/>
        <v>7</v>
      </c>
      <c r="AY153" s="273" t="e">
        <f t="shared" si="137"/>
        <v>#N/A</v>
      </c>
      <c r="AZ153" s="232" t="e">
        <f t="shared" si="171"/>
        <v>#N/A</v>
      </c>
      <c r="BA153" s="232" t="e">
        <f t="shared" si="138"/>
        <v>#N/A</v>
      </c>
      <c r="BB153" s="275">
        <f t="shared" si="172"/>
        <v>7</v>
      </c>
      <c r="BC153" s="276" t="e">
        <f t="shared" si="173"/>
        <v>#N/A</v>
      </c>
      <c r="BD153" s="277" t="e">
        <f t="shared" si="174"/>
        <v>#N/A</v>
      </c>
      <c r="BE153" s="250" t="e">
        <f t="shared" si="139"/>
        <v>#N/A</v>
      </c>
      <c r="BF153" s="247">
        <f t="shared" si="175"/>
        <v>7</v>
      </c>
      <c r="BG153" s="276" t="e">
        <f t="shared" si="176"/>
        <v>#N/A</v>
      </c>
      <c r="BH153" s="277" t="e">
        <f t="shared" si="177"/>
        <v>#N/A</v>
      </c>
      <c r="BI153" s="250" t="e">
        <f t="shared" si="140"/>
        <v>#N/A</v>
      </c>
      <c r="BJ153" s="251">
        <f t="shared" si="178"/>
        <v>7</v>
      </c>
      <c r="BK153" s="278" t="e">
        <f t="shared" si="179"/>
        <v>#N/A</v>
      </c>
      <c r="BL153" s="278" t="e">
        <f t="shared" si="180"/>
        <v>#N/A</v>
      </c>
      <c r="BM153" s="279" t="e">
        <f t="shared" si="141"/>
        <v>#N/A</v>
      </c>
      <c r="BN153" s="280">
        <f t="shared" si="181"/>
        <v>7</v>
      </c>
      <c r="BO153" s="281" t="e">
        <f t="shared" si="182"/>
        <v>#N/A</v>
      </c>
      <c r="BP153" s="281" t="e">
        <f t="shared" si="183"/>
        <v>#N/A</v>
      </c>
      <c r="BQ153" s="279" t="e">
        <f t="shared" si="142"/>
        <v>#N/A</v>
      </c>
      <c r="BR153" s="282" t="e">
        <f t="shared" si="143"/>
        <v>#N/A</v>
      </c>
      <c r="BS153" s="217" t="e">
        <f>VLOOKUP($B153,SDR24_STOCK_BY_LA!$A$2:$C$11878,3,0)</f>
        <v>#N/A</v>
      </c>
      <c r="BT153" s="217" t="str">
        <f t="shared" si="184"/>
        <v/>
      </c>
    </row>
    <row r="154" spans="1:72" x14ac:dyDescent="0.2">
      <c r="A154" s="217" t="str">
        <f t="shared" si="185"/>
        <v/>
      </c>
      <c r="B154" s="217" t="str">
        <f t="shared" si="186"/>
        <v/>
      </c>
      <c r="C154" s="283" t="str">
        <f t="shared" si="144"/>
        <v/>
      </c>
      <c r="D154" s="256" t="str">
        <f>IF(B154="","",IF(totals!$Q$3=0,IFERROR(IF(AD154=2,"0",AE154),""),"-"))</f>
        <v/>
      </c>
      <c r="E154" s="258" t="str">
        <f t="shared" si="145"/>
        <v/>
      </c>
      <c r="F154" s="259" t="str">
        <f t="shared" si="146"/>
        <v/>
      </c>
      <c r="G154" s="259" t="str">
        <f t="shared" si="147"/>
        <v/>
      </c>
      <c r="H154" s="256" t="str">
        <f t="shared" si="125"/>
        <v/>
      </c>
      <c r="I154" s="259" t="str">
        <f t="shared" si="148"/>
        <v/>
      </c>
      <c r="J154" s="259" t="str">
        <f t="shared" si="149"/>
        <v/>
      </c>
      <c r="K154" s="256" t="str">
        <f t="shared" si="126"/>
        <v/>
      </c>
      <c r="L154" s="259" t="str">
        <f t="shared" si="127"/>
        <v/>
      </c>
      <c r="M154" s="259" t="str">
        <f t="shared" si="150"/>
        <v/>
      </c>
      <c r="N154" s="256" t="str">
        <f t="shared" si="151"/>
        <v/>
      </c>
      <c r="O154" s="259" t="str">
        <f t="shared" si="152"/>
        <v/>
      </c>
      <c r="P154" s="259" t="str">
        <f t="shared" si="153"/>
        <v/>
      </c>
      <c r="Q154" s="256" t="str">
        <f t="shared" si="154"/>
        <v/>
      </c>
      <c r="R154" s="259" t="str">
        <f t="shared" si="155"/>
        <v/>
      </c>
      <c r="S154" s="259" t="str">
        <f t="shared" si="156"/>
        <v/>
      </c>
      <c r="T154" s="256" t="str">
        <f t="shared" si="157"/>
        <v/>
      </c>
      <c r="U154" s="217"/>
      <c r="V154" s="217"/>
      <c r="AB154" s="217" t="e">
        <f>VLOOKUP($B$6,Lookup_Source,147,0)</f>
        <v>#N/A</v>
      </c>
      <c r="AC154" s="241" t="str">
        <f t="shared" si="158"/>
        <v/>
      </c>
      <c r="AD154" s="242">
        <f t="shared" si="159"/>
        <v>7</v>
      </c>
      <c r="AE154" s="261" t="e">
        <f t="shared" si="128"/>
        <v>#N/A</v>
      </c>
      <c r="AF154" s="264" t="e">
        <f t="shared" si="160"/>
        <v>#N/A</v>
      </c>
      <c r="AG154" s="264" t="e">
        <f t="shared" si="161"/>
        <v>#N/A</v>
      </c>
      <c r="AH154" s="263" t="e">
        <f t="shared" si="129"/>
        <v>#N/A</v>
      </c>
      <c r="AI154" s="226">
        <f t="shared" si="162"/>
        <v>7</v>
      </c>
      <c r="AJ154" s="264" t="e">
        <f t="shared" si="130"/>
        <v>#N/A</v>
      </c>
      <c r="AK154" s="264" t="e">
        <f t="shared" si="163"/>
        <v>#N/A</v>
      </c>
      <c r="AL154" s="226" t="e">
        <f t="shared" si="131"/>
        <v>#N/A</v>
      </c>
      <c r="AM154" s="265" t="e">
        <f t="shared" si="164"/>
        <v>#N/A</v>
      </c>
      <c r="AN154" s="266" t="e">
        <f t="shared" si="132"/>
        <v>#N/A</v>
      </c>
      <c r="AO154" s="227" t="e">
        <f t="shared" si="133"/>
        <v>#N/A</v>
      </c>
      <c r="AP154" s="284">
        <f t="shared" si="165"/>
        <v>7</v>
      </c>
      <c r="AQ154" s="285" t="e">
        <f t="shared" si="134"/>
        <v>#N/A</v>
      </c>
      <c r="AR154" s="266" t="e">
        <f t="shared" si="166"/>
        <v>#N/A</v>
      </c>
      <c r="AS154" s="270" t="e">
        <f t="shared" si="135"/>
        <v>#N/A</v>
      </c>
      <c r="AT154" s="271">
        <f t="shared" si="167"/>
        <v>7</v>
      </c>
      <c r="AU154" s="272" t="e">
        <f t="shared" si="168"/>
        <v>#N/A</v>
      </c>
      <c r="AV154" s="273" t="e">
        <f t="shared" si="169"/>
        <v>#N/A</v>
      </c>
      <c r="AW154" s="274" t="e">
        <f t="shared" si="136"/>
        <v>#N/A</v>
      </c>
      <c r="AX154" s="232">
        <f t="shared" si="170"/>
        <v>7</v>
      </c>
      <c r="AY154" s="273" t="e">
        <f t="shared" si="137"/>
        <v>#N/A</v>
      </c>
      <c r="AZ154" s="232" t="e">
        <f t="shared" si="171"/>
        <v>#N/A</v>
      </c>
      <c r="BA154" s="232" t="e">
        <f t="shared" si="138"/>
        <v>#N/A</v>
      </c>
      <c r="BB154" s="275">
        <f t="shared" si="172"/>
        <v>7</v>
      </c>
      <c r="BC154" s="276" t="e">
        <f t="shared" si="173"/>
        <v>#N/A</v>
      </c>
      <c r="BD154" s="277" t="e">
        <f t="shared" si="174"/>
        <v>#N/A</v>
      </c>
      <c r="BE154" s="250" t="e">
        <f t="shared" si="139"/>
        <v>#N/A</v>
      </c>
      <c r="BF154" s="247">
        <f t="shared" si="175"/>
        <v>7</v>
      </c>
      <c r="BG154" s="276" t="e">
        <f t="shared" si="176"/>
        <v>#N/A</v>
      </c>
      <c r="BH154" s="277" t="e">
        <f t="shared" si="177"/>
        <v>#N/A</v>
      </c>
      <c r="BI154" s="250" t="e">
        <f t="shared" si="140"/>
        <v>#N/A</v>
      </c>
      <c r="BJ154" s="251">
        <f t="shared" si="178"/>
        <v>7</v>
      </c>
      <c r="BK154" s="278" t="e">
        <f t="shared" si="179"/>
        <v>#N/A</v>
      </c>
      <c r="BL154" s="278" t="e">
        <f t="shared" si="180"/>
        <v>#N/A</v>
      </c>
      <c r="BM154" s="279" t="e">
        <f t="shared" si="141"/>
        <v>#N/A</v>
      </c>
      <c r="BN154" s="280">
        <f t="shared" si="181"/>
        <v>7</v>
      </c>
      <c r="BO154" s="281" t="e">
        <f t="shared" si="182"/>
        <v>#N/A</v>
      </c>
      <c r="BP154" s="281" t="e">
        <f t="shared" si="183"/>
        <v>#N/A</v>
      </c>
      <c r="BQ154" s="279" t="e">
        <f t="shared" si="142"/>
        <v>#N/A</v>
      </c>
      <c r="BR154" s="282" t="e">
        <f t="shared" si="143"/>
        <v>#N/A</v>
      </c>
      <c r="BS154" s="217" t="e">
        <f>VLOOKUP($B154,SDR24_STOCK_BY_LA!$A$2:$C$11878,3,0)</f>
        <v>#N/A</v>
      </c>
      <c r="BT154" s="217" t="str">
        <f t="shared" si="184"/>
        <v/>
      </c>
    </row>
    <row r="155" spans="1:72" x14ac:dyDescent="0.2">
      <c r="A155" s="256" t="str">
        <f t="shared" si="185"/>
        <v/>
      </c>
      <c r="B155" s="217" t="str">
        <f t="shared" si="186"/>
        <v/>
      </c>
      <c r="C155" s="257" t="str">
        <f t="shared" si="144"/>
        <v/>
      </c>
      <c r="D155" s="256" t="str">
        <f>IF(B155="","",IF(totals!$Q$3=0,IFERROR(IF(AD155=2,"0",AE155),""),"-"))</f>
        <v/>
      </c>
      <c r="E155" s="258" t="str">
        <f t="shared" si="145"/>
        <v/>
      </c>
      <c r="F155" s="259" t="str">
        <f t="shared" si="146"/>
        <v/>
      </c>
      <c r="G155" s="259" t="str">
        <f t="shared" si="147"/>
        <v/>
      </c>
      <c r="H155" s="256" t="str">
        <f t="shared" si="125"/>
        <v/>
      </c>
      <c r="I155" s="259" t="str">
        <f t="shared" si="148"/>
        <v/>
      </c>
      <c r="J155" s="259" t="str">
        <f t="shared" si="149"/>
        <v/>
      </c>
      <c r="K155" s="256" t="str">
        <f t="shared" si="126"/>
        <v/>
      </c>
      <c r="L155" s="259" t="str">
        <f t="shared" si="127"/>
        <v/>
      </c>
      <c r="M155" s="259" t="str">
        <f t="shared" si="150"/>
        <v/>
      </c>
      <c r="N155" s="256" t="str">
        <f t="shared" si="151"/>
        <v/>
      </c>
      <c r="O155" s="259" t="str">
        <f t="shared" si="152"/>
        <v/>
      </c>
      <c r="P155" s="259" t="str">
        <f t="shared" si="153"/>
        <v/>
      </c>
      <c r="Q155" s="256" t="str">
        <f t="shared" si="154"/>
        <v/>
      </c>
      <c r="R155" s="259" t="str">
        <f t="shared" si="155"/>
        <v/>
      </c>
      <c r="S155" s="259" t="str">
        <f t="shared" si="156"/>
        <v/>
      </c>
      <c r="T155" s="256" t="str">
        <f t="shared" si="157"/>
        <v/>
      </c>
      <c r="U155" s="217"/>
      <c r="V155" s="217"/>
      <c r="AB155" s="257" t="e">
        <f>VLOOKUP($B$6,Lookup_Source,148,0)</f>
        <v>#N/A</v>
      </c>
      <c r="AC155" s="241" t="str">
        <f t="shared" si="158"/>
        <v/>
      </c>
      <c r="AD155" s="242">
        <f t="shared" si="159"/>
        <v>7</v>
      </c>
      <c r="AE155" s="261" t="e">
        <f t="shared" si="128"/>
        <v>#N/A</v>
      </c>
      <c r="AF155" s="264" t="e">
        <f t="shared" si="160"/>
        <v>#N/A</v>
      </c>
      <c r="AG155" s="264" t="e">
        <f t="shared" si="161"/>
        <v>#N/A</v>
      </c>
      <c r="AH155" s="263" t="e">
        <f t="shared" si="129"/>
        <v>#N/A</v>
      </c>
      <c r="AI155" s="226">
        <f t="shared" si="162"/>
        <v>7</v>
      </c>
      <c r="AJ155" s="264" t="e">
        <f t="shared" si="130"/>
        <v>#N/A</v>
      </c>
      <c r="AK155" s="264" t="e">
        <f t="shared" si="163"/>
        <v>#N/A</v>
      </c>
      <c r="AL155" s="226" t="e">
        <f t="shared" si="131"/>
        <v>#N/A</v>
      </c>
      <c r="AM155" s="265" t="e">
        <f t="shared" si="164"/>
        <v>#N/A</v>
      </c>
      <c r="AN155" s="266" t="e">
        <f t="shared" si="132"/>
        <v>#N/A</v>
      </c>
      <c r="AO155" s="227" t="e">
        <f t="shared" si="133"/>
        <v>#N/A</v>
      </c>
      <c r="AP155" s="284">
        <f t="shared" si="165"/>
        <v>7</v>
      </c>
      <c r="AQ155" s="285" t="e">
        <f t="shared" si="134"/>
        <v>#N/A</v>
      </c>
      <c r="AR155" s="266" t="e">
        <f t="shared" si="166"/>
        <v>#N/A</v>
      </c>
      <c r="AS155" s="270" t="e">
        <f t="shared" si="135"/>
        <v>#N/A</v>
      </c>
      <c r="AT155" s="271">
        <f t="shared" si="167"/>
        <v>7</v>
      </c>
      <c r="AU155" s="272" t="e">
        <f t="shared" si="168"/>
        <v>#N/A</v>
      </c>
      <c r="AV155" s="273" t="e">
        <f t="shared" si="169"/>
        <v>#N/A</v>
      </c>
      <c r="AW155" s="274" t="e">
        <f t="shared" si="136"/>
        <v>#N/A</v>
      </c>
      <c r="AX155" s="232">
        <f t="shared" si="170"/>
        <v>7</v>
      </c>
      <c r="AY155" s="273" t="e">
        <f t="shared" si="137"/>
        <v>#N/A</v>
      </c>
      <c r="AZ155" s="232" t="e">
        <f t="shared" si="171"/>
        <v>#N/A</v>
      </c>
      <c r="BA155" s="232" t="e">
        <f t="shared" si="138"/>
        <v>#N/A</v>
      </c>
      <c r="BB155" s="275">
        <f t="shared" si="172"/>
        <v>7</v>
      </c>
      <c r="BC155" s="276" t="e">
        <f t="shared" si="173"/>
        <v>#N/A</v>
      </c>
      <c r="BD155" s="277" t="e">
        <f t="shared" si="174"/>
        <v>#N/A</v>
      </c>
      <c r="BE155" s="250" t="e">
        <f t="shared" si="139"/>
        <v>#N/A</v>
      </c>
      <c r="BF155" s="247">
        <f t="shared" si="175"/>
        <v>7</v>
      </c>
      <c r="BG155" s="276" t="e">
        <f t="shared" si="176"/>
        <v>#N/A</v>
      </c>
      <c r="BH155" s="277" t="e">
        <f t="shared" si="177"/>
        <v>#N/A</v>
      </c>
      <c r="BI155" s="250" t="e">
        <f t="shared" si="140"/>
        <v>#N/A</v>
      </c>
      <c r="BJ155" s="251">
        <f t="shared" si="178"/>
        <v>7</v>
      </c>
      <c r="BK155" s="278" t="e">
        <f t="shared" si="179"/>
        <v>#N/A</v>
      </c>
      <c r="BL155" s="278" t="e">
        <f t="shared" si="180"/>
        <v>#N/A</v>
      </c>
      <c r="BM155" s="279" t="e">
        <f t="shared" si="141"/>
        <v>#N/A</v>
      </c>
      <c r="BN155" s="280">
        <f t="shared" si="181"/>
        <v>7</v>
      </c>
      <c r="BO155" s="281" t="e">
        <f t="shared" si="182"/>
        <v>#N/A</v>
      </c>
      <c r="BP155" s="281" t="e">
        <f t="shared" si="183"/>
        <v>#N/A</v>
      </c>
      <c r="BQ155" s="279" t="e">
        <f t="shared" si="142"/>
        <v>#N/A</v>
      </c>
      <c r="BR155" s="282" t="e">
        <f t="shared" si="143"/>
        <v>#N/A</v>
      </c>
      <c r="BS155" s="217" t="e">
        <f>VLOOKUP($B155,SDR24_STOCK_BY_LA!$A$2:$C$11878,3,0)</f>
        <v>#N/A</v>
      </c>
      <c r="BT155" s="217" t="str">
        <f t="shared" si="184"/>
        <v/>
      </c>
    </row>
    <row r="156" spans="1:72" x14ac:dyDescent="0.2">
      <c r="A156" s="217" t="str">
        <f t="shared" si="185"/>
        <v/>
      </c>
      <c r="B156" s="217" t="str">
        <f t="shared" si="186"/>
        <v/>
      </c>
      <c r="C156" s="283" t="str">
        <f t="shared" si="144"/>
        <v/>
      </c>
      <c r="D156" s="256" t="str">
        <f>IF(B156="","",IF(totals!$Q$3=0,IFERROR(IF(AD156=2,"0",AE156),""),"-"))</f>
        <v/>
      </c>
      <c r="E156" s="258" t="str">
        <f t="shared" si="145"/>
        <v/>
      </c>
      <c r="F156" s="259" t="str">
        <f t="shared" si="146"/>
        <v/>
      </c>
      <c r="G156" s="259" t="str">
        <f t="shared" si="147"/>
        <v/>
      </c>
      <c r="H156" s="256" t="str">
        <f t="shared" si="125"/>
        <v/>
      </c>
      <c r="I156" s="259" t="str">
        <f t="shared" si="148"/>
        <v/>
      </c>
      <c r="J156" s="259" t="str">
        <f t="shared" si="149"/>
        <v/>
      </c>
      <c r="K156" s="256" t="str">
        <f t="shared" si="126"/>
        <v/>
      </c>
      <c r="L156" s="259" t="str">
        <f t="shared" si="127"/>
        <v/>
      </c>
      <c r="M156" s="259" t="str">
        <f t="shared" si="150"/>
        <v/>
      </c>
      <c r="N156" s="256" t="str">
        <f t="shared" si="151"/>
        <v/>
      </c>
      <c r="O156" s="259" t="str">
        <f t="shared" si="152"/>
        <v/>
      </c>
      <c r="P156" s="259" t="str">
        <f t="shared" si="153"/>
        <v/>
      </c>
      <c r="Q156" s="256" t="str">
        <f t="shared" si="154"/>
        <v/>
      </c>
      <c r="R156" s="259" t="str">
        <f t="shared" si="155"/>
        <v/>
      </c>
      <c r="S156" s="259" t="str">
        <f t="shared" si="156"/>
        <v/>
      </c>
      <c r="T156" s="256" t="str">
        <f t="shared" si="157"/>
        <v/>
      </c>
      <c r="U156" s="217"/>
      <c r="V156" s="217"/>
      <c r="AB156" s="217" t="e">
        <f>VLOOKUP($B$6,Lookup_Source,149,0)</f>
        <v>#N/A</v>
      </c>
      <c r="AC156" s="241" t="str">
        <f t="shared" si="158"/>
        <v/>
      </c>
      <c r="AD156" s="242">
        <f t="shared" si="159"/>
        <v>7</v>
      </c>
      <c r="AE156" s="261" t="e">
        <f t="shared" si="128"/>
        <v>#N/A</v>
      </c>
      <c r="AF156" s="264" t="e">
        <f t="shared" si="160"/>
        <v>#N/A</v>
      </c>
      <c r="AG156" s="264" t="e">
        <f t="shared" si="161"/>
        <v>#N/A</v>
      </c>
      <c r="AH156" s="263" t="e">
        <f t="shared" si="129"/>
        <v>#N/A</v>
      </c>
      <c r="AI156" s="226">
        <f t="shared" si="162"/>
        <v>7</v>
      </c>
      <c r="AJ156" s="264" t="e">
        <f t="shared" si="130"/>
        <v>#N/A</v>
      </c>
      <c r="AK156" s="264" t="e">
        <f t="shared" si="163"/>
        <v>#N/A</v>
      </c>
      <c r="AL156" s="226" t="e">
        <f t="shared" si="131"/>
        <v>#N/A</v>
      </c>
      <c r="AM156" s="265" t="e">
        <f t="shared" si="164"/>
        <v>#N/A</v>
      </c>
      <c r="AN156" s="266" t="e">
        <f t="shared" si="132"/>
        <v>#N/A</v>
      </c>
      <c r="AO156" s="227" t="e">
        <f t="shared" si="133"/>
        <v>#N/A</v>
      </c>
      <c r="AP156" s="284">
        <f t="shared" si="165"/>
        <v>7</v>
      </c>
      <c r="AQ156" s="285" t="e">
        <f t="shared" si="134"/>
        <v>#N/A</v>
      </c>
      <c r="AR156" s="266" t="e">
        <f t="shared" si="166"/>
        <v>#N/A</v>
      </c>
      <c r="AS156" s="270" t="e">
        <f t="shared" si="135"/>
        <v>#N/A</v>
      </c>
      <c r="AT156" s="271">
        <f t="shared" si="167"/>
        <v>7</v>
      </c>
      <c r="AU156" s="272" t="e">
        <f t="shared" si="168"/>
        <v>#N/A</v>
      </c>
      <c r="AV156" s="273" t="e">
        <f t="shared" si="169"/>
        <v>#N/A</v>
      </c>
      <c r="AW156" s="274" t="e">
        <f t="shared" si="136"/>
        <v>#N/A</v>
      </c>
      <c r="AX156" s="232">
        <f t="shared" si="170"/>
        <v>7</v>
      </c>
      <c r="AY156" s="273" t="e">
        <f t="shared" si="137"/>
        <v>#N/A</v>
      </c>
      <c r="AZ156" s="232" t="e">
        <f t="shared" si="171"/>
        <v>#N/A</v>
      </c>
      <c r="BA156" s="232" t="e">
        <f t="shared" si="138"/>
        <v>#N/A</v>
      </c>
      <c r="BB156" s="275">
        <f t="shared" si="172"/>
        <v>7</v>
      </c>
      <c r="BC156" s="276" t="e">
        <f t="shared" si="173"/>
        <v>#N/A</v>
      </c>
      <c r="BD156" s="277" t="e">
        <f t="shared" si="174"/>
        <v>#N/A</v>
      </c>
      <c r="BE156" s="250" t="e">
        <f t="shared" si="139"/>
        <v>#N/A</v>
      </c>
      <c r="BF156" s="247">
        <f t="shared" si="175"/>
        <v>7</v>
      </c>
      <c r="BG156" s="276" t="e">
        <f t="shared" si="176"/>
        <v>#N/A</v>
      </c>
      <c r="BH156" s="277" t="e">
        <f t="shared" si="177"/>
        <v>#N/A</v>
      </c>
      <c r="BI156" s="250" t="e">
        <f t="shared" si="140"/>
        <v>#N/A</v>
      </c>
      <c r="BJ156" s="251">
        <f t="shared" si="178"/>
        <v>7</v>
      </c>
      <c r="BK156" s="278" t="e">
        <f t="shared" si="179"/>
        <v>#N/A</v>
      </c>
      <c r="BL156" s="278" t="e">
        <f t="shared" si="180"/>
        <v>#N/A</v>
      </c>
      <c r="BM156" s="279" t="e">
        <f t="shared" si="141"/>
        <v>#N/A</v>
      </c>
      <c r="BN156" s="280">
        <f t="shared" si="181"/>
        <v>7</v>
      </c>
      <c r="BO156" s="281" t="e">
        <f t="shared" si="182"/>
        <v>#N/A</v>
      </c>
      <c r="BP156" s="281" t="e">
        <f t="shared" si="183"/>
        <v>#N/A</v>
      </c>
      <c r="BQ156" s="279" t="e">
        <f t="shared" si="142"/>
        <v>#N/A</v>
      </c>
      <c r="BR156" s="282" t="e">
        <f t="shared" si="143"/>
        <v>#N/A</v>
      </c>
      <c r="BS156" s="217" t="e">
        <f>VLOOKUP($B156,SDR24_STOCK_BY_LA!$A$2:$C$11878,3,0)</f>
        <v>#N/A</v>
      </c>
      <c r="BT156" s="217" t="str">
        <f t="shared" si="184"/>
        <v/>
      </c>
    </row>
    <row r="157" spans="1:72" x14ac:dyDescent="0.2">
      <c r="A157" s="256" t="str">
        <f t="shared" si="185"/>
        <v/>
      </c>
      <c r="B157" s="217" t="str">
        <f t="shared" si="186"/>
        <v/>
      </c>
      <c r="C157" s="257" t="str">
        <f t="shared" si="144"/>
        <v/>
      </c>
      <c r="D157" s="256" t="str">
        <f>IF(B157="","",IF(totals!$Q$3=0,IFERROR(IF(AD157=2,"0",AE157),""),"-"))</f>
        <v/>
      </c>
      <c r="E157" s="258" t="str">
        <f t="shared" si="145"/>
        <v/>
      </c>
      <c r="F157" s="259" t="str">
        <f t="shared" si="146"/>
        <v/>
      </c>
      <c r="G157" s="259" t="str">
        <f t="shared" si="147"/>
        <v/>
      </c>
      <c r="H157" s="256" t="str">
        <f t="shared" si="125"/>
        <v/>
      </c>
      <c r="I157" s="259" t="str">
        <f t="shared" si="148"/>
        <v/>
      </c>
      <c r="J157" s="259" t="str">
        <f t="shared" si="149"/>
        <v/>
      </c>
      <c r="K157" s="256" t="str">
        <f t="shared" si="126"/>
        <v/>
      </c>
      <c r="L157" s="259" t="str">
        <f t="shared" si="127"/>
        <v/>
      </c>
      <c r="M157" s="259" t="str">
        <f t="shared" si="150"/>
        <v/>
      </c>
      <c r="N157" s="256" t="str">
        <f t="shared" si="151"/>
        <v/>
      </c>
      <c r="O157" s="259" t="str">
        <f t="shared" si="152"/>
        <v/>
      </c>
      <c r="P157" s="259" t="str">
        <f t="shared" si="153"/>
        <v/>
      </c>
      <c r="Q157" s="256" t="str">
        <f t="shared" si="154"/>
        <v/>
      </c>
      <c r="R157" s="259" t="str">
        <f t="shared" si="155"/>
        <v/>
      </c>
      <c r="S157" s="259" t="str">
        <f t="shared" si="156"/>
        <v/>
      </c>
      <c r="T157" s="256" t="str">
        <f t="shared" si="157"/>
        <v/>
      </c>
      <c r="U157" s="217"/>
      <c r="V157" s="217"/>
      <c r="AB157" s="257" t="e">
        <f>VLOOKUP($B$6,Lookup_Source,150,0)</f>
        <v>#N/A</v>
      </c>
      <c r="AC157" s="241" t="str">
        <f t="shared" si="158"/>
        <v/>
      </c>
      <c r="AD157" s="242">
        <f t="shared" si="159"/>
        <v>7</v>
      </c>
      <c r="AE157" s="261" t="e">
        <f t="shared" si="128"/>
        <v>#N/A</v>
      </c>
      <c r="AF157" s="264" t="e">
        <f t="shared" si="160"/>
        <v>#N/A</v>
      </c>
      <c r="AG157" s="264" t="e">
        <f t="shared" si="161"/>
        <v>#N/A</v>
      </c>
      <c r="AH157" s="263" t="e">
        <f t="shared" si="129"/>
        <v>#N/A</v>
      </c>
      <c r="AI157" s="226">
        <f t="shared" si="162"/>
        <v>7</v>
      </c>
      <c r="AJ157" s="264" t="e">
        <f t="shared" si="130"/>
        <v>#N/A</v>
      </c>
      <c r="AK157" s="264" t="e">
        <f t="shared" si="163"/>
        <v>#N/A</v>
      </c>
      <c r="AL157" s="226" t="e">
        <f t="shared" si="131"/>
        <v>#N/A</v>
      </c>
      <c r="AM157" s="265" t="e">
        <f t="shared" si="164"/>
        <v>#N/A</v>
      </c>
      <c r="AN157" s="266" t="e">
        <f t="shared" si="132"/>
        <v>#N/A</v>
      </c>
      <c r="AO157" s="227" t="e">
        <f t="shared" si="133"/>
        <v>#N/A</v>
      </c>
      <c r="AP157" s="284">
        <f t="shared" si="165"/>
        <v>7</v>
      </c>
      <c r="AQ157" s="285" t="e">
        <f t="shared" si="134"/>
        <v>#N/A</v>
      </c>
      <c r="AR157" s="266" t="e">
        <f t="shared" si="166"/>
        <v>#N/A</v>
      </c>
      <c r="AS157" s="270" t="e">
        <f t="shared" si="135"/>
        <v>#N/A</v>
      </c>
      <c r="AT157" s="271">
        <f t="shared" si="167"/>
        <v>7</v>
      </c>
      <c r="AU157" s="272" t="e">
        <f t="shared" si="168"/>
        <v>#N/A</v>
      </c>
      <c r="AV157" s="273" t="e">
        <f t="shared" si="169"/>
        <v>#N/A</v>
      </c>
      <c r="AW157" s="274" t="e">
        <f t="shared" si="136"/>
        <v>#N/A</v>
      </c>
      <c r="AX157" s="232">
        <f t="shared" si="170"/>
        <v>7</v>
      </c>
      <c r="AY157" s="273" t="e">
        <f t="shared" si="137"/>
        <v>#N/A</v>
      </c>
      <c r="AZ157" s="232" t="e">
        <f t="shared" si="171"/>
        <v>#N/A</v>
      </c>
      <c r="BA157" s="232" t="e">
        <f t="shared" si="138"/>
        <v>#N/A</v>
      </c>
      <c r="BB157" s="275">
        <f t="shared" si="172"/>
        <v>7</v>
      </c>
      <c r="BC157" s="276" t="e">
        <f t="shared" si="173"/>
        <v>#N/A</v>
      </c>
      <c r="BD157" s="277" t="e">
        <f t="shared" si="174"/>
        <v>#N/A</v>
      </c>
      <c r="BE157" s="250" t="e">
        <f t="shared" si="139"/>
        <v>#N/A</v>
      </c>
      <c r="BF157" s="247">
        <f t="shared" si="175"/>
        <v>7</v>
      </c>
      <c r="BG157" s="276" t="e">
        <f t="shared" si="176"/>
        <v>#N/A</v>
      </c>
      <c r="BH157" s="277" t="e">
        <f t="shared" si="177"/>
        <v>#N/A</v>
      </c>
      <c r="BI157" s="250" t="e">
        <f t="shared" si="140"/>
        <v>#N/A</v>
      </c>
      <c r="BJ157" s="251">
        <f t="shared" si="178"/>
        <v>7</v>
      </c>
      <c r="BK157" s="278" t="e">
        <f t="shared" si="179"/>
        <v>#N/A</v>
      </c>
      <c r="BL157" s="278" t="e">
        <f t="shared" si="180"/>
        <v>#N/A</v>
      </c>
      <c r="BM157" s="279" t="e">
        <f t="shared" si="141"/>
        <v>#N/A</v>
      </c>
      <c r="BN157" s="280">
        <f t="shared" si="181"/>
        <v>7</v>
      </c>
      <c r="BO157" s="281" t="e">
        <f t="shared" si="182"/>
        <v>#N/A</v>
      </c>
      <c r="BP157" s="281" t="e">
        <f t="shared" si="183"/>
        <v>#N/A</v>
      </c>
      <c r="BQ157" s="279" t="e">
        <f t="shared" si="142"/>
        <v>#N/A</v>
      </c>
      <c r="BR157" s="282" t="e">
        <f t="shared" si="143"/>
        <v>#N/A</v>
      </c>
      <c r="BS157" s="217" t="e">
        <f>VLOOKUP($B157,SDR24_STOCK_BY_LA!$A$2:$C$11878,3,0)</f>
        <v>#N/A</v>
      </c>
      <c r="BT157" s="217" t="str">
        <f t="shared" si="184"/>
        <v/>
      </c>
    </row>
    <row r="158" spans="1:72" x14ac:dyDescent="0.2">
      <c r="A158" s="217" t="str">
        <f t="shared" si="185"/>
        <v/>
      </c>
      <c r="B158" s="217" t="str">
        <f t="shared" si="186"/>
        <v/>
      </c>
      <c r="C158" s="283" t="str">
        <f t="shared" si="144"/>
        <v/>
      </c>
      <c r="D158" s="256" t="str">
        <f>IF(B158="","",IF(totals!$Q$3=0,IFERROR(IF(AD158=2,"0",AE158),""),"-"))</f>
        <v/>
      </c>
      <c r="E158" s="258" t="str">
        <f t="shared" si="145"/>
        <v/>
      </c>
      <c r="F158" s="259" t="str">
        <f t="shared" si="146"/>
        <v/>
      </c>
      <c r="G158" s="259" t="str">
        <f t="shared" si="147"/>
        <v/>
      </c>
      <c r="H158" s="256" t="str">
        <f t="shared" si="125"/>
        <v/>
      </c>
      <c r="I158" s="259" t="str">
        <f t="shared" si="148"/>
        <v/>
      </c>
      <c r="J158" s="259" t="str">
        <f t="shared" si="149"/>
        <v/>
      </c>
      <c r="K158" s="256" t="str">
        <f t="shared" si="126"/>
        <v/>
      </c>
      <c r="L158" s="259" t="str">
        <f t="shared" si="127"/>
        <v/>
      </c>
      <c r="M158" s="259" t="str">
        <f t="shared" si="150"/>
        <v/>
      </c>
      <c r="N158" s="256" t="str">
        <f t="shared" si="151"/>
        <v/>
      </c>
      <c r="O158" s="259" t="str">
        <f t="shared" si="152"/>
        <v/>
      </c>
      <c r="P158" s="259" t="str">
        <f t="shared" si="153"/>
        <v/>
      </c>
      <c r="Q158" s="256" t="str">
        <f t="shared" si="154"/>
        <v/>
      </c>
      <c r="R158" s="259" t="str">
        <f t="shared" si="155"/>
        <v/>
      </c>
      <c r="S158" s="259" t="str">
        <f t="shared" si="156"/>
        <v/>
      </c>
      <c r="T158" s="256" t="str">
        <f t="shared" si="157"/>
        <v/>
      </c>
      <c r="U158" s="217"/>
      <c r="V158" s="217"/>
      <c r="AB158" s="217" t="e">
        <f>VLOOKUP($B$6,Lookup_Source,151,0)</f>
        <v>#N/A</v>
      </c>
      <c r="AC158" s="241" t="str">
        <f t="shared" si="158"/>
        <v/>
      </c>
      <c r="AD158" s="242">
        <f t="shared" si="159"/>
        <v>7</v>
      </c>
      <c r="AE158" s="261" t="e">
        <f t="shared" si="128"/>
        <v>#N/A</v>
      </c>
      <c r="AF158" s="264" t="e">
        <f t="shared" si="160"/>
        <v>#N/A</v>
      </c>
      <c r="AG158" s="264" t="e">
        <f t="shared" si="161"/>
        <v>#N/A</v>
      </c>
      <c r="AH158" s="263" t="e">
        <f t="shared" si="129"/>
        <v>#N/A</v>
      </c>
      <c r="AI158" s="226">
        <f t="shared" si="162"/>
        <v>7</v>
      </c>
      <c r="AJ158" s="264" t="e">
        <f t="shared" si="130"/>
        <v>#N/A</v>
      </c>
      <c r="AK158" s="264" t="e">
        <f t="shared" si="163"/>
        <v>#N/A</v>
      </c>
      <c r="AL158" s="226" t="e">
        <f t="shared" si="131"/>
        <v>#N/A</v>
      </c>
      <c r="AM158" s="265" t="e">
        <f t="shared" si="164"/>
        <v>#N/A</v>
      </c>
      <c r="AN158" s="266" t="e">
        <f t="shared" si="132"/>
        <v>#N/A</v>
      </c>
      <c r="AO158" s="227" t="e">
        <f t="shared" si="133"/>
        <v>#N/A</v>
      </c>
      <c r="AP158" s="284">
        <f t="shared" si="165"/>
        <v>7</v>
      </c>
      <c r="AQ158" s="285" t="e">
        <f t="shared" si="134"/>
        <v>#N/A</v>
      </c>
      <c r="AR158" s="266" t="e">
        <f t="shared" si="166"/>
        <v>#N/A</v>
      </c>
      <c r="AS158" s="270" t="e">
        <f t="shared" si="135"/>
        <v>#N/A</v>
      </c>
      <c r="AT158" s="271">
        <f t="shared" si="167"/>
        <v>7</v>
      </c>
      <c r="AU158" s="272" t="e">
        <f t="shared" si="168"/>
        <v>#N/A</v>
      </c>
      <c r="AV158" s="273" t="e">
        <f t="shared" si="169"/>
        <v>#N/A</v>
      </c>
      <c r="AW158" s="274" t="e">
        <f t="shared" si="136"/>
        <v>#N/A</v>
      </c>
      <c r="AX158" s="232">
        <f t="shared" si="170"/>
        <v>7</v>
      </c>
      <c r="AY158" s="273" t="e">
        <f t="shared" si="137"/>
        <v>#N/A</v>
      </c>
      <c r="AZ158" s="232" t="e">
        <f t="shared" si="171"/>
        <v>#N/A</v>
      </c>
      <c r="BA158" s="232" t="e">
        <f t="shared" si="138"/>
        <v>#N/A</v>
      </c>
      <c r="BB158" s="275">
        <f t="shared" si="172"/>
        <v>7</v>
      </c>
      <c r="BC158" s="276" t="e">
        <f t="shared" si="173"/>
        <v>#N/A</v>
      </c>
      <c r="BD158" s="277" t="e">
        <f t="shared" si="174"/>
        <v>#N/A</v>
      </c>
      <c r="BE158" s="250" t="e">
        <f t="shared" si="139"/>
        <v>#N/A</v>
      </c>
      <c r="BF158" s="247">
        <f t="shared" si="175"/>
        <v>7</v>
      </c>
      <c r="BG158" s="276" t="e">
        <f t="shared" si="176"/>
        <v>#N/A</v>
      </c>
      <c r="BH158" s="277" t="e">
        <f t="shared" si="177"/>
        <v>#N/A</v>
      </c>
      <c r="BI158" s="250" t="e">
        <f t="shared" si="140"/>
        <v>#N/A</v>
      </c>
      <c r="BJ158" s="251">
        <f t="shared" si="178"/>
        <v>7</v>
      </c>
      <c r="BK158" s="278" t="e">
        <f t="shared" si="179"/>
        <v>#N/A</v>
      </c>
      <c r="BL158" s="278" t="e">
        <f t="shared" si="180"/>
        <v>#N/A</v>
      </c>
      <c r="BM158" s="279" t="e">
        <f t="shared" si="141"/>
        <v>#N/A</v>
      </c>
      <c r="BN158" s="280">
        <f t="shared" si="181"/>
        <v>7</v>
      </c>
      <c r="BO158" s="281" t="e">
        <f t="shared" si="182"/>
        <v>#N/A</v>
      </c>
      <c r="BP158" s="281" t="e">
        <f t="shared" si="183"/>
        <v>#N/A</v>
      </c>
      <c r="BQ158" s="279" t="e">
        <f t="shared" si="142"/>
        <v>#N/A</v>
      </c>
      <c r="BR158" s="282" t="e">
        <f t="shared" si="143"/>
        <v>#N/A</v>
      </c>
      <c r="BS158" s="217" t="e">
        <f>VLOOKUP($B158,SDR24_STOCK_BY_LA!$A$2:$C$11878,3,0)</f>
        <v>#N/A</v>
      </c>
      <c r="BT158" s="217" t="str">
        <f t="shared" si="184"/>
        <v/>
      </c>
    </row>
    <row r="159" spans="1:72" x14ac:dyDescent="0.2">
      <c r="A159" s="256" t="str">
        <f t="shared" si="185"/>
        <v/>
      </c>
      <c r="B159" s="217" t="str">
        <f t="shared" si="186"/>
        <v/>
      </c>
      <c r="C159" s="257" t="str">
        <f t="shared" si="144"/>
        <v/>
      </c>
      <c r="D159" s="256" t="str">
        <f>IF(B159="","",IF(totals!$Q$3=0,IFERROR(IF(AD159=2,"0",AE159),""),"-"))</f>
        <v/>
      </c>
      <c r="E159" s="258" t="str">
        <f t="shared" si="145"/>
        <v/>
      </c>
      <c r="F159" s="259" t="str">
        <f t="shared" si="146"/>
        <v/>
      </c>
      <c r="G159" s="259" t="str">
        <f t="shared" si="147"/>
        <v/>
      </c>
      <c r="H159" s="256" t="str">
        <f t="shared" si="125"/>
        <v/>
      </c>
      <c r="I159" s="259" t="str">
        <f t="shared" si="148"/>
        <v/>
      </c>
      <c r="J159" s="259" t="str">
        <f t="shared" si="149"/>
        <v/>
      </c>
      <c r="K159" s="256" t="str">
        <f t="shared" si="126"/>
        <v/>
      </c>
      <c r="L159" s="259" t="str">
        <f t="shared" si="127"/>
        <v/>
      </c>
      <c r="M159" s="259" t="str">
        <f t="shared" si="150"/>
        <v/>
      </c>
      <c r="N159" s="256" t="str">
        <f t="shared" si="151"/>
        <v/>
      </c>
      <c r="O159" s="259" t="str">
        <f t="shared" si="152"/>
        <v/>
      </c>
      <c r="P159" s="259" t="str">
        <f t="shared" si="153"/>
        <v/>
      </c>
      <c r="Q159" s="256" t="str">
        <f t="shared" si="154"/>
        <v/>
      </c>
      <c r="R159" s="259" t="str">
        <f t="shared" si="155"/>
        <v/>
      </c>
      <c r="S159" s="259" t="str">
        <f t="shared" si="156"/>
        <v/>
      </c>
      <c r="T159" s="256" t="str">
        <f t="shared" si="157"/>
        <v/>
      </c>
      <c r="U159" s="217"/>
      <c r="V159" s="217"/>
      <c r="AB159" s="257" t="e">
        <f>VLOOKUP($B$6,Lookup_Source,152,0)</f>
        <v>#N/A</v>
      </c>
      <c r="AC159" s="241" t="str">
        <f t="shared" si="158"/>
        <v/>
      </c>
      <c r="AD159" s="242">
        <f t="shared" si="159"/>
        <v>7</v>
      </c>
      <c r="AE159" s="261" t="e">
        <f t="shared" si="128"/>
        <v>#N/A</v>
      </c>
      <c r="AF159" s="264" t="e">
        <f t="shared" si="160"/>
        <v>#N/A</v>
      </c>
      <c r="AG159" s="264" t="e">
        <f t="shared" si="161"/>
        <v>#N/A</v>
      </c>
      <c r="AH159" s="263" t="e">
        <f t="shared" si="129"/>
        <v>#N/A</v>
      </c>
      <c r="AI159" s="226">
        <f t="shared" si="162"/>
        <v>7</v>
      </c>
      <c r="AJ159" s="264" t="e">
        <f t="shared" si="130"/>
        <v>#N/A</v>
      </c>
      <c r="AK159" s="264" t="e">
        <f t="shared" si="163"/>
        <v>#N/A</v>
      </c>
      <c r="AL159" s="226" t="e">
        <f t="shared" si="131"/>
        <v>#N/A</v>
      </c>
      <c r="AM159" s="265" t="e">
        <f t="shared" si="164"/>
        <v>#N/A</v>
      </c>
      <c r="AN159" s="266" t="e">
        <f t="shared" si="132"/>
        <v>#N/A</v>
      </c>
      <c r="AO159" s="227" t="e">
        <f t="shared" si="133"/>
        <v>#N/A</v>
      </c>
      <c r="AP159" s="284">
        <f t="shared" si="165"/>
        <v>7</v>
      </c>
      <c r="AQ159" s="285" t="e">
        <f t="shared" si="134"/>
        <v>#N/A</v>
      </c>
      <c r="AR159" s="266" t="e">
        <f t="shared" si="166"/>
        <v>#N/A</v>
      </c>
      <c r="AS159" s="270" t="e">
        <f t="shared" si="135"/>
        <v>#N/A</v>
      </c>
      <c r="AT159" s="271">
        <f t="shared" si="167"/>
        <v>7</v>
      </c>
      <c r="AU159" s="272" t="e">
        <f t="shared" si="168"/>
        <v>#N/A</v>
      </c>
      <c r="AV159" s="273" t="e">
        <f t="shared" si="169"/>
        <v>#N/A</v>
      </c>
      <c r="AW159" s="274" t="e">
        <f t="shared" si="136"/>
        <v>#N/A</v>
      </c>
      <c r="AX159" s="232">
        <f t="shared" si="170"/>
        <v>7</v>
      </c>
      <c r="AY159" s="273" t="e">
        <f t="shared" si="137"/>
        <v>#N/A</v>
      </c>
      <c r="AZ159" s="232" t="e">
        <f t="shared" si="171"/>
        <v>#N/A</v>
      </c>
      <c r="BA159" s="232" t="e">
        <f t="shared" si="138"/>
        <v>#N/A</v>
      </c>
      <c r="BB159" s="275">
        <f t="shared" si="172"/>
        <v>7</v>
      </c>
      <c r="BC159" s="276" t="e">
        <f t="shared" si="173"/>
        <v>#N/A</v>
      </c>
      <c r="BD159" s="277" t="e">
        <f t="shared" si="174"/>
        <v>#N/A</v>
      </c>
      <c r="BE159" s="250" t="e">
        <f t="shared" si="139"/>
        <v>#N/A</v>
      </c>
      <c r="BF159" s="247">
        <f t="shared" si="175"/>
        <v>7</v>
      </c>
      <c r="BG159" s="276" t="e">
        <f t="shared" si="176"/>
        <v>#N/A</v>
      </c>
      <c r="BH159" s="277" t="e">
        <f t="shared" si="177"/>
        <v>#N/A</v>
      </c>
      <c r="BI159" s="250" t="e">
        <f t="shared" si="140"/>
        <v>#N/A</v>
      </c>
      <c r="BJ159" s="251">
        <f t="shared" si="178"/>
        <v>7</v>
      </c>
      <c r="BK159" s="278" t="e">
        <f t="shared" si="179"/>
        <v>#N/A</v>
      </c>
      <c r="BL159" s="278" t="e">
        <f t="shared" si="180"/>
        <v>#N/A</v>
      </c>
      <c r="BM159" s="279" t="e">
        <f t="shared" si="141"/>
        <v>#N/A</v>
      </c>
      <c r="BN159" s="280">
        <f t="shared" si="181"/>
        <v>7</v>
      </c>
      <c r="BO159" s="281" t="e">
        <f t="shared" si="182"/>
        <v>#N/A</v>
      </c>
      <c r="BP159" s="281" t="e">
        <f t="shared" si="183"/>
        <v>#N/A</v>
      </c>
      <c r="BQ159" s="279" t="e">
        <f t="shared" si="142"/>
        <v>#N/A</v>
      </c>
      <c r="BR159" s="282" t="e">
        <f t="shared" si="143"/>
        <v>#N/A</v>
      </c>
      <c r="BS159" s="217" t="e">
        <f>VLOOKUP($B159,SDR24_STOCK_BY_LA!$A$2:$C$11878,3,0)</f>
        <v>#N/A</v>
      </c>
      <c r="BT159" s="217" t="str">
        <f t="shared" si="184"/>
        <v/>
      </c>
    </row>
    <row r="160" spans="1:72" x14ac:dyDescent="0.2">
      <c r="A160" s="217" t="str">
        <f t="shared" si="185"/>
        <v/>
      </c>
      <c r="B160" s="217" t="str">
        <f t="shared" si="186"/>
        <v/>
      </c>
      <c r="C160" s="283" t="str">
        <f t="shared" si="144"/>
        <v/>
      </c>
      <c r="D160" s="256" t="str">
        <f>IF(B160="","",IF(totals!$Q$3=0,IFERROR(IF(AD160=2,"0",AE160),""),"-"))</f>
        <v/>
      </c>
      <c r="E160" s="258" t="str">
        <f t="shared" si="145"/>
        <v/>
      </c>
      <c r="F160" s="259" t="str">
        <f t="shared" si="146"/>
        <v/>
      </c>
      <c r="G160" s="259" t="str">
        <f t="shared" si="147"/>
        <v/>
      </c>
      <c r="H160" s="256" t="str">
        <f t="shared" si="125"/>
        <v/>
      </c>
      <c r="I160" s="259" t="str">
        <f t="shared" si="148"/>
        <v/>
      </c>
      <c r="J160" s="259" t="str">
        <f t="shared" si="149"/>
        <v/>
      </c>
      <c r="K160" s="256" t="str">
        <f t="shared" si="126"/>
        <v/>
      </c>
      <c r="L160" s="259" t="str">
        <f t="shared" si="127"/>
        <v/>
      </c>
      <c r="M160" s="259" t="str">
        <f t="shared" si="150"/>
        <v/>
      </c>
      <c r="N160" s="256" t="str">
        <f t="shared" si="151"/>
        <v/>
      </c>
      <c r="O160" s="259" t="str">
        <f t="shared" si="152"/>
        <v/>
      </c>
      <c r="P160" s="259" t="str">
        <f t="shared" si="153"/>
        <v/>
      </c>
      <c r="Q160" s="256" t="str">
        <f t="shared" si="154"/>
        <v/>
      </c>
      <c r="R160" s="259" t="str">
        <f t="shared" si="155"/>
        <v/>
      </c>
      <c r="S160" s="259" t="str">
        <f t="shared" si="156"/>
        <v/>
      </c>
      <c r="T160" s="256" t="str">
        <f t="shared" si="157"/>
        <v/>
      </c>
      <c r="U160" s="217"/>
      <c r="V160" s="217"/>
      <c r="AB160" s="217" t="e">
        <f>VLOOKUP($B$6,Lookup_Source,153,0)</f>
        <v>#N/A</v>
      </c>
      <c r="AC160" s="241" t="str">
        <f t="shared" si="158"/>
        <v/>
      </c>
      <c r="AD160" s="242">
        <f t="shared" si="159"/>
        <v>7</v>
      </c>
      <c r="AE160" s="261" t="e">
        <f t="shared" si="128"/>
        <v>#N/A</v>
      </c>
      <c r="AF160" s="264" t="e">
        <f t="shared" si="160"/>
        <v>#N/A</v>
      </c>
      <c r="AG160" s="264" t="e">
        <f t="shared" si="161"/>
        <v>#N/A</v>
      </c>
      <c r="AH160" s="263" t="e">
        <f t="shared" si="129"/>
        <v>#N/A</v>
      </c>
      <c r="AI160" s="226">
        <f t="shared" si="162"/>
        <v>7</v>
      </c>
      <c r="AJ160" s="264" t="e">
        <f t="shared" si="130"/>
        <v>#N/A</v>
      </c>
      <c r="AK160" s="264" t="e">
        <f t="shared" si="163"/>
        <v>#N/A</v>
      </c>
      <c r="AL160" s="226" t="e">
        <f t="shared" si="131"/>
        <v>#N/A</v>
      </c>
      <c r="AM160" s="265" t="e">
        <f t="shared" si="164"/>
        <v>#N/A</v>
      </c>
      <c r="AN160" s="266" t="e">
        <f t="shared" si="132"/>
        <v>#N/A</v>
      </c>
      <c r="AO160" s="227" t="e">
        <f t="shared" si="133"/>
        <v>#N/A</v>
      </c>
      <c r="AP160" s="284">
        <f t="shared" si="165"/>
        <v>7</v>
      </c>
      <c r="AQ160" s="285" t="e">
        <f t="shared" si="134"/>
        <v>#N/A</v>
      </c>
      <c r="AR160" s="266" t="e">
        <f t="shared" si="166"/>
        <v>#N/A</v>
      </c>
      <c r="AS160" s="270" t="e">
        <f t="shared" si="135"/>
        <v>#N/A</v>
      </c>
      <c r="AT160" s="271">
        <f t="shared" si="167"/>
        <v>7</v>
      </c>
      <c r="AU160" s="272" t="e">
        <f t="shared" si="168"/>
        <v>#N/A</v>
      </c>
      <c r="AV160" s="273" t="e">
        <f t="shared" si="169"/>
        <v>#N/A</v>
      </c>
      <c r="AW160" s="274" t="e">
        <f t="shared" si="136"/>
        <v>#N/A</v>
      </c>
      <c r="AX160" s="232">
        <f t="shared" si="170"/>
        <v>7</v>
      </c>
      <c r="AY160" s="273" t="e">
        <f t="shared" si="137"/>
        <v>#N/A</v>
      </c>
      <c r="AZ160" s="232" t="e">
        <f t="shared" si="171"/>
        <v>#N/A</v>
      </c>
      <c r="BA160" s="232" t="e">
        <f t="shared" si="138"/>
        <v>#N/A</v>
      </c>
      <c r="BB160" s="275">
        <f t="shared" si="172"/>
        <v>7</v>
      </c>
      <c r="BC160" s="276" t="e">
        <f t="shared" si="173"/>
        <v>#N/A</v>
      </c>
      <c r="BD160" s="277" t="e">
        <f t="shared" si="174"/>
        <v>#N/A</v>
      </c>
      <c r="BE160" s="250" t="e">
        <f t="shared" si="139"/>
        <v>#N/A</v>
      </c>
      <c r="BF160" s="247">
        <f t="shared" si="175"/>
        <v>7</v>
      </c>
      <c r="BG160" s="276" t="e">
        <f t="shared" si="176"/>
        <v>#N/A</v>
      </c>
      <c r="BH160" s="277" t="e">
        <f t="shared" si="177"/>
        <v>#N/A</v>
      </c>
      <c r="BI160" s="250" t="e">
        <f t="shared" si="140"/>
        <v>#N/A</v>
      </c>
      <c r="BJ160" s="251">
        <f t="shared" si="178"/>
        <v>7</v>
      </c>
      <c r="BK160" s="278" t="e">
        <f t="shared" si="179"/>
        <v>#N/A</v>
      </c>
      <c r="BL160" s="278" t="e">
        <f t="shared" si="180"/>
        <v>#N/A</v>
      </c>
      <c r="BM160" s="279" t="e">
        <f t="shared" si="141"/>
        <v>#N/A</v>
      </c>
      <c r="BN160" s="280">
        <f t="shared" si="181"/>
        <v>7</v>
      </c>
      <c r="BO160" s="281" t="e">
        <f t="shared" si="182"/>
        <v>#N/A</v>
      </c>
      <c r="BP160" s="281" t="e">
        <f t="shared" si="183"/>
        <v>#N/A</v>
      </c>
      <c r="BQ160" s="279" t="e">
        <f t="shared" si="142"/>
        <v>#N/A</v>
      </c>
      <c r="BR160" s="282" t="e">
        <f t="shared" si="143"/>
        <v>#N/A</v>
      </c>
      <c r="BS160" s="217" t="e">
        <f>VLOOKUP($B160,SDR24_STOCK_BY_LA!$A$2:$C$11878,3,0)</f>
        <v>#N/A</v>
      </c>
      <c r="BT160" s="217" t="str">
        <f t="shared" si="184"/>
        <v/>
      </c>
    </row>
    <row r="161" spans="1:72" x14ac:dyDescent="0.2">
      <c r="A161" s="256" t="str">
        <f t="shared" si="185"/>
        <v/>
      </c>
      <c r="B161" s="217" t="str">
        <f t="shared" si="186"/>
        <v/>
      </c>
      <c r="C161" s="257" t="str">
        <f t="shared" si="144"/>
        <v/>
      </c>
      <c r="D161" s="256" t="str">
        <f>IF(B161="","",IF(totals!$Q$3=0,IFERROR(IF(AD161=2,"0",AE161),""),"-"))</f>
        <v/>
      </c>
      <c r="E161" s="258" t="str">
        <f t="shared" si="145"/>
        <v/>
      </c>
      <c r="F161" s="259" t="str">
        <f t="shared" si="146"/>
        <v/>
      </c>
      <c r="G161" s="259" t="str">
        <f t="shared" si="147"/>
        <v/>
      </c>
      <c r="H161" s="256" t="str">
        <f t="shared" si="125"/>
        <v/>
      </c>
      <c r="I161" s="259" t="str">
        <f t="shared" si="148"/>
        <v/>
      </c>
      <c r="J161" s="259" t="str">
        <f t="shared" si="149"/>
        <v/>
      </c>
      <c r="K161" s="256" t="str">
        <f t="shared" si="126"/>
        <v/>
      </c>
      <c r="L161" s="259" t="str">
        <f t="shared" si="127"/>
        <v/>
      </c>
      <c r="M161" s="259" t="str">
        <f t="shared" si="150"/>
        <v/>
      </c>
      <c r="N161" s="256" t="str">
        <f t="shared" si="151"/>
        <v/>
      </c>
      <c r="O161" s="259" t="str">
        <f t="shared" si="152"/>
        <v/>
      </c>
      <c r="P161" s="259" t="str">
        <f t="shared" si="153"/>
        <v/>
      </c>
      <c r="Q161" s="256" t="str">
        <f t="shared" si="154"/>
        <v/>
      </c>
      <c r="R161" s="259" t="str">
        <f t="shared" si="155"/>
        <v/>
      </c>
      <c r="S161" s="259" t="str">
        <f t="shared" si="156"/>
        <v/>
      </c>
      <c r="T161" s="256" t="str">
        <f t="shared" si="157"/>
        <v/>
      </c>
      <c r="U161" s="217"/>
      <c r="V161" s="217"/>
      <c r="AB161" s="257" t="e">
        <f>VLOOKUP($B$6,Lookup_Source,154,0)</f>
        <v>#N/A</v>
      </c>
      <c r="AC161" s="241" t="str">
        <f t="shared" si="158"/>
        <v/>
      </c>
      <c r="AD161" s="242">
        <f t="shared" si="159"/>
        <v>7</v>
      </c>
      <c r="AE161" s="261" t="e">
        <f t="shared" si="128"/>
        <v>#N/A</v>
      </c>
      <c r="AF161" s="264" t="e">
        <f t="shared" si="160"/>
        <v>#N/A</v>
      </c>
      <c r="AG161" s="264" t="e">
        <f t="shared" si="161"/>
        <v>#N/A</v>
      </c>
      <c r="AH161" s="263" t="e">
        <f t="shared" si="129"/>
        <v>#N/A</v>
      </c>
      <c r="AI161" s="226">
        <f t="shared" si="162"/>
        <v>7</v>
      </c>
      <c r="AJ161" s="264" t="e">
        <f t="shared" si="130"/>
        <v>#N/A</v>
      </c>
      <c r="AK161" s="264" t="e">
        <f t="shared" si="163"/>
        <v>#N/A</v>
      </c>
      <c r="AL161" s="226" t="e">
        <f t="shared" si="131"/>
        <v>#N/A</v>
      </c>
      <c r="AM161" s="265" t="e">
        <f t="shared" si="164"/>
        <v>#N/A</v>
      </c>
      <c r="AN161" s="266" t="e">
        <f t="shared" si="132"/>
        <v>#N/A</v>
      </c>
      <c r="AO161" s="227" t="e">
        <f t="shared" si="133"/>
        <v>#N/A</v>
      </c>
      <c r="AP161" s="284">
        <f t="shared" si="165"/>
        <v>7</v>
      </c>
      <c r="AQ161" s="285" t="e">
        <f t="shared" si="134"/>
        <v>#N/A</v>
      </c>
      <c r="AR161" s="266" t="e">
        <f t="shared" si="166"/>
        <v>#N/A</v>
      </c>
      <c r="AS161" s="270" t="e">
        <f t="shared" si="135"/>
        <v>#N/A</v>
      </c>
      <c r="AT161" s="271">
        <f t="shared" si="167"/>
        <v>7</v>
      </c>
      <c r="AU161" s="272" t="e">
        <f t="shared" si="168"/>
        <v>#N/A</v>
      </c>
      <c r="AV161" s="273" t="e">
        <f t="shared" si="169"/>
        <v>#N/A</v>
      </c>
      <c r="AW161" s="274" t="e">
        <f t="shared" si="136"/>
        <v>#N/A</v>
      </c>
      <c r="AX161" s="232">
        <f t="shared" si="170"/>
        <v>7</v>
      </c>
      <c r="AY161" s="273" t="e">
        <f t="shared" si="137"/>
        <v>#N/A</v>
      </c>
      <c r="AZ161" s="232" t="e">
        <f t="shared" si="171"/>
        <v>#N/A</v>
      </c>
      <c r="BA161" s="232" t="e">
        <f t="shared" si="138"/>
        <v>#N/A</v>
      </c>
      <c r="BB161" s="275">
        <f t="shared" si="172"/>
        <v>7</v>
      </c>
      <c r="BC161" s="276" t="e">
        <f t="shared" si="173"/>
        <v>#N/A</v>
      </c>
      <c r="BD161" s="277" t="e">
        <f t="shared" si="174"/>
        <v>#N/A</v>
      </c>
      <c r="BE161" s="250" t="e">
        <f t="shared" si="139"/>
        <v>#N/A</v>
      </c>
      <c r="BF161" s="247">
        <f t="shared" si="175"/>
        <v>7</v>
      </c>
      <c r="BG161" s="276" t="e">
        <f t="shared" si="176"/>
        <v>#N/A</v>
      </c>
      <c r="BH161" s="277" t="e">
        <f t="shared" si="177"/>
        <v>#N/A</v>
      </c>
      <c r="BI161" s="250" t="e">
        <f t="shared" si="140"/>
        <v>#N/A</v>
      </c>
      <c r="BJ161" s="251">
        <f t="shared" si="178"/>
        <v>7</v>
      </c>
      <c r="BK161" s="278" t="e">
        <f t="shared" si="179"/>
        <v>#N/A</v>
      </c>
      <c r="BL161" s="278" t="e">
        <f t="shared" si="180"/>
        <v>#N/A</v>
      </c>
      <c r="BM161" s="279" t="e">
        <f t="shared" si="141"/>
        <v>#N/A</v>
      </c>
      <c r="BN161" s="280">
        <f t="shared" si="181"/>
        <v>7</v>
      </c>
      <c r="BO161" s="281" t="e">
        <f t="shared" si="182"/>
        <v>#N/A</v>
      </c>
      <c r="BP161" s="281" t="e">
        <f t="shared" si="183"/>
        <v>#N/A</v>
      </c>
      <c r="BQ161" s="279" t="e">
        <f t="shared" si="142"/>
        <v>#N/A</v>
      </c>
      <c r="BR161" s="282" t="e">
        <f t="shared" si="143"/>
        <v>#N/A</v>
      </c>
      <c r="BS161" s="217" t="e">
        <f>VLOOKUP($B161,SDR24_STOCK_BY_LA!$A$2:$C$11878,3,0)</f>
        <v>#N/A</v>
      </c>
      <c r="BT161" s="217" t="str">
        <f t="shared" si="184"/>
        <v/>
      </c>
    </row>
    <row r="162" spans="1:72" x14ac:dyDescent="0.2">
      <c r="A162" s="217" t="str">
        <f t="shared" si="185"/>
        <v/>
      </c>
      <c r="B162" s="217" t="str">
        <f t="shared" si="186"/>
        <v/>
      </c>
      <c r="C162" s="283" t="str">
        <f t="shared" si="144"/>
        <v/>
      </c>
      <c r="D162" s="256" t="str">
        <f>IF(B162="","",IF(totals!$Q$3=0,IFERROR(IF(AD162=2,"0",AE162),""),"-"))</f>
        <v/>
      </c>
      <c r="E162" s="258" t="str">
        <f t="shared" si="145"/>
        <v/>
      </c>
      <c r="F162" s="259" t="str">
        <f t="shared" si="146"/>
        <v/>
      </c>
      <c r="G162" s="259" t="str">
        <f t="shared" si="147"/>
        <v/>
      </c>
      <c r="H162" s="256" t="str">
        <f t="shared" si="125"/>
        <v/>
      </c>
      <c r="I162" s="259" t="str">
        <f t="shared" si="148"/>
        <v/>
      </c>
      <c r="J162" s="259" t="str">
        <f t="shared" si="149"/>
        <v/>
      </c>
      <c r="K162" s="256" t="str">
        <f t="shared" si="126"/>
        <v/>
      </c>
      <c r="L162" s="259" t="str">
        <f t="shared" si="127"/>
        <v/>
      </c>
      <c r="M162" s="259" t="str">
        <f t="shared" si="150"/>
        <v/>
      </c>
      <c r="N162" s="256" t="str">
        <f t="shared" si="151"/>
        <v/>
      </c>
      <c r="O162" s="259" t="str">
        <f t="shared" si="152"/>
        <v/>
      </c>
      <c r="P162" s="259" t="str">
        <f t="shared" si="153"/>
        <v/>
      </c>
      <c r="Q162" s="256" t="str">
        <f t="shared" si="154"/>
        <v/>
      </c>
      <c r="R162" s="259" t="str">
        <f t="shared" si="155"/>
        <v/>
      </c>
      <c r="S162" s="259" t="str">
        <f t="shared" si="156"/>
        <v/>
      </c>
      <c r="T162" s="256" t="str">
        <f t="shared" si="157"/>
        <v/>
      </c>
      <c r="U162" s="217"/>
      <c r="V162" s="217"/>
      <c r="AB162" s="217" t="e">
        <f>VLOOKUP($B$6,Lookup_Source,155,0)</f>
        <v>#N/A</v>
      </c>
      <c r="AC162" s="241" t="str">
        <f t="shared" si="158"/>
        <v/>
      </c>
      <c r="AD162" s="242">
        <f t="shared" si="159"/>
        <v>7</v>
      </c>
      <c r="AE162" s="261" t="e">
        <f t="shared" si="128"/>
        <v>#N/A</v>
      </c>
      <c r="AF162" s="264" t="e">
        <f t="shared" si="160"/>
        <v>#N/A</v>
      </c>
      <c r="AG162" s="264" t="e">
        <f t="shared" si="161"/>
        <v>#N/A</v>
      </c>
      <c r="AH162" s="263" t="e">
        <f t="shared" si="129"/>
        <v>#N/A</v>
      </c>
      <c r="AI162" s="226">
        <f t="shared" si="162"/>
        <v>7</v>
      </c>
      <c r="AJ162" s="264" t="e">
        <f t="shared" si="130"/>
        <v>#N/A</v>
      </c>
      <c r="AK162" s="264" t="e">
        <f t="shared" si="163"/>
        <v>#N/A</v>
      </c>
      <c r="AL162" s="226" t="e">
        <f t="shared" si="131"/>
        <v>#N/A</v>
      </c>
      <c r="AM162" s="265" t="e">
        <f t="shared" si="164"/>
        <v>#N/A</v>
      </c>
      <c r="AN162" s="266" t="e">
        <f t="shared" si="132"/>
        <v>#N/A</v>
      </c>
      <c r="AO162" s="227" t="e">
        <f t="shared" si="133"/>
        <v>#N/A</v>
      </c>
      <c r="AP162" s="284">
        <f t="shared" si="165"/>
        <v>7</v>
      </c>
      <c r="AQ162" s="285" t="e">
        <f t="shared" si="134"/>
        <v>#N/A</v>
      </c>
      <c r="AR162" s="266" t="e">
        <f t="shared" si="166"/>
        <v>#N/A</v>
      </c>
      <c r="AS162" s="270" t="e">
        <f t="shared" si="135"/>
        <v>#N/A</v>
      </c>
      <c r="AT162" s="271">
        <f t="shared" si="167"/>
        <v>7</v>
      </c>
      <c r="AU162" s="272" t="e">
        <f t="shared" si="168"/>
        <v>#N/A</v>
      </c>
      <c r="AV162" s="273" t="e">
        <f t="shared" si="169"/>
        <v>#N/A</v>
      </c>
      <c r="AW162" s="274" t="e">
        <f t="shared" si="136"/>
        <v>#N/A</v>
      </c>
      <c r="AX162" s="232">
        <f t="shared" si="170"/>
        <v>7</v>
      </c>
      <c r="AY162" s="273" t="e">
        <f t="shared" si="137"/>
        <v>#N/A</v>
      </c>
      <c r="AZ162" s="232" t="e">
        <f t="shared" si="171"/>
        <v>#N/A</v>
      </c>
      <c r="BA162" s="232" t="e">
        <f t="shared" si="138"/>
        <v>#N/A</v>
      </c>
      <c r="BB162" s="275">
        <f t="shared" si="172"/>
        <v>7</v>
      </c>
      <c r="BC162" s="276" t="e">
        <f t="shared" si="173"/>
        <v>#N/A</v>
      </c>
      <c r="BD162" s="277" t="e">
        <f t="shared" si="174"/>
        <v>#N/A</v>
      </c>
      <c r="BE162" s="250" t="e">
        <f t="shared" si="139"/>
        <v>#N/A</v>
      </c>
      <c r="BF162" s="247">
        <f t="shared" si="175"/>
        <v>7</v>
      </c>
      <c r="BG162" s="276" t="e">
        <f t="shared" si="176"/>
        <v>#N/A</v>
      </c>
      <c r="BH162" s="277" t="e">
        <f t="shared" si="177"/>
        <v>#N/A</v>
      </c>
      <c r="BI162" s="250" t="e">
        <f t="shared" si="140"/>
        <v>#N/A</v>
      </c>
      <c r="BJ162" s="251">
        <f t="shared" si="178"/>
        <v>7</v>
      </c>
      <c r="BK162" s="278" t="e">
        <f t="shared" si="179"/>
        <v>#N/A</v>
      </c>
      <c r="BL162" s="278" t="e">
        <f t="shared" si="180"/>
        <v>#N/A</v>
      </c>
      <c r="BM162" s="279" t="e">
        <f t="shared" si="141"/>
        <v>#N/A</v>
      </c>
      <c r="BN162" s="280">
        <f t="shared" si="181"/>
        <v>7</v>
      </c>
      <c r="BO162" s="281" t="e">
        <f t="shared" si="182"/>
        <v>#N/A</v>
      </c>
      <c r="BP162" s="281" t="e">
        <f t="shared" si="183"/>
        <v>#N/A</v>
      </c>
      <c r="BQ162" s="279" t="e">
        <f t="shared" si="142"/>
        <v>#N/A</v>
      </c>
      <c r="BR162" s="282" t="e">
        <f t="shared" si="143"/>
        <v>#N/A</v>
      </c>
      <c r="BS162" s="217" t="e">
        <f>VLOOKUP($B162,SDR24_STOCK_BY_LA!$A$2:$C$11878,3,0)</f>
        <v>#N/A</v>
      </c>
      <c r="BT162" s="217" t="str">
        <f t="shared" si="184"/>
        <v/>
      </c>
    </row>
    <row r="163" spans="1:72" x14ac:dyDescent="0.2">
      <c r="A163" s="256" t="str">
        <f t="shared" si="185"/>
        <v/>
      </c>
      <c r="B163" s="217" t="str">
        <f t="shared" si="186"/>
        <v/>
      </c>
      <c r="C163" s="257" t="str">
        <f t="shared" si="144"/>
        <v/>
      </c>
      <c r="D163" s="256" t="str">
        <f>IF(B163="","",IF(totals!$Q$3=0,IFERROR(IF(AD163=2,"0",AE163),""),"-"))</f>
        <v/>
      </c>
      <c r="E163" s="258" t="str">
        <f t="shared" si="145"/>
        <v/>
      </c>
      <c r="F163" s="259" t="str">
        <f t="shared" si="146"/>
        <v/>
      </c>
      <c r="G163" s="259" t="str">
        <f t="shared" si="147"/>
        <v/>
      </c>
      <c r="H163" s="256" t="str">
        <f t="shared" si="125"/>
        <v/>
      </c>
      <c r="I163" s="259" t="str">
        <f t="shared" si="148"/>
        <v/>
      </c>
      <c r="J163" s="259" t="str">
        <f t="shared" si="149"/>
        <v/>
      </c>
      <c r="K163" s="256" t="str">
        <f t="shared" si="126"/>
        <v/>
      </c>
      <c r="L163" s="259" t="str">
        <f t="shared" si="127"/>
        <v/>
      </c>
      <c r="M163" s="259" t="str">
        <f t="shared" si="150"/>
        <v/>
      </c>
      <c r="N163" s="256" t="str">
        <f t="shared" si="151"/>
        <v/>
      </c>
      <c r="O163" s="259" t="str">
        <f t="shared" si="152"/>
        <v/>
      </c>
      <c r="P163" s="259" t="str">
        <f t="shared" si="153"/>
        <v/>
      </c>
      <c r="Q163" s="256" t="str">
        <f t="shared" si="154"/>
        <v/>
      </c>
      <c r="R163" s="259" t="str">
        <f t="shared" si="155"/>
        <v/>
      </c>
      <c r="S163" s="259" t="str">
        <f t="shared" si="156"/>
        <v/>
      </c>
      <c r="T163" s="256" t="str">
        <f t="shared" si="157"/>
        <v/>
      </c>
      <c r="U163" s="217"/>
      <c r="V163" s="217"/>
      <c r="AB163" s="257" t="e">
        <f>VLOOKUP($B$6,Lookup_Source,156,0)</f>
        <v>#N/A</v>
      </c>
      <c r="AC163" s="241" t="str">
        <f t="shared" si="158"/>
        <v/>
      </c>
      <c r="AD163" s="242">
        <f t="shared" si="159"/>
        <v>7</v>
      </c>
      <c r="AE163" s="261" t="e">
        <f t="shared" si="128"/>
        <v>#N/A</v>
      </c>
      <c r="AF163" s="264" t="e">
        <f t="shared" si="160"/>
        <v>#N/A</v>
      </c>
      <c r="AG163" s="264" t="e">
        <f t="shared" si="161"/>
        <v>#N/A</v>
      </c>
      <c r="AH163" s="263" t="e">
        <f t="shared" si="129"/>
        <v>#N/A</v>
      </c>
      <c r="AI163" s="226">
        <f t="shared" si="162"/>
        <v>7</v>
      </c>
      <c r="AJ163" s="264" t="e">
        <f t="shared" si="130"/>
        <v>#N/A</v>
      </c>
      <c r="AK163" s="264" t="e">
        <f t="shared" si="163"/>
        <v>#N/A</v>
      </c>
      <c r="AL163" s="226" t="e">
        <f t="shared" si="131"/>
        <v>#N/A</v>
      </c>
      <c r="AM163" s="265" t="e">
        <f t="shared" si="164"/>
        <v>#N/A</v>
      </c>
      <c r="AN163" s="266" t="e">
        <f t="shared" si="132"/>
        <v>#N/A</v>
      </c>
      <c r="AO163" s="227" t="e">
        <f t="shared" si="133"/>
        <v>#N/A</v>
      </c>
      <c r="AP163" s="284">
        <f t="shared" si="165"/>
        <v>7</v>
      </c>
      <c r="AQ163" s="285" t="e">
        <f t="shared" si="134"/>
        <v>#N/A</v>
      </c>
      <c r="AR163" s="266" t="e">
        <f t="shared" si="166"/>
        <v>#N/A</v>
      </c>
      <c r="AS163" s="270" t="e">
        <f t="shared" si="135"/>
        <v>#N/A</v>
      </c>
      <c r="AT163" s="271">
        <f t="shared" si="167"/>
        <v>7</v>
      </c>
      <c r="AU163" s="272" t="e">
        <f t="shared" si="168"/>
        <v>#N/A</v>
      </c>
      <c r="AV163" s="273" t="e">
        <f t="shared" si="169"/>
        <v>#N/A</v>
      </c>
      <c r="AW163" s="274" t="e">
        <f t="shared" si="136"/>
        <v>#N/A</v>
      </c>
      <c r="AX163" s="232">
        <f t="shared" si="170"/>
        <v>7</v>
      </c>
      <c r="AY163" s="273" t="e">
        <f t="shared" si="137"/>
        <v>#N/A</v>
      </c>
      <c r="AZ163" s="232" t="e">
        <f t="shared" si="171"/>
        <v>#N/A</v>
      </c>
      <c r="BA163" s="232" t="e">
        <f t="shared" si="138"/>
        <v>#N/A</v>
      </c>
      <c r="BB163" s="275">
        <f t="shared" si="172"/>
        <v>7</v>
      </c>
      <c r="BC163" s="276" t="e">
        <f t="shared" si="173"/>
        <v>#N/A</v>
      </c>
      <c r="BD163" s="277" t="e">
        <f t="shared" si="174"/>
        <v>#N/A</v>
      </c>
      <c r="BE163" s="250" t="e">
        <f t="shared" si="139"/>
        <v>#N/A</v>
      </c>
      <c r="BF163" s="247">
        <f t="shared" si="175"/>
        <v>7</v>
      </c>
      <c r="BG163" s="276" t="e">
        <f t="shared" si="176"/>
        <v>#N/A</v>
      </c>
      <c r="BH163" s="277" t="e">
        <f t="shared" si="177"/>
        <v>#N/A</v>
      </c>
      <c r="BI163" s="250" t="e">
        <f t="shared" si="140"/>
        <v>#N/A</v>
      </c>
      <c r="BJ163" s="251">
        <f t="shared" si="178"/>
        <v>7</v>
      </c>
      <c r="BK163" s="278" t="e">
        <f t="shared" si="179"/>
        <v>#N/A</v>
      </c>
      <c r="BL163" s="278" t="e">
        <f t="shared" si="180"/>
        <v>#N/A</v>
      </c>
      <c r="BM163" s="279" t="e">
        <f t="shared" si="141"/>
        <v>#N/A</v>
      </c>
      <c r="BN163" s="280">
        <f t="shared" si="181"/>
        <v>7</v>
      </c>
      <c r="BO163" s="281" t="e">
        <f t="shared" si="182"/>
        <v>#N/A</v>
      </c>
      <c r="BP163" s="281" t="e">
        <f t="shared" si="183"/>
        <v>#N/A</v>
      </c>
      <c r="BQ163" s="279" t="e">
        <f t="shared" si="142"/>
        <v>#N/A</v>
      </c>
      <c r="BR163" s="282" t="e">
        <f t="shared" si="143"/>
        <v>#N/A</v>
      </c>
      <c r="BS163" s="217" t="e">
        <f>VLOOKUP($B163,SDR24_STOCK_BY_LA!$A$2:$C$11878,3,0)</f>
        <v>#N/A</v>
      </c>
      <c r="BT163" s="217" t="str">
        <f t="shared" si="184"/>
        <v/>
      </c>
    </row>
    <row r="164" spans="1:72" x14ac:dyDescent="0.2">
      <c r="A164" s="217" t="str">
        <f t="shared" si="185"/>
        <v/>
      </c>
      <c r="B164" s="217" t="str">
        <f t="shared" si="186"/>
        <v/>
      </c>
      <c r="C164" s="283" t="str">
        <f t="shared" si="144"/>
        <v/>
      </c>
      <c r="D164" s="256" t="str">
        <f>IF(B164="","",IF(totals!$Q$3=0,IFERROR(IF(AD164=2,"0",AE164),""),"-"))</f>
        <v/>
      </c>
      <c r="E164" s="258" t="str">
        <f t="shared" si="145"/>
        <v/>
      </c>
      <c r="F164" s="259" t="str">
        <f t="shared" si="146"/>
        <v/>
      </c>
      <c r="G164" s="259" t="str">
        <f t="shared" si="147"/>
        <v/>
      </c>
      <c r="H164" s="256" t="str">
        <f t="shared" si="125"/>
        <v/>
      </c>
      <c r="I164" s="259" t="str">
        <f t="shared" si="148"/>
        <v/>
      </c>
      <c r="J164" s="259" t="str">
        <f t="shared" si="149"/>
        <v/>
      </c>
      <c r="K164" s="256" t="str">
        <f t="shared" si="126"/>
        <v/>
      </c>
      <c r="L164" s="259" t="str">
        <f t="shared" si="127"/>
        <v/>
      </c>
      <c r="M164" s="259" t="str">
        <f t="shared" si="150"/>
        <v/>
      </c>
      <c r="N164" s="256" t="str">
        <f t="shared" si="151"/>
        <v/>
      </c>
      <c r="O164" s="259" t="str">
        <f t="shared" si="152"/>
        <v/>
      </c>
      <c r="P164" s="259" t="str">
        <f t="shared" si="153"/>
        <v/>
      </c>
      <c r="Q164" s="256" t="str">
        <f t="shared" si="154"/>
        <v/>
      </c>
      <c r="R164" s="259" t="str">
        <f t="shared" si="155"/>
        <v/>
      </c>
      <c r="S164" s="259" t="str">
        <f t="shared" si="156"/>
        <v/>
      </c>
      <c r="T164" s="256" t="str">
        <f t="shared" si="157"/>
        <v/>
      </c>
      <c r="U164" s="217"/>
      <c r="V164" s="217"/>
      <c r="AB164" s="217" t="e">
        <f>VLOOKUP($B$6,Lookup_Source,157,0)</f>
        <v>#N/A</v>
      </c>
      <c r="AC164" s="241" t="str">
        <f t="shared" si="158"/>
        <v/>
      </c>
      <c r="AD164" s="242">
        <f t="shared" si="159"/>
        <v>7</v>
      </c>
      <c r="AE164" s="261" t="e">
        <f t="shared" si="128"/>
        <v>#N/A</v>
      </c>
      <c r="AF164" s="264" t="e">
        <f t="shared" si="160"/>
        <v>#N/A</v>
      </c>
      <c r="AG164" s="264" t="e">
        <f t="shared" si="161"/>
        <v>#N/A</v>
      </c>
      <c r="AH164" s="263" t="e">
        <f t="shared" si="129"/>
        <v>#N/A</v>
      </c>
      <c r="AI164" s="226">
        <f t="shared" si="162"/>
        <v>7</v>
      </c>
      <c r="AJ164" s="264" t="e">
        <f t="shared" si="130"/>
        <v>#N/A</v>
      </c>
      <c r="AK164" s="264" t="e">
        <f t="shared" si="163"/>
        <v>#N/A</v>
      </c>
      <c r="AL164" s="226" t="e">
        <f t="shared" si="131"/>
        <v>#N/A</v>
      </c>
      <c r="AM164" s="265" t="e">
        <f t="shared" si="164"/>
        <v>#N/A</v>
      </c>
      <c r="AN164" s="266" t="e">
        <f t="shared" si="132"/>
        <v>#N/A</v>
      </c>
      <c r="AO164" s="227" t="e">
        <f t="shared" si="133"/>
        <v>#N/A</v>
      </c>
      <c r="AP164" s="284">
        <f t="shared" si="165"/>
        <v>7</v>
      </c>
      <c r="AQ164" s="285" t="e">
        <f t="shared" si="134"/>
        <v>#N/A</v>
      </c>
      <c r="AR164" s="266" t="e">
        <f t="shared" si="166"/>
        <v>#N/A</v>
      </c>
      <c r="AS164" s="270" t="e">
        <f t="shared" si="135"/>
        <v>#N/A</v>
      </c>
      <c r="AT164" s="271">
        <f t="shared" si="167"/>
        <v>7</v>
      </c>
      <c r="AU164" s="272" t="e">
        <f t="shared" si="168"/>
        <v>#N/A</v>
      </c>
      <c r="AV164" s="273" t="e">
        <f t="shared" si="169"/>
        <v>#N/A</v>
      </c>
      <c r="AW164" s="274" t="e">
        <f t="shared" si="136"/>
        <v>#N/A</v>
      </c>
      <c r="AX164" s="232">
        <f t="shared" si="170"/>
        <v>7</v>
      </c>
      <c r="AY164" s="273" t="e">
        <f t="shared" si="137"/>
        <v>#N/A</v>
      </c>
      <c r="AZ164" s="232" t="e">
        <f t="shared" si="171"/>
        <v>#N/A</v>
      </c>
      <c r="BA164" s="232" t="e">
        <f t="shared" si="138"/>
        <v>#N/A</v>
      </c>
      <c r="BB164" s="275">
        <f t="shared" si="172"/>
        <v>7</v>
      </c>
      <c r="BC164" s="276" t="e">
        <f t="shared" si="173"/>
        <v>#N/A</v>
      </c>
      <c r="BD164" s="277" t="e">
        <f t="shared" si="174"/>
        <v>#N/A</v>
      </c>
      <c r="BE164" s="250" t="e">
        <f t="shared" si="139"/>
        <v>#N/A</v>
      </c>
      <c r="BF164" s="247">
        <f t="shared" si="175"/>
        <v>7</v>
      </c>
      <c r="BG164" s="276" t="e">
        <f t="shared" si="176"/>
        <v>#N/A</v>
      </c>
      <c r="BH164" s="277" t="e">
        <f t="shared" si="177"/>
        <v>#N/A</v>
      </c>
      <c r="BI164" s="250" t="e">
        <f t="shared" si="140"/>
        <v>#N/A</v>
      </c>
      <c r="BJ164" s="251">
        <f t="shared" si="178"/>
        <v>7</v>
      </c>
      <c r="BK164" s="278" t="e">
        <f t="shared" si="179"/>
        <v>#N/A</v>
      </c>
      <c r="BL164" s="278" t="e">
        <f t="shared" si="180"/>
        <v>#N/A</v>
      </c>
      <c r="BM164" s="279" t="e">
        <f t="shared" si="141"/>
        <v>#N/A</v>
      </c>
      <c r="BN164" s="280">
        <f t="shared" si="181"/>
        <v>7</v>
      </c>
      <c r="BO164" s="281" t="e">
        <f t="shared" si="182"/>
        <v>#N/A</v>
      </c>
      <c r="BP164" s="281" t="e">
        <f t="shared" si="183"/>
        <v>#N/A</v>
      </c>
      <c r="BQ164" s="279" t="e">
        <f t="shared" si="142"/>
        <v>#N/A</v>
      </c>
      <c r="BR164" s="282" t="e">
        <f t="shared" si="143"/>
        <v>#N/A</v>
      </c>
      <c r="BS164" s="217" t="e">
        <f>VLOOKUP($B164,SDR24_STOCK_BY_LA!$A$2:$C$11878,3,0)</f>
        <v>#N/A</v>
      </c>
      <c r="BT164" s="217" t="str">
        <f t="shared" si="184"/>
        <v/>
      </c>
    </row>
    <row r="165" spans="1:72" x14ac:dyDescent="0.2">
      <c r="A165" s="256" t="str">
        <f t="shared" si="185"/>
        <v/>
      </c>
      <c r="B165" s="217" t="str">
        <f t="shared" si="186"/>
        <v/>
      </c>
      <c r="C165" s="257" t="str">
        <f t="shared" si="144"/>
        <v/>
      </c>
      <c r="D165" s="256" t="str">
        <f>IF(B165="","",IF(totals!$Q$3=0,IFERROR(IF(AD165=2,"0",AE165),""),"-"))</f>
        <v/>
      </c>
      <c r="E165" s="258" t="str">
        <f t="shared" si="145"/>
        <v/>
      </c>
      <c r="F165" s="259" t="str">
        <f t="shared" si="146"/>
        <v/>
      </c>
      <c r="G165" s="259" t="str">
        <f t="shared" si="147"/>
        <v/>
      </c>
      <c r="H165" s="256" t="str">
        <f t="shared" si="125"/>
        <v/>
      </c>
      <c r="I165" s="259" t="str">
        <f t="shared" si="148"/>
        <v/>
      </c>
      <c r="J165" s="259" t="str">
        <f t="shared" si="149"/>
        <v/>
      </c>
      <c r="K165" s="256" t="str">
        <f t="shared" si="126"/>
        <v/>
      </c>
      <c r="L165" s="259" t="str">
        <f t="shared" si="127"/>
        <v/>
      </c>
      <c r="M165" s="259" t="str">
        <f t="shared" si="150"/>
        <v/>
      </c>
      <c r="N165" s="256" t="str">
        <f t="shared" si="151"/>
        <v/>
      </c>
      <c r="O165" s="259" t="str">
        <f t="shared" si="152"/>
        <v/>
      </c>
      <c r="P165" s="259" t="str">
        <f t="shared" si="153"/>
        <v/>
      </c>
      <c r="Q165" s="256" t="str">
        <f t="shared" si="154"/>
        <v/>
      </c>
      <c r="R165" s="259" t="str">
        <f t="shared" si="155"/>
        <v/>
      </c>
      <c r="S165" s="259" t="str">
        <f t="shared" si="156"/>
        <v/>
      </c>
      <c r="T165" s="256" t="str">
        <f t="shared" si="157"/>
        <v/>
      </c>
      <c r="U165" s="217"/>
      <c r="V165" s="217"/>
      <c r="AB165" s="257" t="e">
        <f>VLOOKUP($B$6,Lookup_Source,158,0)</f>
        <v>#N/A</v>
      </c>
      <c r="AC165" s="241" t="str">
        <f t="shared" si="158"/>
        <v/>
      </c>
      <c r="AD165" s="242">
        <f t="shared" si="159"/>
        <v>7</v>
      </c>
      <c r="AE165" s="261" t="e">
        <f t="shared" si="128"/>
        <v>#N/A</v>
      </c>
      <c r="AF165" s="264" t="e">
        <f t="shared" si="160"/>
        <v>#N/A</v>
      </c>
      <c r="AG165" s="264" t="e">
        <f t="shared" si="161"/>
        <v>#N/A</v>
      </c>
      <c r="AH165" s="263" t="e">
        <f t="shared" si="129"/>
        <v>#N/A</v>
      </c>
      <c r="AI165" s="226">
        <f t="shared" si="162"/>
        <v>7</v>
      </c>
      <c r="AJ165" s="264" t="e">
        <f t="shared" si="130"/>
        <v>#N/A</v>
      </c>
      <c r="AK165" s="264" t="e">
        <f t="shared" si="163"/>
        <v>#N/A</v>
      </c>
      <c r="AL165" s="226" t="e">
        <f t="shared" si="131"/>
        <v>#N/A</v>
      </c>
      <c r="AM165" s="265" t="e">
        <f t="shared" si="164"/>
        <v>#N/A</v>
      </c>
      <c r="AN165" s="266" t="e">
        <f t="shared" si="132"/>
        <v>#N/A</v>
      </c>
      <c r="AO165" s="227" t="e">
        <f t="shared" si="133"/>
        <v>#N/A</v>
      </c>
      <c r="AP165" s="284">
        <f t="shared" si="165"/>
        <v>7</v>
      </c>
      <c r="AQ165" s="285" t="e">
        <f t="shared" si="134"/>
        <v>#N/A</v>
      </c>
      <c r="AR165" s="266" t="e">
        <f t="shared" si="166"/>
        <v>#N/A</v>
      </c>
      <c r="AS165" s="270" t="e">
        <f t="shared" si="135"/>
        <v>#N/A</v>
      </c>
      <c r="AT165" s="271">
        <f t="shared" si="167"/>
        <v>7</v>
      </c>
      <c r="AU165" s="272" t="e">
        <f t="shared" si="168"/>
        <v>#N/A</v>
      </c>
      <c r="AV165" s="273" t="e">
        <f t="shared" si="169"/>
        <v>#N/A</v>
      </c>
      <c r="AW165" s="274" t="e">
        <f t="shared" si="136"/>
        <v>#N/A</v>
      </c>
      <c r="AX165" s="232">
        <f t="shared" si="170"/>
        <v>7</v>
      </c>
      <c r="AY165" s="273" t="e">
        <f t="shared" si="137"/>
        <v>#N/A</v>
      </c>
      <c r="AZ165" s="232" t="e">
        <f t="shared" si="171"/>
        <v>#N/A</v>
      </c>
      <c r="BA165" s="232" t="e">
        <f t="shared" si="138"/>
        <v>#N/A</v>
      </c>
      <c r="BB165" s="275">
        <f t="shared" si="172"/>
        <v>7</v>
      </c>
      <c r="BC165" s="276" t="e">
        <f t="shared" si="173"/>
        <v>#N/A</v>
      </c>
      <c r="BD165" s="277" t="e">
        <f t="shared" si="174"/>
        <v>#N/A</v>
      </c>
      <c r="BE165" s="250" t="e">
        <f t="shared" si="139"/>
        <v>#N/A</v>
      </c>
      <c r="BF165" s="247">
        <f t="shared" si="175"/>
        <v>7</v>
      </c>
      <c r="BG165" s="276" t="e">
        <f t="shared" si="176"/>
        <v>#N/A</v>
      </c>
      <c r="BH165" s="277" t="e">
        <f t="shared" si="177"/>
        <v>#N/A</v>
      </c>
      <c r="BI165" s="250" t="e">
        <f t="shared" si="140"/>
        <v>#N/A</v>
      </c>
      <c r="BJ165" s="251">
        <f t="shared" si="178"/>
        <v>7</v>
      </c>
      <c r="BK165" s="278" t="e">
        <f t="shared" si="179"/>
        <v>#N/A</v>
      </c>
      <c r="BL165" s="278" t="e">
        <f t="shared" si="180"/>
        <v>#N/A</v>
      </c>
      <c r="BM165" s="279" t="e">
        <f t="shared" si="141"/>
        <v>#N/A</v>
      </c>
      <c r="BN165" s="280">
        <f t="shared" si="181"/>
        <v>7</v>
      </c>
      <c r="BO165" s="281" t="e">
        <f t="shared" si="182"/>
        <v>#N/A</v>
      </c>
      <c r="BP165" s="281" t="e">
        <f t="shared" si="183"/>
        <v>#N/A</v>
      </c>
      <c r="BQ165" s="279" t="e">
        <f t="shared" si="142"/>
        <v>#N/A</v>
      </c>
      <c r="BR165" s="282" t="e">
        <f t="shared" si="143"/>
        <v>#N/A</v>
      </c>
      <c r="BS165" s="217" t="e">
        <f>VLOOKUP($B165,SDR24_STOCK_BY_LA!$A$2:$C$11878,3,0)</f>
        <v>#N/A</v>
      </c>
      <c r="BT165" s="217" t="str">
        <f t="shared" si="184"/>
        <v/>
      </c>
    </row>
    <row r="166" spans="1:72" x14ac:dyDescent="0.2">
      <c r="A166" s="217" t="str">
        <f t="shared" si="185"/>
        <v/>
      </c>
      <c r="B166" s="217" t="str">
        <f t="shared" si="186"/>
        <v/>
      </c>
      <c r="C166" s="283" t="str">
        <f t="shared" si="144"/>
        <v/>
      </c>
      <c r="D166" s="256" t="str">
        <f>IF(B166="","",IF(totals!$Q$3=0,IFERROR(IF(AD166=2,"0",AE166),""),"-"))</f>
        <v/>
      </c>
      <c r="E166" s="258" t="str">
        <f t="shared" si="145"/>
        <v/>
      </c>
      <c r="F166" s="259" t="str">
        <f t="shared" si="146"/>
        <v/>
      </c>
      <c r="G166" s="259" t="str">
        <f t="shared" si="147"/>
        <v/>
      </c>
      <c r="H166" s="256" t="str">
        <f t="shared" si="125"/>
        <v/>
      </c>
      <c r="I166" s="259" t="str">
        <f t="shared" si="148"/>
        <v/>
      </c>
      <c r="J166" s="259" t="str">
        <f t="shared" si="149"/>
        <v/>
      </c>
      <c r="K166" s="256" t="str">
        <f t="shared" si="126"/>
        <v/>
      </c>
      <c r="L166" s="259" t="str">
        <f t="shared" si="127"/>
        <v/>
      </c>
      <c r="M166" s="259" t="str">
        <f t="shared" si="150"/>
        <v/>
      </c>
      <c r="N166" s="256" t="str">
        <f t="shared" si="151"/>
        <v/>
      </c>
      <c r="O166" s="259" t="str">
        <f t="shared" si="152"/>
        <v/>
      </c>
      <c r="P166" s="259" t="str">
        <f t="shared" si="153"/>
        <v/>
      </c>
      <c r="Q166" s="256" t="str">
        <f t="shared" si="154"/>
        <v/>
      </c>
      <c r="R166" s="259" t="str">
        <f t="shared" si="155"/>
        <v/>
      </c>
      <c r="S166" s="259" t="str">
        <f t="shared" si="156"/>
        <v/>
      </c>
      <c r="T166" s="256" t="str">
        <f t="shared" si="157"/>
        <v/>
      </c>
      <c r="U166" s="217"/>
      <c r="V166" s="217"/>
      <c r="AB166" s="217" t="e">
        <f>VLOOKUP($B$6,Lookup_Source,159,0)</f>
        <v>#N/A</v>
      </c>
      <c r="AC166" s="241" t="str">
        <f t="shared" si="158"/>
        <v/>
      </c>
      <c r="AD166" s="242">
        <f t="shared" si="159"/>
        <v>7</v>
      </c>
      <c r="AE166" s="261" t="e">
        <f t="shared" si="128"/>
        <v>#N/A</v>
      </c>
      <c r="AF166" s="264" t="e">
        <f t="shared" si="160"/>
        <v>#N/A</v>
      </c>
      <c r="AG166" s="264" t="e">
        <f t="shared" si="161"/>
        <v>#N/A</v>
      </c>
      <c r="AH166" s="263" t="e">
        <f t="shared" si="129"/>
        <v>#N/A</v>
      </c>
      <c r="AI166" s="226">
        <f t="shared" si="162"/>
        <v>7</v>
      </c>
      <c r="AJ166" s="264" t="e">
        <f t="shared" si="130"/>
        <v>#N/A</v>
      </c>
      <c r="AK166" s="264" t="e">
        <f t="shared" si="163"/>
        <v>#N/A</v>
      </c>
      <c r="AL166" s="226" t="e">
        <f t="shared" si="131"/>
        <v>#N/A</v>
      </c>
      <c r="AM166" s="265" t="e">
        <f t="shared" si="164"/>
        <v>#N/A</v>
      </c>
      <c r="AN166" s="266" t="e">
        <f t="shared" si="132"/>
        <v>#N/A</v>
      </c>
      <c r="AO166" s="227" t="e">
        <f t="shared" si="133"/>
        <v>#N/A</v>
      </c>
      <c r="AP166" s="284">
        <f t="shared" si="165"/>
        <v>7</v>
      </c>
      <c r="AQ166" s="285" t="e">
        <f t="shared" si="134"/>
        <v>#N/A</v>
      </c>
      <c r="AR166" s="266" t="e">
        <f t="shared" si="166"/>
        <v>#N/A</v>
      </c>
      <c r="AS166" s="270" t="e">
        <f t="shared" si="135"/>
        <v>#N/A</v>
      </c>
      <c r="AT166" s="271">
        <f t="shared" si="167"/>
        <v>7</v>
      </c>
      <c r="AU166" s="272" t="e">
        <f t="shared" si="168"/>
        <v>#N/A</v>
      </c>
      <c r="AV166" s="273" t="e">
        <f t="shared" si="169"/>
        <v>#N/A</v>
      </c>
      <c r="AW166" s="274" t="e">
        <f t="shared" si="136"/>
        <v>#N/A</v>
      </c>
      <c r="AX166" s="232">
        <f t="shared" si="170"/>
        <v>7</v>
      </c>
      <c r="AY166" s="273" t="e">
        <f t="shared" si="137"/>
        <v>#N/A</v>
      </c>
      <c r="AZ166" s="232" t="e">
        <f t="shared" si="171"/>
        <v>#N/A</v>
      </c>
      <c r="BA166" s="232" t="e">
        <f t="shared" si="138"/>
        <v>#N/A</v>
      </c>
      <c r="BB166" s="275">
        <f t="shared" si="172"/>
        <v>7</v>
      </c>
      <c r="BC166" s="276" t="e">
        <f t="shared" si="173"/>
        <v>#N/A</v>
      </c>
      <c r="BD166" s="277" t="e">
        <f t="shared" si="174"/>
        <v>#N/A</v>
      </c>
      <c r="BE166" s="250" t="e">
        <f t="shared" si="139"/>
        <v>#N/A</v>
      </c>
      <c r="BF166" s="247">
        <f t="shared" si="175"/>
        <v>7</v>
      </c>
      <c r="BG166" s="276" t="e">
        <f t="shared" si="176"/>
        <v>#N/A</v>
      </c>
      <c r="BH166" s="277" t="e">
        <f t="shared" si="177"/>
        <v>#N/A</v>
      </c>
      <c r="BI166" s="250" t="e">
        <f t="shared" si="140"/>
        <v>#N/A</v>
      </c>
      <c r="BJ166" s="251">
        <f t="shared" si="178"/>
        <v>7</v>
      </c>
      <c r="BK166" s="278" t="e">
        <f t="shared" si="179"/>
        <v>#N/A</v>
      </c>
      <c r="BL166" s="278" t="e">
        <f t="shared" si="180"/>
        <v>#N/A</v>
      </c>
      <c r="BM166" s="279" t="e">
        <f t="shared" si="141"/>
        <v>#N/A</v>
      </c>
      <c r="BN166" s="280">
        <f t="shared" si="181"/>
        <v>7</v>
      </c>
      <c r="BO166" s="281" t="e">
        <f t="shared" si="182"/>
        <v>#N/A</v>
      </c>
      <c r="BP166" s="281" t="e">
        <f t="shared" si="183"/>
        <v>#N/A</v>
      </c>
      <c r="BQ166" s="279" t="e">
        <f t="shared" si="142"/>
        <v>#N/A</v>
      </c>
      <c r="BR166" s="282" t="e">
        <f t="shared" si="143"/>
        <v>#N/A</v>
      </c>
      <c r="BS166" s="217" t="e">
        <f>VLOOKUP($B166,SDR24_STOCK_BY_LA!$A$2:$C$11878,3,0)</f>
        <v>#N/A</v>
      </c>
      <c r="BT166" s="217" t="str">
        <f t="shared" si="184"/>
        <v/>
      </c>
    </row>
    <row r="167" spans="1:72" x14ac:dyDescent="0.2">
      <c r="A167" s="256" t="str">
        <f t="shared" si="185"/>
        <v/>
      </c>
      <c r="B167" s="217" t="str">
        <f t="shared" si="186"/>
        <v/>
      </c>
      <c r="C167" s="257" t="str">
        <f t="shared" si="144"/>
        <v/>
      </c>
      <c r="D167" s="256" t="str">
        <f>IF(B167="","",IF(totals!$Q$3=0,IFERROR(IF(AD167=2,"0",AE167),""),"-"))</f>
        <v/>
      </c>
      <c r="E167" s="258" t="str">
        <f t="shared" si="145"/>
        <v/>
      </c>
      <c r="F167" s="259" t="str">
        <f t="shared" si="146"/>
        <v/>
      </c>
      <c r="G167" s="259" t="str">
        <f t="shared" si="147"/>
        <v/>
      </c>
      <c r="H167" s="256" t="str">
        <f t="shared" si="125"/>
        <v/>
      </c>
      <c r="I167" s="259" t="str">
        <f t="shared" si="148"/>
        <v/>
      </c>
      <c r="J167" s="259" t="str">
        <f t="shared" si="149"/>
        <v/>
      </c>
      <c r="K167" s="256" t="str">
        <f t="shared" si="126"/>
        <v/>
      </c>
      <c r="L167" s="259" t="str">
        <f t="shared" si="127"/>
        <v/>
      </c>
      <c r="M167" s="259" t="str">
        <f t="shared" si="150"/>
        <v/>
      </c>
      <c r="N167" s="256" t="str">
        <f t="shared" si="151"/>
        <v/>
      </c>
      <c r="O167" s="259" t="str">
        <f t="shared" si="152"/>
        <v/>
      </c>
      <c r="P167" s="259" t="str">
        <f t="shared" si="153"/>
        <v/>
      </c>
      <c r="Q167" s="256" t="str">
        <f t="shared" si="154"/>
        <v/>
      </c>
      <c r="R167" s="259" t="str">
        <f t="shared" si="155"/>
        <v/>
      </c>
      <c r="S167" s="259" t="str">
        <f t="shared" si="156"/>
        <v/>
      </c>
      <c r="T167" s="256" t="str">
        <f t="shared" si="157"/>
        <v/>
      </c>
      <c r="U167" s="217"/>
      <c r="V167" s="217"/>
      <c r="AB167" s="257" t="e">
        <f>VLOOKUP($B$6,Lookup_Source,160,0)</f>
        <v>#N/A</v>
      </c>
      <c r="AC167" s="241" t="str">
        <f t="shared" si="158"/>
        <v/>
      </c>
      <c r="AD167" s="242">
        <f t="shared" si="159"/>
        <v>7</v>
      </c>
      <c r="AE167" s="261" t="e">
        <f t="shared" si="128"/>
        <v>#N/A</v>
      </c>
      <c r="AF167" s="264" t="e">
        <f t="shared" si="160"/>
        <v>#N/A</v>
      </c>
      <c r="AG167" s="264" t="e">
        <f t="shared" si="161"/>
        <v>#N/A</v>
      </c>
      <c r="AH167" s="263" t="e">
        <f t="shared" si="129"/>
        <v>#N/A</v>
      </c>
      <c r="AI167" s="226">
        <f t="shared" si="162"/>
        <v>7</v>
      </c>
      <c r="AJ167" s="264" t="e">
        <f t="shared" si="130"/>
        <v>#N/A</v>
      </c>
      <c r="AK167" s="264" t="e">
        <f t="shared" si="163"/>
        <v>#N/A</v>
      </c>
      <c r="AL167" s="226" t="e">
        <f t="shared" si="131"/>
        <v>#N/A</v>
      </c>
      <c r="AM167" s="265" t="e">
        <f t="shared" si="164"/>
        <v>#N/A</v>
      </c>
      <c r="AN167" s="266" t="e">
        <f t="shared" si="132"/>
        <v>#N/A</v>
      </c>
      <c r="AO167" s="227" t="e">
        <f t="shared" si="133"/>
        <v>#N/A</v>
      </c>
      <c r="AP167" s="284">
        <f t="shared" si="165"/>
        <v>7</v>
      </c>
      <c r="AQ167" s="285" t="e">
        <f t="shared" si="134"/>
        <v>#N/A</v>
      </c>
      <c r="AR167" s="266" t="e">
        <f t="shared" si="166"/>
        <v>#N/A</v>
      </c>
      <c r="AS167" s="270" t="e">
        <f t="shared" si="135"/>
        <v>#N/A</v>
      </c>
      <c r="AT167" s="271">
        <f t="shared" si="167"/>
        <v>7</v>
      </c>
      <c r="AU167" s="272" t="e">
        <f t="shared" si="168"/>
        <v>#N/A</v>
      </c>
      <c r="AV167" s="273" t="e">
        <f t="shared" si="169"/>
        <v>#N/A</v>
      </c>
      <c r="AW167" s="274" t="e">
        <f t="shared" si="136"/>
        <v>#N/A</v>
      </c>
      <c r="AX167" s="232">
        <f t="shared" si="170"/>
        <v>7</v>
      </c>
      <c r="AY167" s="273" t="e">
        <f t="shared" si="137"/>
        <v>#N/A</v>
      </c>
      <c r="AZ167" s="232" t="e">
        <f t="shared" si="171"/>
        <v>#N/A</v>
      </c>
      <c r="BA167" s="232" t="e">
        <f t="shared" si="138"/>
        <v>#N/A</v>
      </c>
      <c r="BB167" s="275">
        <f t="shared" si="172"/>
        <v>7</v>
      </c>
      <c r="BC167" s="276" t="e">
        <f t="shared" si="173"/>
        <v>#N/A</v>
      </c>
      <c r="BD167" s="277" t="e">
        <f t="shared" si="174"/>
        <v>#N/A</v>
      </c>
      <c r="BE167" s="250" t="e">
        <f t="shared" si="139"/>
        <v>#N/A</v>
      </c>
      <c r="BF167" s="247">
        <f t="shared" si="175"/>
        <v>7</v>
      </c>
      <c r="BG167" s="276" t="e">
        <f t="shared" si="176"/>
        <v>#N/A</v>
      </c>
      <c r="BH167" s="277" t="e">
        <f t="shared" si="177"/>
        <v>#N/A</v>
      </c>
      <c r="BI167" s="250" t="e">
        <f t="shared" si="140"/>
        <v>#N/A</v>
      </c>
      <c r="BJ167" s="251">
        <f t="shared" si="178"/>
        <v>7</v>
      </c>
      <c r="BK167" s="278" t="e">
        <f t="shared" si="179"/>
        <v>#N/A</v>
      </c>
      <c r="BL167" s="278" t="e">
        <f t="shared" si="180"/>
        <v>#N/A</v>
      </c>
      <c r="BM167" s="279" t="e">
        <f t="shared" si="141"/>
        <v>#N/A</v>
      </c>
      <c r="BN167" s="280">
        <f t="shared" si="181"/>
        <v>7</v>
      </c>
      <c r="BO167" s="281" t="e">
        <f t="shared" si="182"/>
        <v>#N/A</v>
      </c>
      <c r="BP167" s="281" t="e">
        <f t="shared" si="183"/>
        <v>#N/A</v>
      </c>
      <c r="BQ167" s="279" t="e">
        <f t="shared" si="142"/>
        <v>#N/A</v>
      </c>
      <c r="BR167" s="282" t="e">
        <f t="shared" si="143"/>
        <v>#N/A</v>
      </c>
      <c r="BS167" s="217" t="e">
        <f>VLOOKUP($B167,SDR24_STOCK_BY_LA!$A$2:$C$11878,3,0)</f>
        <v>#N/A</v>
      </c>
      <c r="BT167" s="217" t="str">
        <f t="shared" si="184"/>
        <v/>
      </c>
    </row>
    <row r="168" spans="1:72" x14ac:dyDescent="0.2">
      <c r="A168" s="217" t="str">
        <f t="shared" si="185"/>
        <v/>
      </c>
      <c r="B168" s="217" t="str">
        <f t="shared" si="186"/>
        <v/>
      </c>
      <c r="C168" s="283" t="str">
        <f t="shared" si="144"/>
        <v/>
      </c>
      <c r="D168" s="256" t="str">
        <f>IF(B168="","",IF(totals!$Q$3=0,IFERROR(IF(AD168=2,"0",AE168),""),"-"))</f>
        <v/>
      </c>
      <c r="E168" s="258" t="str">
        <f t="shared" si="145"/>
        <v/>
      </c>
      <c r="F168" s="259" t="str">
        <f t="shared" si="146"/>
        <v/>
      </c>
      <c r="G168" s="259" t="str">
        <f t="shared" si="147"/>
        <v/>
      </c>
      <c r="H168" s="256" t="str">
        <f t="shared" si="125"/>
        <v/>
      </c>
      <c r="I168" s="259" t="str">
        <f t="shared" si="148"/>
        <v/>
      </c>
      <c r="J168" s="259" t="str">
        <f t="shared" si="149"/>
        <v/>
      </c>
      <c r="K168" s="256" t="str">
        <f t="shared" si="126"/>
        <v/>
      </c>
      <c r="L168" s="259" t="str">
        <f t="shared" si="127"/>
        <v/>
      </c>
      <c r="M168" s="259" t="str">
        <f t="shared" si="150"/>
        <v/>
      </c>
      <c r="N168" s="256" t="str">
        <f t="shared" si="151"/>
        <v/>
      </c>
      <c r="O168" s="259" t="str">
        <f t="shared" si="152"/>
        <v/>
      </c>
      <c r="P168" s="259" t="str">
        <f t="shared" si="153"/>
        <v/>
      </c>
      <c r="Q168" s="256" t="str">
        <f t="shared" si="154"/>
        <v/>
      </c>
      <c r="R168" s="259" t="str">
        <f t="shared" si="155"/>
        <v/>
      </c>
      <c r="S168" s="259" t="str">
        <f t="shared" si="156"/>
        <v/>
      </c>
      <c r="T168" s="256" t="str">
        <f t="shared" si="157"/>
        <v/>
      </c>
      <c r="U168" s="217"/>
      <c r="V168" s="217"/>
      <c r="AB168" s="217" t="e">
        <f>VLOOKUP($B$6,Lookup_Source,161,0)</f>
        <v>#N/A</v>
      </c>
      <c r="AC168" s="241" t="str">
        <f t="shared" si="158"/>
        <v/>
      </c>
      <c r="AD168" s="242">
        <f t="shared" si="159"/>
        <v>7</v>
      </c>
      <c r="AE168" s="261" t="e">
        <f t="shared" si="128"/>
        <v>#N/A</v>
      </c>
      <c r="AF168" s="264" t="e">
        <f t="shared" si="160"/>
        <v>#N/A</v>
      </c>
      <c r="AG168" s="264" t="e">
        <f t="shared" si="161"/>
        <v>#N/A</v>
      </c>
      <c r="AH168" s="263" t="e">
        <f t="shared" si="129"/>
        <v>#N/A</v>
      </c>
      <c r="AI168" s="226">
        <f t="shared" si="162"/>
        <v>7</v>
      </c>
      <c r="AJ168" s="264" t="e">
        <f t="shared" si="130"/>
        <v>#N/A</v>
      </c>
      <c r="AK168" s="264" t="e">
        <f t="shared" si="163"/>
        <v>#N/A</v>
      </c>
      <c r="AL168" s="226" t="e">
        <f t="shared" si="131"/>
        <v>#N/A</v>
      </c>
      <c r="AM168" s="265" t="e">
        <f t="shared" si="164"/>
        <v>#N/A</v>
      </c>
      <c r="AN168" s="266" t="e">
        <f t="shared" si="132"/>
        <v>#N/A</v>
      </c>
      <c r="AO168" s="227" t="e">
        <f t="shared" si="133"/>
        <v>#N/A</v>
      </c>
      <c r="AP168" s="284">
        <f t="shared" si="165"/>
        <v>7</v>
      </c>
      <c r="AQ168" s="285" t="e">
        <f t="shared" si="134"/>
        <v>#N/A</v>
      </c>
      <c r="AR168" s="266" t="e">
        <f t="shared" si="166"/>
        <v>#N/A</v>
      </c>
      <c r="AS168" s="270" t="e">
        <f t="shared" si="135"/>
        <v>#N/A</v>
      </c>
      <c r="AT168" s="271">
        <f t="shared" si="167"/>
        <v>7</v>
      </c>
      <c r="AU168" s="272" t="e">
        <f t="shared" si="168"/>
        <v>#N/A</v>
      </c>
      <c r="AV168" s="273" t="e">
        <f t="shared" si="169"/>
        <v>#N/A</v>
      </c>
      <c r="AW168" s="274" t="e">
        <f t="shared" si="136"/>
        <v>#N/A</v>
      </c>
      <c r="AX168" s="232">
        <f t="shared" si="170"/>
        <v>7</v>
      </c>
      <c r="AY168" s="273" t="e">
        <f t="shared" si="137"/>
        <v>#N/A</v>
      </c>
      <c r="AZ168" s="232" t="e">
        <f t="shared" si="171"/>
        <v>#N/A</v>
      </c>
      <c r="BA168" s="232" t="e">
        <f t="shared" si="138"/>
        <v>#N/A</v>
      </c>
      <c r="BB168" s="275">
        <f t="shared" si="172"/>
        <v>7</v>
      </c>
      <c r="BC168" s="276" t="e">
        <f t="shared" si="173"/>
        <v>#N/A</v>
      </c>
      <c r="BD168" s="277" t="e">
        <f t="shared" si="174"/>
        <v>#N/A</v>
      </c>
      <c r="BE168" s="250" t="e">
        <f t="shared" si="139"/>
        <v>#N/A</v>
      </c>
      <c r="BF168" s="247">
        <f t="shared" si="175"/>
        <v>7</v>
      </c>
      <c r="BG168" s="276" t="e">
        <f t="shared" si="176"/>
        <v>#N/A</v>
      </c>
      <c r="BH168" s="277" t="e">
        <f t="shared" si="177"/>
        <v>#N/A</v>
      </c>
      <c r="BI168" s="250" t="e">
        <f t="shared" si="140"/>
        <v>#N/A</v>
      </c>
      <c r="BJ168" s="251">
        <f t="shared" si="178"/>
        <v>7</v>
      </c>
      <c r="BK168" s="278" t="e">
        <f t="shared" si="179"/>
        <v>#N/A</v>
      </c>
      <c r="BL168" s="278" t="e">
        <f t="shared" si="180"/>
        <v>#N/A</v>
      </c>
      <c r="BM168" s="279" t="e">
        <f t="shared" si="141"/>
        <v>#N/A</v>
      </c>
      <c r="BN168" s="280">
        <f t="shared" si="181"/>
        <v>7</v>
      </c>
      <c r="BO168" s="281" t="e">
        <f t="shared" si="182"/>
        <v>#N/A</v>
      </c>
      <c r="BP168" s="281" t="e">
        <f t="shared" si="183"/>
        <v>#N/A</v>
      </c>
      <c r="BQ168" s="279" t="e">
        <f t="shared" si="142"/>
        <v>#N/A</v>
      </c>
      <c r="BR168" s="282" t="e">
        <f t="shared" si="143"/>
        <v>#N/A</v>
      </c>
      <c r="BS168" s="217" t="e">
        <f>VLOOKUP($B168,SDR24_STOCK_BY_LA!$A$2:$C$11878,3,0)</f>
        <v>#N/A</v>
      </c>
      <c r="BT168" s="217" t="str">
        <f t="shared" si="184"/>
        <v/>
      </c>
    </row>
    <row r="169" spans="1:72" x14ac:dyDescent="0.2">
      <c r="A169" s="256" t="str">
        <f t="shared" si="185"/>
        <v/>
      </c>
      <c r="B169" s="217" t="str">
        <f t="shared" si="186"/>
        <v/>
      </c>
      <c r="C169" s="257" t="str">
        <f t="shared" si="144"/>
        <v/>
      </c>
      <c r="D169" s="256" t="str">
        <f>IF(B169="","",IF(totals!$Q$3=0,IFERROR(IF(AD169=2,"0",AE169),""),"-"))</f>
        <v/>
      </c>
      <c r="E169" s="258" t="str">
        <f t="shared" si="145"/>
        <v/>
      </c>
      <c r="F169" s="259" t="str">
        <f t="shared" si="146"/>
        <v/>
      </c>
      <c r="G169" s="259" t="str">
        <f t="shared" si="147"/>
        <v/>
      </c>
      <c r="H169" s="256" t="str">
        <f t="shared" si="125"/>
        <v/>
      </c>
      <c r="I169" s="259" t="str">
        <f t="shared" si="148"/>
        <v/>
      </c>
      <c r="J169" s="259" t="str">
        <f t="shared" si="149"/>
        <v/>
      </c>
      <c r="K169" s="256" t="str">
        <f t="shared" si="126"/>
        <v/>
      </c>
      <c r="L169" s="259" t="str">
        <f t="shared" si="127"/>
        <v/>
      </c>
      <c r="M169" s="259" t="str">
        <f t="shared" si="150"/>
        <v/>
      </c>
      <c r="N169" s="256" t="str">
        <f t="shared" si="151"/>
        <v/>
      </c>
      <c r="O169" s="259" t="str">
        <f t="shared" si="152"/>
        <v/>
      </c>
      <c r="P169" s="259" t="str">
        <f t="shared" si="153"/>
        <v/>
      </c>
      <c r="Q169" s="256" t="str">
        <f t="shared" si="154"/>
        <v/>
      </c>
      <c r="R169" s="259" t="str">
        <f t="shared" si="155"/>
        <v/>
      </c>
      <c r="S169" s="259" t="str">
        <f t="shared" si="156"/>
        <v/>
      </c>
      <c r="T169" s="256" t="str">
        <f t="shared" si="157"/>
        <v/>
      </c>
      <c r="U169" s="217"/>
      <c r="V169" s="217"/>
      <c r="AB169" s="257" t="e">
        <f>VLOOKUP($B$6,Lookup_Source,162,0)</f>
        <v>#N/A</v>
      </c>
      <c r="AC169" s="241" t="str">
        <f t="shared" si="158"/>
        <v/>
      </c>
      <c r="AD169" s="242">
        <f t="shared" si="159"/>
        <v>7</v>
      </c>
      <c r="AE169" s="261" t="e">
        <f t="shared" si="128"/>
        <v>#N/A</v>
      </c>
      <c r="AF169" s="264" t="e">
        <f t="shared" si="160"/>
        <v>#N/A</v>
      </c>
      <c r="AG169" s="264" t="e">
        <f t="shared" si="161"/>
        <v>#N/A</v>
      </c>
      <c r="AH169" s="263" t="e">
        <f t="shared" si="129"/>
        <v>#N/A</v>
      </c>
      <c r="AI169" s="226">
        <f t="shared" si="162"/>
        <v>7</v>
      </c>
      <c r="AJ169" s="264" t="e">
        <f t="shared" si="130"/>
        <v>#N/A</v>
      </c>
      <c r="AK169" s="264" t="e">
        <f t="shared" si="163"/>
        <v>#N/A</v>
      </c>
      <c r="AL169" s="226" t="e">
        <f t="shared" si="131"/>
        <v>#N/A</v>
      </c>
      <c r="AM169" s="265" t="e">
        <f t="shared" si="164"/>
        <v>#N/A</v>
      </c>
      <c r="AN169" s="266" t="e">
        <f t="shared" si="132"/>
        <v>#N/A</v>
      </c>
      <c r="AO169" s="227" t="e">
        <f t="shared" si="133"/>
        <v>#N/A</v>
      </c>
      <c r="AP169" s="284">
        <f t="shared" si="165"/>
        <v>7</v>
      </c>
      <c r="AQ169" s="285" t="e">
        <f t="shared" si="134"/>
        <v>#N/A</v>
      </c>
      <c r="AR169" s="266" t="e">
        <f t="shared" si="166"/>
        <v>#N/A</v>
      </c>
      <c r="AS169" s="270" t="e">
        <f t="shared" si="135"/>
        <v>#N/A</v>
      </c>
      <c r="AT169" s="271">
        <f t="shared" si="167"/>
        <v>7</v>
      </c>
      <c r="AU169" s="272" t="e">
        <f t="shared" si="168"/>
        <v>#N/A</v>
      </c>
      <c r="AV169" s="273" t="e">
        <f t="shared" si="169"/>
        <v>#N/A</v>
      </c>
      <c r="AW169" s="274" t="e">
        <f t="shared" si="136"/>
        <v>#N/A</v>
      </c>
      <c r="AX169" s="232">
        <f t="shared" si="170"/>
        <v>7</v>
      </c>
      <c r="AY169" s="273" t="e">
        <f t="shared" si="137"/>
        <v>#N/A</v>
      </c>
      <c r="AZ169" s="232" t="e">
        <f t="shared" si="171"/>
        <v>#N/A</v>
      </c>
      <c r="BA169" s="232" t="e">
        <f t="shared" si="138"/>
        <v>#N/A</v>
      </c>
      <c r="BB169" s="275">
        <f t="shared" si="172"/>
        <v>7</v>
      </c>
      <c r="BC169" s="276" t="e">
        <f t="shared" si="173"/>
        <v>#N/A</v>
      </c>
      <c r="BD169" s="277" t="e">
        <f t="shared" si="174"/>
        <v>#N/A</v>
      </c>
      <c r="BE169" s="250" t="e">
        <f t="shared" si="139"/>
        <v>#N/A</v>
      </c>
      <c r="BF169" s="247">
        <f t="shared" si="175"/>
        <v>7</v>
      </c>
      <c r="BG169" s="276" t="e">
        <f t="shared" si="176"/>
        <v>#N/A</v>
      </c>
      <c r="BH169" s="277" t="e">
        <f t="shared" si="177"/>
        <v>#N/A</v>
      </c>
      <c r="BI169" s="250" t="e">
        <f t="shared" si="140"/>
        <v>#N/A</v>
      </c>
      <c r="BJ169" s="251">
        <f t="shared" si="178"/>
        <v>7</v>
      </c>
      <c r="BK169" s="278" t="e">
        <f t="shared" si="179"/>
        <v>#N/A</v>
      </c>
      <c r="BL169" s="278" t="e">
        <f t="shared" si="180"/>
        <v>#N/A</v>
      </c>
      <c r="BM169" s="279" t="e">
        <f t="shared" si="141"/>
        <v>#N/A</v>
      </c>
      <c r="BN169" s="280">
        <f t="shared" si="181"/>
        <v>7</v>
      </c>
      <c r="BO169" s="281" t="e">
        <f t="shared" si="182"/>
        <v>#N/A</v>
      </c>
      <c r="BP169" s="281" t="e">
        <f t="shared" si="183"/>
        <v>#N/A</v>
      </c>
      <c r="BQ169" s="279" t="e">
        <f t="shared" si="142"/>
        <v>#N/A</v>
      </c>
      <c r="BR169" s="282" t="e">
        <f t="shared" si="143"/>
        <v>#N/A</v>
      </c>
      <c r="BS169" s="217" t="e">
        <f>VLOOKUP($B169,SDR24_STOCK_BY_LA!$A$2:$C$11878,3,0)</f>
        <v>#N/A</v>
      </c>
      <c r="BT169" s="217" t="str">
        <f t="shared" si="184"/>
        <v/>
      </c>
    </row>
    <row r="170" spans="1:72" x14ac:dyDescent="0.2">
      <c r="A170" s="217" t="str">
        <f t="shared" si="185"/>
        <v/>
      </c>
      <c r="B170" s="217" t="str">
        <f t="shared" si="186"/>
        <v/>
      </c>
      <c r="C170" s="283" t="str">
        <f t="shared" si="144"/>
        <v/>
      </c>
      <c r="D170" s="256" t="str">
        <f>IF(B170="","",IF(totals!$Q$3=0,IFERROR(IF(AD170=2,"0",AE170),""),"-"))</f>
        <v/>
      </c>
      <c r="E170" s="258" t="str">
        <f t="shared" si="145"/>
        <v/>
      </c>
      <c r="F170" s="259" t="str">
        <f t="shared" si="146"/>
        <v/>
      </c>
      <c r="G170" s="259" t="str">
        <f t="shared" si="147"/>
        <v/>
      </c>
      <c r="H170" s="256" t="str">
        <f t="shared" si="125"/>
        <v/>
      </c>
      <c r="I170" s="259" t="str">
        <f t="shared" si="148"/>
        <v/>
      </c>
      <c r="J170" s="259" t="str">
        <f t="shared" si="149"/>
        <v/>
      </c>
      <c r="K170" s="256" t="str">
        <f t="shared" si="126"/>
        <v/>
      </c>
      <c r="L170" s="259" t="str">
        <f t="shared" si="127"/>
        <v/>
      </c>
      <c r="M170" s="259" t="str">
        <f t="shared" si="150"/>
        <v/>
      </c>
      <c r="N170" s="256" t="str">
        <f t="shared" si="151"/>
        <v/>
      </c>
      <c r="O170" s="259" t="str">
        <f t="shared" si="152"/>
        <v/>
      </c>
      <c r="P170" s="259" t="str">
        <f t="shared" si="153"/>
        <v/>
      </c>
      <c r="Q170" s="256" t="str">
        <f t="shared" si="154"/>
        <v/>
      </c>
      <c r="R170" s="259" t="str">
        <f t="shared" si="155"/>
        <v/>
      </c>
      <c r="S170" s="259" t="str">
        <f t="shared" si="156"/>
        <v/>
      </c>
      <c r="T170" s="256" t="str">
        <f t="shared" si="157"/>
        <v/>
      </c>
      <c r="U170" s="217"/>
      <c r="V170" s="217"/>
      <c r="AB170" s="217" t="e">
        <f>VLOOKUP($B$6,Lookup_Source,163,0)</f>
        <v>#N/A</v>
      </c>
      <c r="AC170" s="241" t="str">
        <f t="shared" si="158"/>
        <v/>
      </c>
      <c r="AD170" s="242">
        <f t="shared" si="159"/>
        <v>7</v>
      </c>
      <c r="AE170" s="261" t="e">
        <f t="shared" si="128"/>
        <v>#N/A</v>
      </c>
      <c r="AF170" s="264" t="e">
        <f t="shared" si="160"/>
        <v>#N/A</v>
      </c>
      <c r="AG170" s="264" t="e">
        <f t="shared" si="161"/>
        <v>#N/A</v>
      </c>
      <c r="AH170" s="263" t="e">
        <f t="shared" si="129"/>
        <v>#N/A</v>
      </c>
      <c r="AI170" s="226">
        <f t="shared" si="162"/>
        <v>7</v>
      </c>
      <c r="AJ170" s="264" t="e">
        <f t="shared" si="130"/>
        <v>#N/A</v>
      </c>
      <c r="AK170" s="264" t="e">
        <f t="shared" si="163"/>
        <v>#N/A</v>
      </c>
      <c r="AL170" s="226" t="e">
        <f t="shared" si="131"/>
        <v>#N/A</v>
      </c>
      <c r="AM170" s="265" t="e">
        <f t="shared" si="164"/>
        <v>#N/A</v>
      </c>
      <c r="AN170" s="266" t="e">
        <f t="shared" si="132"/>
        <v>#N/A</v>
      </c>
      <c r="AO170" s="227" t="e">
        <f t="shared" si="133"/>
        <v>#N/A</v>
      </c>
      <c r="AP170" s="284">
        <f t="shared" si="165"/>
        <v>7</v>
      </c>
      <c r="AQ170" s="285" t="e">
        <f t="shared" si="134"/>
        <v>#N/A</v>
      </c>
      <c r="AR170" s="266" t="e">
        <f t="shared" si="166"/>
        <v>#N/A</v>
      </c>
      <c r="AS170" s="270" t="e">
        <f t="shared" si="135"/>
        <v>#N/A</v>
      </c>
      <c r="AT170" s="271">
        <f t="shared" si="167"/>
        <v>7</v>
      </c>
      <c r="AU170" s="272" t="e">
        <f t="shared" si="168"/>
        <v>#N/A</v>
      </c>
      <c r="AV170" s="273" t="e">
        <f t="shared" si="169"/>
        <v>#N/A</v>
      </c>
      <c r="AW170" s="274" t="e">
        <f t="shared" si="136"/>
        <v>#N/A</v>
      </c>
      <c r="AX170" s="232">
        <f t="shared" si="170"/>
        <v>7</v>
      </c>
      <c r="AY170" s="273" t="e">
        <f t="shared" si="137"/>
        <v>#N/A</v>
      </c>
      <c r="AZ170" s="232" t="e">
        <f t="shared" si="171"/>
        <v>#N/A</v>
      </c>
      <c r="BA170" s="232" t="e">
        <f t="shared" si="138"/>
        <v>#N/A</v>
      </c>
      <c r="BB170" s="275">
        <f t="shared" si="172"/>
        <v>7</v>
      </c>
      <c r="BC170" s="276" t="e">
        <f t="shared" si="173"/>
        <v>#N/A</v>
      </c>
      <c r="BD170" s="277" t="e">
        <f t="shared" si="174"/>
        <v>#N/A</v>
      </c>
      <c r="BE170" s="250" t="e">
        <f t="shared" si="139"/>
        <v>#N/A</v>
      </c>
      <c r="BF170" s="247">
        <f t="shared" si="175"/>
        <v>7</v>
      </c>
      <c r="BG170" s="276" t="e">
        <f t="shared" si="176"/>
        <v>#N/A</v>
      </c>
      <c r="BH170" s="277" t="e">
        <f t="shared" si="177"/>
        <v>#N/A</v>
      </c>
      <c r="BI170" s="250" t="e">
        <f t="shared" si="140"/>
        <v>#N/A</v>
      </c>
      <c r="BJ170" s="251">
        <f t="shared" si="178"/>
        <v>7</v>
      </c>
      <c r="BK170" s="278" t="e">
        <f t="shared" si="179"/>
        <v>#N/A</v>
      </c>
      <c r="BL170" s="278" t="e">
        <f t="shared" si="180"/>
        <v>#N/A</v>
      </c>
      <c r="BM170" s="279" t="e">
        <f t="shared" si="141"/>
        <v>#N/A</v>
      </c>
      <c r="BN170" s="280">
        <f t="shared" si="181"/>
        <v>7</v>
      </c>
      <c r="BO170" s="281" t="e">
        <f t="shared" si="182"/>
        <v>#N/A</v>
      </c>
      <c r="BP170" s="281" t="e">
        <f t="shared" si="183"/>
        <v>#N/A</v>
      </c>
      <c r="BQ170" s="279" t="e">
        <f t="shared" si="142"/>
        <v>#N/A</v>
      </c>
      <c r="BR170" s="282" t="e">
        <f t="shared" si="143"/>
        <v>#N/A</v>
      </c>
      <c r="BS170" s="217" t="e">
        <f>VLOOKUP($B170,SDR24_STOCK_BY_LA!$A$2:$C$11878,3,0)</f>
        <v>#N/A</v>
      </c>
      <c r="BT170" s="217" t="str">
        <f t="shared" si="184"/>
        <v/>
      </c>
    </row>
    <row r="171" spans="1:72" x14ac:dyDescent="0.2">
      <c r="A171" s="256" t="str">
        <f t="shared" si="185"/>
        <v/>
      </c>
      <c r="B171" s="217" t="str">
        <f t="shared" si="186"/>
        <v/>
      </c>
      <c r="C171" s="257" t="str">
        <f t="shared" si="144"/>
        <v/>
      </c>
      <c r="D171" s="256" t="str">
        <f>IF(B171="","",IF(totals!$Q$3=0,IFERROR(IF(AD171=2,"0",AE171),""),"-"))</f>
        <v/>
      </c>
      <c r="E171" s="258" t="str">
        <f t="shared" si="145"/>
        <v/>
      </c>
      <c r="F171" s="259" t="str">
        <f t="shared" si="146"/>
        <v/>
      </c>
      <c r="G171" s="259" t="str">
        <f t="shared" si="147"/>
        <v/>
      </c>
      <c r="H171" s="256" t="str">
        <f t="shared" si="125"/>
        <v/>
      </c>
      <c r="I171" s="259" t="str">
        <f t="shared" si="148"/>
        <v/>
      </c>
      <c r="J171" s="259" t="str">
        <f t="shared" si="149"/>
        <v/>
      </c>
      <c r="K171" s="256" t="str">
        <f t="shared" si="126"/>
        <v/>
      </c>
      <c r="L171" s="259" t="str">
        <f t="shared" si="127"/>
        <v/>
      </c>
      <c r="M171" s="259" t="str">
        <f t="shared" si="150"/>
        <v/>
      </c>
      <c r="N171" s="256" t="str">
        <f t="shared" si="151"/>
        <v/>
      </c>
      <c r="O171" s="259" t="str">
        <f t="shared" si="152"/>
        <v/>
      </c>
      <c r="P171" s="259" t="str">
        <f t="shared" si="153"/>
        <v/>
      </c>
      <c r="Q171" s="256" t="str">
        <f t="shared" si="154"/>
        <v/>
      </c>
      <c r="R171" s="259" t="str">
        <f t="shared" si="155"/>
        <v/>
      </c>
      <c r="S171" s="259" t="str">
        <f t="shared" si="156"/>
        <v/>
      </c>
      <c r="T171" s="256" t="str">
        <f t="shared" si="157"/>
        <v/>
      </c>
      <c r="U171" s="217"/>
      <c r="V171" s="217"/>
      <c r="AB171" s="257" t="e">
        <f>VLOOKUP($B$6,Lookup_Source,164,0)</f>
        <v>#N/A</v>
      </c>
      <c r="AC171" s="241" t="str">
        <f t="shared" si="158"/>
        <v/>
      </c>
      <c r="AD171" s="242">
        <f t="shared" si="159"/>
        <v>7</v>
      </c>
      <c r="AE171" s="261" t="e">
        <f t="shared" si="128"/>
        <v>#N/A</v>
      </c>
      <c r="AF171" s="264" t="e">
        <f t="shared" si="160"/>
        <v>#N/A</v>
      </c>
      <c r="AG171" s="264" t="e">
        <f t="shared" si="161"/>
        <v>#N/A</v>
      </c>
      <c r="AH171" s="263" t="e">
        <f t="shared" si="129"/>
        <v>#N/A</v>
      </c>
      <c r="AI171" s="226">
        <f t="shared" si="162"/>
        <v>7</v>
      </c>
      <c r="AJ171" s="264" t="e">
        <f t="shared" si="130"/>
        <v>#N/A</v>
      </c>
      <c r="AK171" s="264" t="e">
        <f t="shared" si="163"/>
        <v>#N/A</v>
      </c>
      <c r="AL171" s="226" t="e">
        <f t="shared" si="131"/>
        <v>#N/A</v>
      </c>
      <c r="AM171" s="265" t="e">
        <f t="shared" si="164"/>
        <v>#N/A</v>
      </c>
      <c r="AN171" s="266" t="e">
        <f t="shared" si="132"/>
        <v>#N/A</v>
      </c>
      <c r="AO171" s="227" t="e">
        <f t="shared" si="133"/>
        <v>#N/A</v>
      </c>
      <c r="AP171" s="284">
        <f t="shared" si="165"/>
        <v>7</v>
      </c>
      <c r="AQ171" s="285" t="e">
        <f t="shared" si="134"/>
        <v>#N/A</v>
      </c>
      <c r="AR171" s="266" t="e">
        <f t="shared" si="166"/>
        <v>#N/A</v>
      </c>
      <c r="AS171" s="270" t="e">
        <f t="shared" si="135"/>
        <v>#N/A</v>
      </c>
      <c r="AT171" s="271">
        <f t="shared" si="167"/>
        <v>7</v>
      </c>
      <c r="AU171" s="272" t="e">
        <f t="shared" si="168"/>
        <v>#N/A</v>
      </c>
      <c r="AV171" s="273" t="e">
        <f t="shared" si="169"/>
        <v>#N/A</v>
      </c>
      <c r="AW171" s="274" t="e">
        <f t="shared" si="136"/>
        <v>#N/A</v>
      </c>
      <c r="AX171" s="232">
        <f t="shared" si="170"/>
        <v>7</v>
      </c>
      <c r="AY171" s="273" t="e">
        <f t="shared" si="137"/>
        <v>#N/A</v>
      </c>
      <c r="AZ171" s="232" t="e">
        <f t="shared" si="171"/>
        <v>#N/A</v>
      </c>
      <c r="BA171" s="232" t="e">
        <f t="shared" si="138"/>
        <v>#N/A</v>
      </c>
      <c r="BB171" s="275">
        <f t="shared" si="172"/>
        <v>7</v>
      </c>
      <c r="BC171" s="276" t="e">
        <f t="shared" si="173"/>
        <v>#N/A</v>
      </c>
      <c r="BD171" s="277" t="e">
        <f t="shared" si="174"/>
        <v>#N/A</v>
      </c>
      <c r="BE171" s="250" t="e">
        <f t="shared" si="139"/>
        <v>#N/A</v>
      </c>
      <c r="BF171" s="247">
        <f t="shared" si="175"/>
        <v>7</v>
      </c>
      <c r="BG171" s="276" t="e">
        <f t="shared" si="176"/>
        <v>#N/A</v>
      </c>
      <c r="BH171" s="277" t="e">
        <f t="shared" si="177"/>
        <v>#N/A</v>
      </c>
      <c r="BI171" s="250" t="e">
        <f t="shared" si="140"/>
        <v>#N/A</v>
      </c>
      <c r="BJ171" s="251">
        <f t="shared" si="178"/>
        <v>7</v>
      </c>
      <c r="BK171" s="278" t="e">
        <f t="shared" si="179"/>
        <v>#N/A</v>
      </c>
      <c r="BL171" s="278" t="e">
        <f t="shared" si="180"/>
        <v>#N/A</v>
      </c>
      <c r="BM171" s="279" t="e">
        <f t="shared" si="141"/>
        <v>#N/A</v>
      </c>
      <c r="BN171" s="280">
        <f t="shared" si="181"/>
        <v>7</v>
      </c>
      <c r="BO171" s="281" t="e">
        <f t="shared" si="182"/>
        <v>#N/A</v>
      </c>
      <c r="BP171" s="281" t="e">
        <f t="shared" si="183"/>
        <v>#N/A</v>
      </c>
      <c r="BQ171" s="279" t="e">
        <f t="shared" si="142"/>
        <v>#N/A</v>
      </c>
      <c r="BR171" s="282" t="e">
        <f t="shared" si="143"/>
        <v>#N/A</v>
      </c>
      <c r="BS171" s="217" t="e">
        <f>VLOOKUP($B171,SDR24_STOCK_BY_LA!$A$2:$C$11878,3,0)</f>
        <v>#N/A</v>
      </c>
      <c r="BT171" s="217" t="str">
        <f t="shared" si="184"/>
        <v/>
      </c>
    </row>
    <row r="172" spans="1:72" x14ac:dyDescent="0.2">
      <c r="A172" s="217" t="str">
        <f t="shared" si="185"/>
        <v/>
      </c>
      <c r="B172" s="217" t="str">
        <f t="shared" si="186"/>
        <v/>
      </c>
      <c r="C172" s="283" t="str">
        <f t="shared" si="144"/>
        <v/>
      </c>
      <c r="D172" s="256" t="str">
        <f>IF(B172="","",IF(totals!$Q$3=0,IFERROR(IF(AD172=2,"0",AE172),""),"-"))</f>
        <v/>
      </c>
      <c r="E172" s="258" t="str">
        <f t="shared" si="145"/>
        <v/>
      </c>
      <c r="F172" s="259" t="str">
        <f t="shared" si="146"/>
        <v/>
      </c>
      <c r="G172" s="259" t="str">
        <f t="shared" si="147"/>
        <v/>
      </c>
      <c r="H172" s="256" t="str">
        <f t="shared" si="125"/>
        <v/>
      </c>
      <c r="I172" s="259" t="str">
        <f t="shared" si="148"/>
        <v/>
      </c>
      <c r="J172" s="259" t="str">
        <f t="shared" si="149"/>
        <v/>
      </c>
      <c r="K172" s="256" t="str">
        <f t="shared" si="126"/>
        <v/>
      </c>
      <c r="L172" s="259" t="str">
        <f t="shared" si="127"/>
        <v/>
      </c>
      <c r="M172" s="259" t="str">
        <f t="shared" si="150"/>
        <v/>
      </c>
      <c r="N172" s="256" t="str">
        <f t="shared" si="151"/>
        <v/>
      </c>
      <c r="O172" s="259" t="str">
        <f t="shared" si="152"/>
        <v/>
      </c>
      <c r="P172" s="259" t="str">
        <f t="shared" si="153"/>
        <v/>
      </c>
      <c r="Q172" s="256" t="str">
        <f t="shared" si="154"/>
        <v/>
      </c>
      <c r="R172" s="259" t="str">
        <f t="shared" si="155"/>
        <v/>
      </c>
      <c r="S172" s="259" t="str">
        <f t="shared" si="156"/>
        <v/>
      </c>
      <c r="T172" s="256" t="str">
        <f t="shared" si="157"/>
        <v/>
      </c>
      <c r="U172" s="217"/>
      <c r="V172" s="217"/>
      <c r="AB172" s="217" t="e">
        <f>VLOOKUP($B$6,Lookup_Source,165,0)</f>
        <v>#N/A</v>
      </c>
      <c r="AC172" s="241" t="str">
        <f t="shared" si="158"/>
        <v/>
      </c>
      <c r="AD172" s="242">
        <f t="shared" si="159"/>
        <v>7</v>
      </c>
      <c r="AE172" s="261" t="e">
        <f t="shared" si="128"/>
        <v>#N/A</v>
      </c>
      <c r="AF172" s="264" t="e">
        <f t="shared" si="160"/>
        <v>#N/A</v>
      </c>
      <c r="AG172" s="264" t="e">
        <f t="shared" si="161"/>
        <v>#N/A</v>
      </c>
      <c r="AH172" s="263" t="e">
        <f t="shared" si="129"/>
        <v>#N/A</v>
      </c>
      <c r="AI172" s="226">
        <f t="shared" si="162"/>
        <v>7</v>
      </c>
      <c r="AJ172" s="264" t="e">
        <f t="shared" si="130"/>
        <v>#N/A</v>
      </c>
      <c r="AK172" s="264" t="e">
        <f t="shared" si="163"/>
        <v>#N/A</v>
      </c>
      <c r="AL172" s="226" t="e">
        <f t="shared" si="131"/>
        <v>#N/A</v>
      </c>
      <c r="AM172" s="265" t="e">
        <f t="shared" si="164"/>
        <v>#N/A</v>
      </c>
      <c r="AN172" s="266" t="e">
        <f t="shared" si="132"/>
        <v>#N/A</v>
      </c>
      <c r="AO172" s="227" t="e">
        <f t="shared" si="133"/>
        <v>#N/A</v>
      </c>
      <c r="AP172" s="284">
        <f t="shared" si="165"/>
        <v>7</v>
      </c>
      <c r="AQ172" s="285" t="e">
        <f t="shared" si="134"/>
        <v>#N/A</v>
      </c>
      <c r="AR172" s="266" t="e">
        <f t="shared" si="166"/>
        <v>#N/A</v>
      </c>
      <c r="AS172" s="270" t="e">
        <f t="shared" si="135"/>
        <v>#N/A</v>
      </c>
      <c r="AT172" s="271">
        <f t="shared" si="167"/>
        <v>7</v>
      </c>
      <c r="AU172" s="272" t="e">
        <f t="shared" si="168"/>
        <v>#N/A</v>
      </c>
      <c r="AV172" s="273" t="e">
        <f t="shared" si="169"/>
        <v>#N/A</v>
      </c>
      <c r="AW172" s="274" t="e">
        <f t="shared" si="136"/>
        <v>#N/A</v>
      </c>
      <c r="AX172" s="232">
        <f t="shared" si="170"/>
        <v>7</v>
      </c>
      <c r="AY172" s="273" t="e">
        <f t="shared" si="137"/>
        <v>#N/A</v>
      </c>
      <c r="AZ172" s="232" t="e">
        <f t="shared" si="171"/>
        <v>#N/A</v>
      </c>
      <c r="BA172" s="232" t="e">
        <f t="shared" si="138"/>
        <v>#N/A</v>
      </c>
      <c r="BB172" s="275">
        <f t="shared" si="172"/>
        <v>7</v>
      </c>
      <c r="BC172" s="276" t="e">
        <f t="shared" si="173"/>
        <v>#N/A</v>
      </c>
      <c r="BD172" s="277" t="e">
        <f t="shared" si="174"/>
        <v>#N/A</v>
      </c>
      <c r="BE172" s="250" t="e">
        <f t="shared" si="139"/>
        <v>#N/A</v>
      </c>
      <c r="BF172" s="247">
        <f t="shared" si="175"/>
        <v>7</v>
      </c>
      <c r="BG172" s="276" t="e">
        <f t="shared" si="176"/>
        <v>#N/A</v>
      </c>
      <c r="BH172" s="277" t="e">
        <f t="shared" si="177"/>
        <v>#N/A</v>
      </c>
      <c r="BI172" s="250" t="e">
        <f t="shared" si="140"/>
        <v>#N/A</v>
      </c>
      <c r="BJ172" s="251">
        <f t="shared" si="178"/>
        <v>7</v>
      </c>
      <c r="BK172" s="278" t="e">
        <f t="shared" si="179"/>
        <v>#N/A</v>
      </c>
      <c r="BL172" s="278" t="e">
        <f t="shared" si="180"/>
        <v>#N/A</v>
      </c>
      <c r="BM172" s="279" t="e">
        <f t="shared" si="141"/>
        <v>#N/A</v>
      </c>
      <c r="BN172" s="280">
        <f t="shared" si="181"/>
        <v>7</v>
      </c>
      <c r="BO172" s="281" t="e">
        <f t="shared" si="182"/>
        <v>#N/A</v>
      </c>
      <c r="BP172" s="281" t="e">
        <f t="shared" si="183"/>
        <v>#N/A</v>
      </c>
      <c r="BQ172" s="279" t="e">
        <f t="shared" si="142"/>
        <v>#N/A</v>
      </c>
      <c r="BR172" s="282" t="e">
        <f t="shared" si="143"/>
        <v>#N/A</v>
      </c>
      <c r="BS172" s="217" t="e">
        <f>VLOOKUP($B172,SDR24_STOCK_BY_LA!$A$2:$C$11878,3,0)</f>
        <v>#N/A</v>
      </c>
      <c r="BT172" s="217" t="str">
        <f t="shared" si="184"/>
        <v/>
      </c>
    </row>
    <row r="173" spans="1:72" x14ac:dyDescent="0.2">
      <c r="A173" s="256" t="str">
        <f t="shared" si="185"/>
        <v/>
      </c>
      <c r="B173" s="217" t="str">
        <f t="shared" si="186"/>
        <v/>
      </c>
      <c r="C173" s="257" t="str">
        <f t="shared" si="144"/>
        <v/>
      </c>
      <c r="D173" s="256" t="str">
        <f>IF(B173="","",IF(totals!$Q$3=0,IFERROR(IF(AD173=2,"0",AE173),""),"-"))</f>
        <v/>
      </c>
      <c r="E173" s="258" t="str">
        <f t="shared" si="145"/>
        <v/>
      </c>
      <c r="F173" s="259" t="str">
        <f t="shared" si="146"/>
        <v/>
      </c>
      <c r="G173" s="259" t="str">
        <f t="shared" si="147"/>
        <v/>
      </c>
      <c r="H173" s="256" t="str">
        <f t="shared" si="125"/>
        <v/>
      </c>
      <c r="I173" s="259" t="str">
        <f t="shared" si="148"/>
        <v/>
      </c>
      <c r="J173" s="259" t="str">
        <f t="shared" si="149"/>
        <v/>
      </c>
      <c r="K173" s="256" t="str">
        <f t="shared" si="126"/>
        <v/>
      </c>
      <c r="L173" s="259" t="str">
        <f t="shared" si="127"/>
        <v/>
      </c>
      <c r="M173" s="259" t="str">
        <f t="shared" si="150"/>
        <v/>
      </c>
      <c r="N173" s="256" t="str">
        <f t="shared" si="151"/>
        <v/>
      </c>
      <c r="O173" s="259" t="str">
        <f t="shared" si="152"/>
        <v/>
      </c>
      <c r="P173" s="259" t="str">
        <f t="shared" si="153"/>
        <v/>
      </c>
      <c r="Q173" s="256" t="str">
        <f t="shared" si="154"/>
        <v/>
      </c>
      <c r="R173" s="259" t="str">
        <f t="shared" si="155"/>
        <v/>
      </c>
      <c r="S173" s="259" t="str">
        <f t="shared" si="156"/>
        <v/>
      </c>
      <c r="T173" s="256" t="str">
        <f t="shared" si="157"/>
        <v/>
      </c>
      <c r="U173" s="217"/>
      <c r="V173" s="217"/>
      <c r="AB173" s="257" t="e">
        <f>VLOOKUP($B$6,Lookup_Source,166,0)</f>
        <v>#N/A</v>
      </c>
      <c r="AC173" s="241" t="str">
        <f t="shared" si="158"/>
        <v/>
      </c>
      <c r="AD173" s="242">
        <f t="shared" si="159"/>
        <v>7</v>
      </c>
      <c r="AE173" s="261" t="e">
        <f t="shared" si="128"/>
        <v>#N/A</v>
      </c>
      <c r="AF173" s="264" t="e">
        <f t="shared" si="160"/>
        <v>#N/A</v>
      </c>
      <c r="AG173" s="264" t="e">
        <f t="shared" si="161"/>
        <v>#N/A</v>
      </c>
      <c r="AH173" s="263" t="e">
        <f t="shared" si="129"/>
        <v>#N/A</v>
      </c>
      <c r="AI173" s="226">
        <f t="shared" si="162"/>
        <v>7</v>
      </c>
      <c r="AJ173" s="264" t="e">
        <f t="shared" si="130"/>
        <v>#N/A</v>
      </c>
      <c r="AK173" s="264" t="e">
        <f t="shared" si="163"/>
        <v>#N/A</v>
      </c>
      <c r="AL173" s="226" t="e">
        <f t="shared" si="131"/>
        <v>#N/A</v>
      </c>
      <c r="AM173" s="265" t="e">
        <f t="shared" si="164"/>
        <v>#N/A</v>
      </c>
      <c r="AN173" s="266" t="e">
        <f t="shared" si="132"/>
        <v>#N/A</v>
      </c>
      <c r="AO173" s="227" t="e">
        <f t="shared" si="133"/>
        <v>#N/A</v>
      </c>
      <c r="AP173" s="284">
        <f t="shared" si="165"/>
        <v>7</v>
      </c>
      <c r="AQ173" s="285" t="e">
        <f t="shared" si="134"/>
        <v>#N/A</v>
      </c>
      <c r="AR173" s="266" t="e">
        <f t="shared" si="166"/>
        <v>#N/A</v>
      </c>
      <c r="AS173" s="270" t="e">
        <f t="shared" si="135"/>
        <v>#N/A</v>
      </c>
      <c r="AT173" s="271">
        <f t="shared" si="167"/>
        <v>7</v>
      </c>
      <c r="AU173" s="272" t="e">
        <f t="shared" si="168"/>
        <v>#N/A</v>
      </c>
      <c r="AV173" s="273" t="e">
        <f t="shared" si="169"/>
        <v>#N/A</v>
      </c>
      <c r="AW173" s="274" t="e">
        <f t="shared" si="136"/>
        <v>#N/A</v>
      </c>
      <c r="AX173" s="232">
        <f t="shared" si="170"/>
        <v>7</v>
      </c>
      <c r="AY173" s="273" t="e">
        <f t="shared" si="137"/>
        <v>#N/A</v>
      </c>
      <c r="AZ173" s="232" t="e">
        <f t="shared" si="171"/>
        <v>#N/A</v>
      </c>
      <c r="BA173" s="232" t="e">
        <f t="shared" si="138"/>
        <v>#N/A</v>
      </c>
      <c r="BB173" s="275">
        <f t="shared" si="172"/>
        <v>7</v>
      </c>
      <c r="BC173" s="276" t="e">
        <f t="shared" si="173"/>
        <v>#N/A</v>
      </c>
      <c r="BD173" s="277" t="e">
        <f t="shared" si="174"/>
        <v>#N/A</v>
      </c>
      <c r="BE173" s="250" t="e">
        <f t="shared" si="139"/>
        <v>#N/A</v>
      </c>
      <c r="BF173" s="247">
        <f t="shared" si="175"/>
        <v>7</v>
      </c>
      <c r="BG173" s="276" t="e">
        <f t="shared" si="176"/>
        <v>#N/A</v>
      </c>
      <c r="BH173" s="277" t="e">
        <f t="shared" si="177"/>
        <v>#N/A</v>
      </c>
      <c r="BI173" s="250" t="e">
        <f t="shared" si="140"/>
        <v>#N/A</v>
      </c>
      <c r="BJ173" s="251">
        <f t="shared" si="178"/>
        <v>7</v>
      </c>
      <c r="BK173" s="278" t="e">
        <f t="shared" si="179"/>
        <v>#N/A</v>
      </c>
      <c r="BL173" s="278" t="e">
        <f t="shared" si="180"/>
        <v>#N/A</v>
      </c>
      <c r="BM173" s="279" t="e">
        <f t="shared" si="141"/>
        <v>#N/A</v>
      </c>
      <c r="BN173" s="280">
        <f t="shared" si="181"/>
        <v>7</v>
      </c>
      <c r="BO173" s="281" t="e">
        <f t="shared" si="182"/>
        <v>#N/A</v>
      </c>
      <c r="BP173" s="281" t="e">
        <f t="shared" si="183"/>
        <v>#N/A</v>
      </c>
      <c r="BQ173" s="279" t="e">
        <f t="shared" si="142"/>
        <v>#N/A</v>
      </c>
      <c r="BR173" s="282" t="e">
        <f t="shared" si="143"/>
        <v>#N/A</v>
      </c>
      <c r="BS173" s="217" t="e">
        <f>VLOOKUP($B173,SDR24_STOCK_BY_LA!$A$2:$C$11878,3,0)</f>
        <v>#N/A</v>
      </c>
      <c r="BT173" s="217" t="str">
        <f t="shared" si="184"/>
        <v/>
      </c>
    </row>
    <row r="174" spans="1:72" x14ac:dyDescent="0.2">
      <c r="A174" s="217" t="str">
        <f t="shared" si="185"/>
        <v/>
      </c>
      <c r="B174" s="217" t="str">
        <f t="shared" si="186"/>
        <v/>
      </c>
      <c r="C174" s="283" t="str">
        <f t="shared" si="144"/>
        <v/>
      </c>
      <c r="D174" s="256" t="str">
        <f>IF(B174="","",IF(totals!$Q$3=0,IFERROR(IF(AD174=2,"0",AE174),""),"-"))</f>
        <v/>
      </c>
      <c r="E174" s="258" t="str">
        <f t="shared" si="145"/>
        <v/>
      </c>
      <c r="F174" s="259" t="str">
        <f t="shared" si="146"/>
        <v/>
      </c>
      <c r="G174" s="259" t="str">
        <f t="shared" si="147"/>
        <v/>
      </c>
      <c r="H174" s="256" t="str">
        <f t="shared" si="125"/>
        <v/>
      </c>
      <c r="I174" s="259" t="str">
        <f t="shared" si="148"/>
        <v/>
      </c>
      <c r="J174" s="259" t="str">
        <f t="shared" si="149"/>
        <v/>
      </c>
      <c r="K174" s="256" t="str">
        <f t="shared" si="126"/>
        <v/>
      </c>
      <c r="L174" s="259" t="str">
        <f t="shared" si="127"/>
        <v/>
      </c>
      <c r="M174" s="259" t="str">
        <f t="shared" si="150"/>
        <v/>
      </c>
      <c r="N174" s="256" t="str">
        <f t="shared" si="151"/>
        <v/>
      </c>
      <c r="O174" s="259" t="str">
        <f t="shared" si="152"/>
        <v/>
      </c>
      <c r="P174" s="259" t="str">
        <f t="shared" si="153"/>
        <v/>
      </c>
      <c r="Q174" s="256" t="str">
        <f t="shared" si="154"/>
        <v/>
      </c>
      <c r="R174" s="259" t="str">
        <f t="shared" si="155"/>
        <v/>
      </c>
      <c r="S174" s="259" t="str">
        <f t="shared" si="156"/>
        <v/>
      </c>
      <c r="T174" s="256" t="str">
        <f t="shared" si="157"/>
        <v/>
      </c>
      <c r="U174" s="217"/>
      <c r="V174" s="217"/>
      <c r="AB174" s="217" t="e">
        <f>VLOOKUP($B$6,Lookup_Source,167,0)</f>
        <v>#N/A</v>
      </c>
      <c r="AC174" s="241" t="str">
        <f t="shared" si="158"/>
        <v/>
      </c>
      <c r="AD174" s="242">
        <f t="shared" si="159"/>
        <v>7</v>
      </c>
      <c r="AE174" s="261" t="e">
        <f t="shared" si="128"/>
        <v>#N/A</v>
      </c>
      <c r="AF174" s="264" t="e">
        <f t="shared" si="160"/>
        <v>#N/A</v>
      </c>
      <c r="AG174" s="264" t="e">
        <f t="shared" si="161"/>
        <v>#N/A</v>
      </c>
      <c r="AH174" s="263" t="e">
        <f t="shared" si="129"/>
        <v>#N/A</v>
      </c>
      <c r="AI174" s="226">
        <f t="shared" si="162"/>
        <v>7</v>
      </c>
      <c r="AJ174" s="264" t="e">
        <f t="shared" si="130"/>
        <v>#N/A</v>
      </c>
      <c r="AK174" s="264" t="e">
        <f t="shared" si="163"/>
        <v>#N/A</v>
      </c>
      <c r="AL174" s="226" t="e">
        <f t="shared" si="131"/>
        <v>#N/A</v>
      </c>
      <c r="AM174" s="265" t="e">
        <f t="shared" si="164"/>
        <v>#N/A</v>
      </c>
      <c r="AN174" s="266" t="e">
        <f t="shared" si="132"/>
        <v>#N/A</v>
      </c>
      <c r="AO174" s="227" t="e">
        <f t="shared" si="133"/>
        <v>#N/A</v>
      </c>
      <c r="AP174" s="284">
        <f t="shared" si="165"/>
        <v>7</v>
      </c>
      <c r="AQ174" s="285" t="e">
        <f t="shared" si="134"/>
        <v>#N/A</v>
      </c>
      <c r="AR174" s="266" t="e">
        <f t="shared" si="166"/>
        <v>#N/A</v>
      </c>
      <c r="AS174" s="270" t="e">
        <f t="shared" si="135"/>
        <v>#N/A</v>
      </c>
      <c r="AT174" s="271">
        <f t="shared" si="167"/>
        <v>7</v>
      </c>
      <c r="AU174" s="272" t="e">
        <f t="shared" si="168"/>
        <v>#N/A</v>
      </c>
      <c r="AV174" s="273" t="e">
        <f t="shared" si="169"/>
        <v>#N/A</v>
      </c>
      <c r="AW174" s="274" t="e">
        <f t="shared" si="136"/>
        <v>#N/A</v>
      </c>
      <c r="AX174" s="232">
        <f t="shared" si="170"/>
        <v>7</v>
      </c>
      <c r="AY174" s="273" t="e">
        <f t="shared" si="137"/>
        <v>#N/A</v>
      </c>
      <c r="AZ174" s="232" t="e">
        <f t="shared" si="171"/>
        <v>#N/A</v>
      </c>
      <c r="BA174" s="232" t="e">
        <f t="shared" si="138"/>
        <v>#N/A</v>
      </c>
      <c r="BB174" s="275">
        <f t="shared" si="172"/>
        <v>7</v>
      </c>
      <c r="BC174" s="276" t="e">
        <f t="shared" si="173"/>
        <v>#N/A</v>
      </c>
      <c r="BD174" s="277" t="e">
        <f t="shared" si="174"/>
        <v>#N/A</v>
      </c>
      <c r="BE174" s="250" t="e">
        <f t="shared" si="139"/>
        <v>#N/A</v>
      </c>
      <c r="BF174" s="247">
        <f t="shared" si="175"/>
        <v>7</v>
      </c>
      <c r="BG174" s="276" t="e">
        <f t="shared" si="176"/>
        <v>#N/A</v>
      </c>
      <c r="BH174" s="277" t="e">
        <f t="shared" si="177"/>
        <v>#N/A</v>
      </c>
      <c r="BI174" s="250" t="e">
        <f t="shared" si="140"/>
        <v>#N/A</v>
      </c>
      <c r="BJ174" s="251">
        <f t="shared" si="178"/>
        <v>7</v>
      </c>
      <c r="BK174" s="278" t="e">
        <f t="shared" si="179"/>
        <v>#N/A</v>
      </c>
      <c r="BL174" s="278" t="e">
        <f t="shared" si="180"/>
        <v>#N/A</v>
      </c>
      <c r="BM174" s="279" t="e">
        <f t="shared" si="141"/>
        <v>#N/A</v>
      </c>
      <c r="BN174" s="280">
        <f t="shared" si="181"/>
        <v>7</v>
      </c>
      <c r="BO174" s="281" t="e">
        <f t="shared" si="182"/>
        <v>#N/A</v>
      </c>
      <c r="BP174" s="281" t="e">
        <f t="shared" si="183"/>
        <v>#N/A</v>
      </c>
      <c r="BQ174" s="279" t="e">
        <f t="shared" si="142"/>
        <v>#N/A</v>
      </c>
      <c r="BR174" s="282" t="e">
        <f t="shared" si="143"/>
        <v>#N/A</v>
      </c>
      <c r="BS174" s="217" t="e">
        <f>VLOOKUP($B174,SDR24_STOCK_BY_LA!$A$2:$C$11878,3,0)</f>
        <v>#N/A</v>
      </c>
      <c r="BT174" s="217" t="str">
        <f t="shared" si="184"/>
        <v/>
      </c>
    </row>
    <row r="175" spans="1:72" x14ac:dyDescent="0.2">
      <c r="A175" s="256" t="str">
        <f t="shared" si="185"/>
        <v/>
      </c>
      <c r="B175" s="217" t="str">
        <f t="shared" si="186"/>
        <v/>
      </c>
      <c r="C175" s="257" t="str">
        <f t="shared" si="144"/>
        <v/>
      </c>
      <c r="D175" s="256" t="str">
        <f>IF(B175="","",IF(totals!$Q$3=0,IFERROR(IF(AD175=2,"0",AE175),""),"-"))</f>
        <v/>
      </c>
      <c r="E175" s="258" t="str">
        <f t="shared" si="145"/>
        <v/>
      </c>
      <c r="F175" s="259" t="str">
        <f t="shared" si="146"/>
        <v/>
      </c>
      <c r="G175" s="259" t="str">
        <f t="shared" si="147"/>
        <v/>
      </c>
      <c r="H175" s="256" t="str">
        <f t="shared" si="125"/>
        <v/>
      </c>
      <c r="I175" s="259" t="str">
        <f t="shared" si="148"/>
        <v/>
      </c>
      <c r="J175" s="259" t="str">
        <f t="shared" si="149"/>
        <v/>
      </c>
      <c r="K175" s="256" t="str">
        <f t="shared" si="126"/>
        <v/>
      </c>
      <c r="L175" s="259" t="str">
        <f t="shared" si="127"/>
        <v/>
      </c>
      <c r="M175" s="259" t="str">
        <f t="shared" si="150"/>
        <v/>
      </c>
      <c r="N175" s="256" t="str">
        <f t="shared" si="151"/>
        <v/>
      </c>
      <c r="O175" s="259" t="str">
        <f t="shared" si="152"/>
        <v/>
      </c>
      <c r="P175" s="259" t="str">
        <f t="shared" si="153"/>
        <v/>
      </c>
      <c r="Q175" s="256" t="str">
        <f t="shared" si="154"/>
        <v/>
      </c>
      <c r="R175" s="259" t="str">
        <f t="shared" si="155"/>
        <v/>
      </c>
      <c r="S175" s="259" t="str">
        <f t="shared" si="156"/>
        <v/>
      </c>
      <c r="T175" s="256" t="str">
        <f t="shared" si="157"/>
        <v/>
      </c>
      <c r="U175" s="217"/>
      <c r="V175" s="217"/>
      <c r="AB175" s="257" t="e">
        <f>VLOOKUP($B$6,Lookup_Source,168,0)</f>
        <v>#N/A</v>
      </c>
      <c r="AC175" s="241" t="str">
        <f t="shared" si="158"/>
        <v/>
      </c>
      <c r="AD175" s="242">
        <f t="shared" si="159"/>
        <v>7</v>
      </c>
      <c r="AE175" s="261" t="e">
        <f t="shared" si="128"/>
        <v>#N/A</v>
      </c>
      <c r="AF175" s="264" t="e">
        <f t="shared" si="160"/>
        <v>#N/A</v>
      </c>
      <c r="AG175" s="264" t="e">
        <f t="shared" si="161"/>
        <v>#N/A</v>
      </c>
      <c r="AH175" s="263" t="e">
        <f t="shared" si="129"/>
        <v>#N/A</v>
      </c>
      <c r="AI175" s="226">
        <f t="shared" si="162"/>
        <v>7</v>
      </c>
      <c r="AJ175" s="264" t="e">
        <f t="shared" si="130"/>
        <v>#N/A</v>
      </c>
      <c r="AK175" s="264" t="e">
        <f t="shared" si="163"/>
        <v>#N/A</v>
      </c>
      <c r="AL175" s="226" t="e">
        <f t="shared" si="131"/>
        <v>#N/A</v>
      </c>
      <c r="AM175" s="265" t="e">
        <f t="shared" si="164"/>
        <v>#N/A</v>
      </c>
      <c r="AN175" s="266" t="e">
        <f t="shared" si="132"/>
        <v>#N/A</v>
      </c>
      <c r="AO175" s="227" t="e">
        <f t="shared" si="133"/>
        <v>#N/A</v>
      </c>
      <c r="AP175" s="284">
        <f t="shared" si="165"/>
        <v>7</v>
      </c>
      <c r="AQ175" s="285" t="e">
        <f t="shared" si="134"/>
        <v>#N/A</v>
      </c>
      <c r="AR175" s="266" t="e">
        <f t="shared" si="166"/>
        <v>#N/A</v>
      </c>
      <c r="AS175" s="270" t="e">
        <f t="shared" si="135"/>
        <v>#N/A</v>
      </c>
      <c r="AT175" s="271">
        <f t="shared" si="167"/>
        <v>7</v>
      </c>
      <c r="AU175" s="272" t="e">
        <f t="shared" si="168"/>
        <v>#N/A</v>
      </c>
      <c r="AV175" s="273" t="e">
        <f t="shared" si="169"/>
        <v>#N/A</v>
      </c>
      <c r="AW175" s="274" t="e">
        <f t="shared" si="136"/>
        <v>#N/A</v>
      </c>
      <c r="AX175" s="232">
        <f t="shared" si="170"/>
        <v>7</v>
      </c>
      <c r="AY175" s="273" t="e">
        <f t="shared" si="137"/>
        <v>#N/A</v>
      </c>
      <c r="AZ175" s="232" t="e">
        <f t="shared" si="171"/>
        <v>#N/A</v>
      </c>
      <c r="BA175" s="232" t="e">
        <f t="shared" si="138"/>
        <v>#N/A</v>
      </c>
      <c r="BB175" s="275">
        <f t="shared" si="172"/>
        <v>7</v>
      </c>
      <c r="BC175" s="276" t="e">
        <f t="shared" si="173"/>
        <v>#N/A</v>
      </c>
      <c r="BD175" s="277" t="e">
        <f t="shared" si="174"/>
        <v>#N/A</v>
      </c>
      <c r="BE175" s="250" t="e">
        <f t="shared" si="139"/>
        <v>#N/A</v>
      </c>
      <c r="BF175" s="247">
        <f t="shared" si="175"/>
        <v>7</v>
      </c>
      <c r="BG175" s="276" t="e">
        <f t="shared" si="176"/>
        <v>#N/A</v>
      </c>
      <c r="BH175" s="277" t="e">
        <f t="shared" si="177"/>
        <v>#N/A</v>
      </c>
      <c r="BI175" s="250" t="e">
        <f t="shared" si="140"/>
        <v>#N/A</v>
      </c>
      <c r="BJ175" s="251">
        <f t="shared" si="178"/>
        <v>7</v>
      </c>
      <c r="BK175" s="278" t="e">
        <f t="shared" si="179"/>
        <v>#N/A</v>
      </c>
      <c r="BL175" s="278" t="e">
        <f t="shared" si="180"/>
        <v>#N/A</v>
      </c>
      <c r="BM175" s="279" t="e">
        <f t="shared" si="141"/>
        <v>#N/A</v>
      </c>
      <c r="BN175" s="280">
        <f t="shared" si="181"/>
        <v>7</v>
      </c>
      <c r="BO175" s="281" t="e">
        <f t="shared" si="182"/>
        <v>#N/A</v>
      </c>
      <c r="BP175" s="281" t="e">
        <f t="shared" si="183"/>
        <v>#N/A</v>
      </c>
      <c r="BQ175" s="279" t="e">
        <f t="shared" si="142"/>
        <v>#N/A</v>
      </c>
      <c r="BR175" s="282" t="e">
        <f t="shared" si="143"/>
        <v>#N/A</v>
      </c>
      <c r="BS175" s="217" t="e">
        <f>VLOOKUP($B175,SDR24_STOCK_BY_LA!$A$2:$C$11878,3,0)</f>
        <v>#N/A</v>
      </c>
      <c r="BT175" s="217" t="str">
        <f t="shared" si="184"/>
        <v/>
      </c>
    </row>
    <row r="176" spans="1:72" x14ac:dyDescent="0.2">
      <c r="A176" s="217" t="str">
        <f t="shared" si="185"/>
        <v/>
      </c>
      <c r="B176" s="217" t="str">
        <f t="shared" si="186"/>
        <v/>
      </c>
      <c r="C176" s="283" t="str">
        <f t="shared" si="144"/>
        <v/>
      </c>
      <c r="D176" s="256" t="str">
        <f>IF(B176="","",IF(totals!$Q$3=0,IFERROR(IF(AD176=2,"0",AE176),""),"-"))</f>
        <v/>
      </c>
      <c r="E176" s="258" t="str">
        <f t="shared" si="145"/>
        <v/>
      </c>
      <c r="F176" s="259" t="str">
        <f t="shared" si="146"/>
        <v/>
      </c>
      <c r="G176" s="259" t="str">
        <f t="shared" si="147"/>
        <v/>
      </c>
      <c r="H176" s="256" t="str">
        <f t="shared" si="125"/>
        <v/>
      </c>
      <c r="I176" s="259" t="str">
        <f t="shared" si="148"/>
        <v/>
      </c>
      <c r="J176" s="259" t="str">
        <f t="shared" si="149"/>
        <v/>
      </c>
      <c r="K176" s="256" t="str">
        <f t="shared" si="126"/>
        <v/>
      </c>
      <c r="L176" s="259" t="str">
        <f t="shared" si="127"/>
        <v/>
      </c>
      <c r="M176" s="259" t="str">
        <f t="shared" si="150"/>
        <v/>
      </c>
      <c r="N176" s="256" t="str">
        <f t="shared" si="151"/>
        <v/>
      </c>
      <c r="O176" s="259" t="str">
        <f t="shared" si="152"/>
        <v/>
      </c>
      <c r="P176" s="259" t="str">
        <f t="shared" si="153"/>
        <v/>
      </c>
      <c r="Q176" s="256" t="str">
        <f t="shared" si="154"/>
        <v/>
      </c>
      <c r="R176" s="259" t="str">
        <f t="shared" si="155"/>
        <v/>
      </c>
      <c r="S176" s="259" t="str">
        <f t="shared" si="156"/>
        <v/>
      </c>
      <c r="T176" s="256" t="str">
        <f t="shared" si="157"/>
        <v/>
      </c>
      <c r="U176" s="217"/>
      <c r="V176" s="217"/>
      <c r="AB176" s="217" t="e">
        <f>VLOOKUP($B$6,Lookup_Source,169,0)</f>
        <v>#N/A</v>
      </c>
      <c r="AC176" s="241" t="str">
        <f t="shared" si="158"/>
        <v/>
      </c>
      <c r="AD176" s="242">
        <f t="shared" si="159"/>
        <v>7</v>
      </c>
      <c r="AE176" s="261" t="e">
        <f t="shared" si="128"/>
        <v>#N/A</v>
      </c>
      <c r="AF176" s="264" t="e">
        <f t="shared" si="160"/>
        <v>#N/A</v>
      </c>
      <c r="AG176" s="264" t="e">
        <f t="shared" si="161"/>
        <v>#N/A</v>
      </c>
      <c r="AH176" s="263" t="e">
        <f t="shared" si="129"/>
        <v>#N/A</v>
      </c>
      <c r="AI176" s="226">
        <f t="shared" si="162"/>
        <v>7</v>
      </c>
      <c r="AJ176" s="264" t="e">
        <f t="shared" si="130"/>
        <v>#N/A</v>
      </c>
      <c r="AK176" s="264" t="e">
        <f t="shared" si="163"/>
        <v>#N/A</v>
      </c>
      <c r="AL176" s="226" t="e">
        <f t="shared" si="131"/>
        <v>#N/A</v>
      </c>
      <c r="AM176" s="265" t="e">
        <f t="shared" si="164"/>
        <v>#N/A</v>
      </c>
      <c r="AN176" s="266" t="e">
        <f t="shared" si="132"/>
        <v>#N/A</v>
      </c>
      <c r="AO176" s="227" t="e">
        <f t="shared" si="133"/>
        <v>#N/A</v>
      </c>
      <c r="AP176" s="284">
        <f t="shared" si="165"/>
        <v>7</v>
      </c>
      <c r="AQ176" s="285" t="e">
        <f t="shared" si="134"/>
        <v>#N/A</v>
      </c>
      <c r="AR176" s="266" t="e">
        <f t="shared" si="166"/>
        <v>#N/A</v>
      </c>
      <c r="AS176" s="270" t="e">
        <f t="shared" si="135"/>
        <v>#N/A</v>
      </c>
      <c r="AT176" s="271">
        <f t="shared" si="167"/>
        <v>7</v>
      </c>
      <c r="AU176" s="272" t="e">
        <f t="shared" si="168"/>
        <v>#N/A</v>
      </c>
      <c r="AV176" s="273" t="e">
        <f t="shared" si="169"/>
        <v>#N/A</v>
      </c>
      <c r="AW176" s="274" t="e">
        <f t="shared" si="136"/>
        <v>#N/A</v>
      </c>
      <c r="AX176" s="232">
        <f t="shared" si="170"/>
        <v>7</v>
      </c>
      <c r="AY176" s="273" t="e">
        <f t="shared" si="137"/>
        <v>#N/A</v>
      </c>
      <c r="AZ176" s="232" t="e">
        <f t="shared" si="171"/>
        <v>#N/A</v>
      </c>
      <c r="BA176" s="232" t="e">
        <f t="shared" si="138"/>
        <v>#N/A</v>
      </c>
      <c r="BB176" s="275">
        <f t="shared" si="172"/>
        <v>7</v>
      </c>
      <c r="BC176" s="276" t="e">
        <f t="shared" si="173"/>
        <v>#N/A</v>
      </c>
      <c r="BD176" s="277" t="e">
        <f t="shared" si="174"/>
        <v>#N/A</v>
      </c>
      <c r="BE176" s="250" t="e">
        <f t="shared" si="139"/>
        <v>#N/A</v>
      </c>
      <c r="BF176" s="247">
        <f t="shared" si="175"/>
        <v>7</v>
      </c>
      <c r="BG176" s="276" t="e">
        <f t="shared" si="176"/>
        <v>#N/A</v>
      </c>
      <c r="BH176" s="277" t="e">
        <f t="shared" si="177"/>
        <v>#N/A</v>
      </c>
      <c r="BI176" s="250" t="e">
        <f t="shared" si="140"/>
        <v>#N/A</v>
      </c>
      <c r="BJ176" s="251">
        <f t="shared" si="178"/>
        <v>7</v>
      </c>
      <c r="BK176" s="278" t="e">
        <f t="shared" si="179"/>
        <v>#N/A</v>
      </c>
      <c r="BL176" s="278" t="e">
        <f t="shared" si="180"/>
        <v>#N/A</v>
      </c>
      <c r="BM176" s="279" t="e">
        <f t="shared" si="141"/>
        <v>#N/A</v>
      </c>
      <c r="BN176" s="280">
        <f t="shared" si="181"/>
        <v>7</v>
      </c>
      <c r="BO176" s="281" t="e">
        <f t="shared" si="182"/>
        <v>#N/A</v>
      </c>
      <c r="BP176" s="281" t="e">
        <f t="shared" si="183"/>
        <v>#N/A</v>
      </c>
      <c r="BQ176" s="279" t="e">
        <f t="shared" si="142"/>
        <v>#N/A</v>
      </c>
      <c r="BR176" s="282" t="e">
        <f t="shared" si="143"/>
        <v>#N/A</v>
      </c>
      <c r="BS176" s="217" t="e">
        <f>VLOOKUP($B176,SDR24_STOCK_BY_LA!$A$2:$C$11878,3,0)</f>
        <v>#N/A</v>
      </c>
      <c r="BT176" s="217" t="str">
        <f t="shared" si="184"/>
        <v/>
      </c>
    </row>
    <row r="177" spans="1:72" x14ac:dyDescent="0.2">
      <c r="A177" s="256" t="str">
        <f t="shared" si="185"/>
        <v/>
      </c>
      <c r="B177" s="217" t="str">
        <f t="shared" si="186"/>
        <v/>
      </c>
      <c r="C177" s="257" t="str">
        <f t="shared" si="144"/>
        <v/>
      </c>
      <c r="D177" s="256" t="str">
        <f>IF(B177="","",IF(totals!$Q$3=0,IFERROR(IF(AD177=2,"0",AE177),""),"-"))</f>
        <v/>
      </c>
      <c r="E177" s="258" t="str">
        <f t="shared" si="145"/>
        <v/>
      </c>
      <c r="F177" s="259" t="str">
        <f t="shared" si="146"/>
        <v/>
      </c>
      <c r="G177" s="259" t="str">
        <f t="shared" si="147"/>
        <v/>
      </c>
      <c r="H177" s="256" t="str">
        <f t="shared" si="125"/>
        <v/>
      </c>
      <c r="I177" s="259" t="str">
        <f t="shared" si="148"/>
        <v/>
      </c>
      <c r="J177" s="259" t="str">
        <f t="shared" si="149"/>
        <v/>
      </c>
      <c r="K177" s="256" t="str">
        <f t="shared" si="126"/>
        <v/>
      </c>
      <c r="L177" s="259" t="str">
        <f t="shared" si="127"/>
        <v/>
      </c>
      <c r="M177" s="259" t="str">
        <f t="shared" si="150"/>
        <v/>
      </c>
      <c r="N177" s="256" t="str">
        <f t="shared" si="151"/>
        <v/>
      </c>
      <c r="O177" s="259" t="str">
        <f t="shared" si="152"/>
        <v/>
      </c>
      <c r="P177" s="259" t="str">
        <f t="shared" si="153"/>
        <v/>
      </c>
      <c r="Q177" s="256" t="str">
        <f t="shared" si="154"/>
        <v/>
      </c>
      <c r="R177" s="259" t="str">
        <f t="shared" si="155"/>
        <v/>
      </c>
      <c r="S177" s="259" t="str">
        <f t="shared" si="156"/>
        <v/>
      </c>
      <c r="T177" s="256" t="str">
        <f t="shared" si="157"/>
        <v/>
      </c>
      <c r="U177" s="217"/>
      <c r="V177" s="217"/>
      <c r="AB177" s="257" t="e">
        <f>VLOOKUP($B$6,Lookup_Source,170,0)</f>
        <v>#N/A</v>
      </c>
      <c r="AC177" s="241" t="str">
        <f t="shared" si="158"/>
        <v/>
      </c>
      <c r="AD177" s="242">
        <f t="shared" si="159"/>
        <v>7</v>
      </c>
      <c r="AE177" s="261" t="e">
        <f t="shared" si="128"/>
        <v>#N/A</v>
      </c>
      <c r="AF177" s="264" t="e">
        <f t="shared" si="160"/>
        <v>#N/A</v>
      </c>
      <c r="AG177" s="264" t="e">
        <f t="shared" si="161"/>
        <v>#N/A</v>
      </c>
      <c r="AH177" s="263" t="e">
        <f t="shared" si="129"/>
        <v>#N/A</v>
      </c>
      <c r="AI177" s="226">
        <f t="shared" si="162"/>
        <v>7</v>
      </c>
      <c r="AJ177" s="264" t="e">
        <f t="shared" si="130"/>
        <v>#N/A</v>
      </c>
      <c r="AK177" s="264" t="e">
        <f t="shared" si="163"/>
        <v>#N/A</v>
      </c>
      <c r="AL177" s="226" t="e">
        <f t="shared" si="131"/>
        <v>#N/A</v>
      </c>
      <c r="AM177" s="265" t="e">
        <f t="shared" si="164"/>
        <v>#N/A</v>
      </c>
      <c r="AN177" s="266" t="e">
        <f t="shared" si="132"/>
        <v>#N/A</v>
      </c>
      <c r="AO177" s="227" t="e">
        <f t="shared" si="133"/>
        <v>#N/A</v>
      </c>
      <c r="AP177" s="284">
        <f t="shared" si="165"/>
        <v>7</v>
      </c>
      <c r="AQ177" s="285" t="e">
        <f t="shared" si="134"/>
        <v>#N/A</v>
      </c>
      <c r="AR177" s="266" t="e">
        <f t="shared" si="166"/>
        <v>#N/A</v>
      </c>
      <c r="AS177" s="270" t="e">
        <f t="shared" si="135"/>
        <v>#N/A</v>
      </c>
      <c r="AT177" s="271">
        <f t="shared" si="167"/>
        <v>7</v>
      </c>
      <c r="AU177" s="272" t="e">
        <f t="shared" si="168"/>
        <v>#N/A</v>
      </c>
      <c r="AV177" s="273" t="e">
        <f t="shared" si="169"/>
        <v>#N/A</v>
      </c>
      <c r="AW177" s="274" t="e">
        <f t="shared" si="136"/>
        <v>#N/A</v>
      </c>
      <c r="AX177" s="232">
        <f t="shared" si="170"/>
        <v>7</v>
      </c>
      <c r="AY177" s="273" t="e">
        <f t="shared" si="137"/>
        <v>#N/A</v>
      </c>
      <c r="AZ177" s="232" t="e">
        <f t="shared" si="171"/>
        <v>#N/A</v>
      </c>
      <c r="BA177" s="232" t="e">
        <f t="shared" si="138"/>
        <v>#N/A</v>
      </c>
      <c r="BB177" s="275">
        <f t="shared" si="172"/>
        <v>7</v>
      </c>
      <c r="BC177" s="276" t="e">
        <f t="shared" si="173"/>
        <v>#N/A</v>
      </c>
      <c r="BD177" s="277" t="e">
        <f t="shared" si="174"/>
        <v>#N/A</v>
      </c>
      <c r="BE177" s="250" t="e">
        <f t="shared" si="139"/>
        <v>#N/A</v>
      </c>
      <c r="BF177" s="247">
        <f t="shared" si="175"/>
        <v>7</v>
      </c>
      <c r="BG177" s="276" t="e">
        <f t="shared" si="176"/>
        <v>#N/A</v>
      </c>
      <c r="BH177" s="277" t="e">
        <f t="shared" si="177"/>
        <v>#N/A</v>
      </c>
      <c r="BI177" s="250" t="e">
        <f t="shared" si="140"/>
        <v>#N/A</v>
      </c>
      <c r="BJ177" s="251">
        <f t="shared" si="178"/>
        <v>7</v>
      </c>
      <c r="BK177" s="278" t="e">
        <f t="shared" si="179"/>
        <v>#N/A</v>
      </c>
      <c r="BL177" s="278" t="e">
        <f t="shared" si="180"/>
        <v>#N/A</v>
      </c>
      <c r="BM177" s="279" t="e">
        <f t="shared" si="141"/>
        <v>#N/A</v>
      </c>
      <c r="BN177" s="280">
        <f t="shared" si="181"/>
        <v>7</v>
      </c>
      <c r="BO177" s="281" t="e">
        <f t="shared" si="182"/>
        <v>#N/A</v>
      </c>
      <c r="BP177" s="281" t="e">
        <f t="shared" si="183"/>
        <v>#N/A</v>
      </c>
      <c r="BQ177" s="279" t="e">
        <f t="shared" si="142"/>
        <v>#N/A</v>
      </c>
      <c r="BR177" s="282" t="e">
        <f t="shared" si="143"/>
        <v>#N/A</v>
      </c>
      <c r="BS177" s="217" t="e">
        <f>VLOOKUP($B177,SDR24_STOCK_BY_LA!$A$2:$C$11878,3,0)</f>
        <v>#N/A</v>
      </c>
      <c r="BT177" s="217" t="str">
        <f t="shared" si="184"/>
        <v/>
      </c>
    </row>
    <row r="178" spans="1:72" x14ac:dyDescent="0.2">
      <c r="A178" s="217" t="str">
        <f t="shared" si="185"/>
        <v/>
      </c>
      <c r="B178" s="217" t="str">
        <f t="shared" si="186"/>
        <v/>
      </c>
      <c r="C178" s="283" t="str">
        <f t="shared" si="144"/>
        <v/>
      </c>
      <c r="D178" s="256" t="str">
        <f>IF(B178="","",IF(totals!$Q$3=0,IFERROR(IF(AD178=2,"0",AE178),""),"-"))</f>
        <v/>
      </c>
      <c r="E178" s="258" t="str">
        <f t="shared" si="145"/>
        <v/>
      </c>
      <c r="F178" s="259" t="str">
        <f t="shared" si="146"/>
        <v/>
      </c>
      <c r="G178" s="259" t="str">
        <f t="shared" si="147"/>
        <v/>
      </c>
      <c r="H178" s="256" t="str">
        <f t="shared" si="125"/>
        <v/>
      </c>
      <c r="I178" s="259" t="str">
        <f t="shared" si="148"/>
        <v/>
      </c>
      <c r="J178" s="259" t="str">
        <f t="shared" si="149"/>
        <v/>
      </c>
      <c r="K178" s="256" t="str">
        <f t="shared" si="126"/>
        <v/>
      </c>
      <c r="L178" s="259" t="str">
        <f t="shared" si="127"/>
        <v/>
      </c>
      <c r="M178" s="259" t="str">
        <f t="shared" si="150"/>
        <v/>
      </c>
      <c r="N178" s="256" t="str">
        <f t="shared" si="151"/>
        <v/>
      </c>
      <c r="O178" s="259" t="str">
        <f t="shared" si="152"/>
        <v/>
      </c>
      <c r="P178" s="259" t="str">
        <f t="shared" si="153"/>
        <v/>
      </c>
      <c r="Q178" s="256" t="str">
        <f t="shared" si="154"/>
        <v/>
      </c>
      <c r="R178" s="259" t="str">
        <f t="shared" si="155"/>
        <v/>
      </c>
      <c r="S178" s="259" t="str">
        <f t="shared" si="156"/>
        <v/>
      </c>
      <c r="T178" s="256" t="str">
        <f t="shared" si="157"/>
        <v/>
      </c>
      <c r="U178" s="217"/>
      <c r="V178" s="217"/>
      <c r="AB178" s="217" t="e">
        <f>VLOOKUP($B$6,Lookup_Source,171,0)</f>
        <v>#N/A</v>
      </c>
      <c r="AC178" s="241" t="str">
        <f t="shared" si="158"/>
        <v/>
      </c>
      <c r="AD178" s="242">
        <f t="shared" si="159"/>
        <v>7</v>
      </c>
      <c r="AE178" s="261" t="e">
        <f t="shared" si="128"/>
        <v>#N/A</v>
      </c>
      <c r="AF178" s="264" t="e">
        <f t="shared" si="160"/>
        <v>#N/A</v>
      </c>
      <c r="AG178" s="264" t="e">
        <f t="shared" si="161"/>
        <v>#N/A</v>
      </c>
      <c r="AH178" s="263" t="e">
        <f t="shared" si="129"/>
        <v>#N/A</v>
      </c>
      <c r="AI178" s="226">
        <f t="shared" si="162"/>
        <v>7</v>
      </c>
      <c r="AJ178" s="264" t="e">
        <f t="shared" si="130"/>
        <v>#N/A</v>
      </c>
      <c r="AK178" s="264" t="e">
        <f t="shared" si="163"/>
        <v>#N/A</v>
      </c>
      <c r="AL178" s="226" t="e">
        <f t="shared" si="131"/>
        <v>#N/A</v>
      </c>
      <c r="AM178" s="265" t="e">
        <f t="shared" si="164"/>
        <v>#N/A</v>
      </c>
      <c r="AN178" s="266" t="e">
        <f t="shared" si="132"/>
        <v>#N/A</v>
      </c>
      <c r="AO178" s="227" t="e">
        <f t="shared" si="133"/>
        <v>#N/A</v>
      </c>
      <c r="AP178" s="284">
        <f t="shared" si="165"/>
        <v>7</v>
      </c>
      <c r="AQ178" s="285" t="e">
        <f t="shared" si="134"/>
        <v>#N/A</v>
      </c>
      <c r="AR178" s="266" t="e">
        <f t="shared" si="166"/>
        <v>#N/A</v>
      </c>
      <c r="AS178" s="270" t="e">
        <f t="shared" si="135"/>
        <v>#N/A</v>
      </c>
      <c r="AT178" s="271">
        <f t="shared" si="167"/>
        <v>7</v>
      </c>
      <c r="AU178" s="272" t="e">
        <f t="shared" si="168"/>
        <v>#N/A</v>
      </c>
      <c r="AV178" s="273" t="e">
        <f t="shared" si="169"/>
        <v>#N/A</v>
      </c>
      <c r="AW178" s="274" t="e">
        <f t="shared" si="136"/>
        <v>#N/A</v>
      </c>
      <c r="AX178" s="232">
        <f t="shared" si="170"/>
        <v>7</v>
      </c>
      <c r="AY178" s="273" t="e">
        <f t="shared" si="137"/>
        <v>#N/A</v>
      </c>
      <c r="AZ178" s="232" t="e">
        <f t="shared" si="171"/>
        <v>#N/A</v>
      </c>
      <c r="BA178" s="232" t="e">
        <f t="shared" si="138"/>
        <v>#N/A</v>
      </c>
      <c r="BB178" s="275">
        <f t="shared" si="172"/>
        <v>7</v>
      </c>
      <c r="BC178" s="276" t="e">
        <f t="shared" si="173"/>
        <v>#N/A</v>
      </c>
      <c r="BD178" s="277" t="e">
        <f t="shared" si="174"/>
        <v>#N/A</v>
      </c>
      <c r="BE178" s="250" t="e">
        <f t="shared" si="139"/>
        <v>#N/A</v>
      </c>
      <c r="BF178" s="247">
        <f t="shared" si="175"/>
        <v>7</v>
      </c>
      <c r="BG178" s="276" t="e">
        <f t="shared" si="176"/>
        <v>#N/A</v>
      </c>
      <c r="BH178" s="277" t="e">
        <f t="shared" si="177"/>
        <v>#N/A</v>
      </c>
      <c r="BI178" s="250" t="e">
        <f t="shared" si="140"/>
        <v>#N/A</v>
      </c>
      <c r="BJ178" s="251">
        <f t="shared" si="178"/>
        <v>7</v>
      </c>
      <c r="BK178" s="278" t="e">
        <f t="shared" si="179"/>
        <v>#N/A</v>
      </c>
      <c r="BL178" s="278" t="e">
        <f t="shared" si="180"/>
        <v>#N/A</v>
      </c>
      <c r="BM178" s="279" t="e">
        <f t="shared" si="141"/>
        <v>#N/A</v>
      </c>
      <c r="BN178" s="280">
        <f t="shared" si="181"/>
        <v>7</v>
      </c>
      <c r="BO178" s="281" t="e">
        <f t="shared" si="182"/>
        <v>#N/A</v>
      </c>
      <c r="BP178" s="281" t="e">
        <f t="shared" si="183"/>
        <v>#N/A</v>
      </c>
      <c r="BQ178" s="279" t="e">
        <f t="shared" si="142"/>
        <v>#N/A</v>
      </c>
      <c r="BR178" s="282" t="e">
        <f t="shared" si="143"/>
        <v>#N/A</v>
      </c>
      <c r="BS178" s="217" t="e">
        <f>VLOOKUP($B178,SDR24_STOCK_BY_LA!$A$2:$C$11878,3,0)</f>
        <v>#N/A</v>
      </c>
      <c r="BT178" s="217" t="str">
        <f t="shared" si="184"/>
        <v/>
      </c>
    </row>
    <row r="179" spans="1:72" x14ac:dyDescent="0.2">
      <c r="A179" s="256" t="str">
        <f t="shared" si="185"/>
        <v/>
      </c>
      <c r="B179" s="217" t="str">
        <f t="shared" si="186"/>
        <v/>
      </c>
      <c r="C179" s="257" t="str">
        <f t="shared" si="144"/>
        <v/>
      </c>
      <c r="D179" s="256" t="str">
        <f>IF(B179="","",IF(totals!$Q$3=0,IFERROR(IF(AD179=2,"0",AE179),""),"-"))</f>
        <v/>
      </c>
      <c r="E179" s="258" t="str">
        <f t="shared" si="145"/>
        <v/>
      </c>
      <c r="F179" s="259" t="str">
        <f t="shared" si="146"/>
        <v/>
      </c>
      <c r="G179" s="259" t="str">
        <f t="shared" si="147"/>
        <v/>
      </c>
      <c r="H179" s="256" t="str">
        <f t="shared" si="125"/>
        <v/>
      </c>
      <c r="I179" s="259" t="str">
        <f t="shared" si="148"/>
        <v/>
      </c>
      <c r="J179" s="259" t="str">
        <f t="shared" si="149"/>
        <v/>
      </c>
      <c r="K179" s="256" t="str">
        <f t="shared" si="126"/>
        <v/>
      </c>
      <c r="L179" s="259" t="str">
        <f t="shared" si="127"/>
        <v/>
      </c>
      <c r="M179" s="259" t="str">
        <f t="shared" si="150"/>
        <v/>
      </c>
      <c r="N179" s="256" t="str">
        <f t="shared" si="151"/>
        <v/>
      </c>
      <c r="O179" s="259" t="str">
        <f t="shared" si="152"/>
        <v/>
      </c>
      <c r="P179" s="259" t="str">
        <f t="shared" si="153"/>
        <v/>
      </c>
      <c r="Q179" s="256" t="str">
        <f t="shared" si="154"/>
        <v/>
      </c>
      <c r="R179" s="259" t="str">
        <f t="shared" si="155"/>
        <v/>
      </c>
      <c r="S179" s="259" t="str">
        <f t="shared" si="156"/>
        <v/>
      </c>
      <c r="T179" s="256" t="str">
        <f t="shared" si="157"/>
        <v/>
      </c>
      <c r="U179" s="217"/>
      <c r="V179" s="217"/>
      <c r="AB179" s="257" t="e">
        <f>VLOOKUP($B$6,Lookup_Source,172,0)</f>
        <v>#N/A</v>
      </c>
      <c r="AC179" s="241" t="str">
        <f t="shared" si="158"/>
        <v/>
      </c>
      <c r="AD179" s="242">
        <f t="shared" si="159"/>
        <v>7</v>
      </c>
      <c r="AE179" s="261" t="e">
        <f t="shared" si="128"/>
        <v>#N/A</v>
      </c>
      <c r="AF179" s="264" t="e">
        <f t="shared" si="160"/>
        <v>#N/A</v>
      </c>
      <c r="AG179" s="264" t="e">
        <f t="shared" si="161"/>
        <v>#N/A</v>
      </c>
      <c r="AH179" s="263" t="e">
        <f t="shared" si="129"/>
        <v>#N/A</v>
      </c>
      <c r="AI179" s="226">
        <f t="shared" si="162"/>
        <v>7</v>
      </c>
      <c r="AJ179" s="264" t="e">
        <f t="shared" si="130"/>
        <v>#N/A</v>
      </c>
      <c r="AK179" s="264" t="e">
        <f t="shared" si="163"/>
        <v>#N/A</v>
      </c>
      <c r="AL179" s="226" t="e">
        <f t="shared" si="131"/>
        <v>#N/A</v>
      </c>
      <c r="AM179" s="265" t="e">
        <f t="shared" si="164"/>
        <v>#N/A</v>
      </c>
      <c r="AN179" s="266" t="e">
        <f t="shared" si="132"/>
        <v>#N/A</v>
      </c>
      <c r="AO179" s="227" t="e">
        <f t="shared" si="133"/>
        <v>#N/A</v>
      </c>
      <c r="AP179" s="284">
        <f t="shared" si="165"/>
        <v>7</v>
      </c>
      <c r="AQ179" s="285" t="e">
        <f t="shared" si="134"/>
        <v>#N/A</v>
      </c>
      <c r="AR179" s="266" t="e">
        <f t="shared" si="166"/>
        <v>#N/A</v>
      </c>
      <c r="AS179" s="270" t="e">
        <f t="shared" si="135"/>
        <v>#N/A</v>
      </c>
      <c r="AT179" s="271">
        <f t="shared" si="167"/>
        <v>7</v>
      </c>
      <c r="AU179" s="272" t="e">
        <f t="shared" si="168"/>
        <v>#N/A</v>
      </c>
      <c r="AV179" s="273" t="e">
        <f t="shared" si="169"/>
        <v>#N/A</v>
      </c>
      <c r="AW179" s="274" t="e">
        <f t="shared" si="136"/>
        <v>#N/A</v>
      </c>
      <c r="AX179" s="232">
        <f t="shared" si="170"/>
        <v>7</v>
      </c>
      <c r="AY179" s="273" t="e">
        <f t="shared" si="137"/>
        <v>#N/A</v>
      </c>
      <c r="AZ179" s="232" t="e">
        <f t="shared" si="171"/>
        <v>#N/A</v>
      </c>
      <c r="BA179" s="232" t="e">
        <f t="shared" si="138"/>
        <v>#N/A</v>
      </c>
      <c r="BB179" s="275">
        <f t="shared" si="172"/>
        <v>7</v>
      </c>
      <c r="BC179" s="276" t="e">
        <f t="shared" si="173"/>
        <v>#N/A</v>
      </c>
      <c r="BD179" s="277" t="e">
        <f t="shared" si="174"/>
        <v>#N/A</v>
      </c>
      <c r="BE179" s="250" t="e">
        <f t="shared" si="139"/>
        <v>#N/A</v>
      </c>
      <c r="BF179" s="247">
        <f t="shared" si="175"/>
        <v>7</v>
      </c>
      <c r="BG179" s="276" t="e">
        <f t="shared" si="176"/>
        <v>#N/A</v>
      </c>
      <c r="BH179" s="277" t="e">
        <f t="shared" si="177"/>
        <v>#N/A</v>
      </c>
      <c r="BI179" s="250" t="e">
        <f t="shared" si="140"/>
        <v>#N/A</v>
      </c>
      <c r="BJ179" s="251">
        <f t="shared" si="178"/>
        <v>7</v>
      </c>
      <c r="BK179" s="278" t="e">
        <f t="shared" si="179"/>
        <v>#N/A</v>
      </c>
      <c r="BL179" s="278" t="e">
        <f t="shared" si="180"/>
        <v>#N/A</v>
      </c>
      <c r="BM179" s="279" t="e">
        <f t="shared" si="141"/>
        <v>#N/A</v>
      </c>
      <c r="BN179" s="280">
        <f t="shared" si="181"/>
        <v>7</v>
      </c>
      <c r="BO179" s="281" t="e">
        <f t="shared" si="182"/>
        <v>#N/A</v>
      </c>
      <c r="BP179" s="281" t="e">
        <f t="shared" si="183"/>
        <v>#N/A</v>
      </c>
      <c r="BQ179" s="279" t="e">
        <f t="shared" si="142"/>
        <v>#N/A</v>
      </c>
      <c r="BR179" s="282" t="e">
        <f t="shared" si="143"/>
        <v>#N/A</v>
      </c>
      <c r="BS179" s="217" t="e">
        <f>VLOOKUP($B179,SDR24_STOCK_BY_LA!$A$2:$C$11878,3,0)</f>
        <v>#N/A</v>
      </c>
      <c r="BT179" s="217" t="str">
        <f t="shared" si="184"/>
        <v/>
      </c>
    </row>
    <row r="180" spans="1:72" x14ac:dyDescent="0.2">
      <c r="A180" s="217" t="str">
        <f t="shared" si="185"/>
        <v/>
      </c>
      <c r="B180" s="217" t="str">
        <f t="shared" si="186"/>
        <v/>
      </c>
      <c r="C180" s="283" t="str">
        <f t="shared" si="144"/>
        <v/>
      </c>
      <c r="D180" s="256" t="str">
        <f>IF(B180="","",IF(totals!$Q$3=0,IFERROR(IF(AD180=2,"0",AE180),""),"-"))</f>
        <v/>
      </c>
      <c r="E180" s="258" t="str">
        <f t="shared" si="145"/>
        <v/>
      </c>
      <c r="F180" s="259" t="str">
        <f t="shared" si="146"/>
        <v/>
      </c>
      <c r="G180" s="259" t="str">
        <f t="shared" si="147"/>
        <v/>
      </c>
      <c r="H180" s="256" t="str">
        <f t="shared" si="125"/>
        <v/>
      </c>
      <c r="I180" s="259" t="str">
        <f t="shared" si="148"/>
        <v/>
      </c>
      <c r="J180" s="259" t="str">
        <f t="shared" si="149"/>
        <v/>
      </c>
      <c r="K180" s="256" t="str">
        <f t="shared" si="126"/>
        <v/>
      </c>
      <c r="L180" s="259" t="str">
        <f t="shared" si="127"/>
        <v/>
      </c>
      <c r="M180" s="259" t="str">
        <f t="shared" si="150"/>
        <v/>
      </c>
      <c r="N180" s="256" t="str">
        <f t="shared" si="151"/>
        <v/>
      </c>
      <c r="O180" s="259" t="str">
        <f t="shared" si="152"/>
        <v/>
      </c>
      <c r="P180" s="259" t="str">
        <f t="shared" si="153"/>
        <v/>
      </c>
      <c r="Q180" s="256" t="str">
        <f t="shared" si="154"/>
        <v/>
      </c>
      <c r="R180" s="259" t="str">
        <f t="shared" si="155"/>
        <v/>
      </c>
      <c r="S180" s="259" t="str">
        <f t="shared" si="156"/>
        <v/>
      </c>
      <c r="T180" s="256" t="str">
        <f t="shared" si="157"/>
        <v/>
      </c>
      <c r="U180" s="217"/>
      <c r="V180" s="217"/>
      <c r="AB180" s="217" t="e">
        <f>VLOOKUP($B$6,Lookup_Source,173,0)</f>
        <v>#N/A</v>
      </c>
      <c r="AC180" s="241" t="str">
        <f t="shared" si="158"/>
        <v/>
      </c>
      <c r="AD180" s="242">
        <f t="shared" si="159"/>
        <v>7</v>
      </c>
      <c r="AE180" s="261" t="e">
        <f t="shared" si="128"/>
        <v>#N/A</v>
      </c>
      <c r="AF180" s="264" t="e">
        <f t="shared" si="160"/>
        <v>#N/A</v>
      </c>
      <c r="AG180" s="264" t="e">
        <f t="shared" si="161"/>
        <v>#N/A</v>
      </c>
      <c r="AH180" s="263" t="e">
        <f t="shared" si="129"/>
        <v>#N/A</v>
      </c>
      <c r="AI180" s="226">
        <f t="shared" si="162"/>
        <v>7</v>
      </c>
      <c r="AJ180" s="264" t="e">
        <f t="shared" si="130"/>
        <v>#N/A</v>
      </c>
      <c r="AK180" s="264" t="e">
        <f t="shared" si="163"/>
        <v>#N/A</v>
      </c>
      <c r="AL180" s="226" t="e">
        <f t="shared" si="131"/>
        <v>#N/A</v>
      </c>
      <c r="AM180" s="265" t="e">
        <f t="shared" si="164"/>
        <v>#N/A</v>
      </c>
      <c r="AN180" s="266" t="e">
        <f t="shared" si="132"/>
        <v>#N/A</v>
      </c>
      <c r="AO180" s="227" t="e">
        <f t="shared" si="133"/>
        <v>#N/A</v>
      </c>
      <c r="AP180" s="284">
        <f t="shared" si="165"/>
        <v>7</v>
      </c>
      <c r="AQ180" s="285" t="e">
        <f t="shared" si="134"/>
        <v>#N/A</v>
      </c>
      <c r="AR180" s="266" t="e">
        <f t="shared" si="166"/>
        <v>#N/A</v>
      </c>
      <c r="AS180" s="270" t="e">
        <f t="shared" si="135"/>
        <v>#N/A</v>
      </c>
      <c r="AT180" s="271">
        <f t="shared" si="167"/>
        <v>7</v>
      </c>
      <c r="AU180" s="272" t="e">
        <f t="shared" si="168"/>
        <v>#N/A</v>
      </c>
      <c r="AV180" s="273" t="e">
        <f t="shared" si="169"/>
        <v>#N/A</v>
      </c>
      <c r="AW180" s="274" t="e">
        <f t="shared" si="136"/>
        <v>#N/A</v>
      </c>
      <c r="AX180" s="232">
        <f t="shared" si="170"/>
        <v>7</v>
      </c>
      <c r="AY180" s="273" t="e">
        <f t="shared" si="137"/>
        <v>#N/A</v>
      </c>
      <c r="AZ180" s="232" t="e">
        <f t="shared" si="171"/>
        <v>#N/A</v>
      </c>
      <c r="BA180" s="232" t="e">
        <f t="shared" si="138"/>
        <v>#N/A</v>
      </c>
      <c r="BB180" s="275">
        <f t="shared" si="172"/>
        <v>7</v>
      </c>
      <c r="BC180" s="276" t="e">
        <f t="shared" si="173"/>
        <v>#N/A</v>
      </c>
      <c r="BD180" s="277" t="e">
        <f t="shared" si="174"/>
        <v>#N/A</v>
      </c>
      <c r="BE180" s="250" t="e">
        <f t="shared" si="139"/>
        <v>#N/A</v>
      </c>
      <c r="BF180" s="247">
        <f t="shared" si="175"/>
        <v>7</v>
      </c>
      <c r="BG180" s="276" t="e">
        <f t="shared" si="176"/>
        <v>#N/A</v>
      </c>
      <c r="BH180" s="277" t="e">
        <f t="shared" si="177"/>
        <v>#N/A</v>
      </c>
      <c r="BI180" s="250" t="e">
        <f t="shared" si="140"/>
        <v>#N/A</v>
      </c>
      <c r="BJ180" s="251">
        <f t="shared" si="178"/>
        <v>7</v>
      </c>
      <c r="BK180" s="278" t="e">
        <f t="shared" si="179"/>
        <v>#N/A</v>
      </c>
      <c r="BL180" s="278" t="e">
        <f t="shared" si="180"/>
        <v>#N/A</v>
      </c>
      <c r="BM180" s="279" t="e">
        <f t="shared" si="141"/>
        <v>#N/A</v>
      </c>
      <c r="BN180" s="280">
        <f t="shared" si="181"/>
        <v>7</v>
      </c>
      <c r="BO180" s="281" t="e">
        <f t="shared" si="182"/>
        <v>#N/A</v>
      </c>
      <c r="BP180" s="281" t="e">
        <f t="shared" si="183"/>
        <v>#N/A</v>
      </c>
      <c r="BQ180" s="279" t="e">
        <f t="shared" si="142"/>
        <v>#N/A</v>
      </c>
      <c r="BR180" s="282" t="e">
        <f t="shared" si="143"/>
        <v>#N/A</v>
      </c>
      <c r="BS180" s="217" t="e">
        <f>VLOOKUP($B180,SDR24_STOCK_BY_LA!$A$2:$C$11878,3,0)</f>
        <v>#N/A</v>
      </c>
      <c r="BT180" s="217" t="str">
        <f t="shared" si="184"/>
        <v/>
      </c>
    </row>
    <row r="181" spans="1:72" x14ac:dyDescent="0.2">
      <c r="A181" s="256" t="str">
        <f t="shared" si="185"/>
        <v/>
      </c>
      <c r="B181" s="217" t="str">
        <f t="shared" si="186"/>
        <v/>
      </c>
      <c r="C181" s="257" t="str">
        <f t="shared" si="144"/>
        <v/>
      </c>
      <c r="D181" s="256" t="str">
        <f>IF(B181="","",IF(totals!$Q$3=0,IFERROR(IF(AD181=2,"0",AE181),""),"-"))</f>
        <v/>
      </c>
      <c r="E181" s="258" t="str">
        <f t="shared" si="145"/>
        <v/>
      </c>
      <c r="F181" s="259" t="str">
        <f t="shared" si="146"/>
        <v/>
      </c>
      <c r="G181" s="259" t="str">
        <f t="shared" si="147"/>
        <v/>
      </c>
      <c r="H181" s="256" t="str">
        <f t="shared" si="125"/>
        <v/>
      </c>
      <c r="I181" s="259" t="str">
        <f t="shared" si="148"/>
        <v/>
      </c>
      <c r="J181" s="259" t="str">
        <f t="shared" si="149"/>
        <v/>
      </c>
      <c r="K181" s="256" t="str">
        <f t="shared" si="126"/>
        <v/>
      </c>
      <c r="L181" s="259" t="str">
        <f t="shared" si="127"/>
        <v/>
      </c>
      <c r="M181" s="259" t="str">
        <f t="shared" si="150"/>
        <v/>
      </c>
      <c r="N181" s="256" t="str">
        <f t="shared" si="151"/>
        <v/>
      </c>
      <c r="O181" s="259" t="str">
        <f t="shared" si="152"/>
        <v/>
      </c>
      <c r="P181" s="259" t="str">
        <f t="shared" si="153"/>
        <v/>
      </c>
      <c r="Q181" s="256" t="str">
        <f t="shared" si="154"/>
        <v/>
      </c>
      <c r="R181" s="259" t="str">
        <f t="shared" si="155"/>
        <v/>
      </c>
      <c r="S181" s="259" t="str">
        <f t="shared" si="156"/>
        <v/>
      </c>
      <c r="T181" s="256" t="str">
        <f t="shared" si="157"/>
        <v/>
      </c>
      <c r="U181" s="217"/>
      <c r="V181" s="217"/>
      <c r="AB181" s="257" t="e">
        <f>VLOOKUP($B$6,Lookup_Source,174,0)</f>
        <v>#N/A</v>
      </c>
      <c r="AC181" s="241" t="str">
        <f t="shared" si="158"/>
        <v/>
      </c>
      <c r="AD181" s="242">
        <f t="shared" si="159"/>
        <v>7</v>
      </c>
      <c r="AE181" s="261" t="e">
        <f t="shared" si="128"/>
        <v>#N/A</v>
      </c>
      <c r="AF181" s="264" t="e">
        <f t="shared" si="160"/>
        <v>#N/A</v>
      </c>
      <c r="AG181" s="264" t="e">
        <f t="shared" si="161"/>
        <v>#N/A</v>
      </c>
      <c r="AH181" s="263" t="e">
        <f t="shared" si="129"/>
        <v>#N/A</v>
      </c>
      <c r="AI181" s="226">
        <f t="shared" si="162"/>
        <v>7</v>
      </c>
      <c r="AJ181" s="264" t="e">
        <f t="shared" si="130"/>
        <v>#N/A</v>
      </c>
      <c r="AK181" s="264" t="e">
        <f t="shared" si="163"/>
        <v>#N/A</v>
      </c>
      <c r="AL181" s="226" t="e">
        <f t="shared" si="131"/>
        <v>#N/A</v>
      </c>
      <c r="AM181" s="265" t="e">
        <f t="shared" si="164"/>
        <v>#N/A</v>
      </c>
      <c r="AN181" s="266" t="e">
        <f t="shared" si="132"/>
        <v>#N/A</v>
      </c>
      <c r="AO181" s="227" t="e">
        <f t="shared" si="133"/>
        <v>#N/A</v>
      </c>
      <c r="AP181" s="284">
        <f t="shared" si="165"/>
        <v>7</v>
      </c>
      <c r="AQ181" s="285" t="e">
        <f t="shared" si="134"/>
        <v>#N/A</v>
      </c>
      <c r="AR181" s="266" t="e">
        <f t="shared" si="166"/>
        <v>#N/A</v>
      </c>
      <c r="AS181" s="270" t="e">
        <f t="shared" si="135"/>
        <v>#N/A</v>
      </c>
      <c r="AT181" s="271">
        <f t="shared" si="167"/>
        <v>7</v>
      </c>
      <c r="AU181" s="272" t="e">
        <f t="shared" si="168"/>
        <v>#N/A</v>
      </c>
      <c r="AV181" s="273" t="e">
        <f t="shared" si="169"/>
        <v>#N/A</v>
      </c>
      <c r="AW181" s="274" t="e">
        <f t="shared" si="136"/>
        <v>#N/A</v>
      </c>
      <c r="AX181" s="232">
        <f t="shared" si="170"/>
        <v>7</v>
      </c>
      <c r="AY181" s="273" t="e">
        <f t="shared" si="137"/>
        <v>#N/A</v>
      </c>
      <c r="AZ181" s="232" t="e">
        <f t="shared" si="171"/>
        <v>#N/A</v>
      </c>
      <c r="BA181" s="232" t="e">
        <f t="shared" si="138"/>
        <v>#N/A</v>
      </c>
      <c r="BB181" s="275">
        <f t="shared" si="172"/>
        <v>7</v>
      </c>
      <c r="BC181" s="276" t="e">
        <f t="shared" si="173"/>
        <v>#N/A</v>
      </c>
      <c r="BD181" s="277" t="e">
        <f t="shared" si="174"/>
        <v>#N/A</v>
      </c>
      <c r="BE181" s="250" t="e">
        <f t="shared" si="139"/>
        <v>#N/A</v>
      </c>
      <c r="BF181" s="247">
        <f t="shared" si="175"/>
        <v>7</v>
      </c>
      <c r="BG181" s="276" t="e">
        <f t="shared" si="176"/>
        <v>#N/A</v>
      </c>
      <c r="BH181" s="277" t="e">
        <f t="shared" si="177"/>
        <v>#N/A</v>
      </c>
      <c r="BI181" s="250" t="e">
        <f t="shared" si="140"/>
        <v>#N/A</v>
      </c>
      <c r="BJ181" s="251">
        <f t="shared" si="178"/>
        <v>7</v>
      </c>
      <c r="BK181" s="278" t="e">
        <f t="shared" si="179"/>
        <v>#N/A</v>
      </c>
      <c r="BL181" s="278" t="e">
        <f t="shared" si="180"/>
        <v>#N/A</v>
      </c>
      <c r="BM181" s="279" t="e">
        <f t="shared" si="141"/>
        <v>#N/A</v>
      </c>
      <c r="BN181" s="280">
        <f t="shared" si="181"/>
        <v>7</v>
      </c>
      <c r="BO181" s="281" t="e">
        <f t="shared" si="182"/>
        <v>#N/A</v>
      </c>
      <c r="BP181" s="281" t="e">
        <f t="shared" si="183"/>
        <v>#N/A</v>
      </c>
      <c r="BQ181" s="279" t="e">
        <f t="shared" si="142"/>
        <v>#N/A</v>
      </c>
      <c r="BR181" s="282" t="e">
        <f t="shared" si="143"/>
        <v>#N/A</v>
      </c>
      <c r="BS181" s="217" t="e">
        <f>VLOOKUP($B181,SDR24_STOCK_BY_LA!$A$2:$C$11878,3,0)</f>
        <v>#N/A</v>
      </c>
      <c r="BT181" s="217" t="str">
        <f t="shared" si="184"/>
        <v/>
      </c>
    </row>
    <row r="182" spans="1:72" x14ac:dyDescent="0.2">
      <c r="A182" s="217" t="str">
        <f t="shared" si="185"/>
        <v/>
      </c>
      <c r="B182" s="217" t="str">
        <f t="shared" si="186"/>
        <v/>
      </c>
      <c r="C182" s="283" t="str">
        <f t="shared" si="144"/>
        <v/>
      </c>
      <c r="D182" s="256" t="str">
        <f>IF(B182="","",IF(totals!$Q$3=0,IFERROR(IF(AD182=2,"0",AE182),""),"-"))</f>
        <v/>
      </c>
      <c r="E182" s="258" t="str">
        <f t="shared" si="145"/>
        <v/>
      </c>
      <c r="F182" s="259" t="str">
        <f t="shared" si="146"/>
        <v/>
      </c>
      <c r="G182" s="259" t="str">
        <f t="shared" si="147"/>
        <v/>
      </c>
      <c r="H182" s="256" t="str">
        <f t="shared" si="125"/>
        <v/>
      </c>
      <c r="I182" s="259" t="str">
        <f t="shared" si="148"/>
        <v/>
      </c>
      <c r="J182" s="259" t="str">
        <f t="shared" si="149"/>
        <v/>
      </c>
      <c r="K182" s="256" t="str">
        <f t="shared" si="126"/>
        <v/>
      </c>
      <c r="L182" s="259" t="str">
        <f t="shared" si="127"/>
        <v/>
      </c>
      <c r="M182" s="259" t="str">
        <f t="shared" si="150"/>
        <v/>
      </c>
      <c r="N182" s="256" t="str">
        <f t="shared" si="151"/>
        <v/>
      </c>
      <c r="O182" s="259" t="str">
        <f t="shared" si="152"/>
        <v/>
      </c>
      <c r="P182" s="259" t="str">
        <f t="shared" si="153"/>
        <v/>
      </c>
      <c r="Q182" s="256" t="str">
        <f t="shared" si="154"/>
        <v/>
      </c>
      <c r="R182" s="259" t="str">
        <f t="shared" si="155"/>
        <v/>
      </c>
      <c r="S182" s="259" t="str">
        <f t="shared" si="156"/>
        <v/>
      </c>
      <c r="T182" s="256" t="str">
        <f t="shared" si="157"/>
        <v/>
      </c>
      <c r="U182" s="217"/>
      <c r="V182" s="217"/>
      <c r="AB182" s="217" t="e">
        <f>VLOOKUP($B$6,Lookup_Source,175,0)</f>
        <v>#N/A</v>
      </c>
      <c r="AC182" s="241" t="str">
        <f t="shared" si="158"/>
        <v/>
      </c>
      <c r="AD182" s="242">
        <f t="shared" si="159"/>
        <v>7</v>
      </c>
      <c r="AE182" s="261" t="e">
        <f t="shared" si="128"/>
        <v>#N/A</v>
      </c>
      <c r="AF182" s="264" t="e">
        <f t="shared" si="160"/>
        <v>#N/A</v>
      </c>
      <c r="AG182" s="264" t="e">
        <f t="shared" si="161"/>
        <v>#N/A</v>
      </c>
      <c r="AH182" s="263" t="e">
        <f t="shared" si="129"/>
        <v>#N/A</v>
      </c>
      <c r="AI182" s="226">
        <f t="shared" si="162"/>
        <v>7</v>
      </c>
      <c r="AJ182" s="264" t="e">
        <f t="shared" si="130"/>
        <v>#N/A</v>
      </c>
      <c r="AK182" s="264" t="e">
        <f t="shared" si="163"/>
        <v>#N/A</v>
      </c>
      <c r="AL182" s="226" t="e">
        <f t="shared" si="131"/>
        <v>#N/A</v>
      </c>
      <c r="AM182" s="265" t="e">
        <f t="shared" si="164"/>
        <v>#N/A</v>
      </c>
      <c r="AN182" s="266" t="e">
        <f t="shared" si="132"/>
        <v>#N/A</v>
      </c>
      <c r="AO182" s="227" t="e">
        <f t="shared" si="133"/>
        <v>#N/A</v>
      </c>
      <c r="AP182" s="284">
        <f t="shared" si="165"/>
        <v>7</v>
      </c>
      <c r="AQ182" s="285" t="e">
        <f t="shared" si="134"/>
        <v>#N/A</v>
      </c>
      <c r="AR182" s="266" t="e">
        <f t="shared" si="166"/>
        <v>#N/A</v>
      </c>
      <c r="AS182" s="270" t="e">
        <f t="shared" si="135"/>
        <v>#N/A</v>
      </c>
      <c r="AT182" s="271">
        <f t="shared" si="167"/>
        <v>7</v>
      </c>
      <c r="AU182" s="272" t="e">
        <f t="shared" si="168"/>
        <v>#N/A</v>
      </c>
      <c r="AV182" s="273" t="e">
        <f t="shared" si="169"/>
        <v>#N/A</v>
      </c>
      <c r="AW182" s="274" t="e">
        <f t="shared" si="136"/>
        <v>#N/A</v>
      </c>
      <c r="AX182" s="232">
        <f t="shared" si="170"/>
        <v>7</v>
      </c>
      <c r="AY182" s="273" t="e">
        <f t="shared" si="137"/>
        <v>#N/A</v>
      </c>
      <c r="AZ182" s="232" t="e">
        <f t="shared" si="171"/>
        <v>#N/A</v>
      </c>
      <c r="BA182" s="232" t="e">
        <f t="shared" si="138"/>
        <v>#N/A</v>
      </c>
      <c r="BB182" s="275">
        <f t="shared" si="172"/>
        <v>7</v>
      </c>
      <c r="BC182" s="276" t="e">
        <f t="shared" si="173"/>
        <v>#N/A</v>
      </c>
      <c r="BD182" s="277" t="e">
        <f t="shared" si="174"/>
        <v>#N/A</v>
      </c>
      <c r="BE182" s="250" t="e">
        <f t="shared" si="139"/>
        <v>#N/A</v>
      </c>
      <c r="BF182" s="247">
        <f t="shared" si="175"/>
        <v>7</v>
      </c>
      <c r="BG182" s="276" t="e">
        <f t="shared" si="176"/>
        <v>#N/A</v>
      </c>
      <c r="BH182" s="277" t="e">
        <f t="shared" si="177"/>
        <v>#N/A</v>
      </c>
      <c r="BI182" s="250" t="e">
        <f t="shared" si="140"/>
        <v>#N/A</v>
      </c>
      <c r="BJ182" s="251">
        <f t="shared" si="178"/>
        <v>7</v>
      </c>
      <c r="BK182" s="278" t="e">
        <f t="shared" si="179"/>
        <v>#N/A</v>
      </c>
      <c r="BL182" s="278" t="e">
        <f t="shared" si="180"/>
        <v>#N/A</v>
      </c>
      <c r="BM182" s="279" t="e">
        <f t="shared" si="141"/>
        <v>#N/A</v>
      </c>
      <c r="BN182" s="280">
        <f t="shared" si="181"/>
        <v>7</v>
      </c>
      <c r="BO182" s="281" t="e">
        <f t="shared" si="182"/>
        <v>#N/A</v>
      </c>
      <c r="BP182" s="281" t="e">
        <f t="shared" si="183"/>
        <v>#N/A</v>
      </c>
      <c r="BQ182" s="279" t="e">
        <f t="shared" si="142"/>
        <v>#N/A</v>
      </c>
      <c r="BR182" s="282" t="e">
        <f t="shared" si="143"/>
        <v>#N/A</v>
      </c>
      <c r="BS182" s="217" t="e">
        <f>VLOOKUP($B182,SDR24_STOCK_BY_LA!$A$2:$C$11878,3,0)</f>
        <v>#N/A</v>
      </c>
      <c r="BT182" s="217" t="str">
        <f t="shared" si="184"/>
        <v/>
      </c>
    </row>
    <row r="183" spans="1:72" x14ac:dyDescent="0.2">
      <c r="A183" s="256" t="str">
        <f t="shared" si="185"/>
        <v/>
      </c>
      <c r="B183" s="217" t="str">
        <f t="shared" si="186"/>
        <v/>
      </c>
      <c r="C183" s="257" t="str">
        <f t="shared" si="144"/>
        <v/>
      </c>
      <c r="D183" s="256" t="str">
        <f>IF(B183="","",IF(totals!$Q$3=0,IFERROR(IF(AD183=2,"0",AE183),""),"-"))</f>
        <v/>
      </c>
      <c r="E183" s="258" t="str">
        <f t="shared" si="145"/>
        <v/>
      </c>
      <c r="F183" s="259" t="str">
        <f t="shared" si="146"/>
        <v/>
      </c>
      <c r="G183" s="259" t="str">
        <f t="shared" si="147"/>
        <v/>
      </c>
      <c r="H183" s="256" t="str">
        <f t="shared" si="125"/>
        <v/>
      </c>
      <c r="I183" s="259" t="str">
        <f t="shared" si="148"/>
        <v/>
      </c>
      <c r="J183" s="259" t="str">
        <f t="shared" si="149"/>
        <v/>
      </c>
      <c r="K183" s="256" t="str">
        <f t="shared" si="126"/>
        <v/>
      </c>
      <c r="L183" s="259" t="str">
        <f t="shared" si="127"/>
        <v/>
      </c>
      <c r="M183" s="259" t="str">
        <f t="shared" si="150"/>
        <v/>
      </c>
      <c r="N183" s="256" t="str">
        <f t="shared" si="151"/>
        <v/>
      </c>
      <c r="O183" s="259" t="str">
        <f t="shared" si="152"/>
        <v/>
      </c>
      <c r="P183" s="259" t="str">
        <f t="shared" si="153"/>
        <v/>
      </c>
      <c r="Q183" s="256" t="str">
        <f t="shared" si="154"/>
        <v/>
      </c>
      <c r="R183" s="259" t="str">
        <f t="shared" si="155"/>
        <v/>
      </c>
      <c r="S183" s="259" t="str">
        <f t="shared" si="156"/>
        <v/>
      </c>
      <c r="T183" s="256" t="str">
        <f t="shared" si="157"/>
        <v/>
      </c>
      <c r="U183" s="217"/>
      <c r="V183" s="217"/>
      <c r="AB183" s="257" t="e">
        <f>VLOOKUP($B$6,Lookup_Source,176,0)</f>
        <v>#N/A</v>
      </c>
      <c r="AC183" s="241" t="str">
        <f t="shared" si="158"/>
        <v/>
      </c>
      <c r="AD183" s="242">
        <f t="shared" si="159"/>
        <v>7</v>
      </c>
      <c r="AE183" s="261" t="e">
        <f t="shared" si="128"/>
        <v>#N/A</v>
      </c>
      <c r="AF183" s="264" t="e">
        <f t="shared" si="160"/>
        <v>#N/A</v>
      </c>
      <c r="AG183" s="264" t="e">
        <f t="shared" si="161"/>
        <v>#N/A</v>
      </c>
      <c r="AH183" s="263" t="e">
        <f t="shared" si="129"/>
        <v>#N/A</v>
      </c>
      <c r="AI183" s="226">
        <f t="shared" si="162"/>
        <v>7</v>
      </c>
      <c r="AJ183" s="264" t="e">
        <f t="shared" si="130"/>
        <v>#N/A</v>
      </c>
      <c r="AK183" s="264" t="e">
        <f t="shared" si="163"/>
        <v>#N/A</v>
      </c>
      <c r="AL183" s="226" t="e">
        <f t="shared" si="131"/>
        <v>#N/A</v>
      </c>
      <c r="AM183" s="265" t="e">
        <f t="shared" si="164"/>
        <v>#N/A</v>
      </c>
      <c r="AN183" s="266" t="e">
        <f t="shared" si="132"/>
        <v>#N/A</v>
      </c>
      <c r="AO183" s="227" t="e">
        <f t="shared" si="133"/>
        <v>#N/A</v>
      </c>
      <c r="AP183" s="284">
        <f t="shared" si="165"/>
        <v>7</v>
      </c>
      <c r="AQ183" s="285" t="e">
        <f t="shared" si="134"/>
        <v>#N/A</v>
      </c>
      <c r="AR183" s="266" t="e">
        <f t="shared" si="166"/>
        <v>#N/A</v>
      </c>
      <c r="AS183" s="270" t="e">
        <f t="shared" si="135"/>
        <v>#N/A</v>
      </c>
      <c r="AT183" s="271">
        <f t="shared" si="167"/>
        <v>7</v>
      </c>
      <c r="AU183" s="272" t="e">
        <f t="shared" si="168"/>
        <v>#N/A</v>
      </c>
      <c r="AV183" s="273" t="e">
        <f t="shared" si="169"/>
        <v>#N/A</v>
      </c>
      <c r="AW183" s="274" t="e">
        <f t="shared" si="136"/>
        <v>#N/A</v>
      </c>
      <c r="AX183" s="232">
        <f t="shared" si="170"/>
        <v>7</v>
      </c>
      <c r="AY183" s="273" t="e">
        <f t="shared" si="137"/>
        <v>#N/A</v>
      </c>
      <c r="AZ183" s="232" t="e">
        <f t="shared" si="171"/>
        <v>#N/A</v>
      </c>
      <c r="BA183" s="232" t="e">
        <f t="shared" si="138"/>
        <v>#N/A</v>
      </c>
      <c r="BB183" s="275">
        <f t="shared" si="172"/>
        <v>7</v>
      </c>
      <c r="BC183" s="276" t="e">
        <f t="shared" si="173"/>
        <v>#N/A</v>
      </c>
      <c r="BD183" s="277" t="e">
        <f t="shared" si="174"/>
        <v>#N/A</v>
      </c>
      <c r="BE183" s="250" t="e">
        <f t="shared" si="139"/>
        <v>#N/A</v>
      </c>
      <c r="BF183" s="247">
        <f t="shared" si="175"/>
        <v>7</v>
      </c>
      <c r="BG183" s="276" t="e">
        <f t="shared" si="176"/>
        <v>#N/A</v>
      </c>
      <c r="BH183" s="277" t="e">
        <f t="shared" si="177"/>
        <v>#N/A</v>
      </c>
      <c r="BI183" s="250" t="e">
        <f t="shared" si="140"/>
        <v>#N/A</v>
      </c>
      <c r="BJ183" s="251">
        <f t="shared" si="178"/>
        <v>7</v>
      </c>
      <c r="BK183" s="278" t="e">
        <f t="shared" si="179"/>
        <v>#N/A</v>
      </c>
      <c r="BL183" s="278" t="e">
        <f t="shared" si="180"/>
        <v>#N/A</v>
      </c>
      <c r="BM183" s="279" t="e">
        <f t="shared" si="141"/>
        <v>#N/A</v>
      </c>
      <c r="BN183" s="280">
        <f t="shared" si="181"/>
        <v>7</v>
      </c>
      <c r="BO183" s="281" t="e">
        <f t="shared" si="182"/>
        <v>#N/A</v>
      </c>
      <c r="BP183" s="281" t="e">
        <f t="shared" si="183"/>
        <v>#N/A</v>
      </c>
      <c r="BQ183" s="279" t="e">
        <f t="shared" si="142"/>
        <v>#N/A</v>
      </c>
      <c r="BR183" s="282" t="e">
        <f t="shared" si="143"/>
        <v>#N/A</v>
      </c>
      <c r="BS183" s="217" t="e">
        <f>VLOOKUP($B183,SDR24_STOCK_BY_LA!$A$2:$C$11878,3,0)</f>
        <v>#N/A</v>
      </c>
      <c r="BT183" s="217" t="str">
        <f t="shared" si="184"/>
        <v/>
      </c>
    </row>
    <row r="184" spans="1:72" x14ac:dyDescent="0.2">
      <c r="A184" s="217" t="str">
        <f t="shared" si="185"/>
        <v/>
      </c>
      <c r="B184" s="217" t="str">
        <f t="shared" si="186"/>
        <v/>
      </c>
      <c r="C184" s="283" t="str">
        <f t="shared" si="144"/>
        <v/>
      </c>
      <c r="D184" s="256" t="str">
        <f>IF(B184="","",IF(totals!$Q$3=0,IFERROR(IF(AD184=2,"0",AE184),""),"-"))</f>
        <v/>
      </c>
      <c r="E184" s="258" t="str">
        <f t="shared" si="145"/>
        <v/>
      </c>
      <c r="F184" s="259" t="str">
        <f t="shared" si="146"/>
        <v/>
      </c>
      <c r="G184" s="259" t="str">
        <f t="shared" si="147"/>
        <v/>
      </c>
      <c r="H184" s="256" t="str">
        <f t="shared" si="125"/>
        <v/>
      </c>
      <c r="I184" s="259" t="str">
        <f t="shared" si="148"/>
        <v/>
      </c>
      <c r="J184" s="259" t="str">
        <f t="shared" si="149"/>
        <v/>
      </c>
      <c r="K184" s="256" t="str">
        <f t="shared" si="126"/>
        <v/>
      </c>
      <c r="L184" s="259" t="str">
        <f t="shared" si="127"/>
        <v/>
      </c>
      <c r="M184" s="259" t="str">
        <f t="shared" si="150"/>
        <v/>
      </c>
      <c r="N184" s="256" t="str">
        <f t="shared" si="151"/>
        <v/>
      </c>
      <c r="O184" s="259" t="str">
        <f t="shared" si="152"/>
        <v/>
      </c>
      <c r="P184" s="259" t="str">
        <f t="shared" si="153"/>
        <v/>
      </c>
      <c r="Q184" s="256" t="str">
        <f t="shared" si="154"/>
        <v/>
      </c>
      <c r="R184" s="259" t="str">
        <f t="shared" si="155"/>
        <v/>
      </c>
      <c r="S184" s="259" t="str">
        <f t="shared" si="156"/>
        <v/>
      </c>
      <c r="T184" s="256" t="str">
        <f t="shared" si="157"/>
        <v/>
      </c>
      <c r="U184" s="217"/>
      <c r="V184" s="217"/>
      <c r="AB184" s="217" t="e">
        <f>VLOOKUP($B$6,Lookup_Source,177,0)</f>
        <v>#N/A</v>
      </c>
      <c r="AC184" s="241" t="str">
        <f t="shared" si="158"/>
        <v/>
      </c>
      <c r="AD184" s="242">
        <f t="shared" si="159"/>
        <v>7</v>
      </c>
      <c r="AE184" s="261" t="e">
        <f t="shared" si="128"/>
        <v>#N/A</v>
      </c>
      <c r="AF184" s="264" t="e">
        <f t="shared" si="160"/>
        <v>#N/A</v>
      </c>
      <c r="AG184" s="264" t="e">
        <f t="shared" si="161"/>
        <v>#N/A</v>
      </c>
      <c r="AH184" s="263" t="e">
        <f t="shared" si="129"/>
        <v>#N/A</v>
      </c>
      <c r="AI184" s="226">
        <f t="shared" si="162"/>
        <v>7</v>
      </c>
      <c r="AJ184" s="264" t="e">
        <f t="shared" si="130"/>
        <v>#N/A</v>
      </c>
      <c r="AK184" s="264" t="e">
        <f t="shared" si="163"/>
        <v>#N/A</v>
      </c>
      <c r="AL184" s="226" t="e">
        <f t="shared" si="131"/>
        <v>#N/A</v>
      </c>
      <c r="AM184" s="265" t="e">
        <f t="shared" si="164"/>
        <v>#N/A</v>
      </c>
      <c r="AN184" s="266" t="e">
        <f t="shared" si="132"/>
        <v>#N/A</v>
      </c>
      <c r="AO184" s="227" t="e">
        <f t="shared" si="133"/>
        <v>#N/A</v>
      </c>
      <c r="AP184" s="284">
        <f t="shared" si="165"/>
        <v>7</v>
      </c>
      <c r="AQ184" s="285" t="e">
        <f t="shared" si="134"/>
        <v>#N/A</v>
      </c>
      <c r="AR184" s="266" t="e">
        <f t="shared" si="166"/>
        <v>#N/A</v>
      </c>
      <c r="AS184" s="270" t="e">
        <f t="shared" si="135"/>
        <v>#N/A</v>
      </c>
      <c r="AT184" s="271">
        <f t="shared" si="167"/>
        <v>7</v>
      </c>
      <c r="AU184" s="272" t="e">
        <f t="shared" si="168"/>
        <v>#N/A</v>
      </c>
      <c r="AV184" s="273" t="e">
        <f t="shared" si="169"/>
        <v>#N/A</v>
      </c>
      <c r="AW184" s="274" t="e">
        <f t="shared" si="136"/>
        <v>#N/A</v>
      </c>
      <c r="AX184" s="232">
        <f t="shared" si="170"/>
        <v>7</v>
      </c>
      <c r="AY184" s="273" t="e">
        <f t="shared" si="137"/>
        <v>#N/A</v>
      </c>
      <c r="AZ184" s="232" t="e">
        <f t="shared" si="171"/>
        <v>#N/A</v>
      </c>
      <c r="BA184" s="232" t="e">
        <f t="shared" si="138"/>
        <v>#N/A</v>
      </c>
      <c r="BB184" s="275">
        <f t="shared" si="172"/>
        <v>7</v>
      </c>
      <c r="BC184" s="276" t="e">
        <f t="shared" si="173"/>
        <v>#N/A</v>
      </c>
      <c r="BD184" s="277" t="e">
        <f t="shared" si="174"/>
        <v>#N/A</v>
      </c>
      <c r="BE184" s="250" t="e">
        <f t="shared" si="139"/>
        <v>#N/A</v>
      </c>
      <c r="BF184" s="247">
        <f t="shared" si="175"/>
        <v>7</v>
      </c>
      <c r="BG184" s="276" t="e">
        <f t="shared" si="176"/>
        <v>#N/A</v>
      </c>
      <c r="BH184" s="277" t="e">
        <f t="shared" si="177"/>
        <v>#N/A</v>
      </c>
      <c r="BI184" s="250" t="e">
        <f t="shared" si="140"/>
        <v>#N/A</v>
      </c>
      <c r="BJ184" s="251">
        <f t="shared" si="178"/>
        <v>7</v>
      </c>
      <c r="BK184" s="278" t="e">
        <f t="shared" si="179"/>
        <v>#N/A</v>
      </c>
      <c r="BL184" s="278" t="e">
        <f t="shared" si="180"/>
        <v>#N/A</v>
      </c>
      <c r="BM184" s="279" t="e">
        <f t="shared" si="141"/>
        <v>#N/A</v>
      </c>
      <c r="BN184" s="280">
        <f t="shared" si="181"/>
        <v>7</v>
      </c>
      <c r="BO184" s="281" t="e">
        <f t="shared" si="182"/>
        <v>#N/A</v>
      </c>
      <c r="BP184" s="281" t="e">
        <f t="shared" si="183"/>
        <v>#N/A</v>
      </c>
      <c r="BQ184" s="279" t="e">
        <f t="shared" si="142"/>
        <v>#N/A</v>
      </c>
      <c r="BR184" s="282" t="e">
        <f t="shared" si="143"/>
        <v>#N/A</v>
      </c>
      <c r="BS184" s="217" t="e">
        <f>VLOOKUP($B184,SDR24_STOCK_BY_LA!$A$2:$C$11878,3,0)</f>
        <v>#N/A</v>
      </c>
      <c r="BT184" s="217" t="str">
        <f t="shared" si="184"/>
        <v/>
      </c>
    </row>
    <row r="185" spans="1:72" x14ac:dyDescent="0.2">
      <c r="A185" s="256" t="str">
        <f t="shared" si="185"/>
        <v/>
      </c>
      <c r="B185" s="217" t="str">
        <f t="shared" si="186"/>
        <v/>
      </c>
      <c r="C185" s="257" t="str">
        <f t="shared" si="144"/>
        <v/>
      </c>
      <c r="D185" s="256" t="str">
        <f>IF(B185="","",IF(totals!$Q$3=0,IFERROR(IF(AD185=2,"0",AE185),""),"-"))</f>
        <v/>
      </c>
      <c r="E185" s="258" t="str">
        <f t="shared" si="145"/>
        <v/>
      </c>
      <c r="F185" s="259" t="str">
        <f t="shared" si="146"/>
        <v/>
      </c>
      <c r="G185" s="259" t="str">
        <f t="shared" si="147"/>
        <v/>
      </c>
      <c r="H185" s="256" t="str">
        <f t="shared" si="125"/>
        <v/>
      </c>
      <c r="I185" s="259" t="str">
        <f t="shared" si="148"/>
        <v/>
      </c>
      <c r="J185" s="259" t="str">
        <f t="shared" si="149"/>
        <v/>
      </c>
      <c r="K185" s="256" t="str">
        <f t="shared" si="126"/>
        <v/>
      </c>
      <c r="L185" s="259" t="str">
        <f t="shared" si="127"/>
        <v/>
      </c>
      <c r="M185" s="259" t="str">
        <f t="shared" si="150"/>
        <v/>
      </c>
      <c r="N185" s="256" t="str">
        <f t="shared" si="151"/>
        <v/>
      </c>
      <c r="O185" s="259" t="str">
        <f t="shared" si="152"/>
        <v/>
      </c>
      <c r="P185" s="259" t="str">
        <f t="shared" si="153"/>
        <v/>
      </c>
      <c r="Q185" s="256" t="str">
        <f t="shared" si="154"/>
        <v/>
      </c>
      <c r="R185" s="259" t="str">
        <f t="shared" si="155"/>
        <v/>
      </c>
      <c r="S185" s="259" t="str">
        <f t="shared" si="156"/>
        <v/>
      </c>
      <c r="T185" s="256" t="str">
        <f t="shared" si="157"/>
        <v/>
      </c>
      <c r="U185" s="217"/>
      <c r="V185" s="217"/>
      <c r="AB185" s="257" t="e">
        <f>VLOOKUP($B$6,Lookup_Source,178,0)</f>
        <v>#N/A</v>
      </c>
      <c r="AC185" s="241" t="str">
        <f t="shared" si="158"/>
        <v/>
      </c>
      <c r="AD185" s="242">
        <f t="shared" si="159"/>
        <v>7</v>
      </c>
      <c r="AE185" s="261" t="e">
        <f t="shared" si="128"/>
        <v>#N/A</v>
      </c>
      <c r="AF185" s="264" t="e">
        <f t="shared" si="160"/>
        <v>#N/A</v>
      </c>
      <c r="AG185" s="264" t="e">
        <f t="shared" si="161"/>
        <v>#N/A</v>
      </c>
      <c r="AH185" s="263" t="e">
        <f t="shared" si="129"/>
        <v>#N/A</v>
      </c>
      <c r="AI185" s="226">
        <f t="shared" si="162"/>
        <v>7</v>
      </c>
      <c r="AJ185" s="264" t="e">
        <f t="shared" si="130"/>
        <v>#N/A</v>
      </c>
      <c r="AK185" s="264" t="e">
        <f t="shared" si="163"/>
        <v>#N/A</v>
      </c>
      <c r="AL185" s="226" t="e">
        <f t="shared" si="131"/>
        <v>#N/A</v>
      </c>
      <c r="AM185" s="265" t="e">
        <f t="shared" si="164"/>
        <v>#N/A</v>
      </c>
      <c r="AN185" s="266" t="e">
        <f t="shared" si="132"/>
        <v>#N/A</v>
      </c>
      <c r="AO185" s="227" t="e">
        <f t="shared" si="133"/>
        <v>#N/A</v>
      </c>
      <c r="AP185" s="284">
        <f t="shared" si="165"/>
        <v>7</v>
      </c>
      <c r="AQ185" s="285" t="e">
        <f t="shared" si="134"/>
        <v>#N/A</v>
      </c>
      <c r="AR185" s="266" t="e">
        <f t="shared" si="166"/>
        <v>#N/A</v>
      </c>
      <c r="AS185" s="270" t="e">
        <f t="shared" si="135"/>
        <v>#N/A</v>
      </c>
      <c r="AT185" s="271">
        <f t="shared" si="167"/>
        <v>7</v>
      </c>
      <c r="AU185" s="272" t="e">
        <f t="shared" si="168"/>
        <v>#N/A</v>
      </c>
      <c r="AV185" s="273" t="e">
        <f t="shared" si="169"/>
        <v>#N/A</v>
      </c>
      <c r="AW185" s="274" t="e">
        <f t="shared" si="136"/>
        <v>#N/A</v>
      </c>
      <c r="AX185" s="232">
        <f t="shared" si="170"/>
        <v>7</v>
      </c>
      <c r="AY185" s="273" t="e">
        <f t="shared" si="137"/>
        <v>#N/A</v>
      </c>
      <c r="AZ185" s="232" t="e">
        <f t="shared" si="171"/>
        <v>#N/A</v>
      </c>
      <c r="BA185" s="232" t="e">
        <f t="shared" si="138"/>
        <v>#N/A</v>
      </c>
      <c r="BB185" s="275">
        <f t="shared" si="172"/>
        <v>7</v>
      </c>
      <c r="BC185" s="276" t="e">
        <f t="shared" si="173"/>
        <v>#N/A</v>
      </c>
      <c r="BD185" s="277" t="e">
        <f t="shared" si="174"/>
        <v>#N/A</v>
      </c>
      <c r="BE185" s="250" t="e">
        <f t="shared" si="139"/>
        <v>#N/A</v>
      </c>
      <c r="BF185" s="247">
        <f t="shared" si="175"/>
        <v>7</v>
      </c>
      <c r="BG185" s="276" t="e">
        <f t="shared" si="176"/>
        <v>#N/A</v>
      </c>
      <c r="BH185" s="277" t="e">
        <f t="shared" si="177"/>
        <v>#N/A</v>
      </c>
      <c r="BI185" s="250" t="e">
        <f t="shared" si="140"/>
        <v>#N/A</v>
      </c>
      <c r="BJ185" s="251">
        <f t="shared" si="178"/>
        <v>7</v>
      </c>
      <c r="BK185" s="278" t="e">
        <f t="shared" si="179"/>
        <v>#N/A</v>
      </c>
      <c r="BL185" s="278" t="e">
        <f t="shared" si="180"/>
        <v>#N/A</v>
      </c>
      <c r="BM185" s="279" t="e">
        <f t="shared" si="141"/>
        <v>#N/A</v>
      </c>
      <c r="BN185" s="280">
        <f t="shared" si="181"/>
        <v>7</v>
      </c>
      <c r="BO185" s="281" t="e">
        <f t="shared" si="182"/>
        <v>#N/A</v>
      </c>
      <c r="BP185" s="281" t="e">
        <f t="shared" si="183"/>
        <v>#N/A</v>
      </c>
      <c r="BQ185" s="279" t="e">
        <f t="shared" si="142"/>
        <v>#N/A</v>
      </c>
      <c r="BR185" s="282" t="e">
        <f t="shared" si="143"/>
        <v>#N/A</v>
      </c>
      <c r="BS185" s="217" t="e">
        <f>VLOOKUP($B185,SDR24_STOCK_BY_LA!$A$2:$C$11878,3,0)</f>
        <v>#N/A</v>
      </c>
      <c r="BT185" s="217" t="str">
        <f t="shared" si="184"/>
        <v/>
      </c>
    </row>
    <row r="186" spans="1:72" x14ac:dyDescent="0.2">
      <c r="A186" s="217" t="str">
        <f t="shared" si="185"/>
        <v/>
      </c>
      <c r="B186" s="217" t="str">
        <f t="shared" si="186"/>
        <v/>
      </c>
      <c r="C186" s="283" t="str">
        <f t="shared" si="144"/>
        <v/>
      </c>
      <c r="D186" s="256" t="str">
        <f>IF(B186="","",IF(totals!$Q$3=0,IFERROR(IF(AD186=2,"0",AE186),""),"-"))</f>
        <v/>
      </c>
      <c r="E186" s="258" t="str">
        <f t="shared" si="145"/>
        <v/>
      </c>
      <c r="F186" s="259" t="str">
        <f t="shared" si="146"/>
        <v/>
      </c>
      <c r="G186" s="259" t="str">
        <f t="shared" si="147"/>
        <v/>
      </c>
      <c r="H186" s="256" t="str">
        <f t="shared" si="125"/>
        <v/>
      </c>
      <c r="I186" s="259" t="str">
        <f t="shared" si="148"/>
        <v/>
      </c>
      <c r="J186" s="259" t="str">
        <f t="shared" si="149"/>
        <v/>
      </c>
      <c r="K186" s="256" t="str">
        <f t="shared" si="126"/>
        <v/>
      </c>
      <c r="L186" s="259" t="str">
        <f t="shared" si="127"/>
        <v/>
      </c>
      <c r="M186" s="259" t="str">
        <f t="shared" si="150"/>
        <v/>
      </c>
      <c r="N186" s="256" t="str">
        <f t="shared" si="151"/>
        <v/>
      </c>
      <c r="O186" s="259" t="str">
        <f t="shared" si="152"/>
        <v/>
      </c>
      <c r="P186" s="259" t="str">
        <f t="shared" si="153"/>
        <v/>
      </c>
      <c r="Q186" s="256" t="str">
        <f t="shared" si="154"/>
        <v/>
      </c>
      <c r="R186" s="259" t="str">
        <f t="shared" si="155"/>
        <v/>
      </c>
      <c r="S186" s="259" t="str">
        <f t="shared" si="156"/>
        <v/>
      </c>
      <c r="T186" s="256" t="str">
        <f t="shared" si="157"/>
        <v/>
      </c>
      <c r="U186" s="217"/>
      <c r="V186" s="217"/>
      <c r="AB186" s="217" t="e">
        <f>VLOOKUP($B$6,Lookup_Source,179,0)</f>
        <v>#N/A</v>
      </c>
      <c r="AC186" s="241" t="str">
        <f t="shared" si="158"/>
        <v/>
      </c>
      <c r="AD186" s="242">
        <f t="shared" si="159"/>
        <v>7</v>
      </c>
      <c r="AE186" s="261" t="e">
        <f t="shared" si="128"/>
        <v>#N/A</v>
      </c>
      <c r="AF186" s="264" t="e">
        <f t="shared" si="160"/>
        <v>#N/A</v>
      </c>
      <c r="AG186" s="264" t="e">
        <f t="shared" si="161"/>
        <v>#N/A</v>
      </c>
      <c r="AH186" s="263" t="e">
        <f t="shared" si="129"/>
        <v>#N/A</v>
      </c>
      <c r="AI186" s="226">
        <f t="shared" si="162"/>
        <v>7</v>
      </c>
      <c r="AJ186" s="264" t="e">
        <f t="shared" si="130"/>
        <v>#N/A</v>
      </c>
      <c r="AK186" s="264" t="e">
        <f t="shared" si="163"/>
        <v>#N/A</v>
      </c>
      <c r="AL186" s="226" t="e">
        <f t="shared" si="131"/>
        <v>#N/A</v>
      </c>
      <c r="AM186" s="265" t="e">
        <f t="shared" si="164"/>
        <v>#N/A</v>
      </c>
      <c r="AN186" s="266" t="e">
        <f t="shared" si="132"/>
        <v>#N/A</v>
      </c>
      <c r="AO186" s="227" t="e">
        <f t="shared" si="133"/>
        <v>#N/A</v>
      </c>
      <c r="AP186" s="284">
        <f t="shared" si="165"/>
        <v>7</v>
      </c>
      <c r="AQ186" s="285" t="e">
        <f t="shared" si="134"/>
        <v>#N/A</v>
      </c>
      <c r="AR186" s="266" t="e">
        <f t="shared" si="166"/>
        <v>#N/A</v>
      </c>
      <c r="AS186" s="270" t="e">
        <f t="shared" si="135"/>
        <v>#N/A</v>
      </c>
      <c r="AT186" s="271">
        <f t="shared" si="167"/>
        <v>7</v>
      </c>
      <c r="AU186" s="272" t="e">
        <f t="shared" si="168"/>
        <v>#N/A</v>
      </c>
      <c r="AV186" s="273" t="e">
        <f t="shared" si="169"/>
        <v>#N/A</v>
      </c>
      <c r="AW186" s="274" t="e">
        <f t="shared" si="136"/>
        <v>#N/A</v>
      </c>
      <c r="AX186" s="232">
        <f t="shared" si="170"/>
        <v>7</v>
      </c>
      <c r="AY186" s="273" t="e">
        <f t="shared" si="137"/>
        <v>#N/A</v>
      </c>
      <c r="AZ186" s="232" t="e">
        <f t="shared" si="171"/>
        <v>#N/A</v>
      </c>
      <c r="BA186" s="232" t="e">
        <f t="shared" si="138"/>
        <v>#N/A</v>
      </c>
      <c r="BB186" s="275">
        <f t="shared" si="172"/>
        <v>7</v>
      </c>
      <c r="BC186" s="276" t="e">
        <f t="shared" si="173"/>
        <v>#N/A</v>
      </c>
      <c r="BD186" s="277" t="e">
        <f t="shared" si="174"/>
        <v>#N/A</v>
      </c>
      <c r="BE186" s="250" t="e">
        <f t="shared" si="139"/>
        <v>#N/A</v>
      </c>
      <c r="BF186" s="247">
        <f t="shared" si="175"/>
        <v>7</v>
      </c>
      <c r="BG186" s="276" t="e">
        <f t="shared" si="176"/>
        <v>#N/A</v>
      </c>
      <c r="BH186" s="277" t="e">
        <f t="shared" si="177"/>
        <v>#N/A</v>
      </c>
      <c r="BI186" s="250" t="e">
        <f t="shared" si="140"/>
        <v>#N/A</v>
      </c>
      <c r="BJ186" s="251">
        <f t="shared" si="178"/>
        <v>7</v>
      </c>
      <c r="BK186" s="278" t="e">
        <f t="shared" si="179"/>
        <v>#N/A</v>
      </c>
      <c r="BL186" s="278" t="e">
        <f t="shared" si="180"/>
        <v>#N/A</v>
      </c>
      <c r="BM186" s="279" t="e">
        <f t="shared" si="141"/>
        <v>#N/A</v>
      </c>
      <c r="BN186" s="280">
        <f t="shared" si="181"/>
        <v>7</v>
      </c>
      <c r="BO186" s="281" t="e">
        <f t="shared" si="182"/>
        <v>#N/A</v>
      </c>
      <c r="BP186" s="281" t="e">
        <f t="shared" si="183"/>
        <v>#N/A</v>
      </c>
      <c r="BQ186" s="279" t="e">
        <f t="shared" si="142"/>
        <v>#N/A</v>
      </c>
      <c r="BR186" s="282" t="e">
        <f t="shared" si="143"/>
        <v>#N/A</v>
      </c>
      <c r="BS186" s="217" t="e">
        <f>VLOOKUP($B186,SDR24_STOCK_BY_LA!$A$2:$C$11878,3,0)</f>
        <v>#N/A</v>
      </c>
      <c r="BT186" s="217" t="str">
        <f t="shared" si="184"/>
        <v/>
      </c>
    </row>
    <row r="187" spans="1:72" x14ac:dyDescent="0.2">
      <c r="A187" s="256" t="str">
        <f t="shared" si="185"/>
        <v/>
      </c>
      <c r="B187" s="217" t="str">
        <f t="shared" si="186"/>
        <v/>
      </c>
      <c r="C187" s="257" t="str">
        <f t="shared" si="144"/>
        <v/>
      </c>
      <c r="D187" s="256" t="str">
        <f>IF(B187="","",IF(totals!$Q$3=0,IFERROR(IF(AD187=2,"0",AE187),""),"-"))</f>
        <v/>
      </c>
      <c r="E187" s="258" t="str">
        <f t="shared" si="145"/>
        <v/>
      </c>
      <c r="F187" s="259" t="str">
        <f t="shared" si="146"/>
        <v/>
      </c>
      <c r="G187" s="259" t="str">
        <f t="shared" si="147"/>
        <v/>
      </c>
      <c r="H187" s="256" t="str">
        <f t="shared" si="125"/>
        <v/>
      </c>
      <c r="I187" s="259" t="str">
        <f t="shared" si="148"/>
        <v/>
      </c>
      <c r="J187" s="259" t="str">
        <f t="shared" si="149"/>
        <v/>
      </c>
      <c r="K187" s="256" t="str">
        <f t="shared" si="126"/>
        <v/>
      </c>
      <c r="L187" s="259" t="str">
        <f t="shared" si="127"/>
        <v/>
      </c>
      <c r="M187" s="259" t="str">
        <f t="shared" si="150"/>
        <v/>
      </c>
      <c r="N187" s="256" t="str">
        <f t="shared" si="151"/>
        <v/>
      </c>
      <c r="O187" s="259" t="str">
        <f t="shared" si="152"/>
        <v/>
      </c>
      <c r="P187" s="259" t="str">
        <f t="shared" si="153"/>
        <v/>
      </c>
      <c r="Q187" s="256" t="str">
        <f t="shared" si="154"/>
        <v/>
      </c>
      <c r="R187" s="259" t="str">
        <f t="shared" si="155"/>
        <v/>
      </c>
      <c r="S187" s="259" t="str">
        <f t="shared" si="156"/>
        <v/>
      </c>
      <c r="T187" s="256" t="str">
        <f t="shared" si="157"/>
        <v/>
      </c>
      <c r="U187" s="217"/>
      <c r="V187" s="217"/>
      <c r="AB187" s="257" t="e">
        <f>VLOOKUP($B$6,Lookup_Source,180,0)</f>
        <v>#N/A</v>
      </c>
      <c r="AC187" s="241" t="str">
        <f t="shared" si="158"/>
        <v/>
      </c>
      <c r="AD187" s="242">
        <f t="shared" si="159"/>
        <v>7</v>
      </c>
      <c r="AE187" s="261" t="e">
        <f t="shared" si="128"/>
        <v>#N/A</v>
      </c>
      <c r="AF187" s="264" t="e">
        <f t="shared" si="160"/>
        <v>#N/A</v>
      </c>
      <c r="AG187" s="264" t="e">
        <f t="shared" si="161"/>
        <v>#N/A</v>
      </c>
      <c r="AH187" s="263" t="e">
        <f t="shared" si="129"/>
        <v>#N/A</v>
      </c>
      <c r="AI187" s="226">
        <f t="shared" si="162"/>
        <v>7</v>
      </c>
      <c r="AJ187" s="264" t="e">
        <f t="shared" si="130"/>
        <v>#N/A</v>
      </c>
      <c r="AK187" s="264" t="e">
        <f t="shared" si="163"/>
        <v>#N/A</v>
      </c>
      <c r="AL187" s="226" t="e">
        <f t="shared" si="131"/>
        <v>#N/A</v>
      </c>
      <c r="AM187" s="265" t="e">
        <f t="shared" si="164"/>
        <v>#N/A</v>
      </c>
      <c r="AN187" s="266" t="e">
        <f t="shared" si="132"/>
        <v>#N/A</v>
      </c>
      <c r="AO187" s="227" t="e">
        <f t="shared" si="133"/>
        <v>#N/A</v>
      </c>
      <c r="AP187" s="284">
        <f t="shared" si="165"/>
        <v>7</v>
      </c>
      <c r="AQ187" s="285" t="e">
        <f t="shared" si="134"/>
        <v>#N/A</v>
      </c>
      <c r="AR187" s="266" t="e">
        <f t="shared" si="166"/>
        <v>#N/A</v>
      </c>
      <c r="AS187" s="270" t="e">
        <f t="shared" si="135"/>
        <v>#N/A</v>
      </c>
      <c r="AT187" s="271">
        <f t="shared" si="167"/>
        <v>7</v>
      </c>
      <c r="AU187" s="272" t="e">
        <f t="shared" si="168"/>
        <v>#N/A</v>
      </c>
      <c r="AV187" s="273" t="e">
        <f t="shared" si="169"/>
        <v>#N/A</v>
      </c>
      <c r="AW187" s="274" t="e">
        <f t="shared" si="136"/>
        <v>#N/A</v>
      </c>
      <c r="AX187" s="232">
        <f t="shared" si="170"/>
        <v>7</v>
      </c>
      <c r="AY187" s="273" t="e">
        <f t="shared" si="137"/>
        <v>#N/A</v>
      </c>
      <c r="AZ187" s="232" t="e">
        <f t="shared" si="171"/>
        <v>#N/A</v>
      </c>
      <c r="BA187" s="232" t="e">
        <f t="shared" si="138"/>
        <v>#N/A</v>
      </c>
      <c r="BB187" s="275">
        <f t="shared" si="172"/>
        <v>7</v>
      </c>
      <c r="BC187" s="276" t="e">
        <f t="shared" si="173"/>
        <v>#N/A</v>
      </c>
      <c r="BD187" s="277" t="e">
        <f t="shared" si="174"/>
        <v>#N/A</v>
      </c>
      <c r="BE187" s="250" t="e">
        <f t="shared" si="139"/>
        <v>#N/A</v>
      </c>
      <c r="BF187" s="247">
        <f t="shared" si="175"/>
        <v>7</v>
      </c>
      <c r="BG187" s="276" t="e">
        <f t="shared" si="176"/>
        <v>#N/A</v>
      </c>
      <c r="BH187" s="277" t="e">
        <f t="shared" si="177"/>
        <v>#N/A</v>
      </c>
      <c r="BI187" s="250" t="e">
        <f t="shared" si="140"/>
        <v>#N/A</v>
      </c>
      <c r="BJ187" s="251">
        <f t="shared" si="178"/>
        <v>7</v>
      </c>
      <c r="BK187" s="278" t="e">
        <f t="shared" si="179"/>
        <v>#N/A</v>
      </c>
      <c r="BL187" s="278" t="e">
        <f t="shared" si="180"/>
        <v>#N/A</v>
      </c>
      <c r="BM187" s="279" t="e">
        <f t="shared" si="141"/>
        <v>#N/A</v>
      </c>
      <c r="BN187" s="280">
        <f t="shared" si="181"/>
        <v>7</v>
      </c>
      <c r="BO187" s="281" t="e">
        <f t="shared" si="182"/>
        <v>#N/A</v>
      </c>
      <c r="BP187" s="281" t="e">
        <f t="shared" si="183"/>
        <v>#N/A</v>
      </c>
      <c r="BQ187" s="279" t="e">
        <f t="shared" si="142"/>
        <v>#N/A</v>
      </c>
      <c r="BR187" s="282" t="e">
        <f t="shared" si="143"/>
        <v>#N/A</v>
      </c>
      <c r="BS187" s="217" t="e">
        <f>VLOOKUP($B187,SDR24_STOCK_BY_LA!$A$2:$C$11878,3,0)</f>
        <v>#N/A</v>
      </c>
      <c r="BT187" s="217" t="str">
        <f t="shared" si="184"/>
        <v/>
      </c>
    </row>
    <row r="188" spans="1:72" x14ac:dyDescent="0.2">
      <c r="A188" s="217" t="str">
        <f t="shared" si="185"/>
        <v/>
      </c>
      <c r="B188" s="217" t="str">
        <f t="shared" si="186"/>
        <v/>
      </c>
      <c r="C188" s="283" t="str">
        <f t="shared" si="144"/>
        <v/>
      </c>
      <c r="D188" s="256" t="str">
        <f>IF(B188="","",IF(totals!$Q$3=0,IFERROR(IF(AD188=2,"0",AE188),""),"-"))</f>
        <v/>
      </c>
      <c r="E188" s="258" t="str">
        <f t="shared" si="145"/>
        <v/>
      </c>
      <c r="F188" s="259" t="str">
        <f t="shared" si="146"/>
        <v/>
      </c>
      <c r="G188" s="259" t="str">
        <f t="shared" si="147"/>
        <v/>
      </c>
      <c r="H188" s="256" t="str">
        <f t="shared" si="125"/>
        <v/>
      </c>
      <c r="I188" s="259" t="str">
        <f t="shared" si="148"/>
        <v/>
      </c>
      <c r="J188" s="259" t="str">
        <f t="shared" si="149"/>
        <v/>
      </c>
      <c r="K188" s="256" t="str">
        <f t="shared" si="126"/>
        <v/>
      </c>
      <c r="L188" s="259" t="str">
        <f t="shared" si="127"/>
        <v/>
      </c>
      <c r="M188" s="259" t="str">
        <f t="shared" si="150"/>
        <v/>
      </c>
      <c r="N188" s="256" t="str">
        <f t="shared" si="151"/>
        <v/>
      </c>
      <c r="O188" s="259" t="str">
        <f t="shared" si="152"/>
        <v/>
      </c>
      <c r="P188" s="259" t="str">
        <f t="shared" si="153"/>
        <v/>
      </c>
      <c r="Q188" s="256" t="str">
        <f t="shared" si="154"/>
        <v/>
      </c>
      <c r="R188" s="259" t="str">
        <f t="shared" si="155"/>
        <v/>
      </c>
      <c r="S188" s="259" t="str">
        <f t="shared" si="156"/>
        <v/>
      </c>
      <c r="T188" s="256" t="str">
        <f t="shared" si="157"/>
        <v/>
      </c>
      <c r="U188" s="217"/>
      <c r="V188" s="217"/>
      <c r="AB188" s="217" t="e">
        <f>VLOOKUP($B$6,Lookup_Source,181,0)</f>
        <v>#N/A</v>
      </c>
      <c r="AC188" s="241" t="str">
        <f t="shared" si="158"/>
        <v/>
      </c>
      <c r="AD188" s="242">
        <f t="shared" si="159"/>
        <v>7</v>
      </c>
      <c r="AE188" s="261" t="e">
        <f t="shared" si="128"/>
        <v>#N/A</v>
      </c>
      <c r="AF188" s="264" t="e">
        <f t="shared" si="160"/>
        <v>#N/A</v>
      </c>
      <c r="AG188" s="264" t="e">
        <f t="shared" si="161"/>
        <v>#N/A</v>
      </c>
      <c r="AH188" s="263" t="e">
        <f t="shared" si="129"/>
        <v>#N/A</v>
      </c>
      <c r="AI188" s="226">
        <f t="shared" si="162"/>
        <v>7</v>
      </c>
      <c r="AJ188" s="264" t="e">
        <f t="shared" si="130"/>
        <v>#N/A</v>
      </c>
      <c r="AK188" s="264" t="e">
        <f t="shared" si="163"/>
        <v>#N/A</v>
      </c>
      <c r="AL188" s="226" t="e">
        <f t="shared" si="131"/>
        <v>#N/A</v>
      </c>
      <c r="AM188" s="265" t="e">
        <f t="shared" si="164"/>
        <v>#N/A</v>
      </c>
      <c r="AN188" s="266" t="e">
        <f t="shared" si="132"/>
        <v>#N/A</v>
      </c>
      <c r="AO188" s="227" t="e">
        <f t="shared" si="133"/>
        <v>#N/A</v>
      </c>
      <c r="AP188" s="284">
        <f t="shared" si="165"/>
        <v>7</v>
      </c>
      <c r="AQ188" s="285" t="e">
        <f t="shared" si="134"/>
        <v>#N/A</v>
      </c>
      <c r="AR188" s="266" t="e">
        <f t="shared" si="166"/>
        <v>#N/A</v>
      </c>
      <c r="AS188" s="270" t="e">
        <f t="shared" si="135"/>
        <v>#N/A</v>
      </c>
      <c r="AT188" s="271">
        <f t="shared" si="167"/>
        <v>7</v>
      </c>
      <c r="AU188" s="272" t="e">
        <f t="shared" si="168"/>
        <v>#N/A</v>
      </c>
      <c r="AV188" s="273" t="e">
        <f t="shared" si="169"/>
        <v>#N/A</v>
      </c>
      <c r="AW188" s="274" t="e">
        <f t="shared" si="136"/>
        <v>#N/A</v>
      </c>
      <c r="AX188" s="232">
        <f t="shared" si="170"/>
        <v>7</v>
      </c>
      <c r="AY188" s="273" t="e">
        <f t="shared" si="137"/>
        <v>#N/A</v>
      </c>
      <c r="AZ188" s="232" t="e">
        <f t="shared" si="171"/>
        <v>#N/A</v>
      </c>
      <c r="BA188" s="232" t="e">
        <f t="shared" si="138"/>
        <v>#N/A</v>
      </c>
      <c r="BB188" s="275">
        <f t="shared" si="172"/>
        <v>7</v>
      </c>
      <c r="BC188" s="276" t="e">
        <f t="shared" si="173"/>
        <v>#N/A</v>
      </c>
      <c r="BD188" s="277" t="e">
        <f t="shared" si="174"/>
        <v>#N/A</v>
      </c>
      <c r="BE188" s="250" t="e">
        <f t="shared" si="139"/>
        <v>#N/A</v>
      </c>
      <c r="BF188" s="247">
        <f t="shared" si="175"/>
        <v>7</v>
      </c>
      <c r="BG188" s="276" t="e">
        <f t="shared" si="176"/>
        <v>#N/A</v>
      </c>
      <c r="BH188" s="277" t="e">
        <f t="shared" si="177"/>
        <v>#N/A</v>
      </c>
      <c r="BI188" s="250" t="e">
        <f t="shared" si="140"/>
        <v>#N/A</v>
      </c>
      <c r="BJ188" s="251">
        <f t="shared" si="178"/>
        <v>7</v>
      </c>
      <c r="BK188" s="278" t="e">
        <f t="shared" si="179"/>
        <v>#N/A</v>
      </c>
      <c r="BL188" s="278" t="e">
        <f t="shared" si="180"/>
        <v>#N/A</v>
      </c>
      <c r="BM188" s="279" t="e">
        <f t="shared" si="141"/>
        <v>#N/A</v>
      </c>
      <c r="BN188" s="280">
        <f t="shared" si="181"/>
        <v>7</v>
      </c>
      <c r="BO188" s="281" t="e">
        <f t="shared" si="182"/>
        <v>#N/A</v>
      </c>
      <c r="BP188" s="281" t="e">
        <f t="shared" si="183"/>
        <v>#N/A</v>
      </c>
      <c r="BQ188" s="279" t="e">
        <f t="shared" si="142"/>
        <v>#N/A</v>
      </c>
      <c r="BR188" s="282" t="e">
        <f t="shared" si="143"/>
        <v>#N/A</v>
      </c>
      <c r="BS188" s="217" t="e">
        <f>VLOOKUP($B188,SDR24_STOCK_BY_LA!$A$2:$C$11878,3,0)</f>
        <v>#N/A</v>
      </c>
      <c r="BT188" s="217" t="str">
        <f t="shared" si="184"/>
        <v/>
      </c>
    </row>
    <row r="189" spans="1:72" x14ac:dyDescent="0.2">
      <c r="A189" s="256" t="str">
        <f t="shared" si="185"/>
        <v/>
      </c>
      <c r="B189" s="217" t="str">
        <f t="shared" si="186"/>
        <v/>
      </c>
      <c r="C189" s="257" t="str">
        <f t="shared" si="144"/>
        <v/>
      </c>
      <c r="D189" s="256" t="str">
        <f>IF(B189="","",IF(totals!$Q$3=0,IFERROR(IF(AD189=2,"0",AE189),""),"-"))</f>
        <v/>
      </c>
      <c r="E189" s="258" t="str">
        <f t="shared" si="145"/>
        <v/>
      </c>
      <c r="F189" s="259" t="str">
        <f t="shared" si="146"/>
        <v/>
      </c>
      <c r="G189" s="259" t="str">
        <f t="shared" si="147"/>
        <v/>
      </c>
      <c r="H189" s="256" t="str">
        <f t="shared" si="125"/>
        <v/>
      </c>
      <c r="I189" s="259" t="str">
        <f t="shared" si="148"/>
        <v/>
      </c>
      <c r="J189" s="259" t="str">
        <f t="shared" si="149"/>
        <v/>
      </c>
      <c r="K189" s="256" t="str">
        <f t="shared" si="126"/>
        <v/>
      </c>
      <c r="L189" s="259" t="str">
        <f t="shared" si="127"/>
        <v/>
      </c>
      <c r="M189" s="259" t="str">
        <f t="shared" si="150"/>
        <v/>
      </c>
      <c r="N189" s="256" t="str">
        <f t="shared" si="151"/>
        <v/>
      </c>
      <c r="O189" s="259" t="str">
        <f t="shared" si="152"/>
        <v/>
      </c>
      <c r="P189" s="259" t="str">
        <f t="shared" si="153"/>
        <v/>
      </c>
      <c r="Q189" s="256" t="str">
        <f t="shared" si="154"/>
        <v/>
      </c>
      <c r="R189" s="259" t="str">
        <f t="shared" si="155"/>
        <v/>
      </c>
      <c r="S189" s="259" t="str">
        <f t="shared" si="156"/>
        <v/>
      </c>
      <c r="T189" s="256" t="str">
        <f t="shared" si="157"/>
        <v/>
      </c>
      <c r="U189" s="217"/>
      <c r="V189" s="217"/>
      <c r="AB189" s="257" t="e">
        <f>VLOOKUP($B$6,Lookup_Source,182,0)</f>
        <v>#N/A</v>
      </c>
      <c r="AC189" s="241" t="str">
        <f t="shared" si="158"/>
        <v/>
      </c>
      <c r="AD189" s="242">
        <f t="shared" si="159"/>
        <v>7</v>
      </c>
      <c r="AE189" s="261" t="e">
        <f t="shared" si="128"/>
        <v>#N/A</v>
      </c>
      <c r="AF189" s="264" t="e">
        <f t="shared" si="160"/>
        <v>#N/A</v>
      </c>
      <c r="AG189" s="264" t="e">
        <f t="shared" si="161"/>
        <v>#N/A</v>
      </c>
      <c r="AH189" s="263" t="e">
        <f t="shared" si="129"/>
        <v>#N/A</v>
      </c>
      <c r="AI189" s="226">
        <f t="shared" si="162"/>
        <v>7</v>
      </c>
      <c r="AJ189" s="264" t="e">
        <f t="shared" si="130"/>
        <v>#N/A</v>
      </c>
      <c r="AK189" s="264" t="e">
        <f t="shared" si="163"/>
        <v>#N/A</v>
      </c>
      <c r="AL189" s="226" t="e">
        <f t="shared" si="131"/>
        <v>#N/A</v>
      </c>
      <c r="AM189" s="265" t="e">
        <f t="shared" si="164"/>
        <v>#N/A</v>
      </c>
      <c r="AN189" s="266" t="e">
        <f t="shared" si="132"/>
        <v>#N/A</v>
      </c>
      <c r="AO189" s="227" t="e">
        <f t="shared" si="133"/>
        <v>#N/A</v>
      </c>
      <c r="AP189" s="284">
        <f t="shared" si="165"/>
        <v>7</v>
      </c>
      <c r="AQ189" s="285" t="e">
        <f t="shared" si="134"/>
        <v>#N/A</v>
      </c>
      <c r="AR189" s="266" t="e">
        <f t="shared" si="166"/>
        <v>#N/A</v>
      </c>
      <c r="AS189" s="270" t="e">
        <f t="shared" si="135"/>
        <v>#N/A</v>
      </c>
      <c r="AT189" s="271">
        <f t="shared" si="167"/>
        <v>7</v>
      </c>
      <c r="AU189" s="272" t="e">
        <f t="shared" si="168"/>
        <v>#N/A</v>
      </c>
      <c r="AV189" s="273" t="e">
        <f t="shared" si="169"/>
        <v>#N/A</v>
      </c>
      <c r="AW189" s="274" t="e">
        <f t="shared" si="136"/>
        <v>#N/A</v>
      </c>
      <c r="AX189" s="232">
        <f t="shared" si="170"/>
        <v>7</v>
      </c>
      <c r="AY189" s="273" t="e">
        <f t="shared" si="137"/>
        <v>#N/A</v>
      </c>
      <c r="AZ189" s="232" t="e">
        <f t="shared" si="171"/>
        <v>#N/A</v>
      </c>
      <c r="BA189" s="232" t="e">
        <f t="shared" si="138"/>
        <v>#N/A</v>
      </c>
      <c r="BB189" s="275">
        <f t="shared" si="172"/>
        <v>7</v>
      </c>
      <c r="BC189" s="276" t="e">
        <f t="shared" si="173"/>
        <v>#N/A</v>
      </c>
      <c r="BD189" s="277" t="e">
        <f t="shared" si="174"/>
        <v>#N/A</v>
      </c>
      <c r="BE189" s="250" t="e">
        <f t="shared" si="139"/>
        <v>#N/A</v>
      </c>
      <c r="BF189" s="247">
        <f t="shared" si="175"/>
        <v>7</v>
      </c>
      <c r="BG189" s="276" t="e">
        <f t="shared" si="176"/>
        <v>#N/A</v>
      </c>
      <c r="BH189" s="277" t="e">
        <f t="shared" si="177"/>
        <v>#N/A</v>
      </c>
      <c r="BI189" s="250" t="e">
        <f t="shared" si="140"/>
        <v>#N/A</v>
      </c>
      <c r="BJ189" s="251">
        <f t="shared" si="178"/>
        <v>7</v>
      </c>
      <c r="BK189" s="278" t="e">
        <f t="shared" si="179"/>
        <v>#N/A</v>
      </c>
      <c r="BL189" s="278" t="e">
        <f t="shared" si="180"/>
        <v>#N/A</v>
      </c>
      <c r="BM189" s="279" t="e">
        <f t="shared" si="141"/>
        <v>#N/A</v>
      </c>
      <c r="BN189" s="280">
        <f t="shared" si="181"/>
        <v>7</v>
      </c>
      <c r="BO189" s="281" t="e">
        <f t="shared" si="182"/>
        <v>#N/A</v>
      </c>
      <c r="BP189" s="281" t="e">
        <f t="shared" si="183"/>
        <v>#N/A</v>
      </c>
      <c r="BQ189" s="279" t="e">
        <f t="shared" si="142"/>
        <v>#N/A</v>
      </c>
      <c r="BR189" s="282" t="e">
        <f t="shared" si="143"/>
        <v>#N/A</v>
      </c>
      <c r="BS189" s="217" t="e">
        <f>VLOOKUP($B189,SDR24_STOCK_BY_LA!$A$2:$C$11878,3,0)</f>
        <v>#N/A</v>
      </c>
      <c r="BT189" s="217" t="str">
        <f t="shared" si="184"/>
        <v/>
      </c>
    </row>
    <row r="190" spans="1:72" x14ac:dyDescent="0.2">
      <c r="A190" s="217" t="str">
        <f t="shared" si="185"/>
        <v/>
      </c>
      <c r="B190" s="217" t="str">
        <f t="shared" si="186"/>
        <v/>
      </c>
      <c r="C190" s="283" t="str">
        <f t="shared" si="144"/>
        <v/>
      </c>
      <c r="D190" s="256" t="str">
        <f>IF(B190="","",IF(totals!$Q$3=0,IFERROR(IF(AD190=2,"0",AE190),""),"-"))</f>
        <v/>
      </c>
      <c r="E190" s="258" t="str">
        <f t="shared" si="145"/>
        <v/>
      </c>
      <c r="F190" s="259" t="str">
        <f t="shared" si="146"/>
        <v/>
      </c>
      <c r="G190" s="259" t="str">
        <f t="shared" si="147"/>
        <v/>
      </c>
      <c r="H190" s="256" t="str">
        <f t="shared" si="125"/>
        <v/>
      </c>
      <c r="I190" s="259" t="str">
        <f t="shared" si="148"/>
        <v/>
      </c>
      <c r="J190" s="259" t="str">
        <f t="shared" si="149"/>
        <v/>
      </c>
      <c r="K190" s="256" t="str">
        <f t="shared" si="126"/>
        <v/>
      </c>
      <c r="L190" s="259" t="str">
        <f t="shared" si="127"/>
        <v/>
      </c>
      <c r="M190" s="259" t="str">
        <f t="shared" si="150"/>
        <v/>
      </c>
      <c r="N190" s="256" t="str">
        <f t="shared" si="151"/>
        <v/>
      </c>
      <c r="O190" s="259" t="str">
        <f t="shared" si="152"/>
        <v/>
      </c>
      <c r="P190" s="259" t="str">
        <f t="shared" si="153"/>
        <v/>
      </c>
      <c r="Q190" s="256" t="str">
        <f t="shared" si="154"/>
        <v/>
      </c>
      <c r="R190" s="259" t="str">
        <f t="shared" si="155"/>
        <v/>
      </c>
      <c r="S190" s="259" t="str">
        <f t="shared" si="156"/>
        <v/>
      </c>
      <c r="T190" s="256" t="str">
        <f t="shared" si="157"/>
        <v/>
      </c>
      <c r="U190" s="217"/>
      <c r="V190" s="217"/>
      <c r="AB190" s="217" t="e">
        <f>VLOOKUP($B$6,Lookup_Source,183,0)</f>
        <v>#N/A</v>
      </c>
      <c r="AC190" s="241" t="str">
        <f t="shared" si="158"/>
        <v/>
      </c>
      <c r="AD190" s="242">
        <f t="shared" si="159"/>
        <v>7</v>
      </c>
      <c r="AE190" s="261" t="e">
        <f t="shared" si="128"/>
        <v>#N/A</v>
      </c>
      <c r="AF190" s="264" t="e">
        <f t="shared" si="160"/>
        <v>#N/A</v>
      </c>
      <c r="AG190" s="264" t="e">
        <f t="shared" si="161"/>
        <v>#N/A</v>
      </c>
      <c r="AH190" s="263" t="e">
        <f t="shared" si="129"/>
        <v>#N/A</v>
      </c>
      <c r="AI190" s="226">
        <f t="shared" si="162"/>
        <v>7</v>
      </c>
      <c r="AJ190" s="264" t="e">
        <f t="shared" si="130"/>
        <v>#N/A</v>
      </c>
      <c r="AK190" s="264" t="e">
        <f t="shared" si="163"/>
        <v>#N/A</v>
      </c>
      <c r="AL190" s="226" t="e">
        <f t="shared" si="131"/>
        <v>#N/A</v>
      </c>
      <c r="AM190" s="265" t="e">
        <f t="shared" si="164"/>
        <v>#N/A</v>
      </c>
      <c r="AN190" s="266" t="e">
        <f t="shared" si="132"/>
        <v>#N/A</v>
      </c>
      <c r="AO190" s="227" t="e">
        <f t="shared" si="133"/>
        <v>#N/A</v>
      </c>
      <c r="AP190" s="284">
        <f t="shared" si="165"/>
        <v>7</v>
      </c>
      <c r="AQ190" s="285" t="e">
        <f t="shared" si="134"/>
        <v>#N/A</v>
      </c>
      <c r="AR190" s="266" t="e">
        <f t="shared" si="166"/>
        <v>#N/A</v>
      </c>
      <c r="AS190" s="270" t="e">
        <f t="shared" si="135"/>
        <v>#N/A</v>
      </c>
      <c r="AT190" s="271">
        <f t="shared" si="167"/>
        <v>7</v>
      </c>
      <c r="AU190" s="272" t="e">
        <f t="shared" si="168"/>
        <v>#N/A</v>
      </c>
      <c r="AV190" s="273" t="e">
        <f t="shared" si="169"/>
        <v>#N/A</v>
      </c>
      <c r="AW190" s="274" t="e">
        <f t="shared" si="136"/>
        <v>#N/A</v>
      </c>
      <c r="AX190" s="232">
        <f t="shared" si="170"/>
        <v>7</v>
      </c>
      <c r="AY190" s="273" t="e">
        <f t="shared" si="137"/>
        <v>#N/A</v>
      </c>
      <c r="AZ190" s="232" t="e">
        <f t="shared" si="171"/>
        <v>#N/A</v>
      </c>
      <c r="BA190" s="232" t="e">
        <f t="shared" si="138"/>
        <v>#N/A</v>
      </c>
      <c r="BB190" s="275">
        <f t="shared" si="172"/>
        <v>7</v>
      </c>
      <c r="BC190" s="276" t="e">
        <f t="shared" si="173"/>
        <v>#N/A</v>
      </c>
      <c r="BD190" s="277" t="e">
        <f t="shared" si="174"/>
        <v>#N/A</v>
      </c>
      <c r="BE190" s="250" t="e">
        <f t="shared" si="139"/>
        <v>#N/A</v>
      </c>
      <c r="BF190" s="247">
        <f t="shared" si="175"/>
        <v>7</v>
      </c>
      <c r="BG190" s="276" t="e">
        <f t="shared" si="176"/>
        <v>#N/A</v>
      </c>
      <c r="BH190" s="277" t="e">
        <f t="shared" si="177"/>
        <v>#N/A</v>
      </c>
      <c r="BI190" s="250" t="e">
        <f t="shared" si="140"/>
        <v>#N/A</v>
      </c>
      <c r="BJ190" s="251">
        <f t="shared" si="178"/>
        <v>7</v>
      </c>
      <c r="BK190" s="278" t="e">
        <f t="shared" si="179"/>
        <v>#N/A</v>
      </c>
      <c r="BL190" s="278" t="e">
        <f t="shared" si="180"/>
        <v>#N/A</v>
      </c>
      <c r="BM190" s="279" t="e">
        <f t="shared" si="141"/>
        <v>#N/A</v>
      </c>
      <c r="BN190" s="280">
        <f t="shared" si="181"/>
        <v>7</v>
      </c>
      <c r="BO190" s="281" t="e">
        <f t="shared" si="182"/>
        <v>#N/A</v>
      </c>
      <c r="BP190" s="281" t="e">
        <f t="shared" si="183"/>
        <v>#N/A</v>
      </c>
      <c r="BQ190" s="279" t="e">
        <f t="shared" si="142"/>
        <v>#N/A</v>
      </c>
      <c r="BR190" s="282" t="e">
        <f t="shared" si="143"/>
        <v>#N/A</v>
      </c>
      <c r="BS190" s="217" t="e">
        <f>VLOOKUP($B190,SDR24_STOCK_BY_LA!$A$2:$C$11878,3,0)</f>
        <v>#N/A</v>
      </c>
      <c r="BT190" s="217" t="str">
        <f t="shared" si="184"/>
        <v/>
      </c>
    </row>
    <row r="191" spans="1:72" x14ac:dyDescent="0.2">
      <c r="A191" s="256" t="str">
        <f t="shared" si="185"/>
        <v/>
      </c>
      <c r="B191" s="217" t="str">
        <f t="shared" si="186"/>
        <v/>
      </c>
      <c r="C191" s="257" t="str">
        <f t="shared" si="144"/>
        <v/>
      </c>
      <c r="D191" s="256" t="str">
        <f>IF(B191="","",IF(totals!$Q$3=0,IFERROR(IF(AD191=2,"0",AE191),""),"-"))</f>
        <v/>
      </c>
      <c r="E191" s="258" t="str">
        <f t="shared" si="145"/>
        <v/>
      </c>
      <c r="F191" s="259" t="str">
        <f t="shared" si="146"/>
        <v/>
      </c>
      <c r="G191" s="259" t="str">
        <f t="shared" si="147"/>
        <v/>
      </c>
      <c r="H191" s="256" t="str">
        <f t="shared" si="125"/>
        <v/>
      </c>
      <c r="I191" s="259" t="str">
        <f t="shared" si="148"/>
        <v/>
      </c>
      <c r="J191" s="259" t="str">
        <f t="shared" si="149"/>
        <v/>
      </c>
      <c r="K191" s="256" t="str">
        <f t="shared" si="126"/>
        <v/>
      </c>
      <c r="L191" s="259" t="str">
        <f t="shared" si="127"/>
        <v/>
      </c>
      <c r="M191" s="259" t="str">
        <f t="shared" si="150"/>
        <v/>
      </c>
      <c r="N191" s="256" t="str">
        <f t="shared" si="151"/>
        <v/>
      </c>
      <c r="O191" s="259" t="str">
        <f t="shared" si="152"/>
        <v/>
      </c>
      <c r="P191" s="259" t="str">
        <f t="shared" si="153"/>
        <v/>
      </c>
      <c r="Q191" s="256" t="str">
        <f t="shared" si="154"/>
        <v/>
      </c>
      <c r="R191" s="259" t="str">
        <f t="shared" si="155"/>
        <v/>
      </c>
      <c r="S191" s="259" t="str">
        <f t="shared" si="156"/>
        <v/>
      </c>
      <c r="T191" s="256" t="str">
        <f t="shared" si="157"/>
        <v/>
      </c>
      <c r="U191" s="217"/>
      <c r="V191" s="217"/>
      <c r="AB191" s="257" t="e">
        <f>VLOOKUP($B$6,Lookup_Source,184,0)</f>
        <v>#N/A</v>
      </c>
      <c r="AC191" s="241" t="str">
        <f t="shared" si="158"/>
        <v/>
      </c>
      <c r="AD191" s="242">
        <f t="shared" si="159"/>
        <v>7</v>
      </c>
      <c r="AE191" s="261" t="e">
        <f t="shared" si="128"/>
        <v>#N/A</v>
      </c>
      <c r="AF191" s="264" t="e">
        <f t="shared" si="160"/>
        <v>#N/A</v>
      </c>
      <c r="AG191" s="264" t="e">
        <f t="shared" si="161"/>
        <v>#N/A</v>
      </c>
      <c r="AH191" s="263" t="e">
        <f t="shared" si="129"/>
        <v>#N/A</v>
      </c>
      <c r="AI191" s="226">
        <f t="shared" si="162"/>
        <v>7</v>
      </c>
      <c r="AJ191" s="264" t="e">
        <f t="shared" si="130"/>
        <v>#N/A</v>
      </c>
      <c r="AK191" s="264" t="e">
        <f t="shared" si="163"/>
        <v>#N/A</v>
      </c>
      <c r="AL191" s="226" t="e">
        <f t="shared" si="131"/>
        <v>#N/A</v>
      </c>
      <c r="AM191" s="265" t="e">
        <f t="shared" si="164"/>
        <v>#N/A</v>
      </c>
      <c r="AN191" s="266" t="e">
        <f t="shared" si="132"/>
        <v>#N/A</v>
      </c>
      <c r="AO191" s="227" t="e">
        <f t="shared" si="133"/>
        <v>#N/A</v>
      </c>
      <c r="AP191" s="284">
        <f t="shared" si="165"/>
        <v>7</v>
      </c>
      <c r="AQ191" s="285" t="e">
        <f t="shared" si="134"/>
        <v>#N/A</v>
      </c>
      <c r="AR191" s="266" t="e">
        <f t="shared" si="166"/>
        <v>#N/A</v>
      </c>
      <c r="AS191" s="270" t="e">
        <f t="shared" si="135"/>
        <v>#N/A</v>
      </c>
      <c r="AT191" s="271">
        <f t="shared" si="167"/>
        <v>7</v>
      </c>
      <c r="AU191" s="272" t="e">
        <f t="shared" si="168"/>
        <v>#N/A</v>
      </c>
      <c r="AV191" s="273" t="e">
        <f t="shared" si="169"/>
        <v>#N/A</v>
      </c>
      <c r="AW191" s="274" t="e">
        <f t="shared" si="136"/>
        <v>#N/A</v>
      </c>
      <c r="AX191" s="232">
        <f t="shared" si="170"/>
        <v>7</v>
      </c>
      <c r="AY191" s="273" t="e">
        <f t="shared" si="137"/>
        <v>#N/A</v>
      </c>
      <c r="AZ191" s="232" t="e">
        <f t="shared" si="171"/>
        <v>#N/A</v>
      </c>
      <c r="BA191" s="232" t="e">
        <f t="shared" si="138"/>
        <v>#N/A</v>
      </c>
      <c r="BB191" s="275">
        <f t="shared" si="172"/>
        <v>7</v>
      </c>
      <c r="BC191" s="276" t="e">
        <f t="shared" si="173"/>
        <v>#N/A</v>
      </c>
      <c r="BD191" s="277" t="e">
        <f t="shared" si="174"/>
        <v>#N/A</v>
      </c>
      <c r="BE191" s="250" t="e">
        <f t="shared" si="139"/>
        <v>#N/A</v>
      </c>
      <c r="BF191" s="247">
        <f t="shared" si="175"/>
        <v>7</v>
      </c>
      <c r="BG191" s="276" t="e">
        <f t="shared" si="176"/>
        <v>#N/A</v>
      </c>
      <c r="BH191" s="277" t="e">
        <f t="shared" si="177"/>
        <v>#N/A</v>
      </c>
      <c r="BI191" s="250" t="e">
        <f t="shared" si="140"/>
        <v>#N/A</v>
      </c>
      <c r="BJ191" s="251">
        <f t="shared" si="178"/>
        <v>7</v>
      </c>
      <c r="BK191" s="278" t="e">
        <f t="shared" si="179"/>
        <v>#N/A</v>
      </c>
      <c r="BL191" s="278" t="e">
        <f t="shared" si="180"/>
        <v>#N/A</v>
      </c>
      <c r="BM191" s="279" t="e">
        <f t="shared" si="141"/>
        <v>#N/A</v>
      </c>
      <c r="BN191" s="280">
        <f t="shared" si="181"/>
        <v>7</v>
      </c>
      <c r="BO191" s="281" t="e">
        <f t="shared" si="182"/>
        <v>#N/A</v>
      </c>
      <c r="BP191" s="281" t="e">
        <f t="shared" si="183"/>
        <v>#N/A</v>
      </c>
      <c r="BQ191" s="279" t="e">
        <f t="shared" si="142"/>
        <v>#N/A</v>
      </c>
      <c r="BR191" s="282" t="e">
        <f t="shared" si="143"/>
        <v>#N/A</v>
      </c>
      <c r="BS191" s="217" t="e">
        <f>VLOOKUP($B191,SDR24_STOCK_BY_LA!$A$2:$C$11878,3,0)</f>
        <v>#N/A</v>
      </c>
      <c r="BT191" s="217" t="str">
        <f t="shared" si="184"/>
        <v/>
      </c>
    </row>
    <row r="192" spans="1:72" x14ac:dyDescent="0.2">
      <c r="A192" s="217" t="str">
        <f t="shared" si="185"/>
        <v/>
      </c>
      <c r="B192" s="217" t="str">
        <f t="shared" si="186"/>
        <v/>
      </c>
      <c r="C192" s="283" t="str">
        <f t="shared" si="144"/>
        <v/>
      </c>
      <c r="D192" s="256" t="str">
        <f>IF(B192="","",IF(totals!$Q$3=0,IFERROR(IF(AD192=2,"0",AE192),""),"-"))</f>
        <v/>
      </c>
      <c r="E192" s="258" t="str">
        <f t="shared" si="145"/>
        <v/>
      </c>
      <c r="F192" s="259" t="str">
        <f t="shared" si="146"/>
        <v/>
      </c>
      <c r="G192" s="259" t="str">
        <f t="shared" si="147"/>
        <v/>
      </c>
      <c r="H192" s="256" t="str">
        <f t="shared" si="125"/>
        <v/>
      </c>
      <c r="I192" s="259" t="str">
        <f t="shared" si="148"/>
        <v/>
      </c>
      <c r="J192" s="259" t="str">
        <f t="shared" si="149"/>
        <v/>
      </c>
      <c r="K192" s="256" t="str">
        <f t="shared" si="126"/>
        <v/>
      </c>
      <c r="L192" s="259" t="str">
        <f t="shared" si="127"/>
        <v/>
      </c>
      <c r="M192" s="259" t="str">
        <f t="shared" si="150"/>
        <v/>
      </c>
      <c r="N192" s="256" t="str">
        <f t="shared" si="151"/>
        <v/>
      </c>
      <c r="O192" s="259" t="str">
        <f t="shared" si="152"/>
        <v/>
      </c>
      <c r="P192" s="259" t="str">
        <f t="shared" si="153"/>
        <v/>
      </c>
      <c r="Q192" s="256" t="str">
        <f t="shared" si="154"/>
        <v/>
      </c>
      <c r="R192" s="259" t="str">
        <f t="shared" si="155"/>
        <v/>
      </c>
      <c r="S192" s="259" t="str">
        <f t="shared" si="156"/>
        <v/>
      </c>
      <c r="T192" s="256" t="str">
        <f t="shared" si="157"/>
        <v/>
      </c>
      <c r="U192" s="217"/>
      <c r="V192" s="217"/>
      <c r="AB192" s="217" t="e">
        <f>VLOOKUP($B$6,Lookup_Source,185,0)</f>
        <v>#N/A</v>
      </c>
      <c r="AC192" s="241" t="str">
        <f t="shared" si="158"/>
        <v/>
      </c>
      <c r="AD192" s="242">
        <f t="shared" si="159"/>
        <v>7</v>
      </c>
      <c r="AE192" s="261" t="e">
        <f t="shared" si="128"/>
        <v>#N/A</v>
      </c>
      <c r="AF192" s="264" t="e">
        <f t="shared" si="160"/>
        <v>#N/A</v>
      </c>
      <c r="AG192" s="264" t="e">
        <f t="shared" si="161"/>
        <v>#N/A</v>
      </c>
      <c r="AH192" s="263" t="e">
        <f t="shared" si="129"/>
        <v>#N/A</v>
      </c>
      <c r="AI192" s="226">
        <f t="shared" si="162"/>
        <v>7</v>
      </c>
      <c r="AJ192" s="264" t="e">
        <f t="shared" si="130"/>
        <v>#N/A</v>
      </c>
      <c r="AK192" s="264" t="e">
        <f t="shared" si="163"/>
        <v>#N/A</v>
      </c>
      <c r="AL192" s="226" t="e">
        <f t="shared" si="131"/>
        <v>#N/A</v>
      </c>
      <c r="AM192" s="265" t="e">
        <f t="shared" si="164"/>
        <v>#N/A</v>
      </c>
      <c r="AN192" s="266" t="e">
        <f t="shared" si="132"/>
        <v>#N/A</v>
      </c>
      <c r="AO192" s="227" t="e">
        <f t="shared" si="133"/>
        <v>#N/A</v>
      </c>
      <c r="AP192" s="284">
        <f t="shared" si="165"/>
        <v>7</v>
      </c>
      <c r="AQ192" s="285" t="e">
        <f t="shared" si="134"/>
        <v>#N/A</v>
      </c>
      <c r="AR192" s="266" t="e">
        <f t="shared" si="166"/>
        <v>#N/A</v>
      </c>
      <c r="AS192" s="270" t="e">
        <f t="shared" si="135"/>
        <v>#N/A</v>
      </c>
      <c r="AT192" s="271">
        <f t="shared" si="167"/>
        <v>7</v>
      </c>
      <c r="AU192" s="272" t="e">
        <f t="shared" si="168"/>
        <v>#N/A</v>
      </c>
      <c r="AV192" s="273" t="e">
        <f t="shared" si="169"/>
        <v>#N/A</v>
      </c>
      <c r="AW192" s="274" t="e">
        <f t="shared" si="136"/>
        <v>#N/A</v>
      </c>
      <c r="AX192" s="232">
        <f t="shared" si="170"/>
        <v>7</v>
      </c>
      <c r="AY192" s="273" t="e">
        <f t="shared" si="137"/>
        <v>#N/A</v>
      </c>
      <c r="AZ192" s="232" t="e">
        <f t="shared" si="171"/>
        <v>#N/A</v>
      </c>
      <c r="BA192" s="232" t="e">
        <f t="shared" si="138"/>
        <v>#N/A</v>
      </c>
      <c r="BB192" s="275">
        <f t="shared" si="172"/>
        <v>7</v>
      </c>
      <c r="BC192" s="276" t="e">
        <f t="shared" si="173"/>
        <v>#N/A</v>
      </c>
      <c r="BD192" s="277" t="e">
        <f t="shared" si="174"/>
        <v>#N/A</v>
      </c>
      <c r="BE192" s="250" t="e">
        <f t="shared" si="139"/>
        <v>#N/A</v>
      </c>
      <c r="BF192" s="247">
        <f t="shared" si="175"/>
        <v>7</v>
      </c>
      <c r="BG192" s="276" t="e">
        <f t="shared" si="176"/>
        <v>#N/A</v>
      </c>
      <c r="BH192" s="277" t="e">
        <f t="shared" si="177"/>
        <v>#N/A</v>
      </c>
      <c r="BI192" s="250" t="e">
        <f t="shared" si="140"/>
        <v>#N/A</v>
      </c>
      <c r="BJ192" s="251">
        <f t="shared" si="178"/>
        <v>7</v>
      </c>
      <c r="BK192" s="278" t="e">
        <f t="shared" si="179"/>
        <v>#N/A</v>
      </c>
      <c r="BL192" s="278" t="e">
        <f t="shared" si="180"/>
        <v>#N/A</v>
      </c>
      <c r="BM192" s="279" t="e">
        <f t="shared" si="141"/>
        <v>#N/A</v>
      </c>
      <c r="BN192" s="280">
        <f t="shared" si="181"/>
        <v>7</v>
      </c>
      <c r="BO192" s="281" t="e">
        <f t="shared" si="182"/>
        <v>#N/A</v>
      </c>
      <c r="BP192" s="281" t="e">
        <f t="shared" si="183"/>
        <v>#N/A</v>
      </c>
      <c r="BQ192" s="279" t="e">
        <f t="shared" si="142"/>
        <v>#N/A</v>
      </c>
      <c r="BR192" s="282" t="e">
        <f t="shared" si="143"/>
        <v>#N/A</v>
      </c>
      <c r="BS192" s="217" t="e">
        <f>VLOOKUP($B192,SDR24_STOCK_BY_LA!$A$2:$C$11878,3,0)</f>
        <v>#N/A</v>
      </c>
      <c r="BT192" s="217" t="str">
        <f t="shared" si="184"/>
        <v/>
      </c>
    </row>
    <row r="193" spans="1:72" x14ac:dyDescent="0.2">
      <c r="A193" s="256" t="str">
        <f t="shared" si="185"/>
        <v/>
      </c>
      <c r="B193" s="217" t="str">
        <f t="shared" si="186"/>
        <v/>
      </c>
      <c r="C193" s="257" t="str">
        <f t="shared" si="144"/>
        <v/>
      </c>
      <c r="D193" s="256" t="str">
        <f>IF(B193="","",IF(totals!$Q$3=0,IFERROR(IF(AD193=2,"0",AE193),""),"-"))</f>
        <v/>
      </c>
      <c r="E193" s="258" t="str">
        <f t="shared" si="145"/>
        <v/>
      </c>
      <c r="F193" s="259" t="str">
        <f t="shared" si="146"/>
        <v/>
      </c>
      <c r="G193" s="259" t="str">
        <f t="shared" si="147"/>
        <v/>
      </c>
      <c r="H193" s="256" t="str">
        <f t="shared" si="125"/>
        <v/>
      </c>
      <c r="I193" s="259" t="str">
        <f t="shared" si="148"/>
        <v/>
      </c>
      <c r="J193" s="259" t="str">
        <f t="shared" si="149"/>
        <v/>
      </c>
      <c r="K193" s="256" t="str">
        <f t="shared" si="126"/>
        <v/>
      </c>
      <c r="L193" s="259" t="str">
        <f t="shared" si="127"/>
        <v/>
      </c>
      <c r="M193" s="259" t="str">
        <f t="shared" si="150"/>
        <v/>
      </c>
      <c r="N193" s="256" t="str">
        <f t="shared" si="151"/>
        <v/>
      </c>
      <c r="O193" s="259" t="str">
        <f t="shared" si="152"/>
        <v/>
      </c>
      <c r="P193" s="259" t="str">
        <f t="shared" si="153"/>
        <v/>
      </c>
      <c r="Q193" s="256" t="str">
        <f t="shared" si="154"/>
        <v/>
      </c>
      <c r="R193" s="259" t="str">
        <f t="shared" si="155"/>
        <v/>
      </c>
      <c r="S193" s="259" t="str">
        <f t="shared" si="156"/>
        <v/>
      </c>
      <c r="T193" s="256" t="str">
        <f t="shared" si="157"/>
        <v/>
      </c>
      <c r="U193" s="217"/>
      <c r="V193" s="217"/>
      <c r="AB193" s="257" t="e">
        <f>VLOOKUP($B$6,Lookup_Source,186,0)</f>
        <v>#N/A</v>
      </c>
      <c r="AC193" s="241" t="str">
        <f t="shared" si="158"/>
        <v/>
      </c>
      <c r="AD193" s="242">
        <f t="shared" si="159"/>
        <v>7</v>
      </c>
      <c r="AE193" s="261" t="e">
        <f t="shared" si="128"/>
        <v>#N/A</v>
      </c>
      <c r="AF193" s="264" t="e">
        <f t="shared" si="160"/>
        <v>#N/A</v>
      </c>
      <c r="AG193" s="264" t="e">
        <f t="shared" si="161"/>
        <v>#N/A</v>
      </c>
      <c r="AH193" s="263" t="e">
        <f t="shared" si="129"/>
        <v>#N/A</v>
      </c>
      <c r="AI193" s="226">
        <f t="shared" si="162"/>
        <v>7</v>
      </c>
      <c r="AJ193" s="264" t="e">
        <f t="shared" si="130"/>
        <v>#N/A</v>
      </c>
      <c r="AK193" s="264" t="e">
        <f t="shared" si="163"/>
        <v>#N/A</v>
      </c>
      <c r="AL193" s="226" t="e">
        <f t="shared" si="131"/>
        <v>#N/A</v>
      </c>
      <c r="AM193" s="265" t="e">
        <f t="shared" si="164"/>
        <v>#N/A</v>
      </c>
      <c r="AN193" s="266" t="e">
        <f t="shared" si="132"/>
        <v>#N/A</v>
      </c>
      <c r="AO193" s="227" t="e">
        <f t="shared" si="133"/>
        <v>#N/A</v>
      </c>
      <c r="AP193" s="284">
        <f t="shared" si="165"/>
        <v>7</v>
      </c>
      <c r="AQ193" s="285" t="e">
        <f t="shared" si="134"/>
        <v>#N/A</v>
      </c>
      <c r="AR193" s="266" t="e">
        <f t="shared" si="166"/>
        <v>#N/A</v>
      </c>
      <c r="AS193" s="270" t="e">
        <f t="shared" si="135"/>
        <v>#N/A</v>
      </c>
      <c r="AT193" s="271">
        <f t="shared" si="167"/>
        <v>7</v>
      </c>
      <c r="AU193" s="272" t="e">
        <f t="shared" si="168"/>
        <v>#N/A</v>
      </c>
      <c r="AV193" s="273" t="e">
        <f t="shared" si="169"/>
        <v>#N/A</v>
      </c>
      <c r="AW193" s="274" t="e">
        <f t="shared" si="136"/>
        <v>#N/A</v>
      </c>
      <c r="AX193" s="232">
        <f t="shared" si="170"/>
        <v>7</v>
      </c>
      <c r="AY193" s="273" t="e">
        <f t="shared" si="137"/>
        <v>#N/A</v>
      </c>
      <c r="AZ193" s="232" t="e">
        <f t="shared" si="171"/>
        <v>#N/A</v>
      </c>
      <c r="BA193" s="232" t="e">
        <f t="shared" si="138"/>
        <v>#N/A</v>
      </c>
      <c r="BB193" s="275">
        <f t="shared" si="172"/>
        <v>7</v>
      </c>
      <c r="BC193" s="276" t="e">
        <f t="shared" si="173"/>
        <v>#N/A</v>
      </c>
      <c r="BD193" s="277" t="e">
        <f t="shared" si="174"/>
        <v>#N/A</v>
      </c>
      <c r="BE193" s="250" t="e">
        <f t="shared" si="139"/>
        <v>#N/A</v>
      </c>
      <c r="BF193" s="247">
        <f t="shared" si="175"/>
        <v>7</v>
      </c>
      <c r="BG193" s="276" t="e">
        <f t="shared" si="176"/>
        <v>#N/A</v>
      </c>
      <c r="BH193" s="277" t="e">
        <f t="shared" si="177"/>
        <v>#N/A</v>
      </c>
      <c r="BI193" s="250" t="e">
        <f t="shared" si="140"/>
        <v>#N/A</v>
      </c>
      <c r="BJ193" s="251">
        <f t="shared" si="178"/>
        <v>7</v>
      </c>
      <c r="BK193" s="278" t="e">
        <f t="shared" si="179"/>
        <v>#N/A</v>
      </c>
      <c r="BL193" s="278" t="e">
        <f t="shared" si="180"/>
        <v>#N/A</v>
      </c>
      <c r="BM193" s="279" t="e">
        <f t="shared" si="141"/>
        <v>#N/A</v>
      </c>
      <c r="BN193" s="280">
        <f t="shared" si="181"/>
        <v>7</v>
      </c>
      <c r="BO193" s="281" t="e">
        <f t="shared" si="182"/>
        <v>#N/A</v>
      </c>
      <c r="BP193" s="281" t="e">
        <f t="shared" si="183"/>
        <v>#N/A</v>
      </c>
      <c r="BQ193" s="279" t="e">
        <f t="shared" si="142"/>
        <v>#N/A</v>
      </c>
      <c r="BR193" s="282" t="e">
        <f t="shared" si="143"/>
        <v>#N/A</v>
      </c>
      <c r="BS193" s="217" t="e">
        <f>VLOOKUP($B193,SDR24_STOCK_BY_LA!$A$2:$C$11878,3,0)</f>
        <v>#N/A</v>
      </c>
      <c r="BT193" s="217" t="str">
        <f t="shared" si="184"/>
        <v/>
      </c>
    </row>
    <row r="194" spans="1:72" x14ac:dyDescent="0.2">
      <c r="A194" s="217" t="str">
        <f t="shared" si="185"/>
        <v/>
      </c>
      <c r="B194" s="217" t="str">
        <f t="shared" si="186"/>
        <v/>
      </c>
      <c r="C194" s="283" t="str">
        <f t="shared" si="144"/>
        <v/>
      </c>
      <c r="D194" s="256" t="str">
        <f>IF(B194="","",IF(totals!$Q$3=0,IFERROR(IF(AD194=2,"0",AE194),""),"-"))</f>
        <v/>
      </c>
      <c r="E194" s="258" t="str">
        <f t="shared" si="145"/>
        <v/>
      </c>
      <c r="F194" s="259" t="str">
        <f t="shared" si="146"/>
        <v/>
      </c>
      <c r="G194" s="259" t="str">
        <f t="shared" si="147"/>
        <v/>
      </c>
      <c r="H194" s="256" t="str">
        <f t="shared" si="125"/>
        <v/>
      </c>
      <c r="I194" s="259" t="str">
        <f t="shared" si="148"/>
        <v/>
      </c>
      <c r="J194" s="259" t="str">
        <f t="shared" si="149"/>
        <v/>
      </c>
      <c r="K194" s="256" t="str">
        <f t="shared" si="126"/>
        <v/>
      </c>
      <c r="L194" s="259" t="str">
        <f t="shared" si="127"/>
        <v/>
      </c>
      <c r="M194" s="259" t="str">
        <f t="shared" si="150"/>
        <v/>
      </c>
      <c r="N194" s="256" t="str">
        <f t="shared" si="151"/>
        <v/>
      </c>
      <c r="O194" s="259" t="str">
        <f t="shared" si="152"/>
        <v/>
      </c>
      <c r="P194" s="259" t="str">
        <f t="shared" si="153"/>
        <v/>
      </c>
      <c r="Q194" s="256" t="str">
        <f t="shared" si="154"/>
        <v/>
      </c>
      <c r="R194" s="259" t="str">
        <f t="shared" si="155"/>
        <v/>
      </c>
      <c r="S194" s="259" t="str">
        <f t="shared" si="156"/>
        <v/>
      </c>
      <c r="T194" s="256" t="str">
        <f t="shared" si="157"/>
        <v/>
      </c>
      <c r="U194" s="217"/>
      <c r="V194" s="217"/>
      <c r="AB194" s="217" t="e">
        <f>VLOOKUP($B$6,Lookup_Source,187,0)</f>
        <v>#N/A</v>
      </c>
      <c r="AC194" s="241" t="str">
        <f t="shared" si="158"/>
        <v/>
      </c>
      <c r="AD194" s="242">
        <f t="shared" si="159"/>
        <v>7</v>
      </c>
      <c r="AE194" s="261" t="e">
        <f t="shared" si="128"/>
        <v>#N/A</v>
      </c>
      <c r="AF194" s="264" t="e">
        <f t="shared" si="160"/>
        <v>#N/A</v>
      </c>
      <c r="AG194" s="264" t="e">
        <f t="shared" si="161"/>
        <v>#N/A</v>
      </c>
      <c r="AH194" s="263" t="e">
        <f t="shared" si="129"/>
        <v>#N/A</v>
      </c>
      <c r="AI194" s="226">
        <f t="shared" si="162"/>
        <v>7</v>
      </c>
      <c r="AJ194" s="264" t="e">
        <f t="shared" si="130"/>
        <v>#N/A</v>
      </c>
      <c r="AK194" s="264" t="e">
        <f t="shared" si="163"/>
        <v>#N/A</v>
      </c>
      <c r="AL194" s="226" t="e">
        <f t="shared" si="131"/>
        <v>#N/A</v>
      </c>
      <c r="AM194" s="265" t="e">
        <f t="shared" si="164"/>
        <v>#N/A</v>
      </c>
      <c r="AN194" s="266" t="e">
        <f t="shared" si="132"/>
        <v>#N/A</v>
      </c>
      <c r="AO194" s="227" t="e">
        <f t="shared" si="133"/>
        <v>#N/A</v>
      </c>
      <c r="AP194" s="284">
        <f t="shared" si="165"/>
        <v>7</v>
      </c>
      <c r="AQ194" s="285" t="e">
        <f t="shared" si="134"/>
        <v>#N/A</v>
      </c>
      <c r="AR194" s="266" t="e">
        <f t="shared" si="166"/>
        <v>#N/A</v>
      </c>
      <c r="AS194" s="270" t="e">
        <f t="shared" si="135"/>
        <v>#N/A</v>
      </c>
      <c r="AT194" s="271">
        <f t="shared" si="167"/>
        <v>7</v>
      </c>
      <c r="AU194" s="272" t="e">
        <f t="shared" si="168"/>
        <v>#N/A</v>
      </c>
      <c r="AV194" s="273" t="e">
        <f t="shared" si="169"/>
        <v>#N/A</v>
      </c>
      <c r="AW194" s="274" t="e">
        <f t="shared" si="136"/>
        <v>#N/A</v>
      </c>
      <c r="AX194" s="232">
        <f t="shared" si="170"/>
        <v>7</v>
      </c>
      <c r="AY194" s="273" t="e">
        <f t="shared" si="137"/>
        <v>#N/A</v>
      </c>
      <c r="AZ194" s="232" t="e">
        <f t="shared" si="171"/>
        <v>#N/A</v>
      </c>
      <c r="BA194" s="232" t="e">
        <f t="shared" si="138"/>
        <v>#N/A</v>
      </c>
      <c r="BB194" s="275">
        <f t="shared" si="172"/>
        <v>7</v>
      </c>
      <c r="BC194" s="276" t="e">
        <f t="shared" si="173"/>
        <v>#N/A</v>
      </c>
      <c r="BD194" s="277" t="e">
        <f t="shared" si="174"/>
        <v>#N/A</v>
      </c>
      <c r="BE194" s="250" t="e">
        <f t="shared" si="139"/>
        <v>#N/A</v>
      </c>
      <c r="BF194" s="247">
        <f t="shared" si="175"/>
        <v>7</v>
      </c>
      <c r="BG194" s="276" t="e">
        <f t="shared" si="176"/>
        <v>#N/A</v>
      </c>
      <c r="BH194" s="277" t="e">
        <f t="shared" si="177"/>
        <v>#N/A</v>
      </c>
      <c r="BI194" s="250" t="e">
        <f t="shared" si="140"/>
        <v>#N/A</v>
      </c>
      <c r="BJ194" s="251">
        <f t="shared" si="178"/>
        <v>7</v>
      </c>
      <c r="BK194" s="278" t="e">
        <f t="shared" si="179"/>
        <v>#N/A</v>
      </c>
      <c r="BL194" s="278" t="e">
        <f t="shared" si="180"/>
        <v>#N/A</v>
      </c>
      <c r="BM194" s="279" t="e">
        <f t="shared" si="141"/>
        <v>#N/A</v>
      </c>
      <c r="BN194" s="280">
        <f t="shared" si="181"/>
        <v>7</v>
      </c>
      <c r="BO194" s="281" t="e">
        <f t="shared" si="182"/>
        <v>#N/A</v>
      </c>
      <c r="BP194" s="281" t="e">
        <f t="shared" si="183"/>
        <v>#N/A</v>
      </c>
      <c r="BQ194" s="279" t="e">
        <f t="shared" si="142"/>
        <v>#N/A</v>
      </c>
      <c r="BR194" s="282" t="e">
        <f t="shared" si="143"/>
        <v>#N/A</v>
      </c>
      <c r="BS194" s="217" t="e">
        <f>VLOOKUP($B194,SDR24_STOCK_BY_LA!$A$2:$C$11878,3,0)</f>
        <v>#N/A</v>
      </c>
      <c r="BT194" s="217" t="str">
        <f t="shared" si="184"/>
        <v/>
      </c>
    </row>
    <row r="195" spans="1:72" x14ac:dyDescent="0.2">
      <c r="A195" s="256" t="str">
        <f t="shared" si="185"/>
        <v/>
      </c>
      <c r="B195" s="217" t="str">
        <f t="shared" si="186"/>
        <v/>
      </c>
      <c r="C195" s="257" t="str">
        <f t="shared" si="144"/>
        <v/>
      </c>
      <c r="D195" s="256" t="str">
        <f>IF(B195="","",IF(totals!$Q$3=0,IFERROR(IF(AD195=2,"0",AE195),""),"-"))</f>
        <v/>
      </c>
      <c r="E195" s="258" t="str">
        <f t="shared" si="145"/>
        <v/>
      </c>
      <c r="F195" s="259" t="str">
        <f t="shared" si="146"/>
        <v/>
      </c>
      <c r="G195" s="259" t="str">
        <f t="shared" si="147"/>
        <v/>
      </c>
      <c r="H195" s="256" t="str">
        <f t="shared" si="125"/>
        <v/>
      </c>
      <c r="I195" s="259" t="str">
        <f t="shared" si="148"/>
        <v/>
      </c>
      <c r="J195" s="259" t="str">
        <f t="shared" si="149"/>
        <v/>
      </c>
      <c r="K195" s="256" t="str">
        <f t="shared" si="126"/>
        <v/>
      </c>
      <c r="L195" s="259" t="str">
        <f t="shared" si="127"/>
        <v/>
      </c>
      <c r="M195" s="259" t="str">
        <f t="shared" si="150"/>
        <v/>
      </c>
      <c r="N195" s="256" t="str">
        <f t="shared" si="151"/>
        <v/>
      </c>
      <c r="O195" s="259" t="str">
        <f t="shared" si="152"/>
        <v/>
      </c>
      <c r="P195" s="259" t="str">
        <f t="shared" si="153"/>
        <v/>
      </c>
      <c r="Q195" s="256" t="str">
        <f t="shared" si="154"/>
        <v/>
      </c>
      <c r="R195" s="259" t="str">
        <f t="shared" si="155"/>
        <v/>
      </c>
      <c r="S195" s="259" t="str">
        <f t="shared" si="156"/>
        <v/>
      </c>
      <c r="T195" s="256" t="str">
        <f t="shared" si="157"/>
        <v/>
      </c>
      <c r="U195" s="217"/>
      <c r="V195" s="217"/>
      <c r="AB195" s="257" t="e">
        <f>VLOOKUP($B$6,Lookup_Source,188,0)</f>
        <v>#N/A</v>
      </c>
      <c r="AC195" s="241" t="str">
        <f t="shared" si="158"/>
        <v/>
      </c>
      <c r="AD195" s="242">
        <f t="shared" si="159"/>
        <v>7</v>
      </c>
      <c r="AE195" s="261" t="e">
        <f t="shared" si="128"/>
        <v>#N/A</v>
      </c>
      <c r="AF195" s="264" t="e">
        <f t="shared" si="160"/>
        <v>#N/A</v>
      </c>
      <c r="AG195" s="264" t="e">
        <f t="shared" si="161"/>
        <v>#N/A</v>
      </c>
      <c r="AH195" s="263" t="e">
        <f t="shared" si="129"/>
        <v>#N/A</v>
      </c>
      <c r="AI195" s="226">
        <f t="shared" si="162"/>
        <v>7</v>
      </c>
      <c r="AJ195" s="264" t="e">
        <f t="shared" si="130"/>
        <v>#N/A</v>
      </c>
      <c r="AK195" s="264" t="e">
        <f t="shared" si="163"/>
        <v>#N/A</v>
      </c>
      <c r="AL195" s="226" t="e">
        <f t="shared" si="131"/>
        <v>#N/A</v>
      </c>
      <c r="AM195" s="265" t="e">
        <f t="shared" si="164"/>
        <v>#N/A</v>
      </c>
      <c r="AN195" s="266" t="e">
        <f t="shared" si="132"/>
        <v>#N/A</v>
      </c>
      <c r="AO195" s="227" t="e">
        <f t="shared" si="133"/>
        <v>#N/A</v>
      </c>
      <c r="AP195" s="284">
        <f t="shared" si="165"/>
        <v>7</v>
      </c>
      <c r="AQ195" s="285" t="e">
        <f t="shared" si="134"/>
        <v>#N/A</v>
      </c>
      <c r="AR195" s="266" t="e">
        <f t="shared" si="166"/>
        <v>#N/A</v>
      </c>
      <c r="AS195" s="270" t="e">
        <f t="shared" si="135"/>
        <v>#N/A</v>
      </c>
      <c r="AT195" s="271">
        <f t="shared" si="167"/>
        <v>7</v>
      </c>
      <c r="AU195" s="272" t="e">
        <f t="shared" si="168"/>
        <v>#N/A</v>
      </c>
      <c r="AV195" s="273" t="e">
        <f t="shared" si="169"/>
        <v>#N/A</v>
      </c>
      <c r="AW195" s="274" t="e">
        <f t="shared" si="136"/>
        <v>#N/A</v>
      </c>
      <c r="AX195" s="232">
        <f t="shared" si="170"/>
        <v>7</v>
      </c>
      <c r="AY195" s="273" t="e">
        <f t="shared" si="137"/>
        <v>#N/A</v>
      </c>
      <c r="AZ195" s="232" t="e">
        <f t="shared" si="171"/>
        <v>#N/A</v>
      </c>
      <c r="BA195" s="232" t="e">
        <f t="shared" si="138"/>
        <v>#N/A</v>
      </c>
      <c r="BB195" s="275">
        <f t="shared" si="172"/>
        <v>7</v>
      </c>
      <c r="BC195" s="276" t="e">
        <f t="shared" si="173"/>
        <v>#N/A</v>
      </c>
      <c r="BD195" s="277" t="e">
        <f t="shared" si="174"/>
        <v>#N/A</v>
      </c>
      <c r="BE195" s="250" t="e">
        <f t="shared" si="139"/>
        <v>#N/A</v>
      </c>
      <c r="BF195" s="247">
        <f t="shared" si="175"/>
        <v>7</v>
      </c>
      <c r="BG195" s="276" t="e">
        <f t="shared" si="176"/>
        <v>#N/A</v>
      </c>
      <c r="BH195" s="277" t="e">
        <f t="shared" si="177"/>
        <v>#N/A</v>
      </c>
      <c r="BI195" s="250" t="e">
        <f t="shared" si="140"/>
        <v>#N/A</v>
      </c>
      <c r="BJ195" s="251">
        <f t="shared" si="178"/>
        <v>7</v>
      </c>
      <c r="BK195" s="278" t="e">
        <f t="shared" si="179"/>
        <v>#N/A</v>
      </c>
      <c r="BL195" s="278" t="e">
        <f t="shared" si="180"/>
        <v>#N/A</v>
      </c>
      <c r="BM195" s="279" t="e">
        <f t="shared" si="141"/>
        <v>#N/A</v>
      </c>
      <c r="BN195" s="280">
        <f t="shared" si="181"/>
        <v>7</v>
      </c>
      <c r="BO195" s="281" t="e">
        <f t="shared" si="182"/>
        <v>#N/A</v>
      </c>
      <c r="BP195" s="281" t="e">
        <f t="shared" si="183"/>
        <v>#N/A</v>
      </c>
      <c r="BQ195" s="279" t="e">
        <f t="shared" si="142"/>
        <v>#N/A</v>
      </c>
      <c r="BR195" s="282" t="e">
        <f t="shared" si="143"/>
        <v>#N/A</v>
      </c>
      <c r="BS195" s="217" t="e">
        <f>VLOOKUP($B195,SDR24_STOCK_BY_LA!$A$2:$C$11878,3,0)</f>
        <v>#N/A</v>
      </c>
      <c r="BT195" s="217" t="str">
        <f t="shared" si="184"/>
        <v/>
      </c>
    </row>
    <row r="196" spans="1:72" x14ac:dyDescent="0.2">
      <c r="A196" s="217" t="str">
        <f t="shared" si="185"/>
        <v/>
      </c>
      <c r="B196" s="217" t="str">
        <f t="shared" si="186"/>
        <v/>
      </c>
      <c r="C196" s="283" t="str">
        <f t="shared" si="144"/>
        <v/>
      </c>
      <c r="D196" s="256" t="str">
        <f>IF(B196="","",IF(totals!$Q$3=0,IFERROR(IF(AD196=2,"0",AE196),""),"-"))</f>
        <v/>
      </c>
      <c r="E196" s="258" t="str">
        <f t="shared" si="145"/>
        <v/>
      </c>
      <c r="F196" s="259" t="str">
        <f t="shared" si="146"/>
        <v/>
      </c>
      <c r="G196" s="259" t="str">
        <f t="shared" si="147"/>
        <v/>
      </c>
      <c r="H196" s="256" t="str">
        <f t="shared" si="125"/>
        <v/>
      </c>
      <c r="I196" s="259" t="str">
        <f t="shared" si="148"/>
        <v/>
      </c>
      <c r="J196" s="259" t="str">
        <f t="shared" si="149"/>
        <v/>
      </c>
      <c r="K196" s="256" t="str">
        <f t="shared" si="126"/>
        <v/>
      </c>
      <c r="L196" s="259" t="str">
        <f t="shared" si="127"/>
        <v/>
      </c>
      <c r="M196" s="259" t="str">
        <f t="shared" si="150"/>
        <v/>
      </c>
      <c r="N196" s="256" t="str">
        <f t="shared" si="151"/>
        <v/>
      </c>
      <c r="O196" s="259" t="str">
        <f t="shared" si="152"/>
        <v/>
      </c>
      <c r="P196" s="259" t="str">
        <f t="shared" si="153"/>
        <v/>
      </c>
      <c r="Q196" s="256" t="str">
        <f t="shared" si="154"/>
        <v/>
      </c>
      <c r="R196" s="259" t="str">
        <f t="shared" si="155"/>
        <v/>
      </c>
      <c r="S196" s="259" t="str">
        <f t="shared" si="156"/>
        <v/>
      </c>
      <c r="T196" s="256" t="str">
        <f t="shared" si="157"/>
        <v/>
      </c>
      <c r="U196" s="217"/>
      <c r="V196" s="217"/>
      <c r="AB196" s="217" t="e">
        <f>VLOOKUP($B$6,Lookup_Source,189,0)</f>
        <v>#N/A</v>
      </c>
      <c r="AC196" s="241" t="str">
        <f t="shared" si="158"/>
        <v/>
      </c>
      <c r="AD196" s="242">
        <f t="shared" si="159"/>
        <v>7</v>
      </c>
      <c r="AE196" s="261" t="e">
        <f t="shared" si="128"/>
        <v>#N/A</v>
      </c>
      <c r="AF196" s="264" t="e">
        <f t="shared" si="160"/>
        <v>#N/A</v>
      </c>
      <c r="AG196" s="264" t="e">
        <f t="shared" si="161"/>
        <v>#N/A</v>
      </c>
      <c r="AH196" s="263" t="e">
        <f t="shared" si="129"/>
        <v>#N/A</v>
      </c>
      <c r="AI196" s="226">
        <f t="shared" si="162"/>
        <v>7</v>
      </c>
      <c r="AJ196" s="264" t="e">
        <f t="shared" si="130"/>
        <v>#N/A</v>
      </c>
      <c r="AK196" s="264" t="e">
        <f t="shared" si="163"/>
        <v>#N/A</v>
      </c>
      <c r="AL196" s="226" t="e">
        <f t="shared" si="131"/>
        <v>#N/A</v>
      </c>
      <c r="AM196" s="265" t="e">
        <f t="shared" si="164"/>
        <v>#N/A</v>
      </c>
      <c r="AN196" s="266" t="e">
        <f t="shared" si="132"/>
        <v>#N/A</v>
      </c>
      <c r="AO196" s="227" t="e">
        <f t="shared" si="133"/>
        <v>#N/A</v>
      </c>
      <c r="AP196" s="284">
        <f t="shared" si="165"/>
        <v>7</v>
      </c>
      <c r="AQ196" s="285" t="e">
        <f t="shared" si="134"/>
        <v>#N/A</v>
      </c>
      <c r="AR196" s="266" t="e">
        <f t="shared" si="166"/>
        <v>#N/A</v>
      </c>
      <c r="AS196" s="270" t="e">
        <f t="shared" si="135"/>
        <v>#N/A</v>
      </c>
      <c r="AT196" s="271">
        <f t="shared" si="167"/>
        <v>7</v>
      </c>
      <c r="AU196" s="272" t="e">
        <f t="shared" si="168"/>
        <v>#N/A</v>
      </c>
      <c r="AV196" s="273" t="e">
        <f t="shared" si="169"/>
        <v>#N/A</v>
      </c>
      <c r="AW196" s="274" t="e">
        <f t="shared" si="136"/>
        <v>#N/A</v>
      </c>
      <c r="AX196" s="232">
        <f t="shared" si="170"/>
        <v>7</v>
      </c>
      <c r="AY196" s="273" t="e">
        <f t="shared" si="137"/>
        <v>#N/A</v>
      </c>
      <c r="AZ196" s="232" t="e">
        <f t="shared" si="171"/>
        <v>#N/A</v>
      </c>
      <c r="BA196" s="232" t="e">
        <f t="shared" si="138"/>
        <v>#N/A</v>
      </c>
      <c r="BB196" s="275">
        <f t="shared" si="172"/>
        <v>7</v>
      </c>
      <c r="BC196" s="276" t="e">
        <f t="shared" si="173"/>
        <v>#N/A</v>
      </c>
      <c r="BD196" s="277" t="e">
        <f t="shared" si="174"/>
        <v>#N/A</v>
      </c>
      <c r="BE196" s="250" t="e">
        <f t="shared" si="139"/>
        <v>#N/A</v>
      </c>
      <c r="BF196" s="247">
        <f t="shared" si="175"/>
        <v>7</v>
      </c>
      <c r="BG196" s="276" t="e">
        <f t="shared" si="176"/>
        <v>#N/A</v>
      </c>
      <c r="BH196" s="277" t="e">
        <f t="shared" si="177"/>
        <v>#N/A</v>
      </c>
      <c r="BI196" s="250" t="e">
        <f t="shared" si="140"/>
        <v>#N/A</v>
      </c>
      <c r="BJ196" s="251">
        <f t="shared" si="178"/>
        <v>7</v>
      </c>
      <c r="BK196" s="278" t="e">
        <f t="shared" si="179"/>
        <v>#N/A</v>
      </c>
      <c r="BL196" s="278" t="e">
        <f t="shared" si="180"/>
        <v>#N/A</v>
      </c>
      <c r="BM196" s="279" t="e">
        <f t="shared" si="141"/>
        <v>#N/A</v>
      </c>
      <c r="BN196" s="280">
        <f t="shared" si="181"/>
        <v>7</v>
      </c>
      <c r="BO196" s="281" t="e">
        <f t="shared" si="182"/>
        <v>#N/A</v>
      </c>
      <c r="BP196" s="281" t="e">
        <f t="shared" si="183"/>
        <v>#N/A</v>
      </c>
      <c r="BQ196" s="279" t="e">
        <f t="shared" si="142"/>
        <v>#N/A</v>
      </c>
      <c r="BR196" s="282" t="e">
        <f t="shared" si="143"/>
        <v>#N/A</v>
      </c>
      <c r="BS196" s="217" t="e">
        <f>VLOOKUP($B196,SDR24_STOCK_BY_LA!$A$2:$C$11878,3,0)</f>
        <v>#N/A</v>
      </c>
      <c r="BT196" s="217" t="str">
        <f t="shared" si="184"/>
        <v/>
      </c>
    </row>
    <row r="197" spans="1:72" x14ac:dyDescent="0.2">
      <c r="A197" s="256" t="str">
        <f t="shared" si="185"/>
        <v/>
      </c>
      <c r="B197" s="217" t="str">
        <f t="shared" si="186"/>
        <v/>
      </c>
      <c r="C197" s="257" t="str">
        <f t="shared" si="144"/>
        <v/>
      </c>
      <c r="D197" s="256" t="str">
        <f>IF(B197="","",IF(totals!$Q$3=0,IFERROR(IF(AD197=2,"0",AE197),""),"-"))</f>
        <v/>
      </c>
      <c r="E197" s="258" t="str">
        <f t="shared" si="145"/>
        <v/>
      </c>
      <c r="F197" s="259" t="str">
        <f t="shared" si="146"/>
        <v/>
      </c>
      <c r="G197" s="259" t="str">
        <f t="shared" si="147"/>
        <v/>
      </c>
      <c r="H197" s="256" t="str">
        <f t="shared" si="125"/>
        <v/>
      </c>
      <c r="I197" s="259" t="str">
        <f t="shared" si="148"/>
        <v/>
      </c>
      <c r="J197" s="259" t="str">
        <f t="shared" si="149"/>
        <v/>
      </c>
      <c r="K197" s="256" t="str">
        <f t="shared" si="126"/>
        <v/>
      </c>
      <c r="L197" s="259" t="str">
        <f t="shared" si="127"/>
        <v/>
      </c>
      <c r="M197" s="259" t="str">
        <f t="shared" si="150"/>
        <v/>
      </c>
      <c r="N197" s="256" t="str">
        <f t="shared" si="151"/>
        <v/>
      </c>
      <c r="O197" s="259" t="str">
        <f t="shared" si="152"/>
        <v/>
      </c>
      <c r="P197" s="259" t="str">
        <f t="shared" si="153"/>
        <v/>
      </c>
      <c r="Q197" s="256" t="str">
        <f t="shared" si="154"/>
        <v/>
      </c>
      <c r="R197" s="259" t="str">
        <f t="shared" si="155"/>
        <v/>
      </c>
      <c r="S197" s="259" t="str">
        <f t="shared" si="156"/>
        <v/>
      </c>
      <c r="T197" s="256" t="str">
        <f t="shared" si="157"/>
        <v/>
      </c>
      <c r="U197" s="217"/>
      <c r="V197" s="217"/>
      <c r="AB197" s="257" t="e">
        <f>VLOOKUP($B$6,Lookup_Source,190,0)</f>
        <v>#N/A</v>
      </c>
      <c r="AC197" s="241" t="str">
        <f t="shared" si="158"/>
        <v/>
      </c>
      <c r="AD197" s="242">
        <f t="shared" si="159"/>
        <v>7</v>
      </c>
      <c r="AE197" s="261" t="e">
        <f t="shared" si="128"/>
        <v>#N/A</v>
      </c>
      <c r="AF197" s="264" t="e">
        <f t="shared" si="160"/>
        <v>#N/A</v>
      </c>
      <c r="AG197" s="264" t="e">
        <f t="shared" si="161"/>
        <v>#N/A</v>
      </c>
      <c r="AH197" s="263" t="e">
        <f t="shared" si="129"/>
        <v>#N/A</v>
      </c>
      <c r="AI197" s="226">
        <f t="shared" si="162"/>
        <v>7</v>
      </c>
      <c r="AJ197" s="264" t="e">
        <f t="shared" si="130"/>
        <v>#N/A</v>
      </c>
      <c r="AK197" s="264" t="e">
        <f t="shared" si="163"/>
        <v>#N/A</v>
      </c>
      <c r="AL197" s="226" t="e">
        <f t="shared" si="131"/>
        <v>#N/A</v>
      </c>
      <c r="AM197" s="265" t="e">
        <f t="shared" si="164"/>
        <v>#N/A</v>
      </c>
      <c r="AN197" s="266" t="e">
        <f t="shared" si="132"/>
        <v>#N/A</v>
      </c>
      <c r="AO197" s="227" t="e">
        <f t="shared" si="133"/>
        <v>#N/A</v>
      </c>
      <c r="AP197" s="284">
        <f t="shared" si="165"/>
        <v>7</v>
      </c>
      <c r="AQ197" s="285" t="e">
        <f t="shared" si="134"/>
        <v>#N/A</v>
      </c>
      <c r="AR197" s="266" t="e">
        <f t="shared" si="166"/>
        <v>#N/A</v>
      </c>
      <c r="AS197" s="270" t="e">
        <f t="shared" si="135"/>
        <v>#N/A</v>
      </c>
      <c r="AT197" s="271">
        <f t="shared" si="167"/>
        <v>7</v>
      </c>
      <c r="AU197" s="272" t="e">
        <f t="shared" si="168"/>
        <v>#N/A</v>
      </c>
      <c r="AV197" s="273" t="e">
        <f t="shared" si="169"/>
        <v>#N/A</v>
      </c>
      <c r="AW197" s="274" t="e">
        <f t="shared" si="136"/>
        <v>#N/A</v>
      </c>
      <c r="AX197" s="232">
        <f t="shared" si="170"/>
        <v>7</v>
      </c>
      <c r="AY197" s="273" t="e">
        <f t="shared" si="137"/>
        <v>#N/A</v>
      </c>
      <c r="AZ197" s="232" t="e">
        <f t="shared" si="171"/>
        <v>#N/A</v>
      </c>
      <c r="BA197" s="232" t="e">
        <f t="shared" si="138"/>
        <v>#N/A</v>
      </c>
      <c r="BB197" s="275">
        <f t="shared" si="172"/>
        <v>7</v>
      </c>
      <c r="BC197" s="276" t="e">
        <f t="shared" si="173"/>
        <v>#N/A</v>
      </c>
      <c r="BD197" s="277" t="e">
        <f t="shared" si="174"/>
        <v>#N/A</v>
      </c>
      <c r="BE197" s="250" t="e">
        <f t="shared" si="139"/>
        <v>#N/A</v>
      </c>
      <c r="BF197" s="247">
        <f t="shared" si="175"/>
        <v>7</v>
      </c>
      <c r="BG197" s="276" t="e">
        <f t="shared" si="176"/>
        <v>#N/A</v>
      </c>
      <c r="BH197" s="277" t="e">
        <f t="shared" si="177"/>
        <v>#N/A</v>
      </c>
      <c r="BI197" s="250" t="e">
        <f t="shared" si="140"/>
        <v>#N/A</v>
      </c>
      <c r="BJ197" s="251">
        <f t="shared" si="178"/>
        <v>7</v>
      </c>
      <c r="BK197" s="278" t="e">
        <f t="shared" si="179"/>
        <v>#N/A</v>
      </c>
      <c r="BL197" s="278" t="e">
        <f t="shared" si="180"/>
        <v>#N/A</v>
      </c>
      <c r="BM197" s="279" t="e">
        <f t="shared" si="141"/>
        <v>#N/A</v>
      </c>
      <c r="BN197" s="280">
        <f t="shared" si="181"/>
        <v>7</v>
      </c>
      <c r="BO197" s="281" t="e">
        <f t="shared" si="182"/>
        <v>#N/A</v>
      </c>
      <c r="BP197" s="281" t="e">
        <f t="shared" si="183"/>
        <v>#N/A</v>
      </c>
      <c r="BQ197" s="279" t="e">
        <f t="shared" si="142"/>
        <v>#N/A</v>
      </c>
      <c r="BR197" s="282" t="e">
        <f t="shared" si="143"/>
        <v>#N/A</v>
      </c>
      <c r="BS197" s="217" t="e">
        <f>VLOOKUP($B197,SDR24_STOCK_BY_LA!$A$2:$C$11878,3,0)</f>
        <v>#N/A</v>
      </c>
      <c r="BT197" s="217" t="str">
        <f t="shared" si="184"/>
        <v/>
      </c>
    </row>
    <row r="198" spans="1:72" x14ac:dyDescent="0.2">
      <c r="A198" s="217" t="str">
        <f t="shared" si="185"/>
        <v/>
      </c>
      <c r="B198" s="217" t="str">
        <f t="shared" si="186"/>
        <v/>
      </c>
      <c r="C198" s="283" t="str">
        <f t="shared" si="144"/>
        <v/>
      </c>
      <c r="D198" s="256" t="str">
        <f>IF(B198="","",IF(totals!$Q$3=0,IFERROR(IF(AD198=2,"0",AE198),""),"-"))</f>
        <v/>
      </c>
      <c r="E198" s="258" t="str">
        <f t="shared" si="145"/>
        <v/>
      </c>
      <c r="F198" s="259" t="str">
        <f t="shared" si="146"/>
        <v/>
      </c>
      <c r="G198" s="259" t="str">
        <f t="shared" si="147"/>
        <v/>
      </c>
      <c r="H198" s="256" t="str">
        <f t="shared" si="125"/>
        <v/>
      </c>
      <c r="I198" s="259" t="str">
        <f t="shared" si="148"/>
        <v/>
      </c>
      <c r="J198" s="259" t="str">
        <f t="shared" si="149"/>
        <v/>
      </c>
      <c r="K198" s="256" t="str">
        <f t="shared" si="126"/>
        <v/>
      </c>
      <c r="L198" s="259" t="str">
        <f t="shared" si="127"/>
        <v/>
      </c>
      <c r="M198" s="259" t="str">
        <f t="shared" si="150"/>
        <v/>
      </c>
      <c r="N198" s="256" t="str">
        <f t="shared" si="151"/>
        <v/>
      </c>
      <c r="O198" s="259" t="str">
        <f t="shared" si="152"/>
        <v/>
      </c>
      <c r="P198" s="259" t="str">
        <f t="shared" si="153"/>
        <v/>
      </c>
      <c r="Q198" s="256" t="str">
        <f t="shared" si="154"/>
        <v/>
      </c>
      <c r="R198" s="259" t="str">
        <f t="shared" si="155"/>
        <v/>
      </c>
      <c r="S198" s="259" t="str">
        <f t="shared" si="156"/>
        <v/>
      </c>
      <c r="T198" s="256" t="str">
        <f t="shared" si="157"/>
        <v/>
      </c>
      <c r="U198" s="217"/>
      <c r="V198" s="217"/>
      <c r="AB198" s="217" t="e">
        <f>VLOOKUP($B$6,Lookup_Source,191,0)</f>
        <v>#N/A</v>
      </c>
      <c r="AC198" s="241" t="str">
        <f t="shared" si="158"/>
        <v/>
      </c>
      <c r="AD198" s="242">
        <f t="shared" si="159"/>
        <v>7</v>
      </c>
      <c r="AE198" s="261" t="e">
        <f t="shared" si="128"/>
        <v>#N/A</v>
      </c>
      <c r="AF198" s="264" t="e">
        <f t="shared" si="160"/>
        <v>#N/A</v>
      </c>
      <c r="AG198" s="264" t="e">
        <f t="shared" si="161"/>
        <v>#N/A</v>
      </c>
      <c r="AH198" s="263" t="e">
        <f t="shared" si="129"/>
        <v>#N/A</v>
      </c>
      <c r="AI198" s="226">
        <f t="shared" si="162"/>
        <v>7</v>
      </c>
      <c r="AJ198" s="264" t="e">
        <f t="shared" si="130"/>
        <v>#N/A</v>
      </c>
      <c r="AK198" s="264" t="e">
        <f t="shared" si="163"/>
        <v>#N/A</v>
      </c>
      <c r="AL198" s="226" t="e">
        <f t="shared" si="131"/>
        <v>#N/A</v>
      </c>
      <c r="AM198" s="265" t="e">
        <f t="shared" si="164"/>
        <v>#N/A</v>
      </c>
      <c r="AN198" s="266" t="e">
        <f t="shared" si="132"/>
        <v>#N/A</v>
      </c>
      <c r="AO198" s="227" t="e">
        <f t="shared" si="133"/>
        <v>#N/A</v>
      </c>
      <c r="AP198" s="284">
        <f t="shared" si="165"/>
        <v>7</v>
      </c>
      <c r="AQ198" s="285" t="e">
        <f t="shared" si="134"/>
        <v>#N/A</v>
      </c>
      <c r="AR198" s="266" t="e">
        <f t="shared" si="166"/>
        <v>#N/A</v>
      </c>
      <c r="AS198" s="270" t="e">
        <f t="shared" si="135"/>
        <v>#N/A</v>
      </c>
      <c r="AT198" s="271">
        <f t="shared" si="167"/>
        <v>7</v>
      </c>
      <c r="AU198" s="272" t="e">
        <f t="shared" si="168"/>
        <v>#N/A</v>
      </c>
      <c r="AV198" s="273" t="e">
        <f t="shared" si="169"/>
        <v>#N/A</v>
      </c>
      <c r="AW198" s="274" t="e">
        <f t="shared" si="136"/>
        <v>#N/A</v>
      </c>
      <c r="AX198" s="232">
        <f t="shared" si="170"/>
        <v>7</v>
      </c>
      <c r="AY198" s="273" t="e">
        <f t="shared" si="137"/>
        <v>#N/A</v>
      </c>
      <c r="AZ198" s="232" t="e">
        <f t="shared" si="171"/>
        <v>#N/A</v>
      </c>
      <c r="BA198" s="232" t="e">
        <f t="shared" si="138"/>
        <v>#N/A</v>
      </c>
      <c r="BB198" s="275">
        <f t="shared" si="172"/>
        <v>7</v>
      </c>
      <c r="BC198" s="276" t="e">
        <f t="shared" si="173"/>
        <v>#N/A</v>
      </c>
      <c r="BD198" s="277" t="e">
        <f t="shared" si="174"/>
        <v>#N/A</v>
      </c>
      <c r="BE198" s="250" t="e">
        <f t="shared" si="139"/>
        <v>#N/A</v>
      </c>
      <c r="BF198" s="247">
        <f t="shared" si="175"/>
        <v>7</v>
      </c>
      <c r="BG198" s="276" t="e">
        <f t="shared" si="176"/>
        <v>#N/A</v>
      </c>
      <c r="BH198" s="277" t="e">
        <f t="shared" si="177"/>
        <v>#N/A</v>
      </c>
      <c r="BI198" s="250" t="e">
        <f t="shared" si="140"/>
        <v>#N/A</v>
      </c>
      <c r="BJ198" s="251">
        <f t="shared" si="178"/>
        <v>7</v>
      </c>
      <c r="BK198" s="278" t="e">
        <f t="shared" si="179"/>
        <v>#N/A</v>
      </c>
      <c r="BL198" s="278" t="e">
        <f t="shared" si="180"/>
        <v>#N/A</v>
      </c>
      <c r="BM198" s="279" t="e">
        <f t="shared" si="141"/>
        <v>#N/A</v>
      </c>
      <c r="BN198" s="280">
        <f t="shared" si="181"/>
        <v>7</v>
      </c>
      <c r="BO198" s="281" t="e">
        <f t="shared" si="182"/>
        <v>#N/A</v>
      </c>
      <c r="BP198" s="281" t="e">
        <f t="shared" si="183"/>
        <v>#N/A</v>
      </c>
      <c r="BQ198" s="279" t="e">
        <f t="shared" si="142"/>
        <v>#N/A</v>
      </c>
      <c r="BR198" s="282" t="e">
        <f t="shared" si="143"/>
        <v>#N/A</v>
      </c>
      <c r="BS198" s="217" t="e">
        <f>VLOOKUP($B198,SDR24_STOCK_BY_LA!$A$2:$C$11878,3,0)</f>
        <v>#N/A</v>
      </c>
      <c r="BT198" s="217" t="str">
        <f t="shared" si="184"/>
        <v/>
      </c>
    </row>
    <row r="199" spans="1:72" x14ac:dyDescent="0.2">
      <c r="A199" s="256" t="str">
        <f t="shared" si="185"/>
        <v/>
      </c>
      <c r="B199" s="217" t="str">
        <f t="shared" si="186"/>
        <v/>
      </c>
      <c r="C199" s="257" t="str">
        <f t="shared" si="144"/>
        <v/>
      </c>
      <c r="D199" s="256" t="str">
        <f>IF(B199="","",IF(totals!$Q$3=0,IFERROR(IF(AD199=2,"0",AE199),""),"-"))</f>
        <v/>
      </c>
      <c r="E199" s="258" t="str">
        <f t="shared" si="145"/>
        <v/>
      </c>
      <c r="F199" s="259" t="str">
        <f t="shared" si="146"/>
        <v/>
      </c>
      <c r="G199" s="259" t="str">
        <f t="shared" si="147"/>
        <v/>
      </c>
      <c r="H199" s="256" t="str">
        <f t="shared" si="125"/>
        <v/>
      </c>
      <c r="I199" s="259" t="str">
        <f t="shared" si="148"/>
        <v/>
      </c>
      <c r="J199" s="259" t="str">
        <f t="shared" si="149"/>
        <v/>
      </c>
      <c r="K199" s="256" t="str">
        <f t="shared" si="126"/>
        <v/>
      </c>
      <c r="L199" s="259" t="str">
        <f t="shared" si="127"/>
        <v/>
      </c>
      <c r="M199" s="259" t="str">
        <f t="shared" si="150"/>
        <v/>
      </c>
      <c r="N199" s="256" t="str">
        <f t="shared" si="151"/>
        <v/>
      </c>
      <c r="O199" s="259" t="str">
        <f t="shared" si="152"/>
        <v/>
      </c>
      <c r="P199" s="259" t="str">
        <f t="shared" si="153"/>
        <v/>
      </c>
      <c r="Q199" s="256" t="str">
        <f t="shared" si="154"/>
        <v/>
      </c>
      <c r="R199" s="259" t="str">
        <f t="shared" si="155"/>
        <v/>
      </c>
      <c r="S199" s="259" t="str">
        <f t="shared" si="156"/>
        <v/>
      </c>
      <c r="T199" s="256" t="str">
        <f t="shared" si="157"/>
        <v/>
      </c>
      <c r="U199" s="217"/>
      <c r="V199" s="217"/>
      <c r="AB199" s="257" t="e">
        <f>VLOOKUP($B$6,Lookup_Source,192,0)</f>
        <v>#N/A</v>
      </c>
      <c r="AC199" s="241" t="str">
        <f t="shared" si="158"/>
        <v/>
      </c>
      <c r="AD199" s="242">
        <f t="shared" si="159"/>
        <v>7</v>
      </c>
      <c r="AE199" s="261" t="e">
        <f t="shared" si="128"/>
        <v>#N/A</v>
      </c>
      <c r="AF199" s="264" t="e">
        <f t="shared" si="160"/>
        <v>#N/A</v>
      </c>
      <c r="AG199" s="264" t="e">
        <f t="shared" si="161"/>
        <v>#N/A</v>
      </c>
      <c r="AH199" s="263" t="e">
        <f t="shared" si="129"/>
        <v>#N/A</v>
      </c>
      <c r="AI199" s="226">
        <f t="shared" si="162"/>
        <v>7</v>
      </c>
      <c r="AJ199" s="264" t="e">
        <f t="shared" si="130"/>
        <v>#N/A</v>
      </c>
      <c r="AK199" s="264" t="e">
        <f t="shared" si="163"/>
        <v>#N/A</v>
      </c>
      <c r="AL199" s="226" t="e">
        <f t="shared" si="131"/>
        <v>#N/A</v>
      </c>
      <c r="AM199" s="265" t="e">
        <f t="shared" si="164"/>
        <v>#N/A</v>
      </c>
      <c r="AN199" s="266" t="e">
        <f t="shared" si="132"/>
        <v>#N/A</v>
      </c>
      <c r="AO199" s="227" t="e">
        <f t="shared" si="133"/>
        <v>#N/A</v>
      </c>
      <c r="AP199" s="284">
        <f t="shared" si="165"/>
        <v>7</v>
      </c>
      <c r="AQ199" s="285" t="e">
        <f t="shared" si="134"/>
        <v>#N/A</v>
      </c>
      <c r="AR199" s="266" t="e">
        <f t="shared" si="166"/>
        <v>#N/A</v>
      </c>
      <c r="AS199" s="270" t="e">
        <f t="shared" si="135"/>
        <v>#N/A</v>
      </c>
      <c r="AT199" s="271">
        <f t="shared" si="167"/>
        <v>7</v>
      </c>
      <c r="AU199" s="272" t="e">
        <f t="shared" si="168"/>
        <v>#N/A</v>
      </c>
      <c r="AV199" s="273" t="e">
        <f t="shared" si="169"/>
        <v>#N/A</v>
      </c>
      <c r="AW199" s="274" t="e">
        <f t="shared" si="136"/>
        <v>#N/A</v>
      </c>
      <c r="AX199" s="232">
        <f t="shared" si="170"/>
        <v>7</v>
      </c>
      <c r="AY199" s="273" t="e">
        <f t="shared" si="137"/>
        <v>#N/A</v>
      </c>
      <c r="AZ199" s="232" t="e">
        <f t="shared" si="171"/>
        <v>#N/A</v>
      </c>
      <c r="BA199" s="232" t="e">
        <f t="shared" si="138"/>
        <v>#N/A</v>
      </c>
      <c r="BB199" s="275">
        <f t="shared" si="172"/>
        <v>7</v>
      </c>
      <c r="BC199" s="276" t="e">
        <f t="shared" si="173"/>
        <v>#N/A</v>
      </c>
      <c r="BD199" s="277" t="e">
        <f t="shared" si="174"/>
        <v>#N/A</v>
      </c>
      <c r="BE199" s="250" t="e">
        <f t="shared" si="139"/>
        <v>#N/A</v>
      </c>
      <c r="BF199" s="247">
        <f t="shared" si="175"/>
        <v>7</v>
      </c>
      <c r="BG199" s="276" t="e">
        <f t="shared" si="176"/>
        <v>#N/A</v>
      </c>
      <c r="BH199" s="277" t="e">
        <f t="shared" si="177"/>
        <v>#N/A</v>
      </c>
      <c r="BI199" s="250" t="e">
        <f t="shared" si="140"/>
        <v>#N/A</v>
      </c>
      <c r="BJ199" s="251">
        <f t="shared" si="178"/>
        <v>7</v>
      </c>
      <c r="BK199" s="278" t="e">
        <f t="shared" si="179"/>
        <v>#N/A</v>
      </c>
      <c r="BL199" s="278" t="e">
        <f t="shared" si="180"/>
        <v>#N/A</v>
      </c>
      <c r="BM199" s="279" t="e">
        <f t="shared" si="141"/>
        <v>#N/A</v>
      </c>
      <c r="BN199" s="280">
        <f t="shared" si="181"/>
        <v>7</v>
      </c>
      <c r="BO199" s="281" t="e">
        <f t="shared" si="182"/>
        <v>#N/A</v>
      </c>
      <c r="BP199" s="281" t="e">
        <f t="shared" si="183"/>
        <v>#N/A</v>
      </c>
      <c r="BQ199" s="279" t="e">
        <f t="shared" si="142"/>
        <v>#N/A</v>
      </c>
      <c r="BR199" s="282" t="e">
        <f t="shared" si="143"/>
        <v>#N/A</v>
      </c>
      <c r="BS199" s="217" t="e">
        <f>VLOOKUP($B199,SDR24_STOCK_BY_LA!$A$2:$C$11878,3,0)</f>
        <v>#N/A</v>
      </c>
      <c r="BT199" s="217" t="str">
        <f t="shared" si="184"/>
        <v/>
      </c>
    </row>
    <row r="200" spans="1:72" x14ac:dyDescent="0.2">
      <c r="A200" s="217" t="str">
        <f t="shared" si="185"/>
        <v/>
      </c>
      <c r="B200" s="217" t="str">
        <f t="shared" si="186"/>
        <v/>
      </c>
      <c r="C200" s="283" t="str">
        <f t="shared" si="144"/>
        <v/>
      </c>
      <c r="D200" s="256" t="str">
        <f>IF(B200="","",IF(totals!$Q$3=0,IFERROR(IF(AD200=2,"0",AE200),""),"-"))</f>
        <v/>
      </c>
      <c r="E200" s="258" t="str">
        <f t="shared" si="145"/>
        <v/>
      </c>
      <c r="F200" s="259" t="str">
        <f t="shared" si="146"/>
        <v/>
      </c>
      <c r="G200" s="259" t="str">
        <f t="shared" si="147"/>
        <v/>
      </c>
      <c r="H200" s="256" t="str">
        <f t="shared" si="125"/>
        <v/>
      </c>
      <c r="I200" s="259" t="str">
        <f t="shared" si="148"/>
        <v/>
      </c>
      <c r="J200" s="259" t="str">
        <f t="shared" si="149"/>
        <v/>
      </c>
      <c r="K200" s="256" t="str">
        <f t="shared" si="126"/>
        <v/>
      </c>
      <c r="L200" s="259" t="str">
        <f t="shared" si="127"/>
        <v/>
      </c>
      <c r="M200" s="259" t="str">
        <f t="shared" si="150"/>
        <v/>
      </c>
      <c r="N200" s="256" t="str">
        <f t="shared" si="151"/>
        <v/>
      </c>
      <c r="O200" s="259" t="str">
        <f t="shared" si="152"/>
        <v/>
      </c>
      <c r="P200" s="259" t="str">
        <f t="shared" si="153"/>
        <v/>
      </c>
      <c r="Q200" s="256" t="str">
        <f t="shared" si="154"/>
        <v/>
      </c>
      <c r="R200" s="259" t="str">
        <f t="shared" si="155"/>
        <v/>
      </c>
      <c r="S200" s="259" t="str">
        <f t="shared" si="156"/>
        <v/>
      </c>
      <c r="T200" s="256" t="str">
        <f t="shared" si="157"/>
        <v/>
      </c>
      <c r="U200" s="217"/>
      <c r="V200" s="217"/>
      <c r="AB200" s="217" t="e">
        <f>VLOOKUP($B$6,Lookup_Source,193,0)</f>
        <v>#N/A</v>
      </c>
      <c r="AC200" s="241" t="str">
        <f t="shared" si="158"/>
        <v/>
      </c>
      <c r="AD200" s="242">
        <f t="shared" si="159"/>
        <v>7</v>
      </c>
      <c r="AE200" s="261" t="e">
        <f t="shared" si="128"/>
        <v>#N/A</v>
      </c>
      <c r="AF200" s="264" t="e">
        <f t="shared" si="160"/>
        <v>#N/A</v>
      </c>
      <c r="AG200" s="264" t="e">
        <f t="shared" si="161"/>
        <v>#N/A</v>
      </c>
      <c r="AH200" s="263" t="e">
        <f t="shared" si="129"/>
        <v>#N/A</v>
      </c>
      <c r="AI200" s="226">
        <f t="shared" si="162"/>
        <v>7</v>
      </c>
      <c r="AJ200" s="264" t="e">
        <f t="shared" si="130"/>
        <v>#N/A</v>
      </c>
      <c r="AK200" s="264" t="e">
        <f t="shared" si="163"/>
        <v>#N/A</v>
      </c>
      <c r="AL200" s="226" t="e">
        <f t="shared" si="131"/>
        <v>#N/A</v>
      </c>
      <c r="AM200" s="265" t="e">
        <f t="shared" si="164"/>
        <v>#N/A</v>
      </c>
      <c r="AN200" s="266" t="e">
        <f t="shared" si="132"/>
        <v>#N/A</v>
      </c>
      <c r="AO200" s="227" t="e">
        <f t="shared" si="133"/>
        <v>#N/A</v>
      </c>
      <c r="AP200" s="284">
        <f t="shared" si="165"/>
        <v>7</v>
      </c>
      <c r="AQ200" s="285" t="e">
        <f t="shared" si="134"/>
        <v>#N/A</v>
      </c>
      <c r="AR200" s="266" t="e">
        <f t="shared" si="166"/>
        <v>#N/A</v>
      </c>
      <c r="AS200" s="270" t="e">
        <f t="shared" si="135"/>
        <v>#N/A</v>
      </c>
      <c r="AT200" s="271">
        <f t="shared" si="167"/>
        <v>7</v>
      </c>
      <c r="AU200" s="272" t="e">
        <f t="shared" si="168"/>
        <v>#N/A</v>
      </c>
      <c r="AV200" s="273" t="e">
        <f t="shared" si="169"/>
        <v>#N/A</v>
      </c>
      <c r="AW200" s="274" t="e">
        <f t="shared" si="136"/>
        <v>#N/A</v>
      </c>
      <c r="AX200" s="232">
        <f t="shared" si="170"/>
        <v>7</v>
      </c>
      <c r="AY200" s="273" t="e">
        <f t="shared" si="137"/>
        <v>#N/A</v>
      </c>
      <c r="AZ200" s="232" t="e">
        <f t="shared" si="171"/>
        <v>#N/A</v>
      </c>
      <c r="BA200" s="232" t="e">
        <f t="shared" si="138"/>
        <v>#N/A</v>
      </c>
      <c r="BB200" s="275">
        <f t="shared" si="172"/>
        <v>7</v>
      </c>
      <c r="BC200" s="276" t="e">
        <f t="shared" si="173"/>
        <v>#N/A</v>
      </c>
      <c r="BD200" s="277" t="e">
        <f t="shared" si="174"/>
        <v>#N/A</v>
      </c>
      <c r="BE200" s="250" t="e">
        <f t="shared" si="139"/>
        <v>#N/A</v>
      </c>
      <c r="BF200" s="247">
        <f t="shared" si="175"/>
        <v>7</v>
      </c>
      <c r="BG200" s="276" t="e">
        <f t="shared" si="176"/>
        <v>#N/A</v>
      </c>
      <c r="BH200" s="277" t="e">
        <f t="shared" si="177"/>
        <v>#N/A</v>
      </c>
      <c r="BI200" s="250" t="e">
        <f t="shared" si="140"/>
        <v>#N/A</v>
      </c>
      <c r="BJ200" s="251">
        <f t="shared" si="178"/>
        <v>7</v>
      </c>
      <c r="BK200" s="278" t="e">
        <f t="shared" si="179"/>
        <v>#N/A</v>
      </c>
      <c r="BL200" s="278" t="e">
        <f t="shared" si="180"/>
        <v>#N/A</v>
      </c>
      <c r="BM200" s="279" t="e">
        <f t="shared" si="141"/>
        <v>#N/A</v>
      </c>
      <c r="BN200" s="280">
        <f t="shared" si="181"/>
        <v>7</v>
      </c>
      <c r="BO200" s="281" t="e">
        <f t="shared" si="182"/>
        <v>#N/A</v>
      </c>
      <c r="BP200" s="281" t="e">
        <f t="shared" si="183"/>
        <v>#N/A</v>
      </c>
      <c r="BQ200" s="279" t="e">
        <f t="shared" si="142"/>
        <v>#N/A</v>
      </c>
      <c r="BR200" s="282" t="e">
        <f t="shared" si="143"/>
        <v>#N/A</v>
      </c>
      <c r="BS200" s="217" t="e">
        <f>VLOOKUP($B200,SDR24_STOCK_BY_LA!$A$2:$C$11878,3,0)</f>
        <v>#N/A</v>
      </c>
      <c r="BT200" s="217" t="str">
        <f t="shared" si="184"/>
        <v/>
      </c>
    </row>
    <row r="201" spans="1:72" x14ac:dyDescent="0.2">
      <c r="A201" s="256" t="str">
        <f t="shared" si="185"/>
        <v/>
      </c>
      <c r="B201" s="217" t="str">
        <f t="shared" si="186"/>
        <v/>
      </c>
      <c r="C201" s="257" t="str">
        <f t="shared" si="144"/>
        <v/>
      </c>
      <c r="D201" s="256" t="str">
        <f>IF(B201="","",IF(totals!$Q$3=0,IFERROR(IF(AD201=2,"0",AE201),""),"-"))</f>
        <v/>
      </c>
      <c r="E201" s="258" t="str">
        <f t="shared" si="145"/>
        <v/>
      </c>
      <c r="F201" s="259" t="str">
        <f t="shared" si="146"/>
        <v/>
      </c>
      <c r="G201" s="259" t="str">
        <f t="shared" si="147"/>
        <v/>
      </c>
      <c r="H201" s="256" t="str">
        <f t="shared" ref="H201:H264" si="187">IFERROR(AO201,"")</f>
        <v/>
      </c>
      <c r="I201" s="259" t="str">
        <f t="shared" si="148"/>
        <v/>
      </c>
      <c r="J201" s="259" t="str">
        <f t="shared" si="149"/>
        <v/>
      </c>
      <c r="K201" s="256" t="str">
        <f t="shared" ref="K201:K264" si="188">IFERROR(AW201,"")</f>
        <v/>
      </c>
      <c r="L201" s="259" t="str">
        <f t="shared" ref="L201:L264" si="189">IFERROR(IF(AT201=2,"-",AU201),"")</f>
        <v/>
      </c>
      <c r="M201" s="259" t="str">
        <f t="shared" si="150"/>
        <v/>
      </c>
      <c r="N201" s="256" t="str">
        <f t="shared" si="151"/>
        <v/>
      </c>
      <c r="O201" s="259" t="str">
        <f t="shared" si="152"/>
        <v/>
      </c>
      <c r="P201" s="259" t="str">
        <f t="shared" si="153"/>
        <v/>
      </c>
      <c r="Q201" s="256" t="str">
        <f t="shared" si="154"/>
        <v/>
      </c>
      <c r="R201" s="259" t="str">
        <f t="shared" si="155"/>
        <v/>
      </c>
      <c r="S201" s="259" t="str">
        <f t="shared" si="156"/>
        <v/>
      </c>
      <c r="T201" s="256" t="str">
        <f t="shared" si="157"/>
        <v/>
      </c>
      <c r="U201" s="217"/>
      <c r="V201" s="217"/>
      <c r="AB201" s="257" t="e">
        <f>VLOOKUP($B$6,Lookup_Source,194,0)</f>
        <v>#N/A</v>
      </c>
      <c r="AC201" s="241" t="str">
        <f t="shared" si="158"/>
        <v/>
      </c>
      <c r="AD201" s="242">
        <f t="shared" si="159"/>
        <v>7</v>
      </c>
      <c r="AE201" s="261" t="e">
        <f t="shared" ref="AE201:AE264" si="190">SUM(VLOOKUP($B201,Totals,8,0)-1)</f>
        <v>#N/A</v>
      </c>
      <c r="AF201" s="264" t="e">
        <f t="shared" si="160"/>
        <v>#N/A</v>
      </c>
      <c r="AG201" s="264" t="e">
        <f t="shared" si="161"/>
        <v>#N/A</v>
      </c>
      <c r="AH201" s="263" t="e">
        <f t="shared" ref="AH201:AH264" si="191">VLOOKUP($BT201,Stock_By_LA,2,0)</f>
        <v>#N/A</v>
      </c>
      <c r="AI201" s="226">
        <f t="shared" si="162"/>
        <v>7</v>
      </c>
      <c r="AJ201" s="264" t="e">
        <f t="shared" ref="AJ201:AJ264" si="192">IF(AK201&gt;0,AK201,"-")</f>
        <v>#N/A</v>
      </c>
      <c r="AK201" s="264" t="e">
        <f t="shared" si="163"/>
        <v>#N/A</v>
      </c>
      <c r="AL201" s="226" t="e">
        <f t="shared" ref="AL201:AL264" si="193">VLOOKUP($B201,Totals,7,0)</f>
        <v>#N/A</v>
      </c>
      <c r="AM201" s="265" t="e">
        <f t="shared" si="164"/>
        <v>#N/A</v>
      </c>
      <c r="AN201" s="266" t="e">
        <f t="shared" ref="AN201:AN264" si="194">$AO201/$AO$8</f>
        <v>#N/A</v>
      </c>
      <c r="AO201" s="227" t="e">
        <f t="shared" ref="AO201:AO264" si="195">VLOOKUP($BT201,Stock_By_LA,3,0)</f>
        <v>#N/A</v>
      </c>
      <c r="AP201" s="284">
        <f t="shared" si="165"/>
        <v>7</v>
      </c>
      <c r="AQ201" s="285" t="e">
        <f t="shared" ref="AQ201:AQ264" si="196">IF(AR201&gt;0,AR201,"-")</f>
        <v>#N/A</v>
      </c>
      <c r="AR201" s="266" t="e">
        <f t="shared" si="166"/>
        <v>#N/A</v>
      </c>
      <c r="AS201" s="270" t="e">
        <f t="shared" ref="AS201:AS264" si="197">VLOOKUP($B201,Totals,2,0)</f>
        <v>#N/A</v>
      </c>
      <c r="AT201" s="271">
        <f t="shared" si="167"/>
        <v>7</v>
      </c>
      <c r="AU201" s="272" t="e">
        <f t="shared" si="168"/>
        <v>#N/A</v>
      </c>
      <c r="AV201" s="273" t="e">
        <f t="shared" si="169"/>
        <v>#N/A</v>
      </c>
      <c r="AW201" s="274" t="e">
        <f t="shared" ref="AW201:AW264" si="198">VLOOKUP($BT201,Stock_By_LA,4,0)</f>
        <v>#N/A</v>
      </c>
      <c r="AX201" s="232">
        <f t="shared" si="170"/>
        <v>7</v>
      </c>
      <c r="AY201" s="273" t="e">
        <f t="shared" ref="AY201:AY264" si="199">IF(AZ201&gt;0,AZ201,"-")</f>
        <v>#N/A</v>
      </c>
      <c r="AZ201" s="232" t="e">
        <f t="shared" si="171"/>
        <v>#N/A</v>
      </c>
      <c r="BA201" s="232" t="e">
        <f t="shared" ref="BA201:BA264" si="200">VLOOKUP($B201,Totals,3,0)</f>
        <v>#N/A</v>
      </c>
      <c r="BB201" s="275">
        <f t="shared" si="172"/>
        <v>7</v>
      </c>
      <c r="BC201" s="276" t="e">
        <f t="shared" si="173"/>
        <v>#N/A</v>
      </c>
      <c r="BD201" s="277" t="e">
        <f t="shared" si="174"/>
        <v>#N/A</v>
      </c>
      <c r="BE201" s="250" t="e">
        <f t="shared" ref="BE201:BE264" si="201">VLOOKUP($BT201,Stock_By_LA,5,0)</f>
        <v>#N/A</v>
      </c>
      <c r="BF201" s="247">
        <f t="shared" si="175"/>
        <v>7</v>
      </c>
      <c r="BG201" s="276" t="e">
        <f t="shared" si="176"/>
        <v>#N/A</v>
      </c>
      <c r="BH201" s="277" t="e">
        <f t="shared" si="177"/>
        <v>#N/A</v>
      </c>
      <c r="BI201" s="250" t="e">
        <f t="shared" ref="BI201:BI264" si="202">VLOOKUP($B201,Totals,4,0)</f>
        <v>#N/A</v>
      </c>
      <c r="BJ201" s="251">
        <f t="shared" si="178"/>
        <v>7</v>
      </c>
      <c r="BK201" s="278" t="e">
        <f t="shared" si="179"/>
        <v>#N/A</v>
      </c>
      <c r="BL201" s="278" t="e">
        <f t="shared" si="180"/>
        <v>#N/A</v>
      </c>
      <c r="BM201" s="279" t="e">
        <f t="shared" ref="BM201:BM264" si="203">VLOOKUP($BT201,Stock_By_LA,6,0)</f>
        <v>#N/A</v>
      </c>
      <c r="BN201" s="280">
        <f t="shared" si="181"/>
        <v>7</v>
      </c>
      <c r="BO201" s="281" t="e">
        <f t="shared" si="182"/>
        <v>#N/A</v>
      </c>
      <c r="BP201" s="281" t="e">
        <f t="shared" si="183"/>
        <v>#N/A</v>
      </c>
      <c r="BQ201" s="279" t="e">
        <f t="shared" ref="BQ201:BQ264" si="204">VLOOKUP($B201,Totals,5,0)</f>
        <v>#N/A</v>
      </c>
      <c r="BR201" s="282" t="e">
        <f t="shared" ref="BR201:BR264" si="205">VLOOKUP($BT201,Stock_By_LA,8,0)</f>
        <v>#N/A</v>
      </c>
      <c r="BS201" s="217" t="e">
        <f>VLOOKUP($B201,SDR24_STOCK_BY_LA!$A$2:$C$11878,3,0)</f>
        <v>#N/A</v>
      </c>
      <c r="BT201" s="217" t="str">
        <f t="shared" si="184"/>
        <v/>
      </c>
    </row>
    <row r="202" spans="1:72" x14ac:dyDescent="0.2">
      <c r="A202" s="217" t="str">
        <f t="shared" si="185"/>
        <v/>
      </c>
      <c r="B202" s="217" t="str">
        <f t="shared" si="186"/>
        <v/>
      </c>
      <c r="C202" s="283" t="str">
        <f t="shared" ref="C202:C265" si="206">IFERROR(BS202,"")</f>
        <v/>
      </c>
      <c r="D202" s="256" t="str">
        <f>IF(B202="","",IF(totals!$Q$3=0,IFERROR(IF(AD202=2,"0",AE202),""),"-"))</f>
        <v/>
      </c>
      <c r="E202" s="258" t="str">
        <f t="shared" ref="E202:E265" si="207">IFERROR(AH202,"")</f>
        <v/>
      </c>
      <c r="F202" s="259" t="str">
        <f t="shared" ref="F202:F265" si="208">IFERROR(AF202,"")</f>
        <v/>
      </c>
      <c r="G202" s="259" t="str">
        <f t="shared" ref="G202:G265" si="209">IFERROR(IF(AI202=2,"-",AJ202),"")</f>
        <v/>
      </c>
      <c r="H202" s="256" t="str">
        <f t="shared" si="187"/>
        <v/>
      </c>
      <c r="I202" s="259" t="str">
        <f t="shared" ref="I202:I265" si="210">IFERROR(AM202,"")</f>
        <v/>
      </c>
      <c r="J202" s="259" t="str">
        <f t="shared" ref="J202:J265" si="211">IFERROR(IF(AP202=2,"-",AQ202),"")</f>
        <v/>
      </c>
      <c r="K202" s="256" t="str">
        <f t="shared" si="188"/>
        <v/>
      </c>
      <c r="L202" s="259" t="str">
        <f t="shared" si="189"/>
        <v/>
      </c>
      <c r="M202" s="259" t="str">
        <f t="shared" ref="M202:M265" si="212">IFERROR(IF(AX202=2,"-",AY202),"")</f>
        <v/>
      </c>
      <c r="N202" s="256" t="str">
        <f t="shared" ref="N202:N265" si="213">IFERROR(BE202,"")</f>
        <v/>
      </c>
      <c r="O202" s="259" t="str">
        <f t="shared" ref="O202:O265" si="214">IFERROR(IF(BB202=2,"-",BC202),"")</f>
        <v/>
      </c>
      <c r="P202" s="259" t="str">
        <f t="shared" ref="P202:P265" si="215">IFERROR(IF(BF202=2,"-",BG202),"")</f>
        <v/>
      </c>
      <c r="Q202" s="256" t="str">
        <f t="shared" ref="Q202:Q265" si="216">IFERROR(BM202,"")</f>
        <v/>
      </c>
      <c r="R202" s="259" t="str">
        <f t="shared" ref="R202:R265" si="217">IFERROR(IF(BJ202=2,"-",BK202),"")</f>
        <v/>
      </c>
      <c r="S202" s="259" t="str">
        <f t="shared" ref="S202:S265" si="218">IFERROR(IF(BN202=2,"-",BO202),"")</f>
        <v/>
      </c>
      <c r="T202" s="256" t="str">
        <f t="shared" ref="T202:T265" si="219">IFERROR(BR202,"")</f>
        <v/>
      </c>
      <c r="U202" s="217"/>
      <c r="V202" s="217"/>
      <c r="AB202" s="217" t="e">
        <f>VLOOKUP($B$6,Lookup_Source,195,0)</f>
        <v>#N/A</v>
      </c>
      <c r="AC202" s="241" t="str">
        <f t="shared" ref="AC202:AC265" si="220">IF(ISNUMBER(SEARCH("*",B202)),1,"")</f>
        <v/>
      </c>
      <c r="AD202" s="242">
        <f t="shared" ref="AD202:AD265" si="221">IFERROR(ERROR.TYPE(AE202),0)</f>
        <v>7</v>
      </c>
      <c r="AE202" s="261" t="e">
        <f t="shared" si="190"/>
        <v>#N/A</v>
      </c>
      <c r="AF202" s="264" t="e">
        <f t="shared" ref="AF202:AF265" si="222">IF(AG202&gt;0,AG202,"-")</f>
        <v>#N/A</v>
      </c>
      <c r="AG202" s="264" t="e">
        <f t="shared" ref="AG202:AG265" si="223">$AH202/$AH$8</f>
        <v>#N/A</v>
      </c>
      <c r="AH202" s="263" t="e">
        <f t="shared" si="191"/>
        <v>#N/A</v>
      </c>
      <c r="AI202" s="226">
        <f t="shared" ref="AI202:AI265" si="224">IFERROR(ERROR.TYPE(AJ202),0)</f>
        <v>7</v>
      </c>
      <c r="AJ202" s="264" t="e">
        <f t="shared" si="192"/>
        <v>#N/A</v>
      </c>
      <c r="AK202" s="264" t="e">
        <f t="shared" ref="AK202:AK265" si="225">$AH202/$AL202</f>
        <v>#N/A</v>
      </c>
      <c r="AL202" s="226" t="e">
        <f t="shared" si="193"/>
        <v>#N/A</v>
      </c>
      <c r="AM202" s="265" t="e">
        <f t="shared" ref="AM202:AM265" si="226">IF(AN202&gt;0,AN202,"-")</f>
        <v>#N/A</v>
      </c>
      <c r="AN202" s="266" t="e">
        <f t="shared" si="194"/>
        <v>#N/A</v>
      </c>
      <c r="AO202" s="227" t="e">
        <f t="shared" si="195"/>
        <v>#N/A</v>
      </c>
      <c r="AP202" s="284">
        <f t="shared" ref="AP202:AP265" si="227">IFERROR(ERROR.TYPE(AQ202),0)</f>
        <v>7</v>
      </c>
      <c r="AQ202" s="285" t="e">
        <f t="shared" si="196"/>
        <v>#N/A</v>
      </c>
      <c r="AR202" s="266" t="e">
        <f t="shared" ref="AR202:AR265" si="228">$AO202/$AS202</f>
        <v>#N/A</v>
      </c>
      <c r="AS202" s="270" t="e">
        <f t="shared" si="197"/>
        <v>#N/A</v>
      </c>
      <c r="AT202" s="271">
        <f t="shared" ref="AT202:AT265" si="229">IFERROR(ERROR.TYPE(AU202),0)</f>
        <v>7</v>
      </c>
      <c r="AU202" s="272" t="e">
        <f t="shared" ref="AU202:AU265" si="230">IF(AV202&gt;0,AV202,"-")</f>
        <v>#N/A</v>
      </c>
      <c r="AV202" s="273" t="e">
        <f t="shared" ref="AV202:AV265" si="231">AW202/$AW$8</f>
        <v>#N/A</v>
      </c>
      <c r="AW202" s="274" t="e">
        <f t="shared" si="198"/>
        <v>#N/A</v>
      </c>
      <c r="AX202" s="232">
        <f t="shared" ref="AX202:AX265" si="232">IFERROR(ERROR.TYPE(AY202),0)</f>
        <v>7</v>
      </c>
      <c r="AY202" s="273" t="e">
        <f t="shared" si="199"/>
        <v>#N/A</v>
      </c>
      <c r="AZ202" s="232" t="e">
        <f t="shared" ref="AZ202:AZ265" si="233">$AW202/$BA202</f>
        <v>#N/A</v>
      </c>
      <c r="BA202" s="232" t="e">
        <f t="shared" si="200"/>
        <v>#N/A</v>
      </c>
      <c r="BB202" s="275">
        <f t="shared" ref="BB202:BB265" si="234">IFERROR(ERROR.TYPE(BC202),0)</f>
        <v>7</v>
      </c>
      <c r="BC202" s="276" t="e">
        <f t="shared" ref="BC202:BC265" si="235">IF(BD202&gt;0,BD202,"-")</f>
        <v>#N/A</v>
      </c>
      <c r="BD202" s="277" t="e">
        <f t="shared" ref="BD202:BD265" si="236">$BE202/$BE$8</f>
        <v>#N/A</v>
      </c>
      <c r="BE202" s="250" t="e">
        <f t="shared" si="201"/>
        <v>#N/A</v>
      </c>
      <c r="BF202" s="247">
        <f t="shared" ref="BF202:BF265" si="237">IFERROR(ERROR.TYPE(BG202),0)</f>
        <v>7</v>
      </c>
      <c r="BG202" s="276" t="e">
        <f t="shared" ref="BG202:BG265" si="238">IF(BH202&gt;0,BH202,"-")</f>
        <v>#N/A</v>
      </c>
      <c r="BH202" s="277" t="e">
        <f t="shared" ref="BH202:BH265" si="239">$BE202/$BI202</f>
        <v>#N/A</v>
      </c>
      <c r="BI202" s="250" t="e">
        <f t="shared" si="202"/>
        <v>#N/A</v>
      </c>
      <c r="BJ202" s="251">
        <f t="shared" ref="BJ202:BJ265" si="240">IFERROR(ERROR.TYPE(BK202),0)</f>
        <v>7</v>
      </c>
      <c r="BK202" s="278" t="e">
        <f t="shared" ref="BK202:BK265" si="241">IF(BL202&gt;0,BL202,"-")</f>
        <v>#N/A</v>
      </c>
      <c r="BL202" s="278" t="e">
        <f t="shared" ref="BL202:BL265" si="242">$BM202/$BM$8</f>
        <v>#N/A</v>
      </c>
      <c r="BM202" s="279" t="e">
        <f t="shared" si="203"/>
        <v>#N/A</v>
      </c>
      <c r="BN202" s="280">
        <f t="shared" ref="BN202:BN265" si="243">IFERROR(ERROR.TYPE(BO202),0)</f>
        <v>7</v>
      </c>
      <c r="BO202" s="281" t="e">
        <f t="shared" ref="BO202:BO265" si="244">IF(BP202&gt;0,BP202,"-")</f>
        <v>#N/A</v>
      </c>
      <c r="BP202" s="281" t="e">
        <f t="shared" ref="BP202:BP265" si="245">$BM202/$BQ202</f>
        <v>#N/A</v>
      </c>
      <c r="BQ202" s="279" t="e">
        <f t="shared" si="204"/>
        <v>#N/A</v>
      </c>
      <c r="BR202" s="282" t="e">
        <f t="shared" si="205"/>
        <v>#N/A</v>
      </c>
      <c r="BS202" s="217" t="e">
        <f>VLOOKUP($B202,SDR24_STOCK_BY_LA!$A$2:$C$11878,3,0)</f>
        <v>#N/A</v>
      </c>
      <c r="BT202" s="217" t="str">
        <f t="shared" ref="BT202:BT265" si="246">$B$6&amp;$B202</f>
        <v/>
      </c>
    </row>
    <row r="203" spans="1:72" x14ac:dyDescent="0.2">
      <c r="A203" s="256" t="str">
        <f t="shared" ref="A203:A266" si="247">IF(AC203=1,A202+1,"")</f>
        <v/>
      </c>
      <c r="B203" s="217" t="str">
        <f t="shared" si="186"/>
        <v/>
      </c>
      <c r="C203" s="257" t="str">
        <f t="shared" si="206"/>
        <v/>
      </c>
      <c r="D203" s="256" t="str">
        <f>IF(B203="","",IF(totals!$Q$3=0,IFERROR(IF(AD203=2,"0",AE203),""),"-"))</f>
        <v/>
      </c>
      <c r="E203" s="258" t="str">
        <f t="shared" si="207"/>
        <v/>
      </c>
      <c r="F203" s="259" t="str">
        <f t="shared" si="208"/>
        <v/>
      </c>
      <c r="G203" s="259" t="str">
        <f t="shared" si="209"/>
        <v/>
      </c>
      <c r="H203" s="256" t="str">
        <f t="shared" si="187"/>
        <v/>
      </c>
      <c r="I203" s="259" t="str">
        <f t="shared" si="210"/>
        <v/>
      </c>
      <c r="J203" s="259" t="str">
        <f t="shared" si="211"/>
        <v/>
      </c>
      <c r="K203" s="256" t="str">
        <f t="shared" si="188"/>
        <v/>
      </c>
      <c r="L203" s="259" t="str">
        <f t="shared" si="189"/>
        <v/>
      </c>
      <c r="M203" s="259" t="str">
        <f t="shared" si="212"/>
        <v/>
      </c>
      <c r="N203" s="256" t="str">
        <f t="shared" si="213"/>
        <v/>
      </c>
      <c r="O203" s="259" t="str">
        <f t="shared" si="214"/>
        <v/>
      </c>
      <c r="P203" s="259" t="str">
        <f t="shared" si="215"/>
        <v/>
      </c>
      <c r="Q203" s="256" t="str">
        <f t="shared" si="216"/>
        <v/>
      </c>
      <c r="R203" s="259" t="str">
        <f t="shared" si="217"/>
        <v/>
      </c>
      <c r="S203" s="259" t="str">
        <f t="shared" si="218"/>
        <v/>
      </c>
      <c r="T203" s="256" t="str">
        <f t="shared" si="219"/>
        <v/>
      </c>
      <c r="U203" s="217"/>
      <c r="V203" s="217"/>
      <c r="AB203" s="257" t="e">
        <f>VLOOKUP($B$6,Lookup_Source,196,0)</f>
        <v>#N/A</v>
      </c>
      <c r="AC203" s="241" t="str">
        <f t="shared" si="220"/>
        <v/>
      </c>
      <c r="AD203" s="242">
        <f t="shared" si="221"/>
        <v>7</v>
      </c>
      <c r="AE203" s="261" t="e">
        <f t="shared" si="190"/>
        <v>#N/A</v>
      </c>
      <c r="AF203" s="264" t="e">
        <f t="shared" si="222"/>
        <v>#N/A</v>
      </c>
      <c r="AG203" s="264" t="e">
        <f t="shared" si="223"/>
        <v>#N/A</v>
      </c>
      <c r="AH203" s="263" t="e">
        <f t="shared" si="191"/>
        <v>#N/A</v>
      </c>
      <c r="AI203" s="226">
        <f t="shared" si="224"/>
        <v>7</v>
      </c>
      <c r="AJ203" s="264" t="e">
        <f t="shared" si="192"/>
        <v>#N/A</v>
      </c>
      <c r="AK203" s="264" t="e">
        <f t="shared" si="225"/>
        <v>#N/A</v>
      </c>
      <c r="AL203" s="226" t="e">
        <f t="shared" si="193"/>
        <v>#N/A</v>
      </c>
      <c r="AM203" s="265" t="e">
        <f t="shared" si="226"/>
        <v>#N/A</v>
      </c>
      <c r="AN203" s="266" t="e">
        <f t="shared" si="194"/>
        <v>#N/A</v>
      </c>
      <c r="AO203" s="227" t="e">
        <f t="shared" si="195"/>
        <v>#N/A</v>
      </c>
      <c r="AP203" s="284">
        <f t="shared" si="227"/>
        <v>7</v>
      </c>
      <c r="AQ203" s="285" t="e">
        <f t="shared" si="196"/>
        <v>#N/A</v>
      </c>
      <c r="AR203" s="266" t="e">
        <f t="shared" si="228"/>
        <v>#N/A</v>
      </c>
      <c r="AS203" s="270" t="e">
        <f t="shared" si="197"/>
        <v>#N/A</v>
      </c>
      <c r="AT203" s="271">
        <f t="shared" si="229"/>
        <v>7</v>
      </c>
      <c r="AU203" s="272" t="e">
        <f t="shared" si="230"/>
        <v>#N/A</v>
      </c>
      <c r="AV203" s="273" t="e">
        <f t="shared" si="231"/>
        <v>#N/A</v>
      </c>
      <c r="AW203" s="274" t="e">
        <f t="shared" si="198"/>
        <v>#N/A</v>
      </c>
      <c r="AX203" s="232">
        <f t="shared" si="232"/>
        <v>7</v>
      </c>
      <c r="AY203" s="273" t="e">
        <f t="shared" si="199"/>
        <v>#N/A</v>
      </c>
      <c r="AZ203" s="232" t="e">
        <f t="shared" si="233"/>
        <v>#N/A</v>
      </c>
      <c r="BA203" s="232" t="e">
        <f t="shared" si="200"/>
        <v>#N/A</v>
      </c>
      <c r="BB203" s="275">
        <f t="shared" si="234"/>
        <v>7</v>
      </c>
      <c r="BC203" s="276" t="e">
        <f t="shared" si="235"/>
        <v>#N/A</v>
      </c>
      <c r="BD203" s="277" t="e">
        <f t="shared" si="236"/>
        <v>#N/A</v>
      </c>
      <c r="BE203" s="250" t="e">
        <f t="shared" si="201"/>
        <v>#N/A</v>
      </c>
      <c r="BF203" s="247">
        <f t="shared" si="237"/>
        <v>7</v>
      </c>
      <c r="BG203" s="276" t="e">
        <f t="shared" si="238"/>
        <v>#N/A</v>
      </c>
      <c r="BH203" s="277" t="e">
        <f t="shared" si="239"/>
        <v>#N/A</v>
      </c>
      <c r="BI203" s="250" t="e">
        <f t="shared" si="202"/>
        <v>#N/A</v>
      </c>
      <c r="BJ203" s="251">
        <f t="shared" si="240"/>
        <v>7</v>
      </c>
      <c r="BK203" s="278" t="e">
        <f t="shared" si="241"/>
        <v>#N/A</v>
      </c>
      <c r="BL203" s="278" t="e">
        <f t="shared" si="242"/>
        <v>#N/A</v>
      </c>
      <c r="BM203" s="279" t="e">
        <f t="shared" si="203"/>
        <v>#N/A</v>
      </c>
      <c r="BN203" s="280">
        <f t="shared" si="243"/>
        <v>7</v>
      </c>
      <c r="BO203" s="281" t="e">
        <f t="shared" si="244"/>
        <v>#N/A</v>
      </c>
      <c r="BP203" s="281" t="e">
        <f t="shared" si="245"/>
        <v>#N/A</v>
      </c>
      <c r="BQ203" s="279" t="e">
        <f t="shared" si="204"/>
        <v>#N/A</v>
      </c>
      <c r="BR203" s="282" t="e">
        <f t="shared" si="205"/>
        <v>#N/A</v>
      </c>
      <c r="BS203" s="217" t="e">
        <f>VLOOKUP($B203,SDR24_STOCK_BY_LA!$A$2:$C$11878,3,0)</f>
        <v>#N/A</v>
      </c>
      <c r="BT203" s="217" t="str">
        <f t="shared" si="246"/>
        <v/>
      </c>
    </row>
    <row r="204" spans="1:72" x14ac:dyDescent="0.2">
      <c r="A204" s="217" t="str">
        <f t="shared" si="247"/>
        <v/>
      </c>
      <c r="B204" s="217" t="str">
        <f t="shared" si="186"/>
        <v/>
      </c>
      <c r="C204" s="283" t="str">
        <f t="shared" si="206"/>
        <v/>
      </c>
      <c r="D204" s="256" t="str">
        <f>IF(B204="","",IF(totals!$Q$3=0,IFERROR(IF(AD204=2,"0",AE204),""),"-"))</f>
        <v/>
      </c>
      <c r="E204" s="258" t="str">
        <f t="shared" si="207"/>
        <v/>
      </c>
      <c r="F204" s="259" t="str">
        <f t="shared" si="208"/>
        <v/>
      </c>
      <c r="G204" s="259" t="str">
        <f t="shared" si="209"/>
        <v/>
      </c>
      <c r="H204" s="256" t="str">
        <f t="shared" si="187"/>
        <v/>
      </c>
      <c r="I204" s="259" t="str">
        <f t="shared" si="210"/>
        <v/>
      </c>
      <c r="J204" s="259" t="str">
        <f t="shared" si="211"/>
        <v/>
      </c>
      <c r="K204" s="256" t="str">
        <f t="shared" si="188"/>
        <v/>
      </c>
      <c r="L204" s="259" t="str">
        <f t="shared" si="189"/>
        <v/>
      </c>
      <c r="M204" s="259" t="str">
        <f t="shared" si="212"/>
        <v/>
      </c>
      <c r="N204" s="256" t="str">
        <f t="shared" si="213"/>
        <v/>
      </c>
      <c r="O204" s="259" t="str">
        <f t="shared" si="214"/>
        <v/>
      </c>
      <c r="P204" s="259" t="str">
        <f t="shared" si="215"/>
        <v/>
      </c>
      <c r="Q204" s="256" t="str">
        <f t="shared" si="216"/>
        <v/>
      </c>
      <c r="R204" s="259" t="str">
        <f t="shared" si="217"/>
        <v/>
      </c>
      <c r="S204" s="259" t="str">
        <f t="shared" si="218"/>
        <v/>
      </c>
      <c r="T204" s="256" t="str">
        <f t="shared" si="219"/>
        <v/>
      </c>
      <c r="U204" s="217"/>
      <c r="V204" s="217"/>
      <c r="AB204" s="217" t="e">
        <f>VLOOKUP($B$6,Lookup_Source,197,0)</f>
        <v>#N/A</v>
      </c>
      <c r="AC204" s="241" t="str">
        <f t="shared" si="220"/>
        <v/>
      </c>
      <c r="AD204" s="242">
        <f t="shared" si="221"/>
        <v>7</v>
      </c>
      <c r="AE204" s="261" t="e">
        <f t="shared" si="190"/>
        <v>#N/A</v>
      </c>
      <c r="AF204" s="264" t="e">
        <f t="shared" si="222"/>
        <v>#N/A</v>
      </c>
      <c r="AG204" s="264" t="e">
        <f t="shared" si="223"/>
        <v>#N/A</v>
      </c>
      <c r="AH204" s="263" t="e">
        <f t="shared" si="191"/>
        <v>#N/A</v>
      </c>
      <c r="AI204" s="226">
        <f t="shared" si="224"/>
        <v>7</v>
      </c>
      <c r="AJ204" s="264" t="e">
        <f t="shared" si="192"/>
        <v>#N/A</v>
      </c>
      <c r="AK204" s="264" t="e">
        <f t="shared" si="225"/>
        <v>#N/A</v>
      </c>
      <c r="AL204" s="226" t="e">
        <f t="shared" si="193"/>
        <v>#N/A</v>
      </c>
      <c r="AM204" s="265" t="e">
        <f t="shared" si="226"/>
        <v>#N/A</v>
      </c>
      <c r="AN204" s="266" t="e">
        <f t="shared" si="194"/>
        <v>#N/A</v>
      </c>
      <c r="AO204" s="227" t="e">
        <f t="shared" si="195"/>
        <v>#N/A</v>
      </c>
      <c r="AP204" s="284">
        <f t="shared" si="227"/>
        <v>7</v>
      </c>
      <c r="AQ204" s="285" t="e">
        <f t="shared" si="196"/>
        <v>#N/A</v>
      </c>
      <c r="AR204" s="266" t="e">
        <f t="shared" si="228"/>
        <v>#N/A</v>
      </c>
      <c r="AS204" s="270" t="e">
        <f t="shared" si="197"/>
        <v>#N/A</v>
      </c>
      <c r="AT204" s="271">
        <f t="shared" si="229"/>
        <v>7</v>
      </c>
      <c r="AU204" s="272" t="e">
        <f t="shared" si="230"/>
        <v>#N/A</v>
      </c>
      <c r="AV204" s="273" t="e">
        <f t="shared" si="231"/>
        <v>#N/A</v>
      </c>
      <c r="AW204" s="274" t="e">
        <f t="shared" si="198"/>
        <v>#N/A</v>
      </c>
      <c r="AX204" s="232">
        <f t="shared" si="232"/>
        <v>7</v>
      </c>
      <c r="AY204" s="273" t="e">
        <f t="shared" si="199"/>
        <v>#N/A</v>
      </c>
      <c r="AZ204" s="232" t="e">
        <f t="shared" si="233"/>
        <v>#N/A</v>
      </c>
      <c r="BA204" s="232" t="e">
        <f t="shared" si="200"/>
        <v>#N/A</v>
      </c>
      <c r="BB204" s="275">
        <f t="shared" si="234"/>
        <v>7</v>
      </c>
      <c r="BC204" s="276" t="e">
        <f t="shared" si="235"/>
        <v>#N/A</v>
      </c>
      <c r="BD204" s="277" t="e">
        <f t="shared" si="236"/>
        <v>#N/A</v>
      </c>
      <c r="BE204" s="250" t="e">
        <f t="shared" si="201"/>
        <v>#N/A</v>
      </c>
      <c r="BF204" s="247">
        <f t="shared" si="237"/>
        <v>7</v>
      </c>
      <c r="BG204" s="276" t="e">
        <f t="shared" si="238"/>
        <v>#N/A</v>
      </c>
      <c r="BH204" s="277" t="e">
        <f t="shared" si="239"/>
        <v>#N/A</v>
      </c>
      <c r="BI204" s="250" t="e">
        <f t="shared" si="202"/>
        <v>#N/A</v>
      </c>
      <c r="BJ204" s="251">
        <f t="shared" si="240"/>
        <v>7</v>
      </c>
      <c r="BK204" s="278" t="e">
        <f t="shared" si="241"/>
        <v>#N/A</v>
      </c>
      <c r="BL204" s="278" t="e">
        <f t="shared" si="242"/>
        <v>#N/A</v>
      </c>
      <c r="BM204" s="279" t="e">
        <f t="shared" si="203"/>
        <v>#N/A</v>
      </c>
      <c r="BN204" s="280">
        <f t="shared" si="243"/>
        <v>7</v>
      </c>
      <c r="BO204" s="281" t="e">
        <f t="shared" si="244"/>
        <v>#N/A</v>
      </c>
      <c r="BP204" s="281" t="e">
        <f t="shared" si="245"/>
        <v>#N/A</v>
      </c>
      <c r="BQ204" s="279" t="e">
        <f t="shared" si="204"/>
        <v>#N/A</v>
      </c>
      <c r="BR204" s="282" t="e">
        <f t="shared" si="205"/>
        <v>#N/A</v>
      </c>
      <c r="BS204" s="217" t="e">
        <f>VLOOKUP($B204,SDR24_STOCK_BY_LA!$A$2:$C$11878,3,0)</f>
        <v>#N/A</v>
      </c>
      <c r="BT204" s="217" t="str">
        <f t="shared" si="246"/>
        <v/>
      </c>
    </row>
    <row r="205" spans="1:72" x14ac:dyDescent="0.2">
      <c r="A205" s="256" t="str">
        <f t="shared" si="247"/>
        <v/>
      </c>
      <c r="B205" s="217" t="str">
        <f t="shared" ref="B205:B268" si="248">IFERROR(IF(AB205=0,"",AB205),"")</f>
        <v/>
      </c>
      <c r="C205" s="257" t="str">
        <f t="shared" si="206"/>
        <v/>
      </c>
      <c r="D205" s="256" t="str">
        <f>IF(B205="","",IF(totals!$Q$3=0,IFERROR(IF(AD205=2,"0",AE205),""),"-"))</f>
        <v/>
      </c>
      <c r="E205" s="258" t="str">
        <f t="shared" si="207"/>
        <v/>
      </c>
      <c r="F205" s="259" t="str">
        <f t="shared" si="208"/>
        <v/>
      </c>
      <c r="G205" s="259" t="str">
        <f t="shared" si="209"/>
        <v/>
      </c>
      <c r="H205" s="256" t="str">
        <f t="shared" si="187"/>
        <v/>
      </c>
      <c r="I205" s="259" t="str">
        <f t="shared" si="210"/>
        <v/>
      </c>
      <c r="J205" s="259" t="str">
        <f t="shared" si="211"/>
        <v/>
      </c>
      <c r="K205" s="256" t="str">
        <f t="shared" si="188"/>
        <v/>
      </c>
      <c r="L205" s="259" t="str">
        <f t="shared" si="189"/>
        <v/>
      </c>
      <c r="M205" s="259" t="str">
        <f t="shared" si="212"/>
        <v/>
      </c>
      <c r="N205" s="256" t="str">
        <f t="shared" si="213"/>
        <v/>
      </c>
      <c r="O205" s="259" t="str">
        <f t="shared" si="214"/>
        <v/>
      </c>
      <c r="P205" s="259" t="str">
        <f t="shared" si="215"/>
        <v/>
      </c>
      <c r="Q205" s="256" t="str">
        <f t="shared" si="216"/>
        <v/>
      </c>
      <c r="R205" s="259" t="str">
        <f t="shared" si="217"/>
        <v/>
      </c>
      <c r="S205" s="259" t="str">
        <f t="shared" si="218"/>
        <v/>
      </c>
      <c r="T205" s="256" t="str">
        <f t="shared" si="219"/>
        <v/>
      </c>
      <c r="U205" s="217"/>
      <c r="V205" s="217"/>
      <c r="AB205" s="257" t="e">
        <f>VLOOKUP($B$6,Lookup_Source,198,0)</f>
        <v>#N/A</v>
      </c>
      <c r="AC205" s="241" t="str">
        <f t="shared" si="220"/>
        <v/>
      </c>
      <c r="AD205" s="242">
        <f t="shared" si="221"/>
        <v>7</v>
      </c>
      <c r="AE205" s="261" t="e">
        <f t="shared" si="190"/>
        <v>#N/A</v>
      </c>
      <c r="AF205" s="264" t="e">
        <f t="shared" si="222"/>
        <v>#N/A</v>
      </c>
      <c r="AG205" s="264" t="e">
        <f t="shared" si="223"/>
        <v>#N/A</v>
      </c>
      <c r="AH205" s="263" t="e">
        <f t="shared" si="191"/>
        <v>#N/A</v>
      </c>
      <c r="AI205" s="226">
        <f t="shared" si="224"/>
        <v>7</v>
      </c>
      <c r="AJ205" s="264" t="e">
        <f t="shared" si="192"/>
        <v>#N/A</v>
      </c>
      <c r="AK205" s="264" t="e">
        <f t="shared" si="225"/>
        <v>#N/A</v>
      </c>
      <c r="AL205" s="226" t="e">
        <f t="shared" si="193"/>
        <v>#N/A</v>
      </c>
      <c r="AM205" s="265" t="e">
        <f t="shared" si="226"/>
        <v>#N/A</v>
      </c>
      <c r="AN205" s="266" t="e">
        <f t="shared" si="194"/>
        <v>#N/A</v>
      </c>
      <c r="AO205" s="227" t="e">
        <f t="shared" si="195"/>
        <v>#N/A</v>
      </c>
      <c r="AP205" s="284">
        <f t="shared" si="227"/>
        <v>7</v>
      </c>
      <c r="AQ205" s="285" t="e">
        <f t="shared" si="196"/>
        <v>#N/A</v>
      </c>
      <c r="AR205" s="266" t="e">
        <f t="shared" si="228"/>
        <v>#N/A</v>
      </c>
      <c r="AS205" s="270" t="e">
        <f t="shared" si="197"/>
        <v>#N/A</v>
      </c>
      <c r="AT205" s="271">
        <f t="shared" si="229"/>
        <v>7</v>
      </c>
      <c r="AU205" s="272" t="e">
        <f t="shared" si="230"/>
        <v>#N/A</v>
      </c>
      <c r="AV205" s="273" t="e">
        <f t="shared" si="231"/>
        <v>#N/A</v>
      </c>
      <c r="AW205" s="274" t="e">
        <f t="shared" si="198"/>
        <v>#N/A</v>
      </c>
      <c r="AX205" s="232">
        <f t="shared" si="232"/>
        <v>7</v>
      </c>
      <c r="AY205" s="273" t="e">
        <f t="shared" si="199"/>
        <v>#N/A</v>
      </c>
      <c r="AZ205" s="232" t="e">
        <f t="shared" si="233"/>
        <v>#N/A</v>
      </c>
      <c r="BA205" s="232" t="e">
        <f t="shared" si="200"/>
        <v>#N/A</v>
      </c>
      <c r="BB205" s="275">
        <f t="shared" si="234"/>
        <v>7</v>
      </c>
      <c r="BC205" s="276" t="e">
        <f t="shared" si="235"/>
        <v>#N/A</v>
      </c>
      <c r="BD205" s="277" t="e">
        <f t="shared" si="236"/>
        <v>#N/A</v>
      </c>
      <c r="BE205" s="250" t="e">
        <f t="shared" si="201"/>
        <v>#N/A</v>
      </c>
      <c r="BF205" s="247">
        <f t="shared" si="237"/>
        <v>7</v>
      </c>
      <c r="BG205" s="276" t="e">
        <f t="shared" si="238"/>
        <v>#N/A</v>
      </c>
      <c r="BH205" s="277" t="e">
        <f t="shared" si="239"/>
        <v>#N/A</v>
      </c>
      <c r="BI205" s="250" t="e">
        <f t="shared" si="202"/>
        <v>#N/A</v>
      </c>
      <c r="BJ205" s="251">
        <f t="shared" si="240"/>
        <v>7</v>
      </c>
      <c r="BK205" s="278" t="e">
        <f t="shared" si="241"/>
        <v>#N/A</v>
      </c>
      <c r="BL205" s="278" t="e">
        <f t="shared" si="242"/>
        <v>#N/A</v>
      </c>
      <c r="BM205" s="279" t="e">
        <f t="shared" si="203"/>
        <v>#N/A</v>
      </c>
      <c r="BN205" s="280">
        <f t="shared" si="243"/>
        <v>7</v>
      </c>
      <c r="BO205" s="281" t="e">
        <f t="shared" si="244"/>
        <v>#N/A</v>
      </c>
      <c r="BP205" s="281" t="e">
        <f t="shared" si="245"/>
        <v>#N/A</v>
      </c>
      <c r="BQ205" s="279" t="e">
        <f t="shared" si="204"/>
        <v>#N/A</v>
      </c>
      <c r="BR205" s="282" t="e">
        <f t="shared" si="205"/>
        <v>#N/A</v>
      </c>
      <c r="BS205" s="217" t="e">
        <f>VLOOKUP($B205,SDR24_STOCK_BY_LA!$A$2:$C$11878,3,0)</f>
        <v>#N/A</v>
      </c>
      <c r="BT205" s="217" t="str">
        <f t="shared" si="246"/>
        <v/>
      </c>
    </row>
    <row r="206" spans="1:72" x14ac:dyDescent="0.2">
      <c r="A206" s="217" t="str">
        <f t="shared" si="247"/>
        <v/>
      </c>
      <c r="B206" s="217" t="str">
        <f t="shared" si="248"/>
        <v/>
      </c>
      <c r="C206" s="283" t="str">
        <f t="shared" si="206"/>
        <v/>
      </c>
      <c r="D206" s="256" t="str">
        <f>IF(B206="","",IF(totals!$Q$3=0,IFERROR(IF(AD206=2,"0",AE206),""),"-"))</f>
        <v/>
      </c>
      <c r="E206" s="258" t="str">
        <f t="shared" si="207"/>
        <v/>
      </c>
      <c r="F206" s="259" t="str">
        <f t="shared" si="208"/>
        <v/>
      </c>
      <c r="G206" s="259" t="str">
        <f t="shared" si="209"/>
        <v/>
      </c>
      <c r="H206" s="256" t="str">
        <f t="shared" si="187"/>
        <v/>
      </c>
      <c r="I206" s="259" t="str">
        <f t="shared" si="210"/>
        <v/>
      </c>
      <c r="J206" s="259" t="str">
        <f t="shared" si="211"/>
        <v/>
      </c>
      <c r="K206" s="256" t="str">
        <f t="shared" si="188"/>
        <v/>
      </c>
      <c r="L206" s="259" t="str">
        <f t="shared" si="189"/>
        <v/>
      </c>
      <c r="M206" s="259" t="str">
        <f t="shared" si="212"/>
        <v/>
      </c>
      <c r="N206" s="256" t="str">
        <f t="shared" si="213"/>
        <v/>
      </c>
      <c r="O206" s="259" t="str">
        <f t="shared" si="214"/>
        <v/>
      </c>
      <c r="P206" s="259" t="str">
        <f t="shared" si="215"/>
        <v/>
      </c>
      <c r="Q206" s="256" t="str">
        <f t="shared" si="216"/>
        <v/>
      </c>
      <c r="R206" s="259" t="str">
        <f t="shared" si="217"/>
        <v/>
      </c>
      <c r="S206" s="259" t="str">
        <f t="shared" si="218"/>
        <v/>
      </c>
      <c r="T206" s="256" t="str">
        <f t="shared" si="219"/>
        <v/>
      </c>
      <c r="U206" s="217"/>
      <c r="V206" s="217"/>
      <c r="AB206" s="217" t="e">
        <f>VLOOKUP($B$6,Lookup_Source,199,0)</f>
        <v>#N/A</v>
      </c>
      <c r="AC206" s="241" t="str">
        <f t="shared" si="220"/>
        <v/>
      </c>
      <c r="AD206" s="242">
        <f t="shared" si="221"/>
        <v>7</v>
      </c>
      <c r="AE206" s="261" t="e">
        <f t="shared" si="190"/>
        <v>#N/A</v>
      </c>
      <c r="AF206" s="264" t="e">
        <f t="shared" si="222"/>
        <v>#N/A</v>
      </c>
      <c r="AG206" s="264" t="e">
        <f t="shared" si="223"/>
        <v>#N/A</v>
      </c>
      <c r="AH206" s="263" t="e">
        <f t="shared" si="191"/>
        <v>#N/A</v>
      </c>
      <c r="AI206" s="226">
        <f t="shared" si="224"/>
        <v>7</v>
      </c>
      <c r="AJ206" s="264" t="e">
        <f t="shared" si="192"/>
        <v>#N/A</v>
      </c>
      <c r="AK206" s="264" t="e">
        <f t="shared" si="225"/>
        <v>#N/A</v>
      </c>
      <c r="AL206" s="226" t="e">
        <f t="shared" si="193"/>
        <v>#N/A</v>
      </c>
      <c r="AM206" s="265" t="e">
        <f t="shared" si="226"/>
        <v>#N/A</v>
      </c>
      <c r="AN206" s="266" t="e">
        <f t="shared" si="194"/>
        <v>#N/A</v>
      </c>
      <c r="AO206" s="227" t="e">
        <f t="shared" si="195"/>
        <v>#N/A</v>
      </c>
      <c r="AP206" s="284">
        <f t="shared" si="227"/>
        <v>7</v>
      </c>
      <c r="AQ206" s="285" t="e">
        <f t="shared" si="196"/>
        <v>#N/A</v>
      </c>
      <c r="AR206" s="266" t="e">
        <f t="shared" si="228"/>
        <v>#N/A</v>
      </c>
      <c r="AS206" s="270" t="e">
        <f t="shared" si="197"/>
        <v>#N/A</v>
      </c>
      <c r="AT206" s="271">
        <f t="shared" si="229"/>
        <v>7</v>
      </c>
      <c r="AU206" s="272" t="e">
        <f t="shared" si="230"/>
        <v>#N/A</v>
      </c>
      <c r="AV206" s="273" t="e">
        <f t="shared" si="231"/>
        <v>#N/A</v>
      </c>
      <c r="AW206" s="274" t="e">
        <f t="shared" si="198"/>
        <v>#N/A</v>
      </c>
      <c r="AX206" s="232">
        <f t="shared" si="232"/>
        <v>7</v>
      </c>
      <c r="AY206" s="273" t="e">
        <f t="shared" si="199"/>
        <v>#N/A</v>
      </c>
      <c r="AZ206" s="232" t="e">
        <f t="shared" si="233"/>
        <v>#N/A</v>
      </c>
      <c r="BA206" s="232" t="e">
        <f t="shared" si="200"/>
        <v>#N/A</v>
      </c>
      <c r="BB206" s="275">
        <f t="shared" si="234"/>
        <v>7</v>
      </c>
      <c r="BC206" s="276" t="e">
        <f t="shared" si="235"/>
        <v>#N/A</v>
      </c>
      <c r="BD206" s="277" t="e">
        <f t="shared" si="236"/>
        <v>#N/A</v>
      </c>
      <c r="BE206" s="250" t="e">
        <f t="shared" si="201"/>
        <v>#N/A</v>
      </c>
      <c r="BF206" s="247">
        <f t="shared" si="237"/>
        <v>7</v>
      </c>
      <c r="BG206" s="276" t="e">
        <f t="shared" si="238"/>
        <v>#N/A</v>
      </c>
      <c r="BH206" s="277" t="e">
        <f t="shared" si="239"/>
        <v>#N/A</v>
      </c>
      <c r="BI206" s="250" t="e">
        <f t="shared" si="202"/>
        <v>#N/A</v>
      </c>
      <c r="BJ206" s="251">
        <f t="shared" si="240"/>
        <v>7</v>
      </c>
      <c r="BK206" s="278" t="e">
        <f t="shared" si="241"/>
        <v>#N/A</v>
      </c>
      <c r="BL206" s="278" t="e">
        <f t="shared" si="242"/>
        <v>#N/A</v>
      </c>
      <c r="BM206" s="279" t="e">
        <f t="shared" si="203"/>
        <v>#N/A</v>
      </c>
      <c r="BN206" s="280">
        <f t="shared" si="243"/>
        <v>7</v>
      </c>
      <c r="BO206" s="281" t="e">
        <f t="shared" si="244"/>
        <v>#N/A</v>
      </c>
      <c r="BP206" s="281" t="e">
        <f t="shared" si="245"/>
        <v>#N/A</v>
      </c>
      <c r="BQ206" s="279" t="e">
        <f t="shared" si="204"/>
        <v>#N/A</v>
      </c>
      <c r="BR206" s="282" t="e">
        <f t="shared" si="205"/>
        <v>#N/A</v>
      </c>
      <c r="BS206" s="217" t="e">
        <f>VLOOKUP($B206,SDR24_STOCK_BY_LA!$A$2:$C$11878,3,0)</f>
        <v>#N/A</v>
      </c>
      <c r="BT206" s="217" t="str">
        <f t="shared" si="246"/>
        <v/>
      </c>
    </row>
    <row r="207" spans="1:72" x14ac:dyDescent="0.2">
      <c r="A207" s="256" t="str">
        <f t="shared" si="247"/>
        <v/>
      </c>
      <c r="B207" s="217" t="str">
        <f t="shared" si="248"/>
        <v/>
      </c>
      <c r="C207" s="257" t="str">
        <f t="shared" si="206"/>
        <v/>
      </c>
      <c r="D207" s="256" t="str">
        <f>IF(B207="","",IF(totals!$Q$3=0,IFERROR(IF(AD207=2,"0",AE207),""),"-"))</f>
        <v/>
      </c>
      <c r="E207" s="258" t="str">
        <f t="shared" si="207"/>
        <v/>
      </c>
      <c r="F207" s="259" t="str">
        <f t="shared" si="208"/>
        <v/>
      </c>
      <c r="G207" s="259" t="str">
        <f t="shared" si="209"/>
        <v/>
      </c>
      <c r="H207" s="256" t="str">
        <f t="shared" si="187"/>
        <v/>
      </c>
      <c r="I207" s="259" t="str">
        <f t="shared" si="210"/>
        <v/>
      </c>
      <c r="J207" s="259" t="str">
        <f t="shared" si="211"/>
        <v/>
      </c>
      <c r="K207" s="256" t="str">
        <f t="shared" si="188"/>
        <v/>
      </c>
      <c r="L207" s="259" t="str">
        <f t="shared" si="189"/>
        <v/>
      </c>
      <c r="M207" s="259" t="str">
        <f t="shared" si="212"/>
        <v/>
      </c>
      <c r="N207" s="256" t="str">
        <f t="shared" si="213"/>
        <v/>
      </c>
      <c r="O207" s="259" t="str">
        <f t="shared" si="214"/>
        <v/>
      </c>
      <c r="P207" s="259" t="str">
        <f t="shared" si="215"/>
        <v/>
      </c>
      <c r="Q207" s="256" t="str">
        <f t="shared" si="216"/>
        <v/>
      </c>
      <c r="R207" s="259" t="str">
        <f t="shared" si="217"/>
        <v/>
      </c>
      <c r="S207" s="259" t="str">
        <f t="shared" si="218"/>
        <v/>
      </c>
      <c r="T207" s="256" t="str">
        <f t="shared" si="219"/>
        <v/>
      </c>
      <c r="U207" s="217"/>
      <c r="V207" s="217"/>
      <c r="AB207" s="257" t="e">
        <f>VLOOKUP($B$6,Lookup_Source,200,0)</f>
        <v>#N/A</v>
      </c>
      <c r="AC207" s="241" t="str">
        <f t="shared" si="220"/>
        <v/>
      </c>
      <c r="AD207" s="242">
        <f t="shared" si="221"/>
        <v>7</v>
      </c>
      <c r="AE207" s="261" t="e">
        <f t="shared" si="190"/>
        <v>#N/A</v>
      </c>
      <c r="AF207" s="264" t="e">
        <f t="shared" si="222"/>
        <v>#N/A</v>
      </c>
      <c r="AG207" s="264" t="e">
        <f t="shared" si="223"/>
        <v>#N/A</v>
      </c>
      <c r="AH207" s="263" t="e">
        <f t="shared" si="191"/>
        <v>#N/A</v>
      </c>
      <c r="AI207" s="226">
        <f t="shared" si="224"/>
        <v>7</v>
      </c>
      <c r="AJ207" s="264" t="e">
        <f t="shared" si="192"/>
        <v>#N/A</v>
      </c>
      <c r="AK207" s="264" t="e">
        <f t="shared" si="225"/>
        <v>#N/A</v>
      </c>
      <c r="AL207" s="226" t="e">
        <f t="shared" si="193"/>
        <v>#N/A</v>
      </c>
      <c r="AM207" s="265" t="e">
        <f t="shared" si="226"/>
        <v>#N/A</v>
      </c>
      <c r="AN207" s="266" t="e">
        <f t="shared" si="194"/>
        <v>#N/A</v>
      </c>
      <c r="AO207" s="227" t="e">
        <f t="shared" si="195"/>
        <v>#N/A</v>
      </c>
      <c r="AP207" s="284">
        <f t="shared" si="227"/>
        <v>7</v>
      </c>
      <c r="AQ207" s="285" t="e">
        <f t="shared" si="196"/>
        <v>#N/A</v>
      </c>
      <c r="AR207" s="266" t="e">
        <f t="shared" si="228"/>
        <v>#N/A</v>
      </c>
      <c r="AS207" s="270" t="e">
        <f t="shared" si="197"/>
        <v>#N/A</v>
      </c>
      <c r="AT207" s="271">
        <f t="shared" si="229"/>
        <v>7</v>
      </c>
      <c r="AU207" s="272" t="e">
        <f t="shared" si="230"/>
        <v>#N/A</v>
      </c>
      <c r="AV207" s="273" t="e">
        <f t="shared" si="231"/>
        <v>#N/A</v>
      </c>
      <c r="AW207" s="274" t="e">
        <f t="shared" si="198"/>
        <v>#N/A</v>
      </c>
      <c r="AX207" s="232">
        <f t="shared" si="232"/>
        <v>7</v>
      </c>
      <c r="AY207" s="273" t="e">
        <f t="shared" si="199"/>
        <v>#N/A</v>
      </c>
      <c r="AZ207" s="232" t="e">
        <f t="shared" si="233"/>
        <v>#N/A</v>
      </c>
      <c r="BA207" s="232" t="e">
        <f t="shared" si="200"/>
        <v>#N/A</v>
      </c>
      <c r="BB207" s="275">
        <f t="shared" si="234"/>
        <v>7</v>
      </c>
      <c r="BC207" s="276" t="e">
        <f t="shared" si="235"/>
        <v>#N/A</v>
      </c>
      <c r="BD207" s="277" t="e">
        <f t="shared" si="236"/>
        <v>#N/A</v>
      </c>
      <c r="BE207" s="250" t="e">
        <f t="shared" si="201"/>
        <v>#N/A</v>
      </c>
      <c r="BF207" s="247">
        <f t="shared" si="237"/>
        <v>7</v>
      </c>
      <c r="BG207" s="276" t="e">
        <f t="shared" si="238"/>
        <v>#N/A</v>
      </c>
      <c r="BH207" s="277" t="e">
        <f t="shared" si="239"/>
        <v>#N/A</v>
      </c>
      <c r="BI207" s="250" t="e">
        <f t="shared" si="202"/>
        <v>#N/A</v>
      </c>
      <c r="BJ207" s="251">
        <f t="shared" si="240"/>
        <v>7</v>
      </c>
      <c r="BK207" s="278" t="e">
        <f t="shared" si="241"/>
        <v>#N/A</v>
      </c>
      <c r="BL207" s="278" t="e">
        <f t="shared" si="242"/>
        <v>#N/A</v>
      </c>
      <c r="BM207" s="279" t="e">
        <f t="shared" si="203"/>
        <v>#N/A</v>
      </c>
      <c r="BN207" s="280">
        <f t="shared" si="243"/>
        <v>7</v>
      </c>
      <c r="BO207" s="281" t="e">
        <f t="shared" si="244"/>
        <v>#N/A</v>
      </c>
      <c r="BP207" s="281" t="e">
        <f t="shared" si="245"/>
        <v>#N/A</v>
      </c>
      <c r="BQ207" s="279" t="e">
        <f t="shared" si="204"/>
        <v>#N/A</v>
      </c>
      <c r="BR207" s="282" t="e">
        <f t="shared" si="205"/>
        <v>#N/A</v>
      </c>
      <c r="BS207" s="217" t="e">
        <f>VLOOKUP($B207,SDR24_STOCK_BY_LA!$A$2:$C$11878,3,0)</f>
        <v>#N/A</v>
      </c>
      <c r="BT207" s="217" t="str">
        <f t="shared" si="246"/>
        <v/>
      </c>
    </row>
    <row r="208" spans="1:72" x14ac:dyDescent="0.2">
      <c r="A208" s="217" t="str">
        <f t="shared" si="247"/>
        <v/>
      </c>
      <c r="B208" s="217" t="str">
        <f t="shared" si="248"/>
        <v/>
      </c>
      <c r="C208" s="283" t="str">
        <f t="shared" si="206"/>
        <v/>
      </c>
      <c r="D208" s="256" t="str">
        <f>IF(B208="","",IF(totals!$Q$3=0,IFERROR(IF(AD208=2,"0",AE208),""),"-"))</f>
        <v/>
      </c>
      <c r="E208" s="258" t="str">
        <f t="shared" si="207"/>
        <v/>
      </c>
      <c r="F208" s="259" t="str">
        <f t="shared" si="208"/>
        <v/>
      </c>
      <c r="G208" s="259" t="str">
        <f t="shared" si="209"/>
        <v/>
      </c>
      <c r="H208" s="256" t="str">
        <f t="shared" si="187"/>
        <v/>
      </c>
      <c r="I208" s="259" t="str">
        <f t="shared" si="210"/>
        <v/>
      </c>
      <c r="J208" s="259" t="str">
        <f t="shared" si="211"/>
        <v/>
      </c>
      <c r="K208" s="256" t="str">
        <f t="shared" si="188"/>
        <v/>
      </c>
      <c r="L208" s="259" t="str">
        <f t="shared" si="189"/>
        <v/>
      </c>
      <c r="M208" s="259" t="str">
        <f t="shared" si="212"/>
        <v/>
      </c>
      <c r="N208" s="256" t="str">
        <f t="shared" si="213"/>
        <v/>
      </c>
      <c r="O208" s="259" t="str">
        <f t="shared" si="214"/>
        <v/>
      </c>
      <c r="P208" s="259" t="str">
        <f t="shared" si="215"/>
        <v/>
      </c>
      <c r="Q208" s="256" t="str">
        <f t="shared" si="216"/>
        <v/>
      </c>
      <c r="R208" s="259" t="str">
        <f t="shared" si="217"/>
        <v/>
      </c>
      <c r="S208" s="259" t="str">
        <f t="shared" si="218"/>
        <v/>
      </c>
      <c r="T208" s="256" t="str">
        <f t="shared" si="219"/>
        <v/>
      </c>
      <c r="U208" s="217"/>
      <c r="V208" s="217"/>
      <c r="AB208" s="217" t="e">
        <f>VLOOKUP($B$6,Lookup_Source,201,0)</f>
        <v>#N/A</v>
      </c>
      <c r="AC208" s="241" t="str">
        <f t="shared" si="220"/>
        <v/>
      </c>
      <c r="AD208" s="242">
        <f t="shared" si="221"/>
        <v>7</v>
      </c>
      <c r="AE208" s="261" t="e">
        <f t="shared" si="190"/>
        <v>#N/A</v>
      </c>
      <c r="AF208" s="264" t="e">
        <f t="shared" si="222"/>
        <v>#N/A</v>
      </c>
      <c r="AG208" s="264" t="e">
        <f t="shared" si="223"/>
        <v>#N/A</v>
      </c>
      <c r="AH208" s="263" t="e">
        <f t="shared" si="191"/>
        <v>#N/A</v>
      </c>
      <c r="AI208" s="226">
        <f t="shared" si="224"/>
        <v>7</v>
      </c>
      <c r="AJ208" s="264" t="e">
        <f t="shared" si="192"/>
        <v>#N/A</v>
      </c>
      <c r="AK208" s="264" t="e">
        <f t="shared" si="225"/>
        <v>#N/A</v>
      </c>
      <c r="AL208" s="226" t="e">
        <f t="shared" si="193"/>
        <v>#N/A</v>
      </c>
      <c r="AM208" s="265" t="e">
        <f t="shared" si="226"/>
        <v>#N/A</v>
      </c>
      <c r="AN208" s="266" t="e">
        <f t="shared" si="194"/>
        <v>#N/A</v>
      </c>
      <c r="AO208" s="227" t="e">
        <f t="shared" si="195"/>
        <v>#N/A</v>
      </c>
      <c r="AP208" s="284">
        <f t="shared" si="227"/>
        <v>7</v>
      </c>
      <c r="AQ208" s="285" t="e">
        <f t="shared" si="196"/>
        <v>#N/A</v>
      </c>
      <c r="AR208" s="266" t="e">
        <f t="shared" si="228"/>
        <v>#N/A</v>
      </c>
      <c r="AS208" s="270" t="e">
        <f t="shared" si="197"/>
        <v>#N/A</v>
      </c>
      <c r="AT208" s="271">
        <f t="shared" si="229"/>
        <v>7</v>
      </c>
      <c r="AU208" s="272" t="e">
        <f t="shared" si="230"/>
        <v>#N/A</v>
      </c>
      <c r="AV208" s="273" t="e">
        <f t="shared" si="231"/>
        <v>#N/A</v>
      </c>
      <c r="AW208" s="274" t="e">
        <f t="shared" si="198"/>
        <v>#N/A</v>
      </c>
      <c r="AX208" s="232">
        <f t="shared" si="232"/>
        <v>7</v>
      </c>
      <c r="AY208" s="273" t="e">
        <f t="shared" si="199"/>
        <v>#N/A</v>
      </c>
      <c r="AZ208" s="232" t="e">
        <f t="shared" si="233"/>
        <v>#N/A</v>
      </c>
      <c r="BA208" s="232" t="e">
        <f t="shared" si="200"/>
        <v>#N/A</v>
      </c>
      <c r="BB208" s="275">
        <f t="shared" si="234"/>
        <v>7</v>
      </c>
      <c r="BC208" s="276" t="e">
        <f t="shared" si="235"/>
        <v>#N/A</v>
      </c>
      <c r="BD208" s="277" t="e">
        <f t="shared" si="236"/>
        <v>#N/A</v>
      </c>
      <c r="BE208" s="250" t="e">
        <f t="shared" si="201"/>
        <v>#N/A</v>
      </c>
      <c r="BF208" s="247">
        <f t="shared" si="237"/>
        <v>7</v>
      </c>
      <c r="BG208" s="276" t="e">
        <f t="shared" si="238"/>
        <v>#N/A</v>
      </c>
      <c r="BH208" s="277" t="e">
        <f t="shared" si="239"/>
        <v>#N/A</v>
      </c>
      <c r="BI208" s="250" t="e">
        <f t="shared" si="202"/>
        <v>#N/A</v>
      </c>
      <c r="BJ208" s="251">
        <f t="shared" si="240"/>
        <v>7</v>
      </c>
      <c r="BK208" s="278" t="e">
        <f t="shared" si="241"/>
        <v>#N/A</v>
      </c>
      <c r="BL208" s="278" t="e">
        <f t="shared" si="242"/>
        <v>#N/A</v>
      </c>
      <c r="BM208" s="279" t="e">
        <f t="shared" si="203"/>
        <v>#N/A</v>
      </c>
      <c r="BN208" s="280">
        <f t="shared" si="243"/>
        <v>7</v>
      </c>
      <c r="BO208" s="281" t="e">
        <f t="shared" si="244"/>
        <v>#N/A</v>
      </c>
      <c r="BP208" s="281" t="e">
        <f t="shared" si="245"/>
        <v>#N/A</v>
      </c>
      <c r="BQ208" s="279" t="e">
        <f t="shared" si="204"/>
        <v>#N/A</v>
      </c>
      <c r="BR208" s="282" t="e">
        <f t="shared" si="205"/>
        <v>#N/A</v>
      </c>
      <c r="BS208" s="217" t="e">
        <f>VLOOKUP($B208,SDR24_STOCK_BY_LA!$A$2:$C$11878,3,0)</f>
        <v>#N/A</v>
      </c>
      <c r="BT208" s="217" t="str">
        <f t="shared" si="246"/>
        <v/>
      </c>
    </row>
    <row r="209" spans="1:72" x14ac:dyDescent="0.2">
      <c r="A209" s="256" t="str">
        <f t="shared" si="247"/>
        <v/>
      </c>
      <c r="B209" s="217" t="str">
        <f t="shared" si="248"/>
        <v/>
      </c>
      <c r="C209" s="257" t="str">
        <f t="shared" si="206"/>
        <v/>
      </c>
      <c r="D209" s="256" t="str">
        <f>IF(B209="","",IF(totals!$Q$3=0,IFERROR(IF(AD209=2,"0",AE209),""),"-"))</f>
        <v/>
      </c>
      <c r="E209" s="258" t="str">
        <f t="shared" si="207"/>
        <v/>
      </c>
      <c r="F209" s="259" t="str">
        <f t="shared" si="208"/>
        <v/>
      </c>
      <c r="G209" s="259" t="str">
        <f t="shared" si="209"/>
        <v/>
      </c>
      <c r="H209" s="256" t="str">
        <f t="shared" si="187"/>
        <v/>
      </c>
      <c r="I209" s="259" t="str">
        <f t="shared" si="210"/>
        <v/>
      </c>
      <c r="J209" s="259" t="str">
        <f t="shared" si="211"/>
        <v/>
      </c>
      <c r="K209" s="256" t="str">
        <f t="shared" si="188"/>
        <v/>
      </c>
      <c r="L209" s="259" t="str">
        <f t="shared" si="189"/>
        <v/>
      </c>
      <c r="M209" s="259" t="str">
        <f t="shared" si="212"/>
        <v/>
      </c>
      <c r="N209" s="256" t="str">
        <f t="shared" si="213"/>
        <v/>
      </c>
      <c r="O209" s="259" t="str">
        <f t="shared" si="214"/>
        <v/>
      </c>
      <c r="P209" s="259" t="str">
        <f t="shared" si="215"/>
        <v/>
      </c>
      <c r="Q209" s="256" t="str">
        <f t="shared" si="216"/>
        <v/>
      </c>
      <c r="R209" s="259" t="str">
        <f t="shared" si="217"/>
        <v/>
      </c>
      <c r="S209" s="259" t="str">
        <f t="shared" si="218"/>
        <v/>
      </c>
      <c r="T209" s="256" t="str">
        <f t="shared" si="219"/>
        <v/>
      </c>
      <c r="U209" s="217"/>
      <c r="V209" s="217"/>
      <c r="AB209" s="257" t="e">
        <f>VLOOKUP($B$6,Lookup_Source,202,0)</f>
        <v>#N/A</v>
      </c>
      <c r="AC209" s="241" t="str">
        <f t="shared" si="220"/>
        <v/>
      </c>
      <c r="AD209" s="242">
        <f t="shared" si="221"/>
        <v>7</v>
      </c>
      <c r="AE209" s="261" t="e">
        <f t="shared" si="190"/>
        <v>#N/A</v>
      </c>
      <c r="AF209" s="264" t="e">
        <f t="shared" si="222"/>
        <v>#N/A</v>
      </c>
      <c r="AG209" s="264" t="e">
        <f t="shared" si="223"/>
        <v>#N/A</v>
      </c>
      <c r="AH209" s="263" t="e">
        <f t="shared" si="191"/>
        <v>#N/A</v>
      </c>
      <c r="AI209" s="226">
        <f t="shared" si="224"/>
        <v>7</v>
      </c>
      <c r="AJ209" s="264" t="e">
        <f t="shared" si="192"/>
        <v>#N/A</v>
      </c>
      <c r="AK209" s="264" t="e">
        <f t="shared" si="225"/>
        <v>#N/A</v>
      </c>
      <c r="AL209" s="226" t="e">
        <f t="shared" si="193"/>
        <v>#N/A</v>
      </c>
      <c r="AM209" s="265" t="e">
        <f t="shared" si="226"/>
        <v>#N/A</v>
      </c>
      <c r="AN209" s="266" t="e">
        <f t="shared" si="194"/>
        <v>#N/A</v>
      </c>
      <c r="AO209" s="227" t="e">
        <f t="shared" si="195"/>
        <v>#N/A</v>
      </c>
      <c r="AP209" s="284">
        <f t="shared" si="227"/>
        <v>7</v>
      </c>
      <c r="AQ209" s="285" t="e">
        <f t="shared" si="196"/>
        <v>#N/A</v>
      </c>
      <c r="AR209" s="266" t="e">
        <f t="shared" si="228"/>
        <v>#N/A</v>
      </c>
      <c r="AS209" s="270" t="e">
        <f t="shared" si="197"/>
        <v>#N/A</v>
      </c>
      <c r="AT209" s="271">
        <f t="shared" si="229"/>
        <v>7</v>
      </c>
      <c r="AU209" s="272" t="e">
        <f t="shared" si="230"/>
        <v>#N/A</v>
      </c>
      <c r="AV209" s="273" t="e">
        <f t="shared" si="231"/>
        <v>#N/A</v>
      </c>
      <c r="AW209" s="274" t="e">
        <f t="shared" si="198"/>
        <v>#N/A</v>
      </c>
      <c r="AX209" s="232">
        <f t="shared" si="232"/>
        <v>7</v>
      </c>
      <c r="AY209" s="273" t="e">
        <f t="shared" si="199"/>
        <v>#N/A</v>
      </c>
      <c r="AZ209" s="232" t="e">
        <f t="shared" si="233"/>
        <v>#N/A</v>
      </c>
      <c r="BA209" s="232" t="e">
        <f t="shared" si="200"/>
        <v>#N/A</v>
      </c>
      <c r="BB209" s="275">
        <f t="shared" si="234"/>
        <v>7</v>
      </c>
      <c r="BC209" s="276" t="e">
        <f t="shared" si="235"/>
        <v>#N/A</v>
      </c>
      <c r="BD209" s="277" t="e">
        <f t="shared" si="236"/>
        <v>#N/A</v>
      </c>
      <c r="BE209" s="250" t="e">
        <f t="shared" si="201"/>
        <v>#N/A</v>
      </c>
      <c r="BF209" s="247">
        <f t="shared" si="237"/>
        <v>7</v>
      </c>
      <c r="BG209" s="276" t="e">
        <f t="shared" si="238"/>
        <v>#N/A</v>
      </c>
      <c r="BH209" s="277" t="e">
        <f t="shared" si="239"/>
        <v>#N/A</v>
      </c>
      <c r="BI209" s="250" t="e">
        <f t="shared" si="202"/>
        <v>#N/A</v>
      </c>
      <c r="BJ209" s="251">
        <f t="shared" si="240"/>
        <v>7</v>
      </c>
      <c r="BK209" s="278" t="e">
        <f t="shared" si="241"/>
        <v>#N/A</v>
      </c>
      <c r="BL209" s="278" t="e">
        <f t="shared" si="242"/>
        <v>#N/A</v>
      </c>
      <c r="BM209" s="279" t="e">
        <f t="shared" si="203"/>
        <v>#N/A</v>
      </c>
      <c r="BN209" s="280">
        <f t="shared" si="243"/>
        <v>7</v>
      </c>
      <c r="BO209" s="281" t="e">
        <f t="shared" si="244"/>
        <v>#N/A</v>
      </c>
      <c r="BP209" s="281" t="e">
        <f t="shared" si="245"/>
        <v>#N/A</v>
      </c>
      <c r="BQ209" s="279" t="e">
        <f t="shared" si="204"/>
        <v>#N/A</v>
      </c>
      <c r="BR209" s="282" t="e">
        <f t="shared" si="205"/>
        <v>#N/A</v>
      </c>
      <c r="BS209" s="217" t="e">
        <f>VLOOKUP($B209,SDR24_STOCK_BY_LA!$A$2:$C$11878,3,0)</f>
        <v>#N/A</v>
      </c>
      <c r="BT209" s="217" t="str">
        <f t="shared" si="246"/>
        <v/>
      </c>
    </row>
    <row r="210" spans="1:72" x14ac:dyDescent="0.2">
      <c r="A210" s="217" t="str">
        <f t="shared" si="247"/>
        <v/>
      </c>
      <c r="B210" s="217" t="str">
        <f t="shared" si="248"/>
        <v/>
      </c>
      <c r="C210" s="283" t="str">
        <f t="shared" si="206"/>
        <v/>
      </c>
      <c r="D210" s="256" t="str">
        <f>IF(B210="","",IF(totals!$Q$3=0,IFERROR(IF(AD210=2,"0",AE210),""),"-"))</f>
        <v/>
      </c>
      <c r="E210" s="258" t="str">
        <f t="shared" si="207"/>
        <v/>
      </c>
      <c r="F210" s="259" t="str">
        <f t="shared" si="208"/>
        <v/>
      </c>
      <c r="G210" s="259" t="str">
        <f t="shared" si="209"/>
        <v/>
      </c>
      <c r="H210" s="256" t="str">
        <f t="shared" si="187"/>
        <v/>
      </c>
      <c r="I210" s="259" t="str">
        <f t="shared" si="210"/>
        <v/>
      </c>
      <c r="J210" s="259" t="str">
        <f t="shared" si="211"/>
        <v/>
      </c>
      <c r="K210" s="256" t="str">
        <f t="shared" si="188"/>
        <v/>
      </c>
      <c r="L210" s="259" t="str">
        <f t="shared" si="189"/>
        <v/>
      </c>
      <c r="M210" s="259" t="str">
        <f t="shared" si="212"/>
        <v/>
      </c>
      <c r="N210" s="256" t="str">
        <f t="shared" si="213"/>
        <v/>
      </c>
      <c r="O210" s="259" t="str">
        <f t="shared" si="214"/>
        <v/>
      </c>
      <c r="P210" s="259" t="str">
        <f t="shared" si="215"/>
        <v/>
      </c>
      <c r="Q210" s="256" t="str">
        <f t="shared" si="216"/>
        <v/>
      </c>
      <c r="R210" s="259" t="str">
        <f t="shared" si="217"/>
        <v/>
      </c>
      <c r="S210" s="259" t="str">
        <f t="shared" si="218"/>
        <v/>
      </c>
      <c r="T210" s="256" t="str">
        <f t="shared" si="219"/>
        <v/>
      </c>
      <c r="U210" s="217"/>
      <c r="V210" s="217"/>
      <c r="AB210" s="217" t="e">
        <f>VLOOKUP($B$6,Lookup_Source,203,0)</f>
        <v>#N/A</v>
      </c>
      <c r="AC210" s="241" t="str">
        <f t="shared" si="220"/>
        <v/>
      </c>
      <c r="AD210" s="242">
        <f t="shared" si="221"/>
        <v>7</v>
      </c>
      <c r="AE210" s="261" t="e">
        <f t="shared" si="190"/>
        <v>#N/A</v>
      </c>
      <c r="AF210" s="264" t="e">
        <f t="shared" si="222"/>
        <v>#N/A</v>
      </c>
      <c r="AG210" s="264" t="e">
        <f t="shared" si="223"/>
        <v>#N/A</v>
      </c>
      <c r="AH210" s="263" t="e">
        <f t="shared" si="191"/>
        <v>#N/A</v>
      </c>
      <c r="AI210" s="226">
        <f t="shared" si="224"/>
        <v>7</v>
      </c>
      <c r="AJ210" s="264" t="e">
        <f t="shared" si="192"/>
        <v>#N/A</v>
      </c>
      <c r="AK210" s="264" t="e">
        <f t="shared" si="225"/>
        <v>#N/A</v>
      </c>
      <c r="AL210" s="226" t="e">
        <f t="shared" si="193"/>
        <v>#N/A</v>
      </c>
      <c r="AM210" s="265" t="e">
        <f t="shared" si="226"/>
        <v>#N/A</v>
      </c>
      <c r="AN210" s="266" t="e">
        <f t="shared" si="194"/>
        <v>#N/A</v>
      </c>
      <c r="AO210" s="227" t="e">
        <f t="shared" si="195"/>
        <v>#N/A</v>
      </c>
      <c r="AP210" s="284">
        <f t="shared" si="227"/>
        <v>7</v>
      </c>
      <c r="AQ210" s="285" t="e">
        <f t="shared" si="196"/>
        <v>#N/A</v>
      </c>
      <c r="AR210" s="266" t="e">
        <f t="shared" si="228"/>
        <v>#N/A</v>
      </c>
      <c r="AS210" s="270" t="e">
        <f t="shared" si="197"/>
        <v>#N/A</v>
      </c>
      <c r="AT210" s="271">
        <f t="shared" si="229"/>
        <v>7</v>
      </c>
      <c r="AU210" s="272" t="e">
        <f t="shared" si="230"/>
        <v>#N/A</v>
      </c>
      <c r="AV210" s="273" t="e">
        <f t="shared" si="231"/>
        <v>#N/A</v>
      </c>
      <c r="AW210" s="274" t="e">
        <f t="shared" si="198"/>
        <v>#N/A</v>
      </c>
      <c r="AX210" s="232">
        <f t="shared" si="232"/>
        <v>7</v>
      </c>
      <c r="AY210" s="273" t="e">
        <f t="shared" si="199"/>
        <v>#N/A</v>
      </c>
      <c r="AZ210" s="232" t="e">
        <f t="shared" si="233"/>
        <v>#N/A</v>
      </c>
      <c r="BA210" s="232" t="e">
        <f t="shared" si="200"/>
        <v>#N/A</v>
      </c>
      <c r="BB210" s="275">
        <f t="shared" si="234"/>
        <v>7</v>
      </c>
      <c r="BC210" s="276" t="e">
        <f t="shared" si="235"/>
        <v>#N/A</v>
      </c>
      <c r="BD210" s="277" t="e">
        <f t="shared" si="236"/>
        <v>#N/A</v>
      </c>
      <c r="BE210" s="250" t="e">
        <f t="shared" si="201"/>
        <v>#N/A</v>
      </c>
      <c r="BF210" s="247">
        <f t="shared" si="237"/>
        <v>7</v>
      </c>
      <c r="BG210" s="276" t="e">
        <f t="shared" si="238"/>
        <v>#N/A</v>
      </c>
      <c r="BH210" s="277" t="e">
        <f t="shared" si="239"/>
        <v>#N/A</v>
      </c>
      <c r="BI210" s="250" t="e">
        <f t="shared" si="202"/>
        <v>#N/A</v>
      </c>
      <c r="BJ210" s="251">
        <f t="shared" si="240"/>
        <v>7</v>
      </c>
      <c r="BK210" s="278" t="e">
        <f t="shared" si="241"/>
        <v>#N/A</v>
      </c>
      <c r="BL210" s="278" t="e">
        <f t="shared" si="242"/>
        <v>#N/A</v>
      </c>
      <c r="BM210" s="279" t="e">
        <f t="shared" si="203"/>
        <v>#N/A</v>
      </c>
      <c r="BN210" s="280">
        <f t="shared" si="243"/>
        <v>7</v>
      </c>
      <c r="BO210" s="281" t="e">
        <f t="shared" si="244"/>
        <v>#N/A</v>
      </c>
      <c r="BP210" s="281" t="e">
        <f t="shared" si="245"/>
        <v>#N/A</v>
      </c>
      <c r="BQ210" s="279" t="e">
        <f t="shared" si="204"/>
        <v>#N/A</v>
      </c>
      <c r="BR210" s="282" t="e">
        <f t="shared" si="205"/>
        <v>#N/A</v>
      </c>
      <c r="BS210" s="217" t="e">
        <f>VLOOKUP($B210,SDR24_STOCK_BY_LA!$A$2:$C$11878,3,0)</f>
        <v>#N/A</v>
      </c>
      <c r="BT210" s="217" t="str">
        <f t="shared" si="246"/>
        <v/>
      </c>
    </row>
    <row r="211" spans="1:72" x14ac:dyDescent="0.2">
      <c r="A211" s="256" t="str">
        <f t="shared" si="247"/>
        <v/>
      </c>
      <c r="B211" s="217" t="str">
        <f t="shared" si="248"/>
        <v/>
      </c>
      <c r="C211" s="257" t="str">
        <f t="shared" si="206"/>
        <v/>
      </c>
      <c r="D211" s="256" t="str">
        <f>IF(B211="","",IF(totals!$Q$3=0,IFERROR(IF(AD211=2,"0",AE211),""),"-"))</f>
        <v/>
      </c>
      <c r="E211" s="258" t="str">
        <f t="shared" si="207"/>
        <v/>
      </c>
      <c r="F211" s="259" t="str">
        <f t="shared" si="208"/>
        <v/>
      </c>
      <c r="G211" s="259" t="str">
        <f t="shared" si="209"/>
        <v/>
      </c>
      <c r="H211" s="256" t="str">
        <f t="shared" si="187"/>
        <v/>
      </c>
      <c r="I211" s="259" t="str">
        <f t="shared" si="210"/>
        <v/>
      </c>
      <c r="J211" s="259" t="str">
        <f t="shared" si="211"/>
        <v/>
      </c>
      <c r="K211" s="256" t="str">
        <f t="shared" si="188"/>
        <v/>
      </c>
      <c r="L211" s="259" t="str">
        <f t="shared" si="189"/>
        <v/>
      </c>
      <c r="M211" s="259" t="str">
        <f t="shared" si="212"/>
        <v/>
      </c>
      <c r="N211" s="256" t="str">
        <f t="shared" si="213"/>
        <v/>
      </c>
      <c r="O211" s="259" t="str">
        <f t="shared" si="214"/>
        <v/>
      </c>
      <c r="P211" s="259" t="str">
        <f t="shared" si="215"/>
        <v/>
      </c>
      <c r="Q211" s="256" t="str">
        <f t="shared" si="216"/>
        <v/>
      </c>
      <c r="R211" s="259" t="str">
        <f t="shared" si="217"/>
        <v/>
      </c>
      <c r="S211" s="259" t="str">
        <f t="shared" si="218"/>
        <v/>
      </c>
      <c r="T211" s="256" t="str">
        <f t="shared" si="219"/>
        <v/>
      </c>
      <c r="U211" s="217"/>
      <c r="V211" s="217"/>
      <c r="AB211" s="257" t="e">
        <f>VLOOKUP($B$6,Lookup_Source,204,0)</f>
        <v>#N/A</v>
      </c>
      <c r="AC211" s="241" t="str">
        <f t="shared" si="220"/>
        <v/>
      </c>
      <c r="AD211" s="242">
        <f t="shared" si="221"/>
        <v>7</v>
      </c>
      <c r="AE211" s="261" t="e">
        <f t="shared" si="190"/>
        <v>#N/A</v>
      </c>
      <c r="AF211" s="264" t="e">
        <f t="shared" si="222"/>
        <v>#N/A</v>
      </c>
      <c r="AG211" s="264" t="e">
        <f t="shared" si="223"/>
        <v>#N/A</v>
      </c>
      <c r="AH211" s="263" t="e">
        <f t="shared" si="191"/>
        <v>#N/A</v>
      </c>
      <c r="AI211" s="226">
        <f t="shared" si="224"/>
        <v>7</v>
      </c>
      <c r="AJ211" s="264" t="e">
        <f t="shared" si="192"/>
        <v>#N/A</v>
      </c>
      <c r="AK211" s="264" t="e">
        <f t="shared" si="225"/>
        <v>#N/A</v>
      </c>
      <c r="AL211" s="226" t="e">
        <f t="shared" si="193"/>
        <v>#N/A</v>
      </c>
      <c r="AM211" s="265" t="e">
        <f t="shared" si="226"/>
        <v>#N/A</v>
      </c>
      <c r="AN211" s="266" t="e">
        <f t="shared" si="194"/>
        <v>#N/A</v>
      </c>
      <c r="AO211" s="227" t="e">
        <f t="shared" si="195"/>
        <v>#N/A</v>
      </c>
      <c r="AP211" s="284">
        <f t="shared" si="227"/>
        <v>7</v>
      </c>
      <c r="AQ211" s="285" t="e">
        <f t="shared" si="196"/>
        <v>#N/A</v>
      </c>
      <c r="AR211" s="266" t="e">
        <f t="shared" si="228"/>
        <v>#N/A</v>
      </c>
      <c r="AS211" s="270" t="e">
        <f t="shared" si="197"/>
        <v>#N/A</v>
      </c>
      <c r="AT211" s="271">
        <f t="shared" si="229"/>
        <v>7</v>
      </c>
      <c r="AU211" s="272" t="e">
        <f t="shared" si="230"/>
        <v>#N/A</v>
      </c>
      <c r="AV211" s="273" t="e">
        <f t="shared" si="231"/>
        <v>#N/A</v>
      </c>
      <c r="AW211" s="274" t="e">
        <f t="shared" si="198"/>
        <v>#N/A</v>
      </c>
      <c r="AX211" s="232">
        <f t="shared" si="232"/>
        <v>7</v>
      </c>
      <c r="AY211" s="273" t="e">
        <f t="shared" si="199"/>
        <v>#N/A</v>
      </c>
      <c r="AZ211" s="232" t="e">
        <f t="shared" si="233"/>
        <v>#N/A</v>
      </c>
      <c r="BA211" s="232" t="e">
        <f t="shared" si="200"/>
        <v>#N/A</v>
      </c>
      <c r="BB211" s="275">
        <f t="shared" si="234"/>
        <v>7</v>
      </c>
      <c r="BC211" s="276" t="e">
        <f t="shared" si="235"/>
        <v>#N/A</v>
      </c>
      <c r="BD211" s="277" t="e">
        <f t="shared" si="236"/>
        <v>#N/A</v>
      </c>
      <c r="BE211" s="250" t="e">
        <f t="shared" si="201"/>
        <v>#N/A</v>
      </c>
      <c r="BF211" s="247">
        <f t="shared" si="237"/>
        <v>7</v>
      </c>
      <c r="BG211" s="276" t="e">
        <f t="shared" si="238"/>
        <v>#N/A</v>
      </c>
      <c r="BH211" s="277" t="e">
        <f t="shared" si="239"/>
        <v>#N/A</v>
      </c>
      <c r="BI211" s="250" t="e">
        <f t="shared" si="202"/>
        <v>#N/A</v>
      </c>
      <c r="BJ211" s="251">
        <f t="shared" si="240"/>
        <v>7</v>
      </c>
      <c r="BK211" s="278" t="e">
        <f t="shared" si="241"/>
        <v>#N/A</v>
      </c>
      <c r="BL211" s="278" t="e">
        <f t="shared" si="242"/>
        <v>#N/A</v>
      </c>
      <c r="BM211" s="279" t="e">
        <f t="shared" si="203"/>
        <v>#N/A</v>
      </c>
      <c r="BN211" s="280">
        <f t="shared" si="243"/>
        <v>7</v>
      </c>
      <c r="BO211" s="281" t="e">
        <f t="shared" si="244"/>
        <v>#N/A</v>
      </c>
      <c r="BP211" s="281" t="e">
        <f t="shared" si="245"/>
        <v>#N/A</v>
      </c>
      <c r="BQ211" s="279" t="e">
        <f t="shared" si="204"/>
        <v>#N/A</v>
      </c>
      <c r="BR211" s="282" t="e">
        <f t="shared" si="205"/>
        <v>#N/A</v>
      </c>
      <c r="BS211" s="217" t="e">
        <f>VLOOKUP($B211,SDR24_STOCK_BY_LA!$A$2:$C$11878,3,0)</f>
        <v>#N/A</v>
      </c>
      <c r="BT211" s="217" t="str">
        <f t="shared" si="246"/>
        <v/>
      </c>
    </row>
    <row r="212" spans="1:72" x14ac:dyDescent="0.2">
      <c r="A212" s="217" t="str">
        <f t="shared" si="247"/>
        <v/>
      </c>
      <c r="B212" s="217" t="str">
        <f t="shared" si="248"/>
        <v/>
      </c>
      <c r="C212" s="283" t="str">
        <f t="shared" si="206"/>
        <v/>
      </c>
      <c r="D212" s="256" t="str">
        <f>IF(B212="","",IF(totals!$Q$3=0,IFERROR(IF(AD212=2,"0",AE212),""),"-"))</f>
        <v/>
      </c>
      <c r="E212" s="258" t="str">
        <f t="shared" si="207"/>
        <v/>
      </c>
      <c r="F212" s="259" t="str">
        <f t="shared" si="208"/>
        <v/>
      </c>
      <c r="G212" s="259" t="str">
        <f t="shared" si="209"/>
        <v/>
      </c>
      <c r="H212" s="256" t="str">
        <f t="shared" si="187"/>
        <v/>
      </c>
      <c r="I212" s="259" t="str">
        <f t="shared" si="210"/>
        <v/>
      </c>
      <c r="J212" s="259" t="str">
        <f t="shared" si="211"/>
        <v/>
      </c>
      <c r="K212" s="256" t="str">
        <f t="shared" si="188"/>
        <v/>
      </c>
      <c r="L212" s="259" t="str">
        <f t="shared" si="189"/>
        <v/>
      </c>
      <c r="M212" s="259" t="str">
        <f t="shared" si="212"/>
        <v/>
      </c>
      <c r="N212" s="256" t="str">
        <f t="shared" si="213"/>
        <v/>
      </c>
      <c r="O212" s="259" t="str">
        <f t="shared" si="214"/>
        <v/>
      </c>
      <c r="P212" s="259" t="str">
        <f t="shared" si="215"/>
        <v/>
      </c>
      <c r="Q212" s="256" t="str">
        <f t="shared" si="216"/>
        <v/>
      </c>
      <c r="R212" s="259" t="str">
        <f t="shared" si="217"/>
        <v/>
      </c>
      <c r="S212" s="259" t="str">
        <f t="shared" si="218"/>
        <v/>
      </c>
      <c r="T212" s="256" t="str">
        <f t="shared" si="219"/>
        <v/>
      </c>
      <c r="U212" s="217"/>
      <c r="V212" s="217"/>
      <c r="AB212" s="217" t="e">
        <f>VLOOKUP($B$6,Lookup_Source,205,0)</f>
        <v>#N/A</v>
      </c>
      <c r="AC212" s="241" t="str">
        <f t="shared" si="220"/>
        <v/>
      </c>
      <c r="AD212" s="242">
        <f t="shared" si="221"/>
        <v>7</v>
      </c>
      <c r="AE212" s="261" t="e">
        <f t="shared" si="190"/>
        <v>#N/A</v>
      </c>
      <c r="AF212" s="264" t="e">
        <f t="shared" si="222"/>
        <v>#N/A</v>
      </c>
      <c r="AG212" s="264" t="e">
        <f t="shared" si="223"/>
        <v>#N/A</v>
      </c>
      <c r="AH212" s="263" t="e">
        <f t="shared" si="191"/>
        <v>#N/A</v>
      </c>
      <c r="AI212" s="226">
        <f t="shared" si="224"/>
        <v>7</v>
      </c>
      <c r="AJ212" s="264" t="e">
        <f t="shared" si="192"/>
        <v>#N/A</v>
      </c>
      <c r="AK212" s="264" t="e">
        <f t="shared" si="225"/>
        <v>#N/A</v>
      </c>
      <c r="AL212" s="226" t="e">
        <f t="shared" si="193"/>
        <v>#N/A</v>
      </c>
      <c r="AM212" s="265" t="e">
        <f t="shared" si="226"/>
        <v>#N/A</v>
      </c>
      <c r="AN212" s="266" t="e">
        <f t="shared" si="194"/>
        <v>#N/A</v>
      </c>
      <c r="AO212" s="227" t="e">
        <f t="shared" si="195"/>
        <v>#N/A</v>
      </c>
      <c r="AP212" s="284">
        <f t="shared" si="227"/>
        <v>7</v>
      </c>
      <c r="AQ212" s="285" t="e">
        <f t="shared" si="196"/>
        <v>#N/A</v>
      </c>
      <c r="AR212" s="266" t="e">
        <f t="shared" si="228"/>
        <v>#N/A</v>
      </c>
      <c r="AS212" s="270" t="e">
        <f t="shared" si="197"/>
        <v>#N/A</v>
      </c>
      <c r="AT212" s="271">
        <f t="shared" si="229"/>
        <v>7</v>
      </c>
      <c r="AU212" s="272" t="e">
        <f t="shared" si="230"/>
        <v>#N/A</v>
      </c>
      <c r="AV212" s="273" t="e">
        <f t="shared" si="231"/>
        <v>#N/A</v>
      </c>
      <c r="AW212" s="274" t="e">
        <f t="shared" si="198"/>
        <v>#N/A</v>
      </c>
      <c r="AX212" s="232">
        <f t="shared" si="232"/>
        <v>7</v>
      </c>
      <c r="AY212" s="273" t="e">
        <f t="shared" si="199"/>
        <v>#N/A</v>
      </c>
      <c r="AZ212" s="232" t="e">
        <f t="shared" si="233"/>
        <v>#N/A</v>
      </c>
      <c r="BA212" s="232" t="e">
        <f t="shared" si="200"/>
        <v>#N/A</v>
      </c>
      <c r="BB212" s="275">
        <f t="shared" si="234"/>
        <v>7</v>
      </c>
      <c r="BC212" s="276" t="e">
        <f t="shared" si="235"/>
        <v>#N/A</v>
      </c>
      <c r="BD212" s="277" t="e">
        <f t="shared" si="236"/>
        <v>#N/A</v>
      </c>
      <c r="BE212" s="250" t="e">
        <f t="shared" si="201"/>
        <v>#N/A</v>
      </c>
      <c r="BF212" s="247">
        <f t="shared" si="237"/>
        <v>7</v>
      </c>
      <c r="BG212" s="276" t="e">
        <f t="shared" si="238"/>
        <v>#N/A</v>
      </c>
      <c r="BH212" s="277" t="e">
        <f t="shared" si="239"/>
        <v>#N/A</v>
      </c>
      <c r="BI212" s="250" t="e">
        <f t="shared" si="202"/>
        <v>#N/A</v>
      </c>
      <c r="BJ212" s="251">
        <f t="shared" si="240"/>
        <v>7</v>
      </c>
      <c r="BK212" s="278" t="e">
        <f t="shared" si="241"/>
        <v>#N/A</v>
      </c>
      <c r="BL212" s="278" t="e">
        <f t="shared" si="242"/>
        <v>#N/A</v>
      </c>
      <c r="BM212" s="279" t="e">
        <f t="shared" si="203"/>
        <v>#N/A</v>
      </c>
      <c r="BN212" s="280">
        <f t="shared" si="243"/>
        <v>7</v>
      </c>
      <c r="BO212" s="281" t="e">
        <f t="shared" si="244"/>
        <v>#N/A</v>
      </c>
      <c r="BP212" s="281" t="e">
        <f t="shared" si="245"/>
        <v>#N/A</v>
      </c>
      <c r="BQ212" s="279" t="e">
        <f t="shared" si="204"/>
        <v>#N/A</v>
      </c>
      <c r="BR212" s="282" t="e">
        <f t="shared" si="205"/>
        <v>#N/A</v>
      </c>
      <c r="BS212" s="217" t="e">
        <f>VLOOKUP($B212,SDR24_STOCK_BY_LA!$A$2:$C$11878,3,0)</f>
        <v>#N/A</v>
      </c>
      <c r="BT212" s="217" t="str">
        <f t="shared" si="246"/>
        <v/>
      </c>
    </row>
    <row r="213" spans="1:72" x14ac:dyDescent="0.2">
      <c r="A213" s="256" t="str">
        <f t="shared" si="247"/>
        <v/>
      </c>
      <c r="B213" s="217" t="str">
        <f t="shared" si="248"/>
        <v/>
      </c>
      <c r="C213" s="257" t="str">
        <f t="shared" si="206"/>
        <v/>
      </c>
      <c r="D213" s="256" t="str">
        <f>IF(B213="","",IF(totals!$Q$3=0,IFERROR(IF(AD213=2,"0",AE213),""),"-"))</f>
        <v/>
      </c>
      <c r="E213" s="258" t="str">
        <f t="shared" si="207"/>
        <v/>
      </c>
      <c r="F213" s="259" t="str">
        <f t="shared" si="208"/>
        <v/>
      </c>
      <c r="G213" s="259" t="str">
        <f t="shared" si="209"/>
        <v/>
      </c>
      <c r="H213" s="256" t="str">
        <f t="shared" si="187"/>
        <v/>
      </c>
      <c r="I213" s="259" t="str">
        <f t="shared" si="210"/>
        <v/>
      </c>
      <c r="J213" s="259" t="str">
        <f t="shared" si="211"/>
        <v/>
      </c>
      <c r="K213" s="256" t="str">
        <f t="shared" si="188"/>
        <v/>
      </c>
      <c r="L213" s="259" t="str">
        <f t="shared" si="189"/>
        <v/>
      </c>
      <c r="M213" s="259" t="str">
        <f t="shared" si="212"/>
        <v/>
      </c>
      <c r="N213" s="256" t="str">
        <f t="shared" si="213"/>
        <v/>
      </c>
      <c r="O213" s="259" t="str">
        <f t="shared" si="214"/>
        <v/>
      </c>
      <c r="P213" s="259" t="str">
        <f t="shared" si="215"/>
        <v/>
      </c>
      <c r="Q213" s="256" t="str">
        <f t="shared" si="216"/>
        <v/>
      </c>
      <c r="R213" s="259" t="str">
        <f t="shared" si="217"/>
        <v/>
      </c>
      <c r="S213" s="259" t="str">
        <f t="shared" si="218"/>
        <v/>
      </c>
      <c r="T213" s="256" t="str">
        <f t="shared" si="219"/>
        <v/>
      </c>
      <c r="U213" s="217"/>
      <c r="V213" s="217"/>
      <c r="AB213" s="257" t="e">
        <f>VLOOKUP($B$6,Lookup_Source,206,0)</f>
        <v>#N/A</v>
      </c>
      <c r="AC213" s="241" t="str">
        <f t="shared" si="220"/>
        <v/>
      </c>
      <c r="AD213" s="242">
        <f t="shared" si="221"/>
        <v>7</v>
      </c>
      <c r="AE213" s="261" t="e">
        <f t="shared" si="190"/>
        <v>#N/A</v>
      </c>
      <c r="AF213" s="264" t="e">
        <f t="shared" si="222"/>
        <v>#N/A</v>
      </c>
      <c r="AG213" s="264" t="e">
        <f t="shared" si="223"/>
        <v>#N/A</v>
      </c>
      <c r="AH213" s="263" t="e">
        <f t="shared" si="191"/>
        <v>#N/A</v>
      </c>
      <c r="AI213" s="226">
        <f t="shared" si="224"/>
        <v>7</v>
      </c>
      <c r="AJ213" s="264" t="e">
        <f t="shared" si="192"/>
        <v>#N/A</v>
      </c>
      <c r="AK213" s="264" t="e">
        <f t="shared" si="225"/>
        <v>#N/A</v>
      </c>
      <c r="AL213" s="226" t="e">
        <f t="shared" si="193"/>
        <v>#N/A</v>
      </c>
      <c r="AM213" s="265" t="e">
        <f t="shared" si="226"/>
        <v>#N/A</v>
      </c>
      <c r="AN213" s="266" t="e">
        <f t="shared" si="194"/>
        <v>#N/A</v>
      </c>
      <c r="AO213" s="227" t="e">
        <f t="shared" si="195"/>
        <v>#N/A</v>
      </c>
      <c r="AP213" s="284">
        <f t="shared" si="227"/>
        <v>7</v>
      </c>
      <c r="AQ213" s="285" t="e">
        <f t="shared" si="196"/>
        <v>#N/A</v>
      </c>
      <c r="AR213" s="266" t="e">
        <f t="shared" si="228"/>
        <v>#N/A</v>
      </c>
      <c r="AS213" s="270" t="e">
        <f t="shared" si="197"/>
        <v>#N/A</v>
      </c>
      <c r="AT213" s="271">
        <f t="shared" si="229"/>
        <v>7</v>
      </c>
      <c r="AU213" s="272" t="e">
        <f t="shared" si="230"/>
        <v>#N/A</v>
      </c>
      <c r="AV213" s="273" t="e">
        <f t="shared" si="231"/>
        <v>#N/A</v>
      </c>
      <c r="AW213" s="274" t="e">
        <f t="shared" si="198"/>
        <v>#N/A</v>
      </c>
      <c r="AX213" s="232">
        <f t="shared" si="232"/>
        <v>7</v>
      </c>
      <c r="AY213" s="273" t="e">
        <f t="shared" si="199"/>
        <v>#N/A</v>
      </c>
      <c r="AZ213" s="232" t="e">
        <f t="shared" si="233"/>
        <v>#N/A</v>
      </c>
      <c r="BA213" s="232" t="e">
        <f t="shared" si="200"/>
        <v>#N/A</v>
      </c>
      <c r="BB213" s="275">
        <f t="shared" si="234"/>
        <v>7</v>
      </c>
      <c r="BC213" s="276" t="e">
        <f t="shared" si="235"/>
        <v>#N/A</v>
      </c>
      <c r="BD213" s="277" t="e">
        <f t="shared" si="236"/>
        <v>#N/A</v>
      </c>
      <c r="BE213" s="250" t="e">
        <f t="shared" si="201"/>
        <v>#N/A</v>
      </c>
      <c r="BF213" s="247">
        <f t="shared" si="237"/>
        <v>7</v>
      </c>
      <c r="BG213" s="276" t="e">
        <f t="shared" si="238"/>
        <v>#N/A</v>
      </c>
      <c r="BH213" s="277" t="e">
        <f t="shared" si="239"/>
        <v>#N/A</v>
      </c>
      <c r="BI213" s="250" t="e">
        <f t="shared" si="202"/>
        <v>#N/A</v>
      </c>
      <c r="BJ213" s="251">
        <f t="shared" si="240"/>
        <v>7</v>
      </c>
      <c r="BK213" s="278" t="e">
        <f t="shared" si="241"/>
        <v>#N/A</v>
      </c>
      <c r="BL213" s="278" t="e">
        <f t="shared" si="242"/>
        <v>#N/A</v>
      </c>
      <c r="BM213" s="279" t="e">
        <f t="shared" si="203"/>
        <v>#N/A</v>
      </c>
      <c r="BN213" s="280">
        <f t="shared" si="243"/>
        <v>7</v>
      </c>
      <c r="BO213" s="281" t="e">
        <f t="shared" si="244"/>
        <v>#N/A</v>
      </c>
      <c r="BP213" s="281" t="e">
        <f t="shared" si="245"/>
        <v>#N/A</v>
      </c>
      <c r="BQ213" s="279" t="e">
        <f t="shared" si="204"/>
        <v>#N/A</v>
      </c>
      <c r="BR213" s="282" t="e">
        <f t="shared" si="205"/>
        <v>#N/A</v>
      </c>
      <c r="BS213" s="217" t="e">
        <f>VLOOKUP($B213,SDR24_STOCK_BY_LA!$A$2:$C$11878,3,0)</f>
        <v>#N/A</v>
      </c>
      <c r="BT213" s="217" t="str">
        <f t="shared" si="246"/>
        <v/>
      </c>
    </row>
    <row r="214" spans="1:72" x14ac:dyDescent="0.2">
      <c r="A214" s="217" t="str">
        <f t="shared" si="247"/>
        <v/>
      </c>
      <c r="B214" s="217" t="str">
        <f t="shared" si="248"/>
        <v/>
      </c>
      <c r="C214" s="283" t="str">
        <f t="shared" si="206"/>
        <v/>
      </c>
      <c r="D214" s="256" t="str">
        <f>IF(B214="","",IF(totals!$Q$3=0,IFERROR(IF(AD214=2,"0",AE214),""),"-"))</f>
        <v/>
      </c>
      <c r="E214" s="258" t="str">
        <f t="shared" si="207"/>
        <v/>
      </c>
      <c r="F214" s="259" t="str">
        <f t="shared" si="208"/>
        <v/>
      </c>
      <c r="G214" s="259" t="str">
        <f t="shared" si="209"/>
        <v/>
      </c>
      <c r="H214" s="256" t="str">
        <f t="shared" si="187"/>
        <v/>
      </c>
      <c r="I214" s="259" t="str">
        <f t="shared" si="210"/>
        <v/>
      </c>
      <c r="J214" s="259" t="str">
        <f t="shared" si="211"/>
        <v/>
      </c>
      <c r="K214" s="256" t="str">
        <f t="shared" si="188"/>
        <v/>
      </c>
      <c r="L214" s="259" t="str">
        <f t="shared" si="189"/>
        <v/>
      </c>
      <c r="M214" s="259" t="str">
        <f t="shared" si="212"/>
        <v/>
      </c>
      <c r="N214" s="256" t="str">
        <f t="shared" si="213"/>
        <v/>
      </c>
      <c r="O214" s="259" t="str">
        <f t="shared" si="214"/>
        <v/>
      </c>
      <c r="P214" s="259" t="str">
        <f t="shared" si="215"/>
        <v/>
      </c>
      <c r="Q214" s="256" t="str">
        <f t="shared" si="216"/>
        <v/>
      </c>
      <c r="R214" s="259" t="str">
        <f t="shared" si="217"/>
        <v/>
      </c>
      <c r="S214" s="259" t="str">
        <f t="shared" si="218"/>
        <v/>
      </c>
      <c r="T214" s="256" t="str">
        <f t="shared" si="219"/>
        <v/>
      </c>
      <c r="U214" s="217"/>
      <c r="V214" s="217"/>
      <c r="AB214" s="217" t="e">
        <f>VLOOKUP($B$6,Lookup_Source,207,0)</f>
        <v>#N/A</v>
      </c>
      <c r="AC214" s="241" t="str">
        <f t="shared" si="220"/>
        <v/>
      </c>
      <c r="AD214" s="242">
        <f t="shared" si="221"/>
        <v>7</v>
      </c>
      <c r="AE214" s="261" t="e">
        <f t="shared" si="190"/>
        <v>#N/A</v>
      </c>
      <c r="AF214" s="264" t="e">
        <f t="shared" si="222"/>
        <v>#N/A</v>
      </c>
      <c r="AG214" s="264" t="e">
        <f t="shared" si="223"/>
        <v>#N/A</v>
      </c>
      <c r="AH214" s="263" t="e">
        <f t="shared" si="191"/>
        <v>#N/A</v>
      </c>
      <c r="AI214" s="226">
        <f t="shared" si="224"/>
        <v>7</v>
      </c>
      <c r="AJ214" s="264" t="e">
        <f t="shared" si="192"/>
        <v>#N/A</v>
      </c>
      <c r="AK214" s="264" t="e">
        <f t="shared" si="225"/>
        <v>#N/A</v>
      </c>
      <c r="AL214" s="226" t="e">
        <f t="shared" si="193"/>
        <v>#N/A</v>
      </c>
      <c r="AM214" s="265" t="e">
        <f t="shared" si="226"/>
        <v>#N/A</v>
      </c>
      <c r="AN214" s="266" t="e">
        <f t="shared" si="194"/>
        <v>#N/A</v>
      </c>
      <c r="AO214" s="227" t="e">
        <f t="shared" si="195"/>
        <v>#N/A</v>
      </c>
      <c r="AP214" s="284">
        <f t="shared" si="227"/>
        <v>7</v>
      </c>
      <c r="AQ214" s="285" t="e">
        <f t="shared" si="196"/>
        <v>#N/A</v>
      </c>
      <c r="AR214" s="266" t="e">
        <f t="shared" si="228"/>
        <v>#N/A</v>
      </c>
      <c r="AS214" s="270" t="e">
        <f t="shared" si="197"/>
        <v>#N/A</v>
      </c>
      <c r="AT214" s="271">
        <f t="shared" si="229"/>
        <v>7</v>
      </c>
      <c r="AU214" s="272" t="e">
        <f t="shared" si="230"/>
        <v>#N/A</v>
      </c>
      <c r="AV214" s="273" t="e">
        <f t="shared" si="231"/>
        <v>#N/A</v>
      </c>
      <c r="AW214" s="274" t="e">
        <f t="shared" si="198"/>
        <v>#N/A</v>
      </c>
      <c r="AX214" s="232">
        <f t="shared" si="232"/>
        <v>7</v>
      </c>
      <c r="AY214" s="273" t="e">
        <f t="shared" si="199"/>
        <v>#N/A</v>
      </c>
      <c r="AZ214" s="232" t="e">
        <f t="shared" si="233"/>
        <v>#N/A</v>
      </c>
      <c r="BA214" s="232" t="e">
        <f t="shared" si="200"/>
        <v>#N/A</v>
      </c>
      <c r="BB214" s="275">
        <f t="shared" si="234"/>
        <v>7</v>
      </c>
      <c r="BC214" s="276" t="e">
        <f t="shared" si="235"/>
        <v>#N/A</v>
      </c>
      <c r="BD214" s="277" t="e">
        <f t="shared" si="236"/>
        <v>#N/A</v>
      </c>
      <c r="BE214" s="250" t="e">
        <f t="shared" si="201"/>
        <v>#N/A</v>
      </c>
      <c r="BF214" s="247">
        <f t="shared" si="237"/>
        <v>7</v>
      </c>
      <c r="BG214" s="276" t="e">
        <f t="shared" si="238"/>
        <v>#N/A</v>
      </c>
      <c r="BH214" s="277" t="e">
        <f t="shared" si="239"/>
        <v>#N/A</v>
      </c>
      <c r="BI214" s="250" t="e">
        <f t="shared" si="202"/>
        <v>#N/A</v>
      </c>
      <c r="BJ214" s="251">
        <f t="shared" si="240"/>
        <v>7</v>
      </c>
      <c r="BK214" s="278" t="e">
        <f t="shared" si="241"/>
        <v>#N/A</v>
      </c>
      <c r="BL214" s="278" t="e">
        <f t="shared" si="242"/>
        <v>#N/A</v>
      </c>
      <c r="BM214" s="279" t="e">
        <f t="shared" si="203"/>
        <v>#N/A</v>
      </c>
      <c r="BN214" s="280">
        <f t="shared" si="243"/>
        <v>7</v>
      </c>
      <c r="BO214" s="281" t="e">
        <f t="shared" si="244"/>
        <v>#N/A</v>
      </c>
      <c r="BP214" s="281" t="e">
        <f t="shared" si="245"/>
        <v>#N/A</v>
      </c>
      <c r="BQ214" s="279" t="e">
        <f t="shared" si="204"/>
        <v>#N/A</v>
      </c>
      <c r="BR214" s="282" t="e">
        <f t="shared" si="205"/>
        <v>#N/A</v>
      </c>
      <c r="BS214" s="217" t="e">
        <f>VLOOKUP($B214,SDR24_STOCK_BY_LA!$A$2:$C$11878,3,0)</f>
        <v>#N/A</v>
      </c>
      <c r="BT214" s="217" t="str">
        <f t="shared" si="246"/>
        <v/>
      </c>
    </row>
    <row r="215" spans="1:72" x14ac:dyDescent="0.2">
      <c r="A215" s="256" t="str">
        <f t="shared" si="247"/>
        <v/>
      </c>
      <c r="B215" s="217" t="str">
        <f t="shared" si="248"/>
        <v/>
      </c>
      <c r="C215" s="257" t="str">
        <f t="shared" si="206"/>
        <v/>
      </c>
      <c r="D215" s="256" t="str">
        <f>IF(B215="","",IF(totals!$Q$3=0,IFERROR(IF(AD215=2,"0",AE215),""),"-"))</f>
        <v/>
      </c>
      <c r="E215" s="258" t="str">
        <f t="shared" si="207"/>
        <v/>
      </c>
      <c r="F215" s="259" t="str">
        <f t="shared" si="208"/>
        <v/>
      </c>
      <c r="G215" s="259" t="str">
        <f t="shared" si="209"/>
        <v/>
      </c>
      <c r="H215" s="256" t="str">
        <f t="shared" si="187"/>
        <v/>
      </c>
      <c r="I215" s="259" t="str">
        <f t="shared" si="210"/>
        <v/>
      </c>
      <c r="J215" s="259" t="str">
        <f t="shared" si="211"/>
        <v/>
      </c>
      <c r="K215" s="256" t="str">
        <f t="shared" si="188"/>
        <v/>
      </c>
      <c r="L215" s="259" t="str">
        <f t="shared" si="189"/>
        <v/>
      </c>
      <c r="M215" s="259" t="str">
        <f t="shared" si="212"/>
        <v/>
      </c>
      <c r="N215" s="256" t="str">
        <f t="shared" si="213"/>
        <v/>
      </c>
      <c r="O215" s="259" t="str">
        <f t="shared" si="214"/>
        <v/>
      </c>
      <c r="P215" s="259" t="str">
        <f t="shared" si="215"/>
        <v/>
      </c>
      <c r="Q215" s="256" t="str">
        <f t="shared" si="216"/>
        <v/>
      </c>
      <c r="R215" s="259" t="str">
        <f t="shared" si="217"/>
        <v/>
      </c>
      <c r="S215" s="259" t="str">
        <f t="shared" si="218"/>
        <v/>
      </c>
      <c r="T215" s="256" t="str">
        <f t="shared" si="219"/>
        <v/>
      </c>
      <c r="U215" s="217"/>
      <c r="V215" s="217"/>
      <c r="AB215" s="257" t="e">
        <f>VLOOKUP($B$6,Lookup_Source,208,0)</f>
        <v>#N/A</v>
      </c>
      <c r="AC215" s="241" t="str">
        <f t="shared" si="220"/>
        <v/>
      </c>
      <c r="AD215" s="242">
        <f t="shared" si="221"/>
        <v>7</v>
      </c>
      <c r="AE215" s="261" t="e">
        <f t="shared" si="190"/>
        <v>#N/A</v>
      </c>
      <c r="AF215" s="264" t="e">
        <f t="shared" si="222"/>
        <v>#N/A</v>
      </c>
      <c r="AG215" s="264" t="e">
        <f t="shared" si="223"/>
        <v>#N/A</v>
      </c>
      <c r="AH215" s="263" t="e">
        <f t="shared" si="191"/>
        <v>#N/A</v>
      </c>
      <c r="AI215" s="226">
        <f t="shared" si="224"/>
        <v>7</v>
      </c>
      <c r="AJ215" s="264" t="e">
        <f t="shared" si="192"/>
        <v>#N/A</v>
      </c>
      <c r="AK215" s="264" t="e">
        <f t="shared" si="225"/>
        <v>#N/A</v>
      </c>
      <c r="AL215" s="226" t="e">
        <f t="shared" si="193"/>
        <v>#N/A</v>
      </c>
      <c r="AM215" s="265" t="e">
        <f t="shared" si="226"/>
        <v>#N/A</v>
      </c>
      <c r="AN215" s="266" t="e">
        <f t="shared" si="194"/>
        <v>#N/A</v>
      </c>
      <c r="AO215" s="227" t="e">
        <f t="shared" si="195"/>
        <v>#N/A</v>
      </c>
      <c r="AP215" s="284">
        <f t="shared" si="227"/>
        <v>7</v>
      </c>
      <c r="AQ215" s="285" t="e">
        <f t="shared" si="196"/>
        <v>#N/A</v>
      </c>
      <c r="AR215" s="266" t="e">
        <f t="shared" si="228"/>
        <v>#N/A</v>
      </c>
      <c r="AS215" s="270" t="e">
        <f t="shared" si="197"/>
        <v>#N/A</v>
      </c>
      <c r="AT215" s="271">
        <f t="shared" si="229"/>
        <v>7</v>
      </c>
      <c r="AU215" s="272" t="e">
        <f t="shared" si="230"/>
        <v>#N/A</v>
      </c>
      <c r="AV215" s="273" t="e">
        <f t="shared" si="231"/>
        <v>#N/A</v>
      </c>
      <c r="AW215" s="274" t="e">
        <f t="shared" si="198"/>
        <v>#N/A</v>
      </c>
      <c r="AX215" s="232">
        <f t="shared" si="232"/>
        <v>7</v>
      </c>
      <c r="AY215" s="273" t="e">
        <f t="shared" si="199"/>
        <v>#N/A</v>
      </c>
      <c r="AZ215" s="232" t="e">
        <f t="shared" si="233"/>
        <v>#N/A</v>
      </c>
      <c r="BA215" s="232" t="e">
        <f t="shared" si="200"/>
        <v>#N/A</v>
      </c>
      <c r="BB215" s="275">
        <f t="shared" si="234"/>
        <v>7</v>
      </c>
      <c r="BC215" s="276" t="e">
        <f t="shared" si="235"/>
        <v>#N/A</v>
      </c>
      <c r="BD215" s="277" t="e">
        <f t="shared" si="236"/>
        <v>#N/A</v>
      </c>
      <c r="BE215" s="250" t="e">
        <f t="shared" si="201"/>
        <v>#N/A</v>
      </c>
      <c r="BF215" s="247">
        <f t="shared" si="237"/>
        <v>7</v>
      </c>
      <c r="BG215" s="276" t="e">
        <f t="shared" si="238"/>
        <v>#N/A</v>
      </c>
      <c r="BH215" s="277" t="e">
        <f t="shared" si="239"/>
        <v>#N/A</v>
      </c>
      <c r="BI215" s="250" t="e">
        <f t="shared" si="202"/>
        <v>#N/A</v>
      </c>
      <c r="BJ215" s="251">
        <f t="shared" si="240"/>
        <v>7</v>
      </c>
      <c r="BK215" s="278" t="e">
        <f t="shared" si="241"/>
        <v>#N/A</v>
      </c>
      <c r="BL215" s="278" t="e">
        <f t="shared" si="242"/>
        <v>#N/A</v>
      </c>
      <c r="BM215" s="279" t="e">
        <f t="shared" si="203"/>
        <v>#N/A</v>
      </c>
      <c r="BN215" s="280">
        <f t="shared" si="243"/>
        <v>7</v>
      </c>
      <c r="BO215" s="281" t="e">
        <f t="shared" si="244"/>
        <v>#N/A</v>
      </c>
      <c r="BP215" s="281" t="e">
        <f t="shared" si="245"/>
        <v>#N/A</v>
      </c>
      <c r="BQ215" s="279" t="e">
        <f t="shared" si="204"/>
        <v>#N/A</v>
      </c>
      <c r="BR215" s="282" t="e">
        <f t="shared" si="205"/>
        <v>#N/A</v>
      </c>
      <c r="BS215" s="217" t="e">
        <f>VLOOKUP($B215,SDR24_STOCK_BY_LA!$A$2:$C$11878,3,0)</f>
        <v>#N/A</v>
      </c>
      <c r="BT215" s="217" t="str">
        <f t="shared" si="246"/>
        <v/>
      </c>
    </row>
    <row r="216" spans="1:72" x14ac:dyDescent="0.2">
      <c r="A216" s="217" t="str">
        <f t="shared" si="247"/>
        <v/>
      </c>
      <c r="B216" s="217" t="str">
        <f t="shared" si="248"/>
        <v/>
      </c>
      <c r="C216" s="283" t="str">
        <f t="shared" si="206"/>
        <v/>
      </c>
      <c r="D216" s="256" t="str">
        <f>IF(B216="","",IF(totals!$Q$3=0,IFERROR(IF(AD216=2,"0",AE216),""),"-"))</f>
        <v/>
      </c>
      <c r="E216" s="258" t="str">
        <f t="shared" si="207"/>
        <v/>
      </c>
      <c r="F216" s="259" t="str">
        <f t="shared" si="208"/>
        <v/>
      </c>
      <c r="G216" s="259" t="str">
        <f t="shared" si="209"/>
        <v/>
      </c>
      <c r="H216" s="256" t="str">
        <f t="shared" si="187"/>
        <v/>
      </c>
      <c r="I216" s="259" t="str">
        <f t="shared" si="210"/>
        <v/>
      </c>
      <c r="J216" s="259" t="str">
        <f t="shared" si="211"/>
        <v/>
      </c>
      <c r="K216" s="256" t="str">
        <f t="shared" si="188"/>
        <v/>
      </c>
      <c r="L216" s="259" t="str">
        <f t="shared" si="189"/>
        <v/>
      </c>
      <c r="M216" s="259" t="str">
        <f t="shared" si="212"/>
        <v/>
      </c>
      <c r="N216" s="256" t="str">
        <f t="shared" si="213"/>
        <v/>
      </c>
      <c r="O216" s="259" t="str">
        <f t="shared" si="214"/>
        <v/>
      </c>
      <c r="P216" s="259" t="str">
        <f t="shared" si="215"/>
        <v/>
      </c>
      <c r="Q216" s="256" t="str">
        <f t="shared" si="216"/>
        <v/>
      </c>
      <c r="R216" s="259" t="str">
        <f t="shared" si="217"/>
        <v/>
      </c>
      <c r="S216" s="259" t="str">
        <f t="shared" si="218"/>
        <v/>
      </c>
      <c r="T216" s="256" t="str">
        <f t="shared" si="219"/>
        <v/>
      </c>
      <c r="U216" s="217"/>
      <c r="V216" s="217"/>
      <c r="AB216" s="217" t="e">
        <f>VLOOKUP($B$6,Lookup_Source,209,0)</f>
        <v>#N/A</v>
      </c>
      <c r="AC216" s="241" t="str">
        <f t="shared" si="220"/>
        <v/>
      </c>
      <c r="AD216" s="242">
        <f t="shared" si="221"/>
        <v>7</v>
      </c>
      <c r="AE216" s="261" t="e">
        <f t="shared" si="190"/>
        <v>#N/A</v>
      </c>
      <c r="AF216" s="264" t="e">
        <f t="shared" si="222"/>
        <v>#N/A</v>
      </c>
      <c r="AG216" s="264" t="e">
        <f t="shared" si="223"/>
        <v>#N/A</v>
      </c>
      <c r="AH216" s="263" t="e">
        <f t="shared" si="191"/>
        <v>#N/A</v>
      </c>
      <c r="AI216" s="226">
        <f t="shared" si="224"/>
        <v>7</v>
      </c>
      <c r="AJ216" s="264" t="e">
        <f t="shared" si="192"/>
        <v>#N/A</v>
      </c>
      <c r="AK216" s="264" t="e">
        <f t="shared" si="225"/>
        <v>#N/A</v>
      </c>
      <c r="AL216" s="226" t="e">
        <f t="shared" si="193"/>
        <v>#N/A</v>
      </c>
      <c r="AM216" s="265" t="e">
        <f t="shared" si="226"/>
        <v>#N/A</v>
      </c>
      <c r="AN216" s="266" t="e">
        <f t="shared" si="194"/>
        <v>#N/A</v>
      </c>
      <c r="AO216" s="227" t="e">
        <f t="shared" si="195"/>
        <v>#N/A</v>
      </c>
      <c r="AP216" s="284">
        <f t="shared" si="227"/>
        <v>7</v>
      </c>
      <c r="AQ216" s="285" t="e">
        <f t="shared" si="196"/>
        <v>#N/A</v>
      </c>
      <c r="AR216" s="266" t="e">
        <f t="shared" si="228"/>
        <v>#N/A</v>
      </c>
      <c r="AS216" s="270" t="e">
        <f t="shared" si="197"/>
        <v>#N/A</v>
      </c>
      <c r="AT216" s="271">
        <f t="shared" si="229"/>
        <v>7</v>
      </c>
      <c r="AU216" s="272" t="e">
        <f t="shared" si="230"/>
        <v>#N/A</v>
      </c>
      <c r="AV216" s="273" t="e">
        <f t="shared" si="231"/>
        <v>#N/A</v>
      </c>
      <c r="AW216" s="274" t="e">
        <f t="shared" si="198"/>
        <v>#N/A</v>
      </c>
      <c r="AX216" s="232">
        <f t="shared" si="232"/>
        <v>7</v>
      </c>
      <c r="AY216" s="273" t="e">
        <f t="shared" si="199"/>
        <v>#N/A</v>
      </c>
      <c r="AZ216" s="232" t="e">
        <f t="shared" si="233"/>
        <v>#N/A</v>
      </c>
      <c r="BA216" s="232" t="e">
        <f t="shared" si="200"/>
        <v>#N/A</v>
      </c>
      <c r="BB216" s="275">
        <f t="shared" si="234"/>
        <v>7</v>
      </c>
      <c r="BC216" s="276" t="e">
        <f t="shared" si="235"/>
        <v>#N/A</v>
      </c>
      <c r="BD216" s="277" t="e">
        <f t="shared" si="236"/>
        <v>#N/A</v>
      </c>
      <c r="BE216" s="250" t="e">
        <f t="shared" si="201"/>
        <v>#N/A</v>
      </c>
      <c r="BF216" s="247">
        <f t="shared" si="237"/>
        <v>7</v>
      </c>
      <c r="BG216" s="276" t="e">
        <f t="shared" si="238"/>
        <v>#N/A</v>
      </c>
      <c r="BH216" s="277" t="e">
        <f t="shared" si="239"/>
        <v>#N/A</v>
      </c>
      <c r="BI216" s="250" t="e">
        <f t="shared" si="202"/>
        <v>#N/A</v>
      </c>
      <c r="BJ216" s="251">
        <f t="shared" si="240"/>
        <v>7</v>
      </c>
      <c r="BK216" s="278" t="e">
        <f t="shared" si="241"/>
        <v>#N/A</v>
      </c>
      <c r="BL216" s="278" t="e">
        <f t="shared" si="242"/>
        <v>#N/A</v>
      </c>
      <c r="BM216" s="279" t="e">
        <f t="shared" si="203"/>
        <v>#N/A</v>
      </c>
      <c r="BN216" s="280">
        <f t="shared" si="243"/>
        <v>7</v>
      </c>
      <c r="BO216" s="281" t="e">
        <f t="shared" si="244"/>
        <v>#N/A</v>
      </c>
      <c r="BP216" s="281" t="e">
        <f t="shared" si="245"/>
        <v>#N/A</v>
      </c>
      <c r="BQ216" s="279" t="e">
        <f t="shared" si="204"/>
        <v>#N/A</v>
      </c>
      <c r="BR216" s="282" t="e">
        <f t="shared" si="205"/>
        <v>#N/A</v>
      </c>
      <c r="BS216" s="217" t="e">
        <f>VLOOKUP($B216,SDR24_STOCK_BY_LA!$A$2:$C$11878,3,0)</f>
        <v>#N/A</v>
      </c>
      <c r="BT216" s="217" t="str">
        <f t="shared" si="246"/>
        <v/>
      </c>
    </row>
    <row r="217" spans="1:72" x14ac:dyDescent="0.2">
      <c r="A217" s="256" t="str">
        <f t="shared" si="247"/>
        <v/>
      </c>
      <c r="B217" s="217" t="str">
        <f t="shared" si="248"/>
        <v/>
      </c>
      <c r="C217" s="257" t="str">
        <f t="shared" si="206"/>
        <v/>
      </c>
      <c r="D217" s="256" t="str">
        <f>IF(B217="","",IF(totals!$Q$3=0,IFERROR(IF(AD217=2,"0",AE217),""),"-"))</f>
        <v/>
      </c>
      <c r="E217" s="258" t="str">
        <f t="shared" si="207"/>
        <v/>
      </c>
      <c r="F217" s="259" t="str">
        <f t="shared" si="208"/>
        <v/>
      </c>
      <c r="G217" s="259" t="str">
        <f t="shared" si="209"/>
        <v/>
      </c>
      <c r="H217" s="256" t="str">
        <f t="shared" si="187"/>
        <v/>
      </c>
      <c r="I217" s="259" t="str">
        <f t="shared" si="210"/>
        <v/>
      </c>
      <c r="J217" s="259" t="str">
        <f t="shared" si="211"/>
        <v/>
      </c>
      <c r="K217" s="256" t="str">
        <f t="shared" si="188"/>
        <v/>
      </c>
      <c r="L217" s="259" t="str">
        <f t="shared" si="189"/>
        <v/>
      </c>
      <c r="M217" s="259" t="str">
        <f t="shared" si="212"/>
        <v/>
      </c>
      <c r="N217" s="256" t="str">
        <f t="shared" si="213"/>
        <v/>
      </c>
      <c r="O217" s="259" t="str">
        <f t="shared" si="214"/>
        <v/>
      </c>
      <c r="P217" s="259" t="str">
        <f t="shared" si="215"/>
        <v/>
      </c>
      <c r="Q217" s="256" t="str">
        <f t="shared" si="216"/>
        <v/>
      </c>
      <c r="R217" s="259" t="str">
        <f t="shared" si="217"/>
        <v/>
      </c>
      <c r="S217" s="259" t="str">
        <f t="shared" si="218"/>
        <v/>
      </c>
      <c r="T217" s="256" t="str">
        <f t="shared" si="219"/>
        <v/>
      </c>
      <c r="U217" s="217"/>
      <c r="V217" s="217"/>
      <c r="AB217" s="257" t="e">
        <f>VLOOKUP($B$6,Lookup_Source,210,0)</f>
        <v>#N/A</v>
      </c>
      <c r="AC217" s="241" t="str">
        <f t="shared" si="220"/>
        <v/>
      </c>
      <c r="AD217" s="242">
        <f t="shared" si="221"/>
        <v>7</v>
      </c>
      <c r="AE217" s="261" t="e">
        <f t="shared" si="190"/>
        <v>#N/A</v>
      </c>
      <c r="AF217" s="264" t="e">
        <f t="shared" si="222"/>
        <v>#N/A</v>
      </c>
      <c r="AG217" s="264" t="e">
        <f t="shared" si="223"/>
        <v>#N/A</v>
      </c>
      <c r="AH217" s="263" t="e">
        <f t="shared" si="191"/>
        <v>#N/A</v>
      </c>
      <c r="AI217" s="226">
        <f t="shared" si="224"/>
        <v>7</v>
      </c>
      <c r="AJ217" s="264" t="e">
        <f t="shared" si="192"/>
        <v>#N/A</v>
      </c>
      <c r="AK217" s="264" t="e">
        <f t="shared" si="225"/>
        <v>#N/A</v>
      </c>
      <c r="AL217" s="226" t="e">
        <f t="shared" si="193"/>
        <v>#N/A</v>
      </c>
      <c r="AM217" s="265" t="e">
        <f t="shared" si="226"/>
        <v>#N/A</v>
      </c>
      <c r="AN217" s="266" t="e">
        <f t="shared" si="194"/>
        <v>#N/A</v>
      </c>
      <c r="AO217" s="227" t="e">
        <f t="shared" si="195"/>
        <v>#N/A</v>
      </c>
      <c r="AP217" s="284">
        <f t="shared" si="227"/>
        <v>7</v>
      </c>
      <c r="AQ217" s="285" t="e">
        <f t="shared" si="196"/>
        <v>#N/A</v>
      </c>
      <c r="AR217" s="266" t="e">
        <f t="shared" si="228"/>
        <v>#N/A</v>
      </c>
      <c r="AS217" s="270" t="e">
        <f t="shared" si="197"/>
        <v>#N/A</v>
      </c>
      <c r="AT217" s="271">
        <f t="shared" si="229"/>
        <v>7</v>
      </c>
      <c r="AU217" s="272" t="e">
        <f t="shared" si="230"/>
        <v>#N/A</v>
      </c>
      <c r="AV217" s="273" t="e">
        <f t="shared" si="231"/>
        <v>#N/A</v>
      </c>
      <c r="AW217" s="274" t="e">
        <f t="shared" si="198"/>
        <v>#N/A</v>
      </c>
      <c r="AX217" s="232">
        <f t="shared" si="232"/>
        <v>7</v>
      </c>
      <c r="AY217" s="273" t="e">
        <f t="shared" si="199"/>
        <v>#N/A</v>
      </c>
      <c r="AZ217" s="232" t="e">
        <f t="shared" si="233"/>
        <v>#N/A</v>
      </c>
      <c r="BA217" s="232" t="e">
        <f t="shared" si="200"/>
        <v>#N/A</v>
      </c>
      <c r="BB217" s="275">
        <f t="shared" si="234"/>
        <v>7</v>
      </c>
      <c r="BC217" s="276" t="e">
        <f t="shared" si="235"/>
        <v>#N/A</v>
      </c>
      <c r="BD217" s="277" t="e">
        <f t="shared" si="236"/>
        <v>#N/A</v>
      </c>
      <c r="BE217" s="250" t="e">
        <f t="shared" si="201"/>
        <v>#N/A</v>
      </c>
      <c r="BF217" s="247">
        <f t="shared" si="237"/>
        <v>7</v>
      </c>
      <c r="BG217" s="276" t="e">
        <f t="shared" si="238"/>
        <v>#N/A</v>
      </c>
      <c r="BH217" s="277" t="e">
        <f t="shared" si="239"/>
        <v>#N/A</v>
      </c>
      <c r="BI217" s="250" t="e">
        <f t="shared" si="202"/>
        <v>#N/A</v>
      </c>
      <c r="BJ217" s="251">
        <f t="shared" si="240"/>
        <v>7</v>
      </c>
      <c r="BK217" s="278" t="e">
        <f t="shared" si="241"/>
        <v>#N/A</v>
      </c>
      <c r="BL217" s="278" t="e">
        <f t="shared" si="242"/>
        <v>#N/A</v>
      </c>
      <c r="BM217" s="279" t="e">
        <f t="shared" si="203"/>
        <v>#N/A</v>
      </c>
      <c r="BN217" s="280">
        <f t="shared" si="243"/>
        <v>7</v>
      </c>
      <c r="BO217" s="281" t="e">
        <f t="shared" si="244"/>
        <v>#N/A</v>
      </c>
      <c r="BP217" s="281" t="e">
        <f t="shared" si="245"/>
        <v>#N/A</v>
      </c>
      <c r="BQ217" s="279" t="e">
        <f t="shared" si="204"/>
        <v>#N/A</v>
      </c>
      <c r="BR217" s="282" t="e">
        <f t="shared" si="205"/>
        <v>#N/A</v>
      </c>
      <c r="BS217" s="217" t="e">
        <f>VLOOKUP($B217,SDR24_STOCK_BY_LA!$A$2:$C$11878,3,0)</f>
        <v>#N/A</v>
      </c>
      <c r="BT217" s="217" t="str">
        <f t="shared" si="246"/>
        <v/>
      </c>
    </row>
    <row r="218" spans="1:72" x14ac:dyDescent="0.2">
      <c r="A218" s="217" t="str">
        <f t="shared" si="247"/>
        <v/>
      </c>
      <c r="B218" s="217" t="str">
        <f t="shared" si="248"/>
        <v/>
      </c>
      <c r="C218" s="283" t="str">
        <f t="shared" si="206"/>
        <v/>
      </c>
      <c r="D218" s="256" t="str">
        <f>IF(B218="","",IF(totals!$Q$3=0,IFERROR(IF(AD218=2,"0",AE218),""),"-"))</f>
        <v/>
      </c>
      <c r="E218" s="258" t="str">
        <f t="shared" si="207"/>
        <v/>
      </c>
      <c r="F218" s="259" t="str">
        <f t="shared" si="208"/>
        <v/>
      </c>
      <c r="G218" s="259" t="str">
        <f t="shared" si="209"/>
        <v/>
      </c>
      <c r="H218" s="256" t="str">
        <f t="shared" si="187"/>
        <v/>
      </c>
      <c r="I218" s="259" t="str">
        <f t="shared" si="210"/>
        <v/>
      </c>
      <c r="J218" s="259" t="str">
        <f t="shared" si="211"/>
        <v/>
      </c>
      <c r="K218" s="256" t="str">
        <f t="shared" si="188"/>
        <v/>
      </c>
      <c r="L218" s="259" t="str">
        <f t="shared" si="189"/>
        <v/>
      </c>
      <c r="M218" s="259" t="str">
        <f t="shared" si="212"/>
        <v/>
      </c>
      <c r="N218" s="256" t="str">
        <f t="shared" si="213"/>
        <v/>
      </c>
      <c r="O218" s="259" t="str">
        <f t="shared" si="214"/>
        <v/>
      </c>
      <c r="P218" s="259" t="str">
        <f t="shared" si="215"/>
        <v/>
      </c>
      <c r="Q218" s="256" t="str">
        <f t="shared" si="216"/>
        <v/>
      </c>
      <c r="R218" s="259" t="str">
        <f t="shared" si="217"/>
        <v/>
      </c>
      <c r="S218" s="259" t="str">
        <f t="shared" si="218"/>
        <v/>
      </c>
      <c r="T218" s="256" t="str">
        <f t="shared" si="219"/>
        <v/>
      </c>
      <c r="U218" s="217"/>
      <c r="V218" s="217"/>
      <c r="AB218" s="217" t="e">
        <f>VLOOKUP($B$6,Lookup_Source,211,0)</f>
        <v>#N/A</v>
      </c>
      <c r="AC218" s="241" t="str">
        <f t="shared" si="220"/>
        <v/>
      </c>
      <c r="AD218" s="242">
        <f t="shared" si="221"/>
        <v>7</v>
      </c>
      <c r="AE218" s="261" t="e">
        <f t="shared" si="190"/>
        <v>#N/A</v>
      </c>
      <c r="AF218" s="264" t="e">
        <f t="shared" si="222"/>
        <v>#N/A</v>
      </c>
      <c r="AG218" s="264" t="e">
        <f t="shared" si="223"/>
        <v>#N/A</v>
      </c>
      <c r="AH218" s="263" t="e">
        <f t="shared" si="191"/>
        <v>#N/A</v>
      </c>
      <c r="AI218" s="226">
        <f t="shared" si="224"/>
        <v>7</v>
      </c>
      <c r="AJ218" s="264" t="e">
        <f t="shared" si="192"/>
        <v>#N/A</v>
      </c>
      <c r="AK218" s="264" t="e">
        <f t="shared" si="225"/>
        <v>#N/A</v>
      </c>
      <c r="AL218" s="226" t="e">
        <f t="shared" si="193"/>
        <v>#N/A</v>
      </c>
      <c r="AM218" s="265" t="e">
        <f t="shared" si="226"/>
        <v>#N/A</v>
      </c>
      <c r="AN218" s="266" t="e">
        <f t="shared" si="194"/>
        <v>#N/A</v>
      </c>
      <c r="AO218" s="227" t="e">
        <f t="shared" si="195"/>
        <v>#N/A</v>
      </c>
      <c r="AP218" s="284">
        <f t="shared" si="227"/>
        <v>7</v>
      </c>
      <c r="AQ218" s="285" t="e">
        <f t="shared" si="196"/>
        <v>#N/A</v>
      </c>
      <c r="AR218" s="266" t="e">
        <f t="shared" si="228"/>
        <v>#N/A</v>
      </c>
      <c r="AS218" s="270" t="e">
        <f t="shared" si="197"/>
        <v>#N/A</v>
      </c>
      <c r="AT218" s="271">
        <f t="shared" si="229"/>
        <v>7</v>
      </c>
      <c r="AU218" s="272" t="e">
        <f t="shared" si="230"/>
        <v>#N/A</v>
      </c>
      <c r="AV218" s="273" t="e">
        <f t="shared" si="231"/>
        <v>#N/A</v>
      </c>
      <c r="AW218" s="274" t="e">
        <f t="shared" si="198"/>
        <v>#N/A</v>
      </c>
      <c r="AX218" s="232">
        <f t="shared" si="232"/>
        <v>7</v>
      </c>
      <c r="AY218" s="273" t="e">
        <f t="shared" si="199"/>
        <v>#N/A</v>
      </c>
      <c r="AZ218" s="232" t="e">
        <f t="shared" si="233"/>
        <v>#N/A</v>
      </c>
      <c r="BA218" s="232" t="e">
        <f t="shared" si="200"/>
        <v>#N/A</v>
      </c>
      <c r="BB218" s="275">
        <f t="shared" si="234"/>
        <v>7</v>
      </c>
      <c r="BC218" s="276" t="e">
        <f t="shared" si="235"/>
        <v>#N/A</v>
      </c>
      <c r="BD218" s="277" t="e">
        <f t="shared" si="236"/>
        <v>#N/A</v>
      </c>
      <c r="BE218" s="250" t="e">
        <f t="shared" si="201"/>
        <v>#N/A</v>
      </c>
      <c r="BF218" s="247">
        <f t="shared" si="237"/>
        <v>7</v>
      </c>
      <c r="BG218" s="276" t="e">
        <f t="shared" si="238"/>
        <v>#N/A</v>
      </c>
      <c r="BH218" s="277" t="e">
        <f t="shared" si="239"/>
        <v>#N/A</v>
      </c>
      <c r="BI218" s="250" t="e">
        <f t="shared" si="202"/>
        <v>#N/A</v>
      </c>
      <c r="BJ218" s="251">
        <f t="shared" si="240"/>
        <v>7</v>
      </c>
      <c r="BK218" s="278" t="e">
        <f t="shared" si="241"/>
        <v>#N/A</v>
      </c>
      <c r="BL218" s="278" t="e">
        <f t="shared" si="242"/>
        <v>#N/A</v>
      </c>
      <c r="BM218" s="279" t="e">
        <f t="shared" si="203"/>
        <v>#N/A</v>
      </c>
      <c r="BN218" s="280">
        <f t="shared" si="243"/>
        <v>7</v>
      </c>
      <c r="BO218" s="281" t="e">
        <f t="shared" si="244"/>
        <v>#N/A</v>
      </c>
      <c r="BP218" s="281" t="e">
        <f t="shared" si="245"/>
        <v>#N/A</v>
      </c>
      <c r="BQ218" s="279" t="e">
        <f t="shared" si="204"/>
        <v>#N/A</v>
      </c>
      <c r="BR218" s="282" t="e">
        <f t="shared" si="205"/>
        <v>#N/A</v>
      </c>
      <c r="BS218" s="217" t="e">
        <f>VLOOKUP($B218,SDR24_STOCK_BY_LA!$A$2:$C$11878,3,0)</f>
        <v>#N/A</v>
      </c>
      <c r="BT218" s="217" t="str">
        <f t="shared" si="246"/>
        <v/>
      </c>
    </row>
    <row r="219" spans="1:72" x14ac:dyDescent="0.2">
      <c r="A219" s="256" t="str">
        <f t="shared" si="247"/>
        <v/>
      </c>
      <c r="B219" s="217" t="str">
        <f t="shared" si="248"/>
        <v/>
      </c>
      <c r="C219" s="257" t="str">
        <f t="shared" si="206"/>
        <v/>
      </c>
      <c r="D219" s="256" t="str">
        <f>IF(B219="","",IF(totals!$Q$3=0,IFERROR(IF(AD219=2,"0",AE219),""),"-"))</f>
        <v/>
      </c>
      <c r="E219" s="258" t="str">
        <f t="shared" si="207"/>
        <v/>
      </c>
      <c r="F219" s="259" t="str">
        <f t="shared" si="208"/>
        <v/>
      </c>
      <c r="G219" s="259" t="str">
        <f t="shared" si="209"/>
        <v/>
      </c>
      <c r="H219" s="256" t="str">
        <f t="shared" si="187"/>
        <v/>
      </c>
      <c r="I219" s="259" t="str">
        <f t="shared" si="210"/>
        <v/>
      </c>
      <c r="J219" s="259" t="str">
        <f t="shared" si="211"/>
        <v/>
      </c>
      <c r="K219" s="256" t="str">
        <f t="shared" si="188"/>
        <v/>
      </c>
      <c r="L219" s="259" t="str">
        <f t="shared" si="189"/>
        <v/>
      </c>
      <c r="M219" s="259" t="str">
        <f t="shared" si="212"/>
        <v/>
      </c>
      <c r="N219" s="256" t="str">
        <f t="shared" si="213"/>
        <v/>
      </c>
      <c r="O219" s="259" t="str">
        <f t="shared" si="214"/>
        <v/>
      </c>
      <c r="P219" s="259" t="str">
        <f t="shared" si="215"/>
        <v/>
      </c>
      <c r="Q219" s="256" t="str">
        <f t="shared" si="216"/>
        <v/>
      </c>
      <c r="R219" s="259" t="str">
        <f t="shared" si="217"/>
        <v/>
      </c>
      <c r="S219" s="259" t="str">
        <f t="shared" si="218"/>
        <v/>
      </c>
      <c r="T219" s="256" t="str">
        <f t="shared" si="219"/>
        <v/>
      </c>
      <c r="U219" s="217"/>
      <c r="V219" s="217"/>
      <c r="AB219" s="257" t="e">
        <f>VLOOKUP($B$6,Lookup_Source,212,0)</f>
        <v>#N/A</v>
      </c>
      <c r="AC219" s="241" t="str">
        <f t="shared" si="220"/>
        <v/>
      </c>
      <c r="AD219" s="242">
        <f t="shared" si="221"/>
        <v>7</v>
      </c>
      <c r="AE219" s="261" t="e">
        <f t="shared" si="190"/>
        <v>#N/A</v>
      </c>
      <c r="AF219" s="264" t="e">
        <f t="shared" si="222"/>
        <v>#N/A</v>
      </c>
      <c r="AG219" s="264" t="e">
        <f t="shared" si="223"/>
        <v>#N/A</v>
      </c>
      <c r="AH219" s="263" t="e">
        <f t="shared" si="191"/>
        <v>#N/A</v>
      </c>
      <c r="AI219" s="226">
        <f t="shared" si="224"/>
        <v>7</v>
      </c>
      <c r="AJ219" s="264" t="e">
        <f t="shared" si="192"/>
        <v>#N/A</v>
      </c>
      <c r="AK219" s="264" t="e">
        <f t="shared" si="225"/>
        <v>#N/A</v>
      </c>
      <c r="AL219" s="226" t="e">
        <f t="shared" si="193"/>
        <v>#N/A</v>
      </c>
      <c r="AM219" s="265" t="e">
        <f t="shared" si="226"/>
        <v>#N/A</v>
      </c>
      <c r="AN219" s="266" t="e">
        <f t="shared" si="194"/>
        <v>#N/A</v>
      </c>
      <c r="AO219" s="227" t="e">
        <f t="shared" si="195"/>
        <v>#N/A</v>
      </c>
      <c r="AP219" s="284">
        <f t="shared" si="227"/>
        <v>7</v>
      </c>
      <c r="AQ219" s="285" t="e">
        <f t="shared" si="196"/>
        <v>#N/A</v>
      </c>
      <c r="AR219" s="266" t="e">
        <f t="shared" si="228"/>
        <v>#N/A</v>
      </c>
      <c r="AS219" s="270" t="e">
        <f t="shared" si="197"/>
        <v>#N/A</v>
      </c>
      <c r="AT219" s="271">
        <f t="shared" si="229"/>
        <v>7</v>
      </c>
      <c r="AU219" s="272" t="e">
        <f t="shared" si="230"/>
        <v>#N/A</v>
      </c>
      <c r="AV219" s="273" t="e">
        <f t="shared" si="231"/>
        <v>#N/A</v>
      </c>
      <c r="AW219" s="274" t="e">
        <f t="shared" si="198"/>
        <v>#N/A</v>
      </c>
      <c r="AX219" s="232">
        <f t="shared" si="232"/>
        <v>7</v>
      </c>
      <c r="AY219" s="273" t="e">
        <f t="shared" si="199"/>
        <v>#N/A</v>
      </c>
      <c r="AZ219" s="232" t="e">
        <f t="shared" si="233"/>
        <v>#N/A</v>
      </c>
      <c r="BA219" s="232" t="e">
        <f t="shared" si="200"/>
        <v>#N/A</v>
      </c>
      <c r="BB219" s="275">
        <f t="shared" si="234"/>
        <v>7</v>
      </c>
      <c r="BC219" s="276" t="e">
        <f t="shared" si="235"/>
        <v>#N/A</v>
      </c>
      <c r="BD219" s="277" t="e">
        <f t="shared" si="236"/>
        <v>#N/A</v>
      </c>
      <c r="BE219" s="250" t="e">
        <f t="shared" si="201"/>
        <v>#N/A</v>
      </c>
      <c r="BF219" s="247">
        <f t="shared" si="237"/>
        <v>7</v>
      </c>
      <c r="BG219" s="276" t="e">
        <f t="shared" si="238"/>
        <v>#N/A</v>
      </c>
      <c r="BH219" s="277" t="e">
        <f t="shared" si="239"/>
        <v>#N/A</v>
      </c>
      <c r="BI219" s="250" t="e">
        <f t="shared" si="202"/>
        <v>#N/A</v>
      </c>
      <c r="BJ219" s="251">
        <f t="shared" si="240"/>
        <v>7</v>
      </c>
      <c r="BK219" s="278" t="e">
        <f t="shared" si="241"/>
        <v>#N/A</v>
      </c>
      <c r="BL219" s="278" t="e">
        <f t="shared" si="242"/>
        <v>#N/A</v>
      </c>
      <c r="BM219" s="279" t="e">
        <f t="shared" si="203"/>
        <v>#N/A</v>
      </c>
      <c r="BN219" s="280">
        <f t="shared" si="243"/>
        <v>7</v>
      </c>
      <c r="BO219" s="281" t="e">
        <f t="shared" si="244"/>
        <v>#N/A</v>
      </c>
      <c r="BP219" s="281" t="e">
        <f t="shared" si="245"/>
        <v>#N/A</v>
      </c>
      <c r="BQ219" s="279" t="e">
        <f t="shared" si="204"/>
        <v>#N/A</v>
      </c>
      <c r="BR219" s="282" t="e">
        <f t="shared" si="205"/>
        <v>#N/A</v>
      </c>
      <c r="BS219" s="217" t="e">
        <f>VLOOKUP($B219,SDR24_STOCK_BY_LA!$A$2:$C$11878,3,0)</f>
        <v>#N/A</v>
      </c>
      <c r="BT219" s="217" t="str">
        <f t="shared" si="246"/>
        <v/>
      </c>
    </row>
    <row r="220" spans="1:72" x14ac:dyDescent="0.2">
      <c r="A220" s="217" t="str">
        <f t="shared" si="247"/>
        <v/>
      </c>
      <c r="B220" s="217" t="str">
        <f t="shared" si="248"/>
        <v/>
      </c>
      <c r="C220" s="283" t="str">
        <f t="shared" si="206"/>
        <v/>
      </c>
      <c r="D220" s="256" t="str">
        <f>IF(B220="","",IF(totals!$Q$3=0,IFERROR(IF(AD220=2,"0",AE220),""),"-"))</f>
        <v/>
      </c>
      <c r="E220" s="258" t="str">
        <f t="shared" si="207"/>
        <v/>
      </c>
      <c r="F220" s="259" t="str">
        <f t="shared" si="208"/>
        <v/>
      </c>
      <c r="G220" s="259" t="str">
        <f t="shared" si="209"/>
        <v/>
      </c>
      <c r="H220" s="256" t="str">
        <f t="shared" si="187"/>
        <v/>
      </c>
      <c r="I220" s="259" t="str">
        <f t="shared" si="210"/>
        <v/>
      </c>
      <c r="J220" s="259" t="str">
        <f t="shared" si="211"/>
        <v/>
      </c>
      <c r="K220" s="256" t="str">
        <f t="shared" si="188"/>
        <v/>
      </c>
      <c r="L220" s="259" t="str">
        <f t="shared" si="189"/>
        <v/>
      </c>
      <c r="M220" s="259" t="str">
        <f t="shared" si="212"/>
        <v/>
      </c>
      <c r="N220" s="256" t="str">
        <f t="shared" si="213"/>
        <v/>
      </c>
      <c r="O220" s="259" t="str">
        <f t="shared" si="214"/>
        <v/>
      </c>
      <c r="P220" s="259" t="str">
        <f t="shared" si="215"/>
        <v/>
      </c>
      <c r="Q220" s="256" t="str">
        <f t="shared" si="216"/>
        <v/>
      </c>
      <c r="R220" s="259" t="str">
        <f t="shared" si="217"/>
        <v/>
      </c>
      <c r="S220" s="259" t="str">
        <f t="shared" si="218"/>
        <v/>
      </c>
      <c r="T220" s="256" t="str">
        <f t="shared" si="219"/>
        <v/>
      </c>
      <c r="U220" s="217"/>
      <c r="V220" s="217"/>
      <c r="AB220" s="217" t="e">
        <f>VLOOKUP($B$6,Lookup_Source,213,0)</f>
        <v>#N/A</v>
      </c>
      <c r="AC220" s="241" t="str">
        <f t="shared" si="220"/>
        <v/>
      </c>
      <c r="AD220" s="242">
        <f t="shared" si="221"/>
        <v>7</v>
      </c>
      <c r="AE220" s="261" t="e">
        <f t="shared" si="190"/>
        <v>#N/A</v>
      </c>
      <c r="AF220" s="264" t="e">
        <f t="shared" si="222"/>
        <v>#N/A</v>
      </c>
      <c r="AG220" s="264" t="e">
        <f t="shared" si="223"/>
        <v>#N/A</v>
      </c>
      <c r="AH220" s="263" t="e">
        <f t="shared" si="191"/>
        <v>#N/A</v>
      </c>
      <c r="AI220" s="226">
        <f t="shared" si="224"/>
        <v>7</v>
      </c>
      <c r="AJ220" s="264" t="e">
        <f t="shared" si="192"/>
        <v>#N/A</v>
      </c>
      <c r="AK220" s="264" t="e">
        <f t="shared" si="225"/>
        <v>#N/A</v>
      </c>
      <c r="AL220" s="226" t="e">
        <f t="shared" si="193"/>
        <v>#N/A</v>
      </c>
      <c r="AM220" s="265" t="e">
        <f t="shared" si="226"/>
        <v>#N/A</v>
      </c>
      <c r="AN220" s="266" t="e">
        <f t="shared" si="194"/>
        <v>#N/A</v>
      </c>
      <c r="AO220" s="227" t="e">
        <f t="shared" si="195"/>
        <v>#N/A</v>
      </c>
      <c r="AP220" s="284">
        <f t="shared" si="227"/>
        <v>7</v>
      </c>
      <c r="AQ220" s="285" t="e">
        <f t="shared" si="196"/>
        <v>#N/A</v>
      </c>
      <c r="AR220" s="266" t="e">
        <f t="shared" si="228"/>
        <v>#N/A</v>
      </c>
      <c r="AS220" s="270" t="e">
        <f t="shared" si="197"/>
        <v>#N/A</v>
      </c>
      <c r="AT220" s="271">
        <f t="shared" si="229"/>
        <v>7</v>
      </c>
      <c r="AU220" s="272" t="e">
        <f t="shared" si="230"/>
        <v>#N/A</v>
      </c>
      <c r="AV220" s="273" t="e">
        <f t="shared" si="231"/>
        <v>#N/A</v>
      </c>
      <c r="AW220" s="274" t="e">
        <f t="shared" si="198"/>
        <v>#N/A</v>
      </c>
      <c r="AX220" s="232">
        <f t="shared" si="232"/>
        <v>7</v>
      </c>
      <c r="AY220" s="273" t="e">
        <f t="shared" si="199"/>
        <v>#N/A</v>
      </c>
      <c r="AZ220" s="232" t="e">
        <f t="shared" si="233"/>
        <v>#N/A</v>
      </c>
      <c r="BA220" s="232" t="e">
        <f t="shared" si="200"/>
        <v>#N/A</v>
      </c>
      <c r="BB220" s="275">
        <f t="shared" si="234"/>
        <v>7</v>
      </c>
      <c r="BC220" s="276" t="e">
        <f t="shared" si="235"/>
        <v>#N/A</v>
      </c>
      <c r="BD220" s="277" t="e">
        <f t="shared" si="236"/>
        <v>#N/A</v>
      </c>
      <c r="BE220" s="250" t="e">
        <f t="shared" si="201"/>
        <v>#N/A</v>
      </c>
      <c r="BF220" s="247">
        <f t="shared" si="237"/>
        <v>7</v>
      </c>
      <c r="BG220" s="276" t="e">
        <f t="shared" si="238"/>
        <v>#N/A</v>
      </c>
      <c r="BH220" s="277" t="e">
        <f t="shared" si="239"/>
        <v>#N/A</v>
      </c>
      <c r="BI220" s="250" t="e">
        <f t="shared" si="202"/>
        <v>#N/A</v>
      </c>
      <c r="BJ220" s="251">
        <f t="shared" si="240"/>
        <v>7</v>
      </c>
      <c r="BK220" s="278" t="e">
        <f t="shared" si="241"/>
        <v>#N/A</v>
      </c>
      <c r="BL220" s="278" t="e">
        <f t="shared" si="242"/>
        <v>#N/A</v>
      </c>
      <c r="BM220" s="279" t="e">
        <f t="shared" si="203"/>
        <v>#N/A</v>
      </c>
      <c r="BN220" s="280">
        <f t="shared" si="243"/>
        <v>7</v>
      </c>
      <c r="BO220" s="281" t="e">
        <f t="shared" si="244"/>
        <v>#N/A</v>
      </c>
      <c r="BP220" s="281" t="e">
        <f t="shared" si="245"/>
        <v>#N/A</v>
      </c>
      <c r="BQ220" s="279" t="e">
        <f t="shared" si="204"/>
        <v>#N/A</v>
      </c>
      <c r="BR220" s="282" t="e">
        <f t="shared" si="205"/>
        <v>#N/A</v>
      </c>
      <c r="BS220" s="217" t="e">
        <f>VLOOKUP($B220,SDR24_STOCK_BY_LA!$A$2:$C$11878,3,0)</f>
        <v>#N/A</v>
      </c>
      <c r="BT220" s="217" t="str">
        <f t="shared" si="246"/>
        <v/>
      </c>
    </row>
    <row r="221" spans="1:72" x14ac:dyDescent="0.2">
      <c r="A221" s="256" t="str">
        <f t="shared" si="247"/>
        <v/>
      </c>
      <c r="B221" s="217" t="str">
        <f t="shared" si="248"/>
        <v/>
      </c>
      <c r="C221" s="257" t="str">
        <f t="shared" si="206"/>
        <v/>
      </c>
      <c r="D221" s="256" t="str">
        <f>IF(B221="","",IF(totals!$Q$3=0,IFERROR(IF(AD221=2,"0",AE221),""),"-"))</f>
        <v/>
      </c>
      <c r="E221" s="258" t="str">
        <f t="shared" si="207"/>
        <v/>
      </c>
      <c r="F221" s="259" t="str">
        <f t="shared" si="208"/>
        <v/>
      </c>
      <c r="G221" s="259" t="str">
        <f t="shared" si="209"/>
        <v/>
      </c>
      <c r="H221" s="256" t="str">
        <f t="shared" si="187"/>
        <v/>
      </c>
      <c r="I221" s="259" t="str">
        <f t="shared" si="210"/>
        <v/>
      </c>
      <c r="J221" s="259" t="str">
        <f t="shared" si="211"/>
        <v/>
      </c>
      <c r="K221" s="256" t="str">
        <f t="shared" si="188"/>
        <v/>
      </c>
      <c r="L221" s="259" t="str">
        <f t="shared" si="189"/>
        <v/>
      </c>
      <c r="M221" s="259" t="str">
        <f t="shared" si="212"/>
        <v/>
      </c>
      <c r="N221" s="256" t="str">
        <f t="shared" si="213"/>
        <v/>
      </c>
      <c r="O221" s="259" t="str">
        <f t="shared" si="214"/>
        <v/>
      </c>
      <c r="P221" s="259" t="str">
        <f t="shared" si="215"/>
        <v/>
      </c>
      <c r="Q221" s="256" t="str">
        <f t="shared" si="216"/>
        <v/>
      </c>
      <c r="R221" s="259" t="str">
        <f t="shared" si="217"/>
        <v/>
      </c>
      <c r="S221" s="259" t="str">
        <f t="shared" si="218"/>
        <v/>
      </c>
      <c r="T221" s="256" t="str">
        <f t="shared" si="219"/>
        <v/>
      </c>
      <c r="U221" s="217"/>
      <c r="V221" s="217"/>
      <c r="AB221" s="257" t="e">
        <f>VLOOKUP($B$6,Lookup_Source,214,0)</f>
        <v>#N/A</v>
      </c>
      <c r="AC221" s="241" t="str">
        <f t="shared" si="220"/>
        <v/>
      </c>
      <c r="AD221" s="242">
        <f t="shared" si="221"/>
        <v>7</v>
      </c>
      <c r="AE221" s="261" t="e">
        <f t="shared" si="190"/>
        <v>#N/A</v>
      </c>
      <c r="AF221" s="264" t="e">
        <f t="shared" si="222"/>
        <v>#N/A</v>
      </c>
      <c r="AG221" s="264" t="e">
        <f t="shared" si="223"/>
        <v>#N/A</v>
      </c>
      <c r="AH221" s="263" t="e">
        <f t="shared" si="191"/>
        <v>#N/A</v>
      </c>
      <c r="AI221" s="226">
        <f t="shared" si="224"/>
        <v>7</v>
      </c>
      <c r="AJ221" s="264" t="e">
        <f t="shared" si="192"/>
        <v>#N/A</v>
      </c>
      <c r="AK221" s="264" t="e">
        <f t="shared" si="225"/>
        <v>#N/A</v>
      </c>
      <c r="AL221" s="226" t="e">
        <f t="shared" si="193"/>
        <v>#N/A</v>
      </c>
      <c r="AM221" s="265" t="e">
        <f t="shared" si="226"/>
        <v>#N/A</v>
      </c>
      <c r="AN221" s="266" t="e">
        <f t="shared" si="194"/>
        <v>#N/A</v>
      </c>
      <c r="AO221" s="227" t="e">
        <f t="shared" si="195"/>
        <v>#N/A</v>
      </c>
      <c r="AP221" s="284">
        <f t="shared" si="227"/>
        <v>7</v>
      </c>
      <c r="AQ221" s="285" t="e">
        <f t="shared" si="196"/>
        <v>#N/A</v>
      </c>
      <c r="AR221" s="266" t="e">
        <f t="shared" si="228"/>
        <v>#N/A</v>
      </c>
      <c r="AS221" s="270" t="e">
        <f t="shared" si="197"/>
        <v>#N/A</v>
      </c>
      <c r="AT221" s="271">
        <f t="shared" si="229"/>
        <v>7</v>
      </c>
      <c r="AU221" s="272" t="e">
        <f t="shared" si="230"/>
        <v>#N/A</v>
      </c>
      <c r="AV221" s="273" t="e">
        <f t="shared" si="231"/>
        <v>#N/A</v>
      </c>
      <c r="AW221" s="274" t="e">
        <f t="shared" si="198"/>
        <v>#N/A</v>
      </c>
      <c r="AX221" s="232">
        <f t="shared" si="232"/>
        <v>7</v>
      </c>
      <c r="AY221" s="273" t="e">
        <f t="shared" si="199"/>
        <v>#N/A</v>
      </c>
      <c r="AZ221" s="232" t="e">
        <f t="shared" si="233"/>
        <v>#N/A</v>
      </c>
      <c r="BA221" s="232" t="e">
        <f t="shared" si="200"/>
        <v>#N/A</v>
      </c>
      <c r="BB221" s="275">
        <f t="shared" si="234"/>
        <v>7</v>
      </c>
      <c r="BC221" s="276" t="e">
        <f t="shared" si="235"/>
        <v>#N/A</v>
      </c>
      <c r="BD221" s="277" t="e">
        <f t="shared" si="236"/>
        <v>#N/A</v>
      </c>
      <c r="BE221" s="250" t="e">
        <f t="shared" si="201"/>
        <v>#N/A</v>
      </c>
      <c r="BF221" s="247">
        <f t="shared" si="237"/>
        <v>7</v>
      </c>
      <c r="BG221" s="276" t="e">
        <f t="shared" si="238"/>
        <v>#N/A</v>
      </c>
      <c r="BH221" s="277" t="e">
        <f t="shared" si="239"/>
        <v>#N/A</v>
      </c>
      <c r="BI221" s="250" t="e">
        <f t="shared" si="202"/>
        <v>#N/A</v>
      </c>
      <c r="BJ221" s="251">
        <f t="shared" si="240"/>
        <v>7</v>
      </c>
      <c r="BK221" s="278" t="e">
        <f t="shared" si="241"/>
        <v>#N/A</v>
      </c>
      <c r="BL221" s="278" t="e">
        <f t="shared" si="242"/>
        <v>#N/A</v>
      </c>
      <c r="BM221" s="279" t="e">
        <f t="shared" si="203"/>
        <v>#N/A</v>
      </c>
      <c r="BN221" s="280">
        <f t="shared" si="243"/>
        <v>7</v>
      </c>
      <c r="BO221" s="281" t="e">
        <f t="shared" si="244"/>
        <v>#N/A</v>
      </c>
      <c r="BP221" s="281" t="e">
        <f t="shared" si="245"/>
        <v>#N/A</v>
      </c>
      <c r="BQ221" s="279" t="e">
        <f t="shared" si="204"/>
        <v>#N/A</v>
      </c>
      <c r="BR221" s="282" t="e">
        <f t="shared" si="205"/>
        <v>#N/A</v>
      </c>
      <c r="BS221" s="217" t="e">
        <f>VLOOKUP($B221,SDR24_STOCK_BY_LA!$A$2:$C$11878,3,0)</f>
        <v>#N/A</v>
      </c>
      <c r="BT221" s="217" t="str">
        <f t="shared" si="246"/>
        <v/>
      </c>
    </row>
    <row r="222" spans="1:72" x14ac:dyDescent="0.2">
      <c r="A222" s="217" t="str">
        <f t="shared" si="247"/>
        <v/>
      </c>
      <c r="B222" s="217" t="str">
        <f t="shared" si="248"/>
        <v/>
      </c>
      <c r="C222" s="283" t="str">
        <f t="shared" si="206"/>
        <v/>
      </c>
      <c r="D222" s="256" t="str">
        <f>IF(B222="","",IF(totals!$Q$3=0,IFERROR(IF(AD222=2,"0",AE222),""),"-"))</f>
        <v/>
      </c>
      <c r="E222" s="258" t="str">
        <f t="shared" si="207"/>
        <v/>
      </c>
      <c r="F222" s="259" t="str">
        <f t="shared" si="208"/>
        <v/>
      </c>
      <c r="G222" s="259" t="str">
        <f t="shared" si="209"/>
        <v/>
      </c>
      <c r="H222" s="256" t="str">
        <f t="shared" si="187"/>
        <v/>
      </c>
      <c r="I222" s="259" t="str">
        <f t="shared" si="210"/>
        <v/>
      </c>
      <c r="J222" s="259" t="str">
        <f t="shared" si="211"/>
        <v/>
      </c>
      <c r="K222" s="256" t="str">
        <f t="shared" si="188"/>
        <v/>
      </c>
      <c r="L222" s="259" t="str">
        <f t="shared" si="189"/>
        <v/>
      </c>
      <c r="M222" s="259" t="str">
        <f t="shared" si="212"/>
        <v/>
      </c>
      <c r="N222" s="256" t="str">
        <f t="shared" si="213"/>
        <v/>
      </c>
      <c r="O222" s="259" t="str">
        <f t="shared" si="214"/>
        <v/>
      </c>
      <c r="P222" s="259" t="str">
        <f t="shared" si="215"/>
        <v/>
      </c>
      <c r="Q222" s="256" t="str">
        <f t="shared" si="216"/>
        <v/>
      </c>
      <c r="R222" s="259" t="str">
        <f t="shared" si="217"/>
        <v/>
      </c>
      <c r="S222" s="259" t="str">
        <f t="shared" si="218"/>
        <v/>
      </c>
      <c r="T222" s="256" t="str">
        <f t="shared" si="219"/>
        <v/>
      </c>
      <c r="U222" s="217"/>
      <c r="V222" s="217"/>
      <c r="AB222" s="217" t="e">
        <f>VLOOKUP($B$6,Lookup_Source,215,0)</f>
        <v>#N/A</v>
      </c>
      <c r="AC222" s="241" t="str">
        <f t="shared" si="220"/>
        <v/>
      </c>
      <c r="AD222" s="242">
        <f t="shared" si="221"/>
        <v>7</v>
      </c>
      <c r="AE222" s="261" t="e">
        <f t="shared" si="190"/>
        <v>#N/A</v>
      </c>
      <c r="AF222" s="264" t="e">
        <f t="shared" si="222"/>
        <v>#N/A</v>
      </c>
      <c r="AG222" s="264" t="e">
        <f t="shared" si="223"/>
        <v>#N/A</v>
      </c>
      <c r="AH222" s="263" t="e">
        <f t="shared" si="191"/>
        <v>#N/A</v>
      </c>
      <c r="AI222" s="226">
        <f t="shared" si="224"/>
        <v>7</v>
      </c>
      <c r="AJ222" s="264" t="e">
        <f t="shared" si="192"/>
        <v>#N/A</v>
      </c>
      <c r="AK222" s="264" t="e">
        <f t="shared" si="225"/>
        <v>#N/A</v>
      </c>
      <c r="AL222" s="226" t="e">
        <f t="shared" si="193"/>
        <v>#N/A</v>
      </c>
      <c r="AM222" s="265" t="e">
        <f t="shared" si="226"/>
        <v>#N/A</v>
      </c>
      <c r="AN222" s="266" t="e">
        <f t="shared" si="194"/>
        <v>#N/A</v>
      </c>
      <c r="AO222" s="227" t="e">
        <f t="shared" si="195"/>
        <v>#N/A</v>
      </c>
      <c r="AP222" s="284">
        <f t="shared" si="227"/>
        <v>7</v>
      </c>
      <c r="AQ222" s="285" t="e">
        <f t="shared" si="196"/>
        <v>#N/A</v>
      </c>
      <c r="AR222" s="266" t="e">
        <f t="shared" si="228"/>
        <v>#N/A</v>
      </c>
      <c r="AS222" s="270" t="e">
        <f t="shared" si="197"/>
        <v>#N/A</v>
      </c>
      <c r="AT222" s="271">
        <f t="shared" si="229"/>
        <v>7</v>
      </c>
      <c r="AU222" s="272" t="e">
        <f t="shared" si="230"/>
        <v>#N/A</v>
      </c>
      <c r="AV222" s="273" t="e">
        <f t="shared" si="231"/>
        <v>#N/A</v>
      </c>
      <c r="AW222" s="274" t="e">
        <f t="shared" si="198"/>
        <v>#N/A</v>
      </c>
      <c r="AX222" s="232">
        <f t="shared" si="232"/>
        <v>7</v>
      </c>
      <c r="AY222" s="273" t="e">
        <f t="shared" si="199"/>
        <v>#N/A</v>
      </c>
      <c r="AZ222" s="232" t="e">
        <f t="shared" si="233"/>
        <v>#N/A</v>
      </c>
      <c r="BA222" s="232" t="e">
        <f t="shared" si="200"/>
        <v>#N/A</v>
      </c>
      <c r="BB222" s="275">
        <f t="shared" si="234"/>
        <v>7</v>
      </c>
      <c r="BC222" s="276" t="e">
        <f t="shared" si="235"/>
        <v>#N/A</v>
      </c>
      <c r="BD222" s="277" t="e">
        <f t="shared" si="236"/>
        <v>#N/A</v>
      </c>
      <c r="BE222" s="250" t="e">
        <f t="shared" si="201"/>
        <v>#N/A</v>
      </c>
      <c r="BF222" s="247">
        <f t="shared" si="237"/>
        <v>7</v>
      </c>
      <c r="BG222" s="276" t="e">
        <f t="shared" si="238"/>
        <v>#N/A</v>
      </c>
      <c r="BH222" s="277" t="e">
        <f t="shared" si="239"/>
        <v>#N/A</v>
      </c>
      <c r="BI222" s="250" t="e">
        <f t="shared" si="202"/>
        <v>#N/A</v>
      </c>
      <c r="BJ222" s="251">
        <f t="shared" si="240"/>
        <v>7</v>
      </c>
      <c r="BK222" s="278" t="e">
        <f t="shared" si="241"/>
        <v>#N/A</v>
      </c>
      <c r="BL222" s="278" t="e">
        <f t="shared" si="242"/>
        <v>#N/A</v>
      </c>
      <c r="BM222" s="279" t="e">
        <f t="shared" si="203"/>
        <v>#N/A</v>
      </c>
      <c r="BN222" s="280">
        <f t="shared" si="243"/>
        <v>7</v>
      </c>
      <c r="BO222" s="281" t="e">
        <f t="shared" si="244"/>
        <v>#N/A</v>
      </c>
      <c r="BP222" s="281" t="e">
        <f t="shared" si="245"/>
        <v>#N/A</v>
      </c>
      <c r="BQ222" s="279" t="e">
        <f t="shared" si="204"/>
        <v>#N/A</v>
      </c>
      <c r="BR222" s="282" t="e">
        <f t="shared" si="205"/>
        <v>#N/A</v>
      </c>
      <c r="BS222" s="217" t="e">
        <f>VLOOKUP($B222,SDR24_STOCK_BY_LA!$A$2:$C$11878,3,0)</f>
        <v>#N/A</v>
      </c>
      <c r="BT222" s="217" t="str">
        <f t="shared" si="246"/>
        <v/>
      </c>
    </row>
    <row r="223" spans="1:72" x14ac:dyDescent="0.2">
      <c r="A223" s="256" t="str">
        <f t="shared" si="247"/>
        <v/>
      </c>
      <c r="B223" s="217" t="str">
        <f t="shared" si="248"/>
        <v/>
      </c>
      <c r="C223" s="257" t="str">
        <f t="shared" si="206"/>
        <v/>
      </c>
      <c r="D223" s="256" t="str">
        <f>IF(B223="","",IF(totals!$Q$3=0,IFERROR(IF(AD223=2,"0",AE223),""),"-"))</f>
        <v/>
      </c>
      <c r="E223" s="258" t="str">
        <f t="shared" si="207"/>
        <v/>
      </c>
      <c r="F223" s="259" t="str">
        <f t="shared" si="208"/>
        <v/>
      </c>
      <c r="G223" s="259" t="str">
        <f t="shared" si="209"/>
        <v/>
      </c>
      <c r="H223" s="256" t="str">
        <f t="shared" si="187"/>
        <v/>
      </c>
      <c r="I223" s="259" t="str">
        <f t="shared" si="210"/>
        <v/>
      </c>
      <c r="J223" s="259" t="str">
        <f t="shared" si="211"/>
        <v/>
      </c>
      <c r="K223" s="256" t="str">
        <f t="shared" si="188"/>
        <v/>
      </c>
      <c r="L223" s="259" t="str">
        <f t="shared" si="189"/>
        <v/>
      </c>
      <c r="M223" s="259" t="str">
        <f t="shared" si="212"/>
        <v/>
      </c>
      <c r="N223" s="256" t="str">
        <f t="shared" si="213"/>
        <v/>
      </c>
      <c r="O223" s="259" t="str">
        <f t="shared" si="214"/>
        <v/>
      </c>
      <c r="P223" s="259" t="str">
        <f t="shared" si="215"/>
        <v/>
      </c>
      <c r="Q223" s="256" t="str">
        <f t="shared" si="216"/>
        <v/>
      </c>
      <c r="R223" s="259" t="str">
        <f t="shared" si="217"/>
        <v/>
      </c>
      <c r="S223" s="259" t="str">
        <f t="shared" si="218"/>
        <v/>
      </c>
      <c r="T223" s="256" t="str">
        <f t="shared" si="219"/>
        <v/>
      </c>
      <c r="U223" s="217"/>
      <c r="V223" s="217"/>
      <c r="AB223" s="257" t="e">
        <f>VLOOKUP($B$6,Lookup_Source,216,0)</f>
        <v>#N/A</v>
      </c>
      <c r="AC223" s="241" t="str">
        <f t="shared" si="220"/>
        <v/>
      </c>
      <c r="AD223" s="242">
        <f t="shared" si="221"/>
        <v>7</v>
      </c>
      <c r="AE223" s="261" t="e">
        <f t="shared" si="190"/>
        <v>#N/A</v>
      </c>
      <c r="AF223" s="264" t="e">
        <f t="shared" si="222"/>
        <v>#N/A</v>
      </c>
      <c r="AG223" s="264" t="e">
        <f t="shared" si="223"/>
        <v>#N/A</v>
      </c>
      <c r="AH223" s="263" t="e">
        <f t="shared" si="191"/>
        <v>#N/A</v>
      </c>
      <c r="AI223" s="226">
        <f t="shared" si="224"/>
        <v>7</v>
      </c>
      <c r="AJ223" s="264" t="e">
        <f t="shared" si="192"/>
        <v>#N/A</v>
      </c>
      <c r="AK223" s="264" t="e">
        <f t="shared" si="225"/>
        <v>#N/A</v>
      </c>
      <c r="AL223" s="226" t="e">
        <f t="shared" si="193"/>
        <v>#N/A</v>
      </c>
      <c r="AM223" s="265" t="e">
        <f t="shared" si="226"/>
        <v>#N/A</v>
      </c>
      <c r="AN223" s="266" t="e">
        <f t="shared" si="194"/>
        <v>#N/A</v>
      </c>
      <c r="AO223" s="227" t="e">
        <f t="shared" si="195"/>
        <v>#N/A</v>
      </c>
      <c r="AP223" s="284">
        <f t="shared" si="227"/>
        <v>7</v>
      </c>
      <c r="AQ223" s="285" t="e">
        <f t="shared" si="196"/>
        <v>#N/A</v>
      </c>
      <c r="AR223" s="266" t="e">
        <f t="shared" si="228"/>
        <v>#N/A</v>
      </c>
      <c r="AS223" s="270" t="e">
        <f t="shared" si="197"/>
        <v>#N/A</v>
      </c>
      <c r="AT223" s="271">
        <f t="shared" si="229"/>
        <v>7</v>
      </c>
      <c r="AU223" s="272" t="e">
        <f t="shared" si="230"/>
        <v>#N/A</v>
      </c>
      <c r="AV223" s="273" t="e">
        <f t="shared" si="231"/>
        <v>#N/A</v>
      </c>
      <c r="AW223" s="274" t="e">
        <f t="shared" si="198"/>
        <v>#N/A</v>
      </c>
      <c r="AX223" s="232">
        <f t="shared" si="232"/>
        <v>7</v>
      </c>
      <c r="AY223" s="273" t="e">
        <f t="shared" si="199"/>
        <v>#N/A</v>
      </c>
      <c r="AZ223" s="232" t="e">
        <f t="shared" si="233"/>
        <v>#N/A</v>
      </c>
      <c r="BA223" s="232" t="e">
        <f t="shared" si="200"/>
        <v>#N/A</v>
      </c>
      <c r="BB223" s="275">
        <f t="shared" si="234"/>
        <v>7</v>
      </c>
      <c r="BC223" s="276" t="e">
        <f t="shared" si="235"/>
        <v>#N/A</v>
      </c>
      <c r="BD223" s="277" t="e">
        <f t="shared" si="236"/>
        <v>#N/A</v>
      </c>
      <c r="BE223" s="250" t="e">
        <f t="shared" si="201"/>
        <v>#N/A</v>
      </c>
      <c r="BF223" s="247">
        <f t="shared" si="237"/>
        <v>7</v>
      </c>
      <c r="BG223" s="276" t="e">
        <f t="shared" si="238"/>
        <v>#N/A</v>
      </c>
      <c r="BH223" s="277" t="e">
        <f t="shared" si="239"/>
        <v>#N/A</v>
      </c>
      <c r="BI223" s="250" t="e">
        <f t="shared" si="202"/>
        <v>#N/A</v>
      </c>
      <c r="BJ223" s="251">
        <f t="shared" si="240"/>
        <v>7</v>
      </c>
      <c r="BK223" s="278" t="e">
        <f t="shared" si="241"/>
        <v>#N/A</v>
      </c>
      <c r="BL223" s="278" t="e">
        <f t="shared" si="242"/>
        <v>#N/A</v>
      </c>
      <c r="BM223" s="279" t="e">
        <f t="shared" si="203"/>
        <v>#N/A</v>
      </c>
      <c r="BN223" s="280">
        <f t="shared" si="243"/>
        <v>7</v>
      </c>
      <c r="BO223" s="281" t="e">
        <f t="shared" si="244"/>
        <v>#N/A</v>
      </c>
      <c r="BP223" s="281" t="e">
        <f t="shared" si="245"/>
        <v>#N/A</v>
      </c>
      <c r="BQ223" s="279" t="e">
        <f t="shared" si="204"/>
        <v>#N/A</v>
      </c>
      <c r="BR223" s="282" t="e">
        <f t="shared" si="205"/>
        <v>#N/A</v>
      </c>
      <c r="BS223" s="217" t="e">
        <f>VLOOKUP($B223,SDR24_STOCK_BY_LA!$A$2:$C$11878,3,0)</f>
        <v>#N/A</v>
      </c>
      <c r="BT223" s="217" t="str">
        <f t="shared" si="246"/>
        <v/>
      </c>
    </row>
    <row r="224" spans="1:72" x14ac:dyDescent="0.2">
      <c r="A224" s="217" t="str">
        <f t="shared" si="247"/>
        <v/>
      </c>
      <c r="B224" s="217" t="str">
        <f t="shared" si="248"/>
        <v/>
      </c>
      <c r="C224" s="283" t="str">
        <f t="shared" si="206"/>
        <v/>
      </c>
      <c r="D224" s="256" t="str">
        <f>IF(B224="","",IF(totals!$Q$3=0,IFERROR(IF(AD224=2,"0",AE224),""),"-"))</f>
        <v/>
      </c>
      <c r="E224" s="258" t="str">
        <f t="shared" si="207"/>
        <v/>
      </c>
      <c r="F224" s="259" t="str">
        <f t="shared" si="208"/>
        <v/>
      </c>
      <c r="G224" s="259" t="str">
        <f t="shared" si="209"/>
        <v/>
      </c>
      <c r="H224" s="256" t="str">
        <f t="shared" si="187"/>
        <v/>
      </c>
      <c r="I224" s="259" t="str">
        <f t="shared" si="210"/>
        <v/>
      </c>
      <c r="J224" s="259" t="str">
        <f t="shared" si="211"/>
        <v/>
      </c>
      <c r="K224" s="256" t="str">
        <f t="shared" si="188"/>
        <v/>
      </c>
      <c r="L224" s="259" t="str">
        <f t="shared" si="189"/>
        <v/>
      </c>
      <c r="M224" s="259" t="str">
        <f t="shared" si="212"/>
        <v/>
      </c>
      <c r="N224" s="256" t="str">
        <f t="shared" si="213"/>
        <v/>
      </c>
      <c r="O224" s="259" t="str">
        <f t="shared" si="214"/>
        <v/>
      </c>
      <c r="P224" s="259" t="str">
        <f t="shared" si="215"/>
        <v/>
      </c>
      <c r="Q224" s="256" t="str">
        <f t="shared" si="216"/>
        <v/>
      </c>
      <c r="R224" s="259" t="str">
        <f t="shared" si="217"/>
        <v/>
      </c>
      <c r="S224" s="259" t="str">
        <f t="shared" si="218"/>
        <v/>
      </c>
      <c r="T224" s="256" t="str">
        <f t="shared" si="219"/>
        <v/>
      </c>
      <c r="U224" s="217"/>
      <c r="V224" s="217"/>
      <c r="AB224" s="217" t="e">
        <f>VLOOKUP($B$6,Lookup_Source,217,0)</f>
        <v>#N/A</v>
      </c>
      <c r="AC224" s="241" t="str">
        <f t="shared" si="220"/>
        <v/>
      </c>
      <c r="AD224" s="242">
        <f t="shared" si="221"/>
        <v>7</v>
      </c>
      <c r="AE224" s="261" t="e">
        <f t="shared" si="190"/>
        <v>#N/A</v>
      </c>
      <c r="AF224" s="264" t="e">
        <f t="shared" si="222"/>
        <v>#N/A</v>
      </c>
      <c r="AG224" s="264" t="e">
        <f t="shared" si="223"/>
        <v>#N/A</v>
      </c>
      <c r="AH224" s="263" t="e">
        <f t="shared" si="191"/>
        <v>#N/A</v>
      </c>
      <c r="AI224" s="226">
        <f t="shared" si="224"/>
        <v>7</v>
      </c>
      <c r="AJ224" s="264" t="e">
        <f t="shared" si="192"/>
        <v>#N/A</v>
      </c>
      <c r="AK224" s="264" t="e">
        <f t="shared" si="225"/>
        <v>#N/A</v>
      </c>
      <c r="AL224" s="226" t="e">
        <f t="shared" si="193"/>
        <v>#N/A</v>
      </c>
      <c r="AM224" s="265" t="e">
        <f t="shared" si="226"/>
        <v>#N/A</v>
      </c>
      <c r="AN224" s="266" t="e">
        <f t="shared" si="194"/>
        <v>#N/A</v>
      </c>
      <c r="AO224" s="227" t="e">
        <f t="shared" si="195"/>
        <v>#N/A</v>
      </c>
      <c r="AP224" s="284">
        <f t="shared" si="227"/>
        <v>7</v>
      </c>
      <c r="AQ224" s="285" t="e">
        <f t="shared" si="196"/>
        <v>#N/A</v>
      </c>
      <c r="AR224" s="266" t="e">
        <f t="shared" si="228"/>
        <v>#N/A</v>
      </c>
      <c r="AS224" s="270" t="e">
        <f t="shared" si="197"/>
        <v>#N/A</v>
      </c>
      <c r="AT224" s="271">
        <f t="shared" si="229"/>
        <v>7</v>
      </c>
      <c r="AU224" s="272" t="e">
        <f t="shared" si="230"/>
        <v>#N/A</v>
      </c>
      <c r="AV224" s="273" t="e">
        <f t="shared" si="231"/>
        <v>#N/A</v>
      </c>
      <c r="AW224" s="274" t="e">
        <f t="shared" si="198"/>
        <v>#N/A</v>
      </c>
      <c r="AX224" s="232">
        <f t="shared" si="232"/>
        <v>7</v>
      </c>
      <c r="AY224" s="273" t="e">
        <f t="shared" si="199"/>
        <v>#N/A</v>
      </c>
      <c r="AZ224" s="232" t="e">
        <f t="shared" si="233"/>
        <v>#N/A</v>
      </c>
      <c r="BA224" s="232" t="e">
        <f t="shared" si="200"/>
        <v>#N/A</v>
      </c>
      <c r="BB224" s="275">
        <f t="shared" si="234"/>
        <v>7</v>
      </c>
      <c r="BC224" s="276" t="e">
        <f t="shared" si="235"/>
        <v>#N/A</v>
      </c>
      <c r="BD224" s="277" t="e">
        <f t="shared" si="236"/>
        <v>#N/A</v>
      </c>
      <c r="BE224" s="250" t="e">
        <f t="shared" si="201"/>
        <v>#N/A</v>
      </c>
      <c r="BF224" s="247">
        <f t="shared" si="237"/>
        <v>7</v>
      </c>
      <c r="BG224" s="276" t="e">
        <f t="shared" si="238"/>
        <v>#N/A</v>
      </c>
      <c r="BH224" s="277" t="e">
        <f t="shared" si="239"/>
        <v>#N/A</v>
      </c>
      <c r="BI224" s="250" t="e">
        <f t="shared" si="202"/>
        <v>#N/A</v>
      </c>
      <c r="BJ224" s="251">
        <f t="shared" si="240"/>
        <v>7</v>
      </c>
      <c r="BK224" s="278" t="e">
        <f t="shared" si="241"/>
        <v>#N/A</v>
      </c>
      <c r="BL224" s="278" t="e">
        <f t="shared" si="242"/>
        <v>#N/A</v>
      </c>
      <c r="BM224" s="279" t="e">
        <f t="shared" si="203"/>
        <v>#N/A</v>
      </c>
      <c r="BN224" s="280">
        <f t="shared" si="243"/>
        <v>7</v>
      </c>
      <c r="BO224" s="281" t="e">
        <f t="shared" si="244"/>
        <v>#N/A</v>
      </c>
      <c r="BP224" s="281" t="e">
        <f t="shared" si="245"/>
        <v>#N/A</v>
      </c>
      <c r="BQ224" s="279" t="e">
        <f t="shared" si="204"/>
        <v>#N/A</v>
      </c>
      <c r="BR224" s="282" t="e">
        <f t="shared" si="205"/>
        <v>#N/A</v>
      </c>
      <c r="BS224" s="217" t="e">
        <f>VLOOKUP($B224,SDR24_STOCK_BY_LA!$A$2:$C$11878,3,0)</f>
        <v>#N/A</v>
      </c>
      <c r="BT224" s="217" t="str">
        <f t="shared" si="246"/>
        <v/>
      </c>
    </row>
    <row r="225" spans="1:72" x14ac:dyDescent="0.2">
      <c r="A225" s="256" t="str">
        <f t="shared" si="247"/>
        <v/>
      </c>
      <c r="B225" s="217" t="str">
        <f t="shared" si="248"/>
        <v/>
      </c>
      <c r="C225" s="257" t="str">
        <f t="shared" si="206"/>
        <v/>
      </c>
      <c r="D225" s="256" t="str">
        <f>IF(B225="","",IF(totals!$Q$3=0,IFERROR(IF(AD225=2,"0",AE225),""),"-"))</f>
        <v/>
      </c>
      <c r="E225" s="258" t="str">
        <f t="shared" si="207"/>
        <v/>
      </c>
      <c r="F225" s="259" t="str">
        <f t="shared" si="208"/>
        <v/>
      </c>
      <c r="G225" s="259" t="str">
        <f t="shared" si="209"/>
        <v/>
      </c>
      <c r="H225" s="256" t="str">
        <f t="shared" si="187"/>
        <v/>
      </c>
      <c r="I225" s="259" t="str">
        <f t="shared" si="210"/>
        <v/>
      </c>
      <c r="J225" s="259" t="str">
        <f t="shared" si="211"/>
        <v/>
      </c>
      <c r="K225" s="256" t="str">
        <f t="shared" si="188"/>
        <v/>
      </c>
      <c r="L225" s="259" t="str">
        <f t="shared" si="189"/>
        <v/>
      </c>
      <c r="M225" s="259" t="str">
        <f t="shared" si="212"/>
        <v/>
      </c>
      <c r="N225" s="256" t="str">
        <f t="shared" si="213"/>
        <v/>
      </c>
      <c r="O225" s="259" t="str">
        <f t="shared" si="214"/>
        <v/>
      </c>
      <c r="P225" s="259" t="str">
        <f t="shared" si="215"/>
        <v/>
      </c>
      <c r="Q225" s="256" t="str">
        <f t="shared" si="216"/>
        <v/>
      </c>
      <c r="R225" s="259" t="str">
        <f t="shared" si="217"/>
        <v/>
      </c>
      <c r="S225" s="259" t="str">
        <f t="shared" si="218"/>
        <v/>
      </c>
      <c r="T225" s="256" t="str">
        <f t="shared" si="219"/>
        <v/>
      </c>
      <c r="U225" s="217"/>
      <c r="V225" s="217"/>
      <c r="AB225" s="257" t="e">
        <f>VLOOKUP($B$6,Lookup_Source,218,0)</f>
        <v>#N/A</v>
      </c>
      <c r="AC225" s="241" t="str">
        <f t="shared" si="220"/>
        <v/>
      </c>
      <c r="AD225" s="242">
        <f t="shared" si="221"/>
        <v>7</v>
      </c>
      <c r="AE225" s="261" t="e">
        <f t="shared" si="190"/>
        <v>#N/A</v>
      </c>
      <c r="AF225" s="264" t="e">
        <f t="shared" si="222"/>
        <v>#N/A</v>
      </c>
      <c r="AG225" s="264" t="e">
        <f t="shared" si="223"/>
        <v>#N/A</v>
      </c>
      <c r="AH225" s="263" t="e">
        <f t="shared" si="191"/>
        <v>#N/A</v>
      </c>
      <c r="AI225" s="226">
        <f t="shared" si="224"/>
        <v>7</v>
      </c>
      <c r="AJ225" s="264" t="e">
        <f t="shared" si="192"/>
        <v>#N/A</v>
      </c>
      <c r="AK225" s="264" t="e">
        <f t="shared" si="225"/>
        <v>#N/A</v>
      </c>
      <c r="AL225" s="226" t="e">
        <f t="shared" si="193"/>
        <v>#N/A</v>
      </c>
      <c r="AM225" s="265" t="e">
        <f t="shared" si="226"/>
        <v>#N/A</v>
      </c>
      <c r="AN225" s="266" t="e">
        <f t="shared" si="194"/>
        <v>#N/A</v>
      </c>
      <c r="AO225" s="227" t="e">
        <f t="shared" si="195"/>
        <v>#N/A</v>
      </c>
      <c r="AP225" s="284">
        <f t="shared" si="227"/>
        <v>7</v>
      </c>
      <c r="AQ225" s="285" t="e">
        <f t="shared" si="196"/>
        <v>#N/A</v>
      </c>
      <c r="AR225" s="266" t="e">
        <f t="shared" si="228"/>
        <v>#N/A</v>
      </c>
      <c r="AS225" s="270" t="e">
        <f t="shared" si="197"/>
        <v>#N/A</v>
      </c>
      <c r="AT225" s="271">
        <f t="shared" si="229"/>
        <v>7</v>
      </c>
      <c r="AU225" s="272" t="e">
        <f t="shared" si="230"/>
        <v>#N/A</v>
      </c>
      <c r="AV225" s="273" t="e">
        <f t="shared" si="231"/>
        <v>#N/A</v>
      </c>
      <c r="AW225" s="274" t="e">
        <f t="shared" si="198"/>
        <v>#N/A</v>
      </c>
      <c r="AX225" s="232">
        <f t="shared" si="232"/>
        <v>7</v>
      </c>
      <c r="AY225" s="273" t="e">
        <f t="shared" si="199"/>
        <v>#N/A</v>
      </c>
      <c r="AZ225" s="232" t="e">
        <f t="shared" si="233"/>
        <v>#N/A</v>
      </c>
      <c r="BA225" s="232" t="e">
        <f t="shared" si="200"/>
        <v>#N/A</v>
      </c>
      <c r="BB225" s="275">
        <f t="shared" si="234"/>
        <v>7</v>
      </c>
      <c r="BC225" s="276" t="e">
        <f t="shared" si="235"/>
        <v>#N/A</v>
      </c>
      <c r="BD225" s="277" t="e">
        <f t="shared" si="236"/>
        <v>#N/A</v>
      </c>
      <c r="BE225" s="250" t="e">
        <f t="shared" si="201"/>
        <v>#N/A</v>
      </c>
      <c r="BF225" s="247">
        <f t="shared" si="237"/>
        <v>7</v>
      </c>
      <c r="BG225" s="276" t="e">
        <f t="shared" si="238"/>
        <v>#N/A</v>
      </c>
      <c r="BH225" s="277" t="e">
        <f t="shared" si="239"/>
        <v>#N/A</v>
      </c>
      <c r="BI225" s="250" t="e">
        <f t="shared" si="202"/>
        <v>#N/A</v>
      </c>
      <c r="BJ225" s="251">
        <f t="shared" si="240"/>
        <v>7</v>
      </c>
      <c r="BK225" s="278" t="e">
        <f t="shared" si="241"/>
        <v>#N/A</v>
      </c>
      <c r="BL225" s="278" t="e">
        <f t="shared" si="242"/>
        <v>#N/A</v>
      </c>
      <c r="BM225" s="279" t="e">
        <f t="shared" si="203"/>
        <v>#N/A</v>
      </c>
      <c r="BN225" s="280">
        <f t="shared" si="243"/>
        <v>7</v>
      </c>
      <c r="BO225" s="281" t="e">
        <f t="shared" si="244"/>
        <v>#N/A</v>
      </c>
      <c r="BP225" s="281" t="e">
        <f t="shared" si="245"/>
        <v>#N/A</v>
      </c>
      <c r="BQ225" s="279" t="e">
        <f t="shared" si="204"/>
        <v>#N/A</v>
      </c>
      <c r="BR225" s="282" t="e">
        <f t="shared" si="205"/>
        <v>#N/A</v>
      </c>
      <c r="BS225" s="217" t="e">
        <f>VLOOKUP($B225,SDR24_STOCK_BY_LA!$A$2:$C$11878,3,0)</f>
        <v>#N/A</v>
      </c>
      <c r="BT225" s="217" t="str">
        <f t="shared" si="246"/>
        <v/>
      </c>
    </row>
    <row r="226" spans="1:72" x14ac:dyDescent="0.2">
      <c r="A226" s="217" t="str">
        <f t="shared" si="247"/>
        <v/>
      </c>
      <c r="B226" s="217" t="str">
        <f t="shared" si="248"/>
        <v/>
      </c>
      <c r="C226" s="283" t="str">
        <f t="shared" si="206"/>
        <v/>
      </c>
      <c r="D226" s="256" t="str">
        <f>IF(B226="","",IF(totals!$Q$3=0,IFERROR(IF(AD226=2,"0",AE226),""),"-"))</f>
        <v/>
      </c>
      <c r="E226" s="258" t="str">
        <f t="shared" si="207"/>
        <v/>
      </c>
      <c r="F226" s="259" t="str">
        <f t="shared" si="208"/>
        <v/>
      </c>
      <c r="G226" s="259" t="str">
        <f t="shared" si="209"/>
        <v/>
      </c>
      <c r="H226" s="256" t="str">
        <f t="shared" si="187"/>
        <v/>
      </c>
      <c r="I226" s="259" t="str">
        <f t="shared" si="210"/>
        <v/>
      </c>
      <c r="J226" s="259" t="str">
        <f t="shared" si="211"/>
        <v/>
      </c>
      <c r="K226" s="256" t="str">
        <f t="shared" si="188"/>
        <v/>
      </c>
      <c r="L226" s="259" t="str">
        <f t="shared" si="189"/>
        <v/>
      </c>
      <c r="M226" s="259" t="str">
        <f t="shared" si="212"/>
        <v/>
      </c>
      <c r="N226" s="256" t="str">
        <f t="shared" si="213"/>
        <v/>
      </c>
      <c r="O226" s="259" t="str">
        <f t="shared" si="214"/>
        <v/>
      </c>
      <c r="P226" s="259" t="str">
        <f t="shared" si="215"/>
        <v/>
      </c>
      <c r="Q226" s="256" t="str">
        <f t="shared" si="216"/>
        <v/>
      </c>
      <c r="R226" s="259" t="str">
        <f t="shared" si="217"/>
        <v/>
      </c>
      <c r="S226" s="259" t="str">
        <f t="shared" si="218"/>
        <v/>
      </c>
      <c r="T226" s="256" t="str">
        <f t="shared" si="219"/>
        <v/>
      </c>
      <c r="U226" s="217"/>
      <c r="V226" s="217"/>
      <c r="AB226" s="217" t="e">
        <f>VLOOKUP($B$6,Lookup_Source,219,0)</f>
        <v>#N/A</v>
      </c>
      <c r="AC226" s="241" t="str">
        <f t="shared" si="220"/>
        <v/>
      </c>
      <c r="AD226" s="242">
        <f t="shared" si="221"/>
        <v>7</v>
      </c>
      <c r="AE226" s="261" t="e">
        <f t="shared" si="190"/>
        <v>#N/A</v>
      </c>
      <c r="AF226" s="264" t="e">
        <f t="shared" si="222"/>
        <v>#N/A</v>
      </c>
      <c r="AG226" s="264" t="e">
        <f t="shared" si="223"/>
        <v>#N/A</v>
      </c>
      <c r="AH226" s="263" t="e">
        <f t="shared" si="191"/>
        <v>#N/A</v>
      </c>
      <c r="AI226" s="226">
        <f t="shared" si="224"/>
        <v>7</v>
      </c>
      <c r="AJ226" s="264" t="e">
        <f t="shared" si="192"/>
        <v>#N/A</v>
      </c>
      <c r="AK226" s="264" t="e">
        <f t="shared" si="225"/>
        <v>#N/A</v>
      </c>
      <c r="AL226" s="226" t="e">
        <f t="shared" si="193"/>
        <v>#N/A</v>
      </c>
      <c r="AM226" s="265" t="e">
        <f t="shared" si="226"/>
        <v>#N/A</v>
      </c>
      <c r="AN226" s="266" t="e">
        <f t="shared" si="194"/>
        <v>#N/A</v>
      </c>
      <c r="AO226" s="227" t="e">
        <f t="shared" si="195"/>
        <v>#N/A</v>
      </c>
      <c r="AP226" s="284">
        <f t="shared" si="227"/>
        <v>7</v>
      </c>
      <c r="AQ226" s="285" t="e">
        <f t="shared" si="196"/>
        <v>#N/A</v>
      </c>
      <c r="AR226" s="266" t="e">
        <f t="shared" si="228"/>
        <v>#N/A</v>
      </c>
      <c r="AS226" s="270" t="e">
        <f t="shared" si="197"/>
        <v>#N/A</v>
      </c>
      <c r="AT226" s="271">
        <f t="shared" si="229"/>
        <v>7</v>
      </c>
      <c r="AU226" s="272" t="e">
        <f t="shared" si="230"/>
        <v>#N/A</v>
      </c>
      <c r="AV226" s="273" t="e">
        <f t="shared" si="231"/>
        <v>#N/A</v>
      </c>
      <c r="AW226" s="274" t="e">
        <f t="shared" si="198"/>
        <v>#N/A</v>
      </c>
      <c r="AX226" s="232">
        <f t="shared" si="232"/>
        <v>7</v>
      </c>
      <c r="AY226" s="273" t="e">
        <f t="shared" si="199"/>
        <v>#N/A</v>
      </c>
      <c r="AZ226" s="232" t="e">
        <f t="shared" si="233"/>
        <v>#N/A</v>
      </c>
      <c r="BA226" s="232" t="e">
        <f t="shared" si="200"/>
        <v>#N/A</v>
      </c>
      <c r="BB226" s="275">
        <f t="shared" si="234"/>
        <v>7</v>
      </c>
      <c r="BC226" s="276" t="e">
        <f t="shared" si="235"/>
        <v>#N/A</v>
      </c>
      <c r="BD226" s="277" t="e">
        <f t="shared" si="236"/>
        <v>#N/A</v>
      </c>
      <c r="BE226" s="250" t="e">
        <f t="shared" si="201"/>
        <v>#N/A</v>
      </c>
      <c r="BF226" s="247">
        <f t="shared" si="237"/>
        <v>7</v>
      </c>
      <c r="BG226" s="276" t="e">
        <f t="shared" si="238"/>
        <v>#N/A</v>
      </c>
      <c r="BH226" s="277" t="e">
        <f t="shared" si="239"/>
        <v>#N/A</v>
      </c>
      <c r="BI226" s="250" t="e">
        <f t="shared" si="202"/>
        <v>#N/A</v>
      </c>
      <c r="BJ226" s="251">
        <f t="shared" si="240"/>
        <v>7</v>
      </c>
      <c r="BK226" s="278" t="e">
        <f t="shared" si="241"/>
        <v>#N/A</v>
      </c>
      <c r="BL226" s="278" t="e">
        <f t="shared" si="242"/>
        <v>#N/A</v>
      </c>
      <c r="BM226" s="279" t="e">
        <f t="shared" si="203"/>
        <v>#N/A</v>
      </c>
      <c r="BN226" s="280">
        <f t="shared" si="243"/>
        <v>7</v>
      </c>
      <c r="BO226" s="281" t="e">
        <f t="shared" si="244"/>
        <v>#N/A</v>
      </c>
      <c r="BP226" s="281" t="e">
        <f t="shared" si="245"/>
        <v>#N/A</v>
      </c>
      <c r="BQ226" s="279" t="e">
        <f t="shared" si="204"/>
        <v>#N/A</v>
      </c>
      <c r="BR226" s="282" t="e">
        <f t="shared" si="205"/>
        <v>#N/A</v>
      </c>
      <c r="BS226" s="217" t="e">
        <f>VLOOKUP($B226,SDR24_STOCK_BY_LA!$A$2:$C$11878,3,0)</f>
        <v>#N/A</v>
      </c>
      <c r="BT226" s="217" t="str">
        <f t="shared" si="246"/>
        <v/>
      </c>
    </row>
    <row r="227" spans="1:72" x14ac:dyDescent="0.2">
      <c r="A227" s="256" t="str">
        <f t="shared" si="247"/>
        <v/>
      </c>
      <c r="B227" s="217" t="str">
        <f t="shared" si="248"/>
        <v/>
      </c>
      <c r="C227" s="257" t="str">
        <f t="shared" si="206"/>
        <v/>
      </c>
      <c r="D227" s="256" t="str">
        <f>IF(B227="","",IF(totals!$Q$3=0,IFERROR(IF(AD227=2,"0",AE227),""),"-"))</f>
        <v/>
      </c>
      <c r="E227" s="258" t="str">
        <f t="shared" si="207"/>
        <v/>
      </c>
      <c r="F227" s="259" t="str">
        <f t="shared" si="208"/>
        <v/>
      </c>
      <c r="G227" s="259" t="str">
        <f t="shared" si="209"/>
        <v/>
      </c>
      <c r="H227" s="256" t="str">
        <f t="shared" si="187"/>
        <v/>
      </c>
      <c r="I227" s="259" t="str">
        <f t="shared" si="210"/>
        <v/>
      </c>
      <c r="J227" s="259" t="str">
        <f t="shared" si="211"/>
        <v/>
      </c>
      <c r="K227" s="256" t="str">
        <f t="shared" si="188"/>
        <v/>
      </c>
      <c r="L227" s="259" t="str">
        <f t="shared" si="189"/>
        <v/>
      </c>
      <c r="M227" s="259" t="str">
        <f t="shared" si="212"/>
        <v/>
      </c>
      <c r="N227" s="256" t="str">
        <f t="shared" si="213"/>
        <v/>
      </c>
      <c r="O227" s="259" t="str">
        <f t="shared" si="214"/>
        <v/>
      </c>
      <c r="P227" s="259" t="str">
        <f t="shared" si="215"/>
        <v/>
      </c>
      <c r="Q227" s="256" t="str">
        <f t="shared" si="216"/>
        <v/>
      </c>
      <c r="R227" s="259" t="str">
        <f t="shared" si="217"/>
        <v/>
      </c>
      <c r="S227" s="259" t="str">
        <f t="shared" si="218"/>
        <v/>
      </c>
      <c r="T227" s="256" t="str">
        <f t="shared" si="219"/>
        <v/>
      </c>
      <c r="U227" s="217"/>
      <c r="V227" s="217"/>
      <c r="AB227" s="257" t="e">
        <f>VLOOKUP($B$6,Lookup_Source,220,0)</f>
        <v>#N/A</v>
      </c>
      <c r="AC227" s="241" t="str">
        <f t="shared" si="220"/>
        <v/>
      </c>
      <c r="AD227" s="242">
        <f t="shared" si="221"/>
        <v>7</v>
      </c>
      <c r="AE227" s="261" t="e">
        <f t="shared" si="190"/>
        <v>#N/A</v>
      </c>
      <c r="AF227" s="264" t="e">
        <f t="shared" si="222"/>
        <v>#N/A</v>
      </c>
      <c r="AG227" s="264" t="e">
        <f t="shared" si="223"/>
        <v>#N/A</v>
      </c>
      <c r="AH227" s="263" t="e">
        <f t="shared" si="191"/>
        <v>#N/A</v>
      </c>
      <c r="AI227" s="226">
        <f t="shared" si="224"/>
        <v>7</v>
      </c>
      <c r="AJ227" s="264" t="e">
        <f t="shared" si="192"/>
        <v>#N/A</v>
      </c>
      <c r="AK227" s="264" t="e">
        <f t="shared" si="225"/>
        <v>#N/A</v>
      </c>
      <c r="AL227" s="226" t="e">
        <f t="shared" si="193"/>
        <v>#N/A</v>
      </c>
      <c r="AM227" s="265" t="e">
        <f t="shared" si="226"/>
        <v>#N/A</v>
      </c>
      <c r="AN227" s="266" t="e">
        <f t="shared" si="194"/>
        <v>#N/A</v>
      </c>
      <c r="AO227" s="227" t="e">
        <f t="shared" si="195"/>
        <v>#N/A</v>
      </c>
      <c r="AP227" s="284">
        <f t="shared" si="227"/>
        <v>7</v>
      </c>
      <c r="AQ227" s="285" t="e">
        <f t="shared" si="196"/>
        <v>#N/A</v>
      </c>
      <c r="AR227" s="266" t="e">
        <f t="shared" si="228"/>
        <v>#N/A</v>
      </c>
      <c r="AS227" s="270" t="e">
        <f t="shared" si="197"/>
        <v>#N/A</v>
      </c>
      <c r="AT227" s="271">
        <f t="shared" si="229"/>
        <v>7</v>
      </c>
      <c r="AU227" s="272" t="e">
        <f t="shared" si="230"/>
        <v>#N/A</v>
      </c>
      <c r="AV227" s="273" t="e">
        <f t="shared" si="231"/>
        <v>#N/A</v>
      </c>
      <c r="AW227" s="274" t="e">
        <f t="shared" si="198"/>
        <v>#N/A</v>
      </c>
      <c r="AX227" s="232">
        <f t="shared" si="232"/>
        <v>7</v>
      </c>
      <c r="AY227" s="273" t="e">
        <f t="shared" si="199"/>
        <v>#N/A</v>
      </c>
      <c r="AZ227" s="232" t="e">
        <f t="shared" si="233"/>
        <v>#N/A</v>
      </c>
      <c r="BA227" s="232" t="e">
        <f t="shared" si="200"/>
        <v>#N/A</v>
      </c>
      <c r="BB227" s="275">
        <f t="shared" si="234"/>
        <v>7</v>
      </c>
      <c r="BC227" s="276" t="e">
        <f t="shared" si="235"/>
        <v>#N/A</v>
      </c>
      <c r="BD227" s="277" t="e">
        <f t="shared" si="236"/>
        <v>#N/A</v>
      </c>
      <c r="BE227" s="250" t="e">
        <f t="shared" si="201"/>
        <v>#N/A</v>
      </c>
      <c r="BF227" s="247">
        <f t="shared" si="237"/>
        <v>7</v>
      </c>
      <c r="BG227" s="276" t="e">
        <f t="shared" si="238"/>
        <v>#N/A</v>
      </c>
      <c r="BH227" s="277" t="e">
        <f t="shared" si="239"/>
        <v>#N/A</v>
      </c>
      <c r="BI227" s="250" t="e">
        <f t="shared" si="202"/>
        <v>#N/A</v>
      </c>
      <c r="BJ227" s="251">
        <f t="shared" si="240"/>
        <v>7</v>
      </c>
      <c r="BK227" s="278" t="e">
        <f t="shared" si="241"/>
        <v>#N/A</v>
      </c>
      <c r="BL227" s="278" t="e">
        <f t="shared" si="242"/>
        <v>#N/A</v>
      </c>
      <c r="BM227" s="279" t="e">
        <f t="shared" si="203"/>
        <v>#N/A</v>
      </c>
      <c r="BN227" s="280">
        <f t="shared" si="243"/>
        <v>7</v>
      </c>
      <c r="BO227" s="281" t="e">
        <f t="shared" si="244"/>
        <v>#N/A</v>
      </c>
      <c r="BP227" s="281" t="e">
        <f t="shared" si="245"/>
        <v>#N/A</v>
      </c>
      <c r="BQ227" s="279" t="e">
        <f t="shared" si="204"/>
        <v>#N/A</v>
      </c>
      <c r="BR227" s="282" t="e">
        <f t="shared" si="205"/>
        <v>#N/A</v>
      </c>
      <c r="BS227" s="217" t="e">
        <f>VLOOKUP($B227,SDR24_STOCK_BY_LA!$A$2:$C$11878,3,0)</f>
        <v>#N/A</v>
      </c>
      <c r="BT227" s="217" t="str">
        <f t="shared" si="246"/>
        <v/>
      </c>
    </row>
    <row r="228" spans="1:72" x14ac:dyDescent="0.2">
      <c r="A228" s="217" t="str">
        <f t="shared" si="247"/>
        <v/>
      </c>
      <c r="B228" s="217" t="str">
        <f t="shared" si="248"/>
        <v/>
      </c>
      <c r="C228" s="283" t="str">
        <f t="shared" si="206"/>
        <v/>
      </c>
      <c r="D228" s="256" t="str">
        <f>IF(B228="","",IF(totals!$Q$3=0,IFERROR(IF(AD228=2,"0",AE228),""),"-"))</f>
        <v/>
      </c>
      <c r="E228" s="258" t="str">
        <f t="shared" si="207"/>
        <v/>
      </c>
      <c r="F228" s="259" t="str">
        <f t="shared" si="208"/>
        <v/>
      </c>
      <c r="G228" s="259" t="str">
        <f t="shared" si="209"/>
        <v/>
      </c>
      <c r="H228" s="256" t="str">
        <f t="shared" si="187"/>
        <v/>
      </c>
      <c r="I228" s="259" t="str">
        <f t="shared" si="210"/>
        <v/>
      </c>
      <c r="J228" s="259" t="str">
        <f t="shared" si="211"/>
        <v/>
      </c>
      <c r="K228" s="256" t="str">
        <f t="shared" si="188"/>
        <v/>
      </c>
      <c r="L228" s="259" t="str">
        <f t="shared" si="189"/>
        <v/>
      </c>
      <c r="M228" s="259" t="str">
        <f t="shared" si="212"/>
        <v/>
      </c>
      <c r="N228" s="256" t="str">
        <f t="shared" si="213"/>
        <v/>
      </c>
      <c r="O228" s="259" t="str">
        <f t="shared" si="214"/>
        <v/>
      </c>
      <c r="P228" s="259" t="str">
        <f t="shared" si="215"/>
        <v/>
      </c>
      <c r="Q228" s="256" t="str">
        <f t="shared" si="216"/>
        <v/>
      </c>
      <c r="R228" s="259" t="str">
        <f t="shared" si="217"/>
        <v/>
      </c>
      <c r="S228" s="259" t="str">
        <f t="shared" si="218"/>
        <v/>
      </c>
      <c r="T228" s="256" t="str">
        <f t="shared" si="219"/>
        <v/>
      </c>
      <c r="U228" s="217"/>
      <c r="V228" s="217"/>
      <c r="AB228" s="217" t="e">
        <f>VLOOKUP($B$6,Lookup_Source,221,0)</f>
        <v>#N/A</v>
      </c>
      <c r="AC228" s="241" t="str">
        <f t="shared" si="220"/>
        <v/>
      </c>
      <c r="AD228" s="242">
        <f t="shared" si="221"/>
        <v>7</v>
      </c>
      <c r="AE228" s="261" t="e">
        <f t="shared" si="190"/>
        <v>#N/A</v>
      </c>
      <c r="AF228" s="264" t="e">
        <f t="shared" si="222"/>
        <v>#N/A</v>
      </c>
      <c r="AG228" s="264" t="e">
        <f t="shared" si="223"/>
        <v>#N/A</v>
      </c>
      <c r="AH228" s="263" t="e">
        <f t="shared" si="191"/>
        <v>#N/A</v>
      </c>
      <c r="AI228" s="226">
        <f t="shared" si="224"/>
        <v>7</v>
      </c>
      <c r="AJ228" s="264" t="e">
        <f t="shared" si="192"/>
        <v>#N/A</v>
      </c>
      <c r="AK228" s="264" t="e">
        <f t="shared" si="225"/>
        <v>#N/A</v>
      </c>
      <c r="AL228" s="226" t="e">
        <f t="shared" si="193"/>
        <v>#N/A</v>
      </c>
      <c r="AM228" s="265" t="e">
        <f t="shared" si="226"/>
        <v>#N/A</v>
      </c>
      <c r="AN228" s="266" t="e">
        <f t="shared" si="194"/>
        <v>#N/A</v>
      </c>
      <c r="AO228" s="227" t="e">
        <f t="shared" si="195"/>
        <v>#N/A</v>
      </c>
      <c r="AP228" s="284">
        <f t="shared" si="227"/>
        <v>7</v>
      </c>
      <c r="AQ228" s="285" t="e">
        <f t="shared" si="196"/>
        <v>#N/A</v>
      </c>
      <c r="AR228" s="266" t="e">
        <f t="shared" si="228"/>
        <v>#N/A</v>
      </c>
      <c r="AS228" s="270" t="e">
        <f t="shared" si="197"/>
        <v>#N/A</v>
      </c>
      <c r="AT228" s="271">
        <f t="shared" si="229"/>
        <v>7</v>
      </c>
      <c r="AU228" s="272" t="e">
        <f t="shared" si="230"/>
        <v>#N/A</v>
      </c>
      <c r="AV228" s="273" t="e">
        <f t="shared" si="231"/>
        <v>#N/A</v>
      </c>
      <c r="AW228" s="274" t="e">
        <f t="shared" si="198"/>
        <v>#N/A</v>
      </c>
      <c r="AX228" s="232">
        <f t="shared" si="232"/>
        <v>7</v>
      </c>
      <c r="AY228" s="273" t="e">
        <f t="shared" si="199"/>
        <v>#N/A</v>
      </c>
      <c r="AZ228" s="232" t="e">
        <f t="shared" si="233"/>
        <v>#N/A</v>
      </c>
      <c r="BA228" s="232" t="e">
        <f t="shared" si="200"/>
        <v>#N/A</v>
      </c>
      <c r="BB228" s="275">
        <f t="shared" si="234"/>
        <v>7</v>
      </c>
      <c r="BC228" s="276" t="e">
        <f t="shared" si="235"/>
        <v>#N/A</v>
      </c>
      <c r="BD228" s="277" t="e">
        <f t="shared" si="236"/>
        <v>#N/A</v>
      </c>
      <c r="BE228" s="250" t="e">
        <f t="shared" si="201"/>
        <v>#N/A</v>
      </c>
      <c r="BF228" s="247">
        <f t="shared" si="237"/>
        <v>7</v>
      </c>
      <c r="BG228" s="276" t="e">
        <f t="shared" si="238"/>
        <v>#N/A</v>
      </c>
      <c r="BH228" s="277" t="e">
        <f t="shared" si="239"/>
        <v>#N/A</v>
      </c>
      <c r="BI228" s="250" t="e">
        <f t="shared" si="202"/>
        <v>#N/A</v>
      </c>
      <c r="BJ228" s="251">
        <f t="shared" si="240"/>
        <v>7</v>
      </c>
      <c r="BK228" s="278" t="e">
        <f t="shared" si="241"/>
        <v>#N/A</v>
      </c>
      <c r="BL228" s="278" t="e">
        <f t="shared" si="242"/>
        <v>#N/A</v>
      </c>
      <c r="BM228" s="279" t="e">
        <f t="shared" si="203"/>
        <v>#N/A</v>
      </c>
      <c r="BN228" s="280">
        <f t="shared" si="243"/>
        <v>7</v>
      </c>
      <c r="BO228" s="281" t="e">
        <f t="shared" si="244"/>
        <v>#N/A</v>
      </c>
      <c r="BP228" s="281" t="e">
        <f t="shared" si="245"/>
        <v>#N/A</v>
      </c>
      <c r="BQ228" s="279" t="e">
        <f t="shared" si="204"/>
        <v>#N/A</v>
      </c>
      <c r="BR228" s="282" t="e">
        <f t="shared" si="205"/>
        <v>#N/A</v>
      </c>
      <c r="BS228" s="217" t="e">
        <f>VLOOKUP($B228,SDR24_STOCK_BY_LA!$A$2:$C$11878,3,0)</f>
        <v>#N/A</v>
      </c>
      <c r="BT228" s="217" t="str">
        <f t="shared" si="246"/>
        <v/>
      </c>
    </row>
    <row r="229" spans="1:72" x14ac:dyDescent="0.2">
      <c r="A229" s="256" t="str">
        <f t="shared" si="247"/>
        <v/>
      </c>
      <c r="B229" s="217" t="str">
        <f t="shared" si="248"/>
        <v/>
      </c>
      <c r="C229" s="257" t="str">
        <f t="shared" si="206"/>
        <v/>
      </c>
      <c r="D229" s="256" t="str">
        <f>IF(B229="","",IF(totals!$Q$3=0,IFERROR(IF(AD229=2,"0",AE229),""),"-"))</f>
        <v/>
      </c>
      <c r="E229" s="258" t="str">
        <f t="shared" si="207"/>
        <v/>
      </c>
      <c r="F229" s="259" t="str">
        <f t="shared" si="208"/>
        <v/>
      </c>
      <c r="G229" s="259" t="str">
        <f t="shared" si="209"/>
        <v/>
      </c>
      <c r="H229" s="256" t="str">
        <f t="shared" si="187"/>
        <v/>
      </c>
      <c r="I229" s="259" t="str">
        <f t="shared" si="210"/>
        <v/>
      </c>
      <c r="J229" s="259" t="str">
        <f t="shared" si="211"/>
        <v/>
      </c>
      <c r="K229" s="256" t="str">
        <f t="shared" si="188"/>
        <v/>
      </c>
      <c r="L229" s="259" t="str">
        <f t="shared" si="189"/>
        <v/>
      </c>
      <c r="M229" s="259" t="str">
        <f t="shared" si="212"/>
        <v/>
      </c>
      <c r="N229" s="256" t="str">
        <f t="shared" si="213"/>
        <v/>
      </c>
      <c r="O229" s="259" t="str">
        <f t="shared" si="214"/>
        <v/>
      </c>
      <c r="P229" s="259" t="str">
        <f t="shared" si="215"/>
        <v/>
      </c>
      <c r="Q229" s="256" t="str">
        <f t="shared" si="216"/>
        <v/>
      </c>
      <c r="R229" s="259" t="str">
        <f t="shared" si="217"/>
        <v/>
      </c>
      <c r="S229" s="259" t="str">
        <f t="shared" si="218"/>
        <v/>
      </c>
      <c r="T229" s="256" t="str">
        <f t="shared" si="219"/>
        <v/>
      </c>
      <c r="U229" s="217"/>
      <c r="V229" s="217"/>
      <c r="AB229" s="257" t="e">
        <f>VLOOKUP($B$6,Lookup_Source,222,0)</f>
        <v>#N/A</v>
      </c>
      <c r="AC229" s="241" t="str">
        <f t="shared" si="220"/>
        <v/>
      </c>
      <c r="AD229" s="242">
        <f t="shared" si="221"/>
        <v>7</v>
      </c>
      <c r="AE229" s="261" t="e">
        <f t="shared" si="190"/>
        <v>#N/A</v>
      </c>
      <c r="AF229" s="264" t="e">
        <f t="shared" si="222"/>
        <v>#N/A</v>
      </c>
      <c r="AG229" s="264" t="e">
        <f t="shared" si="223"/>
        <v>#N/A</v>
      </c>
      <c r="AH229" s="263" t="e">
        <f t="shared" si="191"/>
        <v>#N/A</v>
      </c>
      <c r="AI229" s="226">
        <f t="shared" si="224"/>
        <v>7</v>
      </c>
      <c r="AJ229" s="264" t="e">
        <f t="shared" si="192"/>
        <v>#N/A</v>
      </c>
      <c r="AK229" s="264" t="e">
        <f t="shared" si="225"/>
        <v>#N/A</v>
      </c>
      <c r="AL229" s="226" t="e">
        <f t="shared" si="193"/>
        <v>#N/A</v>
      </c>
      <c r="AM229" s="265" t="e">
        <f t="shared" si="226"/>
        <v>#N/A</v>
      </c>
      <c r="AN229" s="266" t="e">
        <f t="shared" si="194"/>
        <v>#N/A</v>
      </c>
      <c r="AO229" s="227" t="e">
        <f t="shared" si="195"/>
        <v>#N/A</v>
      </c>
      <c r="AP229" s="284">
        <f t="shared" si="227"/>
        <v>7</v>
      </c>
      <c r="AQ229" s="285" t="e">
        <f t="shared" si="196"/>
        <v>#N/A</v>
      </c>
      <c r="AR229" s="266" t="e">
        <f t="shared" si="228"/>
        <v>#N/A</v>
      </c>
      <c r="AS229" s="270" t="e">
        <f t="shared" si="197"/>
        <v>#N/A</v>
      </c>
      <c r="AT229" s="271">
        <f t="shared" si="229"/>
        <v>7</v>
      </c>
      <c r="AU229" s="272" t="e">
        <f t="shared" si="230"/>
        <v>#N/A</v>
      </c>
      <c r="AV229" s="273" t="e">
        <f t="shared" si="231"/>
        <v>#N/A</v>
      </c>
      <c r="AW229" s="274" t="e">
        <f t="shared" si="198"/>
        <v>#N/A</v>
      </c>
      <c r="AX229" s="232">
        <f t="shared" si="232"/>
        <v>7</v>
      </c>
      <c r="AY229" s="273" t="e">
        <f t="shared" si="199"/>
        <v>#N/A</v>
      </c>
      <c r="AZ229" s="232" t="e">
        <f t="shared" si="233"/>
        <v>#N/A</v>
      </c>
      <c r="BA229" s="232" t="e">
        <f t="shared" si="200"/>
        <v>#N/A</v>
      </c>
      <c r="BB229" s="275">
        <f t="shared" si="234"/>
        <v>7</v>
      </c>
      <c r="BC229" s="276" t="e">
        <f t="shared" si="235"/>
        <v>#N/A</v>
      </c>
      <c r="BD229" s="277" t="e">
        <f t="shared" si="236"/>
        <v>#N/A</v>
      </c>
      <c r="BE229" s="250" t="e">
        <f t="shared" si="201"/>
        <v>#N/A</v>
      </c>
      <c r="BF229" s="247">
        <f t="shared" si="237"/>
        <v>7</v>
      </c>
      <c r="BG229" s="276" t="e">
        <f t="shared" si="238"/>
        <v>#N/A</v>
      </c>
      <c r="BH229" s="277" t="e">
        <f t="shared" si="239"/>
        <v>#N/A</v>
      </c>
      <c r="BI229" s="250" t="e">
        <f t="shared" si="202"/>
        <v>#N/A</v>
      </c>
      <c r="BJ229" s="251">
        <f t="shared" si="240"/>
        <v>7</v>
      </c>
      <c r="BK229" s="278" t="e">
        <f t="shared" si="241"/>
        <v>#N/A</v>
      </c>
      <c r="BL229" s="278" t="e">
        <f t="shared" si="242"/>
        <v>#N/A</v>
      </c>
      <c r="BM229" s="279" t="e">
        <f t="shared" si="203"/>
        <v>#N/A</v>
      </c>
      <c r="BN229" s="280">
        <f t="shared" si="243"/>
        <v>7</v>
      </c>
      <c r="BO229" s="281" t="e">
        <f t="shared" si="244"/>
        <v>#N/A</v>
      </c>
      <c r="BP229" s="281" t="e">
        <f t="shared" si="245"/>
        <v>#N/A</v>
      </c>
      <c r="BQ229" s="279" t="e">
        <f t="shared" si="204"/>
        <v>#N/A</v>
      </c>
      <c r="BR229" s="282" t="e">
        <f t="shared" si="205"/>
        <v>#N/A</v>
      </c>
      <c r="BS229" s="217" t="e">
        <f>VLOOKUP($B229,SDR24_STOCK_BY_LA!$A$2:$C$11878,3,0)</f>
        <v>#N/A</v>
      </c>
      <c r="BT229" s="217" t="str">
        <f t="shared" si="246"/>
        <v/>
      </c>
    </row>
    <row r="230" spans="1:72" x14ac:dyDescent="0.2">
      <c r="A230" s="217" t="str">
        <f t="shared" si="247"/>
        <v/>
      </c>
      <c r="B230" s="217" t="str">
        <f t="shared" si="248"/>
        <v/>
      </c>
      <c r="C230" s="283" t="str">
        <f t="shared" si="206"/>
        <v/>
      </c>
      <c r="D230" s="256" t="str">
        <f>IF(B230="","",IF(totals!$Q$3=0,IFERROR(IF(AD230=2,"0",AE230),""),"-"))</f>
        <v/>
      </c>
      <c r="E230" s="258" t="str">
        <f t="shared" si="207"/>
        <v/>
      </c>
      <c r="F230" s="259" t="str">
        <f t="shared" si="208"/>
        <v/>
      </c>
      <c r="G230" s="259" t="str">
        <f t="shared" si="209"/>
        <v/>
      </c>
      <c r="H230" s="256" t="str">
        <f t="shared" si="187"/>
        <v/>
      </c>
      <c r="I230" s="259" t="str">
        <f t="shared" si="210"/>
        <v/>
      </c>
      <c r="J230" s="259" t="str">
        <f t="shared" si="211"/>
        <v/>
      </c>
      <c r="K230" s="256" t="str">
        <f t="shared" si="188"/>
        <v/>
      </c>
      <c r="L230" s="259" t="str">
        <f t="shared" si="189"/>
        <v/>
      </c>
      <c r="M230" s="259" t="str">
        <f t="shared" si="212"/>
        <v/>
      </c>
      <c r="N230" s="256" t="str">
        <f t="shared" si="213"/>
        <v/>
      </c>
      <c r="O230" s="259" t="str">
        <f t="shared" si="214"/>
        <v/>
      </c>
      <c r="P230" s="259" t="str">
        <f t="shared" si="215"/>
        <v/>
      </c>
      <c r="Q230" s="256" t="str">
        <f t="shared" si="216"/>
        <v/>
      </c>
      <c r="R230" s="259" t="str">
        <f t="shared" si="217"/>
        <v/>
      </c>
      <c r="S230" s="259" t="str">
        <f t="shared" si="218"/>
        <v/>
      </c>
      <c r="T230" s="256" t="str">
        <f t="shared" si="219"/>
        <v/>
      </c>
      <c r="U230" s="217"/>
      <c r="V230" s="217"/>
      <c r="AB230" s="217" t="e">
        <f>VLOOKUP($B$6,Lookup_Source,223,0)</f>
        <v>#N/A</v>
      </c>
      <c r="AC230" s="241" t="str">
        <f t="shared" si="220"/>
        <v/>
      </c>
      <c r="AD230" s="242">
        <f t="shared" si="221"/>
        <v>7</v>
      </c>
      <c r="AE230" s="261" t="e">
        <f t="shared" si="190"/>
        <v>#N/A</v>
      </c>
      <c r="AF230" s="264" t="e">
        <f t="shared" si="222"/>
        <v>#N/A</v>
      </c>
      <c r="AG230" s="264" t="e">
        <f t="shared" si="223"/>
        <v>#N/A</v>
      </c>
      <c r="AH230" s="263" t="e">
        <f t="shared" si="191"/>
        <v>#N/A</v>
      </c>
      <c r="AI230" s="226">
        <f t="shared" si="224"/>
        <v>7</v>
      </c>
      <c r="AJ230" s="264" t="e">
        <f t="shared" si="192"/>
        <v>#N/A</v>
      </c>
      <c r="AK230" s="264" t="e">
        <f t="shared" si="225"/>
        <v>#N/A</v>
      </c>
      <c r="AL230" s="226" t="e">
        <f t="shared" si="193"/>
        <v>#N/A</v>
      </c>
      <c r="AM230" s="265" t="e">
        <f t="shared" si="226"/>
        <v>#N/A</v>
      </c>
      <c r="AN230" s="266" t="e">
        <f t="shared" si="194"/>
        <v>#N/A</v>
      </c>
      <c r="AO230" s="227" t="e">
        <f t="shared" si="195"/>
        <v>#N/A</v>
      </c>
      <c r="AP230" s="284">
        <f t="shared" si="227"/>
        <v>7</v>
      </c>
      <c r="AQ230" s="285" t="e">
        <f t="shared" si="196"/>
        <v>#N/A</v>
      </c>
      <c r="AR230" s="266" t="e">
        <f t="shared" si="228"/>
        <v>#N/A</v>
      </c>
      <c r="AS230" s="270" t="e">
        <f t="shared" si="197"/>
        <v>#N/A</v>
      </c>
      <c r="AT230" s="271">
        <f t="shared" si="229"/>
        <v>7</v>
      </c>
      <c r="AU230" s="272" t="e">
        <f t="shared" si="230"/>
        <v>#N/A</v>
      </c>
      <c r="AV230" s="273" t="e">
        <f t="shared" si="231"/>
        <v>#N/A</v>
      </c>
      <c r="AW230" s="274" t="e">
        <f t="shared" si="198"/>
        <v>#N/A</v>
      </c>
      <c r="AX230" s="232">
        <f t="shared" si="232"/>
        <v>7</v>
      </c>
      <c r="AY230" s="273" t="e">
        <f t="shared" si="199"/>
        <v>#N/A</v>
      </c>
      <c r="AZ230" s="232" t="e">
        <f t="shared" si="233"/>
        <v>#N/A</v>
      </c>
      <c r="BA230" s="232" t="e">
        <f t="shared" si="200"/>
        <v>#N/A</v>
      </c>
      <c r="BB230" s="275">
        <f t="shared" si="234"/>
        <v>7</v>
      </c>
      <c r="BC230" s="276" t="e">
        <f t="shared" si="235"/>
        <v>#N/A</v>
      </c>
      <c r="BD230" s="277" t="e">
        <f t="shared" si="236"/>
        <v>#N/A</v>
      </c>
      <c r="BE230" s="250" t="e">
        <f t="shared" si="201"/>
        <v>#N/A</v>
      </c>
      <c r="BF230" s="247">
        <f t="shared" si="237"/>
        <v>7</v>
      </c>
      <c r="BG230" s="276" t="e">
        <f t="shared" si="238"/>
        <v>#N/A</v>
      </c>
      <c r="BH230" s="277" t="e">
        <f t="shared" si="239"/>
        <v>#N/A</v>
      </c>
      <c r="BI230" s="250" t="e">
        <f t="shared" si="202"/>
        <v>#N/A</v>
      </c>
      <c r="BJ230" s="251">
        <f t="shared" si="240"/>
        <v>7</v>
      </c>
      <c r="BK230" s="278" t="e">
        <f t="shared" si="241"/>
        <v>#N/A</v>
      </c>
      <c r="BL230" s="278" t="e">
        <f t="shared" si="242"/>
        <v>#N/A</v>
      </c>
      <c r="BM230" s="279" t="e">
        <f t="shared" si="203"/>
        <v>#N/A</v>
      </c>
      <c r="BN230" s="280">
        <f t="shared" si="243"/>
        <v>7</v>
      </c>
      <c r="BO230" s="281" t="e">
        <f t="shared" si="244"/>
        <v>#N/A</v>
      </c>
      <c r="BP230" s="281" t="e">
        <f t="shared" si="245"/>
        <v>#N/A</v>
      </c>
      <c r="BQ230" s="279" t="e">
        <f t="shared" si="204"/>
        <v>#N/A</v>
      </c>
      <c r="BR230" s="282" t="e">
        <f t="shared" si="205"/>
        <v>#N/A</v>
      </c>
      <c r="BS230" s="217" t="e">
        <f>VLOOKUP($B230,SDR24_STOCK_BY_LA!$A$2:$C$11878,3,0)</f>
        <v>#N/A</v>
      </c>
      <c r="BT230" s="217" t="str">
        <f t="shared" si="246"/>
        <v/>
      </c>
    </row>
    <row r="231" spans="1:72" x14ac:dyDescent="0.2">
      <c r="A231" s="256" t="str">
        <f t="shared" si="247"/>
        <v/>
      </c>
      <c r="B231" s="217" t="str">
        <f t="shared" si="248"/>
        <v/>
      </c>
      <c r="C231" s="257" t="str">
        <f t="shared" si="206"/>
        <v/>
      </c>
      <c r="D231" s="256" t="str">
        <f>IF(B231="","",IF(totals!$Q$3=0,IFERROR(IF(AD231=2,"0",AE231),""),"-"))</f>
        <v/>
      </c>
      <c r="E231" s="258" t="str">
        <f t="shared" si="207"/>
        <v/>
      </c>
      <c r="F231" s="259" t="str">
        <f t="shared" si="208"/>
        <v/>
      </c>
      <c r="G231" s="259" t="str">
        <f t="shared" si="209"/>
        <v/>
      </c>
      <c r="H231" s="256" t="str">
        <f t="shared" si="187"/>
        <v/>
      </c>
      <c r="I231" s="259" t="str">
        <f t="shared" si="210"/>
        <v/>
      </c>
      <c r="J231" s="259" t="str">
        <f t="shared" si="211"/>
        <v/>
      </c>
      <c r="K231" s="256" t="str">
        <f t="shared" si="188"/>
        <v/>
      </c>
      <c r="L231" s="259" t="str">
        <f t="shared" si="189"/>
        <v/>
      </c>
      <c r="M231" s="259" t="str">
        <f t="shared" si="212"/>
        <v/>
      </c>
      <c r="N231" s="256" t="str">
        <f t="shared" si="213"/>
        <v/>
      </c>
      <c r="O231" s="259" t="str">
        <f t="shared" si="214"/>
        <v/>
      </c>
      <c r="P231" s="259" t="str">
        <f t="shared" si="215"/>
        <v/>
      </c>
      <c r="Q231" s="256" t="str">
        <f t="shared" si="216"/>
        <v/>
      </c>
      <c r="R231" s="259" t="str">
        <f t="shared" si="217"/>
        <v/>
      </c>
      <c r="S231" s="259" t="str">
        <f t="shared" si="218"/>
        <v/>
      </c>
      <c r="T231" s="256" t="str">
        <f t="shared" si="219"/>
        <v/>
      </c>
      <c r="U231" s="217"/>
      <c r="V231" s="217"/>
      <c r="AB231" s="257" t="e">
        <f>VLOOKUP($B$6,Lookup_Source,224,0)</f>
        <v>#N/A</v>
      </c>
      <c r="AC231" s="241" t="str">
        <f t="shared" si="220"/>
        <v/>
      </c>
      <c r="AD231" s="242">
        <f t="shared" si="221"/>
        <v>7</v>
      </c>
      <c r="AE231" s="261" t="e">
        <f t="shared" si="190"/>
        <v>#N/A</v>
      </c>
      <c r="AF231" s="264" t="e">
        <f t="shared" si="222"/>
        <v>#N/A</v>
      </c>
      <c r="AG231" s="264" t="e">
        <f t="shared" si="223"/>
        <v>#N/A</v>
      </c>
      <c r="AH231" s="263" t="e">
        <f t="shared" si="191"/>
        <v>#N/A</v>
      </c>
      <c r="AI231" s="226">
        <f t="shared" si="224"/>
        <v>7</v>
      </c>
      <c r="AJ231" s="264" t="e">
        <f t="shared" si="192"/>
        <v>#N/A</v>
      </c>
      <c r="AK231" s="264" t="e">
        <f t="shared" si="225"/>
        <v>#N/A</v>
      </c>
      <c r="AL231" s="226" t="e">
        <f t="shared" si="193"/>
        <v>#N/A</v>
      </c>
      <c r="AM231" s="265" t="e">
        <f t="shared" si="226"/>
        <v>#N/A</v>
      </c>
      <c r="AN231" s="266" t="e">
        <f t="shared" si="194"/>
        <v>#N/A</v>
      </c>
      <c r="AO231" s="227" t="e">
        <f t="shared" si="195"/>
        <v>#N/A</v>
      </c>
      <c r="AP231" s="284">
        <f t="shared" si="227"/>
        <v>7</v>
      </c>
      <c r="AQ231" s="285" t="e">
        <f t="shared" si="196"/>
        <v>#N/A</v>
      </c>
      <c r="AR231" s="266" t="e">
        <f t="shared" si="228"/>
        <v>#N/A</v>
      </c>
      <c r="AS231" s="270" t="e">
        <f t="shared" si="197"/>
        <v>#N/A</v>
      </c>
      <c r="AT231" s="271">
        <f t="shared" si="229"/>
        <v>7</v>
      </c>
      <c r="AU231" s="272" t="e">
        <f t="shared" si="230"/>
        <v>#N/A</v>
      </c>
      <c r="AV231" s="273" t="e">
        <f t="shared" si="231"/>
        <v>#N/A</v>
      </c>
      <c r="AW231" s="274" t="e">
        <f t="shared" si="198"/>
        <v>#N/A</v>
      </c>
      <c r="AX231" s="232">
        <f t="shared" si="232"/>
        <v>7</v>
      </c>
      <c r="AY231" s="273" t="e">
        <f t="shared" si="199"/>
        <v>#N/A</v>
      </c>
      <c r="AZ231" s="232" t="e">
        <f t="shared" si="233"/>
        <v>#N/A</v>
      </c>
      <c r="BA231" s="232" t="e">
        <f t="shared" si="200"/>
        <v>#N/A</v>
      </c>
      <c r="BB231" s="275">
        <f t="shared" si="234"/>
        <v>7</v>
      </c>
      <c r="BC231" s="276" t="e">
        <f t="shared" si="235"/>
        <v>#N/A</v>
      </c>
      <c r="BD231" s="277" t="e">
        <f t="shared" si="236"/>
        <v>#N/A</v>
      </c>
      <c r="BE231" s="250" t="e">
        <f t="shared" si="201"/>
        <v>#N/A</v>
      </c>
      <c r="BF231" s="247">
        <f t="shared" si="237"/>
        <v>7</v>
      </c>
      <c r="BG231" s="276" t="e">
        <f t="shared" si="238"/>
        <v>#N/A</v>
      </c>
      <c r="BH231" s="277" t="e">
        <f t="shared" si="239"/>
        <v>#N/A</v>
      </c>
      <c r="BI231" s="250" t="e">
        <f t="shared" si="202"/>
        <v>#N/A</v>
      </c>
      <c r="BJ231" s="251">
        <f t="shared" si="240"/>
        <v>7</v>
      </c>
      <c r="BK231" s="278" t="e">
        <f t="shared" si="241"/>
        <v>#N/A</v>
      </c>
      <c r="BL231" s="278" t="e">
        <f t="shared" si="242"/>
        <v>#N/A</v>
      </c>
      <c r="BM231" s="279" t="e">
        <f t="shared" si="203"/>
        <v>#N/A</v>
      </c>
      <c r="BN231" s="280">
        <f t="shared" si="243"/>
        <v>7</v>
      </c>
      <c r="BO231" s="281" t="e">
        <f t="shared" si="244"/>
        <v>#N/A</v>
      </c>
      <c r="BP231" s="281" t="e">
        <f t="shared" si="245"/>
        <v>#N/A</v>
      </c>
      <c r="BQ231" s="279" t="e">
        <f t="shared" si="204"/>
        <v>#N/A</v>
      </c>
      <c r="BR231" s="282" t="e">
        <f t="shared" si="205"/>
        <v>#N/A</v>
      </c>
      <c r="BS231" s="217" t="e">
        <f>VLOOKUP($B231,SDR24_STOCK_BY_LA!$A$2:$C$11878,3,0)</f>
        <v>#N/A</v>
      </c>
      <c r="BT231" s="217" t="str">
        <f t="shared" si="246"/>
        <v/>
      </c>
    </row>
    <row r="232" spans="1:72" x14ac:dyDescent="0.2">
      <c r="A232" s="217" t="str">
        <f t="shared" si="247"/>
        <v/>
      </c>
      <c r="B232" s="217" t="str">
        <f t="shared" si="248"/>
        <v/>
      </c>
      <c r="C232" s="283" t="str">
        <f t="shared" si="206"/>
        <v/>
      </c>
      <c r="D232" s="256" t="str">
        <f>IF(B232="","",IF(totals!$Q$3=0,IFERROR(IF(AD232=2,"0",AE232),""),"-"))</f>
        <v/>
      </c>
      <c r="E232" s="258" t="str">
        <f t="shared" si="207"/>
        <v/>
      </c>
      <c r="F232" s="259" t="str">
        <f t="shared" si="208"/>
        <v/>
      </c>
      <c r="G232" s="259" t="str">
        <f t="shared" si="209"/>
        <v/>
      </c>
      <c r="H232" s="256" t="str">
        <f t="shared" si="187"/>
        <v/>
      </c>
      <c r="I232" s="259" t="str">
        <f t="shared" si="210"/>
        <v/>
      </c>
      <c r="J232" s="259" t="str">
        <f t="shared" si="211"/>
        <v/>
      </c>
      <c r="K232" s="256" t="str">
        <f t="shared" si="188"/>
        <v/>
      </c>
      <c r="L232" s="259" t="str">
        <f t="shared" si="189"/>
        <v/>
      </c>
      <c r="M232" s="259" t="str">
        <f t="shared" si="212"/>
        <v/>
      </c>
      <c r="N232" s="256" t="str">
        <f t="shared" si="213"/>
        <v/>
      </c>
      <c r="O232" s="259" t="str">
        <f t="shared" si="214"/>
        <v/>
      </c>
      <c r="P232" s="259" t="str">
        <f t="shared" si="215"/>
        <v/>
      </c>
      <c r="Q232" s="256" t="str">
        <f t="shared" si="216"/>
        <v/>
      </c>
      <c r="R232" s="259" t="str">
        <f t="shared" si="217"/>
        <v/>
      </c>
      <c r="S232" s="259" t="str">
        <f t="shared" si="218"/>
        <v/>
      </c>
      <c r="T232" s="256" t="str">
        <f t="shared" si="219"/>
        <v/>
      </c>
      <c r="U232" s="217"/>
      <c r="V232" s="217"/>
      <c r="AB232" s="217" t="e">
        <f>VLOOKUP($B$6,Lookup_Source,225,0)</f>
        <v>#N/A</v>
      </c>
      <c r="AC232" s="241" t="str">
        <f t="shared" si="220"/>
        <v/>
      </c>
      <c r="AD232" s="242">
        <f t="shared" si="221"/>
        <v>7</v>
      </c>
      <c r="AE232" s="261" t="e">
        <f t="shared" si="190"/>
        <v>#N/A</v>
      </c>
      <c r="AF232" s="264" t="e">
        <f t="shared" si="222"/>
        <v>#N/A</v>
      </c>
      <c r="AG232" s="264" t="e">
        <f t="shared" si="223"/>
        <v>#N/A</v>
      </c>
      <c r="AH232" s="263" t="e">
        <f t="shared" si="191"/>
        <v>#N/A</v>
      </c>
      <c r="AI232" s="226">
        <f t="shared" si="224"/>
        <v>7</v>
      </c>
      <c r="AJ232" s="264" t="e">
        <f t="shared" si="192"/>
        <v>#N/A</v>
      </c>
      <c r="AK232" s="264" t="e">
        <f t="shared" si="225"/>
        <v>#N/A</v>
      </c>
      <c r="AL232" s="226" t="e">
        <f t="shared" si="193"/>
        <v>#N/A</v>
      </c>
      <c r="AM232" s="265" t="e">
        <f t="shared" si="226"/>
        <v>#N/A</v>
      </c>
      <c r="AN232" s="266" t="e">
        <f t="shared" si="194"/>
        <v>#N/A</v>
      </c>
      <c r="AO232" s="227" t="e">
        <f t="shared" si="195"/>
        <v>#N/A</v>
      </c>
      <c r="AP232" s="284">
        <f t="shared" si="227"/>
        <v>7</v>
      </c>
      <c r="AQ232" s="285" t="e">
        <f t="shared" si="196"/>
        <v>#N/A</v>
      </c>
      <c r="AR232" s="266" t="e">
        <f t="shared" si="228"/>
        <v>#N/A</v>
      </c>
      <c r="AS232" s="270" t="e">
        <f t="shared" si="197"/>
        <v>#N/A</v>
      </c>
      <c r="AT232" s="271">
        <f t="shared" si="229"/>
        <v>7</v>
      </c>
      <c r="AU232" s="272" t="e">
        <f t="shared" si="230"/>
        <v>#N/A</v>
      </c>
      <c r="AV232" s="273" t="e">
        <f t="shared" si="231"/>
        <v>#N/A</v>
      </c>
      <c r="AW232" s="274" t="e">
        <f t="shared" si="198"/>
        <v>#N/A</v>
      </c>
      <c r="AX232" s="232">
        <f t="shared" si="232"/>
        <v>7</v>
      </c>
      <c r="AY232" s="273" t="e">
        <f t="shared" si="199"/>
        <v>#N/A</v>
      </c>
      <c r="AZ232" s="232" t="e">
        <f t="shared" si="233"/>
        <v>#N/A</v>
      </c>
      <c r="BA232" s="232" t="e">
        <f t="shared" si="200"/>
        <v>#N/A</v>
      </c>
      <c r="BB232" s="275">
        <f t="shared" si="234"/>
        <v>7</v>
      </c>
      <c r="BC232" s="276" t="e">
        <f t="shared" si="235"/>
        <v>#N/A</v>
      </c>
      <c r="BD232" s="277" t="e">
        <f t="shared" si="236"/>
        <v>#N/A</v>
      </c>
      <c r="BE232" s="250" t="e">
        <f t="shared" si="201"/>
        <v>#N/A</v>
      </c>
      <c r="BF232" s="247">
        <f t="shared" si="237"/>
        <v>7</v>
      </c>
      <c r="BG232" s="276" t="e">
        <f t="shared" si="238"/>
        <v>#N/A</v>
      </c>
      <c r="BH232" s="277" t="e">
        <f t="shared" si="239"/>
        <v>#N/A</v>
      </c>
      <c r="BI232" s="250" t="e">
        <f t="shared" si="202"/>
        <v>#N/A</v>
      </c>
      <c r="BJ232" s="251">
        <f t="shared" si="240"/>
        <v>7</v>
      </c>
      <c r="BK232" s="278" t="e">
        <f t="shared" si="241"/>
        <v>#N/A</v>
      </c>
      <c r="BL232" s="278" t="e">
        <f t="shared" si="242"/>
        <v>#N/A</v>
      </c>
      <c r="BM232" s="279" t="e">
        <f t="shared" si="203"/>
        <v>#N/A</v>
      </c>
      <c r="BN232" s="280">
        <f t="shared" si="243"/>
        <v>7</v>
      </c>
      <c r="BO232" s="281" t="e">
        <f t="shared" si="244"/>
        <v>#N/A</v>
      </c>
      <c r="BP232" s="281" t="e">
        <f t="shared" si="245"/>
        <v>#N/A</v>
      </c>
      <c r="BQ232" s="279" t="e">
        <f t="shared" si="204"/>
        <v>#N/A</v>
      </c>
      <c r="BR232" s="282" t="e">
        <f t="shared" si="205"/>
        <v>#N/A</v>
      </c>
      <c r="BS232" s="217" t="e">
        <f>VLOOKUP($B232,SDR24_STOCK_BY_LA!$A$2:$C$11878,3,0)</f>
        <v>#N/A</v>
      </c>
      <c r="BT232" s="217" t="str">
        <f t="shared" si="246"/>
        <v/>
      </c>
    </row>
    <row r="233" spans="1:72" x14ac:dyDescent="0.2">
      <c r="A233" s="256" t="str">
        <f t="shared" si="247"/>
        <v/>
      </c>
      <c r="B233" s="217" t="str">
        <f t="shared" si="248"/>
        <v/>
      </c>
      <c r="C233" s="257" t="str">
        <f t="shared" si="206"/>
        <v/>
      </c>
      <c r="D233" s="256" t="str">
        <f>IF(B233="","",IF(totals!$Q$3=0,IFERROR(IF(AD233=2,"0",AE233),""),"-"))</f>
        <v/>
      </c>
      <c r="E233" s="258" t="str">
        <f t="shared" si="207"/>
        <v/>
      </c>
      <c r="F233" s="259" t="str">
        <f t="shared" si="208"/>
        <v/>
      </c>
      <c r="G233" s="259" t="str">
        <f t="shared" si="209"/>
        <v/>
      </c>
      <c r="H233" s="256" t="str">
        <f t="shared" si="187"/>
        <v/>
      </c>
      <c r="I233" s="259" t="str">
        <f t="shared" si="210"/>
        <v/>
      </c>
      <c r="J233" s="259" t="str">
        <f t="shared" si="211"/>
        <v/>
      </c>
      <c r="K233" s="256" t="str">
        <f t="shared" si="188"/>
        <v/>
      </c>
      <c r="L233" s="259" t="str">
        <f t="shared" si="189"/>
        <v/>
      </c>
      <c r="M233" s="259" t="str">
        <f t="shared" si="212"/>
        <v/>
      </c>
      <c r="N233" s="256" t="str">
        <f t="shared" si="213"/>
        <v/>
      </c>
      <c r="O233" s="259" t="str">
        <f t="shared" si="214"/>
        <v/>
      </c>
      <c r="P233" s="259" t="str">
        <f t="shared" si="215"/>
        <v/>
      </c>
      <c r="Q233" s="256" t="str">
        <f t="shared" si="216"/>
        <v/>
      </c>
      <c r="R233" s="259" t="str">
        <f t="shared" si="217"/>
        <v/>
      </c>
      <c r="S233" s="259" t="str">
        <f t="shared" si="218"/>
        <v/>
      </c>
      <c r="T233" s="256" t="str">
        <f t="shared" si="219"/>
        <v/>
      </c>
      <c r="U233" s="217"/>
      <c r="V233" s="217"/>
      <c r="AB233" s="257" t="e">
        <f>VLOOKUP($B$6,Lookup_Source,226,0)</f>
        <v>#N/A</v>
      </c>
      <c r="AC233" s="241" t="str">
        <f t="shared" si="220"/>
        <v/>
      </c>
      <c r="AD233" s="242">
        <f t="shared" si="221"/>
        <v>7</v>
      </c>
      <c r="AE233" s="261" t="e">
        <f t="shared" si="190"/>
        <v>#N/A</v>
      </c>
      <c r="AF233" s="264" t="e">
        <f t="shared" si="222"/>
        <v>#N/A</v>
      </c>
      <c r="AG233" s="264" t="e">
        <f t="shared" si="223"/>
        <v>#N/A</v>
      </c>
      <c r="AH233" s="263" t="e">
        <f t="shared" si="191"/>
        <v>#N/A</v>
      </c>
      <c r="AI233" s="226">
        <f t="shared" si="224"/>
        <v>7</v>
      </c>
      <c r="AJ233" s="264" t="e">
        <f t="shared" si="192"/>
        <v>#N/A</v>
      </c>
      <c r="AK233" s="264" t="e">
        <f t="shared" si="225"/>
        <v>#N/A</v>
      </c>
      <c r="AL233" s="226" t="e">
        <f t="shared" si="193"/>
        <v>#N/A</v>
      </c>
      <c r="AM233" s="265" t="e">
        <f t="shared" si="226"/>
        <v>#N/A</v>
      </c>
      <c r="AN233" s="266" t="e">
        <f t="shared" si="194"/>
        <v>#N/A</v>
      </c>
      <c r="AO233" s="227" t="e">
        <f t="shared" si="195"/>
        <v>#N/A</v>
      </c>
      <c r="AP233" s="284">
        <f t="shared" si="227"/>
        <v>7</v>
      </c>
      <c r="AQ233" s="285" t="e">
        <f t="shared" si="196"/>
        <v>#N/A</v>
      </c>
      <c r="AR233" s="266" t="e">
        <f t="shared" si="228"/>
        <v>#N/A</v>
      </c>
      <c r="AS233" s="270" t="e">
        <f t="shared" si="197"/>
        <v>#N/A</v>
      </c>
      <c r="AT233" s="271">
        <f t="shared" si="229"/>
        <v>7</v>
      </c>
      <c r="AU233" s="272" t="e">
        <f t="shared" si="230"/>
        <v>#N/A</v>
      </c>
      <c r="AV233" s="273" t="e">
        <f t="shared" si="231"/>
        <v>#N/A</v>
      </c>
      <c r="AW233" s="274" t="e">
        <f t="shared" si="198"/>
        <v>#N/A</v>
      </c>
      <c r="AX233" s="232">
        <f t="shared" si="232"/>
        <v>7</v>
      </c>
      <c r="AY233" s="273" t="e">
        <f t="shared" si="199"/>
        <v>#N/A</v>
      </c>
      <c r="AZ233" s="232" t="e">
        <f t="shared" si="233"/>
        <v>#N/A</v>
      </c>
      <c r="BA233" s="232" t="e">
        <f t="shared" si="200"/>
        <v>#N/A</v>
      </c>
      <c r="BB233" s="275">
        <f t="shared" si="234"/>
        <v>7</v>
      </c>
      <c r="BC233" s="276" t="e">
        <f t="shared" si="235"/>
        <v>#N/A</v>
      </c>
      <c r="BD233" s="277" t="e">
        <f t="shared" si="236"/>
        <v>#N/A</v>
      </c>
      <c r="BE233" s="250" t="e">
        <f t="shared" si="201"/>
        <v>#N/A</v>
      </c>
      <c r="BF233" s="247">
        <f t="shared" si="237"/>
        <v>7</v>
      </c>
      <c r="BG233" s="276" t="e">
        <f t="shared" si="238"/>
        <v>#N/A</v>
      </c>
      <c r="BH233" s="277" t="e">
        <f t="shared" si="239"/>
        <v>#N/A</v>
      </c>
      <c r="BI233" s="250" t="e">
        <f t="shared" si="202"/>
        <v>#N/A</v>
      </c>
      <c r="BJ233" s="251">
        <f t="shared" si="240"/>
        <v>7</v>
      </c>
      <c r="BK233" s="278" t="e">
        <f t="shared" si="241"/>
        <v>#N/A</v>
      </c>
      <c r="BL233" s="278" t="e">
        <f t="shared" si="242"/>
        <v>#N/A</v>
      </c>
      <c r="BM233" s="279" t="e">
        <f t="shared" si="203"/>
        <v>#N/A</v>
      </c>
      <c r="BN233" s="280">
        <f t="shared" si="243"/>
        <v>7</v>
      </c>
      <c r="BO233" s="281" t="e">
        <f t="shared" si="244"/>
        <v>#N/A</v>
      </c>
      <c r="BP233" s="281" t="e">
        <f t="shared" si="245"/>
        <v>#N/A</v>
      </c>
      <c r="BQ233" s="279" t="e">
        <f t="shared" si="204"/>
        <v>#N/A</v>
      </c>
      <c r="BR233" s="282" t="e">
        <f t="shared" si="205"/>
        <v>#N/A</v>
      </c>
      <c r="BS233" s="217" t="e">
        <f>VLOOKUP($B233,SDR24_STOCK_BY_LA!$A$2:$C$11878,3,0)</f>
        <v>#N/A</v>
      </c>
      <c r="BT233" s="217" t="str">
        <f t="shared" si="246"/>
        <v/>
      </c>
    </row>
    <row r="234" spans="1:72" x14ac:dyDescent="0.2">
      <c r="A234" s="217" t="str">
        <f t="shared" si="247"/>
        <v/>
      </c>
      <c r="B234" s="217" t="str">
        <f t="shared" si="248"/>
        <v/>
      </c>
      <c r="C234" s="283" t="str">
        <f t="shared" si="206"/>
        <v/>
      </c>
      <c r="D234" s="256" t="str">
        <f>IF(B234="","",IF(totals!$Q$3=0,IFERROR(IF(AD234=2,"0",AE234),""),"-"))</f>
        <v/>
      </c>
      <c r="E234" s="258" t="str">
        <f t="shared" si="207"/>
        <v/>
      </c>
      <c r="F234" s="259" t="str">
        <f t="shared" si="208"/>
        <v/>
      </c>
      <c r="G234" s="259" t="str">
        <f t="shared" si="209"/>
        <v/>
      </c>
      <c r="H234" s="256" t="str">
        <f t="shared" si="187"/>
        <v/>
      </c>
      <c r="I234" s="259" t="str">
        <f t="shared" si="210"/>
        <v/>
      </c>
      <c r="J234" s="259" t="str">
        <f t="shared" si="211"/>
        <v/>
      </c>
      <c r="K234" s="256" t="str">
        <f t="shared" si="188"/>
        <v/>
      </c>
      <c r="L234" s="259" t="str">
        <f t="shared" si="189"/>
        <v/>
      </c>
      <c r="M234" s="259" t="str">
        <f t="shared" si="212"/>
        <v/>
      </c>
      <c r="N234" s="256" t="str">
        <f t="shared" si="213"/>
        <v/>
      </c>
      <c r="O234" s="259" t="str">
        <f t="shared" si="214"/>
        <v/>
      </c>
      <c r="P234" s="259" t="str">
        <f t="shared" si="215"/>
        <v/>
      </c>
      <c r="Q234" s="256" t="str">
        <f t="shared" si="216"/>
        <v/>
      </c>
      <c r="R234" s="259" t="str">
        <f t="shared" si="217"/>
        <v/>
      </c>
      <c r="S234" s="259" t="str">
        <f t="shared" si="218"/>
        <v/>
      </c>
      <c r="T234" s="256" t="str">
        <f t="shared" si="219"/>
        <v/>
      </c>
      <c r="U234" s="217"/>
      <c r="V234" s="217"/>
      <c r="AB234" s="217" t="e">
        <f>VLOOKUP($B$6,Lookup_Source,227,0)</f>
        <v>#N/A</v>
      </c>
      <c r="AC234" s="241" t="str">
        <f t="shared" si="220"/>
        <v/>
      </c>
      <c r="AD234" s="242">
        <f t="shared" si="221"/>
        <v>7</v>
      </c>
      <c r="AE234" s="261" t="e">
        <f t="shared" si="190"/>
        <v>#N/A</v>
      </c>
      <c r="AF234" s="264" t="e">
        <f t="shared" si="222"/>
        <v>#N/A</v>
      </c>
      <c r="AG234" s="264" t="e">
        <f t="shared" si="223"/>
        <v>#N/A</v>
      </c>
      <c r="AH234" s="263" t="e">
        <f t="shared" si="191"/>
        <v>#N/A</v>
      </c>
      <c r="AI234" s="226">
        <f t="shared" si="224"/>
        <v>7</v>
      </c>
      <c r="AJ234" s="264" t="e">
        <f t="shared" si="192"/>
        <v>#N/A</v>
      </c>
      <c r="AK234" s="264" t="e">
        <f t="shared" si="225"/>
        <v>#N/A</v>
      </c>
      <c r="AL234" s="226" t="e">
        <f t="shared" si="193"/>
        <v>#N/A</v>
      </c>
      <c r="AM234" s="265" t="e">
        <f t="shared" si="226"/>
        <v>#N/A</v>
      </c>
      <c r="AN234" s="266" t="e">
        <f t="shared" si="194"/>
        <v>#N/A</v>
      </c>
      <c r="AO234" s="227" t="e">
        <f t="shared" si="195"/>
        <v>#N/A</v>
      </c>
      <c r="AP234" s="284">
        <f t="shared" si="227"/>
        <v>7</v>
      </c>
      <c r="AQ234" s="285" t="e">
        <f t="shared" si="196"/>
        <v>#N/A</v>
      </c>
      <c r="AR234" s="266" t="e">
        <f t="shared" si="228"/>
        <v>#N/A</v>
      </c>
      <c r="AS234" s="270" t="e">
        <f t="shared" si="197"/>
        <v>#N/A</v>
      </c>
      <c r="AT234" s="271">
        <f t="shared" si="229"/>
        <v>7</v>
      </c>
      <c r="AU234" s="272" t="e">
        <f t="shared" si="230"/>
        <v>#N/A</v>
      </c>
      <c r="AV234" s="273" t="e">
        <f t="shared" si="231"/>
        <v>#N/A</v>
      </c>
      <c r="AW234" s="274" t="e">
        <f t="shared" si="198"/>
        <v>#N/A</v>
      </c>
      <c r="AX234" s="232">
        <f t="shared" si="232"/>
        <v>7</v>
      </c>
      <c r="AY234" s="273" t="e">
        <f t="shared" si="199"/>
        <v>#N/A</v>
      </c>
      <c r="AZ234" s="232" t="e">
        <f t="shared" si="233"/>
        <v>#N/A</v>
      </c>
      <c r="BA234" s="232" t="e">
        <f t="shared" si="200"/>
        <v>#N/A</v>
      </c>
      <c r="BB234" s="275">
        <f t="shared" si="234"/>
        <v>7</v>
      </c>
      <c r="BC234" s="276" t="e">
        <f t="shared" si="235"/>
        <v>#N/A</v>
      </c>
      <c r="BD234" s="277" t="e">
        <f t="shared" si="236"/>
        <v>#N/A</v>
      </c>
      <c r="BE234" s="250" t="e">
        <f t="shared" si="201"/>
        <v>#N/A</v>
      </c>
      <c r="BF234" s="247">
        <f t="shared" si="237"/>
        <v>7</v>
      </c>
      <c r="BG234" s="276" t="e">
        <f t="shared" si="238"/>
        <v>#N/A</v>
      </c>
      <c r="BH234" s="277" t="e">
        <f t="shared" si="239"/>
        <v>#N/A</v>
      </c>
      <c r="BI234" s="250" t="e">
        <f t="shared" si="202"/>
        <v>#N/A</v>
      </c>
      <c r="BJ234" s="251">
        <f t="shared" si="240"/>
        <v>7</v>
      </c>
      <c r="BK234" s="278" t="e">
        <f t="shared" si="241"/>
        <v>#N/A</v>
      </c>
      <c r="BL234" s="278" t="e">
        <f t="shared" si="242"/>
        <v>#N/A</v>
      </c>
      <c r="BM234" s="279" t="e">
        <f t="shared" si="203"/>
        <v>#N/A</v>
      </c>
      <c r="BN234" s="280">
        <f t="shared" si="243"/>
        <v>7</v>
      </c>
      <c r="BO234" s="281" t="e">
        <f t="shared" si="244"/>
        <v>#N/A</v>
      </c>
      <c r="BP234" s="281" t="e">
        <f t="shared" si="245"/>
        <v>#N/A</v>
      </c>
      <c r="BQ234" s="279" t="e">
        <f t="shared" si="204"/>
        <v>#N/A</v>
      </c>
      <c r="BR234" s="282" t="e">
        <f t="shared" si="205"/>
        <v>#N/A</v>
      </c>
      <c r="BS234" s="217" t="e">
        <f>VLOOKUP($B234,SDR24_STOCK_BY_LA!$A$2:$C$11878,3,0)</f>
        <v>#N/A</v>
      </c>
      <c r="BT234" s="217" t="str">
        <f t="shared" si="246"/>
        <v/>
      </c>
    </row>
    <row r="235" spans="1:72" x14ac:dyDescent="0.2">
      <c r="A235" s="256" t="str">
        <f t="shared" si="247"/>
        <v/>
      </c>
      <c r="B235" s="217" t="str">
        <f t="shared" si="248"/>
        <v/>
      </c>
      <c r="C235" s="257" t="str">
        <f t="shared" si="206"/>
        <v/>
      </c>
      <c r="D235" s="256" t="str">
        <f>IF(B235="","",IF(totals!$Q$3=0,IFERROR(IF(AD235=2,"0",AE235),""),"-"))</f>
        <v/>
      </c>
      <c r="E235" s="258" t="str">
        <f t="shared" si="207"/>
        <v/>
      </c>
      <c r="F235" s="259" t="str">
        <f t="shared" si="208"/>
        <v/>
      </c>
      <c r="G235" s="259" t="str">
        <f t="shared" si="209"/>
        <v/>
      </c>
      <c r="H235" s="256" t="str">
        <f t="shared" si="187"/>
        <v/>
      </c>
      <c r="I235" s="259" t="str">
        <f t="shared" si="210"/>
        <v/>
      </c>
      <c r="J235" s="259" t="str">
        <f t="shared" si="211"/>
        <v/>
      </c>
      <c r="K235" s="256" t="str">
        <f t="shared" si="188"/>
        <v/>
      </c>
      <c r="L235" s="259" t="str">
        <f t="shared" si="189"/>
        <v/>
      </c>
      <c r="M235" s="259" t="str">
        <f t="shared" si="212"/>
        <v/>
      </c>
      <c r="N235" s="256" t="str">
        <f t="shared" si="213"/>
        <v/>
      </c>
      <c r="O235" s="259" t="str">
        <f t="shared" si="214"/>
        <v/>
      </c>
      <c r="P235" s="259" t="str">
        <f t="shared" si="215"/>
        <v/>
      </c>
      <c r="Q235" s="256" t="str">
        <f t="shared" si="216"/>
        <v/>
      </c>
      <c r="R235" s="259" t="str">
        <f t="shared" si="217"/>
        <v/>
      </c>
      <c r="S235" s="259" t="str">
        <f t="shared" si="218"/>
        <v/>
      </c>
      <c r="T235" s="256" t="str">
        <f t="shared" si="219"/>
        <v/>
      </c>
      <c r="U235" s="217"/>
      <c r="V235" s="217"/>
      <c r="AB235" s="257" t="e">
        <f>VLOOKUP($B$6,Lookup_Source,228,0)</f>
        <v>#N/A</v>
      </c>
      <c r="AC235" s="241" t="str">
        <f t="shared" si="220"/>
        <v/>
      </c>
      <c r="AD235" s="242">
        <f t="shared" si="221"/>
        <v>7</v>
      </c>
      <c r="AE235" s="261" t="e">
        <f t="shared" si="190"/>
        <v>#N/A</v>
      </c>
      <c r="AF235" s="264" t="e">
        <f t="shared" si="222"/>
        <v>#N/A</v>
      </c>
      <c r="AG235" s="264" t="e">
        <f t="shared" si="223"/>
        <v>#N/A</v>
      </c>
      <c r="AH235" s="263" t="e">
        <f t="shared" si="191"/>
        <v>#N/A</v>
      </c>
      <c r="AI235" s="226">
        <f t="shared" si="224"/>
        <v>7</v>
      </c>
      <c r="AJ235" s="264" t="e">
        <f t="shared" si="192"/>
        <v>#N/A</v>
      </c>
      <c r="AK235" s="264" t="e">
        <f t="shared" si="225"/>
        <v>#N/A</v>
      </c>
      <c r="AL235" s="226" t="e">
        <f t="shared" si="193"/>
        <v>#N/A</v>
      </c>
      <c r="AM235" s="265" t="e">
        <f t="shared" si="226"/>
        <v>#N/A</v>
      </c>
      <c r="AN235" s="266" t="e">
        <f t="shared" si="194"/>
        <v>#N/A</v>
      </c>
      <c r="AO235" s="227" t="e">
        <f t="shared" si="195"/>
        <v>#N/A</v>
      </c>
      <c r="AP235" s="284">
        <f t="shared" si="227"/>
        <v>7</v>
      </c>
      <c r="AQ235" s="285" t="e">
        <f t="shared" si="196"/>
        <v>#N/A</v>
      </c>
      <c r="AR235" s="266" t="e">
        <f t="shared" si="228"/>
        <v>#N/A</v>
      </c>
      <c r="AS235" s="270" t="e">
        <f t="shared" si="197"/>
        <v>#N/A</v>
      </c>
      <c r="AT235" s="271">
        <f t="shared" si="229"/>
        <v>7</v>
      </c>
      <c r="AU235" s="272" t="e">
        <f t="shared" si="230"/>
        <v>#N/A</v>
      </c>
      <c r="AV235" s="273" t="e">
        <f t="shared" si="231"/>
        <v>#N/A</v>
      </c>
      <c r="AW235" s="274" t="e">
        <f t="shared" si="198"/>
        <v>#N/A</v>
      </c>
      <c r="AX235" s="232">
        <f t="shared" si="232"/>
        <v>7</v>
      </c>
      <c r="AY235" s="273" t="e">
        <f t="shared" si="199"/>
        <v>#N/A</v>
      </c>
      <c r="AZ235" s="232" t="e">
        <f t="shared" si="233"/>
        <v>#N/A</v>
      </c>
      <c r="BA235" s="232" t="e">
        <f t="shared" si="200"/>
        <v>#N/A</v>
      </c>
      <c r="BB235" s="275">
        <f t="shared" si="234"/>
        <v>7</v>
      </c>
      <c r="BC235" s="276" t="e">
        <f t="shared" si="235"/>
        <v>#N/A</v>
      </c>
      <c r="BD235" s="277" t="e">
        <f t="shared" si="236"/>
        <v>#N/A</v>
      </c>
      <c r="BE235" s="250" t="e">
        <f t="shared" si="201"/>
        <v>#N/A</v>
      </c>
      <c r="BF235" s="247">
        <f t="shared" si="237"/>
        <v>7</v>
      </c>
      <c r="BG235" s="276" t="e">
        <f t="shared" si="238"/>
        <v>#N/A</v>
      </c>
      <c r="BH235" s="277" t="e">
        <f t="shared" si="239"/>
        <v>#N/A</v>
      </c>
      <c r="BI235" s="250" t="e">
        <f t="shared" si="202"/>
        <v>#N/A</v>
      </c>
      <c r="BJ235" s="251">
        <f t="shared" si="240"/>
        <v>7</v>
      </c>
      <c r="BK235" s="278" t="e">
        <f t="shared" si="241"/>
        <v>#N/A</v>
      </c>
      <c r="BL235" s="278" t="e">
        <f t="shared" si="242"/>
        <v>#N/A</v>
      </c>
      <c r="BM235" s="279" t="e">
        <f t="shared" si="203"/>
        <v>#N/A</v>
      </c>
      <c r="BN235" s="280">
        <f t="shared" si="243"/>
        <v>7</v>
      </c>
      <c r="BO235" s="281" t="e">
        <f t="shared" si="244"/>
        <v>#N/A</v>
      </c>
      <c r="BP235" s="281" t="e">
        <f t="shared" si="245"/>
        <v>#N/A</v>
      </c>
      <c r="BQ235" s="279" t="e">
        <f t="shared" si="204"/>
        <v>#N/A</v>
      </c>
      <c r="BR235" s="282" t="e">
        <f t="shared" si="205"/>
        <v>#N/A</v>
      </c>
      <c r="BS235" s="217" t="e">
        <f>VLOOKUP($B235,SDR24_STOCK_BY_LA!$A$2:$C$11878,3,0)</f>
        <v>#N/A</v>
      </c>
      <c r="BT235" s="217" t="str">
        <f t="shared" si="246"/>
        <v/>
      </c>
    </row>
    <row r="236" spans="1:72" x14ac:dyDescent="0.2">
      <c r="A236" s="217" t="str">
        <f t="shared" si="247"/>
        <v/>
      </c>
      <c r="B236" s="217" t="str">
        <f t="shared" si="248"/>
        <v/>
      </c>
      <c r="C236" s="283" t="str">
        <f t="shared" si="206"/>
        <v/>
      </c>
      <c r="D236" s="256" t="str">
        <f>IF(B236="","",IF(totals!$Q$3=0,IFERROR(IF(AD236=2,"0",AE236),""),"-"))</f>
        <v/>
      </c>
      <c r="E236" s="258" t="str">
        <f t="shared" si="207"/>
        <v/>
      </c>
      <c r="F236" s="259" t="str">
        <f t="shared" si="208"/>
        <v/>
      </c>
      <c r="G236" s="259" t="str">
        <f t="shared" si="209"/>
        <v/>
      </c>
      <c r="H236" s="256" t="str">
        <f t="shared" si="187"/>
        <v/>
      </c>
      <c r="I236" s="259" t="str">
        <f t="shared" si="210"/>
        <v/>
      </c>
      <c r="J236" s="259" t="str">
        <f t="shared" si="211"/>
        <v/>
      </c>
      <c r="K236" s="256" t="str">
        <f t="shared" si="188"/>
        <v/>
      </c>
      <c r="L236" s="259" t="str">
        <f t="shared" si="189"/>
        <v/>
      </c>
      <c r="M236" s="259" t="str">
        <f t="shared" si="212"/>
        <v/>
      </c>
      <c r="N236" s="256" t="str">
        <f t="shared" si="213"/>
        <v/>
      </c>
      <c r="O236" s="259" t="str">
        <f t="shared" si="214"/>
        <v/>
      </c>
      <c r="P236" s="259" t="str">
        <f t="shared" si="215"/>
        <v/>
      </c>
      <c r="Q236" s="256" t="str">
        <f t="shared" si="216"/>
        <v/>
      </c>
      <c r="R236" s="259" t="str">
        <f t="shared" si="217"/>
        <v/>
      </c>
      <c r="S236" s="259" t="str">
        <f t="shared" si="218"/>
        <v/>
      </c>
      <c r="T236" s="256" t="str">
        <f t="shared" si="219"/>
        <v/>
      </c>
      <c r="U236" s="217"/>
      <c r="V236" s="217"/>
      <c r="AB236" s="217" t="e">
        <f>VLOOKUP($B$6,Lookup_Source,229,0)</f>
        <v>#N/A</v>
      </c>
      <c r="AC236" s="241" t="str">
        <f t="shared" si="220"/>
        <v/>
      </c>
      <c r="AD236" s="242">
        <f t="shared" si="221"/>
        <v>7</v>
      </c>
      <c r="AE236" s="261" t="e">
        <f t="shared" si="190"/>
        <v>#N/A</v>
      </c>
      <c r="AF236" s="264" t="e">
        <f t="shared" si="222"/>
        <v>#N/A</v>
      </c>
      <c r="AG236" s="264" t="e">
        <f t="shared" si="223"/>
        <v>#N/A</v>
      </c>
      <c r="AH236" s="263" t="e">
        <f t="shared" si="191"/>
        <v>#N/A</v>
      </c>
      <c r="AI236" s="226">
        <f t="shared" si="224"/>
        <v>7</v>
      </c>
      <c r="AJ236" s="264" t="e">
        <f t="shared" si="192"/>
        <v>#N/A</v>
      </c>
      <c r="AK236" s="264" t="e">
        <f t="shared" si="225"/>
        <v>#N/A</v>
      </c>
      <c r="AL236" s="226" t="e">
        <f t="shared" si="193"/>
        <v>#N/A</v>
      </c>
      <c r="AM236" s="265" t="e">
        <f t="shared" si="226"/>
        <v>#N/A</v>
      </c>
      <c r="AN236" s="266" t="e">
        <f t="shared" si="194"/>
        <v>#N/A</v>
      </c>
      <c r="AO236" s="227" t="e">
        <f t="shared" si="195"/>
        <v>#N/A</v>
      </c>
      <c r="AP236" s="284">
        <f t="shared" si="227"/>
        <v>7</v>
      </c>
      <c r="AQ236" s="285" t="e">
        <f t="shared" si="196"/>
        <v>#N/A</v>
      </c>
      <c r="AR236" s="266" t="e">
        <f t="shared" si="228"/>
        <v>#N/A</v>
      </c>
      <c r="AS236" s="270" t="e">
        <f t="shared" si="197"/>
        <v>#N/A</v>
      </c>
      <c r="AT236" s="271">
        <f t="shared" si="229"/>
        <v>7</v>
      </c>
      <c r="AU236" s="272" t="e">
        <f t="shared" si="230"/>
        <v>#N/A</v>
      </c>
      <c r="AV236" s="273" t="e">
        <f t="shared" si="231"/>
        <v>#N/A</v>
      </c>
      <c r="AW236" s="274" t="e">
        <f t="shared" si="198"/>
        <v>#N/A</v>
      </c>
      <c r="AX236" s="232">
        <f t="shared" si="232"/>
        <v>7</v>
      </c>
      <c r="AY236" s="273" t="e">
        <f t="shared" si="199"/>
        <v>#N/A</v>
      </c>
      <c r="AZ236" s="232" t="e">
        <f t="shared" si="233"/>
        <v>#N/A</v>
      </c>
      <c r="BA236" s="232" t="e">
        <f t="shared" si="200"/>
        <v>#N/A</v>
      </c>
      <c r="BB236" s="275">
        <f t="shared" si="234"/>
        <v>7</v>
      </c>
      <c r="BC236" s="276" t="e">
        <f t="shared" si="235"/>
        <v>#N/A</v>
      </c>
      <c r="BD236" s="277" t="e">
        <f t="shared" si="236"/>
        <v>#N/A</v>
      </c>
      <c r="BE236" s="250" t="e">
        <f t="shared" si="201"/>
        <v>#N/A</v>
      </c>
      <c r="BF236" s="247">
        <f t="shared" si="237"/>
        <v>7</v>
      </c>
      <c r="BG236" s="276" t="e">
        <f t="shared" si="238"/>
        <v>#N/A</v>
      </c>
      <c r="BH236" s="277" t="e">
        <f t="shared" si="239"/>
        <v>#N/A</v>
      </c>
      <c r="BI236" s="250" t="e">
        <f t="shared" si="202"/>
        <v>#N/A</v>
      </c>
      <c r="BJ236" s="251">
        <f t="shared" si="240"/>
        <v>7</v>
      </c>
      <c r="BK236" s="278" t="e">
        <f t="shared" si="241"/>
        <v>#N/A</v>
      </c>
      <c r="BL236" s="278" t="e">
        <f t="shared" si="242"/>
        <v>#N/A</v>
      </c>
      <c r="BM236" s="279" t="e">
        <f t="shared" si="203"/>
        <v>#N/A</v>
      </c>
      <c r="BN236" s="280">
        <f t="shared" si="243"/>
        <v>7</v>
      </c>
      <c r="BO236" s="281" t="e">
        <f t="shared" si="244"/>
        <v>#N/A</v>
      </c>
      <c r="BP236" s="281" t="e">
        <f t="shared" si="245"/>
        <v>#N/A</v>
      </c>
      <c r="BQ236" s="279" t="e">
        <f t="shared" si="204"/>
        <v>#N/A</v>
      </c>
      <c r="BR236" s="282" t="e">
        <f t="shared" si="205"/>
        <v>#N/A</v>
      </c>
      <c r="BS236" s="217" t="e">
        <f>VLOOKUP($B236,SDR24_STOCK_BY_LA!$A$2:$C$11878,3,0)</f>
        <v>#N/A</v>
      </c>
      <c r="BT236" s="217" t="str">
        <f t="shared" si="246"/>
        <v/>
      </c>
    </row>
    <row r="237" spans="1:72" x14ac:dyDescent="0.2">
      <c r="A237" s="256" t="str">
        <f t="shared" si="247"/>
        <v/>
      </c>
      <c r="B237" s="217" t="str">
        <f t="shared" si="248"/>
        <v/>
      </c>
      <c r="C237" s="257" t="str">
        <f t="shared" si="206"/>
        <v/>
      </c>
      <c r="D237" s="256" t="str">
        <f>IF(B237="","",IF(totals!$Q$3=0,IFERROR(IF(AD237=2,"0",AE237),""),"-"))</f>
        <v/>
      </c>
      <c r="E237" s="258" t="str">
        <f t="shared" si="207"/>
        <v/>
      </c>
      <c r="F237" s="259" t="str">
        <f t="shared" si="208"/>
        <v/>
      </c>
      <c r="G237" s="259" t="str">
        <f t="shared" si="209"/>
        <v/>
      </c>
      <c r="H237" s="256" t="str">
        <f t="shared" si="187"/>
        <v/>
      </c>
      <c r="I237" s="259" t="str">
        <f t="shared" si="210"/>
        <v/>
      </c>
      <c r="J237" s="259" t="str">
        <f t="shared" si="211"/>
        <v/>
      </c>
      <c r="K237" s="256" t="str">
        <f t="shared" si="188"/>
        <v/>
      </c>
      <c r="L237" s="259" t="str">
        <f t="shared" si="189"/>
        <v/>
      </c>
      <c r="M237" s="259" t="str">
        <f t="shared" si="212"/>
        <v/>
      </c>
      <c r="N237" s="256" t="str">
        <f t="shared" si="213"/>
        <v/>
      </c>
      <c r="O237" s="259" t="str">
        <f t="shared" si="214"/>
        <v/>
      </c>
      <c r="P237" s="259" t="str">
        <f t="shared" si="215"/>
        <v/>
      </c>
      <c r="Q237" s="256" t="str">
        <f t="shared" si="216"/>
        <v/>
      </c>
      <c r="R237" s="259" t="str">
        <f t="shared" si="217"/>
        <v/>
      </c>
      <c r="S237" s="259" t="str">
        <f t="shared" si="218"/>
        <v/>
      </c>
      <c r="T237" s="256" t="str">
        <f t="shared" si="219"/>
        <v/>
      </c>
      <c r="U237" s="217"/>
      <c r="V237" s="217"/>
      <c r="AB237" s="257" t="e">
        <f>VLOOKUP($B$6,Lookup_Source,230,0)</f>
        <v>#N/A</v>
      </c>
      <c r="AC237" s="241" t="str">
        <f t="shared" si="220"/>
        <v/>
      </c>
      <c r="AD237" s="242">
        <f t="shared" si="221"/>
        <v>7</v>
      </c>
      <c r="AE237" s="261" t="e">
        <f t="shared" si="190"/>
        <v>#N/A</v>
      </c>
      <c r="AF237" s="264" t="e">
        <f t="shared" si="222"/>
        <v>#N/A</v>
      </c>
      <c r="AG237" s="264" t="e">
        <f t="shared" si="223"/>
        <v>#N/A</v>
      </c>
      <c r="AH237" s="263" t="e">
        <f t="shared" si="191"/>
        <v>#N/A</v>
      </c>
      <c r="AI237" s="226">
        <f t="shared" si="224"/>
        <v>7</v>
      </c>
      <c r="AJ237" s="264" t="e">
        <f t="shared" si="192"/>
        <v>#N/A</v>
      </c>
      <c r="AK237" s="264" t="e">
        <f t="shared" si="225"/>
        <v>#N/A</v>
      </c>
      <c r="AL237" s="226" t="e">
        <f t="shared" si="193"/>
        <v>#N/A</v>
      </c>
      <c r="AM237" s="265" t="e">
        <f t="shared" si="226"/>
        <v>#N/A</v>
      </c>
      <c r="AN237" s="266" t="e">
        <f t="shared" si="194"/>
        <v>#N/A</v>
      </c>
      <c r="AO237" s="227" t="e">
        <f t="shared" si="195"/>
        <v>#N/A</v>
      </c>
      <c r="AP237" s="284">
        <f t="shared" si="227"/>
        <v>7</v>
      </c>
      <c r="AQ237" s="285" t="e">
        <f t="shared" si="196"/>
        <v>#N/A</v>
      </c>
      <c r="AR237" s="266" t="e">
        <f t="shared" si="228"/>
        <v>#N/A</v>
      </c>
      <c r="AS237" s="270" t="e">
        <f t="shared" si="197"/>
        <v>#N/A</v>
      </c>
      <c r="AT237" s="271">
        <f t="shared" si="229"/>
        <v>7</v>
      </c>
      <c r="AU237" s="272" t="e">
        <f t="shared" si="230"/>
        <v>#N/A</v>
      </c>
      <c r="AV237" s="273" t="e">
        <f t="shared" si="231"/>
        <v>#N/A</v>
      </c>
      <c r="AW237" s="274" t="e">
        <f t="shared" si="198"/>
        <v>#N/A</v>
      </c>
      <c r="AX237" s="232">
        <f t="shared" si="232"/>
        <v>7</v>
      </c>
      <c r="AY237" s="273" t="e">
        <f t="shared" si="199"/>
        <v>#N/A</v>
      </c>
      <c r="AZ237" s="232" t="e">
        <f t="shared" si="233"/>
        <v>#N/A</v>
      </c>
      <c r="BA237" s="232" t="e">
        <f t="shared" si="200"/>
        <v>#N/A</v>
      </c>
      <c r="BB237" s="275">
        <f t="shared" si="234"/>
        <v>7</v>
      </c>
      <c r="BC237" s="276" t="e">
        <f t="shared" si="235"/>
        <v>#N/A</v>
      </c>
      <c r="BD237" s="277" t="e">
        <f t="shared" si="236"/>
        <v>#N/A</v>
      </c>
      <c r="BE237" s="250" t="e">
        <f t="shared" si="201"/>
        <v>#N/A</v>
      </c>
      <c r="BF237" s="247">
        <f t="shared" si="237"/>
        <v>7</v>
      </c>
      <c r="BG237" s="276" t="e">
        <f t="shared" si="238"/>
        <v>#N/A</v>
      </c>
      <c r="BH237" s="277" t="e">
        <f t="shared" si="239"/>
        <v>#N/A</v>
      </c>
      <c r="BI237" s="250" t="e">
        <f t="shared" si="202"/>
        <v>#N/A</v>
      </c>
      <c r="BJ237" s="251">
        <f t="shared" si="240"/>
        <v>7</v>
      </c>
      <c r="BK237" s="278" t="e">
        <f t="shared" si="241"/>
        <v>#N/A</v>
      </c>
      <c r="BL237" s="278" t="e">
        <f t="shared" si="242"/>
        <v>#N/A</v>
      </c>
      <c r="BM237" s="279" t="e">
        <f t="shared" si="203"/>
        <v>#N/A</v>
      </c>
      <c r="BN237" s="280">
        <f t="shared" si="243"/>
        <v>7</v>
      </c>
      <c r="BO237" s="281" t="e">
        <f t="shared" si="244"/>
        <v>#N/A</v>
      </c>
      <c r="BP237" s="281" t="e">
        <f t="shared" si="245"/>
        <v>#N/A</v>
      </c>
      <c r="BQ237" s="279" t="e">
        <f t="shared" si="204"/>
        <v>#N/A</v>
      </c>
      <c r="BR237" s="282" t="e">
        <f t="shared" si="205"/>
        <v>#N/A</v>
      </c>
      <c r="BS237" s="217" t="e">
        <f>VLOOKUP($B237,SDR24_STOCK_BY_LA!$A$2:$C$11878,3,0)</f>
        <v>#N/A</v>
      </c>
      <c r="BT237" s="217" t="str">
        <f t="shared" si="246"/>
        <v/>
      </c>
    </row>
    <row r="238" spans="1:72" x14ac:dyDescent="0.2">
      <c r="A238" s="217" t="str">
        <f t="shared" si="247"/>
        <v/>
      </c>
      <c r="B238" s="217" t="str">
        <f t="shared" si="248"/>
        <v/>
      </c>
      <c r="C238" s="283" t="str">
        <f t="shared" si="206"/>
        <v/>
      </c>
      <c r="D238" s="256" t="str">
        <f>IF(B238="","",IF(totals!$Q$3=0,IFERROR(IF(AD238=2,"0",AE238),""),"-"))</f>
        <v/>
      </c>
      <c r="E238" s="258" t="str">
        <f t="shared" si="207"/>
        <v/>
      </c>
      <c r="F238" s="259" t="str">
        <f t="shared" si="208"/>
        <v/>
      </c>
      <c r="G238" s="259" t="str">
        <f t="shared" si="209"/>
        <v/>
      </c>
      <c r="H238" s="256" t="str">
        <f t="shared" si="187"/>
        <v/>
      </c>
      <c r="I238" s="259" t="str">
        <f t="shared" si="210"/>
        <v/>
      </c>
      <c r="J238" s="259" t="str">
        <f t="shared" si="211"/>
        <v/>
      </c>
      <c r="K238" s="256" t="str">
        <f t="shared" si="188"/>
        <v/>
      </c>
      <c r="L238" s="259" t="str">
        <f t="shared" si="189"/>
        <v/>
      </c>
      <c r="M238" s="259" t="str">
        <f t="shared" si="212"/>
        <v/>
      </c>
      <c r="N238" s="256" t="str">
        <f t="shared" si="213"/>
        <v/>
      </c>
      <c r="O238" s="259" t="str">
        <f t="shared" si="214"/>
        <v/>
      </c>
      <c r="P238" s="259" t="str">
        <f t="shared" si="215"/>
        <v/>
      </c>
      <c r="Q238" s="256" t="str">
        <f t="shared" si="216"/>
        <v/>
      </c>
      <c r="R238" s="259" t="str">
        <f t="shared" si="217"/>
        <v/>
      </c>
      <c r="S238" s="259" t="str">
        <f t="shared" si="218"/>
        <v/>
      </c>
      <c r="T238" s="256" t="str">
        <f t="shared" si="219"/>
        <v/>
      </c>
      <c r="U238" s="217"/>
      <c r="V238" s="217"/>
      <c r="AB238" s="217" t="e">
        <f>VLOOKUP($B$6,Lookup_Source,231,0)</f>
        <v>#N/A</v>
      </c>
      <c r="AC238" s="241" t="str">
        <f t="shared" si="220"/>
        <v/>
      </c>
      <c r="AD238" s="242">
        <f t="shared" si="221"/>
        <v>7</v>
      </c>
      <c r="AE238" s="261" t="e">
        <f t="shared" si="190"/>
        <v>#N/A</v>
      </c>
      <c r="AF238" s="264" t="e">
        <f t="shared" si="222"/>
        <v>#N/A</v>
      </c>
      <c r="AG238" s="264" t="e">
        <f t="shared" si="223"/>
        <v>#N/A</v>
      </c>
      <c r="AH238" s="263" t="e">
        <f t="shared" si="191"/>
        <v>#N/A</v>
      </c>
      <c r="AI238" s="226">
        <f t="shared" si="224"/>
        <v>7</v>
      </c>
      <c r="AJ238" s="264" t="e">
        <f t="shared" si="192"/>
        <v>#N/A</v>
      </c>
      <c r="AK238" s="264" t="e">
        <f t="shared" si="225"/>
        <v>#N/A</v>
      </c>
      <c r="AL238" s="226" t="e">
        <f t="shared" si="193"/>
        <v>#N/A</v>
      </c>
      <c r="AM238" s="265" t="e">
        <f t="shared" si="226"/>
        <v>#N/A</v>
      </c>
      <c r="AN238" s="266" t="e">
        <f t="shared" si="194"/>
        <v>#N/A</v>
      </c>
      <c r="AO238" s="227" t="e">
        <f t="shared" si="195"/>
        <v>#N/A</v>
      </c>
      <c r="AP238" s="284">
        <f t="shared" si="227"/>
        <v>7</v>
      </c>
      <c r="AQ238" s="285" t="e">
        <f t="shared" si="196"/>
        <v>#N/A</v>
      </c>
      <c r="AR238" s="266" t="e">
        <f t="shared" si="228"/>
        <v>#N/A</v>
      </c>
      <c r="AS238" s="270" t="e">
        <f t="shared" si="197"/>
        <v>#N/A</v>
      </c>
      <c r="AT238" s="271">
        <f t="shared" si="229"/>
        <v>7</v>
      </c>
      <c r="AU238" s="272" t="e">
        <f t="shared" si="230"/>
        <v>#N/A</v>
      </c>
      <c r="AV238" s="273" t="e">
        <f t="shared" si="231"/>
        <v>#N/A</v>
      </c>
      <c r="AW238" s="274" t="e">
        <f t="shared" si="198"/>
        <v>#N/A</v>
      </c>
      <c r="AX238" s="232">
        <f t="shared" si="232"/>
        <v>7</v>
      </c>
      <c r="AY238" s="273" t="e">
        <f t="shared" si="199"/>
        <v>#N/A</v>
      </c>
      <c r="AZ238" s="232" t="e">
        <f t="shared" si="233"/>
        <v>#N/A</v>
      </c>
      <c r="BA238" s="232" t="e">
        <f t="shared" si="200"/>
        <v>#N/A</v>
      </c>
      <c r="BB238" s="275">
        <f t="shared" si="234"/>
        <v>7</v>
      </c>
      <c r="BC238" s="276" t="e">
        <f t="shared" si="235"/>
        <v>#N/A</v>
      </c>
      <c r="BD238" s="277" t="e">
        <f t="shared" si="236"/>
        <v>#N/A</v>
      </c>
      <c r="BE238" s="250" t="e">
        <f t="shared" si="201"/>
        <v>#N/A</v>
      </c>
      <c r="BF238" s="247">
        <f t="shared" si="237"/>
        <v>7</v>
      </c>
      <c r="BG238" s="276" t="e">
        <f t="shared" si="238"/>
        <v>#N/A</v>
      </c>
      <c r="BH238" s="277" t="e">
        <f t="shared" si="239"/>
        <v>#N/A</v>
      </c>
      <c r="BI238" s="250" t="e">
        <f t="shared" si="202"/>
        <v>#N/A</v>
      </c>
      <c r="BJ238" s="251">
        <f t="shared" si="240"/>
        <v>7</v>
      </c>
      <c r="BK238" s="278" t="e">
        <f t="shared" si="241"/>
        <v>#N/A</v>
      </c>
      <c r="BL238" s="278" t="e">
        <f t="shared" si="242"/>
        <v>#N/A</v>
      </c>
      <c r="BM238" s="279" t="e">
        <f t="shared" si="203"/>
        <v>#N/A</v>
      </c>
      <c r="BN238" s="280">
        <f t="shared" si="243"/>
        <v>7</v>
      </c>
      <c r="BO238" s="281" t="e">
        <f t="shared" si="244"/>
        <v>#N/A</v>
      </c>
      <c r="BP238" s="281" t="e">
        <f t="shared" si="245"/>
        <v>#N/A</v>
      </c>
      <c r="BQ238" s="279" t="e">
        <f t="shared" si="204"/>
        <v>#N/A</v>
      </c>
      <c r="BR238" s="282" t="e">
        <f t="shared" si="205"/>
        <v>#N/A</v>
      </c>
      <c r="BS238" s="217" t="e">
        <f>VLOOKUP($B238,SDR24_STOCK_BY_LA!$A$2:$C$11878,3,0)</f>
        <v>#N/A</v>
      </c>
      <c r="BT238" s="217" t="str">
        <f t="shared" si="246"/>
        <v/>
      </c>
    </row>
    <row r="239" spans="1:72" x14ac:dyDescent="0.2">
      <c r="A239" s="256" t="str">
        <f t="shared" si="247"/>
        <v/>
      </c>
      <c r="B239" s="217" t="str">
        <f t="shared" si="248"/>
        <v/>
      </c>
      <c r="C239" s="257" t="str">
        <f t="shared" si="206"/>
        <v/>
      </c>
      <c r="D239" s="256" t="str">
        <f>IF(B239="","",IF(totals!$Q$3=0,IFERROR(IF(AD239=2,"0",AE239),""),"-"))</f>
        <v/>
      </c>
      <c r="E239" s="258" t="str">
        <f t="shared" si="207"/>
        <v/>
      </c>
      <c r="F239" s="259" t="str">
        <f t="shared" si="208"/>
        <v/>
      </c>
      <c r="G239" s="259" t="str">
        <f t="shared" si="209"/>
        <v/>
      </c>
      <c r="H239" s="256" t="str">
        <f t="shared" si="187"/>
        <v/>
      </c>
      <c r="I239" s="259" t="str">
        <f t="shared" si="210"/>
        <v/>
      </c>
      <c r="J239" s="259" t="str">
        <f t="shared" si="211"/>
        <v/>
      </c>
      <c r="K239" s="256" t="str">
        <f t="shared" si="188"/>
        <v/>
      </c>
      <c r="L239" s="259" t="str">
        <f t="shared" si="189"/>
        <v/>
      </c>
      <c r="M239" s="259" t="str">
        <f t="shared" si="212"/>
        <v/>
      </c>
      <c r="N239" s="256" t="str">
        <f t="shared" si="213"/>
        <v/>
      </c>
      <c r="O239" s="259" t="str">
        <f t="shared" si="214"/>
        <v/>
      </c>
      <c r="P239" s="259" t="str">
        <f t="shared" si="215"/>
        <v/>
      </c>
      <c r="Q239" s="256" t="str">
        <f t="shared" si="216"/>
        <v/>
      </c>
      <c r="R239" s="259" t="str">
        <f t="shared" si="217"/>
        <v/>
      </c>
      <c r="S239" s="259" t="str">
        <f t="shared" si="218"/>
        <v/>
      </c>
      <c r="T239" s="256" t="str">
        <f t="shared" si="219"/>
        <v/>
      </c>
      <c r="U239" s="217"/>
      <c r="V239" s="217"/>
      <c r="AB239" s="257" t="e">
        <f>VLOOKUP($B$6,Lookup_Source,232,0)</f>
        <v>#N/A</v>
      </c>
      <c r="AC239" s="241" t="str">
        <f t="shared" si="220"/>
        <v/>
      </c>
      <c r="AD239" s="242">
        <f t="shared" si="221"/>
        <v>7</v>
      </c>
      <c r="AE239" s="261" t="e">
        <f t="shared" si="190"/>
        <v>#N/A</v>
      </c>
      <c r="AF239" s="264" t="e">
        <f t="shared" si="222"/>
        <v>#N/A</v>
      </c>
      <c r="AG239" s="264" t="e">
        <f t="shared" si="223"/>
        <v>#N/A</v>
      </c>
      <c r="AH239" s="263" t="e">
        <f t="shared" si="191"/>
        <v>#N/A</v>
      </c>
      <c r="AI239" s="226">
        <f t="shared" si="224"/>
        <v>7</v>
      </c>
      <c r="AJ239" s="264" t="e">
        <f t="shared" si="192"/>
        <v>#N/A</v>
      </c>
      <c r="AK239" s="264" t="e">
        <f t="shared" si="225"/>
        <v>#N/A</v>
      </c>
      <c r="AL239" s="226" t="e">
        <f t="shared" si="193"/>
        <v>#N/A</v>
      </c>
      <c r="AM239" s="265" t="e">
        <f t="shared" si="226"/>
        <v>#N/A</v>
      </c>
      <c r="AN239" s="266" t="e">
        <f t="shared" si="194"/>
        <v>#N/A</v>
      </c>
      <c r="AO239" s="227" t="e">
        <f t="shared" si="195"/>
        <v>#N/A</v>
      </c>
      <c r="AP239" s="284">
        <f t="shared" si="227"/>
        <v>7</v>
      </c>
      <c r="AQ239" s="285" t="e">
        <f t="shared" si="196"/>
        <v>#N/A</v>
      </c>
      <c r="AR239" s="266" t="e">
        <f t="shared" si="228"/>
        <v>#N/A</v>
      </c>
      <c r="AS239" s="270" t="e">
        <f t="shared" si="197"/>
        <v>#N/A</v>
      </c>
      <c r="AT239" s="271">
        <f t="shared" si="229"/>
        <v>7</v>
      </c>
      <c r="AU239" s="272" t="e">
        <f t="shared" si="230"/>
        <v>#N/A</v>
      </c>
      <c r="AV239" s="273" t="e">
        <f t="shared" si="231"/>
        <v>#N/A</v>
      </c>
      <c r="AW239" s="274" t="e">
        <f t="shared" si="198"/>
        <v>#N/A</v>
      </c>
      <c r="AX239" s="232">
        <f t="shared" si="232"/>
        <v>7</v>
      </c>
      <c r="AY239" s="273" t="e">
        <f t="shared" si="199"/>
        <v>#N/A</v>
      </c>
      <c r="AZ239" s="232" t="e">
        <f t="shared" si="233"/>
        <v>#N/A</v>
      </c>
      <c r="BA239" s="232" t="e">
        <f t="shared" si="200"/>
        <v>#N/A</v>
      </c>
      <c r="BB239" s="275">
        <f t="shared" si="234"/>
        <v>7</v>
      </c>
      <c r="BC239" s="276" t="e">
        <f t="shared" si="235"/>
        <v>#N/A</v>
      </c>
      <c r="BD239" s="277" t="e">
        <f t="shared" si="236"/>
        <v>#N/A</v>
      </c>
      <c r="BE239" s="250" t="e">
        <f t="shared" si="201"/>
        <v>#N/A</v>
      </c>
      <c r="BF239" s="247">
        <f t="shared" si="237"/>
        <v>7</v>
      </c>
      <c r="BG239" s="276" t="e">
        <f t="shared" si="238"/>
        <v>#N/A</v>
      </c>
      <c r="BH239" s="277" t="e">
        <f t="shared" si="239"/>
        <v>#N/A</v>
      </c>
      <c r="BI239" s="250" t="e">
        <f t="shared" si="202"/>
        <v>#N/A</v>
      </c>
      <c r="BJ239" s="251">
        <f t="shared" si="240"/>
        <v>7</v>
      </c>
      <c r="BK239" s="278" t="e">
        <f t="shared" si="241"/>
        <v>#N/A</v>
      </c>
      <c r="BL239" s="278" t="e">
        <f t="shared" si="242"/>
        <v>#N/A</v>
      </c>
      <c r="BM239" s="279" t="e">
        <f t="shared" si="203"/>
        <v>#N/A</v>
      </c>
      <c r="BN239" s="280">
        <f t="shared" si="243"/>
        <v>7</v>
      </c>
      <c r="BO239" s="281" t="e">
        <f t="shared" si="244"/>
        <v>#N/A</v>
      </c>
      <c r="BP239" s="281" t="e">
        <f t="shared" si="245"/>
        <v>#N/A</v>
      </c>
      <c r="BQ239" s="279" t="e">
        <f t="shared" si="204"/>
        <v>#N/A</v>
      </c>
      <c r="BR239" s="282" t="e">
        <f t="shared" si="205"/>
        <v>#N/A</v>
      </c>
      <c r="BS239" s="217" t="e">
        <f>VLOOKUP($B239,SDR24_STOCK_BY_LA!$A$2:$C$11878,3,0)</f>
        <v>#N/A</v>
      </c>
      <c r="BT239" s="217" t="str">
        <f t="shared" si="246"/>
        <v/>
      </c>
    </row>
    <row r="240" spans="1:72" x14ac:dyDescent="0.2">
      <c r="A240" s="217" t="str">
        <f t="shared" si="247"/>
        <v/>
      </c>
      <c r="B240" s="217" t="str">
        <f t="shared" si="248"/>
        <v/>
      </c>
      <c r="C240" s="283" t="str">
        <f t="shared" si="206"/>
        <v/>
      </c>
      <c r="D240" s="256" t="str">
        <f>IF(B240="","",IF(totals!$Q$3=0,IFERROR(IF(AD240=2,"0",AE240),""),"-"))</f>
        <v/>
      </c>
      <c r="E240" s="258" t="str">
        <f t="shared" si="207"/>
        <v/>
      </c>
      <c r="F240" s="259" t="str">
        <f t="shared" si="208"/>
        <v/>
      </c>
      <c r="G240" s="259" t="str">
        <f t="shared" si="209"/>
        <v/>
      </c>
      <c r="H240" s="256" t="str">
        <f t="shared" si="187"/>
        <v/>
      </c>
      <c r="I240" s="259" t="str">
        <f t="shared" si="210"/>
        <v/>
      </c>
      <c r="J240" s="259" t="str">
        <f t="shared" si="211"/>
        <v/>
      </c>
      <c r="K240" s="256" t="str">
        <f t="shared" si="188"/>
        <v/>
      </c>
      <c r="L240" s="259" t="str">
        <f t="shared" si="189"/>
        <v/>
      </c>
      <c r="M240" s="259" t="str">
        <f t="shared" si="212"/>
        <v/>
      </c>
      <c r="N240" s="256" t="str">
        <f t="shared" si="213"/>
        <v/>
      </c>
      <c r="O240" s="259" t="str">
        <f t="shared" si="214"/>
        <v/>
      </c>
      <c r="P240" s="259" t="str">
        <f t="shared" si="215"/>
        <v/>
      </c>
      <c r="Q240" s="256" t="str">
        <f t="shared" si="216"/>
        <v/>
      </c>
      <c r="R240" s="259" t="str">
        <f t="shared" si="217"/>
        <v/>
      </c>
      <c r="S240" s="259" t="str">
        <f t="shared" si="218"/>
        <v/>
      </c>
      <c r="T240" s="256" t="str">
        <f t="shared" si="219"/>
        <v/>
      </c>
      <c r="U240" s="217"/>
      <c r="V240" s="217"/>
      <c r="AB240" s="217" t="e">
        <f>VLOOKUP($B$6,Lookup_Source,233,0)</f>
        <v>#N/A</v>
      </c>
      <c r="AC240" s="241" t="str">
        <f t="shared" si="220"/>
        <v/>
      </c>
      <c r="AD240" s="242">
        <f t="shared" si="221"/>
        <v>7</v>
      </c>
      <c r="AE240" s="261" t="e">
        <f t="shared" si="190"/>
        <v>#N/A</v>
      </c>
      <c r="AF240" s="264" t="e">
        <f t="shared" si="222"/>
        <v>#N/A</v>
      </c>
      <c r="AG240" s="264" t="e">
        <f t="shared" si="223"/>
        <v>#N/A</v>
      </c>
      <c r="AH240" s="263" t="e">
        <f t="shared" si="191"/>
        <v>#N/A</v>
      </c>
      <c r="AI240" s="226">
        <f t="shared" si="224"/>
        <v>7</v>
      </c>
      <c r="AJ240" s="264" t="e">
        <f t="shared" si="192"/>
        <v>#N/A</v>
      </c>
      <c r="AK240" s="264" t="e">
        <f t="shared" si="225"/>
        <v>#N/A</v>
      </c>
      <c r="AL240" s="226" t="e">
        <f t="shared" si="193"/>
        <v>#N/A</v>
      </c>
      <c r="AM240" s="265" t="e">
        <f t="shared" si="226"/>
        <v>#N/A</v>
      </c>
      <c r="AN240" s="266" t="e">
        <f t="shared" si="194"/>
        <v>#N/A</v>
      </c>
      <c r="AO240" s="227" t="e">
        <f t="shared" si="195"/>
        <v>#N/A</v>
      </c>
      <c r="AP240" s="284">
        <f t="shared" si="227"/>
        <v>7</v>
      </c>
      <c r="AQ240" s="285" t="e">
        <f t="shared" si="196"/>
        <v>#N/A</v>
      </c>
      <c r="AR240" s="266" t="e">
        <f t="shared" si="228"/>
        <v>#N/A</v>
      </c>
      <c r="AS240" s="270" t="e">
        <f t="shared" si="197"/>
        <v>#N/A</v>
      </c>
      <c r="AT240" s="271">
        <f t="shared" si="229"/>
        <v>7</v>
      </c>
      <c r="AU240" s="272" t="e">
        <f t="shared" si="230"/>
        <v>#N/A</v>
      </c>
      <c r="AV240" s="273" t="e">
        <f t="shared" si="231"/>
        <v>#N/A</v>
      </c>
      <c r="AW240" s="274" t="e">
        <f t="shared" si="198"/>
        <v>#N/A</v>
      </c>
      <c r="AX240" s="232">
        <f t="shared" si="232"/>
        <v>7</v>
      </c>
      <c r="AY240" s="273" t="e">
        <f t="shared" si="199"/>
        <v>#N/A</v>
      </c>
      <c r="AZ240" s="232" t="e">
        <f t="shared" si="233"/>
        <v>#N/A</v>
      </c>
      <c r="BA240" s="232" t="e">
        <f t="shared" si="200"/>
        <v>#N/A</v>
      </c>
      <c r="BB240" s="275">
        <f t="shared" si="234"/>
        <v>7</v>
      </c>
      <c r="BC240" s="276" t="e">
        <f t="shared" si="235"/>
        <v>#N/A</v>
      </c>
      <c r="BD240" s="277" t="e">
        <f t="shared" si="236"/>
        <v>#N/A</v>
      </c>
      <c r="BE240" s="250" t="e">
        <f t="shared" si="201"/>
        <v>#N/A</v>
      </c>
      <c r="BF240" s="247">
        <f t="shared" si="237"/>
        <v>7</v>
      </c>
      <c r="BG240" s="276" t="e">
        <f t="shared" si="238"/>
        <v>#N/A</v>
      </c>
      <c r="BH240" s="277" t="e">
        <f t="shared" si="239"/>
        <v>#N/A</v>
      </c>
      <c r="BI240" s="250" t="e">
        <f t="shared" si="202"/>
        <v>#N/A</v>
      </c>
      <c r="BJ240" s="251">
        <f t="shared" si="240"/>
        <v>7</v>
      </c>
      <c r="BK240" s="278" t="e">
        <f t="shared" si="241"/>
        <v>#N/A</v>
      </c>
      <c r="BL240" s="278" t="e">
        <f t="shared" si="242"/>
        <v>#N/A</v>
      </c>
      <c r="BM240" s="279" t="e">
        <f t="shared" si="203"/>
        <v>#N/A</v>
      </c>
      <c r="BN240" s="280">
        <f t="shared" si="243"/>
        <v>7</v>
      </c>
      <c r="BO240" s="281" t="e">
        <f t="shared" si="244"/>
        <v>#N/A</v>
      </c>
      <c r="BP240" s="281" t="e">
        <f t="shared" si="245"/>
        <v>#N/A</v>
      </c>
      <c r="BQ240" s="279" t="e">
        <f t="shared" si="204"/>
        <v>#N/A</v>
      </c>
      <c r="BR240" s="282" t="e">
        <f t="shared" si="205"/>
        <v>#N/A</v>
      </c>
      <c r="BS240" s="217" t="e">
        <f>VLOOKUP($B240,SDR24_STOCK_BY_LA!$A$2:$C$11878,3,0)</f>
        <v>#N/A</v>
      </c>
      <c r="BT240" s="217" t="str">
        <f t="shared" si="246"/>
        <v/>
      </c>
    </row>
    <row r="241" spans="1:72" x14ac:dyDescent="0.2">
      <c r="A241" s="256" t="str">
        <f t="shared" si="247"/>
        <v/>
      </c>
      <c r="B241" s="217" t="str">
        <f t="shared" si="248"/>
        <v/>
      </c>
      <c r="C241" s="257" t="str">
        <f t="shared" si="206"/>
        <v/>
      </c>
      <c r="D241" s="256" t="str">
        <f>IF(B241="","",IF(totals!$Q$3=0,IFERROR(IF(AD241=2,"0",AE241),""),"-"))</f>
        <v/>
      </c>
      <c r="E241" s="258" t="str">
        <f t="shared" si="207"/>
        <v/>
      </c>
      <c r="F241" s="259" t="str">
        <f t="shared" si="208"/>
        <v/>
      </c>
      <c r="G241" s="259" t="str">
        <f t="shared" si="209"/>
        <v/>
      </c>
      <c r="H241" s="256" t="str">
        <f t="shared" si="187"/>
        <v/>
      </c>
      <c r="I241" s="259" t="str">
        <f t="shared" si="210"/>
        <v/>
      </c>
      <c r="J241" s="259" t="str">
        <f t="shared" si="211"/>
        <v/>
      </c>
      <c r="K241" s="256" t="str">
        <f t="shared" si="188"/>
        <v/>
      </c>
      <c r="L241" s="259" t="str">
        <f t="shared" si="189"/>
        <v/>
      </c>
      <c r="M241" s="259" t="str">
        <f t="shared" si="212"/>
        <v/>
      </c>
      <c r="N241" s="256" t="str">
        <f t="shared" si="213"/>
        <v/>
      </c>
      <c r="O241" s="259" t="str">
        <f t="shared" si="214"/>
        <v/>
      </c>
      <c r="P241" s="259" t="str">
        <f t="shared" si="215"/>
        <v/>
      </c>
      <c r="Q241" s="256" t="str">
        <f t="shared" si="216"/>
        <v/>
      </c>
      <c r="R241" s="259" t="str">
        <f t="shared" si="217"/>
        <v/>
      </c>
      <c r="S241" s="259" t="str">
        <f t="shared" si="218"/>
        <v/>
      </c>
      <c r="T241" s="256" t="str">
        <f t="shared" si="219"/>
        <v/>
      </c>
      <c r="U241" s="217"/>
      <c r="V241" s="217"/>
      <c r="AB241" s="257" t="e">
        <f>VLOOKUP($B$6,Lookup_Source,234,0)</f>
        <v>#N/A</v>
      </c>
      <c r="AC241" s="241" t="str">
        <f t="shared" si="220"/>
        <v/>
      </c>
      <c r="AD241" s="242">
        <f t="shared" si="221"/>
        <v>7</v>
      </c>
      <c r="AE241" s="261" t="e">
        <f t="shared" si="190"/>
        <v>#N/A</v>
      </c>
      <c r="AF241" s="264" t="e">
        <f t="shared" si="222"/>
        <v>#N/A</v>
      </c>
      <c r="AG241" s="264" t="e">
        <f t="shared" si="223"/>
        <v>#N/A</v>
      </c>
      <c r="AH241" s="263" t="e">
        <f t="shared" si="191"/>
        <v>#N/A</v>
      </c>
      <c r="AI241" s="226">
        <f t="shared" si="224"/>
        <v>7</v>
      </c>
      <c r="AJ241" s="264" t="e">
        <f t="shared" si="192"/>
        <v>#N/A</v>
      </c>
      <c r="AK241" s="264" t="e">
        <f t="shared" si="225"/>
        <v>#N/A</v>
      </c>
      <c r="AL241" s="226" t="e">
        <f t="shared" si="193"/>
        <v>#N/A</v>
      </c>
      <c r="AM241" s="265" t="e">
        <f t="shared" si="226"/>
        <v>#N/A</v>
      </c>
      <c r="AN241" s="266" t="e">
        <f t="shared" si="194"/>
        <v>#N/A</v>
      </c>
      <c r="AO241" s="227" t="e">
        <f t="shared" si="195"/>
        <v>#N/A</v>
      </c>
      <c r="AP241" s="284">
        <f t="shared" si="227"/>
        <v>7</v>
      </c>
      <c r="AQ241" s="285" t="e">
        <f t="shared" si="196"/>
        <v>#N/A</v>
      </c>
      <c r="AR241" s="266" t="e">
        <f t="shared" si="228"/>
        <v>#N/A</v>
      </c>
      <c r="AS241" s="270" t="e">
        <f t="shared" si="197"/>
        <v>#N/A</v>
      </c>
      <c r="AT241" s="271">
        <f t="shared" si="229"/>
        <v>7</v>
      </c>
      <c r="AU241" s="272" t="e">
        <f t="shared" si="230"/>
        <v>#N/A</v>
      </c>
      <c r="AV241" s="273" t="e">
        <f t="shared" si="231"/>
        <v>#N/A</v>
      </c>
      <c r="AW241" s="274" t="e">
        <f t="shared" si="198"/>
        <v>#N/A</v>
      </c>
      <c r="AX241" s="232">
        <f t="shared" si="232"/>
        <v>7</v>
      </c>
      <c r="AY241" s="273" t="e">
        <f t="shared" si="199"/>
        <v>#N/A</v>
      </c>
      <c r="AZ241" s="232" t="e">
        <f t="shared" si="233"/>
        <v>#N/A</v>
      </c>
      <c r="BA241" s="232" t="e">
        <f t="shared" si="200"/>
        <v>#N/A</v>
      </c>
      <c r="BB241" s="275">
        <f t="shared" si="234"/>
        <v>7</v>
      </c>
      <c r="BC241" s="276" t="e">
        <f t="shared" si="235"/>
        <v>#N/A</v>
      </c>
      <c r="BD241" s="277" t="e">
        <f t="shared" si="236"/>
        <v>#N/A</v>
      </c>
      <c r="BE241" s="250" t="e">
        <f t="shared" si="201"/>
        <v>#N/A</v>
      </c>
      <c r="BF241" s="247">
        <f t="shared" si="237"/>
        <v>7</v>
      </c>
      <c r="BG241" s="276" t="e">
        <f t="shared" si="238"/>
        <v>#N/A</v>
      </c>
      <c r="BH241" s="277" t="e">
        <f t="shared" si="239"/>
        <v>#N/A</v>
      </c>
      <c r="BI241" s="250" t="e">
        <f t="shared" si="202"/>
        <v>#N/A</v>
      </c>
      <c r="BJ241" s="251">
        <f t="shared" si="240"/>
        <v>7</v>
      </c>
      <c r="BK241" s="278" t="e">
        <f t="shared" si="241"/>
        <v>#N/A</v>
      </c>
      <c r="BL241" s="278" t="e">
        <f t="shared" si="242"/>
        <v>#N/A</v>
      </c>
      <c r="BM241" s="279" t="e">
        <f t="shared" si="203"/>
        <v>#N/A</v>
      </c>
      <c r="BN241" s="280">
        <f t="shared" si="243"/>
        <v>7</v>
      </c>
      <c r="BO241" s="281" t="e">
        <f t="shared" si="244"/>
        <v>#N/A</v>
      </c>
      <c r="BP241" s="281" t="e">
        <f t="shared" si="245"/>
        <v>#N/A</v>
      </c>
      <c r="BQ241" s="279" t="e">
        <f t="shared" si="204"/>
        <v>#N/A</v>
      </c>
      <c r="BR241" s="282" t="e">
        <f t="shared" si="205"/>
        <v>#N/A</v>
      </c>
      <c r="BS241" s="217" t="e">
        <f>VLOOKUP($B241,SDR24_STOCK_BY_LA!$A$2:$C$11878,3,0)</f>
        <v>#N/A</v>
      </c>
      <c r="BT241" s="217" t="str">
        <f t="shared" si="246"/>
        <v/>
      </c>
    </row>
    <row r="242" spans="1:72" x14ac:dyDescent="0.2">
      <c r="A242" s="217" t="str">
        <f t="shared" si="247"/>
        <v/>
      </c>
      <c r="B242" s="217" t="str">
        <f t="shared" si="248"/>
        <v/>
      </c>
      <c r="C242" s="283" t="str">
        <f t="shared" si="206"/>
        <v/>
      </c>
      <c r="D242" s="256" t="str">
        <f>IF(B242="","",IF(totals!$Q$3=0,IFERROR(IF(AD242=2,"0",AE242),""),"-"))</f>
        <v/>
      </c>
      <c r="E242" s="258" t="str">
        <f t="shared" si="207"/>
        <v/>
      </c>
      <c r="F242" s="259" t="str">
        <f t="shared" si="208"/>
        <v/>
      </c>
      <c r="G242" s="259" t="str">
        <f t="shared" si="209"/>
        <v/>
      </c>
      <c r="H242" s="256" t="str">
        <f t="shared" si="187"/>
        <v/>
      </c>
      <c r="I242" s="259" t="str">
        <f t="shared" si="210"/>
        <v/>
      </c>
      <c r="J242" s="259" t="str">
        <f t="shared" si="211"/>
        <v/>
      </c>
      <c r="K242" s="256" t="str">
        <f t="shared" si="188"/>
        <v/>
      </c>
      <c r="L242" s="259" t="str">
        <f t="shared" si="189"/>
        <v/>
      </c>
      <c r="M242" s="259" t="str">
        <f t="shared" si="212"/>
        <v/>
      </c>
      <c r="N242" s="256" t="str">
        <f t="shared" si="213"/>
        <v/>
      </c>
      <c r="O242" s="259" t="str">
        <f t="shared" si="214"/>
        <v/>
      </c>
      <c r="P242" s="259" t="str">
        <f t="shared" si="215"/>
        <v/>
      </c>
      <c r="Q242" s="256" t="str">
        <f t="shared" si="216"/>
        <v/>
      </c>
      <c r="R242" s="259" t="str">
        <f t="shared" si="217"/>
        <v/>
      </c>
      <c r="S242" s="259" t="str">
        <f t="shared" si="218"/>
        <v/>
      </c>
      <c r="T242" s="256" t="str">
        <f t="shared" si="219"/>
        <v/>
      </c>
      <c r="U242" s="217"/>
      <c r="V242" s="217"/>
      <c r="AB242" s="217" t="e">
        <f>VLOOKUP($B$6,Lookup_Source,235,0)</f>
        <v>#N/A</v>
      </c>
      <c r="AC242" s="241" t="str">
        <f t="shared" si="220"/>
        <v/>
      </c>
      <c r="AD242" s="242">
        <f t="shared" si="221"/>
        <v>7</v>
      </c>
      <c r="AE242" s="261" t="e">
        <f t="shared" si="190"/>
        <v>#N/A</v>
      </c>
      <c r="AF242" s="264" t="e">
        <f t="shared" si="222"/>
        <v>#N/A</v>
      </c>
      <c r="AG242" s="264" t="e">
        <f t="shared" si="223"/>
        <v>#N/A</v>
      </c>
      <c r="AH242" s="263" t="e">
        <f t="shared" si="191"/>
        <v>#N/A</v>
      </c>
      <c r="AI242" s="226">
        <f t="shared" si="224"/>
        <v>7</v>
      </c>
      <c r="AJ242" s="264" t="e">
        <f t="shared" si="192"/>
        <v>#N/A</v>
      </c>
      <c r="AK242" s="264" t="e">
        <f t="shared" si="225"/>
        <v>#N/A</v>
      </c>
      <c r="AL242" s="226" t="e">
        <f t="shared" si="193"/>
        <v>#N/A</v>
      </c>
      <c r="AM242" s="265" t="e">
        <f t="shared" si="226"/>
        <v>#N/A</v>
      </c>
      <c r="AN242" s="266" t="e">
        <f t="shared" si="194"/>
        <v>#N/A</v>
      </c>
      <c r="AO242" s="227" t="e">
        <f t="shared" si="195"/>
        <v>#N/A</v>
      </c>
      <c r="AP242" s="284">
        <f t="shared" si="227"/>
        <v>7</v>
      </c>
      <c r="AQ242" s="285" t="e">
        <f t="shared" si="196"/>
        <v>#N/A</v>
      </c>
      <c r="AR242" s="266" t="e">
        <f t="shared" si="228"/>
        <v>#N/A</v>
      </c>
      <c r="AS242" s="270" t="e">
        <f t="shared" si="197"/>
        <v>#N/A</v>
      </c>
      <c r="AT242" s="271">
        <f t="shared" si="229"/>
        <v>7</v>
      </c>
      <c r="AU242" s="272" t="e">
        <f t="shared" si="230"/>
        <v>#N/A</v>
      </c>
      <c r="AV242" s="273" t="e">
        <f t="shared" si="231"/>
        <v>#N/A</v>
      </c>
      <c r="AW242" s="274" t="e">
        <f t="shared" si="198"/>
        <v>#N/A</v>
      </c>
      <c r="AX242" s="232">
        <f t="shared" si="232"/>
        <v>7</v>
      </c>
      <c r="AY242" s="273" t="e">
        <f t="shared" si="199"/>
        <v>#N/A</v>
      </c>
      <c r="AZ242" s="232" t="e">
        <f t="shared" si="233"/>
        <v>#N/A</v>
      </c>
      <c r="BA242" s="232" t="e">
        <f t="shared" si="200"/>
        <v>#N/A</v>
      </c>
      <c r="BB242" s="275">
        <f t="shared" si="234"/>
        <v>7</v>
      </c>
      <c r="BC242" s="276" t="e">
        <f t="shared" si="235"/>
        <v>#N/A</v>
      </c>
      <c r="BD242" s="277" t="e">
        <f t="shared" si="236"/>
        <v>#N/A</v>
      </c>
      <c r="BE242" s="250" t="e">
        <f t="shared" si="201"/>
        <v>#N/A</v>
      </c>
      <c r="BF242" s="247">
        <f t="shared" si="237"/>
        <v>7</v>
      </c>
      <c r="BG242" s="276" t="e">
        <f t="shared" si="238"/>
        <v>#N/A</v>
      </c>
      <c r="BH242" s="277" t="e">
        <f t="shared" si="239"/>
        <v>#N/A</v>
      </c>
      <c r="BI242" s="250" t="e">
        <f t="shared" si="202"/>
        <v>#N/A</v>
      </c>
      <c r="BJ242" s="251">
        <f t="shared" si="240"/>
        <v>7</v>
      </c>
      <c r="BK242" s="278" t="e">
        <f t="shared" si="241"/>
        <v>#N/A</v>
      </c>
      <c r="BL242" s="278" t="e">
        <f t="shared" si="242"/>
        <v>#N/A</v>
      </c>
      <c r="BM242" s="279" t="e">
        <f t="shared" si="203"/>
        <v>#N/A</v>
      </c>
      <c r="BN242" s="280">
        <f t="shared" si="243"/>
        <v>7</v>
      </c>
      <c r="BO242" s="281" t="e">
        <f t="shared" si="244"/>
        <v>#N/A</v>
      </c>
      <c r="BP242" s="281" t="e">
        <f t="shared" si="245"/>
        <v>#N/A</v>
      </c>
      <c r="BQ242" s="279" t="e">
        <f t="shared" si="204"/>
        <v>#N/A</v>
      </c>
      <c r="BR242" s="282" t="e">
        <f t="shared" si="205"/>
        <v>#N/A</v>
      </c>
      <c r="BS242" s="217" t="e">
        <f>VLOOKUP($B242,SDR24_STOCK_BY_LA!$A$2:$C$11878,3,0)</f>
        <v>#N/A</v>
      </c>
      <c r="BT242" s="217" t="str">
        <f t="shared" si="246"/>
        <v/>
      </c>
    </row>
    <row r="243" spans="1:72" x14ac:dyDescent="0.2">
      <c r="A243" s="256" t="str">
        <f t="shared" si="247"/>
        <v/>
      </c>
      <c r="B243" s="217" t="str">
        <f t="shared" si="248"/>
        <v/>
      </c>
      <c r="C243" s="257" t="str">
        <f t="shared" si="206"/>
        <v/>
      </c>
      <c r="D243" s="256" t="str">
        <f>IF(B243="","",IF(totals!$Q$3=0,IFERROR(IF(AD243=2,"0",AE243),""),"-"))</f>
        <v/>
      </c>
      <c r="E243" s="258" t="str">
        <f t="shared" si="207"/>
        <v/>
      </c>
      <c r="F243" s="259" t="str">
        <f t="shared" si="208"/>
        <v/>
      </c>
      <c r="G243" s="259" t="str">
        <f t="shared" si="209"/>
        <v/>
      </c>
      <c r="H243" s="256" t="str">
        <f t="shared" si="187"/>
        <v/>
      </c>
      <c r="I243" s="259" t="str">
        <f t="shared" si="210"/>
        <v/>
      </c>
      <c r="J243" s="259" t="str">
        <f t="shared" si="211"/>
        <v/>
      </c>
      <c r="K243" s="256" t="str">
        <f t="shared" si="188"/>
        <v/>
      </c>
      <c r="L243" s="259" t="str">
        <f t="shared" si="189"/>
        <v/>
      </c>
      <c r="M243" s="259" t="str">
        <f t="shared" si="212"/>
        <v/>
      </c>
      <c r="N243" s="256" t="str">
        <f t="shared" si="213"/>
        <v/>
      </c>
      <c r="O243" s="259" t="str">
        <f t="shared" si="214"/>
        <v/>
      </c>
      <c r="P243" s="259" t="str">
        <f t="shared" si="215"/>
        <v/>
      </c>
      <c r="Q243" s="256" t="str">
        <f t="shared" si="216"/>
        <v/>
      </c>
      <c r="R243" s="259" t="str">
        <f t="shared" si="217"/>
        <v/>
      </c>
      <c r="S243" s="259" t="str">
        <f t="shared" si="218"/>
        <v/>
      </c>
      <c r="T243" s="256" t="str">
        <f t="shared" si="219"/>
        <v/>
      </c>
      <c r="U243" s="217"/>
      <c r="V243" s="217"/>
      <c r="AB243" s="257" t="e">
        <f>VLOOKUP($B$6,Lookup_Source,236,0)</f>
        <v>#N/A</v>
      </c>
      <c r="AC243" s="241" t="str">
        <f t="shared" si="220"/>
        <v/>
      </c>
      <c r="AD243" s="242">
        <f t="shared" si="221"/>
        <v>7</v>
      </c>
      <c r="AE243" s="261" t="e">
        <f t="shared" si="190"/>
        <v>#N/A</v>
      </c>
      <c r="AF243" s="264" t="e">
        <f t="shared" si="222"/>
        <v>#N/A</v>
      </c>
      <c r="AG243" s="264" t="e">
        <f t="shared" si="223"/>
        <v>#N/A</v>
      </c>
      <c r="AH243" s="263" t="e">
        <f t="shared" si="191"/>
        <v>#N/A</v>
      </c>
      <c r="AI243" s="226">
        <f t="shared" si="224"/>
        <v>7</v>
      </c>
      <c r="AJ243" s="264" t="e">
        <f t="shared" si="192"/>
        <v>#N/A</v>
      </c>
      <c r="AK243" s="264" t="e">
        <f t="shared" si="225"/>
        <v>#N/A</v>
      </c>
      <c r="AL243" s="226" t="e">
        <f t="shared" si="193"/>
        <v>#N/A</v>
      </c>
      <c r="AM243" s="265" t="e">
        <f t="shared" si="226"/>
        <v>#N/A</v>
      </c>
      <c r="AN243" s="266" t="e">
        <f t="shared" si="194"/>
        <v>#N/A</v>
      </c>
      <c r="AO243" s="227" t="e">
        <f t="shared" si="195"/>
        <v>#N/A</v>
      </c>
      <c r="AP243" s="284">
        <f t="shared" si="227"/>
        <v>7</v>
      </c>
      <c r="AQ243" s="285" t="e">
        <f t="shared" si="196"/>
        <v>#N/A</v>
      </c>
      <c r="AR243" s="266" t="e">
        <f t="shared" si="228"/>
        <v>#N/A</v>
      </c>
      <c r="AS243" s="270" t="e">
        <f t="shared" si="197"/>
        <v>#N/A</v>
      </c>
      <c r="AT243" s="271">
        <f t="shared" si="229"/>
        <v>7</v>
      </c>
      <c r="AU243" s="272" t="e">
        <f t="shared" si="230"/>
        <v>#N/A</v>
      </c>
      <c r="AV243" s="273" t="e">
        <f t="shared" si="231"/>
        <v>#N/A</v>
      </c>
      <c r="AW243" s="274" t="e">
        <f t="shared" si="198"/>
        <v>#N/A</v>
      </c>
      <c r="AX243" s="232">
        <f t="shared" si="232"/>
        <v>7</v>
      </c>
      <c r="AY243" s="273" t="e">
        <f t="shared" si="199"/>
        <v>#N/A</v>
      </c>
      <c r="AZ243" s="232" t="e">
        <f t="shared" si="233"/>
        <v>#N/A</v>
      </c>
      <c r="BA243" s="232" t="e">
        <f t="shared" si="200"/>
        <v>#N/A</v>
      </c>
      <c r="BB243" s="275">
        <f t="shared" si="234"/>
        <v>7</v>
      </c>
      <c r="BC243" s="276" t="e">
        <f t="shared" si="235"/>
        <v>#N/A</v>
      </c>
      <c r="BD243" s="277" t="e">
        <f t="shared" si="236"/>
        <v>#N/A</v>
      </c>
      <c r="BE243" s="250" t="e">
        <f t="shared" si="201"/>
        <v>#N/A</v>
      </c>
      <c r="BF243" s="247">
        <f t="shared" si="237"/>
        <v>7</v>
      </c>
      <c r="BG243" s="276" t="e">
        <f t="shared" si="238"/>
        <v>#N/A</v>
      </c>
      <c r="BH243" s="277" t="e">
        <f t="shared" si="239"/>
        <v>#N/A</v>
      </c>
      <c r="BI243" s="250" t="e">
        <f t="shared" si="202"/>
        <v>#N/A</v>
      </c>
      <c r="BJ243" s="251">
        <f t="shared" si="240"/>
        <v>7</v>
      </c>
      <c r="BK243" s="278" t="e">
        <f t="shared" si="241"/>
        <v>#N/A</v>
      </c>
      <c r="BL243" s="278" t="e">
        <f t="shared" si="242"/>
        <v>#N/A</v>
      </c>
      <c r="BM243" s="279" t="e">
        <f t="shared" si="203"/>
        <v>#N/A</v>
      </c>
      <c r="BN243" s="280">
        <f t="shared" si="243"/>
        <v>7</v>
      </c>
      <c r="BO243" s="281" t="e">
        <f t="shared" si="244"/>
        <v>#N/A</v>
      </c>
      <c r="BP243" s="281" t="e">
        <f t="shared" si="245"/>
        <v>#N/A</v>
      </c>
      <c r="BQ243" s="279" t="e">
        <f t="shared" si="204"/>
        <v>#N/A</v>
      </c>
      <c r="BR243" s="282" t="e">
        <f t="shared" si="205"/>
        <v>#N/A</v>
      </c>
      <c r="BS243" s="217" t="e">
        <f>VLOOKUP($B243,SDR24_STOCK_BY_LA!$A$2:$C$11878,3,0)</f>
        <v>#N/A</v>
      </c>
      <c r="BT243" s="217" t="str">
        <f t="shared" si="246"/>
        <v/>
      </c>
    </row>
    <row r="244" spans="1:72" x14ac:dyDescent="0.2">
      <c r="A244" s="217" t="str">
        <f t="shared" si="247"/>
        <v/>
      </c>
      <c r="B244" s="217" t="str">
        <f t="shared" si="248"/>
        <v/>
      </c>
      <c r="C244" s="283" t="str">
        <f t="shared" si="206"/>
        <v/>
      </c>
      <c r="D244" s="256" t="str">
        <f>IF(B244="","",IF(totals!$Q$3=0,IFERROR(IF(AD244=2,"0",AE244),""),"-"))</f>
        <v/>
      </c>
      <c r="E244" s="258" t="str">
        <f t="shared" si="207"/>
        <v/>
      </c>
      <c r="F244" s="259" t="str">
        <f t="shared" si="208"/>
        <v/>
      </c>
      <c r="G244" s="259" t="str">
        <f t="shared" si="209"/>
        <v/>
      </c>
      <c r="H244" s="256" t="str">
        <f t="shared" si="187"/>
        <v/>
      </c>
      <c r="I244" s="259" t="str">
        <f t="shared" si="210"/>
        <v/>
      </c>
      <c r="J244" s="259" t="str">
        <f t="shared" si="211"/>
        <v/>
      </c>
      <c r="K244" s="256" t="str">
        <f t="shared" si="188"/>
        <v/>
      </c>
      <c r="L244" s="259" t="str">
        <f t="shared" si="189"/>
        <v/>
      </c>
      <c r="M244" s="259" t="str">
        <f t="shared" si="212"/>
        <v/>
      </c>
      <c r="N244" s="256" t="str">
        <f t="shared" si="213"/>
        <v/>
      </c>
      <c r="O244" s="259" t="str">
        <f t="shared" si="214"/>
        <v/>
      </c>
      <c r="P244" s="259" t="str">
        <f t="shared" si="215"/>
        <v/>
      </c>
      <c r="Q244" s="256" t="str">
        <f t="shared" si="216"/>
        <v/>
      </c>
      <c r="R244" s="259" t="str">
        <f t="shared" si="217"/>
        <v/>
      </c>
      <c r="S244" s="259" t="str">
        <f t="shared" si="218"/>
        <v/>
      </c>
      <c r="T244" s="256" t="str">
        <f t="shared" si="219"/>
        <v/>
      </c>
      <c r="U244" s="217"/>
      <c r="V244" s="217"/>
      <c r="AB244" s="217" t="e">
        <f>VLOOKUP($B$6,Lookup_Source,237,0)</f>
        <v>#N/A</v>
      </c>
      <c r="AC244" s="241" t="str">
        <f t="shared" si="220"/>
        <v/>
      </c>
      <c r="AD244" s="242">
        <f t="shared" si="221"/>
        <v>7</v>
      </c>
      <c r="AE244" s="261" t="e">
        <f t="shared" si="190"/>
        <v>#N/A</v>
      </c>
      <c r="AF244" s="264" t="e">
        <f t="shared" si="222"/>
        <v>#N/A</v>
      </c>
      <c r="AG244" s="264" t="e">
        <f t="shared" si="223"/>
        <v>#N/A</v>
      </c>
      <c r="AH244" s="263" t="e">
        <f t="shared" si="191"/>
        <v>#N/A</v>
      </c>
      <c r="AI244" s="226">
        <f t="shared" si="224"/>
        <v>7</v>
      </c>
      <c r="AJ244" s="264" t="e">
        <f t="shared" si="192"/>
        <v>#N/A</v>
      </c>
      <c r="AK244" s="264" t="e">
        <f t="shared" si="225"/>
        <v>#N/A</v>
      </c>
      <c r="AL244" s="226" t="e">
        <f t="shared" si="193"/>
        <v>#N/A</v>
      </c>
      <c r="AM244" s="265" t="e">
        <f t="shared" si="226"/>
        <v>#N/A</v>
      </c>
      <c r="AN244" s="266" t="e">
        <f t="shared" si="194"/>
        <v>#N/A</v>
      </c>
      <c r="AO244" s="227" t="e">
        <f t="shared" si="195"/>
        <v>#N/A</v>
      </c>
      <c r="AP244" s="284">
        <f t="shared" si="227"/>
        <v>7</v>
      </c>
      <c r="AQ244" s="285" t="e">
        <f t="shared" si="196"/>
        <v>#N/A</v>
      </c>
      <c r="AR244" s="266" t="e">
        <f t="shared" si="228"/>
        <v>#N/A</v>
      </c>
      <c r="AS244" s="270" t="e">
        <f t="shared" si="197"/>
        <v>#N/A</v>
      </c>
      <c r="AT244" s="271">
        <f t="shared" si="229"/>
        <v>7</v>
      </c>
      <c r="AU244" s="272" t="e">
        <f t="shared" si="230"/>
        <v>#N/A</v>
      </c>
      <c r="AV244" s="273" t="e">
        <f t="shared" si="231"/>
        <v>#N/A</v>
      </c>
      <c r="AW244" s="274" t="e">
        <f t="shared" si="198"/>
        <v>#N/A</v>
      </c>
      <c r="AX244" s="232">
        <f t="shared" si="232"/>
        <v>7</v>
      </c>
      <c r="AY244" s="273" t="e">
        <f t="shared" si="199"/>
        <v>#N/A</v>
      </c>
      <c r="AZ244" s="232" t="e">
        <f t="shared" si="233"/>
        <v>#N/A</v>
      </c>
      <c r="BA244" s="232" t="e">
        <f t="shared" si="200"/>
        <v>#N/A</v>
      </c>
      <c r="BB244" s="275">
        <f t="shared" si="234"/>
        <v>7</v>
      </c>
      <c r="BC244" s="276" t="e">
        <f t="shared" si="235"/>
        <v>#N/A</v>
      </c>
      <c r="BD244" s="277" t="e">
        <f t="shared" si="236"/>
        <v>#N/A</v>
      </c>
      <c r="BE244" s="250" t="e">
        <f t="shared" si="201"/>
        <v>#N/A</v>
      </c>
      <c r="BF244" s="247">
        <f t="shared" si="237"/>
        <v>7</v>
      </c>
      <c r="BG244" s="276" t="e">
        <f t="shared" si="238"/>
        <v>#N/A</v>
      </c>
      <c r="BH244" s="277" t="e">
        <f t="shared" si="239"/>
        <v>#N/A</v>
      </c>
      <c r="BI244" s="250" t="e">
        <f t="shared" si="202"/>
        <v>#N/A</v>
      </c>
      <c r="BJ244" s="251">
        <f t="shared" si="240"/>
        <v>7</v>
      </c>
      <c r="BK244" s="278" t="e">
        <f t="shared" si="241"/>
        <v>#N/A</v>
      </c>
      <c r="BL244" s="278" t="e">
        <f t="shared" si="242"/>
        <v>#N/A</v>
      </c>
      <c r="BM244" s="279" t="e">
        <f t="shared" si="203"/>
        <v>#N/A</v>
      </c>
      <c r="BN244" s="280">
        <f t="shared" si="243"/>
        <v>7</v>
      </c>
      <c r="BO244" s="281" t="e">
        <f t="shared" si="244"/>
        <v>#N/A</v>
      </c>
      <c r="BP244" s="281" t="e">
        <f t="shared" si="245"/>
        <v>#N/A</v>
      </c>
      <c r="BQ244" s="279" t="e">
        <f t="shared" si="204"/>
        <v>#N/A</v>
      </c>
      <c r="BR244" s="282" t="e">
        <f t="shared" si="205"/>
        <v>#N/A</v>
      </c>
      <c r="BS244" s="217" t="e">
        <f>VLOOKUP($B244,SDR24_STOCK_BY_LA!$A$2:$C$11878,3,0)</f>
        <v>#N/A</v>
      </c>
      <c r="BT244" s="217" t="str">
        <f t="shared" si="246"/>
        <v/>
      </c>
    </row>
    <row r="245" spans="1:72" x14ac:dyDescent="0.2">
      <c r="A245" s="256" t="str">
        <f t="shared" si="247"/>
        <v/>
      </c>
      <c r="B245" s="217" t="str">
        <f t="shared" si="248"/>
        <v/>
      </c>
      <c r="C245" s="257" t="str">
        <f t="shared" si="206"/>
        <v/>
      </c>
      <c r="D245" s="256" t="str">
        <f>IF(B245="","",IF(totals!$Q$3=0,IFERROR(IF(AD245=2,"0",AE245),""),"-"))</f>
        <v/>
      </c>
      <c r="E245" s="258" t="str">
        <f t="shared" si="207"/>
        <v/>
      </c>
      <c r="F245" s="259" t="str">
        <f t="shared" si="208"/>
        <v/>
      </c>
      <c r="G245" s="259" t="str">
        <f t="shared" si="209"/>
        <v/>
      </c>
      <c r="H245" s="256" t="str">
        <f t="shared" si="187"/>
        <v/>
      </c>
      <c r="I245" s="259" t="str">
        <f t="shared" si="210"/>
        <v/>
      </c>
      <c r="J245" s="259" t="str">
        <f t="shared" si="211"/>
        <v/>
      </c>
      <c r="K245" s="256" t="str">
        <f t="shared" si="188"/>
        <v/>
      </c>
      <c r="L245" s="259" t="str">
        <f t="shared" si="189"/>
        <v/>
      </c>
      <c r="M245" s="259" t="str">
        <f t="shared" si="212"/>
        <v/>
      </c>
      <c r="N245" s="256" t="str">
        <f t="shared" si="213"/>
        <v/>
      </c>
      <c r="O245" s="259" t="str">
        <f t="shared" si="214"/>
        <v/>
      </c>
      <c r="P245" s="259" t="str">
        <f t="shared" si="215"/>
        <v/>
      </c>
      <c r="Q245" s="256" t="str">
        <f t="shared" si="216"/>
        <v/>
      </c>
      <c r="R245" s="259" t="str">
        <f t="shared" si="217"/>
        <v/>
      </c>
      <c r="S245" s="259" t="str">
        <f t="shared" si="218"/>
        <v/>
      </c>
      <c r="T245" s="256" t="str">
        <f t="shared" si="219"/>
        <v/>
      </c>
      <c r="U245" s="217"/>
      <c r="V245" s="217"/>
      <c r="AB245" s="257" t="e">
        <f>VLOOKUP($B$6,Lookup_Source,238,0)</f>
        <v>#N/A</v>
      </c>
      <c r="AC245" s="241" t="str">
        <f t="shared" si="220"/>
        <v/>
      </c>
      <c r="AD245" s="242">
        <f t="shared" si="221"/>
        <v>7</v>
      </c>
      <c r="AE245" s="261" t="e">
        <f t="shared" si="190"/>
        <v>#N/A</v>
      </c>
      <c r="AF245" s="264" t="e">
        <f t="shared" si="222"/>
        <v>#N/A</v>
      </c>
      <c r="AG245" s="264" t="e">
        <f t="shared" si="223"/>
        <v>#N/A</v>
      </c>
      <c r="AH245" s="263" t="e">
        <f t="shared" si="191"/>
        <v>#N/A</v>
      </c>
      <c r="AI245" s="226">
        <f t="shared" si="224"/>
        <v>7</v>
      </c>
      <c r="AJ245" s="264" t="e">
        <f t="shared" si="192"/>
        <v>#N/A</v>
      </c>
      <c r="AK245" s="264" t="e">
        <f t="shared" si="225"/>
        <v>#N/A</v>
      </c>
      <c r="AL245" s="226" t="e">
        <f t="shared" si="193"/>
        <v>#N/A</v>
      </c>
      <c r="AM245" s="265" t="e">
        <f t="shared" si="226"/>
        <v>#N/A</v>
      </c>
      <c r="AN245" s="266" t="e">
        <f t="shared" si="194"/>
        <v>#N/A</v>
      </c>
      <c r="AO245" s="227" t="e">
        <f t="shared" si="195"/>
        <v>#N/A</v>
      </c>
      <c r="AP245" s="284">
        <f t="shared" si="227"/>
        <v>7</v>
      </c>
      <c r="AQ245" s="285" t="e">
        <f t="shared" si="196"/>
        <v>#N/A</v>
      </c>
      <c r="AR245" s="266" t="e">
        <f t="shared" si="228"/>
        <v>#N/A</v>
      </c>
      <c r="AS245" s="270" t="e">
        <f t="shared" si="197"/>
        <v>#N/A</v>
      </c>
      <c r="AT245" s="271">
        <f t="shared" si="229"/>
        <v>7</v>
      </c>
      <c r="AU245" s="272" t="e">
        <f t="shared" si="230"/>
        <v>#N/A</v>
      </c>
      <c r="AV245" s="273" t="e">
        <f t="shared" si="231"/>
        <v>#N/A</v>
      </c>
      <c r="AW245" s="274" t="e">
        <f t="shared" si="198"/>
        <v>#N/A</v>
      </c>
      <c r="AX245" s="232">
        <f t="shared" si="232"/>
        <v>7</v>
      </c>
      <c r="AY245" s="273" t="e">
        <f t="shared" si="199"/>
        <v>#N/A</v>
      </c>
      <c r="AZ245" s="232" t="e">
        <f t="shared" si="233"/>
        <v>#N/A</v>
      </c>
      <c r="BA245" s="232" t="e">
        <f t="shared" si="200"/>
        <v>#N/A</v>
      </c>
      <c r="BB245" s="275">
        <f t="shared" si="234"/>
        <v>7</v>
      </c>
      <c r="BC245" s="276" t="e">
        <f t="shared" si="235"/>
        <v>#N/A</v>
      </c>
      <c r="BD245" s="277" t="e">
        <f t="shared" si="236"/>
        <v>#N/A</v>
      </c>
      <c r="BE245" s="250" t="e">
        <f t="shared" si="201"/>
        <v>#N/A</v>
      </c>
      <c r="BF245" s="247">
        <f t="shared" si="237"/>
        <v>7</v>
      </c>
      <c r="BG245" s="276" t="e">
        <f t="shared" si="238"/>
        <v>#N/A</v>
      </c>
      <c r="BH245" s="277" t="e">
        <f t="shared" si="239"/>
        <v>#N/A</v>
      </c>
      <c r="BI245" s="250" t="e">
        <f t="shared" si="202"/>
        <v>#N/A</v>
      </c>
      <c r="BJ245" s="251">
        <f t="shared" si="240"/>
        <v>7</v>
      </c>
      <c r="BK245" s="278" t="e">
        <f t="shared" si="241"/>
        <v>#N/A</v>
      </c>
      <c r="BL245" s="278" t="e">
        <f t="shared" si="242"/>
        <v>#N/A</v>
      </c>
      <c r="BM245" s="279" t="e">
        <f t="shared" si="203"/>
        <v>#N/A</v>
      </c>
      <c r="BN245" s="280">
        <f t="shared" si="243"/>
        <v>7</v>
      </c>
      <c r="BO245" s="281" t="e">
        <f t="shared" si="244"/>
        <v>#N/A</v>
      </c>
      <c r="BP245" s="281" t="e">
        <f t="shared" si="245"/>
        <v>#N/A</v>
      </c>
      <c r="BQ245" s="279" t="e">
        <f t="shared" si="204"/>
        <v>#N/A</v>
      </c>
      <c r="BR245" s="282" t="e">
        <f t="shared" si="205"/>
        <v>#N/A</v>
      </c>
      <c r="BS245" s="217" t="e">
        <f>VLOOKUP($B245,SDR24_STOCK_BY_LA!$A$2:$C$11878,3,0)</f>
        <v>#N/A</v>
      </c>
      <c r="BT245" s="217" t="str">
        <f t="shared" si="246"/>
        <v/>
      </c>
    </row>
    <row r="246" spans="1:72" x14ac:dyDescent="0.2">
      <c r="A246" s="217" t="str">
        <f t="shared" si="247"/>
        <v/>
      </c>
      <c r="B246" s="217" t="str">
        <f t="shared" si="248"/>
        <v/>
      </c>
      <c r="C246" s="283" t="str">
        <f t="shared" si="206"/>
        <v/>
      </c>
      <c r="D246" s="256" t="str">
        <f>IF(B246="","",IF(totals!$Q$3=0,IFERROR(IF(AD246=2,"0",AE246),""),"-"))</f>
        <v/>
      </c>
      <c r="E246" s="258" t="str">
        <f t="shared" si="207"/>
        <v/>
      </c>
      <c r="F246" s="259" t="str">
        <f t="shared" si="208"/>
        <v/>
      </c>
      <c r="G246" s="259" t="str">
        <f t="shared" si="209"/>
        <v/>
      </c>
      <c r="H246" s="256" t="str">
        <f t="shared" si="187"/>
        <v/>
      </c>
      <c r="I246" s="259" t="str">
        <f t="shared" si="210"/>
        <v/>
      </c>
      <c r="J246" s="259" t="str">
        <f t="shared" si="211"/>
        <v/>
      </c>
      <c r="K246" s="256" t="str">
        <f t="shared" si="188"/>
        <v/>
      </c>
      <c r="L246" s="259" t="str">
        <f t="shared" si="189"/>
        <v/>
      </c>
      <c r="M246" s="259" t="str">
        <f t="shared" si="212"/>
        <v/>
      </c>
      <c r="N246" s="256" t="str">
        <f t="shared" si="213"/>
        <v/>
      </c>
      <c r="O246" s="259" t="str">
        <f t="shared" si="214"/>
        <v/>
      </c>
      <c r="P246" s="259" t="str">
        <f t="shared" si="215"/>
        <v/>
      </c>
      <c r="Q246" s="256" t="str">
        <f t="shared" si="216"/>
        <v/>
      </c>
      <c r="R246" s="259" t="str">
        <f t="shared" si="217"/>
        <v/>
      </c>
      <c r="S246" s="259" t="str">
        <f t="shared" si="218"/>
        <v/>
      </c>
      <c r="T246" s="256" t="str">
        <f t="shared" si="219"/>
        <v/>
      </c>
      <c r="U246" s="217"/>
      <c r="V246" s="217"/>
      <c r="AB246" s="217" t="e">
        <f>VLOOKUP($B$6,Lookup_Source,239,0)</f>
        <v>#N/A</v>
      </c>
      <c r="AC246" s="241" t="str">
        <f t="shared" si="220"/>
        <v/>
      </c>
      <c r="AD246" s="242">
        <f t="shared" si="221"/>
        <v>7</v>
      </c>
      <c r="AE246" s="261" t="e">
        <f t="shared" si="190"/>
        <v>#N/A</v>
      </c>
      <c r="AF246" s="264" t="e">
        <f t="shared" si="222"/>
        <v>#N/A</v>
      </c>
      <c r="AG246" s="264" t="e">
        <f t="shared" si="223"/>
        <v>#N/A</v>
      </c>
      <c r="AH246" s="263" t="e">
        <f t="shared" si="191"/>
        <v>#N/A</v>
      </c>
      <c r="AI246" s="226">
        <f t="shared" si="224"/>
        <v>7</v>
      </c>
      <c r="AJ246" s="264" t="e">
        <f t="shared" si="192"/>
        <v>#N/A</v>
      </c>
      <c r="AK246" s="264" t="e">
        <f t="shared" si="225"/>
        <v>#N/A</v>
      </c>
      <c r="AL246" s="226" t="e">
        <f t="shared" si="193"/>
        <v>#N/A</v>
      </c>
      <c r="AM246" s="265" t="e">
        <f t="shared" si="226"/>
        <v>#N/A</v>
      </c>
      <c r="AN246" s="266" t="e">
        <f t="shared" si="194"/>
        <v>#N/A</v>
      </c>
      <c r="AO246" s="227" t="e">
        <f t="shared" si="195"/>
        <v>#N/A</v>
      </c>
      <c r="AP246" s="284">
        <f t="shared" si="227"/>
        <v>7</v>
      </c>
      <c r="AQ246" s="285" t="e">
        <f t="shared" si="196"/>
        <v>#N/A</v>
      </c>
      <c r="AR246" s="266" t="e">
        <f t="shared" si="228"/>
        <v>#N/A</v>
      </c>
      <c r="AS246" s="270" t="e">
        <f t="shared" si="197"/>
        <v>#N/A</v>
      </c>
      <c r="AT246" s="271">
        <f t="shared" si="229"/>
        <v>7</v>
      </c>
      <c r="AU246" s="272" t="e">
        <f t="shared" si="230"/>
        <v>#N/A</v>
      </c>
      <c r="AV246" s="273" t="e">
        <f t="shared" si="231"/>
        <v>#N/A</v>
      </c>
      <c r="AW246" s="274" t="e">
        <f t="shared" si="198"/>
        <v>#N/A</v>
      </c>
      <c r="AX246" s="232">
        <f t="shared" si="232"/>
        <v>7</v>
      </c>
      <c r="AY246" s="273" t="e">
        <f t="shared" si="199"/>
        <v>#N/A</v>
      </c>
      <c r="AZ246" s="232" t="e">
        <f t="shared" si="233"/>
        <v>#N/A</v>
      </c>
      <c r="BA246" s="232" t="e">
        <f t="shared" si="200"/>
        <v>#N/A</v>
      </c>
      <c r="BB246" s="275">
        <f t="shared" si="234"/>
        <v>7</v>
      </c>
      <c r="BC246" s="276" t="e">
        <f t="shared" si="235"/>
        <v>#N/A</v>
      </c>
      <c r="BD246" s="277" t="e">
        <f t="shared" si="236"/>
        <v>#N/A</v>
      </c>
      <c r="BE246" s="250" t="e">
        <f t="shared" si="201"/>
        <v>#N/A</v>
      </c>
      <c r="BF246" s="247">
        <f t="shared" si="237"/>
        <v>7</v>
      </c>
      <c r="BG246" s="276" t="e">
        <f t="shared" si="238"/>
        <v>#N/A</v>
      </c>
      <c r="BH246" s="277" t="e">
        <f t="shared" si="239"/>
        <v>#N/A</v>
      </c>
      <c r="BI246" s="250" t="e">
        <f t="shared" si="202"/>
        <v>#N/A</v>
      </c>
      <c r="BJ246" s="251">
        <f t="shared" si="240"/>
        <v>7</v>
      </c>
      <c r="BK246" s="278" t="e">
        <f t="shared" si="241"/>
        <v>#N/A</v>
      </c>
      <c r="BL246" s="278" t="e">
        <f t="shared" si="242"/>
        <v>#N/A</v>
      </c>
      <c r="BM246" s="279" t="e">
        <f t="shared" si="203"/>
        <v>#N/A</v>
      </c>
      <c r="BN246" s="280">
        <f t="shared" si="243"/>
        <v>7</v>
      </c>
      <c r="BO246" s="281" t="e">
        <f t="shared" si="244"/>
        <v>#N/A</v>
      </c>
      <c r="BP246" s="281" t="e">
        <f t="shared" si="245"/>
        <v>#N/A</v>
      </c>
      <c r="BQ246" s="279" t="e">
        <f t="shared" si="204"/>
        <v>#N/A</v>
      </c>
      <c r="BR246" s="282" t="e">
        <f t="shared" si="205"/>
        <v>#N/A</v>
      </c>
      <c r="BS246" s="217" t="e">
        <f>VLOOKUP($B246,SDR24_STOCK_BY_LA!$A$2:$C$11878,3,0)</f>
        <v>#N/A</v>
      </c>
      <c r="BT246" s="217" t="str">
        <f t="shared" si="246"/>
        <v/>
      </c>
    </row>
    <row r="247" spans="1:72" x14ac:dyDescent="0.2">
      <c r="A247" s="256" t="str">
        <f t="shared" si="247"/>
        <v/>
      </c>
      <c r="B247" s="217" t="str">
        <f t="shared" si="248"/>
        <v/>
      </c>
      <c r="C247" s="257" t="str">
        <f t="shared" si="206"/>
        <v/>
      </c>
      <c r="D247" s="256" t="str">
        <f>IF(B247="","",IF(totals!$Q$3=0,IFERROR(IF(AD247=2,"0",AE247),""),"-"))</f>
        <v/>
      </c>
      <c r="E247" s="258" t="str">
        <f t="shared" si="207"/>
        <v/>
      </c>
      <c r="F247" s="259" t="str">
        <f t="shared" si="208"/>
        <v/>
      </c>
      <c r="G247" s="259" t="str">
        <f t="shared" si="209"/>
        <v/>
      </c>
      <c r="H247" s="256" t="str">
        <f t="shared" si="187"/>
        <v/>
      </c>
      <c r="I247" s="259" t="str">
        <f t="shared" si="210"/>
        <v/>
      </c>
      <c r="J247" s="259" t="str">
        <f t="shared" si="211"/>
        <v/>
      </c>
      <c r="K247" s="256" t="str">
        <f t="shared" si="188"/>
        <v/>
      </c>
      <c r="L247" s="259" t="str">
        <f t="shared" si="189"/>
        <v/>
      </c>
      <c r="M247" s="259" t="str">
        <f t="shared" si="212"/>
        <v/>
      </c>
      <c r="N247" s="256" t="str">
        <f t="shared" si="213"/>
        <v/>
      </c>
      <c r="O247" s="259" t="str">
        <f t="shared" si="214"/>
        <v/>
      </c>
      <c r="P247" s="259" t="str">
        <f t="shared" si="215"/>
        <v/>
      </c>
      <c r="Q247" s="256" t="str">
        <f t="shared" si="216"/>
        <v/>
      </c>
      <c r="R247" s="259" t="str">
        <f t="shared" si="217"/>
        <v/>
      </c>
      <c r="S247" s="259" t="str">
        <f t="shared" si="218"/>
        <v/>
      </c>
      <c r="T247" s="256" t="str">
        <f t="shared" si="219"/>
        <v/>
      </c>
      <c r="U247" s="217"/>
      <c r="V247" s="217"/>
      <c r="AB247" s="257" t="e">
        <f>VLOOKUP($B$6,Lookup_Source,240,0)</f>
        <v>#N/A</v>
      </c>
      <c r="AC247" s="241" t="str">
        <f t="shared" si="220"/>
        <v/>
      </c>
      <c r="AD247" s="242">
        <f t="shared" si="221"/>
        <v>7</v>
      </c>
      <c r="AE247" s="261" t="e">
        <f t="shared" si="190"/>
        <v>#N/A</v>
      </c>
      <c r="AF247" s="264" t="e">
        <f t="shared" si="222"/>
        <v>#N/A</v>
      </c>
      <c r="AG247" s="264" t="e">
        <f t="shared" si="223"/>
        <v>#N/A</v>
      </c>
      <c r="AH247" s="263" t="e">
        <f t="shared" si="191"/>
        <v>#N/A</v>
      </c>
      <c r="AI247" s="226">
        <f t="shared" si="224"/>
        <v>7</v>
      </c>
      <c r="AJ247" s="264" t="e">
        <f t="shared" si="192"/>
        <v>#N/A</v>
      </c>
      <c r="AK247" s="264" t="e">
        <f t="shared" si="225"/>
        <v>#N/A</v>
      </c>
      <c r="AL247" s="226" t="e">
        <f t="shared" si="193"/>
        <v>#N/A</v>
      </c>
      <c r="AM247" s="265" t="e">
        <f t="shared" si="226"/>
        <v>#N/A</v>
      </c>
      <c r="AN247" s="266" t="e">
        <f t="shared" si="194"/>
        <v>#N/A</v>
      </c>
      <c r="AO247" s="227" t="e">
        <f t="shared" si="195"/>
        <v>#N/A</v>
      </c>
      <c r="AP247" s="284">
        <f t="shared" si="227"/>
        <v>7</v>
      </c>
      <c r="AQ247" s="285" t="e">
        <f t="shared" si="196"/>
        <v>#N/A</v>
      </c>
      <c r="AR247" s="266" t="e">
        <f t="shared" si="228"/>
        <v>#N/A</v>
      </c>
      <c r="AS247" s="270" t="e">
        <f t="shared" si="197"/>
        <v>#N/A</v>
      </c>
      <c r="AT247" s="271">
        <f t="shared" si="229"/>
        <v>7</v>
      </c>
      <c r="AU247" s="272" t="e">
        <f t="shared" si="230"/>
        <v>#N/A</v>
      </c>
      <c r="AV247" s="273" t="e">
        <f t="shared" si="231"/>
        <v>#N/A</v>
      </c>
      <c r="AW247" s="274" t="e">
        <f t="shared" si="198"/>
        <v>#N/A</v>
      </c>
      <c r="AX247" s="232">
        <f t="shared" si="232"/>
        <v>7</v>
      </c>
      <c r="AY247" s="273" t="e">
        <f t="shared" si="199"/>
        <v>#N/A</v>
      </c>
      <c r="AZ247" s="232" t="e">
        <f t="shared" si="233"/>
        <v>#N/A</v>
      </c>
      <c r="BA247" s="232" t="e">
        <f t="shared" si="200"/>
        <v>#N/A</v>
      </c>
      <c r="BB247" s="275">
        <f t="shared" si="234"/>
        <v>7</v>
      </c>
      <c r="BC247" s="276" t="e">
        <f t="shared" si="235"/>
        <v>#N/A</v>
      </c>
      <c r="BD247" s="277" t="e">
        <f t="shared" si="236"/>
        <v>#N/A</v>
      </c>
      <c r="BE247" s="250" t="e">
        <f t="shared" si="201"/>
        <v>#N/A</v>
      </c>
      <c r="BF247" s="247">
        <f t="shared" si="237"/>
        <v>7</v>
      </c>
      <c r="BG247" s="276" t="e">
        <f t="shared" si="238"/>
        <v>#N/A</v>
      </c>
      <c r="BH247" s="277" t="e">
        <f t="shared" si="239"/>
        <v>#N/A</v>
      </c>
      <c r="BI247" s="250" t="e">
        <f t="shared" si="202"/>
        <v>#N/A</v>
      </c>
      <c r="BJ247" s="251">
        <f t="shared" si="240"/>
        <v>7</v>
      </c>
      <c r="BK247" s="278" t="e">
        <f t="shared" si="241"/>
        <v>#N/A</v>
      </c>
      <c r="BL247" s="278" t="e">
        <f t="shared" si="242"/>
        <v>#N/A</v>
      </c>
      <c r="BM247" s="279" t="e">
        <f t="shared" si="203"/>
        <v>#N/A</v>
      </c>
      <c r="BN247" s="280">
        <f t="shared" si="243"/>
        <v>7</v>
      </c>
      <c r="BO247" s="281" t="e">
        <f t="shared" si="244"/>
        <v>#N/A</v>
      </c>
      <c r="BP247" s="281" t="e">
        <f t="shared" si="245"/>
        <v>#N/A</v>
      </c>
      <c r="BQ247" s="279" t="e">
        <f t="shared" si="204"/>
        <v>#N/A</v>
      </c>
      <c r="BR247" s="282" t="e">
        <f t="shared" si="205"/>
        <v>#N/A</v>
      </c>
      <c r="BS247" s="217" t="e">
        <f>VLOOKUP($B247,SDR24_STOCK_BY_LA!$A$2:$C$11878,3,0)</f>
        <v>#N/A</v>
      </c>
      <c r="BT247" s="217" t="str">
        <f t="shared" si="246"/>
        <v/>
      </c>
    </row>
    <row r="248" spans="1:72" x14ac:dyDescent="0.2">
      <c r="A248" s="217" t="str">
        <f t="shared" si="247"/>
        <v/>
      </c>
      <c r="B248" s="217" t="str">
        <f t="shared" si="248"/>
        <v/>
      </c>
      <c r="C248" s="283" t="str">
        <f t="shared" si="206"/>
        <v/>
      </c>
      <c r="D248" s="256" t="str">
        <f>IF(B248="","",IF(totals!$Q$3=0,IFERROR(IF(AD248=2,"0",AE248),""),"-"))</f>
        <v/>
      </c>
      <c r="E248" s="258" t="str">
        <f t="shared" si="207"/>
        <v/>
      </c>
      <c r="F248" s="259" t="str">
        <f t="shared" si="208"/>
        <v/>
      </c>
      <c r="G248" s="259" t="str">
        <f t="shared" si="209"/>
        <v/>
      </c>
      <c r="H248" s="256" t="str">
        <f t="shared" si="187"/>
        <v/>
      </c>
      <c r="I248" s="259" t="str">
        <f t="shared" si="210"/>
        <v/>
      </c>
      <c r="J248" s="259" t="str">
        <f t="shared" si="211"/>
        <v/>
      </c>
      <c r="K248" s="256" t="str">
        <f t="shared" si="188"/>
        <v/>
      </c>
      <c r="L248" s="259" t="str">
        <f t="shared" si="189"/>
        <v/>
      </c>
      <c r="M248" s="259" t="str">
        <f t="shared" si="212"/>
        <v/>
      </c>
      <c r="N248" s="256" t="str">
        <f t="shared" si="213"/>
        <v/>
      </c>
      <c r="O248" s="259" t="str">
        <f t="shared" si="214"/>
        <v/>
      </c>
      <c r="P248" s="259" t="str">
        <f t="shared" si="215"/>
        <v/>
      </c>
      <c r="Q248" s="256" t="str">
        <f t="shared" si="216"/>
        <v/>
      </c>
      <c r="R248" s="259" t="str">
        <f t="shared" si="217"/>
        <v/>
      </c>
      <c r="S248" s="259" t="str">
        <f t="shared" si="218"/>
        <v/>
      </c>
      <c r="T248" s="256" t="str">
        <f t="shared" si="219"/>
        <v/>
      </c>
      <c r="U248" s="217"/>
      <c r="V248" s="217"/>
      <c r="AB248" s="217" t="e">
        <f>VLOOKUP($B$6,Lookup_Source,241,0)</f>
        <v>#N/A</v>
      </c>
      <c r="AC248" s="241" t="str">
        <f t="shared" si="220"/>
        <v/>
      </c>
      <c r="AD248" s="242">
        <f t="shared" si="221"/>
        <v>7</v>
      </c>
      <c r="AE248" s="261" t="e">
        <f t="shared" si="190"/>
        <v>#N/A</v>
      </c>
      <c r="AF248" s="264" t="e">
        <f t="shared" si="222"/>
        <v>#N/A</v>
      </c>
      <c r="AG248" s="264" t="e">
        <f t="shared" si="223"/>
        <v>#N/A</v>
      </c>
      <c r="AH248" s="263" t="e">
        <f t="shared" si="191"/>
        <v>#N/A</v>
      </c>
      <c r="AI248" s="226">
        <f t="shared" si="224"/>
        <v>7</v>
      </c>
      <c r="AJ248" s="264" t="e">
        <f t="shared" si="192"/>
        <v>#N/A</v>
      </c>
      <c r="AK248" s="264" t="e">
        <f t="shared" si="225"/>
        <v>#N/A</v>
      </c>
      <c r="AL248" s="226" t="e">
        <f t="shared" si="193"/>
        <v>#N/A</v>
      </c>
      <c r="AM248" s="265" t="e">
        <f t="shared" si="226"/>
        <v>#N/A</v>
      </c>
      <c r="AN248" s="266" t="e">
        <f t="shared" si="194"/>
        <v>#N/A</v>
      </c>
      <c r="AO248" s="227" t="e">
        <f t="shared" si="195"/>
        <v>#N/A</v>
      </c>
      <c r="AP248" s="284">
        <f t="shared" si="227"/>
        <v>7</v>
      </c>
      <c r="AQ248" s="285" t="e">
        <f t="shared" si="196"/>
        <v>#N/A</v>
      </c>
      <c r="AR248" s="266" t="e">
        <f t="shared" si="228"/>
        <v>#N/A</v>
      </c>
      <c r="AS248" s="270" t="e">
        <f t="shared" si="197"/>
        <v>#N/A</v>
      </c>
      <c r="AT248" s="271">
        <f t="shared" si="229"/>
        <v>7</v>
      </c>
      <c r="AU248" s="272" t="e">
        <f t="shared" si="230"/>
        <v>#N/A</v>
      </c>
      <c r="AV248" s="273" t="e">
        <f t="shared" si="231"/>
        <v>#N/A</v>
      </c>
      <c r="AW248" s="274" t="e">
        <f t="shared" si="198"/>
        <v>#N/A</v>
      </c>
      <c r="AX248" s="232">
        <f t="shared" si="232"/>
        <v>7</v>
      </c>
      <c r="AY248" s="273" t="e">
        <f t="shared" si="199"/>
        <v>#N/A</v>
      </c>
      <c r="AZ248" s="232" t="e">
        <f t="shared" si="233"/>
        <v>#N/A</v>
      </c>
      <c r="BA248" s="232" t="e">
        <f t="shared" si="200"/>
        <v>#N/A</v>
      </c>
      <c r="BB248" s="275">
        <f t="shared" si="234"/>
        <v>7</v>
      </c>
      <c r="BC248" s="276" t="e">
        <f t="shared" si="235"/>
        <v>#N/A</v>
      </c>
      <c r="BD248" s="277" t="e">
        <f t="shared" si="236"/>
        <v>#N/A</v>
      </c>
      <c r="BE248" s="250" t="e">
        <f t="shared" si="201"/>
        <v>#N/A</v>
      </c>
      <c r="BF248" s="247">
        <f t="shared" si="237"/>
        <v>7</v>
      </c>
      <c r="BG248" s="276" t="e">
        <f t="shared" si="238"/>
        <v>#N/A</v>
      </c>
      <c r="BH248" s="277" t="e">
        <f t="shared" si="239"/>
        <v>#N/A</v>
      </c>
      <c r="BI248" s="250" t="e">
        <f t="shared" si="202"/>
        <v>#N/A</v>
      </c>
      <c r="BJ248" s="251">
        <f t="shared" si="240"/>
        <v>7</v>
      </c>
      <c r="BK248" s="278" t="e">
        <f t="shared" si="241"/>
        <v>#N/A</v>
      </c>
      <c r="BL248" s="278" t="e">
        <f t="shared" si="242"/>
        <v>#N/A</v>
      </c>
      <c r="BM248" s="279" t="e">
        <f t="shared" si="203"/>
        <v>#N/A</v>
      </c>
      <c r="BN248" s="280">
        <f t="shared" si="243"/>
        <v>7</v>
      </c>
      <c r="BO248" s="281" t="e">
        <f t="shared" si="244"/>
        <v>#N/A</v>
      </c>
      <c r="BP248" s="281" t="e">
        <f t="shared" si="245"/>
        <v>#N/A</v>
      </c>
      <c r="BQ248" s="279" t="e">
        <f t="shared" si="204"/>
        <v>#N/A</v>
      </c>
      <c r="BR248" s="282" t="e">
        <f t="shared" si="205"/>
        <v>#N/A</v>
      </c>
      <c r="BS248" s="217" t="e">
        <f>VLOOKUP($B248,SDR24_STOCK_BY_LA!$A$2:$C$11878,3,0)</f>
        <v>#N/A</v>
      </c>
      <c r="BT248" s="217" t="str">
        <f t="shared" si="246"/>
        <v/>
      </c>
    </row>
    <row r="249" spans="1:72" x14ac:dyDescent="0.2">
      <c r="A249" s="256" t="str">
        <f t="shared" si="247"/>
        <v/>
      </c>
      <c r="B249" s="217" t="str">
        <f t="shared" si="248"/>
        <v/>
      </c>
      <c r="C249" s="257" t="str">
        <f t="shared" si="206"/>
        <v/>
      </c>
      <c r="D249" s="256" t="str">
        <f>IF(B249="","",IF(totals!$Q$3=0,IFERROR(IF(AD249=2,"0",AE249),""),"-"))</f>
        <v/>
      </c>
      <c r="E249" s="258" t="str">
        <f t="shared" si="207"/>
        <v/>
      </c>
      <c r="F249" s="259" t="str">
        <f t="shared" si="208"/>
        <v/>
      </c>
      <c r="G249" s="259" t="str">
        <f t="shared" si="209"/>
        <v/>
      </c>
      <c r="H249" s="256" t="str">
        <f t="shared" si="187"/>
        <v/>
      </c>
      <c r="I249" s="259" t="str">
        <f t="shared" si="210"/>
        <v/>
      </c>
      <c r="J249" s="259" t="str">
        <f t="shared" si="211"/>
        <v/>
      </c>
      <c r="K249" s="256" t="str">
        <f t="shared" si="188"/>
        <v/>
      </c>
      <c r="L249" s="259" t="str">
        <f t="shared" si="189"/>
        <v/>
      </c>
      <c r="M249" s="259" t="str">
        <f t="shared" si="212"/>
        <v/>
      </c>
      <c r="N249" s="256" t="str">
        <f t="shared" si="213"/>
        <v/>
      </c>
      <c r="O249" s="259" t="str">
        <f t="shared" si="214"/>
        <v/>
      </c>
      <c r="P249" s="259" t="str">
        <f t="shared" si="215"/>
        <v/>
      </c>
      <c r="Q249" s="256" t="str">
        <f t="shared" si="216"/>
        <v/>
      </c>
      <c r="R249" s="259" t="str">
        <f t="shared" si="217"/>
        <v/>
      </c>
      <c r="S249" s="259" t="str">
        <f t="shared" si="218"/>
        <v/>
      </c>
      <c r="T249" s="256" t="str">
        <f t="shared" si="219"/>
        <v/>
      </c>
      <c r="U249" s="217"/>
      <c r="V249" s="217"/>
      <c r="AB249" s="257" t="e">
        <f>VLOOKUP($B$6,Lookup_Source,242,0)</f>
        <v>#N/A</v>
      </c>
      <c r="AC249" s="241" t="str">
        <f t="shared" si="220"/>
        <v/>
      </c>
      <c r="AD249" s="242">
        <f t="shared" si="221"/>
        <v>7</v>
      </c>
      <c r="AE249" s="261" t="e">
        <f t="shared" si="190"/>
        <v>#N/A</v>
      </c>
      <c r="AF249" s="264" t="e">
        <f t="shared" si="222"/>
        <v>#N/A</v>
      </c>
      <c r="AG249" s="264" t="e">
        <f t="shared" si="223"/>
        <v>#N/A</v>
      </c>
      <c r="AH249" s="263" t="e">
        <f t="shared" si="191"/>
        <v>#N/A</v>
      </c>
      <c r="AI249" s="226">
        <f t="shared" si="224"/>
        <v>7</v>
      </c>
      <c r="AJ249" s="264" t="e">
        <f t="shared" si="192"/>
        <v>#N/A</v>
      </c>
      <c r="AK249" s="264" t="e">
        <f t="shared" si="225"/>
        <v>#N/A</v>
      </c>
      <c r="AL249" s="226" t="e">
        <f t="shared" si="193"/>
        <v>#N/A</v>
      </c>
      <c r="AM249" s="265" t="e">
        <f t="shared" si="226"/>
        <v>#N/A</v>
      </c>
      <c r="AN249" s="266" t="e">
        <f t="shared" si="194"/>
        <v>#N/A</v>
      </c>
      <c r="AO249" s="227" t="e">
        <f t="shared" si="195"/>
        <v>#N/A</v>
      </c>
      <c r="AP249" s="284">
        <f t="shared" si="227"/>
        <v>7</v>
      </c>
      <c r="AQ249" s="285" t="e">
        <f t="shared" si="196"/>
        <v>#N/A</v>
      </c>
      <c r="AR249" s="266" t="e">
        <f t="shared" si="228"/>
        <v>#N/A</v>
      </c>
      <c r="AS249" s="270" t="e">
        <f t="shared" si="197"/>
        <v>#N/A</v>
      </c>
      <c r="AT249" s="271">
        <f t="shared" si="229"/>
        <v>7</v>
      </c>
      <c r="AU249" s="272" t="e">
        <f t="shared" si="230"/>
        <v>#N/A</v>
      </c>
      <c r="AV249" s="273" t="e">
        <f t="shared" si="231"/>
        <v>#N/A</v>
      </c>
      <c r="AW249" s="274" t="e">
        <f t="shared" si="198"/>
        <v>#N/A</v>
      </c>
      <c r="AX249" s="232">
        <f t="shared" si="232"/>
        <v>7</v>
      </c>
      <c r="AY249" s="273" t="e">
        <f t="shared" si="199"/>
        <v>#N/A</v>
      </c>
      <c r="AZ249" s="232" t="e">
        <f t="shared" si="233"/>
        <v>#N/A</v>
      </c>
      <c r="BA249" s="232" t="e">
        <f t="shared" si="200"/>
        <v>#N/A</v>
      </c>
      <c r="BB249" s="275">
        <f t="shared" si="234"/>
        <v>7</v>
      </c>
      <c r="BC249" s="276" t="e">
        <f t="shared" si="235"/>
        <v>#N/A</v>
      </c>
      <c r="BD249" s="277" t="e">
        <f t="shared" si="236"/>
        <v>#N/A</v>
      </c>
      <c r="BE249" s="250" t="e">
        <f t="shared" si="201"/>
        <v>#N/A</v>
      </c>
      <c r="BF249" s="247">
        <f t="shared" si="237"/>
        <v>7</v>
      </c>
      <c r="BG249" s="276" t="e">
        <f t="shared" si="238"/>
        <v>#N/A</v>
      </c>
      <c r="BH249" s="277" t="e">
        <f t="shared" si="239"/>
        <v>#N/A</v>
      </c>
      <c r="BI249" s="250" t="e">
        <f t="shared" si="202"/>
        <v>#N/A</v>
      </c>
      <c r="BJ249" s="251">
        <f t="shared" si="240"/>
        <v>7</v>
      </c>
      <c r="BK249" s="278" t="e">
        <f t="shared" si="241"/>
        <v>#N/A</v>
      </c>
      <c r="BL249" s="278" t="e">
        <f t="shared" si="242"/>
        <v>#N/A</v>
      </c>
      <c r="BM249" s="279" t="e">
        <f t="shared" si="203"/>
        <v>#N/A</v>
      </c>
      <c r="BN249" s="280">
        <f t="shared" si="243"/>
        <v>7</v>
      </c>
      <c r="BO249" s="281" t="e">
        <f t="shared" si="244"/>
        <v>#N/A</v>
      </c>
      <c r="BP249" s="281" t="e">
        <f t="shared" si="245"/>
        <v>#N/A</v>
      </c>
      <c r="BQ249" s="279" t="e">
        <f t="shared" si="204"/>
        <v>#N/A</v>
      </c>
      <c r="BR249" s="282" t="e">
        <f t="shared" si="205"/>
        <v>#N/A</v>
      </c>
      <c r="BS249" s="217" t="e">
        <f>VLOOKUP($B249,SDR24_STOCK_BY_LA!$A$2:$C$11878,3,0)</f>
        <v>#N/A</v>
      </c>
      <c r="BT249" s="217" t="str">
        <f t="shared" si="246"/>
        <v/>
      </c>
    </row>
    <row r="250" spans="1:72" x14ac:dyDescent="0.2">
      <c r="A250" s="217" t="str">
        <f t="shared" si="247"/>
        <v/>
      </c>
      <c r="B250" s="217" t="str">
        <f t="shared" si="248"/>
        <v/>
      </c>
      <c r="C250" s="283" t="str">
        <f t="shared" si="206"/>
        <v/>
      </c>
      <c r="D250" s="256" t="str">
        <f>IF(B250="","",IF(totals!$Q$3=0,IFERROR(IF(AD250=2,"0",AE250),""),"-"))</f>
        <v/>
      </c>
      <c r="E250" s="258" t="str">
        <f t="shared" si="207"/>
        <v/>
      </c>
      <c r="F250" s="259" t="str">
        <f t="shared" si="208"/>
        <v/>
      </c>
      <c r="G250" s="259" t="str">
        <f t="shared" si="209"/>
        <v/>
      </c>
      <c r="H250" s="256" t="str">
        <f t="shared" si="187"/>
        <v/>
      </c>
      <c r="I250" s="259" t="str">
        <f t="shared" si="210"/>
        <v/>
      </c>
      <c r="J250" s="259" t="str">
        <f t="shared" si="211"/>
        <v/>
      </c>
      <c r="K250" s="256" t="str">
        <f t="shared" si="188"/>
        <v/>
      </c>
      <c r="L250" s="259" t="str">
        <f t="shared" si="189"/>
        <v/>
      </c>
      <c r="M250" s="259" t="str">
        <f t="shared" si="212"/>
        <v/>
      </c>
      <c r="N250" s="256" t="str">
        <f t="shared" si="213"/>
        <v/>
      </c>
      <c r="O250" s="259" t="str">
        <f t="shared" si="214"/>
        <v/>
      </c>
      <c r="P250" s="259" t="str">
        <f t="shared" si="215"/>
        <v/>
      </c>
      <c r="Q250" s="256" t="str">
        <f t="shared" si="216"/>
        <v/>
      </c>
      <c r="R250" s="259" t="str">
        <f t="shared" si="217"/>
        <v/>
      </c>
      <c r="S250" s="259" t="str">
        <f t="shared" si="218"/>
        <v/>
      </c>
      <c r="T250" s="256" t="str">
        <f t="shared" si="219"/>
        <v/>
      </c>
      <c r="U250" s="217"/>
      <c r="V250" s="217"/>
      <c r="AB250" s="217" t="e">
        <f>VLOOKUP($B$6,Lookup_Source,243,0)</f>
        <v>#N/A</v>
      </c>
      <c r="AC250" s="241" t="str">
        <f t="shared" si="220"/>
        <v/>
      </c>
      <c r="AD250" s="242">
        <f t="shared" si="221"/>
        <v>7</v>
      </c>
      <c r="AE250" s="261" t="e">
        <f t="shared" si="190"/>
        <v>#N/A</v>
      </c>
      <c r="AF250" s="264" t="e">
        <f t="shared" si="222"/>
        <v>#N/A</v>
      </c>
      <c r="AG250" s="264" t="e">
        <f t="shared" si="223"/>
        <v>#N/A</v>
      </c>
      <c r="AH250" s="263" t="e">
        <f t="shared" si="191"/>
        <v>#N/A</v>
      </c>
      <c r="AI250" s="226">
        <f t="shared" si="224"/>
        <v>7</v>
      </c>
      <c r="AJ250" s="264" t="e">
        <f t="shared" si="192"/>
        <v>#N/A</v>
      </c>
      <c r="AK250" s="264" t="e">
        <f t="shared" si="225"/>
        <v>#N/A</v>
      </c>
      <c r="AL250" s="226" t="e">
        <f t="shared" si="193"/>
        <v>#N/A</v>
      </c>
      <c r="AM250" s="265" t="e">
        <f t="shared" si="226"/>
        <v>#N/A</v>
      </c>
      <c r="AN250" s="266" t="e">
        <f t="shared" si="194"/>
        <v>#N/A</v>
      </c>
      <c r="AO250" s="227" t="e">
        <f t="shared" si="195"/>
        <v>#N/A</v>
      </c>
      <c r="AP250" s="284">
        <f t="shared" si="227"/>
        <v>7</v>
      </c>
      <c r="AQ250" s="285" t="e">
        <f t="shared" si="196"/>
        <v>#N/A</v>
      </c>
      <c r="AR250" s="266" t="e">
        <f t="shared" si="228"/>
        <v>#N/A</v>
      </c>
      <c r="AS250" s="270" t="e">
        <f t="shared" si="197"/>
        <v>#N/A</v>
      </c>
      <c r="AT250" s="271">
        <f t="shared" si="229"/>
        <v>7</v>
      </c>
      <c r="AU250" s="272" t="e">
        <f t="shared" si="230"/>
        <v>#N/A</v>
      </c>
      <c r="AV250" s="273" t="e">
        <f t="shared" si="231"/>
        <v>#N/A</v>
      </c>
      <c r="AW250" s="274" t="e">
        <f t="shared" si="198"/>
        <v>#N/A</v>
      </c>
      <c r="AX250" s="232">
        <f t="shared" si="232"/>
        <v>7</v>
      </c>
      <c r="AY250" s="273" t="e">
        <f t="shared" si="199"/>
        <v>#N/A</v>
      </c>
      <c r="AZ250" s="232" t="e">
        <f t="shared" si="233"/>
        <v>#N/A</v>
      </c>
      <c r="BA250" s="232" t="e">
        <f t="shared" si="200"/>
        <v>#N/A</v>
      </c>
      <c r="BB250" s="275">
        <f t="shared" si="234"/>
        <v>7</v>
      </c>
      <c r="BC250" s="276" t="e">
        <f t="shared" si="235"/>
        <v>#N/A</v>
      </c>
      <c r="BD250" s="277" t="e">
        <f t="shared" si="236"/>
        <v>#N/A</v>
      </c>
      <c r="BE250" s="250" t="e">
        <f t="shared" si="201"/>
        <v>#N/A</v>
      </c>
      <c r="BF250" s="247">
        <f t="shared" si="237"/>
        <v>7</v>
      </c>
      <c r="BG250" s="276" t="e">
        <f t="shared" si="238"/>
        <v>#N/A</v>
      </c>
      <c r="BH250" s="277" t="e">
        <f t="shared" si="239"/>
        <v>#N/A</v>
      </c>
      <c r="BI250" s="250" t="e">
        <f t="shared" si="202"/>
        <v>#N/A</v>
      </c>
      <c r="BJ250" s="251">
        <f t="shared" si="240"/>
        <v>7</v>
      </c>
      <c r="BK250" s="278" t="e">
        <f t="shared" si="241"/>
        <v>#N/A</v>
      </c>
      <c r="BL250" s="278" t="e">
        <f t="shared" si="242"/>
        <v>#N/A</v>
      </c>
      <c r="BM250" s="279" t="e">
        <f t="shared" si="203"/>
        <v>#N/A</v>
      </c>
      <c r="BN250" s="280">
        <f t="shared" si="243"/>
        <v>7</v>
      </c>
      <c r="BO250" s="281" t="e">
        <f t="shared" si="244"/>
        <v>#N/A</v>
      </c>
      <c r="BP250" s="281" t="e">
        <f t="shared" si="245"/>
        <v>#N/A</v>
      </c>
      <c r="BQ250" s="279" t="e">
        <f t="shared" si="204"/>
        <v>#N/A</v>
      </c>
      <c r="BR250" s="282" t="e">
        <f t="shared" si="205"/>
        <v>#N/A</v>
      </c>
      <c r="BS250" s="217" t="e">
        <f>VLOOKUP($B250,SDR24_STOCK_BY_LA!$A$2:$C$11878,3,0)</f>
        <v>#N/A</v>
      </c>
      <c r="BT250" s="217" t="str">
        <f t="shared" si="246"/>
        <v/>
      </c>
    </row>
    <row r="251" spans="1:72" x14ac:dyDescent="0.2">
      <c r="A251" s="256" t="str">
        <f t="shared" si="247"/>
        <v/>
      </c>
      <c r="B251" s="217" t="str">
        <f t="shared" si="248"/>
        <v/>
      </c>
      <c r="C251" s="257" t="str">
        <f t="shared" si="206"/>
        <v/>
      </c>
      <c r="D251" s="256" t="str">
        <f>IF(B251="","",IF(totals!$Q$3=0,IFERROR(IF(AD251=2,"0",AE251),""),"-"))</f>
        <v/>
      </c>
      <c r="E251" s="258" t="str">
        <f t="shared" si="207"/>
        <v/>
      </c>
      <c r="F251" s="259" t="str">
        <f t="shared" si="208"/>
        <v/>
      </c>
      <c r="G251" s="259" t="str">
        <f t="shared" si="209"/>
        <v/>
      </c>
      <c r="H251" s="256" t="str">
        <f t="shared" si="187"/>
        <v/>
      </c>
      <c r="I251" s="259" t="str">
        <f t="shared" si="210"/>
        <v/>
      </c>
      <c r="J251" s="259" t="str">
        <f t="shared" si="211"/>
        <v/>
      </c>
      <c r="K251" s="256" t="str">
        <f t="shared" si="188"/>
        <v/>
      </c>
      <c r="L251" s="259" t="str">
        <f t="shared" si="189"/>
        <v/>
      </c>
      <c r="M251" s="259" t="str">
        <f t="shared" si="212"/>
        <v/>
      </c>
      <c r="N251" s="256" t="str">
        <f t="shared" si="213"/>
        <v/>
      </c>
      <c r="O251" s="259" t="str">
        <f t="shared" si="214"/>
        <v/>
      </c>
      <c r="P251" s="259" t="str">
        <f t="shared" si="215"/>
        <v/>
      </c>
      <c r="Q251" s="256" t="str">
        <f t="shared" si="216"/>
        <v/>
      </c>
      <c r="R251" s="259" t="str">
        <f t="shared" si="217"/>
        <v/>
      </c>
      <c r="S251" s="259" t="str">
        <f t="shared" si="218"/>
        <v/>
      </c>
      <c r="T251" s="256" t="str">
        <f t="shared" si="219"/>
        <v/>
      </c>
      <c r="U251" s="217"/>
      <c r="V251" s="217"/>
      <c r="AB251" s="257" t="e">
        <f>VLOOKUP($B$6,Lookup_Source,244,0)</f>
        <v>#N/A</v>
      </c>
      <c r="AC251" s="241" t="str">
        <f t="shared" si="220"/>
        <v/>
      </c>
      <c r="AD251" s="242">
        <f t="shared" si="221"/>
        <v>7</v>
      </c>
      <c r="AE251" s="261" t="e">
        <f t="shared" si="190"/>
        <v>#N/A</v>
      </c>
      <c r="AF251" s="264" t="e">
        <f t="shared" si="222"/>
        <v>#N/A</v>
      </c>
      <c r="AG251" s="264" t="e">
        <f t="shared" si="223"/>
        <v>#N/A</v>
      </c>
      <c r="AH251" s="263" t="e">
        <f t="shared" si="191"/>
        <v>#N/A</v>
      </c>
      <c r="AI251" s="226">
        <f t="shared" si="224"/>
        <v>7</v>
      </c>
      <c r="AJ251" s="264" t="e">
        <f t="shared" si="192"/>
        <v>#N/A</v>
      </c>
      <c r="AK251" s="264" t="e">
        <f t="shared" si="225"/>
        <v>#N/A</v>
      </c>
      <c r="AL251" s="226" t="e">
        <f t="shared" si="193"/>
        <v>#N/A</v>
      </c>
      <c r="AM251" s="265" t="e">
        <f t="shared" si="226"/>
        <v>#N/A</v>
      </c>
      <c r="AN251" s="266" t="e">
        <f t="shared" si="194"/>
        <v>#N/A</v>
      </c>
      <c r="AO251" s="227" t="e">
        <f t="shared" si="195"/>
        <v>#N/A</v>
      </c>
      <c r="AP251" s="284">
        <f t="shared" si="227"/>
        <v>7</v>
      </c>
      <c r="AQ251" s="285" t="e">
        <f t="shared" si="196"/>
        <v>#N/A</v>
      </c>
      <c r="AR251" s="266" t="e">
        <f t="shared" si="228"/>
        <v>#N/A</v>
      </c>
      <c r="AS251" s="270" t="e">
        <f t="shared" si="197"/>
        <v>#N/A</v>
      </c>
      <c r="AT251" s="271">
        <f t="shared" si="229"/>
        <v>7</v>
      </c>
      <c r="AU251" s="272" t="e">
        <f t="shared" si="230"/>
        <v>#N/A</v>
      </c>
      <c r="AV251" s="273" t="e">
        <f t="shared" si="231"/>
        <v>#N/A</v>
      </c>
      <c r="AW251" s="274" t="e">
        <f t="shared" si="198"/>
        <v>#N/A</v>
      </c>
      <c r="AX251" s="232">
        <f t="shared" si="232"/>
        <v>7</v>
      </c>
      <c r="AY251" s="273" t="e">
        <f t="shared" si="199"/>
        <v>#N/A</v>
      </c>
      <c r="AZ251" s="232" t="e">
        <f t="shared" si="233"/>
        <v>#N/A</v>
      </c>
      <c r="BA251" s="232" t="e">
        <f t="shared" si="200"/>
        <v>#N/A</v>
      </c>
      <c r="BB251" s="275">
        <f t="shared" si="234"/>
        <v>7</v>
      </c>
      <c r="BC251" s="276" t="e">
        <f t="shared" si="235"/>
        <v>#N/A</v>
      </c>
      <c r="BD251" s="277" t="e">
        <f t="shared" si="236"/>
        <v>#N/A</v>
      </c>
      <c r="BE251" s="250" t="e">
        <f t="shared" si="201"/>
        <v>#N/A</v>
      </c>
      <c r="BF251" s="247">
        <f t="shared" si="237"/>
        <v>7</v>
      </c>
      <c r="BG251" s="276" t="e">
        <f t="shared" si="238"/>
        <v>#N/A</v>
      </c>
      <c r="BH251" s="277" t="e">
        <f t="shared" si="239"/>
        <v>#N/A</v>
      </c>
      <c r="BI251" s="250" t="e">
        <f t="shared" si="202"/>
        <v>#N/A</v>
      </c>
      <c r="BJ251" s="251">
        <f t="shared" si="240"/>
        <v>7</v>
      </c>
      <c r="BK251" s="278" t="e">
        <f t="shared" si="241"/>
        <v>#N/A</v>
      </c>
      <c r="BL251" s="278" t="e">
        <f t="shared" si="242"/>
        <v>#N/A</v>
      </c>
      <c r="BM251" s="279" t="e">
        <f t="shared" si="203"/>
        <v>#N/A</v>
      </c>
      <c r="BN251" s="280">
        <f t="shared" si="243"/>
        <v>7</v>
      </c>
      <c r="BO251" s="281" t="e">
        <f t="shared" si="244"/>
        <v>#N/A</v>
      </c>
      <c r="BP251" s="281" t="e">
        <f t="shared" si="245"/>
        <v>#N/A</v>
      </c>
      <c r="BQ251" s="279" t="e">
        <f t="shared" si="204"/>
        <v>#N/A</v>
      </c>
      <c r="BR251" s="282" t="e">
        <f t="shared" si="205"/>
        <v>#N/A</v>
      </c>
      <c r="BS251" s="217" t="e">
        <f>VLOOKUP($B251,SDR24_STOCK_BY_LA!$A$2:$C$11878,3,0)</f>
        <v>#N/A</v>
      </c>
      <c r="BT251" s="217" t="str">
        <f t="shared" si="246"/>
        <v/>
      </c>
    </row>
    <row r="252" spans="1:72" x14ac:dyDescent="0.2">
      <c r="A252" s="217" t="str">
        <f t="shared" si="247"/>
        <v/>
      </c>
      <c r="B252" s="217" t="str">
        <f t="shared" si="248"/>
        <v/>
      </c>
      <c r="C252" s="283" t="str">
        <f t="shared" si="206"/>
        <v/>
      </c>
      <c r="D252" s="256" t="str">
        <f>IF(B252="","",IF(totals!$Q$3=0,IFERROR(IF(AD252=2,"0",AE252),""),"-"))</f>
        <v/>
      </c>
      <c r="E252" s="258" t="str">
        <f t="shared" si="207"/>
        <v/>
      </c>
      <c r="F252" s="259" t="str">
        <f t="shared" si="208"/>
        <v/>
      </c>
      <c r="G252" s="259" t="str">
        <f t="shared" si="209"/>
        <v/>
      </c>
      <c r="H252" s="256" t="str">
        <f t="shared" si="187"/>
        <v/>
      </c>
      <c r="I252" s="259" t="str">
        <f t="shared" si="210"/>
        <v/>
      </c>
      <c r="J252" s="259" t="str">
        <f t="shared" si="211"/>
        <v/>
      </c>
      <c r="K252" s="256" t="str">
        <f t="shared" si="188"/>
        <v/>
      </c>
      <c r="L252" s="259" t="str">
        <f t="shared" si="189"/>
        <v/>
      </c>
      <c r="M252" s="259" t="str">
        <f t="shared" si="212"/>
        <v/>
      </c>
      <c r="N252" s="256" t="str">
        <f t="shared" si="213"/>
        <v/>
      </c>
      <c r="O252" s="259" t="str">
        <f t="shared" si="214"/>
        <v/>
      </c>
      <c r="P252" s="259" t="str">
        <f t="shared" si="215"/>
        <v/>
      </c>
      <c r="Q252" s="256" t="str">
        <f t="shared" si="216"/>
        <v/>
      </c>
      <c r="R252" s="259" t="str">
        <f t="shared" si="217"/>
        <v/>
      </c>
      <c r="S252" s="259" t="str">
        <f t="shared" si="218"/>
        <v/>
      </c>
      <c r="T252" s="256" t="str">
        <f t="shared" si="219"/>
        <v/>
      </c>
      <c r="U252" s="217"/>
      <c r="V252" s="217"/>
      <c r="AB252" s="217" t="e">
        <f>VLOOKUP($B$6,Lookup_Source,245,0)</f>
        <v>#N/A</v>
      </c>
      <c r="AC252" s="241" t="str">
        <f t="shared" si="220"/>
        <v/>
      </c>
      <c r="AD252" s="242">
        <f t="shared" si="221"/>
        <v>7</v>
      </c>
      <c r="AE252" s="261" t="e">
        <f t="shared" si="190"/>
        <v>#N/A</v>
      </c>
      <c r="AF252" s="264" t="e">
        <f t="shared" si="222"/>
        <v>#N/A</v>
      </c>
      <c r="AG252" s="264" t="e">
        <f t="shared" si="223"/>
        <v>#N/A</v>
      </c>
      <c r="AH252" s="263" t="e">
        <f t="shared" si="191"/>
        <v>#N/A</v>
      </c>
      <c r="AI252" s="226">
        <f t="shared" si="224"/>
        <v>7</v>
      </c>
      <c r="AJ252" s="264" t="e">
        <f t="shared" si="192"/>
        <v>#N/A</v>
      </c>
      <c r="AK252" s="264" t="e">
        <f t="shared" si="225"/>
        <v>#N/A</v>
      </c>
      <c r="AL252" s="226" t="e">
        <f t="shared" si="193"/>
        <v>#N/A</v>
      </c>
      <c r="AM252" s="265" t="e">
        <f t="shared" si="226"/>
        <v>#N/A</v>
      </c>
      <c r="AN252" s="266" t="e">
        <f t="shared" si="194"/>
        <v>#N/A</v>
      </c>
      <c r="AO252" s="227" t="e">
        <f t="shared" si="195"/>
        <v>#N/A</v>
      </c>
      <c r="AP252" s="284">
        <f t="shared" si="227"/>
        <v>7</v>
      </c>
      <c r="AQ252" s="285" t="e">
        <f t="shared" si="196"/>
        <v>#N/A</v>
      </c>
      <c r="AR252" s="266" t="e">
        <f t="shared" si="228"/>
        <v>#N/A</v>
      </c>
      <c r="AS252" s="270" t="e">
        <f t="shared" si="197"/>
        <v>#N/A</v>
      </c>
      <c r="AT252" s="271">
        <f t="shared" si="229"/>
        <v>7</v>
      </c>
      <c r="AU252" s="272" t="e">
        <f t="shared" si="230"/>
        <v>#N/A</v>
      </c>
      <c r="AV252" s="273" t="e">
        <f t="shared" si="231"/>
        <v>#N/A</v>
      </c>
      <c r="AW252" s="274" t="e">
        <f t="shared" si="198"/>
        <v>#N/A</v>
      </c>
      <c r="AX252" s="232">
        <f t="shared" si="232"/>
        <v>7</v>
      </c>
      <c r="AY252" s="273" t="e">
        <f t="shared" si="199"/>
        <v>#N/A</v>
      </c>
      <c r="AZ252" s="232" t="e">
        <f t="shared" si="233"/>
        <v>#N/A</v>
      </c>
      <c r="BA252" s="232" t="e">
        <f t="shared" si="200"/>
        <v>#N/A</v>
      </c>
      <c r="BB252" s="275">
        <f t="shared" si="234"/>
        <v>7</v>
      </c>
      <c r="BC252" s="276" t="e">
        <f t="shared" si="235"/>
        <v>#N/A</v>
      </c>
      <c r="BD252" s="277" t="e">
        <f t="shared" si="236"/>
        <v>#N/A</v>
      </c>
      <c r="BE252" s="250" t="e">
        <f t="shared" si="201"/>
        <v>#N/A</v>
      </c>
      <c r="BF252" s="247">
        <f t="shared" si="237"/>
        <v>7</v>
      </c>
      <c r="BG252" s="276" t="e">
        <f t="shared" si="238"/>
        <v>#N/A</v>
      </c>
      <c r="BH252" s="277" t="e">
        <f t="shared" si="239"/>
        <v>#N/A</v>
      </c>
      <c r="BI252" s="250" t="e">
        <f t="shared" si="202"/>
        <v>#N/A</v>
      </c>
      <c r="BJ252" s="251">
        <f t="shared" si="240"/>
        <v>7</v>
      </c>
      <c r="BK252" s="278" t="e">
        <f t="shared" si="241"/>
        <v>#N/A</v>
      </c>
      <c r="BL252" s="278" t="e">
        <f t="shared" si="242"/>
        <v>#N/A</v>
      </c>
      <c r="BM252" s="279" t="e">
        <f t="shared" si="203"/>
        <v>#N/A</v>
      </c>
      <c r="BN252" s="280">
        <f t="shared" si="243"/>
        <v>7</v>
      </c>
      <c r="BO252" s="281" t="e">
        <f t="shared" si="244"/>
        <v>#N/A</v>
      </c>
      <c r="BP252" s="281" t="e">
        <f t="shared" si="245"/>
        <v>#N/A</v>
      </c>
      <c r="BQ252" s="279" t="e">
        <f t="shared" si="204"/>
        <v>#N/A</v>
      </c>
      <c r="BR252" s="282" t="e">
        <f t="shared" si="205"/>
        <v>#N/A</v>
      </c>
      <c r="BS252" s="217" t="e">
        <f>VLOOKUP($B252,SDR24_STOCK_BY_LA!$A$2:$C$11878,3,0)</f>
        <v>#N/A</v>
      </c>
      <c r="BT252" s="217" t="str">
        <f t="shared" si="246"/>
        <v/>
      </c>
    </row>
    <row r="253" spans="1:72" x14ac:dyDescent="0.2">
      <c r="A253" s="256" t="str">
        <f t="shared" si="247"/>
        <v/>
      </c>
      <c r="B253" s="217" t="str">
        <f t="shared" si="248"/>
        <v/>
      </c>
      <c r="C253" s="257" t="str">
        <f t="shared" si="206"/>
        <v/>
      </c>
      <c r="D253" s="256" t="str">
        <f>IF(B253="","",IF(totals!$Q$3=0,IFERROR(IF(AD253=2,"0",AE253),""),"-"))</f>
        <v/>
      </c>
      <c r="E253" s="258" t="str">
        <f t="shared" si="207"/>
        <v/>
      </c>
      <c r="F253" s="259" t="str">
        <f t="shared" si="208"/>
        <v/>
      </c>
      <c r="G253" s="259" t="str">
        <f t="shared" si="209"/>
        <v/>
      </c>
      <c r="H253" s="256" t="str">
        <f t="shared" si="187"/>
        <v/>
      </c>
      <c r="I253" s="259" t="str">
        <f t="shared" si="210"/>
        <v/>
      </c>
      <c r="J253" s="259" t="str">
        <f t="shared" si="211"/>
        <v/>
      </c>
      <c r="K253" s="256" t="str">
        <f t="shared" si="188"/>
        <v/>
      </c>
      <c r="L253" s="259" t="str">
        <f t="shared" si="189"/>
        <v/>
      </c>
      <c r="M253" s="259" t="str">
        <f t="shared" si="212"/>
        <v/>
      </c>
      <c r="N253" s="256" t="str">
        <f t="shared" si="213"/>
        <v/>
      </c>
      <c r="O253" s="259" t="str">
        <f t="shared" si="214"/>
        <v/>
      </c>
      <c r="P253" s="259" t="str">
        <f t="shared" si="215"/>
        <v/>
      </c>
      <c r="Q253" s="256" t="str">
        <f t="shared" si="216"/>
        <v/>
      </c>
      <c r="R253" s="259" t="str">
        <f t="shared" si="217"/>
        <v/>
      </c>
      <c r="S253" s="259" t="str">
        <f t="shared" si="218"/>
        <v/>
      </c>
      <c r="T253" s="256" t="str">
        <f t="shared" si="219"/>
        <v/>
      </c>
      <c r="U253" s="217"/>
      <c r="V253" s="217"/>
      <c r="AB253" s="257" t="e">
        <f>VLOOKUP($B$6,Lookup_Source,246,0)</f>
        <v>#N/A</v>
      </c>
      <c r="AC253" s="241" t="str">
        <f t="shared" si="220"/>
        <v/>
      </c>
      <c r="AD253" s="242">
        <f t="shared" si="221"/>
        <v>7</v>
      </c>
      <c r="AE253" s="261" t="e">
        <f t="shared" si="190"/>
        <v>#N/A</v>
      </c>
      <c r="AF253" s="264" t="e">
        <f t="shared" si="222"/>
        <v>#N/A</v>
      </c>
      <c r="AG253" s="264" t="e">
        <f t="shared" si="223"/>
        <v>#N/A</v>
      </c>
      <c r="AH253" s="263" t="e">
        <f t="shared" si="191"/>
        <v>#N/A</v>
      </c>
      <c r="AI253" s="226">
        <f t="shared" si="224"/>
        <v>7</v>
      </c>
      <c r="AJ253" s="264" t="e">
        <f t="shared" si="192"/>
        <v>#N/A</v>
      </c>
      <c r="AK253" s="264" t="e">
        <f t="shared" si="225"/>
        <v>#N/A</v>
      </c>
      <c r="AL253" s="226" t="e">
        <f t="shared" si="193"/>
        <v>#N/A</v>
      </c>
      <c r="AM253" s="265" t="e">
        <f t="shared" si="226"/>
        <v>#N/A</v>
      </c>
      <c r="AN253" s="266" t="e">
        <f t="shared" si="194"/>
        <v>#N/A</v>
      </c>
      <c r="AO253" s="227" t="e">
        <f t="shared" si="195"/>
        <v>#N/A</v>
      </c>
      <c r="AP253" s="284">
        <f t="shared" si="227"/>
        <v>7</v>
      </c>
      <c r="AQ253" s="285" t="e">
        <f t="shared" si="196"/>
        <v>#N/A</v>
      </c>
      <c r="AR253" s="266" t="e">
        <f t="shared" si="228"/>
        <v>#N/A</v>
      </c>
      <c r="AS253" s="270" t="e">
        <f t="shared" si="197"/>
        <v>#N/A</v>
      </c>
      <c r="AT253" s="271">
        <f t="shared" si="229"/>
        <v>7</v>
      </c>
      <c r="AU253" s="272" t="e">
        <f t="shared" si="230"/>
        <v>#N/A</v>
      </c>
      <c r="AV253" s="273" t="e">
        <f t="shared" si="231"/>
        <v>#N/A</v>
      </c>
      <c r="AW253" s="274" t="e">
        <f t="shared" si="198"/>
        <v>#N/A</v>
      </c>
      <c r="AX253" s="232">
        <f t="shared" si="232"/>
        <v>7</v>
      </c>
      <c r="AY253" s="273" t="e">
        <f t="shared" si="199"/>
        <v>#N/A</v>
      </c>
      <c r="AZ253" s="232" t="e">
        <f t="shared" si="233"/>
        <v>#N/A</v>
      </c>
      <c r="BA253" s="232" t="e">
        <f t="shared" si="200"/>
        <v>#N/A</v>
      </c>
      <c r="BB253" s="275">
        <f t="shared" si="234"/>
        <v>7</v>
      </c>
      <c r="BC253" s="276" t="e">
        <f t="shared" si="235"/>
        <v>#N/A</v>
      </c>
      <c r="BD253" s="277" t="e">
        <f t="shared" si="236"/>
        <v>#N/A</v>
      </c>
      <c r="BE253" s="250" t="e">
        <f t="shared" si="201"/>
        <v>#N/A</v>
      </c>
      <c r="BF253" s="247">
        <f t="shared" si="237"/>
        <v>7</v>
      </c>
      <c r="BG253" s="276" t="e">
        <f t="shared" si="238"/>
        <v>#N/A</v>
      </c>
      <c r="BH253" s="277" t="e">
        <f t="shared" si="239"/>
        <v>#N/A</v>
      </c>
      <c r="BI253" s="250" t="e">
        <f t="shared" si="202"/>
        <v>#N/A</v>
      </c>
      <c r="BJ253" s="251">
        <f t="shared" si="240"/>
        <v>7</v>
      </c>
      <c r="BK253" s="278" t="e">
        <f t="shared" si="241"/>
        <v>#N/A</v>
      </c>
      <c r="BL253" s="278" t="e">
        <f t="shared" si="242"/>
        <v>#N/A</v>
      </c>
      <c r="BM253" s="279" t="e">
        <f t="shared" si="203"/>
        <v>#N/A</v>
      </c>
      <c r="BN253" s="280">
        <f t="shared" si="243"/>
        <v>7</v>
      </c>
      <c r="BO253" s="281" t="e">
        <f t="shared" si="244"/>
        <v>#N/A</v>
      </c>
      <c r="BP253" s="281" t="e">
        <f t="shared" si="245"/>
        <v>#N/A</v>
      </c>
      <c r="BQ253" s="279" t="e">
        <f t="shared" si="204"/>
        <v>#N/A</v>
      </c>
      <c r="BR253" s="282" t="e">
        <f t="shared" si="205"/>
        <v>#N/A</v>
      </c>
      <c r="BS253" s="217" t="e">
        <f>VLOOKUP($B253,SDR24_STOCK_BY_LA!$A$2:$C$11878,3,0)</f>
        <v>#N/A</v>
      </c>
      <c r="BT253" s="217" t="str">
        <f t="shared" si="246"/>
        <v/>
      </c>
    </row>
    <row r="254" spans="1:72" x14ac:dyDescent="0.2">
      <c r="A254" s="217" t="str">
        <f t="shared" si="247"/>
        <v/>
      </c>
      <c r="B254" s="217" t="str">
        <f t="shared" si="248"/>
        <v/>
      </c>
      <c r="C254" s="283" t="str">
        <f t="shared" si="206"/>
        <v/>
      </c>
      <c r="D254" s="256" t="str">
        <f>IF(B254="","",IF(totals!$Q$3=0,IFERROR(IF(AD254=2,"0",AE254),""),"-"))</f>
        <v/>
      </c>
      <c r="E254" s="258" t="str">
        <f t="shared" si="207"/>
        <v/>
      </c>
      <c r="F254" s="259" t="str">
        <f t="shared" si="208"/>
        <v/>
      </c>
      <c r="G254" s="259" t="str">
        <f t="shared" si="209"/>
        <v/>
      </c>
      <c r="H254" s="256" t="str">
        <f t="shared" si="187"/>
        <v/>
      </c>
      <c r="I254" s="259" t="str">
        <f t="shared" si="210"/>
        <v/>
      </c>
      <c r="J254" s="259" t="str">
        <f t="shared" si="211"/>
        <v/>
      </c>
      <c r="K254" s="256" t="str">
        <f t="shared" si="188"/>
        <v/>
      </c>
      <c r="L254" s="259" t="str">
        <f t="shared" si="189"/>
        <v/>
      </c>
      <c r="M254" s="259" t="str">
        <f t="shared" si="212"/>
        <v/>
      </c>
      <c r="N254" s="256" t="str">
        <f t="shared" si="213"/>
        <v/>
      </c>
      <c r="O254" s="259" t="str">
        <f t="shared" si="214"/>
        <v/>
      </c>
      <c r="P254" s="259" t="str">
        <f t="shared" si="215"/>
        <v/>
      </c>
      <c r="Q254" s="256" t="str">
        <f t="shared" si="216"/>
        <v/>
      </c>
      <c r="R254" s="259" t="str">
        <f t="shared" si="217"/>
        <v/>
      </c>
      <c r="S254" s="259" t="str">
        <f t="shared" si="218"/>
        <v/>
      </c>
      <c r="T254" s="256" t="str">
        <f t="shared" si="219"/>
        <v/>
      </c>
      <c r="U254" s="217"/>
      <c r="V254" s="217"/>
      <c r="AB254" s="217" t="e">
        <f>VLOOKUP($B$6,Lookup_Source,247,0)</f>
        <v>#N/A</v>
      </c>
      <c r="AC254" s="241" t="str">
        <f t="shared" si="220"/>
        <v/>
      </c>
      <c r="AD254" s="242">
        <f t="shared" si="221"/>
        <v>7</v>
      </c>
      <c r="AE254" s="261" t="e">
        <f t="shared" si="190"/>
        <v>#N/A</v>
      </c>
      <c r="AF254" s="264" t="e">
        <f t="shared" si="222"/>
        <v>#N/A</v>
      </c>
      <c r="AG254" s="264" t="e">
        <f t="shared" si="223"/>
        <v>#N/A</v>
      </c>
      <c r="AH254" s="263" t="e">
        <f t="shared" si="191"/>
        <v>#N/A</v>
      </c>
      <c r="AI254" s="226">
        <f t="shared" si="224"/>
        <v>7</v>
      </c>
      <c r="AJ254" s="264" t="e">
        <f t="shared" si="192"/>
        <v>#N/A</v>
      </c>
      <c r="AK254" s="264" t="e">
        <f t="shared" si="225"/>
        <v>#N/A</v>
      </c>
      <c r="AL254" s="226" t="e">
        <f t="shared" si="193"/>
        <v>#N/A</v>
      </c>
      <c r="AM254" s="265" t="e">
        <f t="shared" si="226"/>
        <v>#N/A</v>
      </c>
      <c r="AN254" s="266" t="e">
        <f t="shared" si="194"/>
        <v>#N/A</v>
      </c>
      <c r="AO254" s="227" t="e">
        <f t="shared" si="195"/>
        <v>#N/A</v>
      </c>
      <c r="AP254" s="284">
        <f t="shared" si="227"/>
        <v>7</v>
      </c>
      <c r="AQ254" s="285" t="e">
        <f t="shared" si="196"/>
        <v>#N/A</v>
      </c>
      <c r="AR254" s="266" t="e">
        <f t="shared" si="228"/>
        <v>#N/A</v>
      </c>
      <c r="AS254" s="270" t="e">
        <f t="shared" si="197"/>
        <v>#N/A</v>
      </c>
      <c r="AT254" s="271">
        <f t="shared" si="229"/>
        <v>7</v>
      </c>
      <c r="AU254" s="272" t="e">
        <f t="shared" si="230"/>
        <v>#N/A</v>
      </c>
      <c r="AV254" s="273" t="e">
        <f t="shared" si="231"/>
        <v>#N/A</v>
      </c>
      <c r="AW254" s="274" t="e">
        <f t="shared" si="198"/>
        <v>#N/A</v>
      </c>
      <c r="AX254" s="232">
        <f t="shared" si="232"/>
        <v>7</v>
      </c>
      <c r="AY254" s="273" t="e">
        <f t="shared" si="199"/>
        <v>#N/A</v>
      </c>
      <c r="AZ254" s="232" t="e">
        <f t="shared" si="233"/>
        <v>#N/A</v>
      </c>
      <c r="BA254" s="232" t="e">
        <f t="shared" si="200"/>
        <v>#N/A</v>
      </c>
      <c r="BB254" s="275">
        <f t="shared" si="234"/>
        <v>7</v>
      </c>
      <c r="BC254" s="276" t="e">
        <f t="shared" si="235"/>
        <v>#N/A</v>
      </c>
      <c r="BD254" s="277" t="e">
        <f t="shared" si="236"/>
        <v>#N/A</v>
      </c>
      <c r="BE254" s="250" t="e">
        <f t="shared" si="201"/>
        <v>#N/A</v>
      </c>
      <c r="BF254" s="247">
        <f t="shared" si="237"/>
        <v>7</v>
      </c>
      <c r="BG254" s="276" t="e">
        <f t="shared" si="238"/>
        <v>#N/A</v>
      </c>
      <c r="BH254" s="277" t="e">
        <f t="shared" si="239"/>
        <v>#N/A</v>
      </c>
      <c r="BI254" s="250" t="e">
        <f t="shared" si="202"/>
        <v>#N/A</v>
      </c>
      <c r="BJ254" s="251">
        <f t="shared" si="240"/>
        <v>7</v>
      </c>
      <c r="BK254" s="278" t="e">
        <f t="shared" si="241"/>
        <v>#N/A</v>
      </c>
      <c r="BL254" s="278" t="e">
        <f t="shared" si="242"/>
        <v>#N/A</v>
      </c>
      <c r="BM254" s="279" t="e">
        <f t="shared" si="203"/>
        <v>#N/A</v>
      </c>
      <c r="BN254" s="280">
        <f t="shared" si="243"/>
        <v>7</v>
      </c>
      <c r="BO254" s="281" t="e">
        <f t="shared" si="244"/>
        <v>#N/A</v>
      </c>
      <c r="BP254" s="281" t="e">
        <f t="shared" si="245"/>
        <v>#N/A</v>
      </c>
      <c r="BQ254" s="279" t="e">
        <f t="shared" si="204"/>
        <v>#N/A</v>
      </c>
      <c r="BR254" s="282" t="e">
        <f t="shared" si="205"/>
        <v>#N/A</v>
      </c>
      <c r="BS254" s="217" t="e">
        <f>VLOOKUP($B254,SDR24_STOCK_BY_LA!$A$2:$C$11878,3,0)</f>
        <v>#N/A</v>
      </c>
      <c r="BT254" s="217" t="str">
        <f t="shared" si="246"/>
        <v/>
      </c>
    </row>
    <row r="255" spans="1:72" x14ac:dyDescent="0.2">
      <c r="A255" s="256" t="str">
        <f t="shared" si="247"/>
        <v/>
      </c>
      <c r="B255" s="217" t="str">
        <f t="shared" si="248"/>
        <v/>
      </c>
      <c r="C255" s="257" t="str">
        <f t="shared" si="206"/>
        <v/>
      </c>
      <c r="D255" s="256" t="str">
        <f>IF(B255="","",IF(totals!$Q$3=0,IFERROR(IF(AD255=2,"0",AE255),""),"-"))</f>
        <v/>
      </c>
      <c r="E255" s="258" t="str">
        <f t="shared" si="207"/>
        <v/>
      </c>
      <c r="F255" s="259" t="str">
        <f t="shared" si="208"/>
        <v/>
      </c>
      <c r="G255" s="259" t="str">
        <f t="shared" si="209"/>
        <v/>
      </c>
      <c r="H255" s="256" t="str">
        <f t="shared" si="187"/>
        <v/>
      </c>
      <c r="I255" s="259" t="str">
        <f t="shared" si="210"/>
        <v/>
      </c>
      <c r="J255" s="259" t="str">
        <f t="shared" si="211"/>
        <v/>
      </c>
      <c r="K255" s="256" t="str">
        <f t="shared" si="188"/>
        <v/>
      </c>
      <c r="L255" s="259" t="str">
        <f t="shared" si="189"/>
        <v/>
      </c>
      <c r="M255" s="259" t="str">
        <f t="shared" si="212"/>
        <v/>
      </c>
      <c r="N255" s="256" t="str">
        <f t="shared" si="213"/>
        <v/>
      </c>
      <c r="O255" s="259" t="str">
        <f t="shared" si="214"/>
        <v/>
      </c>
      <c r="P255" s="259" t="str">
        <f t="shared" si="215"/>
        <v/>
      </c>
      <c r="Q255" s="256" t="str">
        <f t="shared" si="216"/>
        <v/>
      </c>
      <c r="R255" s="259" t="str">
        <f t="shared" si="217"/>
        <v/>
      </c>
      <c r="S255" s="259" t="str">
        <f t="shared" si="218"/>
        <v/>
      </c>
      <c r="T255" s="256" t="str">
        <f t="shared" si="219"/>
        <v/>
      </c>
      <c r="U255" s="217"/>
      <c r="V255" s="217"/>
      <c r="AB255" s="257" t="e">
        <f>VLOOKUP($B$6,Lookup_Source,248,0)</f>
        <v>#N/A</v>
      </c>
      <c r="AC255" s="241" t="str">
        <f t="shared" si="220"/>
        <v/>
      </c>
      <c r="AD255" s="242">
        <f t="shared" si="221"/>
        <v>7</v>
      </c>
      <c r="AE255" s="261" t="e">
        <f t="shared" si="190"/>
        <v>#N/A</v>
      </c>
      <c r="AF255" s="264" t="e">
        <f t="shared" si="222"/>
        <v>#N/A</v>
      </c>
      <c r="AG255" s="264" t="e">
        <f t="shared" si="223"/>
        <v>#N/A</v>
      </c>
      <c r="AH255" s="263" t="e">
        <f t="shared" si="191"/>
        <v>#N/A</v>
      </c>
      <c r="AI255" s="226">
        <f t="shared" si="224"/>
        <v>7</v>
      </c>
      <c r="AJ255" s="264" t="e">
        <f t="shared" si="192"/>
        <v>#N/A</v>
      </c>
      <c r="AK255" s="264" t="e">
        <f t="shared" si="225"/>
        <v>#N/A</v>
      </c>
      <c r="AL255" s="226" t="e">
        <f t="shared" si="193"/>
        <v>#N/A</v>
      </c>
      <c r="AM255" s="265" t="e">
        <f t="shared" si="226"/>
        <v>#N/A</v>
      </c>
      <c r="AN255" s="266" t="e">
        <f t="shared" si="194"/>
        <v>#N/A</v>
      </c>
      <c r="AO255" s="227" t="e">
        <f t="shared" si="195"/>
        <v>#N/A</v>
      </c>
      <c r="AP255" s="284">
        <f t="shared" si="227"/>
        <v>7</v>
      </c>
      <c r="AQ255" s="285" t="e">
        <f t="shared" si="196"/>
        <v>#N/A</v>
      </c>
      <c r="AR255" s="266" t="e">
        <f t="shared" si="228"/>
        <v>#N/A</v>
      </c>
      <c r="AS255" s="270" t="e">
        <f t="shared" si="197"/>
        <v>#N/A</v>
      </c>
      <c r="AT255" s="271">
        <f t="shared" si="229"/>
        <v>7</v>
      </c>
      <c r="AU255" s="272" t="e">
        <f t="shared" si="230"/>
        <v>#N/A</v>
      </c>
      <c r="AV255" s="273" t="e">
        <f t="shared" si="231"/>
        <v>#N/A</v>
      </c>
      <c r="AW255" s="274" t="e">
        <f t="shared" si="198"/>
        <v>#N/A</v>
      </c>
      <c r="AX255" s="232">
        <f t="shared" si="232"/>
        <v>7</v>
      </c>
      <c r="AY255" s="273" t="e">
        <f t="shared" si="199"/>
        <v>#N/A</v>
      </c>
      <c r="AZ255" s="232" t="e">
        <f t="shared" si="233"/>
        <v>#N/A</v>
      </c>
      <c r="BA255" s="232" t="e">
        <f t="shared" si="200"/>
        <v>#N/A</v>
      </c>
      <c r="BB255" s="275">
        <f t="shared" si="234"/>
        <v>7</v>
      </c>
      <c r="BC255" s="276" t="e">
        <f t="shared" si="235"/>
        <v>#N/A</v>
      </c>
      <c r="BD255" s="277" t="e">
        <f t="shared" si="236"/>
        <v>#N/A</v>
      </c>
      <c r="BE255" s="250" t="e">
        <f t="shared" si="201"/>
        <v>#N/A</v>
      </c>
      <c r="BF255" s="247">
        <f t="shared" si="237"/>
        <v>7</v>
      </c>
      <c r="BG255" s="276" t="e">
        <f t="shared" si="238"/>
        <v>#N/A</v>
      </c>
      <c r="BH255" s="277" t="e">
        <f t="shared" si="239"/>
        <v>#N/A</v>
      </c>
      <c r="BI255" s="250" t="e">
        <f t="shared" si="202"/>
        <v>#N/A</v>
      </c>
      <c r="BJ255" s="251">
        <f t="shared" si="240"/>
        <v>7</v>
      </c>
      <c r="BK255" s="278" t="e">
        <f t="shared" si="241"/>
        <v>#N/A</v>
      </c>
      <c r="BL255" s="278" t="e">
        <f t="shared" si="242"/>
        <v>#N/A</v>
      </c>
      <c r="BM255" s="279" t="e">
        <f t="shared" si="203"/>
        <v>#N/A</v>
      </c>
      <c r="BN255" s="280">
        <f t="shared" si="243"/>
        <v>7</v>
      </c>
      <c r="BO255" s="281" t="e">
        <f t="shared" si="244"/>
        <v>#N/A</v>
      </c>
      <c r="BP255" s="281" t="e">
        <f t="shared" si="245"/>
        <v>#N/A</v>
      </c>
      <c r="BQ255" s="279" t="e">
        <f t="shared" si="204"/>
        <v>#N/A</v>
      </c>
      <c r="BR255" s="282" t="e">
        <f t="shared" si="205"/>
        <v>#N/A</v>
      </c>
      <c r="BS255" s="217" t="e">
        <f>VLOOKUP($B255,SDR24_STOCK_BY_LA!$A$2:$C$11878,3,0)</f>
        <v>#N/A</v>
      </c>
      <c r="BT255" s="217" t="str">
        <f t="shared" si="246"/>
        <v/>
      </c>
    </row>
    <row r="256" spans="1:72" x14ac:dyDescent="0.2">
      <c r="A256" s="217" t="str">
        <f t="shared" si="247"/>
        <v/>
      </c>
      <c r="B256" s="217" t="str">
        <f t="shared" si="248"/>
        <v/>
      </c>
      <c r="C256" s="283" t="str">
        <f t="shared" si="206"/>
        <v/>
      </c>
      <c r="D256" s="256" t="str">
        <f>IF(B256="","",IF(totals!$Q$3=0,IFERROR(IF(AD256=2,"0",AE256),""),"-"))</f>
        <v/>
      </c>
      <c r="E256" s="258" t="str">
        <f t="shared" si="207"/>
        <v/>
      </c>
      <c r="F256" s="259" t="str">
        <f t="shared" si="208"/>
        <v/>
      </c>
      <c r="G256" s="259" t="str">
        <f t="shared" si="209"/>
        <v/>
      </c>
      <c r="H256" s="256" t="str">
        <f t="shared" si="187"/>
        <v/>
      </c>
      <c r="I256" s="259" t="str">
        <f t="shared" si="210"/>
        <v/>
      </c>
      <c r="J256" s="259" t="str">
        <f t="shared" si="211"/>
        <v/>
      </c>
      <c r="K256" s="256" t="str">
        <f t="shared" si="188"/>
        <v/>
      </c>
      <c r="L256" s="259" t="str">
        <f t="shared" si="189"/>
        <v/>
      </c>
      <c r="M256" s="259" t="str">
        <f t="shared" si="212"/>
        <v/>
      </c>
      <c r="N256" s="256" t="str">
        <f t="shared" si="213"/>
        <v/>
      </c>
      <c r="O256" s="259" t="str">
        <f t="shared" si="214"/>
        <v/>
      </c>
      <c r="P256" s="259" t="str">
        <f t="shared" si="215"/>
        <v/>
      </c>
      <c r="Q256" s="256" t="str">
        <f t="shared" si="216"/>
        <v/>
      </c>
      <c r="R256" s="259" t="str">
        <f t="shared" si="217"/>
        <v/>
      </c>
      <c r="S256" s="259" t="str">
        <f t="shared" si="218"/>
        <v/>
      </c>
      <c r="T256" s="256" t="str">
        <f t="shared" si="219"/>
        <v/>
      </c>
      <c r="U256" s="217"/>
      <c r="V256" s="217"/>
      <c r="AB256" s="217" t="e">
        <f>VLOOKUP($B$6,Lookup_Source,249,0)</f>
        <v>#N/A</v>
      </c>
      <c r="AC256" s="241" t="str">
        <f t="shared" si="220"/>
        <v/>
      </c>
      <c r="AD256" s="242">
        <f t="shared" si="221"/>
        <v>7</v>
      </c>
      <c r="AE256" s="261" t="e">
        <f t="shared" si="190"/>
        <v>#N/A</v>
      </c>
      <c r="AF256" s="264" t="e">
        <f t="shared" si="222"/>
        <v>#N/A</v>
      </c>
      <c r="AG256" s="264" t="e">
        <f t="shared" si="223"/>
        <v>#N/A</v>
      </c>
      <c r="AH256" s="263" t="e">
        <f t="shared" si="191"/>
        <v>#N/A</v>
      </c>
      <c r="AI256" s="226">
        <f t="shared" si="224"/>
        <v>7</v>
      </c>
      <c r="AJ256" s="264" t="e">
        <f t="shared" si="192"/>
        <v>#N/A</v>
      </c>
      <c r="AK256" s="264" t="e">
        <f t="shared" si="225"/>
        <v>#N/A</v>
      </c>
      <c r="AL256" s="226" t="e">
        <f t="shared" si="193"/>
        <v>#N/A</v>
      </c>
      <c r="AM256" s="265" t="e">
        <f t="shared" si="226"/>
        <v>#N/A</v>
      </c>
      <c r="AN256" s="266" t="e">
        <f t="shared" si="194"/>
        <v>#N/A</v>
      </c>
      <c r="AO256" s="227" t="e">
        <f t="shared" si="195"/>
        <v>#N/A</v>
      </c>
      <c r="AP256" s="284">
        <f t="shared" si="227"/>
        <v>7</v>
      </c>
      <c r="AQ256" s="285" t="e">
        <f t="shared" si="196"/>
        <v>#N/A</v>
      </c>
      <c r="AR256" s="266" t="e">
        <f t="shared" si="228"/>
        <v>#N/A</v>
      </c>
      <c r="AS256" s="270" t="e">
        <f t="shared" si="197"/>
        <v>#N/A</v>
      </c>
      <c r="AT256" s="271">
        <f t="shared" si="229"/>
        <v>7</v>
      </c>
      <c r="AU256" s="272" t="e">
        <f t="shared" si="230"/>
        <v>#N/A</v>
      </c>
      <c r="AV256" s="273" t="e">
        <f t="shared" si="231"/>
        <v>#N/A</v>
      </c>
      <c r="AW256" s="274" t="e">
        <f t="shared" si="198"/>
        <v>#N/A</v>
      </c>
      <c r="AX256" s="232">
        <f t="shared" si="232"/>
        <v>7</v>
      </c>
      <c r="AY256" s="273" t="e">
        <f t="shared" si="199"/>
        <v>#N/A</v>
      </c>
      <c r="AZ256" s="232" t="e">
        <f t="shared" si="233"/>
        <v>#N/A</v>
      </c>
      <c r="BA256" s="232" t="e">
        <f t="shared" si="200"/>
        <v>#N/A</v>
      </c>
      <c r="BB256" s="275">
        <f t="shared" si="234"/>
        <v>7</v>
      </c>
      <c r="BC256" s="276" t="e">
        <f t="shared" si="235"/>
        <v>#N/A</v>
      </c>
      <c r="BD256" s="277" t="e">
        <f t="shared" si="236"/>
        <v>#N/A</v>
      </c>
      <c r="BE256" s="250" t="e">
        <f t="shared" si="201"/>
        <v>#N/A</v>
      </c>
      <c r="BF256" s="247">
        <f t="shared" si="237"/>
        <v>7</v>
      </c>
      <c r="BG256" s="276" t="e">
        <f t="shared" si="238"/>
        <v>#N/A</v>
      </c>
      <c r="BH256" s="277" t="e">
        <f t="shared" si="239"/>
        <v>#N/A</v>
      </c>
      <c r="BI256" s="250" t="e">
        <f t="shared" si="202"/>
        <v>#N/A</v>
      </c>
      <c r="BJ256" s="251">
        <f t="shared" si="240"/>
        <v>7</v>
      </c>
      <c r="BK256" s="278" t="e">
        <f t="shared" si="241"/>
        <v>#N/A</v>
      </c>
      <c r="BL256" s="278" t="e">
        <f t="shared" si="242"/>
        <v>#N/A</v>
      </c>
      <c r="BM256" s="279" t="e">
        <f t="shared" si="203"/>
        <v>#N/A</v>
      </c>
      <c r="BN256" s="280">
        <f t="shared" si="243"/>
        <v>7</v>
      </c>
      <c r="BO256" s="281" t="e">
        <f t="shared" si="244"/>
        <v>#N/A</v>
      </c>
      <c r="BP256" s="281" t="e">
        <f t="shared" si="245"/>
        <v>#N/A</v>
      </c>
      <c r="BQ256" s="279" t="e">
        <f t="shared" si="204"/>
        <v>#N/A</v>
      </c>
      <c r="BR256" s="282" t="e">
        <f t="shared" si="205"/>
        <v>#N/A</v>
      </c>
      <c r="BS256" s="217" t="e">
        <f>VLOOKUP($B256,SDR24_STOCK_BY_LA!$A$2:$C$11878,3,0)</f>
        <v>#N/A</v>
      </c>
      <c r="BT256" s="217" t="str">
        <f t="shared" si="246"/>
        <v/>
      </c>
    </row>
    <row r="257" spans="1:72" x14ac:dyDescent="0.2">
      <c r="A257" s="256" t="str">
        <f t="shared" si="247"/>
        <v/>
      </c>
      <c r="B257" s="217" t="str">
        <f t="shared" si="248"/>
        <v/>
      </c>
      <c r="C257" s="257" t="str">
        <f t="shared" si="206"/>
        <v/>
      </c>
      <c r="D257" s="256" t="str">
        <f>IF(B257="","",IF(totals!$Q$3=0,IFERROR(IF(AD257=2,"0",AE257),""),"-"))</f>
        <v/>
      </c>
      <c r="E257" s="258" t="str">
        <f t="shared" si="207"/>
        <v/>
      </c>
      <c r="F257" s="259" t="str">
        <f t="shared" si="208"/>
        <v/>
      </c>
      <c r="G257" s="259" t="str">
        <f t="shared" si="209"/>
        <v/>
      </c>
      <c r="H257" s="256" t="str">
        <f t="shared" si="187"/>
        <v/>
      </c>
      <c r="I257" s="259" t="str">
        <f t="shared" si="210"/>
        <v/>
      </c>
      <c r="J257" s="259" t="str">
        <f t="shared" si="211"/>
        <v/>
      </c>
      <c r="K257" s="256" t="str">
        <f t="shared" si="188"/>
        <v/>
      </c>
      <c r="L257" s="259" t="str">
        <f t="shared" si="189"/>
        <v/>
      </c>
      <c r="M257" s="259" t="str">
        <f t="shared" si="212"/>
        <v/>
      </c>
      <c r="N257" s="256" t="str">
        <f t="shared" si="213"/>
        <v/>
      </c>
      <c r="O257" s="259" t="str">
        <f t="shared" si="214"/>
        <v/>
      </c>
      <c r="P257" s="259" t="str">
        <f t="shared" si="215"/>
        <v/>
      </c>
      <c r="Q257" s="256" t="str">
        <f t="shared" si="216"/>
        <v/>
      </c>
      <c r="R257" s="259" t="str">
        <f t="shared" si="217"/>
        <v/>
      </c>
      <c r="S257" s="259" t="str">
        <f t="shared" si="218"/>
        <v/>
      </c>
      <c r="T257" s="256" t="str">
        <f t="shared" si="219"/>
        <v/>
      </c>
      <c r="U257" s="217"/>
      <c r="V257" s="217"/>
      <c r="AB257" s="257" t="e">
        <f>VLOOKUP($B$6,Lookup_Source,250,0)</f>
        <v>#N/A</v>
      </c>
      <c r="AC257" s="241" t="str">
        <f t="shared" si="220"/>
        <v/>
      </c>
      <c r="AD257" s="242">
        <f t="shared" si="221"/>
        <v>7</v>
      </c>
      <c r="AE257" s="261" t="e">
        <f t="shared" si="190"/>
        <v>#N/A</v>
      </c>
      <c r="AF257" s="264" t="e">
        <f t="shared" si="222"/>
        <v>#N/A</v>
      </c>
      <c r="AG257" s="264" t="e">
        <f t="shared" si="223"/>
        <v>#N/A</v>
      </c>
      <c r="AH257" s="263" t="e">
        <f t="shared" si="191"/>
        <v>#N/A</v>
      </c>
      <c r="AI257" s="226">
        <f t="shared" si="224"/>
        <v>7</v>
      </c>
      <c r="AJ257" s="264" t="e">
        <f t="shared" si="192"/>
        <v>#N/A</v>
      </c>
      <c r="AK257" s="264" t="e">
        <f t="shared" si="225"/>
        <v>#N/A</v>
      </c>
      <c r="AL257" s="226" t="e">
        <f t="shared" si="193"/>
        <v>#N/A</v>
      </c>
      <c r="AM257" s="265" t="e">
        <f t="shared" si="226"/>
        <v>#N/A</v>
      </c>
      <c r="AN257" s="266" t="e">
        <f t="shared" si="194"/>
        <v>#N/A</v>
      </c>
      <c r="AO257" s="227" t="e">
        <f t="shared" si="195"/>
        <v>#N/A</v>
      </c>
      <c r="AP257" s="284">
        <f t="shared" si="227"/>
        <v>7</v>
      </c>
      <c r="AQ257" s="285" t="e">
        <f t="shared" si="196"/>
        <v>#N/A</v>
      </c>
      <c r="AR257" s="266" t="e">
        <f t="shared" si="228"/>
        <v>#N/A</v>
      </c>
      <c r="AS257" s="270" t="e">
        <f t="shared" si="197"/>
        <v>#N/A</v>
      </c>
      <c r="AT257" s="271">
        <f t="shared" si="229"/>
        <v>7</v>
      </c>
      <c r="AU257" s="272" t="e">
        <f t="shared" si="230"/>
        <v>#N/A</v>
      </c>
      <c r="AV257" s="273" t="e">
        <f t="shared" si="231"/>
        <v>#N/A</v>
      </c>
      <c r="AW257" s="274" t="e">
        <f t="shared" si="198"/>
        <v>#N/A</v>
      </c>
      <c r="AX257" s="232">
        <f t="shared" si="232"/>
        <v>7</v>
      </c>
      <c r="AY257" s="273" t="e">
        <f t="shared" si="199"/>
        <v>#N/A</v>
      </c>
      <c r="AZ257" s="232" t="e">
        <f t="shared" si="233"/>
        <v>#N/A</v>
      </c>
      <c r="BA257" s="232" t="e">
        <f t="shared" si="200"/>
        <v>#N/A</v>
      </c>
      <c r="BB257" s="275">
        <f t="shared" si="234"/>
        <v>7</v>
      </c>
      <c r="BC257" s="276" t="e">
        <f t="shared" si="235"/>
        <v>#N/A</v>
      </c>
      <c r="BD257" s="277" t="e">
        <f t="shared" si="236"/>
        <v>#N/A</v>
      </c>
      <c r="BE257" s="250" t="e">
        <f t="shared" si="201"/>
        <v>#N/A</v>
      </c>
      <c r="BF257" s="247">
        <f t="shared" si="237"/>
        <v>7</v>
      </c>
      <c r="BG257" s="276" t="e">
        <f t="shared" si="238"/>
        <v>#N/A</v>
      </c>
      <c r="BH257" s="277" t="e">
        <f t="shared" si="239"/>
        <v>#N/A</v>
      </c>
      <c r="BI257" s="250" t="e">
        <f t="shared" si="202"/>
        <v>#N/A</v>
      </c>
      <c r="BJ257" s="251">
        <f t="shared" si="240"/>
        <v>7</v>
      </c>
      <c r="BK257" s="278" t="e">
        <f t="shared" si="241"/>
        <v>#N/A</v>
      </c>
      <c r="BL257" s="278" t="e">
        <f t="shared" si="242"/>
        <v>#N/A</v>
      </c>
      <c r="BM257" s="279" t="e">
        <f t="shared" si="203"/>
        <v>#N/A</v>
      </c>
      <c r="BN257" s="280">
        <f t="shared" si="243"/>
        <v>7</v>
      </c>
      <c r="BO257" s="281" t="e">
        <f t="shared" si="244"/>
        <v>#N/A</v>
      </c>
      <c r="BP257" s="281" t="e">
        <f t="shared" si="245"/>
        <v>#N/A</v>
      </c>
      <c r="BQ257" s="279" t="e">
        <f t="shared" si="204"/>
        <v>#N/A</v>
      </c>
      <c r="BR257" s="282" t="e">
        <f t="shared" si="205"/>
        <v>#N/A</v>
      </c>
      <c r="BS257" s="217" t="e">
        <f>VLOOKUP($B257,SDR24_STOCK_BY_LA!$A$2:$C$11878,3,0)</f>
        <v>#N/A</v>
      </c>
      <c r="BT257" s="217" t="str">
        <f t="shared" si="246"/>
        <v/>
      </c>
    </row>
    <row r="258" spans="1:72" x14ac:dyDescent="0.2">
      <c r="A258" s="217" t="str">
        <f t="shared" si="247"/>
        <v/>
      </c>
      <c r="B258" s="217" t="str">
        <f t="shared" si="248"/>
        <v/>
      </c>
      <c r="C258" s="283" t="str">
        <f t="shared" si="206"/>
        <v/>
      </c>
      <c r="D258" s="256" t="str">
        <f>IF(B258="","",IF(totals!$Q$3=0,IFERROR(IF(AD258=2,"0",AE258),""),"-"))</f>
        <v/>
      </c>
      <c r="E258" s="258" t="str">
        <f t="shared" si="207"/>
        <v/>
      </c>
      <c r="F258" s="259" t="str">
        <f t="shared" si="208"/>
        <v/>
      </c>
      <c r="G258" s="259" t="str">
        <f t="shared" si="209"/>
        <v/>
      </c>
      <c r="H258" s="256" t="str">
        <f t="shared" si="187"/>
        <v/>
      </c>
      <c r="I258" s="259" t="str">
        <f t="shared" si="210"/>
        <v/>
      </c>
      <c r="J258" s="259" t="str">
        <f t="shared" si="211"/>
        <v/>
      </c>
      <c r="K258" s="256" t="str">
        <f t="shared" si="188"/>
        <v/>
      </c>
      <c r="L258" s="259" t="str">
        <f t="shared" si="189"/>
        <v/>
      </c>
      <c r="M258" s="259" t="str">
        <f t="shared" si="212"/>
        <v/>
      </c>
      <c r="N258" s="256" t="str">
        <f t="shared" si="213"/>
        <v/>
      </c>
      <c r="O258" s="259" t="str">
        <f t="shared" si="214"/>
        <v/>
      </c>
      <c r="P258" s="259" t="str">
        <f t="shared" si="215"/>
        <v/>
      </c>
      <c r="Q258" s="256" t="str">
        <f t="shared" si="216"/>
        <v/>
      </c>
      <c r="R258" s="259" t="str">
        <f t="shared" si="217"/>
        <v/>
      </c>
      <c r="S258" s="259" t="str">
        <f t="shared" si="218"/>
        <v/>
      </c>
      <c r="T258" s="256" t="str">
        <f t="shared" si="219"/>
        <v/>
      </c>
      <c r="U258" s="217"/>
      <c r="V258" s="217"/>
      <c r="AB258" s="217" t="e">
        <f>VLOOKUP($B$6,Lookup_Source,251,0)</f>
        <v>#N/A</v>
      </c>
      <c r="AC258" s="241" t="str">
        <f t="shared" si="220"/>
        <v/>
      </c>
      <c r="AD258" s="242">
        <f t="shared" si="221"/>
        <v>7</v>
      </c>
      <c r="AE258" s="261" t="e">
        <f t="shared" si="190"/>
        <v>#N/A</v>
      </c>
      <c r="AF258" s="264" t="e">
        <f t="shared" si="222"/>
        <v>#N/A</v>
      </c>
      <c r="AG258" s="264" t="e">
        <f t="shared" si="223"/>
        <v>#N/A</v>
      </c>
      <c r="AH258" s="263" t="e">
        <f t="shared" si="191"/>
        <v>#N/A</v>
      </c>
      <c r="AI258" s="226">
        <f t="shared" si="224"/>
        <v>7</v>
      </c>
      <c r="AJ258" s="264" t="e">
        <f t="shared" si="192"/>
        <v>#N/A</v>
      </c>
      <c r="AK258" s="264" t="e">
        <f t="shared" si="225"/>
        <v>#N/A</v>
      </c>
      <c r="AL258" s="226" t="e">
        <f t="shared" si="193"/>
        <v>#N/A</v>
      </c>
      <c r="AM258" s="265" t="e">
        <f t="shared" si="226"/>
        <v>#N/A</v>
      </c>
      <c r="AN258" s="266" t="e">
        <f t="shared" si="194"/>
        <v>#N/A</v>
      </c>
      <c r="AO258" s="227" t="e">
        <f t="shared" si="195"/>
        <v>#N/A</v>
      </c>
      <c r="AP258" s="284">
        <f t="shared" si="227"/>
        <v>7</v>
      </c>
      <c r="AQ258" s="285" t="e">
        <f t="shared" si="196"/>
        <v>#N/A</v>
      </c>
      <c r="AR258" s="266" t="e">
        <f t="shared" si="228"/>
        <v>#N/A</v>
      </c>
      <c r="AS258" s="270" t="e">
        <f t="shared" si="197"/>
        <v>#N/A</v>
      </c>
      <c r="AT258" s="271">
        <f t="shared" si="229"/>
        <v>7</v>
      </c>
      <c r="AU258" s="272" t="e">
        <f t="shared" si="230"/>
        <v>#N/A</v>
      </c>
      <c r="AV258" s="273" t="e">
        <f t="shared" si="231"/>
        <v>#N/A</v>
      </c>
      <c r="AW258" s="274" t="e">
        <f t="shared" si="198"/>
        <v>#N/A</v>
      </c>
      <c r="AX258" s="232">
        <f t="shared" si="232"/>
        <v>7</v>
      </c>
      <c r="AY258" s="273" t="e">
        <f t="shared" si="199"/>
        <v>#N/A</v>
      </c>
      <c r="AZ258" s="232" t="e">
        <f t="shared" si="233"/>
        <v>#N/A</v>
      </c>
      <c r="BA258" s="232" t="e">
        <f t="shared" si="200"/>
        <v>#N/A</v>
      </c>
      <c r="BB258" s="275">
        <f t="shared" si="234"/>
        <v>7</v>
      </c>
      <c r="BC258" s="276" t="e">
        <f t="shared" si="235"/>
        <v>#N/A</v>
      </c>
      <c r="BD258" s="277" t="e">
        <f t="shared" si="236"/>
        <v>#N/A</v>
      </c>
      <c r="BE258" s="250" t="e">
        <f t="shared" si="201"/>
        <v>#N/A</v>
      </c>
      <c r="BF258" s="247">
        <f t="shared" si="237"/>
        <v>7</v>
      </c>
      <c r="BG258" s="276" t="e">
        <f t="shared" si="238"/>
        <v>#N/A</v>
      </c>
      <c r="BH258" s="277" t="e">
        <f t="shared" si="239"/>
        <v>#N/A</v>
      </c>
      <c r="BI258" s="250" t="e">
        <f t="shared" si="202"/>
        <v>#N/A</v>
      </c>
      <c r="BJ258" s="251">
        <f t="shared" si="240"/>
        <v>7</v>
      </c>
      <c r="BK258" s="278" t="e">
        <f t="shared" si="241"/>
        <v>#N/A</v>
      </c>
      <c r="BL258" s="278" t="e">
        <f t="shared" si="242"/>
        <v>#N/A</v>
      </c>
      <c r="BM258" s="279" t="e">
        <f t="shared" si="203"/>
        <v>#N/A</v>
      </c>
      <c r="BN258" s="280">
        <f t="shared" si="243"/>
        <v>7</v>
      </c>
      <c r="BO258" s="281" t="e">
        <f t="shared" si="244"/>
        <v>#N/A</v>
      </c>
      <c r="BP258" s="281" t="e">
        <f t="shared" si="245"/>
        <v>#N/A</v>
      </c>
      <c r="BQ258" s="279" t="e">
        <f t="shared" si="204"/>
        <v>#N/A</v>
      </c>
      <c r="BR258" s="282" t="e">
        <f t="shared" si="205"/>
        <v>#N/A</v>
      </c>
      <c r="BS258" s="217" t="e">
        <f>VLOOKUP($B258,SDR24_STOCK_BY_LA!$A$2:$C$11878,3,0)</f>
        <v>#N/A</v>
      </c>
      <c r="BT258" s="217" t="str">
        <f t="shared" si="246"/>
        <v/>
      </c>
    </row>
    <row r="259" spans="1:72" x14ac:dyDescent="0.2">
      <c r="A259" s="256" t="str">
        <f t="shared" si="247"/>
        <v/>
      </c>
      <c r="B259" s="217" t="str">
        <f t="shared" si="248"/>
        <v/>
      </c>
      <c r="C259" s="257" t="str">
        <f t="shared" si="206"/>
        <v/>
      </c>
      <c r="D259" s="256" t="str">
        <f>IF(B259="","",IF(totals!$Q$3=0,IFERROR(IF(AD259=2,"0",AE259),""),"-"))</f>
        <v/>
      </c>
      <c r="E259" s="258" t="str">
        <f t="shared" si="207"/>
        <v/>
      </c>
      <c r="F259" s="259" t="str">
        <f t="shared" si="208"/>
        <v/>
      </c>
      <c r="G259" s="259" t="str">
        <f t="shared" si="209"/>
        <v/>
      </c>
      <c r="H259" s="256" t="str">
        <f t="shared" si="187"/>
        <v/>
      </c>
      <c r="I259" s="259" t="str">
        <f t="shared" si="210"/>
        <v/>
      </c>
      <c r="J259" s="259" t="str">
        <f t="shared" si="211"/>
        <v/>
      </c>
      <c r="K259" s="256" t="str">
        <f t="shared" si="188"/>
        <v/>
      </c>
      <c r="L259" s="259" t="str">
        <f t="shared" si="189"/>
        <v/>
      </c>
      <c r="M259" s="259" t="str">
        <f t="shared" si="212"/>
        <v/>
      </c>
      <c r="N259" s="256" t="str">
        <f t="shared" si="213"/>
        <v/>
      </c>
      <c r="O259" s="259" t="str">
        <f t="shared" si="214"/>
        <v/>
      </c>
      <c r="P259" s="259" t="str">
        <f t="shared" si="215"/>
        <v/>
      </c>
      <c r="Q259" s="256" t="str">
        <f t="shared" si="216"/>
        <v/>
      </c>
      <c r="R259" s="259" t="str">
        <f t="shared" si="217"/>
        <v/>
      </c>
      <c r="S259" s="259" t="str">
        <f t="shared" si="218"/>
        <v/>
      </c>
      <c r="T259" s="256" t="str">
        <f t="shared" si="219"/>
        <v/>
      </c>
      <c r="U259" s="217"/>
      <c r="V259" s="217"/>
      <c r="AB259" s="257" t="e">
        <f>VLOOKUP($B$6,Lookup_Source,252,0)</f>
        <v>#N/A</v>
      </c>
      <c r="AC259" s="241" t="str">
        <f t="shared" si="220"/>
        <v/>
      </c>
      <c r="AD259" s="242">
        <f t="shared" si="221"/>
        <v>7</v>
      </c>
      <c r="AE259" s="261" t="e">
        <f t="shared" si="190"/>
        <v>#N/A</v>
      </c>
      <c r="AF259" s="264" t="e">
        <f t="shared" si="222"/>
        <v>#N/A</v>
      </c>
      <c r="AG259" s="264" t="e">
        <f t="shared" si="223"/>
        <v>#N/A</v>
      </c>
      <c r="AH259" s="263" t="e">
        <f t="shared" si="191"/>
        <v>#N/A</v>
      </c>
      <c r="AI259" s="226">
        <f t="shared" si="224"/>
        <v>7</v>
      </c>
      <c r="AJ259" s="264" t="e">
        <f t="shared" si="192"/>
        <v>#N/A</v>
      </c>
      <c r="AK259" s="264" t="e">
        <f t="shared" si="225"/>
        <v>#N/A</v>
      </c>
      <c r="AL259" s="226" t="e">
        <f t="shared" si="193"/>
        <v>#N/A</v>
      </c>
      <c r="AM259" s="265" t="e">
        <f t="shared" si="226"/>
        <v>#N/A</v>
      </c>
      <c r="AN259" s="266" t="e">
        <f t="shared" si="194"/>
        <v>#N/A</v>
      </c>
      <c r="AO259" s="227" t="e">
        <f t="shared" si="195"/>
        <v>#N/A</v>
      </c>
      <c r="AP259" s="284">
        <f t="shared" si="227"/>
        <v>7</v>
      </c>
      <c r="AQ259" s="285" t="e">
        <f t="shared" si="196"/>
        <v>#N/A</v>
      </c>
      <c r="AR259" s="266" t="e">
        <f t="shared" si="228"/>
        <v>#N/A</v>
      </c>
      <c r="AS259" s="270" t="e">
        <f t="shared" si="197"/>
        <v>#N/A</v>
      </c>
      <c r="AT259" s="271">
        <f t="shared" si="229"/>
        <v>7</v>
      </c>
      <c r="AU259" s="272" t="e">
        <f t="shared" si="230"/>
        <v>#N/A</v>
      </c>
      <c r="AV259" s="273" t="e">
        <f t="shared" si="231"/>
        <v>#N/A</v>
      </c>
      <c r="AW259" s="274" t="e">
        <f t="shared" si="198"/>
        <v>#N/A</v>
      </c>
      <c r="AX259" s="232">
        <f t="shared" si="232"/>
        <v>7</v>
      </c>
      <c r="AY259" s="273" t="e">
        <f t="shared" si="199"/>
        <v>#N/A</v>
      </c>
      <c r="AZ259" s="232" t="e">
        <f t="shared" si="233"/>
        <v>#N/A</v>
      </c>
      <c r="BA259" s="232" t="e">
        <f t="shared" si="200"/>
        <v>#N/A</v>
      </c>
      <c r="BB259" s="275">
        <f t="shared" si="234"/>
        <v>7</v>
      </c>
      <c r="BC259" s="276" t="e">
        <f t="shared" si="235"/>
        <v>#N/A</v>
      </c>
      <c r="BD259" s="277" t="e">
        <f t="shared" si="236"/>
        <v>#N/A</v>
      </c>
      <c r="BE259" s="250" t="e">
        <f t="shared" si="201"/>
        <v>#N/A</v>
      </c>
      <c r="BF259" s="247">
        <f t="shared" si="237"/>
        <v>7</v>
      </c>
      <c r="BG259" s="276" t="e">
        <f t="shared" si="238"/>
        <v>#N/A</v>
      </c>
      <c r="BH259" s="277" t="e">
        <f t="shared" si="239"/>
        <v>#N/A</v>
      </c>
      <c r="BI259" s="250" t="e">
        <f t="shared" si="202"/>
        <v>#N/A</v>
      </c>
      <c r="BJ259" s="251">
        <f t="shared" si="240"/>
        <v>7</v>
      </c>
      <c r="BK259" s="278" t="e">
        <f t="shared" si="241"/>
        <v>#N/A</v>
      </c>
      <c r="BL259" s="278" t="e">
        <f t="shared" si="242"/>
        <v>#N/A</v>
      </c>
      <c r="BM259" s="279" t="e">
        <f t="shared" si="203"/>
        <v>#N/A</v>
      </c>
      <c r="BN259" s="280">
        <f t="shared" si="243"/>
        <v>7</v>
      </c>
      <c r="BO259" s="281" t="e">
        <f t="shared" si="244"/>
        <v>#N/A</v>
      </c>
      <c r="BP259" s="281" t="e">
        <f t="shared" si="245"/>
        <v>#N/A</v>
      </c>
      <c r="BQ259" s="279" t="e">
        <f t="shared" si="204"/>
        <v>#N/A</v>
      </c>
      <c r="BR259" s="282" t="e">
        <f t="shared" si="205"/>
        <v>#N/A</v>
      </c>
      <c r="BS259" s="217" t="e">
        <f>VLOOKUP($B259,SDR24_STOCK_BY_LA!$A$2:$C$11878,3,0)</f>
        <v>#N/A</v>
      </c>
      <c r="BT259" s="217" t="str">
        <f t="shared" si="246"/>
        <v/>
      </c>
    </row>
    <row r="260" spans="1:72" x14ac:dyDescent="0.2">
      <c r="A260" s="217" t="str">
        <f t="shared" si="247"/>
        <v/>
      </c>
      <c r="B260" s="217" t="str">
        <f t="shared" si="248"/>
        <v/>
      </c>
      <c r="C260" s="283" t="str">
        <f t="shared" si="206"/>
        <v/>
      </c>
      <c r="D260" s="256" t="str">
        <f>IF(B260="","",IF(totals!$Q$3=0,IFERROR(IF(AD260=2,"0",AE260),""),"-"))</f>
        <v/>
      </c>
      <c r="E260" s="258" t="str">
        <f t="shared" si="207"/>
        <v/>
      </c>
      <c r="F260" s="259" t="str">
        <f t="shared" si="208"/>
        <v/>
      </c>
      <c r="G260" s="259" t="str">
        <f t="shared" si="209"/>
        <v/>
      </c>
      <c r="H260" s="256" t="str">
        <f t="shared" si="187"/>
        <v/>
      </c>
      <c r="I260" s="259" t="str">
        <f t="shared" si="210"/>
        <v/>
      </c>
      <c r="J260" s="259" t="str">
        <f t="shared" si="211"/>
        <v/>
      </c>
      <c r="K260" s="256" t="str">
        <f t="shared" si="188"/>
        <v/>
      </c>
      <c r="L260" s="259" t="str">
        <f t="shared" si="189"/>
        <v/>
      </c>
      <c r="M260" s="259" t="str">
        <f t="shared" si="212"/>
        <v/>
      </c>
      <c r="N260" s="256" t="str">
        <f t="shared" si="213"/>
        <v/>
      </c>
      <c r="O260" s="259" t="str">
        <f t="shared" si="214"/>
        <v/>
      </c>
      <c r="P260" s="259" t="str">
        <f t="shared" si="215"/>
        <v/>
      </c>
      <c r="Q260" s="256" t="str">
        <f t="shared" si="216"/>
        <v/>
      </c>
      <c r="R260" s="259" t="str">
        <f t="shared" si="217"/>
        <v/>
      </c>
      <c r="S260" s="259" t="str">
        <f t="shared" si="218"/>
        <v/>
      </c>
      <c r="T260" s="256" t="str">
        <f t="shared" si="219"/>
        <v/>
      </c>
      <c r="U260" s="217"/>
      <c r="V260" s="217"/>
      <c r="AB260" s="217" t="e">
        <f>VLOOKUP($B$6,Lookup_Source,253,0)</f>
        <v>#N/A</v>
      </c>
      <c r="AC260" s="241" t="str">
        <f t="shared" si="220"/>
        <v/>
      </c>
      <c r="AD260" s="242">
        <f t="shared" si="221"/>
        <v>7</v>
      </c>
      <c r="AE260" s="261" t="e">
        <f t="shared" si="190"/>
        <v>#N/A</v>
      </c>
      <c r="AF260" s="264" t="e">
        <f t="shared" si="222"/>
        <v>#N/A</v>
      </c>
      <c r="AG260" s="264" t="e">
        <f t="shared" si="223"/>
        <v>#N/A</v>
      </c>
      <c r="AH260" s="263" t="e">
        <f t="shared" si="191"/>
        <v>#N/A</v>
      </c>
      <c r="AI260" s="226">
        <f t="shared" si="224"/>
        <v>7</v>
      </c>
      <c r="AJ260" s="264" t="e">
        <f t="shared" si="192"/>
        <v>#N/A</v>
      </c>
      <c r="AK260" s="264" t="e">
        <f t="shared" si="225"/>
        <v>#N/A</v>
      </c>
      <c r="AL260" s="226" t="e">
        <f t="shared" si="193"/>
        <v>#N/A</v>
      </c>
      <c r="AM260" s="265" t="e">
        <f t="shared" si="226"/>
        <v>#N/A</v>
      </c>
      <c r="AN260" s="266" t="e">
        <f t="shared" si="194"/>
        <v>#N/A</v>
      </c>
      <c r="AO260" s="227" t="e">
        <f t="shared" si="195"/>
        <v>#N/A</v>
      </c>
      <c r="AP260" s="284">
        <f t="shared" si="227"/>
        <v>7</v>
      </c>
      <c r="AQ260" s="285" t="e">
        <f t="shared" si="196"/>
        <v>#N/A</v>
      </c>
      <c r="AR260" s="266" t="e">
        <f t="shared" si="228"/>
        <v>#N/A</v>
      </c>
      <c r="AS260" s="270" t="e">
        <f t="shared" si="197"/>
        <v>#N/A</v>
      </c>
      <c r="AT260" s="271">
        <f t="shared" si="229"/>
        <v>7</v>
      </c>
      <c r="AU260" s="272" t="e">
        <f t="shared" si="230"/>
        <v>#N/A</v>
      </c>
      <c r="AV260" s="273" t="e">
        <f t="shared" si="231"/>
        <v>#N/A</v>
      </c>
      <c r="AW260" s="274" t="e">
        <f t="shared" si="198"/>
        <v>#N/A</v>
      </c>
      <c r="AX260" s="232">
        <f t="shared" si="232"/>
        <v>7</v>
      </c>
      <c r="AY260" s="273" t="e">
        <f t="shared" si="199"/>
        <v>#N/A</v>
      </c>
      <c r="AZ260" s="232" t="e">
        <f t="shared" si="233"/>
        <v>#N/A</v>
      </c>
      <c r="BA260" s="232" t="e">
        <f t="shared" si="200"/>
        <v>#N/A</v>
      </c>
      <c r="BB260" s="275">
        <f t="shared" si="234"/>
        <v>7</v>
      </c>
      <c r="BC260" s="276" t="e">
        <f t="shared" si="235"/>
        <v>#N/A</v>
      </c>
      <c r="BD260" s="277" t="e">
        <f t="shared" si="236"/>
        <v>#N/A</v>
      </c>
      <c r="BE260" s="250" t="e">
        <f t="shared" si="201"/>
        <v>#N/A</v>
      </c>
      <c r="BF260" s="247">
        <f t="shared" si="237"/>
        <v>7</v>
      </c>
      <c r="BG260" s="276" t="e">
        <f t="shared" si="238"/>
        <v>#N/A</v>
      </c>
      <c r="BH260" s="277" t="e">
        <f t="shared" si="239"/>
        <v>#N/A</v>
      </c>
      <c r="BI260" s="250" t="e">
        <f t="shared" si="202"/>
        <v>#N/A</v>
      </c>
      <c r="BJ260" s="251">
        <f t="shared" si="240"/>
        <v>7</v>
      </c>
      <c r="BK260" s="278" t="e">
        <f t="shared" si="241"/>
        <v>#N/A</v>
      </c>
      <c r="BL260" s="278" t="e">
        <f t="shared" si="242"/>
        <v>#N/A</v>
      </c>
      <c r="BM260" s="279" t="e">
        <f t="shared" si="203"/>
        <v>#N/A</v>
      </c>
      <c r="BN260" s="280">
        <f t="shared" si="243"/>
        <v>7</v>
      </c>
      <c r="BO260" s="281" t="e">
        <f t="shared" si="244"/>
        <v>#N/A</v>
      </c>
      <c r="BP260" s="281" t="e">
        <f t="shared" si="245"/>
        <v>#N/A</v>
      </c>
      <c r="BQ260" s="279" t="e">
        <f t="shared" si="204"/>
        <v>#N/A</v>
      </c>
      <c r="BR260" s="282" t="e">
        <f t="shared" si="205"/>
        <v>#N/A</v>
      </c>
      <c r="BS260" s="217" t="e">
        <f>VLOOKUP($B260,SDR24_STOCK_BY_LA!$A$2:$C$11878,3,0)</f>
        <v>#N/A</v>
      </c>
      <c r="BT260" s="217" t="str">
        <f t="shared" si="246"/>
        <v/>
      </c>
    </row>
    <row r="261" spans="1:72" x14ac:dyDescent="0.2">
      <c r="A261" s="256" t="str">
        <f t="shared" si="247"/>
        <v/>
      </c>
      <c r="B261" s="217" t="str">
        <f t="shared" si="248"/>
        <v/>
      </c>
      <c r="C261" s="257" t="str">
        <f t="shared" si="206"/>
        <v/>
      </c>
      <c r="D261" s="256" t="str">
        <f>IF(B261="","",IF(totals!$Q$3=0,IFERROR(IF(AD261=2,"0",AE261),""),"-"))</f>
        <v/>
      </c>
      <c r="E261" s="258" t="str">
        <f t="shared" si="207"/>
        <v/>
      </c>
      <c r="F261" s="259" t="str">
        <f t="shared" si="208"/>
        <v/>
      </c>
      <c r="G261" s="259" t="str">
        <f t="shared" si="209"/>
        <v/>
      </c>
      <c r="H261" s="256" t="str">
        <f t="shared" si="187"/>
        <v/>
      </c>
      <c r="I261" s="259" t="str">
        <f t="shared" si="210"/>
        <v/>
      </c>
      <c r="J261" s="259" t="str">
        <f t="shared" si="211"/>
        <v/>
      </c>
      <c r="K261" s="256" t="str">
        <f t="shared" si="188"/>
        <v/>
      </c>
      <c r="L261" s="259" t="str">
        <f t="shared" si="189"/>
        <v/>
      </c>
      <c r="M261" s="259" t="str">
        <f t="shared" si="212"/>
        <v/>
      </c>
      <c r="N261" s="256" t="str">
        <f t="shared" si="213"/>
        <v/>
      </c>
      <c r="O261" s="259" t="str">
        <f t="shared" si="214"/>
        <v/>
      </c>
      <c r="P261" s="259" t="str">
        <f t="shared" si="215"/>
        <v/>
      </c>
      <c r="Q261" s="256" t="str">
        <f t="shared" si="216"/>
        <v/>
      </c>
      <c r="R261" s="259" t="str">
        <f t="shared" si="217"/>
        <v/>
      </c>
      <c r="S261" s="259" t="str">
        <f t="shared" si="218"/>
        <v/>
      </c>
      <c r="T261" s="256" t="str">
        <f t="shared" si="219"/>
        <v/>
      </c>
      <c r="U261" s="217"/>
      <c r="V261" s="217"/>
      <c r="AB261" s="257" t="e">
        <f>VLOOKUP($B$6,Lookup_Source,254,0)</f>
        <v>#N/A</v>
      </c>
      <c r="AC261" s="241" t="str">
        <f t="shared" si="220"/>
        <v/>
      </c>
      <c r="AD261" s="242">
        <f t="shared" si="221"/>
        <v>7</v>
      </c>
      <c r="AE261" s="261" t="e">
        <f t="shared" si="190"/>
        <v>#N/A</v>
      </c>
      <c r="AF261" s="264" t="e">
        <f t="shared" si="222"/>
        <v>#N/A</v>
      </c>
      <c r="AG261" s="264" t="e">
        <f t="shared" si="223"/>
        <v>#N/A</v>
      </c>
      <c r="AH261" s="263" t="e">
        <f t="shared" si="191"/>
        <v>#N/A</v>
      </c>
      <c r="AI261" s="226">
        <f t="shared" si="224"/>
        <v>7</v>
      </c>
      <c r="AJ261" s="264" t="e">
        <f t="shared" si="192"/>
        <v>#N/A</v>
      </c>
      <c r="AK261" s="264" t="e">
        <f t="shared" si="225"/>
        <v>#N/A</v>
      </c>
      <c r="AL261" s="226" t="e">
        <f t="shared" si="193"/>
        <v>#N/A</v>
      </c>
      <c r="AM261" s="265" t="e">
        <f t="shared" si="226"/>
        <v>#N/A</v>
      </c>
      <c r="AN261" s="266" t="e">
        <f t="shared" si="194"/>
        <v>#N/A</v>
      </c>
      <c r="AO261" s="227" t="e">
        <f t="shared" si="195"/>
        <v>#N/A</v>
      </c>
      <c r="AP261" s="284">
        <f t="shared" si="227"/>
        <v>7</v>
      </c>
      <c r="AQ261" s="285" t="e">
        <f t="shared" si="196"/>
        <v>#N/A</v>
      </c>
      <c r="AR261" s="266" t="e">
        <f t="shared" si="228"/>
        <v>#N/A</v>
      </c>
      <c r="AS261" s="270" t="e">
        <f t="shared" si="197"/>
        <v>#N/A</v>
      </c>
      <c r="AT261" s="271">
        <f t="shared" si="229"/>
        <v>7</v>
      </c>
      <c r="AU261" s="272" t="e">
        <f t="shared" si="230"/>
        <v>#N/A</v>
      </c>
      <c r="AV261" s="273" t="e">
        <f t="shared" si="231"/>
        <v>#N/A</v>
      </c>
      <c r="AW261" s="274" t="e">
        <f t="shared" si="198"/>
        <v>#N/A</v>
      </c>
      <c r="AX261" s="232">
        <f t="shared" si="232"/>
        <v>7</v>
      </c>
      <c r="AY261" s="273" t="e">
        <f t="shared" si="199"/>
        <v>#N/A</v>
      </c>
      <c r="AZ261" s="232" t="e">
        <f t="shared" si="233"/>
        <v>#N/A</v>
      </c>
      <c r="BA261" s="232" t="e">
        <f t="shared" si="200"/>
        <v>#N/A</v>
      </c>
      <c r="BB261" s="275">
        <f t="shared" si="234"/>
        <v>7</v>
      </c>
      <c r="BC261" s="276" t="e">
        <f t="shared" si="235"/>
        <v>#N/A</v>
      </c>
      <c r="BD261" s="277" t="e">
        <f t="shared" si="236"/>
        <v>#N/A</v>
      </c>
      <c r="BE261" s="250" t="e">
        <f t="shared" si="201"/>
        <v>#N/A</v>
      </c>
      <c r="BF261" s="247">
        <f t="shared" si="237"/>
        <v>7</v>
      </c>
      <c r="BG261" s="276" t="e">
        <f t="shared" si="238"/>
        <v>#N/A</v>
      </c>
      <c r="BH261" s="277" t="e">
        <f t="shared" si="239"/>
        <v>#N/A</v>
      </c>
      <c r="BI261" s="250" t="e">
        <f t="shared" si="202"/>
        <v>#N/A</v>
      </c>
      <c r="BJ261" s="251">
        <f t="shared" si="240"/>
        <v>7</v>
      </c>
      <c r="BK261" s="278" t="e">
        <f t="shared" si="241"/>
        <v>#N/A</v>
      </c>
      <c r="BL261" s="278" t="e">
        <f t="shared" si="242"/>
        <v>#N/A</v>
      </c>
      <c r="BM261" s="279" t="e">
        <f t="shared" si="203"/>
        <v>#N/A</v>
      </c>
      <c r="BN261" s="280">
        <f t="shared" si="243"/>
        <v>7</v>
      </c>
      <c r="BO261" s="281" t="e">
        <f t="shared" si="244"/>
        <v>#N/A</v>
      </c>
      <c r="BP261" s="281" t="e">
        <f t="shared" si="245"/>
        <v>#N/A</v>
      </c>
      <c r="BQ261" s="279" t="e">
        <f t="shared" si="204"/>
        <v>#N/A</v>
      </c>
      <c r="BR261" s="282" t="e">
        <f t="shared" si="205"/>
        <v>#N/A</v>
      </c>
      <c r="BS261" s="217" t="e">
        <f>VLOOKUP($B261,SDR24_STOCK_BY_LA!$A$2:$C$11878,3,0)</f>
        <v>#N/A</v>
      </c>
      <c r="BT261" s="217" t="str">
        <f t="shared" si="246"/>
        <v/>
      </c>
    </row>
    <row r="262" spans="1:72" x14ac:dyDescent="0.2">
      <c r="A262" s="217" t="str">
        <f t="shared" si="247"/>
        <v/>
      </c>
      <c r="B262" s="217" t="str">
        <f t="shared" si="248"/>
        <v/>
      </c>
      <c r="C262" s="283" t="str">
        <f t="shared" si="206"/>
        <v/>
      </c>
      <c r="D262" s="256" t="str">
        <f>IF(B262="","",IF(totals!$Q$3=0,IFERROR(IF(AD262=2,"0",AE262),""),"-"))</f>
        <v/>
      </c>
      <c r="E262" s="258" t="str">
        <f t="shared" si="207"/>
        <v/>
      </c>
      <c r="F262" s="259" t="str">
        <f t="shared" si="208"/>
        <v/>
      </c>
      <c r="G262" s="259" t="str">
        <f t="shared" si="209"/>
        <v/>
      </c>
      <c r="H262" s="256" t="str">
        <f t="shared" si="187"/>
        <v/>
      </c>
      <c r="I262" s="259" t="str">
        <f t="shared" si="210"/>
        <v/>
      </c>
      <c r="J262" s="259" t="str">
        <f t="shared" si="211"/>
        <v/>
      </c>
      <c r="K262" s="256" t="str">
        <f t="shared" si="188"/>
        <v/>
      </c>
      <c r="L262" s="259" t="str">
        <f t="shared" si="189"/>
        <v/>
      </c>
      <c r="M262" s="259" t="str">
        <f t="shared" si="212"/>
        <v/>
      </c>
      <c r="N262" s="256" t="str">
        <f t="shared" si="213"/>
        <v/>
      </c>
      <c r="O262" s="259" t="str">
        <f t="shared" si="214"/>
        <v/>
      </c>
      <c r="P262" s="259" t="str">
        <f t="shared" si="215"/>
        <v/>
      </c>
      <c r="Q262" s="256" t="str">
        <f t="shared" si="216"/>
        <v/>
      </c>
      <c r="R262" s="259" t="str">
        <f t="shared" si="217"/>
        <v/>
      </c>
      <c r="S262" s="259" t="str">
        <f t="shared" si="218"/>
        <v/>
      </c>
      <c r="T262" s="256" t="str">
        <f t="shared" si="219"/>
        <v/>
      </c>
      <c r="U262" s="217"/>
      <c r="V262" s="217"/>
      <c r="AB262" s="217" t="e">
        <f>VLOOKUP($B$6,Lookup_Source,255,0)</f>
        <v>#N/A</v>
      </c>
      <c r="AC262" s="241" t="str">
        <f t="shared" si="220"/>
        <v/>
      </c>
      <c r="AD262" s="242">
        <f t="shared" si="221"/>
        <v>7</v>
      </c>
      <c r="AE262" s="261" t="e">
        <f t="shared" si="190"/>
        <v>#N/A</v>
      </c>
      <c r="AF262" s="264" t="e">
        <f t="shared" si="222"/>
        <v>#N/A</v>
      </c>
      <c r="AG262" s="264" t="e">
        <f t="shared" si="223"/>
        <v>#N/A</v>
      </c>
      <c r="AH262" s="263" t="e">
        <f t="shared" si="191"/>
        <v>#N/A</v>
      </c>
      <c r="AI262" s="226">
        <f t="shared" si="224"/>
        <v>7</v>
      </c>
      <c r="AJ262" s="264" t="e">
        <f t="shared" si="192"/>
        <v>#N/A</v>
      </c>
      <c r="AK262" s="264" t="e">
        <f t="shared" si="225"/>
        <v>#N/A</v>
      </c>
      <c r="AL262" s="226" t="e">
        <f t="shared" si="193"/>
        <v>#N/A</v>
      </c>
      <c r="AM262" s="265" t="e">
        <f t="shared" si="226"/>
        <v>#N/A</v>
      </c>
      <c r="AN262" s="266" t="e">
        <f t="shared" si="194"/>
        <v>#N/A</v>
      </c>
      <c r="AO262" s="227" t="e">
        <f t="shared" si="195"/>
        <v>#N/A</v>
      </c>
      <c r="AP262" s="284">
        <f t="shared" si="227"/>
        <v>7</v>
      </c>
      <c r="AQ262" s="285" t="e">
        <f t="shared" si="196"/>
        <v>#N/A</v>
      </c>
      <c r="AR262" s="266" t="e">
        <f t="shared" si="228"/>
        <v>#N/A</v>
      </c>
      <c r="AS262" s="270" t="e">
        <f t="shared" si="197"/>
        <v>#N/A</v>
      </c>
      <c r="AT262" s="271">
        <f t="shared" si="229"/>
        <v>7</v>
      </c>
      <c r="AU262" s="272" t="e">
        <f t="shared" si="230"/>
        <v>#N/A</v>
      </c>
      <c r="AV262" s="273" t="e">
        <f t="shared" si="231"/>
        <v>#N/A</v>
      </c>
      <c r="AW262" s="274" t="e">
        <f t="shared" si="198"/>
        <v>#N/A</v>
      </c>
      <c r="AX262" s="232">
        <f t="shared" si="232"/>
        <v>7</v>
      </c>
      <c r="AY262" s="273" t="e">
        <f t="shared" si="199"/>
        <v>#N/A</v>
      </c>
      <c r="AZ262" s="232" t="e">
        <f t="shared" si="233"/>
        <v>#N/A</v>
      </c>
      <c r="BA262" s="232" t="e">
        <f t="shared" si="200"/>
        <v>#N/A</v>
      </c>
      <c r="BB262" s="275">
        <f t="shared" si="234"/>
        <v>7</v>
      </c>
      <c r="BC262" s="276" t="e">
        <f t="shared" si="235"/>
        <v>#N/A</v>
      </c>
      <c r="BD262" s="277" t="e">
        <f t="shared" si="236"/>
        <v>#N/A</v>
      </c>
      <c r="BE262" s="250" t="e">
        <f t="shared" si="201"/>
        <v>#N/A</v>
      </c>
      <c r="BF262" s="247">
        <f t="shared" si="237"/>
        <v>7</v>
      </c>
      <c r="BG262" s="276" t="e">
        <f t="shared" si="238"/>
        <v>#N/A</v>
      </c>
      <c r="BH262" s="277" t="e">
        <f t="shared" si="239"/>
        <v>#N/A</v>
      </c>
      <c r="BI262" s="250" t="e">
        <f t="shared" si="202"/>
        <v>#N/A</v>
      </c>
      <c r="BJ262" s="251">
        <f t="shared" si="240"/>
        <v>7</v>
      </c>
      <c r="BK262" s="278" t="e">
        <f t="shared" si="241"/>
        <v>#N/A</v>
      </c>
      <c r="BL262" s="278" t="e">
        <f t="shared" si="242"/>
        <v>#N/A</v>
      </c>
      <c r="BM262" s="279" t="e">
        <f t="shared" si="203"/>
        <v>#N/A</v>
      </c>
      <c r="BN262" s="280">
        <f t="shared" si="243"/>
        <v>7</v>
      </c>
      <c r="BO262" s="281" t="e">
        <f t="shared" si="244"/>
        <v>#N/A</v>
      </c>
      <c r="BP262" s="281" t="e">
        <f t="shared" si="245"/>
        <v>#N/A</v>
      </c>
      <c r="BQ262" s="279" t="e">
        <f t="shared" si="204"/>
        <v>#N/A</v>
      </c>
      <c r="BR262" s="282" t="e">
        <f t="shared" si="205"/>
        <v>#N/A</v>
      </c>
      <c r="BS262" s="217" t="e">
        <f>VLOOKUP($B262,SDR24_STOCK_BY_LA!$A$2:$C$11878,3,0)</f>
        <v>#N/A</v>
      </c>
      <c r="BT262" s="217" t="str">
        <f t="shared" si="246"/>
        <v/>
      </c>
    </row>
    <row r="263" spans="1:72" x14ac:dyDescent="0.2">
      <c r="A263" s="256" t="str">
        <f t="shared" si="247"/>
        <v/>
      </c>
      <c r="B263" s="217" t="str">
        <f t="shared" si="248"/>
        <v/>
      </c>
      <c r="C263" s="257" t="str">
        <f t="shared" si="206"/>
        <v/>
      </c>
      <c r="D263" s="256" t="str">
        <f>IF(B263="","",IF(totals!$Q$3=0,IFERROR(IF(AD263=2,"0",AE263),""),"-"))</f>
        <v/>
      </c>
      <c r="E263" s="258" t="str">
        <f t="shared" si="207"/>
        <v/>
      </c>
      <c r="F263" s="259" t="str">
        <f t="shared" si="208"/>
        <v/>
      </c>
      <c r="G263" s="259" t="str">
        <f t="shared" si="209"/>
        <v/>
      </c>
      <c r="H263" s="256" t="str">
        <f t="shared" si="187"/>
        <v/>
      </c>
      <c r="I263" s="259" t="str">
        <f t="shared" si="210"/>
        <v/>
      </c>
      <c r="J263" s="259" t="str">
        <f t="shared" si="211"/>
        <v/>
      </c>
      <c r="K263" s="256" t="str">
        <f t="shared" si="188"/>
        <v/>
      </c>
      <c r="L263" s="259" t="str">
        <f t="shared" si="189"/>
        <v/>
      </c>
      <c r="M263" s="259" t="str">
        <f t="shared" si="212"/>
        <v/>
      </c>
      <c r="N263" s="256" t="str">
        <f t="shared" si="213"/>
        <v/>
      </c>
      <c r="O263" s="259" t="str">
        <f t="shared" si="214"/>
        <v/>
      </c>
      <c r="P263" s="259" t="str">
        <f t="shared" si="215"/>
        <v/>
      </c>
      <c r="Q263" s="256" t="str">
        <f t="shared" si="216"/>
        <v/>
      </c>
      <c r="R263" s="259" t="str">
        <f t="shared" si="217"/>
        <v/>
      </c>
      <c r="S263" s="259" t="str">
        <f t="shared" si="218"/>
        <v/>
      </c>
      <c r="T263" s="256" t="str">
        <f t="shared" si="219"/>
        <v/>
      </c>
      <c r="U263" s="217"/>
      <c r="V263" s="217"/>
      <c r="AB263" s="257" t="e">
        <f>VLOOKUP($B$6,Lookup_Source,256,0)</f>
        <v>#N/A</v>
      </c>
      <c r="AC263" s="241" t="str">
        <f t="shared" si="220"/>
        <v/>
      </c>
      <c r="AD263" s="242">
        <f t="shared" si="221"/>
        <v>7</v>
      </c>
      <c r="AE263" s="261" t="e">
        <f t="shared" si="190"/>
        <v>#N/A</v>
      </c>
      <c r="AF263" s="264" t="e">
        <f t="shared" si="222"/>
        <v>#N/A</v>
      </c>
      <c r="AG263" s="264" t="e">
        <f t="shared" si="223"/>
        <v>#N/A</v>
      </c>
      <c r="AH263" s="263" t="e">
        <f t="shared" si="191"/>
        <v>#N/A</v>
      </c>
      <c r="AI263" s="226">
        <f t="shared" si="224"/>
        <v>7</v>
      </c>
      <c r="AJ263" s="264" t="e">
        <f t="shared" si="192"/>
        <v>#N/A</v>
      </c>
      <c r="AK263" s="264" t="e">
        <f t="shared" si="225"/>
        <v>#N/A</v>
      </c>
      <c r="AL263" s="226" t="e">
        <f t="shared" si="193"/>
        <v>#N/A</v>
      </c>
      <c r="AM263" s="265" t="e">
        <f t="shared" si="226"/>
        <v>#N/A</v>
      </c>
      <c r="AN263" s="266" t="e">
        <f t="shared" si="194"/>
        <v>#N/A</v>
      </c>
      <c r="AO263" s="227" t="e">
        <f t="shared" si="195"/>
        <v>#N/A</v>
      </c>
      <c r="AP263" s="284">
        <f t="shared" si="227"/>
        <v>7</v>
      </c>
      <c r="AQ263" s="285" t="e">
        <f t="shared" si="196"/>
        <v>#N/A</v>
      </c>
      <c r="AR263" s="266" t="e">
        <f t="shared" si="228"/>
        <v>#N/A</v>
      </c>
      <c r="AS263" s="270" t="e">
        <f t="shared" si="197"/>
        <v>#N/A</v>
      </c>
      <c r="AT263" s="271">
        <f t="shared" si="229"/>
        <v>7</v>
      </c>
      <c r="AU263" s="272" t="e">
        <f t="shared" si="230"/>
        <v>#N/A</v>
      </c>
      <c r="AV263" s="273" t="e">
        <f t="shared" si="231"/>
        <v>#N/A</v>
      </c>
      <c r="AW263" s="274" t="e">
        <f t="shared" si="198"/>
        <v>#N/A</v>
      </c>
      <c r="AX263" s="232">
        <f t="shared" si="232"/>
        <v>7</v>
      </c>
      <c r="AY263" s="273" t="e">
        <f t="shared" si="199"/>
        <v>#N/A</v>
      </c>
      <c r="AZ263" s="232" t="e">
        <f t="shared" si="233"/>
        <v>#N/A</v>
      </c>
      <c r="BA263" s="232" t="e">
        <f t="shared" si="200"/>
        <v>#N/A</v>
      </c>
      <c r="BB263" s="275">
        <f t="shared" si="234"/>
        <v>7</v>
      </c>
      <c r="BC263" s="276" t="e">
        <f t="shared" si="235"/>
        <v>#N/A</v>
      </c>
      <c r="BD263" s="277" t="e">
        <f t="shared" si="236"/>
        <v>#N/A</v>
      </c>
      <c r="BE263" s="250" t="e">
        <f t="shared" si="201"/>
        <v>#N/A</v>
      </c>
      <c r="BF263" s="247">
        <f t="shared" si="237"/>
        <v>7</v>
      </c>
      <c r="BG263" s="276" t="e">
        <f t="shared" si="238"/>
        <v>#N/A</v>
      </c>
      <c r="BH263" s="277" t="e">
        <f t="shared" si="239"/>
        <v>#N/A</v>
      </c>
      <c r="BI263" s="250" t="e">
        <f t="shared" si="202"/>
        <v>#N/A</v>
      </c>
      <c r="BJ263" s="251">
        <f t="shared" si="240"/>
        <v>7</v>
      </c>
      <c r="BK263" s="278" t="e">
        <f t="shared" si="241"/>
        <v>#N/A</v>
      </c>
      <c r="BL263" s="278" t="e">
        <f t="shared" si="242"/>
        <v>#N/A</v>
      </c>
      <c r="BM263" s="279" t="e">
        <f t="shared" si="203"/>
        <v>#N/A</v>
      </c>
      <c r="BN263" s="280">
        <f t="shared" si="243"/>
        <v>7</v>
      </c>
      <c r="BO263" s="281" t="e">
        <f t="shared" si="244"/>
        <v>#N/A</v>
      </c>
      <c r="BP263" s="281" t="e">
        <f t="shared" si="245"/>
        <v>#N/A</v>
      </c>
      <c r="BQ263" s="279" t="e">
        <f t="shared" si="204"/>
        <v>#N/A</v>
      </c>
      <c r="BR263" s="282" t="e">
        <f t="shared" si="205"/>
        <v>#N/A</v>
      </c>
      <c r="BS263" s="217" t="e">
        <f>VLOOKUP($B263,SDR24_STOCK_BY_LA!$A$2:$C$11878,3,0)</f>
        <v>#N/A</v>
      </c>
      <c r="BT263" s="217" t="str">
        <f t="shared" si="246"/>
        <v/>
      </c>
    </row>
    <row r="264" spans="1:72" x14ac:dyDescent="0.2">
      <c r="A264" s="217" t="str">
        <f t="shared" si="247"/>
        <v/>
      </c>
      <c r="B264" s="217" t="str">
        <f t="shared" si="248"/>
        <v/>
      </c>
      <c r="C264" s="283" t="str">
        <f t="shared" si="206"/>
        <v/>
      </c>
      <c r="D264" s="256" t="str">
        <f>IF(B264="","",IF(totals!$Q$3=0,IFERROR(IF(AD264=2,"0",AE264),""),"-"))</f>
        <v/>
      </c>
      <c r="E264" s="258" t="str">
        <f t="shared" si="207"/>
        <v/>
      </c>
      <c r="F264" s="259" t="str">
        <f t="shared" si="208"/>
        <v/>
      </c>
      <c r="G264" s="259" t="str">
        <f t="shared" si="209"/>
        <v/>
      </c>
      <c r="H264" s="256" t="str">
        <f t="shared" si="187"/>
        <v/>
      </c>
      <c r="I264" s="259" t="str">
        <f t="shared" si="210"/>
        <v/>
      </c>
      <c r="J264" s="259" t="str">
        <f t="shared" si="211"/>
        <v/>
      </c>
      <c r="K264" s="256" t="str">
        <f t="shared" si="188"/>
        <v/>
      </c>
      <c r="L264" s="259" t="str">
        <f t="shared" si="189"/>
        <v/>
      </c>
      <c r="M264" s="259" t="str">
        <f t="shared" si="212"/>
        <v/>
      </c>
      <c r="N264" s="256" t="str">
        <f t="shared" si="213"/>
        <v/>
      </c>
      <c r="O264" s="259" t="str">
        <f t="shared" si="214"/>
        <v/>
      </c>
      <c r="P264" s="259" t="str">
        <f t="shared" si="215"/>
        <v/>
      </c>
      <c r="Q264" s="256" t="str">
        <f t="shared" si="216"/>
        <v/>
      </c>
      <c r="R264" s="259" t="str">
        <f t="shared" si="217"/>
        <v/>
      </c>
      <c r="S264" s="259" t="str">
        <f t="shared" si="218"/>
        <v/>
      </c>
      <c r="T264" s="256" t="str">
        <f t="shared" si="219"/>
        <v/>
      </c>
      <c r="U264" s="217"/>
      <c r="V264" s="217"/>
      <c r="AB264" s="217" t="e">
        <f>VLOOKUP($B$6,Lookup_Source,257,0)</f>
        <v>#N/A</v>
      </c>
      <c r="AC264" s="241" t="str">
        <f t="shared" si="220"/>
        <v/>
      </c>
      <c r="AD264" s="242">
        <f t="shared" si="221"/>
        <v>7</v>
      </c>
      <c r="AE264" s="261" t="e">
        <f t="shared" si="190"/>
        <v>#N/A</v>
      </c>
      <c r="AF264" s="264" t="e">
        <f t="shared" si="222"/>
        <v>#N/A</v>
      </c>
      <c r="AG264" s="264" t="e">
        <f t="shared" si="223"/>
        <v>#N/A</v>
      </c>
      <c r="AH264" s="263" t="e">
        <f t="shared" si="191"/>
        <v>#N/A</v>
      </c>
      <c r="AI264" s="226">
        <f t="shared" si="224"/>
        <v>7</v>
      </c>
      <c r="AJ264" s="264" t="e">
        <f t="shared" si="192"/>
        <v>#N/A</v>
      </c>
      <c r="AK264" s="264" t="e">
        <f t="shared" si="225"/>
        <v>#N/A</v>
      </c>
      <c r="AL264" s="226" t="e">
        <f t="shared" si="193"/>
        <v>#N/A</v>
      </c>
      <c r="AM264" s="265" t="e">
        <f t="shared" si="226"/>
        <v>#N/A</v>
      </c>
      <c r="AN264" s="266" t="e">
        <f t="shared" si="194"/>
        <v>#N/A</v>
      </c>
      <c r="AO264" s="227" t="e">
        <f t="shared" si="195"/>
        <v>#N/A</v>
      </c>
      <c r="AP264" s="284">
        <f t="shared" si="227"/>
        <v>7</v>
      </c>
      <c r="AQ264" s="285" t="e">
        <f t="shared" si="196"/>
        <v>#N/A</v>
      </c>
      <c r="AR264" s="266" t="e">
        <f t="shared" si="228"/>
        <v>#N/A</v>
      </c>
      <c r="AS264" s="270" t="e">
        <f t="shared" si="197"/>
        <v>#N/A</v>
      </c>
      <c r="AT264" s="271">
        <f t="shared" si="229"/>
        <v>7</v>
      </c>
      <c r="AU264" s="272" t="e">
        <f t="shared" si="230"/>
        <v>#N/A</v>
      </c>
      <c r="AV264" s="273" t="e">
        <f t="shared" si="231"/>
        <v>#N/A</v>
      </c>
      <c r="AW264" s="274" t="e">
        <f t="shared" si="198"/>
        <v>#N/A</v>
      </c>
      <c r="AX264" s="232">
        <f t="shared" si="232"/>
        <v>7</v>
      </c>
      <c r="AY264" s="273" t="e">
        <f t="shared" si="199"/>
        <v>#N/A</v>
      </c>
      <c r="AZ264" s="232" t="e">
        <f t="shared" si="233"/>
        <v>#N/A</v>
      </c>
      <c r="BA264" s="232" t="e">
        <f t="shared" si="200"/>
        <v>#N/A</v>
      </c>
      <c r="BB264" s="275">
        <f t="shared" si="234"/>
        <v>7</v>
      </c>
      <c r="BC264" s="276" t="e">
        <f t="shared" si="235"/>
        <v>#N/A</v>
      </c>
      <c r="BD264" s="277" t="e">
        <f t="shared" si="236"/>
        <v>#N/A</v>
      </c>
      <c r="BE264" s="250" t="e">
        <f t="shared" si="201"/>
        <v>#N/A</v>
      </c>
      <c r="BF264" s="247">
        <f t="shared" si="237"/>
        <v>7</v>
      </c>
      <c r="BG264" s="276" t="e">
        <f t="shared" si="238"/>
        <v>#N/A</v>
      </c>
      <c r="BH264" s="277" t="e">
        <f t="shared" si="239"/>
        <v>#N/A</v>
      </c>
      <c r="BI264" s="250" t="e">
        <f t="shared" si="202"/>
        <v>#N/A</v>
      </c>
      <c r="BJ264" s="251">
        <f t="shared" si="240"/>
        <v>7</v>
      </c>
      <c r="BK264" s="278" t="e">
        <f t="shared" si="241"/>
        <v>#N/A</v>
      </c>
      <c r="BL264" s="278" t="e">
        <f t="shared" si="242"/>
        <v>#N/A</v>
      </c>
      <c r="BM264" s="279" t="e">
        <f t="shared" si="203"/>
        <v>#N/A</v>
      </c>
      <c r="BN264" s="280">
        <f t="shared" si="243"/>
        <v>7</v>
      </c>
      <c r="BO264" s="281" t="e">
        <f t="shared" si="244"/>
        <v>#N/A</v>
      </c>
      <c r="BP264" s="281" t="e">
        <f t="shared" si="245"/>
        <v>#N/A</v>
      </c>
      <c r="BQ264" s="279" t="e">
        <f t="shared" si="204"/>
        <v>#N/A</v>
      </c>
      <c r="BR264" s="282" t="e">
        <f t="shared" si="205"/>
        <v>#N/A</v>
      </c>
      <c r="BS264" s="217" t="e">
        <f>VLOOKUP($B264,SDR24_STOCK_BY_LA!$A$2:$C$11878,3,0)</f>
        <v>#N/A</v>
      </c>
      <c r="BT264" s="217" t="str">
        <f t="shared" si="246"/>
        <v/>
      </c>
    </row>
    <row r="265" spans="1:72" x14ac:dyDescent="0.2">
      <c r="A265" s="256" t="str">
        <f t="shared" si="247"/>
        <v/>
      </c>
      <c r="B265" s="217" t="str">
        <f t="shared" si="248"/>
        <v/>
      </c>
      <c r="C265" s="257" t="str">
        <f t="shared" si="206"/>
        <v/>
      </c>
      <c r="D265" s="256" t="str">
        <f>IF(B265="","",IF(totals!$Q$3=0,IFERROR(IF(AD265=2,"0",AE265),""),"-"))</f>
        <v/>
      </c>
      <c r="E265" s="258" t="str">
        <f t="shared" si="207"/>
        <v/>
      </c>
      <c r="F265" s="259" t="str">
        <f t="shared" si="208"/>
        <v/>
      </c>
      <c r="G265" s="259" t="str">
        <f t="shared" si="209"/>
        <v/>
      </c>
      <c r="H265" s="256" t="str">
        <f t="shared" ref="H265:H328" si="249">IFERROR(AO265,"")</f>
        <v/>
      </c>
      <c r="I265" s="259" t="str">
        <f t="shared" si="210"/>
        <v/>
      </c>
      <c r="J265" s="259" t="str">
        <f t="shared" si="211"/>
        <v/>
      </c>
      <c r="K265" s="256" t="str">
        <f t="shared" ref="K265:K328" si="250">IFERROR(AW265,"")</f>
        <v/>
      </c>
      <c r="L265" s="259" t="str">
        <f t="shared" ref="L265:L328" si="251">IFERROR(IF(AT265=2,"-",AU265),"")</f>
        <v/>
      </c>
      <c r="M265" s="259" t="str">
        <f t="shared" si="212"/>
        <v/>
      </c>
      <c r="N265" s="256" t="str">
        <f t="shared" si="213"/>
        <v/>
      </c>
      <c r="O265" s="259" t="str">
        <f t="shared" si="214"/>
        <v/>
      </c>
      <c r="P265" s="259" t="str">
        <f t="shared" si="215"/>
        <v/>
      </c>
      <c r="Q265" s="256" t="str">
        <f t="shared" si="216"/>
        <v/>
      </c>
      <c r="R265" s="259" t="str">
        <f t="shared" si="217"/>
        <v/>
      </c>
      <c r="S265" s="259" t="str">
        <f t="shared" si="218"/>
        <v/>
      </c>
      <c r="T265" s="256" t="str">
        <f t="shared" si="219"/>
        <v/>
      </c>
      <c r="U265" s="217"/>
      <c r="V265" s="217"/>
      <c r="AB265" s="257" t="e">
        <f>VLOOKUP($B$6,Lookup_Source,258,0)</f>
        <v>#N/A</v>
      </c>
      <c r="AC265" s="241" t="str">
        <f t="shared" si="220"/>
        <v/>
      </c>
      <c r="AD265" s="242">
        <f t="shared" si="221"/>
        <v>7</v>
      </c>
      <c r="AE265" s="261" t="e">
        <f t="shared" ref="AE265:AE328" si="252">SUM(VLOOKUP($B265,Totals,8,0)-1)</f>
        <v>#N/A</v>
      </c>
      <c r="AF265" s="264" t="e">
        <f t="shared" si="222"/>
        <v>#N/A</v>
      </c>
      <c r="AG265" s="264" t="e">
        <f t="shared" si="223"/>
        <v>#N/A</v>
      </c>
      <c r="AH265" s="263" t="e">
        <f t="shared" ref="AH265:AH328" si="253">VLOOKUP($BT265,Stock_By_LA,2,0)</f>
        <v>#N/A</v>
      </c>
      <c r="AI265" s="226">
        <f t="shared" si="224"/>
        <v>7</v>
      </c>
      <c r="AJ265" s="264" t="e">
        <f t="shared" ref="AJ265:AJ328" si="254">IF(AK265&gt;0,AK265,"-")</f>
        <v>#N/A</v>
      </c>
      <c r="AK265" s="264" t="e">
        <f t="shared" si="225"/>
        <v>#N/A</v>
      </c>
      <c r="AL265" s="226" t="e">
        <f t="shared" ref="AL265:AL328" si="255">VLOOKUP($B265,Totals,7,0)</f>
        <v>#N/A</v>
      </c>
      <c r="AM265" s="265" t="e">
        <f t="shared" si="226"/>
        <v>#N/A</v>
      </c>
      <c r="AN265" s="266" t="e">
        <f t="shared" ref="AN265:AN328" si="256">$AO265/$AO$8</f>
        <v>#N/A</v>
      </c>
      <c r="AO265" s="227" t="e">
        <f t="shared" ref="AO265:AO328" si="257">VLOOKUP($BT265,Stock_By_LA,3,0)</f>
        <v>#N/A</v>
      </c>
      <c r="AP265" s="284">
        <f t="shared" si="227"/>
        <v>7</v>
      </c>
      <c r="AQ265" s="285" t="e">
        <f t="shared" ref="AQ265:AQ328" si="258">IF(AR265&gt;0,AR265,"-")</f>
        <v>#N/A</v>
      </c>
      <c r="AR265" s="266" t="e">
        <f t="shared" si="228"/>
        <v>#N/A</v>
      </c>
      <c r="AS265" s="270" t="e">
        <f t="shared" ref="AS265:AS328" si="259">VLOOKUP($B265,Totals,2,0)</f>
        <v>#N/A</v>
      </c>
      <c r="AT265" s="271">
        <f t="shared" si="229"/>
        <v>7</v>
      </c>
      <c r="AU265" s="272" t="e">
        <f t="shared" si="230"/>
        <v>#N/A</v>
      </c>
      <c r="AV265" s="273" t="e">
        <f t="shared" si="231"/>
        <v>#N/A</v>
      </c>
      <c r="AW265" s="274" t="e">
        <f t="shared" ref="AW265:AW328" si="260">VLOOKUP($BT265,Stock_By_LA,4,0)</f>
        <v>#N/A</v>
      </c>
      <c r="AX265" s="232">
        <f t="shared" si="232"/>
        <v>7</v>
      </c>
      <c r="AY265" s="273" t="e">
        <f t="shared" ref="AY265:AY328" si="261">IF(AZ265&gt;0,AZ265,"-")</f>
        <v>#N/A</v>
      </c>
      <c r="AZ265" s="232" t="e">
        <f t="shared" si="233"/>
        <v>#N/A</v>
      </c>
      <c r="BA265" s="232" t="e">
        <f t="shared" ref="BA265:BA328" si="262">VLOOKUP($B265,Totals,3,0)</f>
        <v>#N/A</v>
      </c>
      <c r="BB265" s="275">
        <f t="shared" si="234"/>
        <v>7</v>
      </c>
      <c r="BC265" s="276" t="e">
        <f t="shared" si="235"/>
        <v>#N/A</v>
      </c>
      <c r="BD265" s="277" t="e">
        <f t="shared" si="236"/>
        <v>#N/A</v>
      </c>
      <c r="BE265" s="250" t="e">
        <f t="shared" ref="BE265:BE328" si="263">VLOOKUP($BT265,Stock_By_LA,5,0)</f>
        <v>#N/A</v>
      </c>
      <c r="BF265" s="247">
        <f t="shared" si="237"/>
        <v>7</v>
      </c>
      <c r="BG265" s="276" t="e">
        <f t="shared" si="238"/>
        <v>#N/A</v>
      </c>
      <c r="BH265" s="277" t="e">
        <f t="shared" si="239"/>
        <v>#N/A</v>
      </c>
      <c r="BI265" s="250" t="e">
        <f t="shared" ref="BI265:BI328" si="264">VLOOKUP($B265,Totals,4,0)</f>
        <v>#N/A</v>
      </c>
      <c r="BJ265" s="251">
        <f t="shared" si="240"/>
        <v>7</v>
      </c>
      <c r="BK265" s="278" t="e">
        <f t="shared" si="241"/>
        <v>#N/A</v>
      </c>
      <c r="BL265" s="278" t="e">
        <f t="shared" si="242"/>
        <v>#N/A</v>
      </c>
      <c r="BM265" s="279" t="e">
        <f t="shared" ref="BM265:BM328" si="265">VLOOKUP($BT265,Stock_By_LA,6,0)</f>
        <v>#N/A</v>
      </c>
      <c r="BN265" s="280">
        <f t="shared" si="243"/>
        <v>7</v>
      </c>
      <c r="BO265" s="281" t="e">
        <f t="shared" si="244"/>
        <v>#N/A</v>
      </c>
      <c r="BP265" s="281" t="e">
        <f t="shared" si="245"/>
        <v>#N/A</v>
      </c>
      <c r="BQ265" s="279" t="e">
        <f t="shared" ref="BQ265:BQ328" si="266">VLOOKUP($B265,Totals,5,0)</f>
        <v>#N/A</v>
      </c>
      <c r="BR265" s="282" t="e">
        <f t="shared" ref="BR265:BR328" si="267">VLOOKUP($BT265,Stock_By_LA,8,0)</f>
        <v>#N/A</v>
      </c>
      <c r="BS265" s="217" t="e">
        <f>VLOOKUP($B265,SDR24_STOCK_BY_LA!$A$2:$C$11878,3,0)</f>
        <v>#N/A</v>
      </c>
      <c r="BT265" s="217" t="str">
        <f t="shared" si="246"/>
        <v/>
      </c>
    </row>
    <row r="266" spans="1:72" x14ac:dyDescent="0.2">
      <c r="A266" s="217" t="str">
        <f t="shared" si="247"/>
        <v/>
      </c>
      <c r="B266" s="217" t="str">
        <f t="shared" si="248"/>
        <v/>
      </c>
      <c r="C266" s="283" t="str">
        <f t="shared" ref="C266:C329" si="268">IFERROR(BS266,"")</f>
        <v/>
      </c>
      <c r="D266" s="256" t="str">
        <f>IF(B266="","",IF(totals!$Q$3=0,IFERROR(IF(AD266=2,"0",AE266),""),"-"))</f>
        <v/>
      </c>
      <c r="E266" s="258" t="str">
        <f t="shared" ref="E266:E329" si="269">IFERROR(AH266,"")</f>
        <v/>
      </c>
      <c r="F266" s="259" t="str">
        <f t="shared" ref="F266:F329" si="270">IFERROR(AF266,"")</f>
        <v/>
      </c>
      <c r="G266" s="259" t="str">
        <f t="shared" ref="G266:G329" si="271">IFERROR(IF(AI266=2,"-",AJ266),"")</f>
        <v/>
      </c>
      <c r="H266" s="256" t="str">
        <f t="shared" si="249"/>
        <v/>
      </c>
      <c r="I266" s="259" t="str">
        <f t="shared" ref="I266:I329" si="272">IFERROR(AM266,"")</f>
        <v/>
      </c>
      <c r="J266" s="259" t="str">
        <f t="shared" ref="J266:J329" si="273">IFERROR(IF(AP266=2,"-",AQ266),"")</f>
        <v/>
      </c>
      <c r="K266" s="256" t="str">
        <f t="shared" si="250"/>
        <v/>
      </c>
      <c r="L266" s="259" t="str">
        <f t="shared" si="251"/>
        <v/>
      </c>
      <c r="M266" s="259" t="str">
        <f t="shared" ref="M266:M329" si="274">IFERROR(IF(AX266=2,"-",AY266),"")</f>
        <v/>
      </c>
      <c r="N266" s="256" t="str">
        <f t="shared" ref="N266:N329" si="275">IFERROR(BE266,"")</f>
        <v/>
      </c>
      <c r="O266" s="259" t="str">
        <f t="shared" ref="O266:O329" si="276">IFERROR(IF(BB266=2,"-",BC266),"")</f>
        <v/>
      </c>
      <c r="P266" s="259" t="str">
        <f t="shared" ref="P266:P329" si="277">IFERROR(IF(BF266=2,"-",BG266),"")</f>
        <v/>
      </c>
      <c r="Q266" s="256" t="str">
        <f t="shared" ref="Q266:Q329" si="278">IFERROR(BM266,"")</f>
        <v/>
      </c>
      <c r="R266" s="259" t="str">
        <f t="shared" ref="R266:R329" si="279">IFERROR(IF(BJ266=2,"-",BK266),"")</f>
        <v/>
      </c>
      <c r="S266" s="259" t="str">
        <f t="shared" ref="S266:S329" si="280">IFERROR(IF(BN266=2,"-",BO266),"")</f>
        <v/>
      </c>
      <c r="T266" s="256" t="str">
        <f t="shared" ref="T266:T329" si="281">IFERROR(BR266,"")</f>
        <v/>
      </c>
      <c r="U266" s="217"/>
      <c r="V266" s="217"/>
      <c r="AB266" s="217" t="e">
        <f>VLOOKUP($B$6,Lookup_Source,259,0)</f>
        <v>#N/A</v>
      </c>
      <c r="AC266" s="241" t="str">
        <f t="shared" ref="AC266:AC329" si="282">IF(ISNUMBER(SEARCH("*",B266)),1,"")</f>
        <v/>
      </c>
      <c r="AD266" s="242">
        <f t="shared" ref="AD266:AD329" si="283">IFERROR(ERROR.TYPE(AE266),0)</f>
        <v>7</v>
      </c>
      <c r="AE266" s="261" t="e">
        <f t="shared" si="252"/>
        <v>#N/A</v>
      </c>
      <c r="AF266" s="264" t="e">
        <f t="shared" ref="AF266:AF329" si="284">IF(AG266&gt;0,AG266,"-")</f>
        <v>#N/A</v>
      </c>
      <c r="AG266" s="264" t="e">
        <f t="shared" ref="AG266:AG329" si="285">$AH266/$AH$8</f>
        <v>#N/A</v>
      </c>
      <c r="AH266" s="263" t="e">
        <f t="shared" si="253"/>
        <v>#N/A</v>
      </c>
      <c r="AI266" s="226">
        <f t="shared" ref="AI266:AI329" si="286">IFERROR(ERROR.TYPE(AJ266),0)</f>
        <v>7</v>
      </c>
      <c r="AJ266" s="264" t="e">
        <f t="shared" si="254"/>
        <v>#N/A</v>
      </c>
      <c r="AK266" s="264" t="e">
        <f t="shared" ref="AK266:AK329" si="287">$AH266/$AL266</f>
        <v>#N/A</v>
      </c>
      <c r="AL266" s="226" t="e">
        <f t="shared" si="255"/>
        <v>#N/A</v>
      </c>
      <c r="AM266" s="265" t="e">
        <f t="shared" ref="AM266:AM329" si="288">IF(AN266&gt;0,AN266,"-")</f>
        <v>#N/A</v>
      </c>
      <c r="AN266" s="266" t="e">
        <f t="shared" si="256"/>
        <v>#N/A</v>
      </c>
      <c r="AO266" s="227" t="e">
        <f t="shared" si="257"/>
        <v>#N/A</v>
      </c>
      <c r="AP266" s="284">
        <f t="shared" ref="AP266:AP329" si="289">IFERROR(ERROR.TYPE(AQ266),0)</f>
        <v>7</v>
      </c>
      <c r="AQ266" s="285" t="e">
        <f t="shared" si="258"/>
        <v>#N/A</v>
      </c>
      <c r="AR266" s="266" t="e">
        <f t="shared" ref="AR266:AR329" si="290">$AO266/$AS266</f>
        <v>#N/A</v>
      </c>
      <c r="AS266" s="270" t="e">
        <f t="shared" si="259"/>
        <v>#N/A</v>
      </c>
      <c r="AT266" s="271">
        <f t="shared" ref="AT266:AT329" si="291">IFERROR(ERROR.TYPE(AU266),0)</f>
        <v>7</v>
      </c>
      <c r="AU266" s="272" t="e">
        <f t="shared" ref="AU266:AU329" si="292">IF(AV266&gt;0,AV266,"-")</f>
        <v>#N/A</v>
      </c>
      <c r="AV266" s="273" t="e">
        <f t="shared" ref="AV266:AV329" si="293">AW266/$AW$8</f>
        <v>#N/A</v>
      </c>
      <c r="AW266" s="274" t="e">
        <f t="shared" si="260"/>
        <v>#N/A</v>
      </c>
      <c r="AX266" s="232">
        <f t="shared" ref="AX266:AX329" si="294">IFERROR(ERROR.TYPE(AY266),0)</f>
        <v>7</v>
      </c>
      <c r="AY266" s="273" t="e">
        <f t="shared" si="261"/>
        <v>#N/A</v>
      </c>
      <c r="AZ266" s="232" t="e">
        <f t="shared" ref="AZ266:AZ329" si="295">$AW266/$BA266</f>
        <v>#N/A</v>
      </c>
      <c r="BA266" s="232" t="e">
        <f t="shared" si="262"/>
        <v>#N/A</v>
      </c>
      <c r="BB266" s="275">
        <f t="shared" ref="BB266:BB329" si="296">IFERROR(ERROR.TYPE(BC266),0)</f>
        <v>7</v>
      </c>
      <c r="BC266" s="276" t="e">
        <f t="shared" ref="BC266:BC329" si="297">IF(BD266&gt;0,BD266,"-")</f>
        <v>#N/A</v>
      </c>
      <c r="BD266" s="277" t="e">
        <f t="shared" ref="BD266:BD329" si="298">$BE266/$BE$8</f>
        <v>#N/A</v>
      </c>
      <c r="BE266" s="250" t="e">
        <f t="shared" si="263"/>
        <v>#N/A</v>
      </c>
      <c r="BF266" s="247">
        <f t="shared" ref="BF266:BF329" si="299">IFERROR(ERROR.TYPE(BG266),0)</f>
        <v>7</v>
      </c>
      <c r="BG266" s="276" t="e">
        <f t="shared" ref="BG266:BG329" si="300">IF(BH266&gt;0,BH266,"-")</f>
        <v>#N/A</v>
      </c>
      <c r="BH266" s="277" t="e">
        <f t="shared" ref="BH266:BH329" si="301">$BE266/$BI266</f>
        <v>#N/A</v>
      </c>
      <c r="BI266" s="250" t="e">
        <f t="shared" si="264"/>
        <v>#N/A</v>
      </c>
      <c r="BJ266" s="251">
        <f t="shared" ref="BJ266:BJ329" si="302">IFERROR(ERROR.TYPE(BK266),0)</f>
        <v>7</v>
      </c>
      <c r="BK266" s="278" t="e">
        <f t="shared" ref="BK266:BK329" si="303">IF(BL266&gt;0,BL266,"-")</f>
        <v>#N/A</v>
      </c>
      <c r="BL266" s="278" t="e">
        <f t="shared" ref="BL266:BL329" si="304">$BM266/$BM$8</f>
        <v>#N/A</v>
      </c>
      <c r="BM266" s="279" t="e">
        <f t="shared" si="265"/>
        <v>#N/A</v>
      </c>
      <c r="BN266" s="280">
        <f t="shared" ref="BN266:BN329" si="305">IFERROR(ERROR.TYPE(BO266),0)</f>
        <v>7</v>
      </c>
      <c r="BO266" s="281" t="e">
        <f t="shared" ref="BO266:BO329" si="306">IF(BP266&gt;0,BP266,"-")</f>
        <v>#N/A</v>
      </c>
      <c r="BP266" s="281" t="e">
        <f t="shared" ref="BP266:BP329" si="307">$BM266/$BQ266</f>
        <v>#N/A</v>
      </c>
      <c r="BQ266" s="279" t="e">
        <f t="shared" si="266"/>
        <v>#N/A</v>
      </c>
      <c r="BR266" s="282" t="e">
        <f t="shared" si="267"/>
        <v>#N/A</v>
      </c>
      <c r="BS266" s="217" t="e">
        <f>VLOOKUP($B266,SDR24_STOCK_BY_LA!$A$2:$C$11878,3,0)</f>
        <v>#N/A</v>
      </c>
      <c r="BT266" s="217" t="str">
        <f t="shared" ref="BT266:BT329" si="308">$B$6&amp;$B266</f>
        <v/>
      </c>
    </row>
    <row r="267" spans="1:72" x14ac:dyDescent="0.2">
      <c r="A267" s="256" t="str">
        <f t="shared" ref="A267:A330" si="309">IF(AC267=1,A266+1,"")</f>
        <v/>
      </c>
      <c r="B267" s="217" t="str">
        <f t="shared" si="248"/>
        <v/>
      </c>
      <c r="C267" s="257" t="str">
        <f t="shared" si="268"/>
        <v/>
      </c>
      <c r="D267" s="256" t="str">
        <f>IF(B267="","",IF(totals!$Q$3=0,IFERROR(IF(AD267=2,"0",AE267),""),"-"))</f>
        <v/>
      </c>
      <c r="E267" s="258" t="str">
        <f t="shared" si="269"/>
        <v/>
      </c>
      <c r="F267" s="259" t="str">
        <f t="shared" si="270"/>
        <v/>
      </c>
      <c r="G267" s="259" t="str">
        <f t="shared" si="271"/>
        <v/>
      </c>
      <c r="H267" s="256" t="str">
        <f t="shared" si="249"/>
        <v/>
      </c>
      <c r="I267" s="259" t="str">
        <f t="shared" si="272"/>
        <v/>
      </c>
      <c r="J267" s="259" t="str">
        <f t="shared" si="273"/>
        <v/>
      </c>
      <c r="K267" s="256" t="str">
        <f t="shared" si="250"/>
        <v/>
      </c>
      <c r="L267" s="259" t="str">
        <f t="shared" si="251"/>
        <v/>
      </c>
      <c r="M267" s="259" t="str">
        <f t="shared" si="274"/>
        <v/>
      </c>
      <c r="N267" s="256" t="str">
        <f t="shared" si="275"/>
        <v/>
      </c>
      <c r="O267" s="259" t="str">
        <f t="shared" si="276"/>
        <v/>
      </c>
      <c r="P267" s="259" t="str">
        <f t="shared" si="277"/>
        <v/>
      </c>
      <c r="Q267" s="256" t="str">
        <f t="shared" si="278"/>
        <v/>
      </c>
      <c r="R267" s="259" t="str">
        <f t="shared" si="279"/>
        <v/>
      </c>
      <c r="S267" s="259" t="str">
        <f t="shared" si="280"/>
        <v/>
      </c>
      <c r="T267" s="256" t="str">
        <f t="shared" si="281"/>
        <v/>
      </c>
      <c r="U267" s="217"/>
      <c r="V267" s="217"/>
      <c r="AB267" s="257" t="e">
        <f>VLOOKUP($B$6,Lookup_Source,260,0)</f>
        <v>#N/A</v>
      </c>
      <c r="AC267" s="241" t="str">
        <f t="shared" si="282"/>
        <v/>
      </c>
      <c r="AD267" s="242">
        <f t="shared" si="283"/>
        <v>7</v>
      </c>
      <c r="AE267" s="261" t="e">
        <f t="shared" si="252"/>
        <v>#N/A</v>
      </c>
      <c r="AF267" s="264" t="e">
        <f t="shared" si="284"/>
        <v>#N/A</v>
      </c>
      <c r="AG267" s="264" t="e">
        <f t="shared" si="285"/>
        <v>#N/A</v>
      </c>
      <c r="AH267" s="263" t="e">
        <f t="shared" si="253"/>
        <v>#N/A</v>
      </c>
      <c r="AI267" s="226">
        <f t="shared" si="286"/>
        <v>7</v>
      </c>
      <c r="AJ267" s="264" t="e">
        <f t="shared" si="254"/>
        <v>#N/A</v>
      </c>
      <c r="AK267" s="264" t="e">
        <f t="shared" si="287"/>
        <v>#N/A</v>
      </c>
      <c r="AL267" s="226" t="e">
        <f t="shared" si="255"/>
        <v>#N/A</v>
      </c>
      <c r="AM267" s="265" t="e">
        <f t="shared" si="288"/>
        <v>#N/A</v>
      </c>
      <c r="AN267" s="266" t="e">
        <f t="shared" si="256"/>
        <v>#N/A</v>
      </c>
      <c r="AO267" s="227" t="e">
        <f t="shared" si="257"/>
        <v>#N/A</v>
      </c>
      <c r="AP267" s="284">
        <f t="shared" si="289"/>
        <v>7</v>
      </c>
      <c r="AQ267" s="285" t="e">
        <f t="shared" si="258"/>
        <v>#N/A</v>
      </c>
      <c r="AR267" s="266" t="e">
        <f t="shared" si="290"/>
        <v>#N/A</v>
      </c>
      <c r="AS267" s="270" t="e">
        <f t="shared" si="259"/>
        <v>#N/A</v>
      </c>
      <c r="AT267" s="271">
        <f t="shared" si="291"/>
        <v>7</v>
      </c>
      <c r="AU267" s="272" t="e">
        <f t="shared" si="292"/>
        <v>#N/A</v>
      </c>
      <c r="AV267" s="273" t="e">
        <f t="shared" si="293"/>
        <v>#N/A</v>
      </c>
      <c r="AW267" s="274" t="e">
        <f t="shared" si="260"/>
        <v>#N/A</v>
      </c>
      <c r="AX267" s="232">
        <f t="shared" si="294"/>
        <v>7</v>
      </c>
      <c r="AY267" s="273" t="e">
        <f t="shared" si="261"/>
        <v>#N/A</v>
      </c>
      <c r="AZ267" s="232" t="e">
        <f t="shared" si="295"/>
        <v>#N/A</v>
      </c>
      <c r="BA267" s="232" t="e">
        <f t="shared" si="262"/>
        <v>#N/A</v>
      </c>
      <c r="BB267" s="275">
        <f t="shared" si="296"/>
        <v>7</v>
      </c>
      <c r="BC267" s="276" t="e">
        <f t="shared" si="297"/>
        <v>#N/A</v>
      </c>
      <c r="BD267" s="277" t="e">
        <f t="shared" si="298"/>
        <v>#N/A</v>
      </c>
      <c r="BE267" s="250" t="e">
        <f t="shared" si="263"/>
        <v>#N/A</v>
      </c>
      <c r="BF267" s="247">
        <f t="shared" si="299"/>
        <v>7</v>
      </c>
      <c r="BG267" s="276" t="e">
        <f t="shared" si="300"/>
        <v>#N/A</v>
      </c>
      <c r="BH267" s="277" t="e">
        <f t="shared" si="301"/>
        <v>#N/A</v>
      </c>
      <c r="BI267" s="250" t="e">
        <f t="shared" si="264"/>
        <v>#N/A</v>
      </c>
      <c r="BJ267" s="251">
        <f t="shared" si="302"/>
        <v>7</v>
      </c>
      <c r="BK267" s="278" t="e">
        <f t="shared" si="303"/>
        <v>#N/A</v>
      </c>
      <c r="BL267" s="278" t="e">
        <f t="shared" si="304"/>
        <v>#N/A</v>
      </c>
      <c r="BM267" s="279" t="e">
        <f t="shared" si="265"/>
        <v>#N/A</v>
      </c>
      <c r="BN267" s="280">
        <f t="shared" si="305"/>
        <v>7</v>
      </c>
      <c r="BO267" s="281" t="e">
        <f t="shared" si="306"/>
        <v>#N/A</v>
      </c>
      <c r="BP267" s="281" t="e">
        <f t="shared" si="307"/>
        <v>#N/A</v>
      </c>
      <c r="BQ267" s="279" t="e">
        <f t="shared" si="266"/>
        <v>#N/A</v>
      </c>
      <c r="BR267" s="282" t="e">
        <f t="shared" si="267"/>
        <v>#N/A</v>
      </c>
      <c r="BS267" s="217" t="e">
        <f>VLOOKUP($B267,SDR24_STOCK_BY_LA!$A$2:$C$11878,3,0)</f>
        <v>#N/A</v>
      </c>
      <c r="BT267" s="217" t="str">
        <f t="shared" si="308"/>
        <v/>
      </c>
    </row>
    <row r="268" spans="1:72" x14ac:dyDescent="0.2">
      <c r="A268" s="217" t="str">
        <f t="shared" si="309"/>
        <v/>
      </c>
      <c r="B268" s="217" t="str">
        <f t="shared" si="248"/>
        <v/>
      </c>
      <c r="C268" s="283" t="str">
        <f t="shared" si="268"/>
        <v/>
      </c>
      <c r="D268" s="256" t="str">
        <f>IF(B268="","",IF(totals!$Q$3=0,IFERROR(IF(AD268=2,"0",AE268),""),"-"))</f>
        <v/>
      </c>
      <c r="E268" s="258" t="str">
        <f t="shared" si="269"/>
        <v/>
      </c>
      <c r="F268" s="259" t="str">
        <f t="shared" si="270"/>
        <v/>
      </c>
      <c r="G268" s="259" t="str">
        <f t="shared" si="271"/>
        <v/>
      </c>
      <c r="H268" s="256" t="str">
        <f t="shared" si="249"/>
        <v/>
      </c>
      <c r="I268" s="259" t="str">
        <f t="shared" si="272"/>
        <v/>
      </c>
      <c r="J268" s="259" t="str">
        <f t="shared" si="273"/>
        <v/>
      </c>
      <c r="K268" s="256" t="str">
        <f t="shared" si="250"/>
        <v/>
      </c>
      <c r="L268" s="259" t="str">
        <f t="shared" si="251"/>
        <v/>
      </c>
      <c r="M268" s="259" t="str">
        <f t="shared" si="274"/>
        <v/>
      </c>
      <c r="N268" s="256" t="str">
        <f t="shared" si="275"/>
        <v/>
      </c>
      <c r="O268" s="259" t="str">
        <f t="shared" si="276"/>
        <v/>
      </c>
      <c r="P268" s="259" t="str">
        <f t="shared" si="277"/>
        <v/>
      </c>
      <c r="Q268" s="256" t="str">
        <f t="shared" si="278"/>
        <v/>
      </c>
      <c r="R268" s="259" t="str">
        <f t="shared" si="279"/>
        <v/>
      </c>
      <c r="S268" s="259" t="str">
        <f t="shared" si="280"/>
        <v/>
      </c>
      <c r="T268" s="256" t="str">
        <f t="shared" si="281"/>
        <v/>
      </c>
      <c r="U268" s="217"/>
      <c r="V268" s="217"/>
      <c r="AB268" s="217" t="e">
        <f>VLOOKUP($B$6,Lookup_Source,261,0)</f>
        <v>#N/A</v>
      </c>
      <c r="AC268" s="241" t="str">
        <f t="shared" si="282"/>
        <v/>
      </c>
      <c r="AD268" s="242">
        <f t="shared" si="283"/>
        <v>7</v>
      </c>
      <c r="AE268" s="261" t="e">
        <f t="shared" si="252"/>
        <v>#N/A</v>
      </c>
      <c r="AF268" s="264" t="e">
        <f t="shared" si="284"/>
        <v>#N/A</v>
      </c>
      <c r="AG268" s="264" t="e">
        <f t="shared" si="285"/>
        <v>#N/A</v>
      </c>
      <c r="AH268" s="263" t="e">
        <f t="shared" si="253"/>
        <v>#N/A</v>
      </c>
      <c r="AI268" s="226">
        <f t="shared" si="286"/>
        <v>7</v>
      </c>
      <c r="AJ268" s="264" t="e">
        <f t="shared" si="254"/>
        <v>#N/A</v>
      </c>
      <c r="AK268" s="264" t="e">
        <f t="shared" si="287"/>
        <v>#N/A</v>
      </c>
      <c r="AL268" s="226" t="e">
        <f t="shared" si="255"/>
        <v>#N/A</v>
      </c>
      <c r="AM268" s="265" t="e">
        <f t="shared" si="288"/>
        <v>#N/A</v>
      </c>
      <c r="AN268" s="266" t="e">
        <f t="shared" si="256"/>
        <v>#N/A</v>
      </c>
      <c r="AO268" s="227" t="e">
        <f t="shared" si="257"/>
        <v>#N/A</v>
      </c>
      <c r="AP268" s="284">
        <f t="shared" si="289"/>
        <v>7</v>
      </c>
      <c r="AQ268" s="285" t="e">
        <f t="shared" si="258"/>
        <v>#N/A</v>
      </c>
      <c r="AR268" s="266" t="e">
        <f t="shared" si="290"/>
        <v>#N/A</v>
      </c>
      <c r="AS268" s="270" t="e">
        <f t="shared" si="259"/>
        <v>#N/A</v>
      </c>
      <c r="AT268" s="271">
        <f t="shared" si="291"/>
        <v>7</v>
      </c>
      <c r="AU268" s="272" t="e">
        <f t="shared" si="292"/>
        <v>#N/A</v>
      </c>
      <c r="AV268" s="273" t="e">
        <f t="shared" si="293"/>
        <v>#N/A</v>
      </c>
      <c r="AW268" s="274" t="e">
        <f t="shared" si="260"/>
        <v>#N/A</v>
      </c>
      <c r="AX268" s="232">
        <f t="shared" si="294"/>
        <v>7</v>
      </c>
      <c r="AY268" s="273" t="e">
        <f t="shared" si="261"/>
        <v>#N/A</v>
      </c>
      <c r="AZ268" s="232" t="e">
        <f t="shared" si="295"/>
        <v>#N/A</v>
      </c>
      <c r="BA268" s="232" t="e">
        <f t="shared" si="262"/>
        <v>#N/A</v>
      </c>
      <c r="BB268" s="275">
        <f t="shared" si="296"/>
        <v>7</v>
      </c>
      <c r="BC268" s="276" t="e">
        <f t="shared" si="297"/>
        <v>#N/A</v>
      </c>
      <c r="BD268" s="277" t="e">
        <f t="shared" si="298"/>
        <v>#N/A</v>
      </c>
      <c r="BE268" s="250" t="e">
        <f t="shared" si="263"/>
        <v>#N/A</v>
      </c>
      <c r="BF268" s="247">
        <f t="shared" si="299"/>
        <v>7</v>
      </c>
      <c r="BG268" s="276" t="e">
        <f t="shared" si="300"/>
        <v>#N/A</v>
      </c>
      <c r="BH268" s="277" t="e">
        <f t="shared" si="301"/>
        <v>#N/A</v>
      </c>
      <c r="BI268" s="250" t="e">
        <f t="shared" si="264"/>
        <v>#N/A</v>
      </c>
      <c r="BJ268" s="251">
        <f t="shared" si="302"/>
        <v>7</v>
      </c>
      <c r="BK268" s="278" t="e">
        <f t="shared" si="303"/>
        <v>#N/A</v>
      </c>
      <c r="BL268" s="278" t="e">
        <f t="shared" si="304"/>
        <v>#N/A</v>
      </c>
      <c r="BM268" s="279" t="e">
        <f t="shared" si="265"/>
        <v>#N/A</v>
      </c>
      <c r="BN268" s="280">
        <f t="shared" si="305"/>
        <v>7</v>
      </c>
      <c r="BO268" s="281" t="e">
        <f t="shared" si="306"/>
        <v>#N/A</v>
      </c>
      <c r="BP268" s="281" t="e">
        <f t="shared" si="307"/>
        <v>#N/A</v>
      </c>
      <c r="BQ268" s="279" t="e">
        <f t="shared" si="266"/>
        <v>#N/A</v>
      </c>
      <c r="BR268" s="282" t="e">
        <f t="shared" si="267"/>
        <v>#N/A</v>
      </c>
      <c r="BS268" s="217" t="e">
        <f>VLOOKUP($B268,SDR24_STOCK_BY_LA!$A$2:$C$11878,3,0)</f>
        <v>#N/A</v>
      </c>
      <c r="BT268" s="217" t="str">
        <f t="shared" si="308"/>
        <v/>
      </c>
    </row>
    <row r="269" spans="1:72" x14ac:dyDescent="0.2">
      <c r="A269" s="256" t="str">
        <f t="shared" si="309"/>
        <v/>
      </c>
      <c r="B269" s="217" t="str">
        <f t="shared" ref="B269:B332" si="310">IFERROR(IF(AB269=0,"",AB269),"")</f>
        <v/>
      </c>
      <c r="C269" s="257" t="str">
        <f t="shared" si="268"/>
        <v/>
      </c>
      <c r="D269" s="256" t="str">
        <f>IF(B269="","",IF(totals!$Q$3=0,IFERROR(IF(AD269=2,"0",AE269),""),"-"))</f>
        <v/>
      </c>
      <c r="E269" s="258" t="str">
        <f t="shared" si="269"/>
        <v/>
      </c>
      <c r="F269" s="259" t="str">
        <f t="shared" si="270"/>
        <v/>
      </c>
      <c r="G269" s="259" t="str">
        <f t="shared" si="271"/>
        <v/>
      </c>
      <c r="H269" s="256" t="str">
        <f t="shared" si="249"/>
        <v/>
      </c>
      <c r="I269" s="259" t="str">
        <f t="shared" si="272"/>
        <v/>
      </c>
      <c r="J269" s="259" t="str">
        <f t="shared" si="273"/>
        <v/>
      </c>
      <c r="K269" s="256" t="str">
        <f t="shared" si="250"/>
        <v/>
      </c>
      <c r="L269" s="259" t="str">
        <f t="shared" si="251"/>
        <v/>
      </c>
      <c r="M269" s="259" t="str">
        <f t="shared" si="274"/>
        <v/>
      </c>
      <c r="N269" s="256" t="str">
        <f t="shared" si="275"/>
        <v/>
      </c>
      <c r="O269" s="259" t="str">
        <f t="shared" si="276"/>
        <v/>
      </c>
      <c r="P269" s="259" t="str">
        <f t="shared" si="277"/>
        <v/>
      </c>
      <c r="Q269" s="256" t="str">
        <f t="shared" si="278"/>
        <v/>
      </c>
      <c r="R269" s="259" t="str">
        <f t="shared" si="279"/>
        <v/>
      </c>
      <c r="S269" s="259" t="str">
        <f t="shared" si="280"/>
        <v/>
      </c>
      <c r="T269" s="256" t="str">
        <f t="shared" si="281"/>
        <v/>
      </c>
      <c r="U269" s="217"/>
      <c r="V269" s="217"/>
      <c r="AB269" s="257" t="e">
        <f>VLOOKUP($B$6,Lookup_Source,262,0)</f>
        <v>#N/A</v>
      </c>
      <c r="AC269" s="241" t="str">
        <f t="shared" si="282"/>
        <v/>
      </c>
      <c r="AD269" s="242">
        <f t="shared" si="283"/>
        <v>7</v>
      </c>
      <c r="AE269" s="261" t="e">
        <f t="shared" si="252"/>
        <v>#N/A</v>
      </c>
      <c r="AF269" s="264" t="e">
        <f t="shared" si="284"/>
        <v>#N/A</v>
      </c>
      <c r="AG269" s="264" t="e">
        <f t="shared" si="285"/>
        <v>#N/A</v>
      </c>
      <c r="AH269" s="263" t="e">
        <f t="shared" si="253"/>
        <v>#N/A</v>
      </c>
      <c r="AI269" s="226">
        <f t="shared" si="286"/>
        <v>7</v>
      </c>
      <c r="AJ269" s="264" t="e">
        <f t="shared" si="254"/>
        <v>#N/A</v>
      </c>
      <c r="AK269" s="264" t="e">
        <f t="shared" si="287"/>
        <v>#N/A</v>
      </c>
      <c r="AL269" s="226" t="e">
        <f t="shared" si="255"/>
        <v>#N/A</v>
      </c>
      <c r="AM269" s="265" t="e">
        <f t="shared" si="288"/>
        <v>#N/A</v>
      </c>
      <c r="AN269" s="266" t="e">
        <f t="shared" si="256"/>
        <v>#N/A</v>
      </c>
      <c r="AO269" s="227" t="e">
        <f t="shared" si="257"/>
        <v>#N/A</v>
      </c>
      <c r="AP269" s="284">
        <f t="shared" si="289"/>
        <v>7</v>
      </c>
      <c r="AQ269" s="285" t="e">
        <f t="shared" si="258"/>
        <v>#N/A</v>
      </c>
      <c r="AR269" s="266" t="e">
        <f t="shared" si="290"/>
        <v>#N/A</v>
      </c>
      <c r="AS269" s="270" t="e">
        <f t="shared" si="259"/>
        <v>#N/A</v>
      </c>
      <c r="AT269" s="271">
        <f t="shared" si="291"/>
        <v>7</v>
      </c>
      <c r="AU269" s="272" t="e">
        <f t="shared" si="292"/>
        <v>#N/A</v>
      </c>
      <c r="AV269" s="273" t="e">
        <f t="shared" si="293"/>
        <v>#N/A</v>
      </c>
      <c r="AW269" s="274" t="e">
        <f t="shared" si="260"/>
        <v>#N/A</v>
      </c>
      <c r="AX269" s="232">
        <f t="shared" si="294"/>
        <v>7</v>
      </c>
      <c r="AY269" s="273" t="e">
        <f t="shared" si="261"/>
        <v>#N/A</v>
      </c>
      <c r="AZ269" s="232" t="e">
        <f t="shared" si="295"/>
        <v>#N/A</v>
      </c>
      <c r="BA269" s="232" t="e">
        <f t="shared" si="262"/>
        <v>#N/A</v>
      </c>
      <c r="BB269" s="275">
        <f t="shared" si="296"/>
        <v>7</v>
      </c>
      <c r="BC269" s="276" t="e">
        <f t="shared" si="297"/>
        <v>#N/A</v>
      </c>
      <c r="BD269" s="277" t="e">
        <f t="shared" si="298"/>
        <v>#N/A</v>
      </c>
      <c r="BE269" s="250" t="e">
        <f t="shared" si="263"/>
        <v>#N/A</v>
      </c>
      <c r="BF269" s="247">
        <f t="shared" si="299"/>
        <v>7</v>
      </c>
      <c r="BG269" s="276" t="e">
        <f t="shared" si="300"/>
        <v>#N/A</v>
      </c>
      <c r="BH269" s="277" t="e">
        <f t="shared" si="301"/>
        <v>#N/A</v>
      </c>
      <c r="BI269" s="250" t="e">
        <f t="shared" si="264"/>
        <v>#N/A</v>
      </c>
      <c r="BJ269" s="251">
        <f t="shared" si="302"/>
        <v>7</v>
      </c>
      <c r="BK269" s="278" t="e">
        <f t="shared" si="303"/>
        <v>#N/A</v>
      </c>
      <c r="BL269" s="278" t="e">
        <f t="shared" si="304"/>
        <v>#N/A</v>
      </c>
      <c r="BM269" s="279" t="e">
        <f t="shared" si="265"/>
        <v>#N/A</v>
      </c>
      <c r="BN269" s="280">
        <f t="shared" si="305"/>
        <v>7</v>
      </c>
      <c r="BO269" s="281" t="e">
        <f t="shared" si="306"/>
        <v>#N/A</v>
      </c>
      <c r="BP269" s="281" t="e">
        <f t="shared" si="307"/>
        <v>#N/A</v>
      </c>
      <c r="BQ269" s="279" t="e">
        <f t="shared" si="266"/>
        <v>#N/A</v>
      </c>
      <c r="BR269" s="282" t="e">
        <f t="shared" si="267"/>
        <v>#N/A</v>
      </c>
      <c r="BS269" s="217" t="e">
        <f>VLOOKUP($B269,SDR24_STOCK_BY_LA!$A$2:$C$11878,3,0)</f>
        <v>#N/A</v>
      </c>
      <c r="BT269" s="217" t="str">
        <f t="shared" si="308"/>
        <v/>
      </c>
    </row>
    <row r="270" spans="1:72" x14ac:dyDescent="0.2">
      <c r="A270" s="217" t="str">
        <f t="shared" si="309"/>
        <v/>
      </c>
      <c r="B270" s="217" t="str">
        <f t="shared" si="310"/>
        <v/>
      </c>
      <c r="C270" s="283" t="str">
        <f t="shared" si="268"/>
        <v/>
      </c>
      <c r="D270" s="256" t="str">
        <f>IF(B270="","",IF(totals!$Q$3=0,IFERROR(IF(AD270=2,"0",AE270),""),"-"))</f>
        <v/>
      </c>
      <c r="E270" s="258" t="str">
        <f t="shared" si="269"/>
        <v/>
      </c>
      <c r="F270" s="259" t="str">
        <f t="shared" si="270"/>
        <v/>
      </c>
      <c r="G270" s="259" t="str">
        <f t="shared" si="271"/>
        <v/>
      </c>
      <c r="H270" s="256" t="str">
        <f t="shared" si="249"/>
        <v/>
      </c>
      <c r="I270" s="259" t="str">
        <f t="shared" si="272"/>
        <v/>
      </c>
      <c r="J270" s="259" t="str">
        <f t="shared" si="273"/>
        <v/>
      </c>
      <c r="K270" s="256" t="str">
        <f t="shared" si="250"/>
        <v/>
      </c>
      <c r="L270" s="259" t="str">
        <f t="shared" si="251"/>
        <v/>
      </c>
      <c r="M270" s="259" t="str">
        <f t="shared" si="274"/>
        <v/>
      </c>
      <c r="N270" s="256" t="str">
        <f t="shared" si="275"/>
        <v/>
      </c>
      <c r="O270" s="259" t="str">
        <f t="shared" si="276"/>
        <v/>
      </c>
      <c r="P270" s="259" t="str">
        <f t="shared" si="277"/>
        <v/>
      </c>
      <c r="Q270" s="256" t="str">
        <f t="shared" si="278"/>
        <v/>
      </c>
      <c r="R270" s="259" t="str">
        <f t="shared" si="279"/>
        <v/>
      </c>
      <c r="S270" s="259" t="str">
        <f t="shared" si="280"/>
        <v/>
      </c>
      <c r="T270" s="256" t="str">
        <f t="shared" si="281"/>
        <v/>
      </c>
      <c r="U270" s="217"/>
      <c r="V270" s="217"/>
      <c r="AB270" s="217" t="e">
        <f>VLOOKUP($B$6,Lookup_Source,263,0)</f>
        <v>#N/A</v>
      </c>
      <c r="AC270" s="241" t="str">
        <f t="shared" si="282"/>
        <v/>
      </c>
      <c r="AD270" s="242">
        <f t="shared" si="283"/>
        <v>7</v>
      </c>
      <c r="AE270" s="261" t="e">
        <f t="shared" si="252"/>
        <v>#N/A</v>
      </c>
      <c r="AF270" s="264" t="e">
        <f t="shared" si="284"/>
        <v>#N/A</v>
      </c>
      <c r="AG270" s="264" t="e">
        <f t="shared" si="285"/>
        <v>#N/A</v>
      </c>
      <c r="AH270" s="263" t="e">
        <f t="shared" si="253"/>
        <v>#N/A</v>
      </c>
      <c r="AI270" s="226">
        <f t="shared" si="286"/>
        <v>7</v>
      </c>
      <c r="AJ270" s="264" t="e">
        <f t="shared" si="254"/>
        <v>#N/A</v>
      </c>
      <c r="AK270" s="264" t="e">
        <f t="shared" si="287"/>
        <v>#N/A</v>
      </c>
      <c r="AL270" s="226" t="e">
        <f t="shared" si="255"/>
        <v>#N/A</v>
      </c>
      <c r="AM270" s="265" t="e">
        <f t="shared" si="288"/>
        <v>#N/A</v>
      </c>
      <c r="AN270" s="266" t="e">
        <f t="shared" si="256"/>
        <v>#N/A</v>
      </c>
      <c r="AO270" s="227" t="e">
        <f t="shared" si="257"/>
        <v>#N/A</v>
      </c>
      <c r="AP270" s="284">
        <f t="shared" si="289"/>
        <v>7</v>
      </c>
      <c r="AQ270" s="285" t="e">
        <f t="shared" si="258"/>
        <v>#N/A</v>
      </c>
      <c r="AR270" s="266" t="e">
        <f t="shared" si="290"/>
        <v>#N/A</v>
      </c>
      <c r="AS270" s="270" t="e">
        <f t="shared" si="259"/>
        <v>#N/A</v>
      </c>
      <c r="AT270" s="271">
        <f t="shared" si="291"/>
        <v>7</v>
      </c>
      <c r="AU270" s="272" t="e">
        <f t="shared" si="292"/>
        <v>#N/A</v>
      </c>
      <c r="AV270" s="273" t="e">
        <f t="shared" si="293"/>
        <v>#N/A</v>
      </c>
      <c r="AW270" s="274" t="e">
        <f t="shared" si="260"/>
        <v>#N/A</v>
      </c>
      <c r="AX270" s="232">
        <f t="shared" si="294"/>
        <v>7</v>
      </c>
      <c r="AY270" s="273" t="e">
        <f t="shared" si="261"/>
        <v>#N/A</v>
      </c>
      <c r="AZ270" s="232" t="e">
        <f t="shared" si="295"/>
        <v>#N/A</v>
      </c>
      <c r="BA270" s="232" t="e">
        <f t="shared" si="262"/>
        <v>#N/A</v>
      </c>
      <c r="BB270" s="275">
        <f t="shared" si="296"/>
        <v>7</v>
      </c>
      <c r="BC270" s="276" t="e">
        <f t="shared" si="297"/>
        <v>#N/A</v>
      </c>
      <c r="BD270" s="277" t="e">
        <f t="shared" si="298"/>
        <v>#N/A</v>
      </c>
      <c r="BE270" s="250" t="e">
        <f t="shared" si="263"/>
        <v>#N/A</v>
      </c>
      <c r="BF270" s="247">
        <f t="shared" si="299"/>
        <v>7</v>
      </c>
      <c r="BG270" s="276" t="e">
        <f t="shared" si="300"/>
        <v>#N/A</v>
      </c>
      <c r="BH270" s="277" t="e">
        <f t="shared" si="301"/>
        <v>#N/A</v>
      </c>
      <c r="BI270" s="250" t="e">
        <f t="shared" si="264"/>
        <v>#N/A</v>
      </c>
      <c r="BJ270" s="251">
        <f t="shared" si="302"/>
        <v>7</v>
      </c>
      <c r="BK270" s="278" t="e">
        <f t="shared" si="303"/>
        <v>#N/A</v>
      </c>
      <c r="BL270" s="278" t="e">
        <f t="shared" si="304"/>
        <v>#N/A</v>
      </c>
      <c r="BM270" s="279" t="e">
        <f t="shared" si="265"/>
        <v>#N/A</v>
      </c>
      <c r="BN270" s="280">
        <f t="shared" si="305"/>
        <v>7</v>
      </c>
      <c r="BO270" s="281" t="e">
        <f t="shared" si="306"/>
        <v>#N/A</v>
      </c>
      <c r="BP270" s="281" t="e">
        <f t="shared" si="307"/>
        <v>#N/A</v>
      </c>
      <c r="BQ270" s="279" t="e">
        <f t="shared" si="266"/>
        <v>#N/A</v>
      </c>
      <c r="BR270" s="282" t="e">
        <f t="shared" si="267"/>
        <v>#N/A</v>
      </c>
      <c r="BS270" s="217" t="e">
        <f>VLOOKUP($B270,SDR24_STOCK_BY_LA!$A$2:$C$11878,3,0)</f>
        <v>#N/A</v>
      </c>
      <c r="BT270" s="217" t="str">
        <f t="shared" si="308"/>
        <v/>
      </c>
    </row>
    <row r="271" spans="1:72" x14ac:dyDescent="0.2">
      <c r="A271" s="256" t="str">
        <f t="shared" si="309"/>
        <v/>
      </c>
      <c r="B271" s="217" t="str">
        <f t="shared" si="310"/>
        <v/>
      </c>
      <c r="C271" s="257" t="str">
        <f t="shared" si="268"/>
        <v/>
      </c>
      <c r="D271" s="256" t="str">
        <f>IF(B271="","",IF(totals!$Q$3=0,IFERROR(IF(AD271=2,"0",AE271),""),"-"))</f>
        <v/>
      </c>
      <c r="E271" s="258" t="str">
        <f t="shared" si="269"/>
        <v/>
      </c>
      <c r="F271" s="259" t="str">
        <f t="shared" si="270"/>
        <v/>
      </c>
      <c r="G271" s="259" t="str">
        <f t="shared" si="271"/>
        <v/>
      </c>
      <c r="H271" s="256" t="str">
        <f t="shared" si="249"/>
        <v/>
      </c>
      <c r="I271" s="259" t="str">
        <f t="shared" si="272"/>
        <v/>
      </c>
      <c r="J271" s="259" t="str">
        <f t="shared" si="273"/>
        <v/>
      </c>
      <c r="K271" s="256" t="str">
        <f t="shared" si="250"/>
        <v/>
      </c>
      <c r="L271" s="259" t="str">
        <f t="shared" si="251"/>
        <v/>
      </c>
      <c r="M271" s="259" t="str">
        <f t="shared" si="274"/>
        <v/>
      </c>
      <c r="N271" s="256" t="str">
        <f t="shared" si="275"/>
        <v/>
      </c>
      <c r="O271" s="259" t="str">
        <f t="shared" si="276"/>
        <v/>
      </c>
      <c r="P271" s="259" t="str">
        <f t="shared" si="277"/>
        <v/>
      </c>
      <c r="Q271" s="256" t="str">
        <f t="shared" si="278"/>
        <v/>
      </c>
      <c r="R271" s="259" t="str">
        <f t="shared" si="279"/>
        <v/>
      </c>
      <c r="S271" s="259" t="str">
        <f t="shared" si="280"/>
        <v/>
      </c>
      <c r="T271" s="256" t="str">
        <f t="shared" si="281"/>
        <v/>
      </c>
      <c r="U271" s="217"/>
      <c r="V271" s="217"/>
      <c r="AB271" s="257" t="e">
        <f>VLOOKUP($B$6,Lookup_Source,264,0)</f>
        <v>#N/A</v>
      </c>
      <c r="AC271" s="241" t="str">
        <f t="shared" si="282"/>
        <v/>
      </c>
      <c r="AD271" s="242">
        <f t="shared" si="283"/>
        <v>7</v>
      </c>
      <c r="AE271" s="261" t="e">
        <f t="shared" si="252"/>
        <v>#N/A</v>
      </c>
      <c r="AF271" s="264" t="e">
        <f t="shared" si="284"/>
        <v>#N/A</v>
      </c>
      <c r="AG271" s="264" t="e">
        <f t="shared" si="285"/>
        <v>#N/A</v>
      </c>
      <c r="AH271" s="263" t="e">
        <f t="shared" si="253"/>
        <v>#N/A</v>
      </c>
      <c r="AI271" s="226">
        <f t="shared" si="286"/>
        <v>7</v>
      </c>
      <c r="AJ271" s="264" t="e">
        <f t="shared" si="254"/>
        <v>#N/A</v>
      </c>
      <c r="AK271" s="264" t="e">
        <f t="shared" si="287"/>
        <v>#N/A</v>
      </c>
      <c r="AL271" s="226" t="e">
        <f t="shared" si="255"/>
        <v>#N/A</v>
      </c>
      <c r="AM271" s="265" t="e">
        <f t="shared" si="288"/>
        <v>#N/A</v>
      </c>
      <c r="AN271" s="266" t="e">
        <f t="shared" si="256"/>
        <v>#N/A</v>
      </c>
      <c r="AO271" s="227" t="e">
        <f t="shared" si="257"/>
        <v>#N/A</v>
      </c>
      <c r="AP271" s="284">
        <f t="shared" si="289"/>
        <v>7</v>
      </c>
      <c r="AQ271" s="285" t="e">
        <f t="shared" si="258"/>
        <v>#N/A</v>
      </c>
      <c r="AR271" s="266" t="e">
        <f t="shared" si="290"/>
        <v>#N/A</v>
      </c>
      <c r="AS271" s="270" t="e">
        <f t="shared" si="259"/>
        <v>#N/A</v>
      </c>
      <c r="AT271" s="271">
        <f t="shared" si="291"/>
        <v>7</v>
      </c>
      <c r="AU271" s="272" t="e">
        <f t="shared" si="292"/>
        <v>#N/A</v>
      </c>
      <c r="AV271" s="273" t="e">
        <f t="shared" si="293"/>
        <v>#N/A</v>
      </c>
      <c r="AW271" s="274" t="e">
        <f t="shared" si="260"/>
        <v>#N/A</v>
      </c>
      <c r="AX271" s="232">
        <f t="shared" si="294"/>
        <v>7</v>
      </c>
      <c r="AY271" s="273" t="e">
        <f t="shared" si="261"/>
        <v>#N/A</v>
      </c>
      <c r="AZ271" s="232" t="e">
        <f t="shared" si="295"/>
        <v>#N/A</v>
      </c>
      <c r="BA271" s="232" t="e">
        <f t="shared" si="262"/>
        <v>#N/A</v>
      </c>
      <c r="BB271" s="275">
        <f t="shared" si="296"/>
        <v>7</v>
      </c>
      <c r="BC271" s="276" t="e">
        <f t="shared" si="297"/>
        <v>#N/A</v>
      </c>
      <c r="BD271" s="277" t="e">
        <f t="shared" si="298"/>
        <v>#N/A</v>
      </c>
      <c r="BE271" s="250" t="e">
        <f t="shared" si="263"/>
        <v>#N/A</v>
      </c>
      <c r="BF271" s="247">
        <f t="shared" si="299"/>
        <v>7</v>
      </c>
      <c r="BG271" s="276" t="e">
        <f t="shared" si="300"/>
        <v>#N/A</v>
      </c>
      <c r="BH271" s="277" t="e">
        <f t="shared" si="301"/>
        <v>#N/A</v>
      </c>
      <c r="BI271" s="250" t="e">
        <f t="shared" si="264"/>
        <v>#N/A</v>
      </c>
      <c r="BJ271" s="251">
        <f t="shared" si="302"/>
        <v>7</v>
      </c>
      <c r="BK271" s="278" t="e">
        <f t="shared" si="303"/>
        <v>#N/A</v>
      </c>
      <c r="BL271" s="278" t="e">
        <f t="shared" si="304"/>
        <v>#N/A</v>
      </c>
      <c r="BM271" s="279" t="e">
        <f t="shared" si="265"/>
        <v>#N/A</v>
      </c>
      <c r="BN271" s="280">
        <f t="shared" si="305"/>
        <v>7</v>
      </c>
      <c r="BO271" s="281" t="e">
        <f t="shared" si="306"/>
        <v>#N/A</v>
      </c>
      <c r="BP271" s="281" t="e">
        <f t="shared" si="307"/>
        <v>#N/A</v>
      </c>
      <c r="BQ271" s="279" t="e">
        <f t="shared" si="266"/>
        <v>#N/A</v>
      </c>
      <c r="BR271" s="282" t="e">
        <f t="shared" si="267"/>
        <v>#N/A</v>
      </c>
      <c r="BS271" s="217" t="e">
        <f>VLOOKUP($B271,SDR24_STOCK_BY_LA!$A$2:$C$11878,3,0)</f>
        <v>#N/A</v>
      </c>
      <c r="BT271" s="217" t="str">
        <f t="shared" si="308"/>
        <v/>
      </c>
    </row>
    <row r="272" spans="1:72" x14ac:dyDescent="0.2">
      <c r="A272" s="217" t="str">
        <f t="shared" si="309"/>
        <v/>
      </c>
      <c r="B272" s="217" t="str">
        <f t="shared" si="310"/>
        <v/>
      </c>
      <c r="C272" s="283" t="str">
        <f t="shared" si="268"/>
        <v/>
      </c>
      <c r="D272" s="256" t="str">
        <f>IF(B272="","",IF(totals!$Q$3=0,IFERROR(IF(AD272=2,"0",AE272),""),"-"))</f>
        <v/>
      </c>
      <c r="E272" s="258" t="str">
        <f t="shared" si="269"/>
        <v/>
      </c>
      <c r="F272" s="259" t="str">
        <f t="shared" si="270"/>
        <v/>
      </c>
      <c r="G272" s="259" t="str">
        <f t="shared" si="271"/>
        <v/>
      </c>
      <c r="H272" s="256" t="str">
        <f t="shared" si="249"/>
        <v/>
      </c>
      <c r="I272" s="259" t="str">
        <f t="shared" si="272"/>
        <v/>
      </c>
      <c r="J272" s="259" t="str">
        <f t="shared" si="273"/>
        <v/>
      </c>
      <c r="K272" s="256" t="str">
        <f t="shared" si="250"/>
        <v/>
      </c>
      <c r="L272" s="259" t="str">
        <f t="shared" si="251"/>
        <v/>
      </c>
      <c r="M272" s="259" t="str">
        <f t="shared" si="274"/>
        <v/>
      </c>
      <c r="N272" s="256" t="str">
        <f t="shared" si="275"/>
        <v/>
      </c>
      <c r="O272" s="259" t="str">
        <f t="shared" si="276"/>
        <v/>
      </c>
      <c r="P272" s="259" t="str">
        <f t="shared" si="277"/>
        <v/>
      </c>
      <c r="Q272" s="256" t="str">
        <f t="shared" si="278"/>
        <v/>
      </c>
      <c r="R272" s="259" t="str">
        <f t="shared" si="279"/>
        <v/>
      </c>
      <c r="S272" s="259" t="str">
        <f t="shared" si="280"/>
        <v/>
      </c>
      <c r="T272" s="256" t="str">
        <f t="shared" si="281"/>
        <v/>
      </c>
      <c r="U272" s="217"/>
      <c r="V272" s="217"/>
      <c r="AB272" s="217" t="e">
        <f>VLOOKUP($B$6,Lookup_Source,265,0)</f>
        <v>#N/A</v>
      </c>
      <c r="AC272" s="241" t="str">
        <f t="shared" si="282"/>
        <v/>
      </c>
      <c r="AD272" s="242">
        <f t="shared" si="283"/>
        <v>7</v>
      </c>
      <c r="AE272" s="261" t="e">
        <f t="shared" si="252"/>
        <v>#N/A</v>
      </c>
      <c r="AF272" s="264" t="e">
        <f t="shared" si="284"/>
        <v>#N/A</v>
      </c>
      <c r="AG272" s="264" t="e">
        <f t="shared" si="285"/>
        <v>#N/A</v>
      </c>
      <c r="AH272" s="263" t="e">
        <f t="shared" si="253"/>
        <v>#N/A</v>
      </c>
      <c r="AI272" s="226">
        <f t="shared" si="286"/>
        <v>7</v>
      </c>
      <c r="AJ272" s="264" t="e">
        <f t="shared" si="254"/>
        <v>#N/A</v>
      </c>
      <c r="AK272" s="264" t="e">
        <f t="shared" si="287"/>
        <v>#N/A</v>
      </c>
      <c r="AL272" s="226" t="e">
        <f t="shared" si="255"/>
        <v>#N/A</v>
      </c>
      <c r="AM272" s="265" t="e">
        <f t="shared" si="288"/>
        <v>#N/A</v>
      </c>
      <c r="AN272" s="266" t="e">
        <f t="shared" si="256"/>
        <v>#N/A</v>
      </c>
      <c r="AO272" s="227" t="e">
        <f t="shared" si="257"/>
        <v>#N/A</v>
      </c>
      <c r="AP272" s="284">
        <f t="shared" si="289"/>
        <v>7</v>
      </c>
      <c r="AQ272" s="285" t="e">
        <f t="shared" si="258"/>
        <v>#N/A</v>
      </c>
      <c r="AR272" s="266" t="e">
        <f t="shared" si="290"/>
        <v>#N/A</v>
      </c>
      <c r="AS272" s="270" t="e">
        <f t="shared" si="259"/>
        <v>#N/A</v>
      </c>
      <c r="AT272" s="271">
        <f t="shared" si="291"/>
        <v>7</v>
      </c>
      <c r="AU272" s="272" t="e">
        <f t="shared" si="292"/>
        <v>#N/A</v>
      </c>
      <c r="AV272" s="273" t="e">
        <f t="shared" si="293"/>
        <v>#N/A</v>
      </c>
      <c r="AW272" s="274" t="e">
        <f t="shared" si="260"/>
        <v>#N/A</v>
      </c>
      <c r="AX272" s="232">
        <f t="shared" si="294"/>
        <v>7</v>
      </c>
      <c r="AY272" s="273" t="e">
        <f t="shared" si="261"/>
        <v>#N/A</v>
      </c>
      <c r="AZ272" s="232" t="e">
        <f t="shared" si="295"/>
        <v>#N/A</v>
      </c>
      <c r="BA272" s="232" t="e">
        <f t="shared" si="262"/>
        <v>#N/A</v>
      </c>
      <c r="BB272" s="275">
        <f t="shared" si="296"/>
        <v>7</v>
      </c>
      <c r="BC272" s="276" t="e">
        <f t="shared" si="297"/>
        <v>#N/A</v>
      </c>
      <c r="BD272" s="277" t="e">
        <f t="shared" si="298"/>
        <v>#N/A</v>
      </c>
      <c r="BE272" s="250" t="e">
        <f t="shared" si="263"/>
        <v>#N/A</v>
      </c>
      <c r="BF272" s="247">
        <f t="shared" si="299"/>
        <v>7</v>
      </c>
      <c r="BG272" s="276" t="e">
        <f t="shared" si="300"/>
        <v>#N/A</v>
      </c>
      <c r="BH272" s="277" t="e">
        <f t="shared" si="301"/>
        <v>#N/A</v>
      </c>
      <c r="BI272" s="250" t="e">
        <f t="shared" si="264"/>
        <v>#N/A</v>
      </c>
      <c r="BJ272" s="251">
        <f t="shared" si="302"/>
        <v>7</v>
      </c>
      <c r="BK272" s="278" t="e">
        <f t="shared" si="303"/>
        <v>#N/A</v>
      </c>
      <c r="BL272" s="278" t="e">
        <f t="shared" si="304"/>
        <v>#N/A</v>
      </c>
      <c r="BM272" s="279" t="e">
        <f t="shared" si="265"/>
        <v>#N/A</v>
      </c>
      <c r="BN272" s="280">
        <f t="shared" si="305"/>
        <v>7</v>
      </c>
      <c r="BO272" s="281" t="e">
        <f t="shared" si="306"/>
        <v>#N/A</v>
      </c>
      <c r="BP272" s="281" t="e">
        <f t="shared" si="307"/>
        <v>#N/A</v>
      </c>
      <c r="BQ272" s="279" t="e">
        <f t="shared" si="266"/>
        <v>#N/A</v>
      </c>
      <c r="BR272" s="282" t="e">
        <f t="shared" si="267"/>
        <v>#N/A</v>
      </c>
      <c r="BS272" s="217" t="e">
        <f>VLOOKUP($B272,SDR24_STOCK_BY_LA!$A$2:$C$11878,3,0)</f>
        <v>#N/A</v>
      </c>
      <c r="BT272" s="217" t="str">
        <f t="shared" si="308"/>
        <v/>
      </c>
    </row>
    <row r="273" spans="1:72" x14ac:dyDescent="0.2">
      <c r="A273" s="256" t="str">
        <f t="shared" si="309"/>
        <v/>
      </c>
      <c r="B273" s="217" t="str">
        <f t="shared" si="310"/>
        <v/>
      </c>
      <c r="C273" s="257" t="str">
        <f t="shared" si="268"/>
        <v/>
      </c>
      <c r="D273" s="256" t="str">
        <f>IF(B273="","",IF(totals!$Q$3=0,IFERROR(IF(AD273=2,"0",AE273),""),"-"))</f>
        <v/>
      </c>
      <c r="E273" s="258" t="str">
        <f t="shared" si="269"/>
        <v/>
      </c>
      <c r="F273" s="259" t="str">
        <f t="shared" si="270"/>
        <v/>
      </c>
      <c r="G273" s="259" t="str">
        <f t="shared" si="271"/>
        <v/>
      </c>
      <c r="H273" s="256" t="str">
        <f t="shared" si="249"/>
        <v/>
      </c>
      <c r="I273" s="259" t="str">
        <f t="shared" si="272"/>
        <v/>
      </c>
      <c r="J273" s="259" t="str">
        <f t="shared" si="273"/>
        <v/>
      </c>
      <c r="K273" s="256" t="str">
        <f t="shared" si="250"/>
        <v/>
      </c>
      <c r="L273" s="259" t="str">
        <f t="shared" si="251"/>
        <v/>
      </c>
      <c r="M273" s="259" t="str">
        <f t="shared" si="274"/>
        <v/>
      </c>
      <c r="N273" s="256" t="str">
        <f t="shared" si="275"/>
        <v/>
      </c>
      <c r="O273" s="259" t="str">
        <f t="shared" si="276"/>
        <v/>
      </c>
      <c r="P273" s="259" t="str">
        <f t="shared" si="277"/>
        <v/>
      </c>
      <c r="Q273" s="256" t="str">
        <f t="shared" si="278"/>
        <v/>
      </c>
      <c r="R273" s="259" t="str">
        <f t="shared" si="279"/>
        <v/>
      </c>
      <c r="S273" s="259" t="str">
        <f t="shared" si="280"/>
        <v/>
      </c>
      <c r="T273" s="256" t="str">
        <f t="shared" si="281"/>
        <v/>
      </c>
      <c r="U273" s="217"/>
      <c r="V273" s="217"/>
      <c r="AB273" s="257" t="e">
        <f>VLOOKUP($B$6,Lookup_Source,266,0)</f>
        <v>#N/A</v>
      </c>
      <c r="AC273" s="241" t="str">
        <f t="shared" si="282"/>
        <v/>
      </c>
      <c r="AD273" s="242">
        <f t="shared" si="283"/>
        <v>7</v>
      </c>
      <c r="AE273" s="261" t="e">
        <f t="shared" si="252"/>
        <v>#N/A</v>
      </c>
      <c r="AF273" s="264" t="e">
        <f t="shared" si="284"/>
        <v>#N/A</v>
      </c>
      <c r="AG273" s="264" t="e">
        <f t="shared" si="285"/>
        <v>#N/A</v>
      </c>
      <c r="AH273" s="263" t="e">
        <f t="shared" si="253"/>
        <v>#N/A</v>
      </c>
      <c r="AI273" s="226">
        <f t="shared" si="286"/>
        <v>7</v>
      </c>
      <c r="AJ273" s="264" t="e">
        <f t="shared" si="254"/>
        <v>#N/A</v>
      </c>
      <c r="AK273" s="264" t="e">
        <f t="shared" si="287"/>
        <v>#N/A</v>
      </c>
      <c r="AL273" s="226" t="e">
        <f t="shared" si="255"/>
        <v>#N/A</v>
      </c>
      <c r="AM273" s="265" t="e">
        <f t="shared" si="288"/>
        <v>#N/A</v>
      </c>
      <c r="AN273" s="266" t="e">
        <f t="shared" si="256"/>
        <v>#N/A</v>
      </c>
      <c r="AO273" s="227" t="e">
        <f t="shared" si="257"/>
        <v>#N/A</v>
      </c>
      <c r="AP273" s="284">
        <f t="shared" si="289"/>
        <v>7</v>
      </c>
      <c r="AQ273" s="285" t="e">
        <f t="shared" si="258"/>
        <v>#N/A</v>
      </c>
      <c r="AR273" s="266" t="e">
        <f t="shared" si="290"/>
        <v>#N/A</v>
      </c>
      <c r="AS273" s="270" t="e">
        <f t="shared" si="259"/>
        <v>#N/A</v>
      </c>
      <c r="AT273" s="271">
        <f t="shared" si="291"/>
        <v>7</v>
      </c>
      <c r="AU273" s="272" t="e">
        <f t="shared" si="292"/>
        <v>#N/A</v>
      </c>
      <c r="AV273" s="273" t="e">
        <f t="shared" si="293"/>
        <v>#N/A</v>
      </c>
      <c r="AW273" s="274" t="e">
        <f t="shared" si="260"/>
        <v>#N/A</v>
      </c>
      <c r="AX273" s="232">
        <f t="shared" si="294"/>
        <v>7</v>
      </c>
      <c r="AY273" s="273" t="e">
        <f t="shared" si="261"/>
        <v>#N/A</v>
      </c>
      <c r="AZ273" s="232" t="e">
        <f t="shared" si="295"/>
        <v>#N/A</v>
      </c>
      <c r="BA273" s="232" t="e">
        <f t="shared" si="262"/>
        <v>#N/A</v>
      </c>
      <c r="BB273" s="275">
        <f t="shared" si="296"/>
        <v>7</v>
      </c>
      <c r="BC273" s="276" t="e">
        <f t="shared" si="297"/>
        <v>#N/A</v>
      </c>
      <c r="BD273" s="277" t="e">
        <f t="shared" si="298"/>
        <v>#N/A</v>
      </c>
      <c r="BE273" s="250" t="e">
        <f t="shared" si="263"/>
        <v>#N/A</v>
      </c>
      <c r="BF273" s="247">
        <f t="shared" si="299"/>
        <v>7</v>
      </c>
      <c r="BG273" s="276" t="e">
        <f t="shared" si="300"/>
        <v>#N/A</v>
      </c>
      <c r="BH273" s="277" t="e">
        <f t="shared" si="301"/>
        <v>#N/A</v>
      </c>
      <c r="BI273" s="250" t="e">
        <f t="shared" si="264"/>
        <v>#N/A</v>
      </c>
      <c r="BJ273" s="251">
        <f t="shared" si="302"/>
        <v>7</v>
      </c>
      <c r="BK273" s="278" t="e">
        <f t="shared" si="303"/>
        <v>#N/A</v>
      </c>
      <c r="BL273" s="278" t="e">
        <f t="shared" si="304"/>
        <v>#N/A</v>
      </c>
      <c r="BM273" s="279" t="e">
        <f t="shared" si="265"/>
        <v>#N/A</v>
      </c>
      <c r="BN273" s="280">
        <f t="shared" si="305"/>
        <v>7</v>
      </c>
      <c r="BO273" s="281" t="e">
        <f t="shared" si="306"/>
        <v>#N/A</v>
      </c>
      <c r="BP273" s="281" t="e">
        <f t="shared" si="307"/>
        <v>#N/A</v>
      </c>
      <c r="BQ273" s="279" t="e">
        <f t="shared" si="266"/>
        <v>#N/A</v>
      </c>
      <c r="BR273" s="282" t="e">
        <f t="shared" si="267"/>
        <v>#N/A</v>
      </c>
      <c r="BS273" s="217" t="e">
        <f>VLOOKUP($B273,SDR24_STOCK_BY_LA!$A$2:$C$11878,3,0)</f>
        <v>#N/A</v>
      </c>
      <c r="BT273" s="217" t="str">
        <f t="shared" si="308"/>
        <v/>
      </c>
    </row>
    <row r="274" spans="1:72" x14ac:dyDescent="0.2">
      <c r="A274" s="217" t="str">
        <f t="shared" si="309"/>
        <v/>
      </c>
      <c r="B274" s="217" t="str">
        <f t="shared" si="310"/>
        <v/>
      </c>
      <c r="C274" s="283" t="str">
        <f t="shared" si="268"/>
        <v/>
      </c>
      <c r="D274" s="256" t="str">
        <f>IF(B274="","",IF(totals!$Q$3=0,IFERROR(IF(AD274=2,"0",AE274),""),"-"))</f>
        <v/>
      </c>
      <c r="E274" s="258" t="str">
        <f t="shared" si="269"/>
        <v/>
      </c>
      <c r="F274" s="259" t="str">
        <f t="shared" si="270"/>
        <v/>
      </c>
      <c r="G274" s="259" t="str">
        <f t="shared" si="271"/>
        <v/>
      </c>
      <c r="H274" s="256" t="str">
        <f t="shared" si="249"/>
        <v/>
      </c>
      <c r="I274" s="259" t="str">
        <f t="shared" si="272"/>
        <v/>
      </c>
      <c r="J274" s="259" t="str">
        <f t="shared" si="273"/>
        <v/>
      </c>
      <c r="K274" s="256" t="str">
        <f t="shared" si="250"/>
        <v/>
      </c>
      <c r="L274" s="259" t="str">
        <f t="shared" si="251"/>
        <v/>
      </c>
      <c r="M274" s="259" t="str">
        <f t="shared" si="274"/>
        <v/>
      </c>
      <c r="N274" s="256" t="str">
        <f t="shared" si="275"/>
        <v/>
      </c>
      <c r="O274" s="259" t="str">
        <f t="shared" si="276"/>
        <v/>
      </c>
      <c r="P274" s="259" t="str">
        <f t="shared" si="277"/>
        <v/>
      </c>
      <c r="Q274" s="256" t="str">
        <f t="shared" si="278"/>
        <v/>
      </c>
      <c r="R274" s="259" t="str">
        <f t="shared" si="279"/>
        <v/>
      </c>
      <c r="S274" s="259" t="str">
        <f t="shared" si="280"/>
        <v/>
      </c>
      <c r="T274" s="256" t="str">
        <f t="shared" si="281"/>
        <v/>
      </c>
      <c r="U274" s="217"/>
      <c r="V274" s="217"/>
      <c r="AB274" s="217" t="e">
        <f>VLOOKUP($B$6,Lookup_Source,267,0)</f>
        <v>#N/A</v>
      </c>
      <c r="AC274" s="241" t="str">
        <f t="shared" si="282"/>
        <v/>
      </c>
      <c r="AD274" s="242">
        <f t="shared" si="283"/>
        <v>7</v>
      </c>
      <c r="AE274" s="261" t="e">
        <f t="shared" si="252"/>
        <v>#N/A</v>
      </c>
      <c r="AF274" s="264" t="e">
        <f t="shared" si="284"/>
        <v>#N/A</v>
      </c>
      <c r="AG274" s="264" t="e">
        <f t="shared" si="285"/>
        <v>#N/A</v>
      </c>
      <c r="AH274" s="263" t="e">
        <f t="shared" si="253"/>
        <v>#N/A</v>
      </c>
      <c r="AI274" s="226">
        <f t="shared" si="286"/>
        <v>7</v>
      </c>
      <c r="AJ274" s="264" t="e">
        <f t="shared" si="254"/>
        <v>#N/A</v>
      </c>
      <c r="AK274" s="264" t="e">
        <f t="shared" si="287"/>
        <v>#N/A</v>
      </c>
      <c r="AL274" s="226" t="e">
        <f t="shared" si="255"/>
        <v>#N/A</v>
      </c>
      <c r="AM274" s="265" t="e">
        <f t="shared" si="288"/>
        <v>#N/A</v>
      </c>
      <c r="AN274" s="266" t="e">
        <f t="shared" si="256"/>
        <v>#N/A</v>
      </c>
      <c r="AO274" s="227" t="e">
        <f t="shared" si="257"/>
        <v>#N/A</v>
      </c>
      <c r="AP274" s="284">
        <f t="shared" si="289"/>
        <v>7</v>
      </c>
      <c r="AQ274" s="285" t="e">
        <f t="shared" si="258"/>
        <v>#N/A</v>
      </c>
      <c r="AR274" s="266" t="e">
        <f t="shared" si="290"/>
        <v>#N/A</v>
      </c>
      <c r="AS274" s="270" t="e">
        <f t="shared" si="259"/>
        <v>#N/A</v>
      </c>
      <c r="AT274" s="271">
        <f t="shared" si="291"/>
        <v>7</v>
      </c>
      <c r="AU274" s="272" t="e">
        <f t="shared" si="292"/>
        <v>#N/A</v>
      </c>
      <c r="AV274" s="273" t="e">
        <f t="shared" si="293"/>
        <v>#N/A</v>
      </c>
      <c r="AW274" s="274" t="e">
        <f t="shared" si="260"/>
        <v>#N/A</v>
      </c>
      <c r="AX274" s="232">
        <f t="shared" si="294"/>
        <v>7</v>
      </c>
      <c r="AY274" s="273" t="e">
        <f t="shared" si="261"/>
        <v>#N/A</v>
      </c>
      <c r="AZ274" s="232" t="e">
        <f t="shared" si="295"/>
        <v>#N/A</v>
      </c>
      <c r="BA274" s="232" t="e">
        <f t="shared" si="262"/>
        <v>#N/A</v>
      </c>
      <c r="BB274" s="275">
        <f t="shared" si="296"/>
        <v>7</v>
      </c>
      <c r="BC274" s="276" t="e">
        <f t="shared" si="297"/>
        <v>#N/A</v>
      </c>
      <c r="BD274" s="277" t="e">
        <f t="shared" si="298"/>
        <v>#N/A</v>
      </c>
      <c r="BE274" s="250" t="e">
        <f t="shared" si="263"/>
        <v>#N/A</v>
      </c>
      <c r="BF274" s="247">
        <f t="shared" si="299"/>
        <v>7</v>
      </c>
      <c r="BG274" s="276" t="e">
        <f t="shared" si="300"/>
        <v>#N/A</v>
      </c>
      <c r="BH274" s="277" t="e">
        <f t="shared" si="301"/>
        <v>#N/A</v>
      </c>
      <c r="BI274" s="250" t="e">
        <f t="shared" si="264"/>
        <v>#N/A</v>
      </c>
      <c r="BJ274" s="251">
        <f t="shared" si="302"/>
        <v>7</v>
      </c>
      <c r="BK274" s="278" t="e">
        <f t="shared" si="303"/>
        <v>#N/A</v>
      </c>
      <c r="BL274" s="278" t="e">
        <f t="shared" si="304"/>
        <v>#N/A</v>
      </c>
      <c r="BM274" s="279" t="e">
        <f t="shared" si="265"/>
        <v>#N/A</v>
      </c>
      <c r="BN274" s="280">
        <f t="shared" si="305"/>
        <v>7</v>
      </c>
      <c r="BO274" s="281" t="e">
        <f t="shared" si="306"/>
        <v>#N/A</v>
      </c>
      <c r="BP274" s="281" t="e">
        <f t="shared" si="307"/>
        <v>#N/A</v>
      </c>
      <c r="BQ274" s="279" t="e">
        <f t="shared" si="266"/>
        <v>#N/A</v>
      </c>
      <c r="BR274" s="282" t="e">
        <f t="shared" si="267"/>
        <v>#N/A</v>
      </c>
      <c r="BS274" s="217" t="e">
        <f>VLOOKUP($B274,SDR24_STOCK_BY_LA!$A$2:$C$11878,3,0)</f>
        <v>#N/A</v>
      </c>
      <c r="BT274" s="217" t="str">
        <f t="shared" si="308"/>
        <v/>
      </c>
    </row>
    <row r="275" spans="1:72" x14ac:dyDescent="0.2">
      <c r="A275" s="256" t="str">
        <f t="shared" si="309"/>
        <v/>
      </c>
      <c r="B275" s="217" t="str">
        <f t="shared" si="310"/>
        <v/>
      </c>
      <c r="C275" s="257" t="str">
        <f t="shared" si="268"/>
        <v/>
      </c>
      <c r="D275" s="256" t="str">
        <f>IF(B275="","",IF(totals!$Q$3=0,IFERROR(IF(AD275=2,"0",AE275),""),"-"))</f>
        <v/>
      </c>
      <c r="E275" s="258" t="str">
        <f t="shared" si="269"/>
        <v/>
      </c>
      <c r="F275" s="259" t="str">
        <f t="shared" si="270"/>
        <v/>
      </c>
      <c r="G275" s="259" t="str">
        <f t="shared" si="271"/>
        <v/>
      </c>
      <c r="H275" s="256" t="str">
        <f t="shared" si="249"/>
        <v/>
      </c>
      <c r="I275" s="259" t="str">
        <f t="shared" si="272"/>
        <v/>
      </c>
      <c r="J275" s="259" t="str">
        <f t="shared" si="273"/>
        <v/>
      </c>
      <c r="K275" s="256" t="str">
        <f t="shared" si="250"/>
        <v/>
      </c>
      <c r="L275" s="259" t="str">
        <f t="shared" si="251"/>
        <v/>
      </c>
      <c r="M275" s="259" t="str">
        <f t="shared" si="274"/>
        <v/>
      </c>
      <c r="N275" s="256" t="str">
        <f t="shared" si="275"/>
        <v/>
      </c>
      <c r="O275" s="259" t="str">
        <f t="shared" si="276"/>
        <v/>
      </c>
      <c r="P275" s="259" t="str">
        <f t="shared" si="277"/>
        <v/>
      </c>
      <c r="Q275" s="256" t="str">
        <f t="shared" si="278"/>
        <v/>
      </c>
      <c r="R275" s="259" t="str">
        <f t="shared" si="279"/>
        <v/>
      </c>
      <c r="S275" s="259" t="str">
        <f t="shared" si="280"/>
        <v/>
      </c>
      <c r="T275" s="256" t="str">
        <f t="shared" si="281"/>
        <v/>
      </c>
      <c r="U275" s="217"/>
      <c r="V275" s="217"/>
      <c r="AB275" s="257" t="e">
        <f>VLOOKUP($B$6,Lookup_Source,268,0)</f>
        <v>#N/A</v>
      </c>
      <c r="AC275" s="241" t="str">
        <f t="shared" si="282"/>
        <v/>
      </c>
      <c r="AD275" s="242">
        <f t="shared" si="283"/>
        <v>7</v>
      </c>
      <c r="AE275" s="261" t="e">
        <f t="shared" si="252"/>
        <v>#N/A</v>
      </c>
      <c r="AF275" s="264" t="e">
        <f t="shared" si="284"/>
        <v>#N/A</v>
      </c>
      <c r="AG275" s="264" t="e">
        <f t="shared" si="285"/>
        <v>#N/A</v>
      </c>
      <c r="AH275" s="263" t="e">
        <f t="shared" si="253"/>
        <v>#N/A</v>
      </c>
      <c r="AI275" s="226">
        <f t="shared" si="286"/>
        <v>7</v>
      </c>
      <c r="AJ275" s="264" t="e">
        <f t="shared" si="254"/>
        <v>#N/A</v>
      </c>
      <c r="AK275" s="264" t="e">
        <f t="shared" si="287"/>
        <v>#N/A</v>
      </c>
      <c r="AL275" s="226" t="e">
        <f t="shared" si="255"/>
        <v>#N/A</v>
      </c>
      <c r="AM275" s="265" t="e">
        <f t="shared" si="288"/>
        <v>#N/A</v>
      </c>
      <c r="AN275" s="266" t="e">
        <f t="shared" si="256"/>
        <v>#N/A</v>
      </c>
      <c r="AO275" s="227" t="e">
        <f t="shared" si="257"/>
        <v>#N/A</v>
      </c>
      <c r="AP275" s="284">
        <f t="shared" si="289"/>
        <v>7</v>
      </c>
      <c r="AQ275" s="285" t="e">
        <f t="shared" si="258"/>
        <v>#N/A</v>
      </c>
      <c r="AR275" s="266" t="e">
        <f t="shared" si="290"/>
        <v>#N/A</v>
      </c>
      <c r="AS275" s="270" t="e">
        <f t="shared" si="259"/>
        <v>#N/A</v>
      </c>
      <c r="AT275" s="271">
        <f t="shared" si="291"/>
        <v>7</v>
      </c>
      <c r="AU275" s="272" t="e">
        <f t="shared" si="292"/>
        <v>#N/A</v>
      </c>
      <c r="AV275" s="273" t="e">
        <f t="shared" si="293"/>
        <v>#N/A</v>
      </c>
      <c r="AW275" s="274" t="e">
        <f t="shared" si="260"/>
        <v>#N/A</v>
      </c>
      <c r="AX275" s="232">
        <f t="shared" si="294"/>
        <v>7</v>
      </c>
      <c r="AY275" s="273" t="e">
        <f t="shared" si="261"/>
        <v>#N/A</v>
      </c>
      <c r="AZ275" s="232" t="e">
        <f t="shared" si="295"/>
        <v>#N/A</v>
      </c>
      <c r="BA275" s="232" t="e">
        <f t="shared" si="262"/>
        <v>#N/A</v>
      </c>
      <c r="BB275" s="275">
        <f t="shared" si="296"/>
        <v>7</v>
      </c>
      <c r="BC275" s="276" t="e">
        <f t="shared" si="297"/>
        <v>#N/A</v>
      </c>
      <c r="BD275" s="277" t="e">
        <f t="shared" si="298"/>
        <v>#N/A</v>
      </c>
      <c r="BE275" s="250" t="e">
        <f t="shared" si="263"/>
        <v>#N/A</v>
      </c>
      <c r="BF275" s="247">
        <f t="shared" si="299"/>
        <v>7</v>
      </c>
      <c r="BG275" s="276" t="e">
        <f t="shared" si="300"/>
        <v>#N/A</v>
      </c>
      <c r="BH275" s="277" t="e">
        <f t="shared" si="301"/>
        <v>#N/A</v>
      </c>
      <c r="BI275" s="250" t="e">
        <f t="shared" si="264"/>
        <v>#N/A</v>
      </c>
      <c r="BJ275" s="251">
        <f t="shared" si="302"/>
        <v>7</v>
      </c>
      <c r="BK275" s="278" t="e">
        <f t="shared" si="303"/>
        <v>#N/A</v>
      </c>
      <c r="BL275" s="278" t="e">
        <f t="shared" si="304"/>
        <v>#N/A</v>
      </c>
      <c r="BM275" s="279" t="e">
        <f t="shared" si="265"/>
        <v>#N/A</v>
      </c>
      <c r="BN275" s="280">
        <f t="shared" si="305"/>
        <v>7</v>
      </c>
      <c r="BO275" s="281" t="e">
        <f t="shared" si="306"/>
        <v>#N/A</v>
      </c>
      <c r="BP275" s="281" t="e">
        <f t="shared" si="307"/>
        <v>#N/A</v>
      </c>
      <c r="BQ275" s="279" t="e">
        <f t="shared" si="266"/>
        <v>#N/A</v>
      </c>
      <c r="BR275" s="282" t="e">
        <f t="shared" si="267"/>
        <v>#N/A</v>
      </c>
      <c r="BS275" s="217" t="e">
        <f>VLOOKUP($B275,SDR24_STOCK_BY_LA!$A$2:$C$11878,3,0)</f>
        <v>#N/A</v>
      </c>
      <c r="BT275" s="217" t="str">
        <f t="shared" si="308"/>
        <v/>
      </c>
    </row>
    <row r="276" spans="1:72" x14ac:dyDescent="0.2">
      <c r="A276" s="217" t="str">
        <f t="shared" si="309"/>
        <v/>
      </c>
      <c r="B276" s="217" t="str">
        <f t="shared" si="310"/>
        <v/>
      </c>
      <c r="C276" s="283" t="str">
        <f t="shared" si="268"/>
        <v/>
      </c>
      <c r="D276" s="256" t="str">
        <f>IF(B276="","",IF(totals!$Q$3=0,IFERROR(IF(AD276=2,"0",AE276),""),"-"))</f>
        <v/>
      </c>
      <c r="E276" s="258" t="str">
        <f t="shared" si="269"/>
        <v/>
      </c>
      <c r="F276" s="259" t="str">
        <f t="shared" si="270"/>
        <v/>
      </c>
      <c r="G276" s="259" t="str">
        <f t="shared" si="271"/>
        <v/>
      </c>
      <c r="H276" s="256" t="str">
        <f t="shared" si="249"/>
        <v/>
      </c>
      <c r="I276" s="259" t="str">
        <f t="shared" si="272"/>
        <v/>
      </c>
      <c r="J276" s="259" t="str">
        <f t="shared" si="273"/>
        <v/>
      </c>
      <c r="K276" s="256" t="str">
        <f t="shared" si="250"/>
        <v/>
      </c>
      <c r="L276" s="259" t="str">
        <f t="shared" si="251"/>
        <v/>
      </c>
      <c r="M276" s="259" t="str">
        <f t="shared" si="274"/>
        <v/>
      </c>
      <c r="N276" s="256" t="str">
        <f t="shared" si="275"/>
        <v/>
      </c>
      <c r="O276" s="259" t="str">
        <f t="shared" si="276"/>
        <v/>
      </c>
      <c r="P276" s="259" t="str">
        <f t="shared" si="277"/>
        <v/>
      </c>
      <c r="Q276" s="256" t="str">
        <f t="shared" si="278"/>
        <v/>
      </c>
      <c r="R276" s="259" t="str">
        <f t="shared" si="279"/>
        <v/>
      </c>
      <c r="S276" s="259" t="str">
        <f t="shared" si="280"/>
        <v/>
      </c>
      <c r="T276" s="256" t="str">
        <f t="shared" si="281"/>
        <v/>
      </c>
      <c r="U276" s="217"/>
      <c r="V276" s="217"/>
      <c r="AB276" s="217" t="e">
        <f>VLOOKUP($B$6,Lookup_Source,269,0)</f>
        <v>#N/A</v>
      </c>
      <c r="AC276" s="241" t="str">
        <f t="shared" si="282"/>
        <v/>
      </c>
      <c r="AD276" s="242">
        <f t="shared" si="283"/>
        <v>7</v>
      </c>
      <c r="AE276" s="261" t="e">
        <f t="shared" si="252"/>
        <v>#N/A</v>
      </c>
      <c r="AF276" s="264" t="e">
        <f t="shared" si="284"/>
        <v>#N/A</v>
      </c>
      <c r="AG276" s="264" t="e">
        <f t="shared" si="285"/>
        <v>#N/A</v>
      </c>
      <c r="AH276" s="263" t="e">
        <f t="shared" si="253"/>
        <v>#N/A</v>
      </c>
      <c r="AI276" s="226">
        <f t="shared" si="286"/>
        <v>7</v>
      </c>
      <c r="AJ276" s="264" t="e">
        <f t="shared" si="254"/>
        <v>#N/A</v>
      </c>
      <c r="AK276" s="264" t="e">
        <f t="shared" si="287"/>
        <v>#N/A</v>
      </c>
      <c r="AL276" s="226" t="e">
        <f t="shared" si="255"/>
        <v>#N/A</v>
      </c>
      <c r="AM276" s="265" t="e">
        <f t="shared" si="288"/>
        <v>#N/A</v>
      </c>
      <c r="AN276" s="266" t="e">
        <f t="shared" si="256"/>
        <v>#N/A</v>
      </c>
      <c r="AO276" s="227" t="e">
        <f t="shared" si="257"/>
        <v>#N/A</v>
      </c>
      <c r="AP276" s="284">
        <f t="shared" si="289"/>
        <v>7</v>
      </c>
      <c r="AQ276" s="285" t="e">
        <f t="shared" si="258"/>
        <v>#N/A</v>
      </c>
      <c r="AR276" s="266" t="e">
        <f t="shared" si="290"/>
        <v>#N/A</v>
      </c>
      <c r="AS276" s="270" t="e">
        <f t="shared" si="259"/>
        <v>#N/A</v>
      </c>
      <c r="AT276" s="271">
        <f t="shared" si="291"/>
        <v>7</v>
      </c>
      <c r="AU276" s="272" t="e">
        <f t="shared" si="292"/>
        <v>#N/A</v>
      </c>
      <c r="AV276" s="273" t="e">
        <f t="shared" si="293"/>
        <v>#N/A</v>
      </c>
      <c r="AW276" s="274" t="e">
        <f t="shared" si="260"/>
        <v>#N/A</v>
      </c>
      <c r="AX276" s="232">
        <f t="shared" si="294"/>
        <v>7</v>
      </c>
      <c r="AY276" s="273" t="e">
        <f t="shared" si="261"/>
        <v>#N/A</v>
      </c>
      <c r="AZ276" s="232" t="e">
        <f t="shared" si="295"/>
        <v>#N/A</v>
      </c>
      <c r="BA276" s="232" t="e">
        <f t="shared" si="262"/>
        <v>#N/A</v>
      </c>
      <c r="BB276" s="275">
        <f t="shared" si="296"/>
        <v>7</v>
      </c>
      <c r="BC276" s="276" t="e">
        <f t="shared" si="297"/>
        <v>#N/A</v>
      </c>
      <c r="BD276" s="277" t="e">
        <f t="shared" si="298"/>
        <v>#N/A</v>
      </c>
      <c r="BE276" s="250" t="e">
        <f t="shared" si="263"/>
        <v>#N/A</v>
      </c>
      <c r="BF276" s="247">
        <f t="shared" si="299"/>
        <v>7</v>
      </c>
      <c r="BG276" s="276" t="e">
        <f t="shared" si="300"/>
        <v>#N/A</v>
      </c>
      <c r="BH276" s="277" t="e">
        <f t="shared" si="301"/>
        <v>#N/A</v>
      </c>
      <c r="BI276" s="250" t="e">
        <f t="shared" si="264"/>
        <v>#N/A</v>
      </c>
      <c r="BJ276" s="251">
        <f t="shared" si="302"/>
        <v>7</v>
      </c>
      <c r="BK276" s="278" t="e">
        <f t="shared" si="303"/>
        <v>#N/A</v>
      </c>
      <c r="BL276" s="278" t="e">
        <f t="shared" si="304"/>
        <v>#N/A</v>
      </c>
      <c r="BM276" s="279" t="e">
        <f t="shared" si="265"/>
        <v>#N/A</v>
      </c>
      <c r="BN276" s="280">
        <f t="shared" si="305"/>
        <v>7</v>
      </c>
      <c r="BO276" s="281" t="e">
        <f t="shared" si="306"/>
        <v>#N/A</v>
      </c>
      <c r="BP276" s="281" t="e">
        <f t="shared" si="307"/>
        <v>#N/A</v>
      </c>
      <c r="BQ276" s="279" t="e">
        <f t="shared" si="266"/>
        <v>#N/A</v>
      </c>
      <c r="BR276" s="282" t="e">
        <f t="shared" si="267"/>
        <v>#N/A</v>
      </c>
      <c r="BS276" s="217" t="e">
        <f>VLOOKUP($B276,SDR24_STOCK_BY_LA!$A$2:$C$11878,3,0)</f>
        <v>#N/A</v>
      </c>
      <c r="BT276" s="217" t="str">
        <f t="shared" si="308"/>
        <v/>
      </c>
    </row>
    <row r="277" spans="1:72" x14ac:dyDescent="0.2">
      <c r="A277" s="256" t="str">
        <f t="shared" si="309"/>
        <v/>
      </c>
      <c r="B277" s="217" t="str">
        <f t="shared" si="310"/>
        <v/>
      </c>
      <c r="C277" s="257" t="str">
        <f t="shared" si="268"/>
        <v/>
      </c>
      <c r="D277" s="256" t="str">
        <f>IF(B277="","",IF(totals!$Q$3=0,IFERROR(IF(AD277=2,"0",AE277),""),"-"))</f>
        <v/>
      </c>
      <c r="E277" s="258" t="str">
        <f t="shared" si="269"/>
        <v/>
      </c>
      <c r="F277" s="259" t="str">
        <f t="shared" si="270"/>
        <v/>
      </c>
      <c r="G277" s="259" t="str">
        <f t="shared" si="271"/>
        <v/>
      </c>
      <c r="H277" s="256" t="str">
        <f t="shared" si="249"/>
        <v/>
      </c>
      <c r="I277" s="259" t="str">
        <f t="shared" si="272"/>
        <v/>
      </c>
      <c r="J277" s="259" t="str">
        <f t="shared" si="273"/>
        <v/>
      </c>
      <c r="K277" s="256" t="str">
        <f t="shared" si="250"/>
        <v/>
      </c>
      <c r="L277" s="259" t="str">
        <f t="shared" si="251"/>
        <v/>
      </c>
      <c r="M277" s="259" t="str">
        <f t="shared" si="274"/>
        <v/>
      </c>
      <c r="N277" s="256" t="str">
        <f t="shared" si="275"/>
        <v/>
      </c>
      <c r="O277" s="259" t="str">
        <f t="shared" si="276"/>
        <v/>
      </c>
      <c r="P277" s="259" t="str">
        <f t="shared" si="277"/>
        <v/>
      </c>
      <c r="Q277" s="256" t="str">
        <f t="shared" si="278"/>
        <v/>
      </c>
      <c r="R277" s="259" t="str">
        <f t="shared" si="279"/>
        <v/>
      </c>
      <c r="S277" s="259" t="str">
        <f t="shared" si="280"/>
        <v/>
      </c>
      <c r="T277" s="256" t="str">
        <f t="shared" si="281"/>
        <v/>
      </c>
      <c r="U277" s="217"/>
      <c r="V277" s="217"/>
      <c r="AB277" s="257" t="e">
        <f>VLOOKUP($B$6,Lookup_Source,270,0)</f>
        <v>#N/A</v>
      </c>
      <c r="AC277" s="241" t="str">
        <f t="shared" si="282"/>
        <v/>
      </c>
      <c r="AD277" s="242">
        <f t="shared" si="283"/>
        <v>7</v>
      </c>
      <c r="AE277" s="261" t="e">
        <f t="shared" si="252"/>
        <v>#N/A</v>
      </c>
      <c r="AF277" s="264" t="e">
        <f t="shared" si="284"/>
        <v>#N/A</v>
      </c>
      <c r="AG277" s="264" t="e">
        <f t="shared" si="285"/>
        <v>#N/A</v>
      </c>
      <c r="AH277" s="263" t="e">
        <f t="shared" si="253"/>
        <v>#N/A</v>
      </c>
      <c r="AI277" s="226">
        <f t="shared" si="286"/>
        <v>7</v>
      </c>
      <c r="AJ277" s="264" t="e">
        <f t="shared" si="254"/>
        <v>#N/A</v>
      </c>
      <c r="AK277" s="264" t="e">
        <f t="shared" si="287"/>
        <v>#N/A</v>
      </c>
      <c r="AL277" s="226" t="e">
        <f t="shared" si="255"/>
        <v>#N/A</v>
      </c>
      <c r="AM277" s="265" t="e">
        <f t="shared" si="288"/>
        <v>#N/A</v>
      </c>
      <c r="AN277" s="266" t="e">
        <f t="shared" si="256"/>
        <v>#N/A</v>
      </c>
      <c r="AO277" s="227" t="e">
        <f t="shared" si="257"/>
        <v>#N/A</v>
      </c>
      <c r="AP277" s="284">
        <f t="shared" si="289"/>
        <v>7</v>
      </c>
      <c r="AQ277" s="285" t="e">
        <f t="shared" si="258"/>
        <v>#N/A</v>
      </c>
      <c r="AR277" s="266" t="e">
        <f t="shared" si="290"/>
        <v>#N/A</v>
      </c>
      <c r="AS277" s="270" t="e">
        <f t="shared" si="259"/>
        <v>#N/A</v>
      </c>
      <c r="AT277" s="271">
        <f t="shared" si="291"/>
        <v>7</v>
      </c>
      <c r="AU277" s="272" t="e">
        <f t="shared" si="292"/>
        <v>#N/A</v>
      </c>
      <c r="AV277" s="273" t="e">
        <f t="shared" si="293"/>
        <v>#N/A</v>
      </c>
      <c r="AW277" s="274" t="e">
        <f t="shared" si="260"/>
        <v>#N/A</v>
      </c>
      <c r="AX277" s="232">
        <f t="shared" si="294"/>
        <v>7</v>
      </c>
      <c r="AY277" s="273" t="e">
        <f t="shared" si="261"/>
        <v>#N/A</v>
      </c>
      <c r="AZ277" s="232" t="e">
        <f t="shared" si="295"/>
        <v>#N/A</v>
      </c>
      <c r="BA277" s="232" t="e">
        <f t="shared" si="262"/>
        <v>#N/A</v>
      </c>
      <c r="BB277" s="275">
        <f t="shared" si="296"/>
        <v>7</v>
      </c>
      <c r="BC277" s="276" t="e">
        <f t="shared" si="297"/>
        <v>#N/A</v>
      </c>
      <c r="BD277" s="277" t="e">
        <f t="shared" si="298"/>
        <v>#N/A</v>
      </c>
      <c r="BE277" s="250" t="e">
        <f t="shared" si="263"/>
        <v>#N/A</v>
      </c>
      <c r="BF277" s="247">
        <f t="shared" si="299"/>
        <v>7</v>
      </c>
      <c r="BG277" s="276" t="e">
        <f t="shared" si="300"/>
        <v>#N/A</v>
      </c>
      <c r="BH277" s="277" t="e">
        <f t="shared" si="301"/>
        <v>#N/A</v>
      </c>
      <c r="BI277" s="250" t="e">
        <f t="shared" si="264"/>
        <v>#N/A</v>
      </c>
      <c r="BJ277" s="251">
        <f t="shared" si="302"/>
        <v>7</v>
      </c>
      <c r="BK277" s="278" t="e">
        <f t="shared" si="303"/>
        <v>#N/A</v>
      </c>
      <c r="BL277" s="278" t="e">
        <f t="shared" si="304"/>
        <v>#N/A</v>
      </c>
      <c r="BM277" s="279" t="e">
        <f t="shared" si="265"/>
        <v>#N/A</v>
      </c>
      <c r="BN277" s="280">
        <f t="shared" si="305"/>
        <v>7</v>
      </c>
      <c r="BO277" s="281" t="e">
        <f t="shared" si="306"/>
        <v>#N/A</v>
      </c>
      <c r="BP277" s="281" t="e">
        <f t="shared" si="307"/>
        <v>#N/A</v>
      </c>
      <c r="BQ277" s="279" t="e">
        <f t="shared" si="266"/>
        <v>#N/A</v>
      </c>
      <c r="BR277" s="282" t="e">
        <f t="shared" si="267"/>
        <v>#N/A</v>
      </c>
      <c r="BS277" s="217" t="e">
        <f>VLOOKUP($B277,SDR24_STOCK_BY_LA!$A$2:$C$11878,3,0)</f>
        <v>#N/A</v>
      </c>
      <c r="BT277" s="217" t="str">
        <f t="shared" si="308"/>
        <v/>
      </c>
    </row>
    <row r="278" spans="1:72" x14ac:dyDescent="0.2">
      <c r="A278" s="217" t="str">
        <f t="shared" si="309"/>
        <v/>
      </c>
      <c r="B278" s="217" t="str">
        <f t="shared" si="310"/>
        <v/>
      </c>
      <c r="C278" s="283" t="str">
        <f t="shared" si="268"/>
        <v/>
      </c>
      <c r="D278" s="256" t="str">
        <f>IF(B278="","",IF(totals!$Q$3=0,IFERROR(IF(AD278=2,"0",AE278),""),"-"))</f>
        <v/>
      </c>
      <c r="E278" s="258" t="str">
        <f t="shared" si="269"/>
        <v/>
      </c>
      <c r="F278" s="259" t="str">
        <f t="shared" si="270"/>
        <v/>
      </c>
      <c r="G278" s="259" t="str">
        <f t="shared" si="271"/>
        <v/>
      </c>
      <c r="H278" s="256" t="str">
        <f t="shared" si="249"/>
        <v/>
      </c>
      <c r="I278" s="259" t="str">
        <f t="shared" si="272"/>
        <v/>
      </c>
      <c r="J278" s="259" t="str">
        <f t="shared" si="273"/>
        <v/>
      </c>
      <c r="K278" s="256" t="str">
        <f t="shared" si="250"/>
        <v/>
      </c>
      <c r="L278" s="259" t="str">
        <f t="shared" si="251"/>
        <v/>
      </c>
      <c r="M278" s="259" t="str">
        <f t="shared" si="274"/>
        <v/>
      </c>
      <c r="N278" s="256" t="str">
        <f t="shared" si="275"/>
        <v/>
      </c>
      <c r="O278" s="259" t="str">
        <f t="shared" si="276"/>
        <v/>
      </c>
      <c r="P278" s="259" t="str">
        <f t="shared" si="277"/>
        <v/>
      </c>
      <c r="Q278" s="256" t="str">
        <f t="shared" si="278"/>
        <v/>
      </c>
      <c r="R278" s="259" t="str">
        <f t="shared" si="279"/>
        <v/>
      </c>
      <c r="S278" s="259" t="str">
        <f t="shared" si="280"/>
        <v/>
      </c>
      <c r="T278" s="256" t="str">
        <f t="shared" si="281"/>
        <v/>
      </c>
      <c r="U278" s="217"/>
      <c r="V278" s="217"/>
      <c r="AB278" s="217" t="e">
        <f>VLOOKUP($B$6,Lookup_Source,271,0)</f>
        <v>#N/A</v>
      </c>
      <c r="AC278" s="241" t="str">
        <f t="shared" si="282"/>
        <v/>
      </c>
      <c r="AD278" s="242">
        <f t="shared" si="283"/>
        <v>7</v>
      </c>
      <c r="AE278" s="261" t="e">
        <f t="shared" si="252"/>
        <v>#N/A</v>
      </c>
      <c r="AF278" s="264" t="e">
        <f t="shared" si="284"/>
        <v>#N/A</v>
      </c>
      <c r="AG278" s="264" t="e">
        <f t="shared" si="285"/>
        <v>#N/A</v>
      </c>
      <c r="AH278" s="263" t="e">
        <f t="shared" si="253"/>
        <v>#N/A</v>
      </c>
      <c r="AI278" s="226">
        <f t="shared" si="286"/>
        <v>7</v>
      </c>
      <c r="AJ278" s="264" t="e">
        <f t="shared" si="254"/>
        <v>#N/A</v>
      </c>
      <c r="AK278" s="264" t="e">
        <f t="shared" si="287"/>
        <v>#N/A</v>
      </c>
      <c r="AL278" s="226" t="e">
        <f t="shared" si="255"/>
        <v>#N/A</v>
      </c>
      <c r="AM278" s="265" t="e">
        <f t="shared" si="288"/>
        <v>#N/A</v>
      </c>
      <c r="AN278" s="266" t="e">
        <f t="shared" si="256"/>
        <v>#N/A</v>
      </c>
      <c r="AO278" s="227" t="e">
        <f t="shared" si="257"/>
        <v>#N/A</v>
      </c>
      <c r="AP278" s="284">
        <f t="shared" si="289"/>
        <v>7</v>
      </c>
      <c r="AQ278" s="285" t="e">
        <f t="shared" si="258"/>
        <v>#N/A</v>
      </c>
      <c r="AR278" s="266" t="e">
        <f t="shared" si="290"/>
        <v>#N/A</v>
      </c>
      <c r="AS278" s="270" t="e">
        <f t="shared" si="259"/>
        <v>#N/A</v>
      </c>
      <c r="AT278" s="271">
        <f t="shared" si="291"/>
        <v>7</v>
      </c>
      <c r="AU278" s="272" t="e">
        <f t="shared" si="292"/>
        <v>#N/A</v>
      </c>
      <c r="AV278" s="273" t="e">
        <f t="shared" si="293"/>
        <v>#N/A</v>
      </c>
      <c r="AW278" s="274" t="e">
        <f t="shared" si="260"/>
        <v>#N/A</v>
      </c>
      <c r="AX278" s="232">
        <f t="shared" si="294"/>
        <v>7</v>
      </c>
      <c r="AY278" s="273" t="e">
        <f t="shared" si="261"/>
        <v>#N/A</v>
      </c>
      <c r="AZ278" s="232" t="e">
        <f t="shared" si="295"/>
        <v>#N/A</v>
      </c>
      <c r="BA278" s="232" t="e">
        <f t="shared" si="262"/>
        <v>#N/A</v>
      </c>
      <c r="BB278" s="275">
        <f t="shared" si="296"/>
        <v>7</v>
      </c>
      <c r="BC278" s="276" t="e">
        <f t="shared" si="297"/>
        <v>#N/A</v>
      </c>
      <c r="BD278" s="277" t="e">
        <f t="shared" si="298"/>
        <v>#N/A</v>
      </c>
      <c r="BE278" s="250" t="e">
        <f t="shared" si="263"/>
        <v>#N/A</v>
      </c>
      <c r="BF278" s="247">
        <f t="shared" si="299"/>
        <v>7</v>
      </c>
      <c r="BG278" s="276" t="e">
        <f t="shared" si="300"/>
        <v>#N/A</v>
      </c>
      <c r="BH278" s="277" t="e">
        <f t="shared" si="301"/>
        <v>#N/A</v>
      </c>
      <c r="BI278" s="250" t="e">
        <f t="shared" si="264"/>
        <v>#N/A</v>
      </c>
      <c r="BJ278" s="251">
        <f t="shared" si="302"/>
        <v>7</v>
      </c>
      <c r="BK278" s="278" t="e">
        <f t="shared" si="303"/>
        <v>#N/A</v>
      </c>
      <c r="BL278" s="278" t="e">
        <f t="shared" si="304"/>
        <v>#N/A</v>
      </c>
      <c r="BM278" s="279" t="e">
        <f t="shared" si="265"/>
        <v>#N/A</v>
      </c>
      <c r="BN278" s="280">
        <f t="shared" si="305"/>
        <v>7</v>
      </c>
      <c r="BO278" s="281" t="e">
        <f t="shared" si="306"/>
        <v>#N/A</v>
      </c>
      <c r="BP278" s="281" t="e">
        <f t="shared" si="307"/>
        <v>#N/A</v>
      </c>
      <c r="BQ278" s="279" t="e">
        <f t="shared" si="266"/>
        <v>#N/A</v>
      </c>
      <c r="BR278" s="282" t="e">
        <f t="shared" si="267"/>
        <v>#N/A</v>
      </c>
      <c r="BS278" s="217" t="e">
        <f>VLOOKUP($B278,SDR24_STOCK_BY_LA!$A$2:$C$11878,3,0)</f>
        <v>#N/A</v>
      </c>
      <c r="BT278" s="217" t="str">
        <f t="shared" si="308"/>
        <v/>
      </c>
    </row>
    <row r="279" spans="1:72" x14ac:dyDescent="0.2">
      <c r="A279" s="256" t="str">
        <f t="shared" si="309"/>
        <v/>
      </c>
      <c r="B279" s="217" t="str">
        <f t="shared" si="310"/>
        <v/>
      </c>
      <c r="C279" s="257" t="str">
        <f t="shared" si="268"/>
        <v/>
      </c>
      <c r="D279" s="256" t="str">
        <f>IF(B279="","",IF(totals!$Q$3=0,IFERROR(IF(AD279=2,"0",AE279),""),"-"))</f>
        <v/>
      </c>
      <c r="E279" s="258" t="str">
        <f t="shared" si="269"/>
        <v/>
      </c>
      <c r="F279" s="259" t="str">
        <f t="shared" si="270"/>
        <v/>
      </c>
      <c r="G279" s="259" t="str">
        <f t="shared" si="271"/>
        <v/>
      </c>
      <c r="H279" s="256" t="str">
        <f t="shared" si="249"/>
        <v/>
      </c>
      <c r="I279" s="259" t="str">
        <f t="shared" si="272"/>
        <v/>
      </c>
      <c r="J279" s="259" t="str">
        <f t="shared" si="273"/>
        <v/>
      </c>
      <c r="K279" s="256" t="str">
        <f t="shared" si="250"/>
        <v/>
      </c>
      <c r="L279" s="259" t="str">
        <f t="shared" si="251"/>
        <v/>
      </c>
      <c r="M279" s="259" t="str">
        <f t="shared" si="274"/>
        <v/>
      </c>
      <c r="N279" s="256" t="str">
        <f t="shared" si="275"/>
        <v/>
      </c>
      <c r="O279" s="259" t="str">
        <f t="shared" si="276"/>
        <v/>
      </c>
      <c r="P279" s="259" t="str">
        <f t="shared" si="277"/>
        <v/>
      </c>
      <c r="Q279" s="256" t="str">
        <f t="shared" si="278"/>
        <v/>
      </c>
      <c r="R279" s="259" t="str">
        <f t="shared" si="279"/>
        <v/>
      </c>
      <c r="S279" s="259" t="str">
        <f t="shared" si="280"/>
        <v/>
      </c>
      <c r="T279" s="256" t="str">
        <f t="shared" si="281"/>
        <v/>
      </c>
      <c r="U279" s="217"/>
      <c r="V279" s="217"/>
      <c r="AB279" s="257" t="e">
        <f>VLOOKUP($B$6,Lookup_Source,272,0)</f>
        <v>#N/A</v>
      </c>
      <c r="AC279" s="241" t="str">
        <f t="shared" si="282"/>
        <v/>
      </c>
      <c r="AD279" s="242">
        <f t="shared" si="283"/>
        <v>7</v>
      </c>
      <c r="AE279" s="261" t="e">
        <f t="shared" si="252"/>
        <v>#N/A</v>
      </c>
      <c r="AF279" s="264" t="e">
        <f t="shared" si="284"/>
        <v>#N/A</v>
      </c>
      <c r="AG279" s="264" t="e">
        <f t="shared" si="285"/>
        <v>#N/A</v>
      </c>
      <c r="AH279" s="263" t="e">
        <f t="shared" si="253"/>
        <v>#N/A</v>
      </c>
      <c r="AI279" s="226">
        <f t="shared" si="286"/>
        <v>7</v>
      </c>
      <c r="AJ279" s="264" t="e">
        <f t="shared" si="254"/>
        <v>#N/A</v>
      </c>
      <c r="AK279" s="264" t="e">
        <f t="shared" si="287"/>
        <v>#N/A</v>
      </c>
      <c r="AL279" s="226" t="e">
        <f t="shared" si="255"/>
        <v>#N/A</v>
      </c>
      <c r="AM279" s="265" t="e">
        <f t="shared" si="288"/>
        <v>#N/A</v>
      </c>
      <c r="AN279" s="266" t="e">
        <f t="shared" si="256"/>
        <v>#N/A</v>
      </c>
      <c r="AO279" s="227" t="e">
        <f t="shared" si="257"/>
        <v>#N/A</v>
      </c>
      <c r="AP279" s="284">
        <f t="shared" si="289"/>
        <v>7</v>
      </c>
      <c r="AQ279" s="285" t="e">
        <f t="shared" si="258"/>
        <v>#N/A</v>
      </c>
      <c r="AR279" s="266" t="e">
        <f t="shared" si="290"/>
        <v>#N/A</v>
      </c>
      <c r="AS279" s="270" t="e">
        <f t="shared" si="259"/>
        <v>#N/A</v>
      </c>
      <c r="AT279" s="271">
        <f t="shared" si="291"/>
        <v>7</v>
      </c>
      <c r="AU279" s="272" t="e">
        <f t="shared" si="292"/>
        <v>#N/A</v>
      </c>
      <c r="AV279" s="273" t="e">
        <f t="shared" si="293"/>
        <v>#N/A</v>
      </c>
      <c r="AW279" s="274" t="e">
        <f t="shared" si="260"/>
        <v>#N/A</v>
      </c>
      <c r="AX279" s="232">
        <f t="shared" si="294"/>
        <v>7</v>
      </c>
      <c r="AY279" s="273" t="e">
        <f t="shared" si="261"/>
        <v>#N/A</v>
      </c>
      <c r="AZ279" s="232" t="e">
        <f t="shared" si="295"/>
        <v>#N/A</v>
      </c>
      <c r="BA279" s="232" t="e">
        <f t="shared" si="262"/>
        <v>#N/A</v>
      </c>
      <c r="BB279" s="275">
        <f t="shared" si="296"/>
        <v>7</v>
      </c>
      <c r="BC279" s="276" t="e">
        <f t="shared" si="297"/>
        <v>#N/A</v>
      </c>
      <c r="BD279" s="277" t="e">
        <f t="shared" si="298"/>
        <v>#N/A</v>
      </c>
      <c r="BE279" s="250" t="e">
        <f t="shared" si="263"/>
        <v>#N/A</v>
      </c>
      <c r="BF279" s="247">
        <f t="shared" si="299"/>
        <v>7</v>
      </c>
      <c r="BG279" s="276" t="e">
        <f t="shared" si="300"/>
        <v>#N/A</v>
      </c>
      <c r="BH279" s="277" t="e">
        <f t="shared" si="301"/>
        <v>#N/A</v>
      </c>
      <c r="BI279" s="250" t="e">
        <f t="shared" si="264"/>
        <v>#N/A</v>
      </c>
      <c r="BJ279" s="251">
        <f t="shared" si="302"/>
        <v>7</v>
      </c>
      <c r="BK279" s="278" t="e">
        <f t="shared" si="303"/>
        <v>#N/A</v>
      </c>
      <c r="BL279" s="278" t="e">
        <f t="shared" si="304"/>
        <v>#N/A</v>
      </c>
      <c r="BM279" s="279" t="e">
        <f t="shared" si="265"/>
        <v>#N/A</v>
      </c>
      <c r="BN279" s="280">
        <f t="shared" si="305"/>
        <v>7</v>
      </c>
      <c r="BO279" s="281" t="e">
        <f t="shared" si="306"/>
        <v>#N/A</v>
      </c>
      <c r="BP279" s="281" t="e">
        <f t="shared" si="307"/>
        <v>#N/A</v>
      </c>
      <c r="BQ279" s="279" t="e">
        <f t="shared" si="266"/>
        <v>#N/A</v>
      </c>
      <c r="BR279" s="282" t="e">
        <f t="shared" si="267"/>
        <v>#N/A</v>
      </c>
      <c r="BS279" s="217" t="e">
        <f>VLOOKUP($B279,SDR24_STOCK_BY_LA!$A$2:$C$11878,3,0)</f>
        <v>#N/A</v>
      </c>
      <c r="BT279" s="217" t="str">
        <f t="shared" si="308"/>
        <v/>
      </c>
    </row>
    <row r="280" spans="1:72" x14ac:dyDescent="0.2">
      <c r="A280" s="217" t="str">
        <f t="shared" si="309"/>
        <v/>
      </c>
      <c r="B280" s="217" t="str">
        <f t="shared" si="310"/>
        <v/>
      </c>
      <c r="C280" s="283" t="str">
        <f t="shared" si="268"/>
        <v/>
      </c>
      <c r="D280" s="256" t="str">
        <f>IF(B280="","",IF(totals!$Q$3=0,IFERROR(IF(AD280=2,"0",AE280),""),"-"))</f>
        <v/>
      </c>
      <c r="E280" s="258" t="str">
        <f t="shared" si="269"/>
        <v/>
      </c>
      <c r="F280" s="259" t="str">
        <f t="shared" si="270"/>
        <v/>
      </c>
      <c r="G280" s="259" t="str">
        <f t="shared" si="271"/>
        <v/>
      </c>
      <c r="H280" s="256" t="str">
        <f t="shared" si="249"/>
        <v/>
      </c>
      <c r="I280" s="259" t="str">
        <f t="shared" si="272"/>
        <v/>
      </c>
      <c r="J280" s="259" t="str">
        <f t="shared" si="273"/>
        <v/>
      </c>
      <c r="K280" s="256" t="str">
        <f t="shared" si="250"/>
        <v/>
      </c>
      <c r="L280" s="259" t="str">
        <f t="shared" si="251"/>
        <v/>
      </c>
      <c r="M280" s="259" t="str">
        <f t="shared" si="274"/>
        <v/>
      </c>
      <c r="N280" s="256" t="str">
        <f t="shared" si="275"/>
        <v/>
      </c>
      <c r="O280" s="259" t="str">
        <f t="shared" si="276"/>
        <v/>
      </c>
      <c r="P280" s="259" t="str">
        <f t="shared" si="277"/>
        <v/>
      </c>
      <c r="Q280" s="256" t="str">
        <f t="shared" si="278"/>
        <v/>
      </c>
      <c r="R280" s="259" t="str">
        <f t="shared" si="279"/>
        <v/>
      </c>
      <c r="S280" s="259" t="str">
        <f t="shared" si="280"/>
        <v/>
      </c>
      <c r="T280" s="256" t="str">
        <f t="shared" si="281"/>
        <v/>
      </c>
      <c r="U280" s="217"/>
      <c r="V280" s="217"/>
      <c r="AB280" s="217" t="e">
        <f>VLOOKUP($B$6,Lookup_Source,273,0)</f>
        <v>#N/A</v>
      </c>
      <c r="AC280" s="241" t="str">
        <f t="shared" si="282"/>
        <v/>
      </c>
      <c r="AD280" s="242">
        <f t="shared" si="283"/>
        <v>7</v>
      </c>
      <c r="AE280" s="261" t="e">
        <f t="shared" si="252"/>
        <v>#N/A</v>
      </c>
      <c r="AF280" s="264" t="e">
        <f t="shared" si="284"/>
        <v>#N/A</v>
      </c>
      <c r="AG280" s="264" t="e">
        <f t="shared" si="285"/>
        <v>#N/A</v>
      </c>
      <c r="AH280" s="263" t="e">
        <f t="shared" si="253"/>
        <v>#N/A</v>
      </c>
      <c r="AI280" s="226">
        <f t="shared" si="286"/>
        <v>7</v>
      </c>
      <c r="AJ280" s="264" t="e">
        <f t="shared" si="254"/>
        <v>#N/A</v>
      </c>
      <c r="AK280" s="264" t="e">
        <f t="shared" si="287"/>
        <v>#N/A</v>
      </c>
      <c r="AL280" s="226" t="e">
        <f t="shared" si="255"/>
        <v>#N/A</v>
      </c>
      <c r="AM280" s="265" t="e">
        <f t="shared" si="288"/>
        <v>#N/A</v>
      </c>
      <c r="AN280" s="266" t="e">
        <f t="shared" si="256"/>
        <v>#N/A</v>
      </c>
      <c r="AO280" s="227" t="e">
        <f t="shared" si="257"/>
        <v>#N/A</v>
      </c>
      <c r="AP280" s="284">
        <f t="shared" si="289"/>
        <v>7</v>
      </c>
      <c r="AQ280" s="285" t="e">
        <f t="shared" si="258"/>
        <v>#N/A</v>
      </c>
      <c r="AR280" s="266" t="e">
        <f t="shared" si="290"/>
        <v>#N/A</v>
      </c>
      <c r="AS280" s="270" t="e">
        <f t="shared" si="259"/>
        <v>#N/A</v>
      </c>
      <c r="AT280" s="271">
        <f t="shared" si="291"/>
        <v>7</v>
      </c>
      <c r="AU280" s="272" t="e">
        <f t="shared" si="292"/>
        <v>#N/A</v>
      </c>
      <c r="AV280" s="273" t="e">
        <f t="shared" si="293"/>
        <v>#N/A</v>
      </c>
      <c r="AW280" s="274" t="e">
        <f t="shared" si="260"/>
        <v>#N/A</v>
      </c>
      <c r="AX280" s="232">
        <f t="shared" si="294"/>
        <v>7</v>
      </c>
      <c r="AY280" s="273" t="e">
        <f t="shared" si="261"/>
        <v>#N/A</v>
      </c>
      <c r="AZ280" s="232" t="e">
        <f t="shared" si="295"/>
        <v>#N/A</v>
      </c>
      <c r="BA280" s="232" t="e">
        <f t="shared" si="262"/>
        <v>#N/A</v>
      </c>
      <c r="BB280" s="275">
        <f t="shared" si="296"/>
        <v>7</v>
      </c>
      <c r="BC280" s="276" t="e">
        <f t="shared" si="297"/>
        <v>#N/A</v>
      </c>
      <c r="BD280" s="277" t="e">
        <f t="shared" si="298"/>
        <v>#N/A</v>
      </c>
      <c r="BE280" s="250" t="e">
        <f t="shared" si="263"/>
        <v>#N/A</v>
      </c>
      <c r="BF280" s="247">
        <f t="shared" si="299"/>
        <v>7</v>
      </c>
      <c r="BG280" s="276" t="e">
        <f t="shared" si="300"/>
        <v>#N/A</v>
      </c>
      <c r="BH280" s="277" t="e">
        <f t="shared" si="301"/>
        <v>#N/A</v>
      </c>
      <c r="BI280" s="250" t="e">
        <f t="shared" si="264"/>
        <v>#N/A</v>
      </c>
      <c r="BJ280" s="251">
        <f t="shared" si="302"/>
        <v>7</v>
      </c>
      <c r="BK280" s="278" t="e">
        <f t="shared" si="303"/>
        <v>#N/A</v>
      </c>
      <c r="BL280" s="278" t="e">
        <f t="shared" si="304"/>
        <v>#N/A</v>
      </c>
      <c r="BM280" s="279" t="e">
        <f t="shared" si="265"/>
        <v>#N/A</v>
      </c>
      <c r="BN280" s="280">
        <f t="shared" si="305"/>
        <v>7</v>
      </c>
      <c r="BO280" s="281" t="e">
        <f t="shared" si="306"/>
        <v>#N/A</v>
      </c>
      <c r="BP280" s="281" t="e">
        <f t="shared" si="307"/>
        <v>#N/A</v>
      </c>
      <c r="BQ280" s="279" t="e">
        <f t="shared" si="266"/>
        <v>#N/A</v>
      </c>
      <c r="BR280" s="282" t="e">
        <f t="shared" si="267"/>
        <v>#N/A</v>
      </c>
      <c r="BS280" s="217" t="e">
        <f>VLOOKUP($B280,SDR24_STOCK_BY_LA!$A$2:$C$11878,3,0)</f>
        <v>#N/A</v>
      </c>
      <c r="BT280" s="217" t="str">
        <f t="shared" si="308"/>
        <v/>
      </c>
    </row>
    <row r="281" spans="1:72" x14ac:dyDescent="0.2">
      <c r="A281" s="256" t="str">
        <f t="shared" si="309"/>
        <v/>
      </c>
      <c r="B281" s="217" t="str">
        <f t="shared" si="310"/>
        <v/>
      </c>
      <c r="C281" s="257" t="str">
        <f t="shared" si="268"/>
        <v/>
      </c>
      <c r="D281" s="256" t="str">
        <f>IF(B281="","",IF(totals!$Q$3=0,IFERROR(IF(AD281=2,"0",AE281),""),"-"))</f>
        <v/>
      </c>
      <c r="E281" s="258" t="str">
        <f t="shared" si="269"/>
        <v/>
      </c>
      <c r="F281" s="259" t="str">
        <f t="shared" si="270"/>
        <v/>
      </c>
      <c r="G281" s="259" t="str">
        <f t="shared" si="271"/>
        <v/>
      </c>
      <c r="H281" s="256" t="str">
        <f t="shared" si="249"/>
        <v/>
      </c>
      <c r="I281" s="259" t="str">
        <f t="shared" si="272"/>
        <v/>
      </c>
      <c r="J281" s="259" t="str">
        <f t="shared" si="273"/>
        <v/>
      </c>
      <c r="K281" s="256" t="str">
        <f t="shared" si="250"/>
        <v/>
      </c>
      <c r="L281" s="259" t="str">
        <f t="shared" si="251"/>
        <v/>
      </c>
      <c r="M281" s="259" t="str">
        <f t="shared" si="274"/>
        <v/>
      </c>
      <c r="N281" s="256" t="str">
        <f t="shared" si="275"/>
        <v/>
      </c>
      <c r="O281" s="259" t="str">
        <f t="shared" si="276"/>
        <v/>
      </c>
      <c r="P281" s="259" t="str">
        <f t="shared" si="277"/>
        <v/>
      </c>
      <c r="Q281" s="256" t="str">
        <f t="shared" si="278"/>
        <v/>
      </c>
      <c r="R281" s="259" t="str">
        <f t="shared" si="279"/>
        <v/>
      </c>
      <c r="S281" s="259" t="str">
        <f t="shared" si="280"/>
        <v/>
      </c>
      <c r="T281" s="256" t="str">
        <f t="shared" si="281"/>
        <v/>
      </c>
      <c r="U281" s="217"/>
      <c r="V281" s="217"/>
      <c r="AB281" s="257" t="e">
        <f>VLOOKUP($B$6,Lookup_Source,274,0)</f>
        <v>#N/A</v>
      </c>
      <c r="AC281" s="241" t="str">
        <f t="shared" si="282"/>
        <v/>
      </c>
      <c r="AD281" s="242">
        <f t="shared" si="283"/>
        <v>7</v>
      </c>
      <c r="AE281" s="261" t="e">
        <f t="shared" si="252"/>
        <v>#N/A</v>
      </c>
      <c r="AF281" s="264" t="e">
        <f t="shared" si="284"/>
        <v>#N/A</v>
      </c>
      <c r="AG281" s="264" t="e">
        <f t="shared" si="285"/>
        <v>#N/A</v>
      </c>
      <c r="AH281" s="263" t="e">
        <f t="shared" si="253"/>
        <v>#N/A</v>
      </c>
      <c r="AI281" s="226">
        <f t="shared" si="286"/>
        <v>7</v>
      </c>
      <c r="AJ281" s="264" t="e">
        <f t="shared" si="254"/>
        <v>#N/A</v>
      </c>
      <c r="AK281" s="264" t="e">
        <f t="shared" si="287"/>
        <v>#N/A</v>
      </c>
      <c r="AL281" s="226" t="e">
        <f t="shared" si="255"/>
        <v>#N/A</v>
      </c>
      <c r="AM281" s="265" t="e">
        <f t="shared" si="288"/>
        <v>#N/A</v>
      </c>
      <c r="AN281" s="266" t="e">
        <f t="shared" si="256"/>
        <v>#N/A</v>
      </c>
      <c r="AO281" s="227" t="e">
        <f t="shared" si="257"/>
        <v>#N/A</v>
      </c>
      <c r="AP281" s="284">
        <f t="shared" si="289"/>
        <v>7</v>
      </c>
      <c r="AQ281" s="285" t="e">
        <f t="shared" si="258"/>
        <v>#N/A</v>
      </c>
      <c r="AR281" s="266" t="e">
        <f t="shared" si="290"/>
        <v>#N/A</v>
      </c>
      <c r="AS281" s="270" t="e">
        <f t="shared" si="259"/>
        <v>#N/A</v>
      </c>
      <c r="AT281" s="271">
        <f t="shared" si="291"/>
        <v>7</v>
      </c>
      <c r="AU281" s="272" t="e">
        <f t="shared" si="292"/>
        <v>#N/A</v>
      </c>
      <c r="AV281" s="273" t="e">
        <f t="shared" si="293"/>
        <v>#N/A</v>
      </c>
      <c r="AW281" s="274" t="e">
        <f t="shared" si="260"/>
        <v>#N/A</v>
      </c>
      <c r="AX281" s="232">
        <f t="shared" si="294"/>
        <v>7</v>
      </c>
      <c r="AY281" s="273" t="e">
        <f t="shared" si="261"/>
        <v>#N/A</v>
      </c>
      <c r="AZ281" s="232" t="e">
        <f t="shared" si="295"/>
        <v>#N/A</v>
      </c>
      <c r="BA281" s="232" t="e">
        <f t="shared" si="262"/>
        <v>#N/A</v>
      </c>
      <c r="BB281" s="275">
        <f t="shared" si="296"/>
        <v>7</v>
      </c>
      <c r="BC281" s="276" t="e">
        <f t="shared" si="297"/>
        <v>#N/A</v>
      </c>
      <c r="BD281" s="277" t="e">
        <f t="shared" si="298"/>
        <v>#N/A</v>
      </c>
      <c r="BE281" s="250" t="e">
        <f t="shared" si="263"/>
        <v>#N/A</v>
      </c>
      <c r="BF281" s="247">
        <f t="shared" si="299"/>
        <v>7</v>
      </c>
      <c r="BG281" s="276" t="e">
        <f t="shared" si="300"/>
        <v>#N/A</v>
      </c>
      <c r="BH281" s="277" t="e">
        <f t="shared" si="301"/>
        <v>#N/A</v>
      </c>
      <c r="BI281" s="250" t="e">
        <f t="shared" si="264"/>
        <v>#N/A</v>
      </c>
      <c r="BJ281" s="251">
        <f t="shared" si="302"/>
        <v>7</v>
      </c>
      <c r="BK281" s="278" t="e">
        <f t="shared" si="303"/>
        <v>#N/A</v>
      </c>
      <c r="BL281" s="278" t="e">
        <f t="shared" si="304"/>
        <v>#N/A</v>
      </c>
      <c r="BM281" s="279" t="e">
        <f t="shared" si="265"/>
        <v>#N/A</v>
      </c>
      <c r="BN281" s="280">
        <f t="shared" si="305"/>
        <v>7</v>
      </c>
      <c r="BO281" s="281" t="e">
        <f t="shared" si="306"/>
        <v>#N/A</v>
      </c>
      <c r="BP281" s="281" t="e">
        <f t="shared" si="307"/>
        <v>#N/A</v>
      </c>
      <c r="BQ281" s="279" t="e">
        <f t="shared" si="266"/>
        <v>#N/A</v>
      </c>
      <c r="BR281" s="282" t="e">
        <f t="shared" si="267"/>
        <v>#N/A</v>
      </c>
      <c r="BS281" s="217" t="e">
        <f>VLOOKUP($B281,SDR24_STOCK_BY_LA!$A$2:$C$11878,3,0)</f>
        <v>#N/A</v>
      </c>
      <c r="BT281" s="217" t="str">
        <f t="shared" si="308"/>
        <v/>
      </c>
    </row>
    <row r="282" spans="1:72" x14ac:dyDescent="0.2">
      <c r="A282" s="217" t="str">
        <f t="shared" si="309"/>
        <v/>
      </c>
      <c r="B282" s="217" t="str">
        <f t="shared" si="310"/>
        <v/>
      </c>
      <c r="C282" s="283" t="str">
        <f t="shared" si="268"/>
        <v/>
      </c>
      <c r="D282" s="256" t="str">
        <f>IF(B282="","",IF(totals!$Q$3=0,IFERROR(IF(AD282=2,"0",AE282),""),"-"))</f>
        <v/>
      </c>
      <c r="E282" s="258" t="str">
        <f t="shared" si="269"/>
        <v/>
      </c>
      <c r="F282" s="259" t="str">
        <f t="shared" si="270"/>
        <v/>
      </c>
      <c r="G282" s="259" t="str">
        <f t="shared" si="271"/>
        <v/>
      </c>
      <c r="H282" s="256" t="str">
        <f t="shared" si="249"/>
        <v/>
      </c>
      <c r="I282" s="259" t="str">
        <f t="shared" si="272"/>
        <v/>
      </c>
      <c r="J282" s="259" t="str">
        <f t="shared" si="273"/>
        <v/>
      </c>
      <c r="K282" s="256" t="str">
        <f t="shared" si="250"/>
        <v/>
      </c>
      <c r="L282" s="259" t="str">
        <f t="shared" si="251"/>
        <v/>
      </c>
      <c r="M282" s="259" t="str">
        <f t="shared" si="274"/>
        <v/>
      </c>
      <c r="N282" s="256" t="str">
        <f t="shared" si="275"/>
        <v/>
      </c>
      <c r="O282" s="259" t="str">
        <f t="shared" si="276"/>
        <v/>
      </c>
      <c r="P282" s="259" t="str">
        <f t="shared" si="277"/>
        <v/>
      </c>
      <c r="Q282" s="256" t="str">
        <f t="shared" si="278"/>
        <v/>
      </c>
      <c r="R282" s="259" t="str">
        <f t="shared" si="279"/>
        <v/>
      </c>
      <c r="S282" s="259" t="str">
        <f t="shared" si="280"/>
        <v/>
      </c>
      <c r="T282" s="256" t="str">
        <f t="shared" si="281"/>
        <v/>
      </c>
      <c r="U282" s="217"/>
      <c r="V282" s="217"/>
      <c r="AB282" s="217" t="e">
        <f>VLOOKUP($B$6,Lookup_Source,275,0)</f>
        <v>#N/A</v>
      </c>
      <c r="AC282" s="241" t="str">
        <f t="shared" si="282"/>
        <v/>
      </c>
      <c r="AD282" s="242">
        <f t="shared" si="283"/>
        <v>7</v>
      </c>
      <c r="AE282" s="261" t="e">
        <f t="shared" si="252"/>
        <v>#N/A</v>
      </c>
      <c r="AF282" s="264" t="e">
        <f t="shared" si="284"/>
        <v>#N/A</v>
      </c>
      <c r="AG282" s="264" t="e">
        <f t="shared" si="285"/>
        <v>#N/A</v>
      </c>
      <c r="AH282" s="263" t="e">
        <f t="shared" si="253"/>
        <v>#N/A</v>
      </c>
      <c r="AI282" s="226">
        <f t="shared" si="286"/>
        <v>7</v>
      </c>
      <c r="AJ282" s="264" t="e">
        <f t="shared" si="254"/>
        <v>#N/A</v>
      </c>
      <c r="AK282" s="264" t="e">
        <f t="shared" si="287"/>
        <v>#N/A</v>
      </c>
      <c r="AL282" s="226" t="e">
        <f t="shared" si="255"/>
        <v>#N/A</v>
      </c>
      <c r="AM282" s="265" t="e">
        <f t="shared" si="288"/>
        <v>#N/A</v>
      </c>
      <c r="AN282" s="266" t="e">
        <f t="shared" si="256"/>
        <v>#N/A</v>
      </c>
      <c r="AO282" s="227" t="e">
        <f t="shared" si="257"/>
        <v>#N/A</v>
      </c>
      <c r="AP282" s="284">
        <f t="shared" si="289"/>
        <v>7</v>
      </c>
      <c r="AQ282" s="285" t="e">
        <f t="shared" si="258"/>
        <v>#N/A</v>
      </c>
      <c r="AR282" s="266" t="e">
        <f t="shared" si="290"/>
        <v>#N/A</v>
      </c>
      <c r="AS282" s="270" t="e">
        <f t="shared" si="259"/>
        <v>#N/A</v>
      </c>
      <c r="AT282" s="271">
        <f t="shared" si="291"/>
        <v>7</v>
      </c>
      <c r="AU282" s="272" t="e">
        <f t="shared" si="292"/>
        <v>#N/A</v>
      </c>
      <c r="AV282" s="273" t="e">
        <f t="shared" si="293"/>
        <v>#N/A</v>
      </c>
      <c r="AW282" s="274" t="e">
        <f t="shared" si="260"/>
        <v>#N/A</v>
      </c>
      <c r="AX282" s="232">
        <f t="shared" si="294"/>
        <v>7</v>
      </c>
      <c r="AY282" s="273" t="e">
        <f t="shared" si="261"/>
        <v>#N/A</v>
      </c>
      <c r="AZ282" s="232" t="e">
        <f t="shared" si="295"/>
        <v>#N/A</v>
      </c>
      <c r="BA282" s="232" t="e">
        <f t="shared" si="262"/>
        <v>#N/A</v>
      </c>
      <c r="BB282" s="275">
        <f t="shared" si="296"/>
        <v>7</v>
      </c>
      <c r="BC282" s="276" t="e">
        <f t="shared" si="297"/>
        <v>#N/A</v>
      </c>
      <c r="BD282" s="277" t="e">
        <f t="shared" si="298"/>
        <v>#N/A</v>
      </c>
      <c r="BE282" s="250" t="e">
        <f t="shared" si="263"/>
        <v>#N/A</v>
      </c>
      <c r="BF282" s="247">
        <f t="shared" si="299"/>
        <v>7</v>
      </c>
      <c r="BG282" s="276" t="e">
        <f t="shared" si="300"/>
        <v>#N/A</v>
      </c>
      <c r="BH282" s="277" t="e">
        <f t="shared" si="301"/>
        <v>#N/A</v>
      </c>
      <c r="BI282" s="250" t="e">
        <f t="shared" si="264"/>
        <v>#N/A</v>
      </c>
      <c r="BJ282" s="251">
        <f t="shared" si="302"/>
        <v>7</v>
      </c>
      <c r="BK282" s="278" t="e">
        <f t="shared" si="303"/>
        <v>#N/A</v>
      </c>
      <c r="BL282" s="278" t="e">
        <f t="shared" si="304"/>
        <v>#N/A</v>
      </c>
      <c r="BM282" s="279" t="e">
        <f t="shared" si="265"/>
        <v>#N/A</v>
      </c>
      <c r="BN282" s="280">
        <f t="shared" si="305"/>
        <v>7</v>
      </c>
      <c r="BO282" s="281" t="e">
        <f t="shared" si="306"/>
        <v>#N/A</v>
      </c>
      <c r="BP282" s="281" t="e">
        <f t="shared" si="307"/>
        <v>#N/A</v>
      </c>
      <c r="BQ282" s="279" t="e">
        <f t="shared" si="266"/>
        <v>#N/A</v>
      </c>
      <c r="BR282" s="282" t="e">
        <f t="shared" si="267"/>
        <v>#N/A</v>
      </c>
      <c r="BS282" s="217" t="e">
        <f>VLOOKUP($B282,SDR24_STOCK_BY_LA!$A$2:$C$11878,3,0)</f>
        <v>#N/A</v>
      </c>
      <c r="BT282" s="217" t="str">
        <f t="shared" si="308"/>
        <v/>
      </c>
    </row>
    <row r="283" spans="1:72" x14ac:dyDescent="0.2">
      <c r="A283" s="256" t="str">
        <f t="shared" si="309"/>
        <v/>
      </c>
      <c r="B283" s="217" t="str">
        <f t="shared" si="310"/>
        <v/>
      </c>
      <c r="C283" s="257" t="str">
        <f t="shared" si="268"/>
        <v/>
      </c>
      <c r="D283" s="256" t="str">
        <f>IF(B283="","",IF(totals!$Q$3=0,IFERROR(IF(AD283=2,"0",AE283),""),"-"))</f>
        <v/>
      </c>
      <c r="E283" s="258" t="str">
        <f t="shared" si="269"/>
        <v/>
      </c>
      <c r="F283" s="259" t="str">
        <f t="shared" si="270"/>
        <v/>
      </c>
      <c r="G283" s="259" t="str">
        <f t="shared" si="271"/>
        <v/>
      </c>
      <c r="H283" s="256" t="str">
        <f t="shared" si="249"/>
        <v/>
      </c>
      <c r="I283" s="259" t="str">
        <f t="shared" si="272"/>
        <v/>
      </c>
      <c r="J283" s="259" t="str">
        <f t="shared" si="273"/>
        <v/>
      </c>
      <c r="K283" s="256" t="str">
        <f t="shared" si="250"/>
        <v/>
      </c>
      <c r="L283" s="259" t="str">
        <f t="shared" si="251"/>
        <v/>
      </c>
      <c r="M283" s="259" t="str">
        <f t="shared" si="274"/>
        <v/>
      </c>
      <c r="N283" s="256" t="str">
        <f t="shared" si="275"/>
        <v/>
      </c>
      <c r="O283" s="259" t="str">
        <f t="shared" si="276"/>
        <v/>
      </c>
      <c r="P283" s="259" t="str">
        <f t="shared" si="277"/>
        <v/>
      </c>
      <c r="Q283" s="256" t="str">
        <f t="shared" si="278"/>
        <v/>
      </c>
      <c r="R283" s="259" t="str">
        <f t="shared" si="279"/>
        <v/>
      </c>
      <c r="S283" s="259" t="str">
        <f t="shared" si="280"/>
        <v/>
      </c>
      <c r="T283" s="256" t="str">
        <f t="shared" si="281"/>
        <v/>
      </c>
      <c r="U283" s="217"/>
      <c r="V283" s="217"/>
      <c r="AB283" s="257" t="e">
        <f>VLOOKUP($B$6,Lookup_Source,276,0)</f>
        <v>#N/A</v>
      </c>
      <c r="AC283" s="241" t="str">
        <f t="shared" si="282"/>
        <v/>
      </c>
      <c r="AD283" s="242">
        <f t="shared" si="283"/>
        <v>7</v>
      </c>
      <c r="AE283" s="261" t="e">
        <f t="shared" si="252"/>
        <v>#N/A</v>
      </c>
      <c r="AF283" s="264" t="e">
        <f t="shared" si="284"/>
        <v>#N/A</v>
      </c>
      <c r="AG283" s="264" t="e">
        <f t="shared" si="285"/>
        <v>#N/A</v>
      </c>
      <c r="AH283" s="263" t="e">
        <f t="shared" si="253"/>
        <v>#N/A</v>
      </c>
      <c r="AI283" s="226">
        <f t="shared" si="286"/>
        <v>7</v>
      </c>
      <c r="AJ283" s="264" t="e">
        <f t="shared" si="254"/>
        <v>#N/A</v>
      </c>
      <c r="AK283" s="264" t="e">
        <f t="shared" si="287"/>
        <v>#N/A</v>
      </c>
      <c r="AL283" s="226" t="e">
        <f t="shared" si="255"/>
        <v>#N/A</v>
      </c>
      <c r="AM283" s="265" t="e">
        <f t="shared" si="288"/>
        <v>#N/A</v>
      </c>
      <c r="AN283" s="266" t="e">
        <f t="shared" si="256"/>
        <v>#N/A</v>
      </c>
      <c r="AO283" s="227" t="e">
        <f t="shared" si="257"/>
        <v>#N/A</v>
      </c>
      <c r="AP283" s="284">
        <f t="shared" si="289"/>
        <v>7</v>
      </c>
      <c r="AQ283" s="285" t="e">
        <f t="shared" si="258"/>
        <v>#N/A</v>
      </c>
      <c r="AR283" s="266" t="e">
        <f t="shared" si="290"/>
        <v>#N/A</v>
      </c>
      <c r="AS283" s="270" t="e">
        <f t="shared" si="259"/>
        <v>#N/A</v>
      </c>
      <c r="AT283" s="271">
        <f t="shared" si="291"/>
        <v>7</v>
      </c>
      <c r="AU283" s="272" t="e">
        <f t="shared" si="292"/>
        <v>#N/A</v>
      </c>
      <c r="AV283" s="273" t="e">
        <f t="shared" si="293"/>
        <v>#N/A</v>
      </c>
      <c r="AW283" s="274" t="e">
        <f t="shared" si="260"/>
        <v>#N/A</v>
      </c>
      <c r="AX283" s="232">
        <f t="shared" si="294"/>
        <v>7</v>
      </c>
      <c r="AY283" s="273" t="e">
        <f t="shared" si="261"/>
        <v>#N/A</v>
      </c>
      <c r="AZ283" s="232" t="e">
        <f t="shared" si="295"/>
        <v>#N/A</v>
      </c>
      <c r="BA283" s="232" t="e">
        <f t="shared" si="262"/>
        <v>#N/A</v>
      </c>
      <c r="BB283" s="275">
        <f t="shared" si="296"/>
        <v>7</v>
      </c>
      <c r="BC283" s="276" t="e">
        <f t="shared" si="297"/>
        <v>#N/A</v>
      </c>
      <c r="BD283" s="277" t="e">
        <f t="shared" si="298"/>
        <v>#N/A</v>
      </c>
      <c r="BE283" s="250" t="e">
        <f t="shared" si="263"/>
        <v>#N/A</v>
      </c>
      <c r="BF283" s="247">
        <f t="shared" si="299"/>
        <v>7</v>
      </c>
      <c r="BG283" s="276" t="e">
        <f t="shared" si="300"/>
        <v>#N/A</v>
      </c>
      <c r="BH283" s="277" t="e">
        <f t="shared" si="301"/>
        <v>#N/A</v>
      </c>
      <c r="BI283" s="250" t="e">
        <f t="shared" si="264"/>
        <v>#N/A</v>
      </c>
      <c r="BJ283" s="251">
        <f t="shared" si="302"/>
        <v>7</v>
      </c>
      <c r="BK283" s="278" t="e">
        <f t="shared" si="303"/>
        <v>#N/A</v>
      </c>
      <c r="BL283" s="278" t="e">
        <f t="shared" si="304"/>
        <v>#N/A</v>
      </c>
      <c r="BM283" s="279" t="e">
        <f t="shared" si="265"/>
        <v>#N/A</v>
      </c>
      <c r="BN283" s="280">
        <f t="shared" si="305"/>
        <v>7</v>
      </c>
      <c r="BO283" s="281" t="e">
        <f t="shared" si="306"/>
        <v>#N/A</v>
      </c>
      <c r="BP283" s="281" t="e">
        <f t="shared" si="307"/>
        <v>#N/A</v>
      </c>
      <c r="BQ283" s="279" t="e">
        <f t="shared" si="266"/>
        <v>#N/A</v>
      </c>
      <c r="BR283" s="282" t="e">
        <f t="shared" si="267"/>
        <v>#N/A</v>
      </c>
      <c r="BS283" s="217" t="e">
        <f>VLOOKUP($B283,SDR24_STOCK_BY_LA!$A$2:$C$11878,3,0)</f>
        <v>#N/A</v>
      </c>
      <c r="BT283" s="217" t="str">
        <f t="shared" si="308"/>
        <v/>
      </c>
    </row>
    <row r="284" spans="1:72" x14ac:dyDescent="0.2">
      <c r="A284" s="217" t="str">
        <f t="shared" si="309"/>
        <v/>
      </c>
      <c r="B284" s="217" t="str">
        <f t="shared" si="310"/>
        <v/>
      </c>
      <c r="C284" s="283" t="str">
        <f t="shared" si="268"/>
        <v/>
      </c>
      <c r="D284" s="256" t="str">
        <f>IF(B284="","",IF(totals!$Q$3=0,IFERROR(IF(AD284=2,"0",AE284),""),"-"))</f>
        <v/>
      </c>
      <c r="E284" s="258" t="str">
        <f t="shared" si="269"/>
        <v/>
      </c>
      <c r="F284" s="259" t="str">
        <f t="shared" si="270"/>
        <v/>
      </c>
      <c r="G284" s="259" t="str">
        <f t="shared" si="271"/>
        <v/>
      </c>
      <c r="H284" s="256" t="str">
        <f t="shared" si="249"/>
        <v/>
      </c>
      <c r="I284" s="259" t="str">
        <f t="shared" si="272"/>
        <v/>
      </c>
      <c r="J284" s="259" t="str">
        <f t="shared" si="273"/>
        <v/>
      </c>
      <c r="K284" s="256" t="str">
        <f t="shared" si="250"/>
        <v/>
      </c>
      <c r="L284" s="259" t="str">
        <f t="shared" si="251"/>
        <v/>
      </c>
      <c r="M284" s="259" t="str">
        <f t="shared" si="274"/>
        <v/>
      </c>
      <c r="N284" s="256" t="str">
        <f t="shared" si="275"/>
        <v/>
      </c>
      <c r="O284" s="259" t="str">
        <f t="shared" si="276"/>
        <v/>
      </c>
      <c r="P284" s="259" t="str">
        <f t="shared" si="277"/>
        <v/>
      </c>
      <c r="Q284" s="256" t="str">
        <f t="shared" si="278"/>
        <v/>
      </c>
      <c r="R284" s="259" t="str">
        <f t="shared" si="279"/>
        <v/>
      </c>
      <c r="S284" s="259" t="str">
        <f t="shared" si="280"/>
        <v/>
      </c>
      <c r="T284" s="256" t="str">
        <f t="shared" si="281"/>
        <v/>
      </c>
      <c r="U284" s="217"/>
      <c r="V284" s="217"/>
      <c r="AB284" s="217" t="e">
        <f>VLOOKUP($B$6,Lookup_Source,277,0)</f>
        <v>#N/A</v>
      </c>
      <c r="AC284" s="241" t="str">
        <f t="shared" si="282"/>
        <v/>
      </c>
      <c r="AD284" s="242">
        <f t="shared" si="283"/>
        <v>7</v>
      </c>
      <c r="AE284" s="261" t="e">
        <f t="shared" si="252"/>
        <v>#N/A</v>
      </c>
      <c r="AF284" s="264" t="e">
        <f t="shared" si="284"/>
        <v>#N/A</v>
      </c>
      <c r="AG284" s="264" t="e">
        <f t="shared" si="285"/>
        <v>#N/A</v>
      </c>
      <c r="AH284" s="263" t="e">
        <f t="shared" si="253"/>
        <v>#N/A</v>
      </c>
      <c r="AI284" s="226">
        <f t="shared" si="286"/>
        <v>7</v>
      </c>
      <c r="AJ284" s="264" t="e">
        <f t="shared" si="254"/>
        <v>#N/A</v>
      </c>
      <c r="AK284" s="264" t="e">
        <f t="shared" si="287"/>
        <v>#N/A</v>
      </c>
      <c r="AL284" s="226" t="e">
        <f t="shared" si="255"/>
        <v>#N/A</v>
      </c>
      <c r="AM284" s="265" t="e">
        <f t="shared" si="288"/>
        <v>#N/A</v>
      </c>
      <c r="AN284" s="266" t="e">
        <f t="shared" si="256"/>
        <v>#N/A</v>
      </c>
      <c r="AO284" s="227" t="e">
        <f t="shared" si="257"/>
        <v>#N/A</v>
      </c>
      <c r="AP284" s="284">
        <f t="shared" si="289"/>
        <v>7</v>
      </c>
      <c r="AQ284" s="285" t="e">
        <f t="shared" si="258"/>
        <v>#N/A</v>
      </c>
      <c r="AR284" s="266" t="e">
        <f t="shared" si="290"/>
        <v>#N/A</v>
      </c>
      <c r="AS284" s="270" t="e">
        <f t="shared" si="259"/>
        <v>#N/A</v>
      </c>
      <c r="AT284" s="271">
        <f t="shared" si="291"/>
        <v>7</v>
      </c>
      <c r="AU284" s="272" t="e">
        <f t="shared" si="292"/>
        <v>#N/A</v>
      </c>
      <c r="AV284" s="273" t="e">
        <f t="shared" si="293"/>
        <v>#N/A</v>
      </c>
      <c r="AW284" s="274" t="e">
        <f t="shared" si="260"/>
        <v>#N/A</v>
      </c>
      <c r="AX284" s="232">
        <f t="shared" si="294"/>
        <v>7</v>
      </c>
      <c r="AY284" s="273" t="e">
        <f t="shared" si="261"/>
        <v>#N/A</v>
      </c>
      <c r="AZ284" s="232" t="e">
        <f t="shared" si="295"/>
        <v>#N/A</v>
      </c>
      <c r="BA284" s="232" t="e">
        <f t="shared" si="262"/>
        <v>#N/A</v>
      </c>
      <c r="BB284" s="275">
        <f t="shared" si="296"/>
        <v>7</v>
      </c>
      <c r="BC284" s="276" t="e">
        <f t="shared" si="297"/>
        <v>#N/A</v>
      </c>
      <c r="BD284" s="277" t="e">
        <f t="shared" si="298"/>
        <v>#N/A</v>
      </c>
      <c r="BE284" s="250" t="e">
        <f t="shared" si="263"/>
        <v>#N/A</v>
      </c>
      <c r="BF284" s="247">
        <f t="shared" si="299"/>
        <v>7</v>
      </c>
      <c r="BG284" s="276" t="e">
        <f t="shared" si="300"/>
        <v>#N/A</v>
      </c>
      <c r="BH284" s="277" t="e">
        <f t="shared" si="301"/>
        <v>#N/A</v>
      </c>
      <c r="BI284" s="250" t="e">
        <f t="shared" si="264"/>
        <v>#N/A</v>
      </c>
      <c r="BJ284" s="251">
        <f t="shared" si="302"/>
        <v>7</v>
      </c>
      <c r="BK284" s="278" t="e">
        <f t="shared" si="303"/>
        <v>#N/A</v>
      </c>
      <c r="BL284" s="278" t="e">
        <f t="shared" si="304"/>
        <v>#N/A</v>
      </c>
      <c r="BM284" s="279" t="e">
        <f t="shared" si="265"/>
        <v>#N/A</v>
      </c>
      <c r="BN284" s="280">
        <f t="shared" si="305"/>
        <v>7</v>
      </c>
      <c r="BO284" s="281" t="e">
        <f t="shared" si="306"/>
        <v>#N/A</v>
      </c>
      <c r="BP284" s="281" t="e">
        <f t="shared" si="307"/>
        <v>#N/A</v>
      </c>
      <c r="BQ284" s="279" t="e">
        <f t="shared" si="266"/>
        <v>#N/A</v>
      </c>
      <c r="BR284" s="282" t="e">
        <f t="shared" si="267"/>
        <v>#N/A</v>
      </c>
      <c r="BS284" s="217" t="e">
        <f>VLOOKUP($B284,SDR24_STOCK_BY_LA!$A$2:$C$11878,3,0)</f>
        <v>#N/A</v>
      </c>
      <c r="BT284" s="217" t="str">
        <f t="shared" si="308"/>
        <v/>
      </c>
    </row>
    <row r="285" spans="1:72" x14ac:dyDescent="0.2">
      <c r="A285" s="256" t="str">
        <f t="shared" si="309"/>
        <v/>
      </c>
      <c r="B285" s="217" t="str">
        <f t="shared" si="310"/>
        <v/>
      </c>
      <c r="C285" s="257" t="str">
        <f t="shared" si="268"/>
        <v/>
      </c>
      <c r="D285" s="256" t="str">
        <f>IF(B285="","",IF(totals!$Q$3=0,IFERROR(IF(AD285=2,"0",AE285),""),"-"))</f>
        <v/>
      </c>
      <c r="E285" s="258" t="str">
        <f t="shared" si="269"/>
        <v/>
      </c>
      <c r="F285" s="259" t="str">
        <f t="shared" si="270"/>
        <v/>
      </c>
      <c r="G285" s="259" t="str">
        <f t="shared" si="271"/>
        <v/>
      </c>
      <c r="H285" s="256" t="str">
        <f t="shared" si="249"/>
        <v/>
      </c>
      <c r="I285" s="259" t="str">
        <f t="shared" si="272"/>
        <v/>
      </c>
      <c r="J285" s="259" t="str">
        <f t="shared" si="273"/>
        <v/>
      </c>
      <c r="K285" s="256" t="str">
        <f t="shared" si="250"/>
        <v/>
      </c>
      <c r="L285" s="259" t="str">
        <f t="shared" si="251"/>
        <v/>
      </c>
      <c r="M285" s="259" t="str">
        <f t="shared" si="274"/>
        <v/>
      </c>
      <c r="N285" s="256" t="str">
        <f t="shared" si="275"/>
        <v/>
      </c>
      <c r="O285" s="259" t="str">
        <f t="shared" si="276"/>
        <v/>
      </c>
      <c r="P285" s="259" t="str">
        <f t="shared" si="277"/>
        <v/>
      </c>
      <c r="Q285" s="256" t="str">
        <f t="shared" si="278"/>
        <v/>
      </c>
      <c r="R285" s="259" t="str">
        <f t="shared" si="279"/>
        <v/>
      </c>
      <c r="S285" s="259" t="str">
        <f t="shared" si="280"/>
        <v/>
      </c>
      <c r="T285" s="256" t="str">
        <f t="shared" si="281"/>
        <v/>
      </c>
      <c r="U285" s="217"/>
      <c r="V285" s="217"/>
      <c r="AB285" s="257" t="e">
        <f>VLOOKUP($B$6,Lookup_Source,278,0)</f>
        <v>#N/A</v>
      </c>
      <c r="AC285" s="241" t="str">
        <f t="shared" si="282"/>
        <v/>
      </c>
      <c r="AD285" s="242">
        <f t="shared" si="283"/>
        <v>7</v>
      </c>
      <c r="AE285" s="261" t="e">
        <f t="shared" si="252"/>
        <v>#N/A</v>
      </c>
      <c r="AF285" s="264" t="e">
        <f t="shared" si="284"/>
        <v>#N/A</v>
      </c>
      <c r="AG285" s="264" t="e">
        <f t="shared" si="285"/>
        <v>#N/A</v>
      </c>
      <c r="AH285" s="263" t="e">
        <f t="shared" si="253"/>
        <v>#N/A</v>
      </c>
      <c r="AI285" s="226">
        <f t="shared" si="286"/>
        <v>7</v>
      </c>
      <c r="AJ285" s="264" t="e">
        <f t="shared" si="254"/>
        <v>#N/A</v>
      </c>
      <c r="AK285" s="264" t="e">
        <f t="shared" si="287"/>
        <v>#N/A</v>
      </c>
      <c r="AL285" s="226" t="e">
        <f t="shared" si="255"/>
        <v>#N/A</v>
      </c>
      <c r="AM285" s="265" t="e">
        <f t="shared" si="288"/>
        <v>#N/A</v>
      </c>
      <c r="AN285" s="266" t="e">
        <f t="shared" si="256"/>
        <v>#N/A</v>
      </c>
      <c r="AO285" s="227" t="e">
        <f t="shared" si="257"/>
        <v>#N/A</v>
      </c>
      <c r="AP285" s="284">
        <f t="shared" si="289"/>
        <v>7</v>
      </c>
      <c r="AQ285" s="285" t="e">
        <f t="shared" si="258"/>
        <v>#N/A</v>
      </c>
      <c r="AR285" s="266" t="e">
        <f t="shared" si="290"/>
        <v>#N/A</v>
      </c>
      <c r="AS285" s="270" t="e">
        <f t="shared" si="259"/>
        <v>#N/A</v>
      </c>
      <c r="AT285" s="271">
        <f t="shared" si="291"/>
        <v>7</v>
      </c>
      <c r="AU285" s="272" t="e">
        <f t="shared" si="292"/>
        <v>#N/A</v>
      </c>
      <c r="AV285" s="273" t="e">
        <f t="shared" si="293"/>
        <v>#N/A</v>
      </c>
      <c r="AW285" s="274" t="e">
        <f t="shared" si="260"/>
        <v>#N/A</v>
      </c>
      <c r="AX285" s="232">
        <f t="shared" si="294"/>
        <v>7</v>
      </c>
      <c r="AY285" s="273" t="e">
        <f t="shared" si="261"/>
        <v>#N/A</v>
      </c>
      <c r="AZ285" s="232" t="e">
        <f t="shared" si="295"/>
        <v>#N/A</v>
      </c>
      <c r="BA285" s="232" t="e">
        <f t="shared" si="262"/>
        <v>#N/A</v>
      </c>
      <c r="BB285" s="275">
        <f t="shared" si="296"/>
        <v>7</v>
      </c>
      <c r="BC285" s="276" t="e">
        <f t="shared" si="297"/>
        <v>#N/A</v>
      </c>
      <c r="BD285" s="277" t="e">
        <f t="shared" si="298"/>
        <v>#N/A</v>
      </c>
      <c r="BE285" s="250" t="e">
        <f t="shared" si="263"/>
        <v>#N/A</v>
      </c>
      <c r="BF285" s="247">
        <f t="shared" si="299"/>
        <v>7</v>
      </c>
      <c r="BG285" s="276" t="e">
        <f t="shared" si="300"/>
        <v>#N/A</v>
      </c>
      <c r="BH285" s="277" t="e">
        <f t="shared" si="301"/>
        <v>#N/A</v>
      </c>
      <c r="BI285" s="250" t="e">
        <f t="shared" si="264"/>
        <v>#N/A</v>
      </c>
      <c r="BJ285" s="251">
        <f t="shared" si="302"/>
        <v>7</v>
      </c>
      <c r="BK285" s="278" t="e">
        <f t="shared" si="303"/>
        <v>#N/A</v>
      </c>
      <c r="BL285" s="278" t="e">
        <f t="shared" si="304"/>
        <v>#N/A</v>
      </c>
      <c r="BM285" s="279" t="e">
        <f t="shared" si="265"/>
        <v>#N/A</v>
      </c>
      <c r="BN285" s="280">
        <f t="shared" si="305"/>
        <v>7</v>
      </c>
      <c r="BO285" s="281" t="e">
        <f t="shared" si="306"/>
        <v>#N/A</v>
      </c>
      <c r="BP285" s="281" t="e">
        <f t="shared" si="307"/>
        <v>#N/A</v>
      </c>
      <c r="BQ285" s="279" t="e">
        <f t="shared" si="266"/>
        <v>#N/A</v>
      </c>
      <c r="BR285" s="282" t="e">
        <f t="shared" si="267"/>
        <v>#N/A</v>
      </c>
      <c r="BS285" s="217" t="e">
        <f>VLOOKUP($B285,SDR24_STOCK_BY_LA!$A$2:$C$11878,3,0)</f>
        <v>#N/A</v>
      </c>
      <c r="BT285" s="217" t="str">
        <f t="shared" si="308"/>
        <v/>
      </c>
    </row>
    <row r="286" spans="1:72" x14ac:dyDescent="0.2">
      <c r="A286" s="217" t="str">
        <f t="shared" si="309"/>
        <v/>
      </c>
      <c r="B286" s="217" t="str">
        <f t="shared" si="310"/>
        <v/>
      </c>
      <c r="C286" s="283" t="str">
        <f t="shared" si="268"/>
        <v/>
      </c>
      <c r="D286" s="256" t="str">
        <f>IF(B286="","",IF(totals!$Q$3=0,IFERROR(IF(AD286=2,"0",AE286),""),"-"))</f>
        <v/>
      </c>
      <c r="E286" s="258" t="str">
        <f t="shared" si="269"/>
        <v/>
      </c>
      <c r="F286" s="259" t="str">
        <f t="shared" si="270"/>
        <v/>
      </c>
      <c r="G286" s="259" t="str">
        <f t="shared" si="271"/>
        <v/>
      </c>
      <c r="H286" s="256" t="str">
        <f t="shared" si="249"/>
        <v/>
      </c>
      <c r="I286" s="259" t="str">
        <f t="shared" si="272"/>
        <v/>
      </c>
      <c r="J286" s="259" t="str">
        <f t="shared" si="273"/>
        <v/>
      </c>
      <c r="K286" s="256" t="str">
        <f t="shared" si="250"/>
        <v/>
      </c>
      <c r="L286" s="259" t="str">
        <f t="shared" si="251"/>
        <v/>
      </c>
      <c r="M286" s="259" t="str">
        <f t="shared" si="274"/>
        <v/>
      </c>
      <c r="N286" s="256" t="str">
        <f t="shared" si="275"/>
        <v/>
      </c>
      <c r="O286" s="259" t="str">
        <f t="shared" si="276"/>
        <v/>
      </c>
      <c r="P286" s="259" t="str">
        <f t="shared" si="277"/>
        <v/>
      </c>
      <c r="Q286" s="256" t="str">
        <f t="shared" si="278"/>
        <v/>
      </c>
      <c r="R286" s="259" t="str">
        <f t="shared" si="279"/>
        <v/>
      </c>
      <c r="S286" s="259" t="str">
        <f t="shared" si="280"/>
        <v/>
      </c>
      <c r="T286" s="256" t="str">
        <f t="shared" si="281"/>
        <v/>
      </c>
      <c r="U286" s="217"/>
      <c r="V286" s="217"/>
      <c r="AB286" s="217" t="e">
        <f>VLOOKUP($B$6,Lookup_Source,279,0)</f>
        <v>#N/A</v>
      </c>
      <c r="AC286" s="241" t="str">
        <f t="shared" si="282"/>
        <v/>
      </c>
      <c r="AD286" s="242">
        <f t="shared" si="283"/>
        <v>7</v>
      </c>
      <c r="AE286" s="261" t="e">
        <f t="shared" si="252"/>
        <v>#N/A</v>
      </c>
      <c r="AF286" s="264" t="e">
        <f t="shared" si="284"/>
        <v>#N/A</v>
      </c>
      <c r="AG286" s="264" t="e">
        <f t="shared" si="285"/>
        <v>#N/A</v>
      </c>
      <c r="AH286" s="263" t="e">
        <f t="shared" si="253"/>
        <v>#N/A</v>
      </c>
      <c r="AI286" s="226">
        <f t="shared" si="286"/>
        <v>7</v>
      </c>
      <c r="AJ286" s="264" t="e">
        <f t="shared" si="254"/>
        <v>#N/A</v>
      </c>
      <c r="AK286" s="264" t="e">
        <f t="shared" si="287"/>
        <v>#N/A</v>
      </c>
      <c r="AL286" s="226" t="e">
        <f t="shared" si="255"/>
        <v>#N/A</v>
      </c>
      <c r="AM286" s="265" t="e">
        <f t="shared" si="288"/>
        <v>#N/A</v>
      </c>
      <c r="AN286" s="266" t="e">
        <f t="shared" si="256"/>
        <v>#N/A</v>
      </c>
      <c r="AO286" s="227" t="e">
        <f t="shared" si="257"/>
        <v>#N/A</v>
      </c>
      <c r="AP286" s="284">
        <f t="shared" si="289"/>
        <v>7</v>
      </c>
      <c r="AQ286" s="285" t="e">
        <f t="shared" si="258"/>
        <v>#N/A</v>
      </c>
      <c r="AR286" s="266" t="e">
        <f t="shared" si="290"/>
        <v>#N/A</v>
      </c>
      <c r="AS286" s="270" t="e">
        <f t="shared" si="259"/>
        <v>#N/A</v>
      </c>
      <c r="AT286" s="271">
        <f t="shared" si="291"/>
        <v>7</v>
      </c>
      <c r="AU286" s="272" t="e">
        <f t="shared" si="292"/>
        <v>#N/A</v>
      </c>
      <c r="AV286" s="273" t="e">
        <f t="shared" si="293"/>
        <v>#N/A</v>
      </c>
      <c r="AW286" s="274" t="e">
        <f t="shared" si="260"/>
        <v>#N/A</v>
      </c>
      <c r="AX286" s="232">
        <f t="shared" si="294"/>
        <v>7</v>
      </c>
      <c r="AY286" s="273" t="e">
        <f t="shared" si="261"/>
        <v>#N/A</v>
      </c>
      <c r="AZ286" s="232" t="e">
        <f t="shared" si="295"/>
        <v>#N/A</v>
      </c>
      <c r="BA286" s="232" t="e">
        <f t="shared" si="262"/>
        <v>#N/A</v>
      </c>
      <c r="BB286" s="275">
        <f t="shared" si="296"/>
        <v>7</v>
      </c>
      <c r="BC286" s="276" t="e">
        <f t="shared" si="297"/>
        <v>#N/A</v>
      </c>
      <c r="BD286" s="277" t="e">
        <f t="shared" si="298"/>
        <v>#N/A</v>
      </c>
      <c r="BE286" s="250" t="e">
        <f t="shared" si="263"/>
        <v>#N/A</v>
      </c>
      <c r="BF286" s="247">
        <f t="shared" si="299"/>
        <v>7</v>
      </c>
      <c r="BG286" s="276" t="e">
        <f t="shared" si="300"/>
        <v>#N/A</v>
      </c>
      <c r="BH286" s="277" t="e">
        <f t="shared" si="301"/>
        <v>#N/A</v>
      </c>
      <c r="BI286" s="250" t="e">
        <f t="shared" si="264"/>
        <v>#N/A</v>
      </c>
      <c r="BJ286" s="251">
        <f t="shared" si="302"/>
        <v>7</v>
      </c>
      <c r="BK286" s="278" t="e">
        <f t="shared" si="303"/>
        <v>#N/A</v>
      </c>
      <c r="BL286" s="278" t="e">
        <f t="shared" si="304"/>
        <v>#N/A</v>
      </c>
      <c r="BM286" s="279" t="e">
        <f t="shared" si="265"/>
        <v>#N/A</v>
      </c>
      <c r="BN286" s="280">
        <f t="shared" si="305"/>
        <v>7</v>
      </c>
      <c r="BO286" s="281" t="e">
        <f t="shared" si="306"/>
        <v>#N/A</v>
      </c>
      <c r="BP286" s="281" t="e">
        <f t="shared" si="307"/>
        <v>#N/A</v>
      </c>
      <c r="BQ286" s="279" t="e">
        <f t="shared" si="266"/>
        <v>#N/A</v>
      </c>
      <c r="BR286" s="282" t="e">
        <f t="shared" si="267"/>
        <v>#N/A</v>
      </c>
      <c r="BS286" s="217" t="e">
        <f>VLOOKUP($B286,SDR24_STOCK_BY_LA!$A$2:$C$11878,3,0)</f>
        <v>#N/A</v>
      </c>
      <c r="BT286" s="217" t="str">
        <f t="shared" si="308"/>
        <v/>
      </c>
    </row>
    <row r="287" spans="1:72" x14ac:dyDescent="0.2">
      <c r="A287" s="256" t="str">
        <f t="shared" si="309"/>
        <v/>
      </c>
      <c r="B287" s="217" t="str">
        <f t="shared" si="310"/>
        <v/>
      </c>
      <c r="C287" s="257" t="str">
        <f t="shared" si="268"/>
        <v/>
      </c>
      <c r="D287" s="256" t="str">
        <f>IF(B287="","",IF(totals!$Q$3=0,IFERROR(IF(AD287=2,"0",AE287),""),"-"))</f>
        <v/>
      </c>
      <c r="E287" s="258" t="str">
        <f t="shared" si="269"/>
        <v/>
      </c>
      <c r="F287" s="259" t="str">
        <f t="shared" si="270"/>
        <v/>
      </c>
      <c r="G287" s="259" t="str">
        <f t="shared" si="271"/>
        <v/>
      </c>
      <c r="H287" s="256" t="str">
        <f t="shared" si="249"/>
        <v/>
      </c>
      <c r="I287" s="259" t="str">
        <f t="shared" si="272"/>
        <v/>
      </c>
      <c r="J287" s="259" t="str">
        <f t="shared" si="273"/>
        <v/>
      </c>
      <c r="K287" s="256" t="str">
        <f t="shared" si="250"/>
        <v/>
      </c>
      <c r="L287" s="259" t="str">
        <f t="shared" si="251"/>
        <v/>
      </c>
      <c r="M287" s="259" t="str">
        <f t="shared" si="274"/>
        <v/>
      </c>
      <c r="N287" s="256" t="str">
        <f t="shared" si="275"/>
        <v/>
      </c>
      <c r="O287" s="259" t="str">
        <f t="shared" si="276"/>
        <v/>
      </c>
      <c r="P287" s="259" t="str">
        <f t="shared" si="277"/>
        <v/>
      </c>
      <c r="Q287" s="256" t="str">
        <f t="shared" si="278"/>
        <v/>
      </c>
      <c r="R287" s="259" t="str">
        <f t="shared" si="279"/>
        <v/>
      </c>
      <c r="S287" s="259" t="str">
        <f t="shared" si="280"/>
        <v/>
      </c>
      <c r="T287" s="256" t="str">
        <f t="shared" si="281"/>
        <v/>
      </c>
      <c r="U287" s="217"/>
      <c r="V287" s="217"/>
      <c r="AB287" s="257" t="e">
        <f>VLOOKUP($B$6,Lookup_Source,280,0)</f>
        <v>#N/A</v>
      </c>
      <c r="AC287" s="241" t="str">
        <f t="shared" si="282"/>
        <v/>
      </c>
      <c r="AD287" s="242">
        <f t="shared" si="283"/>
        <v>7</v>
      </c>
      <c r="AE287" s="261" t="e">
        <f t="shared" si="252"/>
        <v>#N/A</v>
      </c>
      <c r="AF287" s="264" t="e">
        <f t="shared" si="284"/>
        <v>#N/A</v>
      </c>
      <c r="AG287" s="264" t="e">
        <f t="shared" si="285"/>
        <v>#N/A</v>
      </c>
      <c r="AH287" s="263" t="e">
        <f t="shared" si="253"/>
        <v>#N/A</v>
      </c>
      <c r="AI287" s="226">
        <f t="shared" si="286"/>
        <v>7</v>
      </c>
      <c r="AJ287" s="264" t="e">
        <f t="shared" si="254"/>
        <v>#N/A</v>
      </c>
      <c r="AK287" s="264" t="e">
        <f t="shared" si="287"/>
        <v>#N/A</v>
      </c>
      <c r="AL287" s="226" t="e">
        <f t="shared" si="255"/>
        <v>#N/A</v>
      </c>
      <c r="AM287" s="265" t="e">
        <f t="shared" si="288"/>
        <v>#N/A</v>
      </c>
      <c r="AN287" s="266" t="e">
        <f t="shared" si="256"/>
        <v>#N/A</v>
      </c>
      <c r="AO287" s="227" t="e">
        <f t="shared" si="257"/>
        <v>#N/A</v>
      </c>
      <c r="AP287" s="284">
        <f t="shared" si="289"/>
        <v>7</v>
      </c>
      <c r="AQ287" s="285" t="e">
        <f t="shared" si="258"/>
        <v>#N/A</v>
      </c>
      <c r="AR287" s="266" t="e">
        <f t="shared" si="290"/>
        <v>#N/A</v>
      </c>
      <c r="AS287" s="270" t="e">
        <f t="shared" si="259"/>
        <v>#N/A</v>
      </c>
      <c r="AT287" s="271">
        <f t="shared" si="291"/>
        <v>7</v>
      </c>
      <c r="AU287" s="272" t="e">
        <f t="shared" si="292"/>
        <v>#N/A</v>
      </c>
      <c r="AV287" s="273" t="e">
        <f t="shared" si="293"/>
        <v>#N/A</v>
      </c>
      <c r="AW287" s="274" t="e">
        <f t="shared" si="260"/>
        <v>#N/A</v>
      </c>
      <c r="AX287" s="232">
        <f t="shared" si="294"/>
        <v>7</v>
      </c>
      <c r="AY287" s="273" t="e">
        <f t="shared" si="261"/>
        <v>#N/A</v>
      </c>
      <c r="AZ287" s="232" t="e">
        <f t="shared" si="295"/>
        <v>#N/A</v>
      </c>
      <c r="BA287" s="232" t="e">
        <f t="shared" si="262"/>
        <v>#N/A</v>
      </c>
      <c r="BB287" s="275">
        <f t="shared" si="296"/>
        <v>7</v>
      </c>
      <c r="BC287" s="276" t="e">
        <f t="shared" si="297"/>
        <v>#N/A</v>
      </c>
      <c r="BD287" s="277" t="e">
        <f t="shared" si="298"/>
        <v>#N/A</v>
      </c>
      <c r="BE287" s="250" t="e">
        <f t="shared" si="263"/>
        <v>#N/A</v>
      </c>
      <c r="BF287" s="247">
        <f t="shared" si="299"/>
        <v>7</v>
      </c>
      <c r="BG287" s="276" t="e">
        <f t="shared" si="300"/>
        <v>#N/A</v>
      </c>
      <c r="BH287" s="277" t="e">
        <f t="shared" si="301"/>
        <v>#N/A</v>
      </c>
      <c r="BI287" s="250" t="e">
        <f t="shared" si="264"/>
        <v>#N/A</v>
      </c>
      <c r="BJ287" s="251">
        <f t="shared" si="302"/>
        <v>7</v>
      </c>
      <c r="BK287" s="278" t="e">
        <f t="shared" si="303"/>
        <v>#N/A</v>
      </c>
      <c r="BL287" s="278" t="e">
        <f t="shared" si="304"/>
        <v>#N/A</v>
      </c>
      <c r="BM287" s="279" t="e">
        <f t="shared" si="265"/>
        <v>#N/A</v>
      </c>
      <c r="BN287" s="280">
        <f t="shared" si="305"/>
        <v>7</v>
      </c>
      <c r="BO287" s="281" t="e">
        <f t="shared" si="306"/>
        <v>#N/A</v>
      </c>
      <c r="BP287" s="281" t="e">
        <f t="shared" si="307"/>
        <v>#N/A</v>
      </c>
      <c r="BQ287" s="279" t="e">
        <f t="shared" si="266"/>
        <v>#N/A</v>
      </c>
      <c r="BR287" s="282" t="e">
        <f t="shared" si="267"/>
        <v>#N/A</v>
      </c>
      <c r="BS287" s="217" t="e">
        <f>VLOOKUP($B287,SDR24_STOCK_BY_LA!$A$2:$C$11878,3,0)</f>
        <v>#N/A</v>
      </c>
      <c r="BT287" s="217" t="str">
        <f t="shared" si="308"/>
        <v/>
      </c>
    </row>
    <row r="288" spans="1:72" x14ac:dyDescent="0.2">
      <c r="A288" s="217" t="str">
        <f t="shared" si="309"/>
        <v/>
      </c>
      <c r="B288" s="217" t="str">
        <f t="shared" si="310"/>
        <v/>
      </c>
      <c r="C288" s="283" t="str">
        <f t="shared" si="268"/>
        <v/>
      </c>
      <c r="D288" s="256" t="str">
        <f>IF(B288="","",IF(totals!$Q$3=0,IFERROR(IF(AD288=2,"0",AE288),""),"-"))</f>
        <v/>
      </c>
      <c r="E288" s="258" t="str">
        <f t="shared" si="269"/>
        <v/>
      </c>
      <c r="F288" s="259" t="str">
        <f t="shared" si="270"/>
        <v/>
      </c>
      <c r="G288" s="259" t="str">
        <f t="shared" si="271"/>
        <v/>
      </c>
      <c r="H288" s="256" t="str">
        <f t="shared" si="249"/>
        <v/>
      </c>
      <c r="I288" s="259" t="str">
        <f t="shared" si="272"/>
        <v/>
      </c>
      <c r="J288" s="259" t="str">
        <f t="shared" si="273"/>
        <v/>
      </c>
      <c r="K288" s="256" t="str">
        <f t="shared" si="250"/>
        <v/>
      </c>
      <c r="L288" s="259" t="str">
        <f t="shared" si="251"/>
        <v/>
      </c>
      <c r="M288" s="259" t="str">
        <f t="shared" si="274"/>
        <v/>
      </c>
      <c r="N288" s="256" t="str">
        <f t="shared" si="275"/>
        <v/>
      </c>
      <c r="O288" s="259" t="str">
        <f t="shared" si="276"/>
        <v/>
      </c>
      <c r="P288" s="259" t="str">
        <f t="shared" si="277"/>
        <v/>
      </c>
      <c r="Q288" s="256" t="str">
        <f t="shared" si="278"/>
        <v/>
      </c>
      <c r="R288" s="259" t="str">
        <f t="shared" si="279"/>
        <v/>
      </c>
      <c r="S288" s="259" t="str">
        <f t="shared" si="280"/>
        <v/>
      </c>
      <c r="T288" s="256" t="str">
        <f t="shared" si="281"/>
        <v/>
      </c>
      <c r="U288" s="217"/>
      <c r="V288" s="217"/>
      <c r="AB288" s="217" t="e">
        <f>VLOOKUP($B$6,Lookup_Source,281,0)</f>
        <v>#N/A</v>
      </c>
      <c r="AC288" s="241" t="str">
        <f t="shared" si="282"/>
        <v/>
      </c>
      <c r="AD288" s="242">
        <f t="shared" si="283"/>
        <v>7</v>
      </c>
      <c r="AE288" s="261" t="e">
        <f t="shared" si="252"/>
        <v>#N/A</v>
      </c>
      <c r="AF288" s="264" t="e">
        <f t="shared" si="284"/>
        <v>#N/A</v>
      </c>
      <c r="AG288" s="264" t="e">
        <f t="shared" si="285"/>
        <v>#N/A</v>
      </c>
      <c r="AH288" s="263" t="e">
        <f t="shared" si="253"/>
        <v>#N/A</v>
      </c>
      <c r="AI288" s="226">
        <f t="shared" si="286"/>
        <v>7</v>
      </c>
      <c r="AJ288" s="264" t="e">
        <f t="shared" si="254"/>
        <v>#N/A</v>
      </c>
      <c r="AK288" s="264" t="e">
        <f t="shared" si="287"/>
        <v>#N/A</v>
      </c>
      <c r="AL288" s="226" t="e">
        <f t="shared" si="255"/>
        <v>#N/A</v>
      </c>
      <c r="AM288" s="265" t="e">
        <f t="shared" si="288"/>
        <v>#N/A</v>
      </c>
      <c r="AN288" s="266" t="e">
        <f t="shared" si="256"/>
        <v>#N/A</v>
      </c>
      <c r="AO288" s="227" t="e">
        <f t="shared" si="257"/>
        <v>#N/A</v>
      </c>
      <c r="AP288" s="284">
        <f t="shared" si="289"/>
        <v>7</v>
      </c>
      <c r="AQ288" s="285" t="e">
        <f t="shared" si="258"/>
        <v>#N/A</v>
      </c>
      <c r="AR288" s="266" t="e">
        <f t="shared" si="290"/>
        <v>#N/A</v>
      </c>
      <c r="AS288" s="270" t="e">
        <f t="shared" si="259"/>
        <v>#N/A</v>
      </c>
      <c r="AT288" s="271">
        <f t="shared" si="291"/>
        <v>7</v>
      </c>
      <c r="AU288" s="272" t="e">
        <f t="shared" si="292"/>
        <v>#N/A</v>
      </c>
      <c r="AV288" s="273" t="e">
        <f t="shared" si="293"/>
        <v>#N/A</v>
      </c>
      <c r="AW288" s="274" t="e">
        <f t="shared" si="260"/>
        <v>#N/A</v>
      </c>
      <c r="AX288" s="232">
        <f t="shared" si="294"/>
        <v>7</v>
      </c>
      <c r="AY288" s="273" t="e">
        <f t="shared" si="261"/>
        <v>#N/A</v>
      </c>
      <c r="AZ288" s="232" t="e">
        <f t="shared" si="295"/>
        <v>#N/A</v>
      </c>
      <c r="BA288" s="232" t="e">
        <f t="shared" si="262"/>
        <v>#N/A</v>
      </c>
      <c r="BB288" s="275">
        <f t="shared" si="296"/>
        <v>7</v>
      </c>
      <c r="BC288" s="276" t="e">
        <f t="shared" si="297"/>
        <v>#N/A</v>
      </c>
      <c r="BD288" s="277" t="e">
        <f t="shared" si="298"/>
        <v>#N/A</v>
      </c>
      <c r="BE288" s="250" t="e">
        <f t="shared" si="263"/>
        <v>#N/A</v>
      </c>
      <c r="BF288" s="247">
        <f t="shared" si="299"/>
        <v>7</v>
      </c>
      <c r="BG288" s="276" t="e">
        <f t="shared" si="300"/>
        <v>#N/A</v>
      </c>
      <c r="BH288" s="277" t="e">
        <f t="shared" si="301"/>
        <v>#N/A</v>
      </c>
      <c r="BI288" s="250" t="e">
        <f t="shared" si="264"/>
        <v>#N/A</v>
      </c>
      <c r="BJ288" s="251">
        <f t="shared" si="302"/>
        <v>7</v>
      </c>
      <c r="BK288" s="278" t="e">
        <f t="shared" si="303"/>
        <v>#N/A</v>
      </c>
      <c r="BL288" s="278" t="e">
        <f t="shared" si="304"/>
        <v>#N/A</v>
      </c>
      <c r="BM288" s="279" t="e">
        <f t="shared" si="265"/>
        <v>#N/A</v>
      </c>
      <c r="BN288" s="280">
        <f t="shared" si="305"/>
        <v>7</v>
      </c>
      <c r="BO288" s="281" t="e">
        <f t="shared" si="306"/>
        <v>#N/A</v>
      </c>
      <c r="BP288" s="281" t="e">
        <f t="shared" si="307"/>
        <v>#N/A</v>
      </c>
      <c r="BQ288" s="279" t="e">
        <f t="shared" si="266"/>
        <v>#N/A</v>
      </c>
      <c r="BR288" s="282" t="e">
        <f t="shared" si="267"/>
        <v>#N/A</v>
      </c>
      <c r="BS288" s="217" t="e">
        <f>VLOOKUP($B288,SDR24_STOCK_BY_LA!$A$2:$C$11878,3,0)</f>
        <v>#N/A</v>
      </c>
      <c r="BT288" s="217" t="str">
        <f t="shared" si="308"/>
        <v/>
      </c>
    </row>
    <row r="289" spans="1:72" x14ac:dyDescent="0.2">
      <c r="A289" s="256" t="str">
        <f t="shared" si="309"/>
        <v/>
      </c>
      <c r="B289" s="217" t="str">
        <f t="shared" si="310"/>
        <v/>
      </c>
      <c r="C289" s="257" t="str">
        <f t="shared" si="268"/>
        <v/>
      </c>
      <c r="D289" s="256" t="str">
        <f>IF(B289="","",IF(totals!$Q$3=0,IFERROR(IF(AD289=2,"0",AE289),""),"-"))</f>
        <v/>
      </c>
      <c r="E289" s="258" t="str">
        <f t="shared" si="269"/>
        <v/>
      </c>
      <c r="F289" s="259" t="str">
        <f t="shared" si="270"/>
        <v/>
      </c>
      <c r="G289" s="259" t="str">
        <f t="shared" si="271"/>
        <v/>
      </c>
      <c r="H289" s="256" t="str">
        <f t="shared" si="249"/>
        <v/>
      </c>
      <c r="I289" s="259" t="str">
        <f t="shared" si="272"/>
        <v/>
      </c>
      <c r="J289" s="259" t="str">
        <f t="shared" si="273"/>
        <v/>
      </c>
      <c r="K289" s="256" t="str">
        <f t="shared" si="250"/>
        <v/>
      </c>
      <c r="L289" s="259" t="str">
        <f t="shared" si="251"/>
        <v/>
      </c>
      <c r="M289" s="259" t="str">
        <f t="shared" si="274"/>
        <v/>
      </c>
      <c r="N289" s="256" t="str">
        <f t="shared" si="275"/>
        <v/>
      </c>
      <c r="O289" s="259" t="str">
        <f t="shared" si="276"/>
        <v/>
      </c>
      <c r="P289" s="259" t="str">
        <f t="shared" si="277"/>
        <v/>
      </c>
      <c r="Q289" s="256" t="str">
        <f t="shared" si="278"/>
        <v/>
      </c>
      <c r="R289" s="259" t="str">
        <f t="shared" si="279"/>
        <v/>
      </c>
      <c r="S289" s="259" t="str">
        <f t="shared" si="280"/>
        <v/>
      </c>
      <c r="T289" s="256" t="str">
        <f t="shared" si="281"/>
        <v/>
      </c>
      <c r="U289" s="217"/>
      <c r="V289" s="217"/>
      <c r="AB289" s="257" t="e">
        <f>VLOOKUP($B$6,Lookup_Source,282,0)</f>
        <v>#N/A</v>
      </c>
      <c r="AC289" s="241" t="str">
        <f t="shared" si="282"/>
        <v/>
      </c>
      <c r="AD289" s="242">
        <f t="shared" si="283"/>
        <v>7</v>
      </c>
      <c r="AE289" s="261" t="e">
        <f t="shared" si="252"/>
        <v>#N/A</v>
      </c>
      <c r="AF289" s="264" t="e">
        <f t="shared" si="284"/>
        <v>#N/A</v>
      </c>
      <c r="AG289" s="264" t="e">
        <f t="shared" si="285"/>
        <v>#N/A</v>
      </c>
      <c r="AH289" s="263" t="e">
        <f t="shared" si="253"/>
        <v>#N/A</v>
      </c>
      <c r="AI289" s="226">
        <f t="shared" si="286"/>
        <v>7</v>
      </c>
      <c r="AJ289" s="264" t="e">
        <f t="shared" si="254"/>
        <v>#N/A</v>
      </c>
      <c r="AK289" s="264" t="e">
        <f t="shared" si="287"/>
        <v>#N/A</v>
      </c>
      <c r="AL289" s="226" t="e">
        <f t="shared" si="255"/>
        <v>#N/A</v>
      </c>
      <c r="AM289" s="265" t="e">
        <f t="shared" si="288"/>
        <v>#N/A</v>
      </c>
      <c r="AN289" s="266" t="e">
        <f t="shared" si="256"/>
        <v>#N/A</v>
      </c>
      <c r="AO289" s="227" t="e">
        <f t="shared" si="257"/>
        <v>#N/A</v>
      </c>
      <c r="AP289" s="284">
        <f t="shared" si="289"/>
        <v>7</v>
      </c>
      <c r="AQ289" s="285" t="e">
        <f t="shared" si="258"/>
        <v>#N/A</v>
      </c>
      <c r="AR289" s="266" t="e">
        <f t="shared" si="290"/>
        <v>#N/A</v>
      </c>
      <c r="AS289" s="270" t="e">
        <f t="shared" si="259"/>
        <v>#N/A</v>
      </c>
      <c r="AT289" s="271">
        <f t="shared" si="291"/>
        <v>7</v>
      </c>
      <c r="AU289" s="272" t="e">
        <f t="shared" si="292"/>
        <v>#N/A</v>
      </c>
      <c r="AV289" s="273" t="e">
        <f t="shared" si="293"/>
        <v>#N/A</v>
      </c>
      <c r="AW289" s="274" t="e">
        <f t="shared" si="260"/>
        <v>#N/A</v>
      </c>
      <c r="AX289" s="232">
        <f t="shared" si="294"/>
        <v>7</v>
      </c>
      <c r="AY289" s="273" t="e">
        <f t="shared" si="261"/>
        <v>#N/A</v>
      </c>
      <c r="AZ289" s="232" t="e">
        <f t="shared" si="295"/>
        <v>#N/A</v>
      </c>
      <c r="BA289" s="232" t="e">
        <f t="shared" si="262"/>
        <v>#N/A</v>
      </c>
      <c r="BB289" s="275">
        <f t="shared" si="296"/>
        <v>7</v>
      </c>
      <c r="BC289" s="276" t="e">
        <f t="shared" si="297"/>
        <v>#N/A</v>
      </c>
      <c r="BD289" s="277" t="e">
        <f t="shared" si="298"/>
        <v>#N/A</v>
      </c>
      <c r="BE289" s="250" t="e">
        <f t="shared" si="263"/>
        <v>#N/A</v>
      </c>
      <c r="BF289" s="247">
        <f t="shared" si="299"/>
        <v>7</v>
      </c>
      <c r="BG289" s="276" t="e">
        <f t="shared" si="300"/>
        <v>#N/A</v>
      </c>
      <c r="BH289" s="277" t="e">
        <f t="shared" si="301"/>
        <v>#N/A</v>
      </c>
      <c r="BI289" s="250" t="e">
        <f t="shared" si="264"/>
        <v>#N/A</v>
      </c>
      <c r="BJ289" s="251">
        <f t="shared" si="302"/>
        <v>7</v>
      </c>
      <c r="BK289" s="278" t="e">
        <f t="shared" si="303"/>
        <v>#N/A</v>
      </c>
      <c r="BL289" s="278" t="e">
        <f t="shared" si="304"/>
        <v>#N/A</v>
      </c>
      <c r="BM289" s="279" t="e">
        <f t="shared" si="265"/>
        <v>#N/A</v>
      </c>
      <c r="BN289" s="280">
        <f t="shared" si="305"/>
        <v>7</v>
      </c>
      <c r="BO289" s="281" t="e">
        <f t="shared" si="306"/>
        <v>#N/A</v>
      </c>
      <c r="BP289" s="281" t="e">
        <f t="shared" si="307"/>
        <v>#N/A</v>
      </c>
      <c r="BQ289" s="279" t="e">
        <f t="shared" si="266"/>
        <v>#N/A</v>
      </c>
      <c r="BR289" s="282" t="e">
        <f t="shared" si="267"/>
        <v>#N/A</v>
      </c>
      <c r="BS289" s="217" t="e">
        <f>VLOOKUP($B289,SDR24_STOCK_BY_LA!$A$2:$C$11878,3,0)</f>
        <v>#N/A</v>
      </c>
      <c r="BT289" s="217" t="str">
        <f t="shared" si="308"/>
        <v/>
      </c>
    </row>
    <row r="290" spans="1:72" x14ac:dyDescent="0.2">
      <c r="A290" s="217" t="str">
        <f t="shared" si="309"/>
        <v/>
      </c>
      <c r="B290" s="217" t="str">
        <f t="shared" si="310"/>
        <v/>
      </c>
      <c r="C290" s="283" t="str">
        <f t="shared" si="268"/>
        <v/>
      </c>
      <c r="D290" s="256" t="str">
        <f>IF(B290="","",IF(totals!$Q$3=0,IFERROR(IF(AD290=2,"0",AE290),""),"-"))</f>
        <v/>
      </c>
      <c r="E290" s="258" t="str">
        <f t="shared" si="269"/>
        <v/>
      </c>
      <c r="F290" s="259" t="str">
        <f t="shared" si="270"/>
        <v/>
      </c>
      <c r="G290" s="259" t="str">
        <f t="shared" si="271"/>
        <v/>
      </c>
      <c r="H290" s="256" t="str">
        <f t="shared" si="249"/>
        <v/>
      </c>
      <c r="I290" s="259" t="str">
        <f t="shared" si="272"/>
        <v/>
      </c>
      <c r="J290" s="259" t="str">
        <f t="shared" si="273"/>
        <v/>
      </c>
      <c r="K290" s="256" t="str">
        <f t="shared" si="250"/>
        <v/>
      </c>
      <c r="L290" s="259" t="str">
        <f t="shared" si="251"/>
        <v/>
      </c>
      <c r="M290" s="259" t="str">
        <f t="shared" si="274"/>
        <v/>
      </c>
      <c r="N290" s="256" t="str">
        <f t="shared" si="275"/>
        <v/>
      </c>
      <c r="O290" s="259" t="str">
        <f t="shared" si="276"/>
        <v/>
      </c>
      <c r="P290" s="259" t="str">
        <f t="shared" si="277"/>
        <v/>
      </c>
      <c r="Q290" s="256" t="str">
        <f t="shared" si="278"/>
        <v/>
      </c>
      <c r="R290" s="259" t="str">
        <f t="shared" si="279"/>
        <v/>
      </c>
      <c r="S290" s="259" t="str">
        <f t="shared" si="280"/>
        <v/>
      </c>
      <c r="T290" s="256" t="str">
        <f t="shared" si="281"/>
        <v/>
      </c>
      <c r="U290" s="217"/>
      <c r="V290" s="217"/>
      <c r="AB290" s="217" t="e">
        <f>VLOOKUP($B$6,Lookup_Source,283,0)</f>
        <v>#N/A</v>
      </c>
      <c r="AC290" s="241" t="str">
        <f t="shared" si="282"/>
        <v/>
      </c>
      <c r="AD290" s="242">
        <f t="shared" si="283"/>
        <v>7</v>
      </c>
      <c r="AE290" s="261" t="e">
        <f t="shared" si="252"/>
        <v>#N/A</v>
      </c>
      <c r="AF290" s="264" t="e">
        <f t="shared" si="284"/>
        <v>#N/A</v>
      </c>
      <c r="AG290" s="264" t="e">
        <f t="shared" si="285"/>
        <v>#N/A</v>
      </c>
      <c r="AH290" s="263" t="e">
        <f t="shared" si="253"/>
        <v>#N/A</v>
      </c>
      <c r="AI290" s="226">
        <f t="shared" si="286"/>
        <v>7</v>
      </c>
      <c r="AJ290" s="264" t="e">
        <f t="shared" si="254"/>
        <v>#N/A</v>
      </c>
      <c r="AK290" s="264" t="e">
        <f t="shared" si="287"/>
        <v>#N/A</v>
      </c>
      <c r="AL290" s="226" t="e">
        <f t="shared" si="255"/>
        <v>#N/A</v>
      </c>
      <c r="AM290" s="265" t="e">
        <f t="shared" si="288"/>
        <v>#N/A</v>
      </c>
      <c r="AN290" s="266" t="e">
        <f t="shared" si="256"/>
        <v>#N/A</v>
      </c>
      <c r="AO290" s="227" t="e">
        <f t="shared" si="257"/>
        <v>#N/A</v>
      </c>
      <c r="AP290" s="284">
        <f t="shared" si="289"/>
        <v>7</v>
      </c>
      <c r="AQ290" s="285" t="e">
        <f t="shared" si="258"/>
        <v>#N/A</v>
      </c>
      <c r="AR290" s="266" t="e">
        <f t="shared" si="290"/>
        <v>#N/A</v>
      </c>
      <c r="AS290" s="270" t="e">
        <f t="shared" si="259"/>
        <v>#N/A</v>
      </c>
      <c r="AT290" s="271">
        <f t="shared" si="291"/>
        <v>7</v>
      </c>
      <c r="AU290" s="272" t="e">
        <f t="shared" si="292"/>
        <v>#N/A</v>
      </c>
      <c r="AV290" s="273" t="e">
        <f t="shared" si="293"/>
        <v>#N/A</v>
      </c>
      <c r="AW290" s="274" t="e">
        <f t="shared" si="260"/>
        <v>#N/A</v>
      </c>
      <c r="AX290" s="232">
        <f t="shared" si="294"/>
        <v>7</v>
      </c>
      <c r="AY290" s="273" t="e">
        <f t="shared" si="261"/>
        <v>#N/A</v>
      </c>
      <c r="AZ290" s="232" t="e">
        <f t="shared" si="295"/>
        <v>#N/A</v>
      </c>
      <c r="BA290" s="232" t="e">
        <f t="shared" si="262"/>
        <v>#N/A</v>
      </c>
      <c r="BB290" s="275">
        <f t="shared" si="296"/>
        <v>7</v>
      </c>
      <c r="BC290" s="276" t="e">
        <f t="shared" si="297"/>
        <v>#N/A</v>
      </c>
      <c r="BD290" s="277" t="e">
        <f t="shared" si="298"/>
        <v>#N/A</v>
      </c>
      <c r="BE290" s="250" t="e">
        <f t="shared" si="263"/>
        <v>#N/A</v>
      </c>
      <c r="BF290" s="247">
        <f t="shared" si="299"/>
        <v>7</v>
      </c>
      <c r="BG290" s="276" t="e">
        <f t="shared" si="300"/>
        <v>#N/A</v>
      </c>
      <c r="BH290" s="277" t="e">
        <f t="shared" si="301"/>
        <v>#N/A</v>
      </c>
      <c r="BI290" s="250" t="e">
        <f t="shared" si="264"/>
        <v>#N/A</v>
      </c>
      <c r="BJ290" s="251">
        <f t="shared" si="302"/>
        <v>7</v>
      </c>
      <c r="BK290" s="278" t="e">
        <f t="shared" si="303"/>
        <v>#N/A</v>
      </c>
      <c r="BL290" s="278" t="e">
        <f t="shared" si="304"/>
        <v>#N/A</v>
      </c>
      <c r="BM290" s="279" t="e">
        <f t="shared" si="265"/>
        <v>#N/A</v>
      </c>
      <c r="BN290" s="280">
        <f t="shared" si="305"/>
        <v>7</v>
      </c>
      <c r="BO290" s="281" t="e">
        <f t="shared" si="306"/>
        <v>#N/A</v>
      </c>
      <c r="BP290" s="281" t="e">
        <f t="shared" si="307"/>
        <v>#N/A</v>
      </c>
      <c r="BQ290" s="279" t="e">
        <f t="shared" si="266"/>
        <v>#N/A</v>
      </c>
      <c r="BR290" s="282" t="e">
        <f t="shared" si="267"/>
        <v>#N/A</v>
      </c>
      <c r="BS290" s="217" t="e">
        <f>VLOOKUP($B290,SDR24_STOCK_BY_LA!$A$2:$C$11878,3,0)</f>
        <v>#N/A</v>
      </c>
      <c r="BT290" s="217" t="str">
        <f t="shared" si="308"/>
        <v/>
      </c>
    </row>
    <row r="291" spans="1:72" x14ac:dyDescent="0.2">
      <c r="A291" s="256" t="str">
        <f t="shared" si="309"/>
        <v/>
      </c>
      <c r="B291" s="217" t="str">
        <f t="shared" si="310"/>
        <v/>
      </c>
      <c r="C291" s="257" t="str">
        <f t="shared" si="268"/>
        <v/>
      </c>
      <c r="D291" s="256" t="str">
        <f>IF(B291="","",IF(totals!$Q$3=0,IFERROR(IF(AD291=2,"0",AE291),""),"-"))</f>
        <v/>
      </c>
      <c r="E291" s="258" t="str">
        <f t="shared" si="269"/>
        <v/>
      </c>
      <c r="F291" s="259" t="str">
        <f t="shared" si="270"/>
        <v/>
      </c>
      <c r="G291" s="259" t="str">
        <f t="shared" si="271"/>
        <v/>
      </c>
      <c r="H291" s="256" t="str">
        <f t="shared" si="249"/>
        <v/>
      </c>
      <c r="I291" s="259" t="str">
        <f t="shared" si="272"/>
        <v/>
      </c>
      <c r="J291" s="259" t="str">
        <f t="shared" si="273"/>
        <v/>
      </c>
      <c r="K291" s="256" t="str">
        <f t="shared" si="250"/>
        <v/>
      </c>
      <c r="L291" s="259" t="str">
        <f t="shared" si="251"/>
        <v/>
      </c>
      <c r="M291" s="259" t="str">
        <f t="shared" si="274"/>
        <v/>
      </c>
      <c r="N291" s="256" t="str">
        <f t="shared" si="275"/>
        <v/>
      </c>
      <c r="O291" s="259" t="str">
        <f t="shared" si="276"/>
        <v/>
      </c>
      <c r="P291" s="259" t="str">
        <f t="shared" si="277"/>
        <v/>
      </c>
      <c r="Q291" s="256" t="str">
        <f t="shared" si="278"/>
        <v/>
      </c>
      <c r="R291" s="259" t="str">
        <f t="shared" si="279"/>
        <v/>
      </c>
      <c r="S291" s="259" t="str">
        <f t="shared" si="280"/>
        <v/>
      </c>
      <c r="T291" s="256" t="str">
        <f t="shared" si="281"/>
        <v/>
      </c>
      <c r="U291" s="217"/>
      <c r="V291" s="217"/>
      <c r="AB291" s="257" t="e">
        <f>VLOOKUP($B$6,Lookup_Source,284,0)</f>
        <v>#N/A</v>
      </c>
      <c r="AC291" s="241" t="str">
        <f t="shared" si="282"/>
        <v/>
      </c>
      <c r="AD291" s="242">
        <f t="shared" si="283"/>
        <v>7</v>
      </c>
      <c r="AE291" s="261" t="e">
        <f t="shared" si="252"/>
        <v>#N/A</v>
      </c>
      <c r="AF291" s="264" t="e">
        <f t="shared" si="284"/>
        <v>#N/A</v>
      </c>
      <c r="AG291" s="264" t="e">
        <f t="shared" si="285"/>
        <v>#N/A</v>
      </c>
      <c r="AH291" s="263" t="e">
        <f t="shared" si="253"/>
        <v>#N/A</v>
      </c>
      <c r="AI291" s="226">
        <f t="shared" si="286"/>
        <v>7</v>
      </c>
      <c r="AJ291" s="264" t="e">
        <f t="shared" si="254"/>
        <v>#N/A</v>
      </c>
      <c r="AK291" s="264" t="e">
        <f t="shared" si="287"/>
        <v>#N/A</v>
      </c>
      <c r="AL291" s="226" t="e">
        <f t="shared" si="255"/>
        <v>#N/A</v>
      </c>
      <c r="AM291" s="265" t="e">
        <f t="shared" si="288"/>
        <v>#N/A</v>
      </c>
      <c r="AN291" s="266" t="e">
        <f t="shared" si="256"/>
        <v>#N/A</v>
      </c>
      <c r="AO291" s="227" t="e">
        <f t="shared" si="257"/>
        <v>#N/A</v>
      </c>
      <c r="AP291" s="284">
        <f t="shared" si="289"/>
        <v>7</v>
      </c>
      <c r="AQ291" s="285" t="e">
        <f t="shared" si="258"/>
        <v>#N/A</v>
      </c>
      <c r="AR291" s="266" t="e">
        <f t="shared" si="290"/>
        <v>#N/A</v>
      </c>
      <c r="AS291" s="270" t="e">
        <f t="shared" si="259"/>
        <v>#N/A</v>
      </c>
      <c r="AT291" s="271">
        <f t="shared" si="291"/>
        <v>7</v>
      </c>
      <c r="AU291" s="272" t="e">
        <f t="shared" si="292"/>
        <v>#N/A</v>
      </c>
      <c r="AV291" s="273" t="e">
        <f t="shared" si="293"/>
        <v>#N/A</v>
      </c>
      <c r="AW291" s="274" t="e">
        <f t="shared" si="260"/>
        <v>#N/A</v>
      </c>
      <c r="AX291" s="232">
        <f t="shared" si="294"/>
        <v>7</v>
      </c>
      <c r="AY291" s="273" t="e">
        <f t="shared" si="261"/>
        <v>#N/A</v>
      </c>
      <c r="AZ291" s="232" t="e">
        <f t="shared" si="295"/>
        <v>#N/A</v>
      </c>
      <c r="BA291" s="232" t="e">
        <f t="shared" si="262"/>
        <v>#N/A</v>
      </c>
      <c r="BB291" s="275">
        <f t="shared" si="296"/>
        <v>7</v>
      </c>
      <c r="BC291" s="276" t="e">
        <f t="shared" si="297"/>
        <v>#N/A</v>
      </c>
      <c r="BD291" s="277" t="e">
        <f t="shared" si="298"/>
        <v>#N/A</v>
      </c>
      <c r="BE291" s="250" t="e">
        <f t="shared" si="263"/>
        <v>#N/A</v>
      </c>
      <c r="BF291" s="247">
        <f t="shared" si="299"/>
        <v>7</v>
      </c>
      <c r="BG291" s="276" t="e">
        <f t="shared" si="300"/>
        <v>#N/A</v>
      </c>
      <c r="BH291" s="277" t="e">
        <f t="shared" si="301"/>
        <v>#N/A</v>
      </c>
      <c r="BI291" s="250" t="e">
        <f t="shared" si="264"/>
        <v>#N/A</v>
      </c>
      <c r="BJ291" s="251">
        <f t="shared" si="302"/>
        <v>7</v>
      </c>
      <c r="BK291" s="278" t="e">
        <f t="shared" si="303"/>
        <v>#N/A</v>
      </c>
      <c r="BL291" s="278" t="e">
        <f t="shared" si="304"/>
        <v>#N/A</v>
      </c>
      <c r="BM291" s="279" t="e">
        <f t="shared" si="265"/>
        <v>#N/A</v>
      </c>
      <c r="BN291" s="280">
        <f t="shared" si="305"/>
        <v>7</v>
      </c>
      <c r="BO291" s="281" t="e">
        <f t="shared" si="306"/>
        <v>#N/A</v>
      </c>
      <c r="BP291" s="281" t="e">
        <f t="shared" si="307"/>
        <v>#N/A</v>
      </c>
      <c r="BQ291" s="279" t="e">
        <f t="shared" si="266"/>
        <v>#N/A</v>
      </c>
      <c r="BR291" s="282" t="e">
        <f t="shared" si="267"/>
        <v>#N/A</v>
      </c>
      <c r="BS291" s="217" t="e">
        <f>VLOOKUP($B291,SDR24_STOCK_BY_LA!$A$2:$C$11878,3,0)</f>
        <v>#N/A</v>
      </c>
      <c r="BT291" s="217" t="str">
        <f t="shared" si="308"/>
        <v/>
      </c>
    </row>
    <row r="292" spans="1:72" x14ac:dyDescent="0.2">
      <c r="A292" s="217" t="str">
        <f t="shared" si="309"/>
        <v/>
      </c>
      <c r="B292" s="217" t="str">
        <f t="shared" si="310"/>
        <v/>
      </c>
      <c r="C292" s="283" t="str">
        <f t="shared" si="268"/>
        <v/>
      </c>
      <c r="D292" s="256" t="str">
        <f>IF(B292="","",IF(totals!$Q$3=0,IFERROR(IF(AD292=2,"0",AE292),""),"-"))</f>
        <v/>
      </c>
      <c r="E292" s="258" t="str">
        <f t="shared" si="269"/>
        <v/>
      </c>
      <c r="F292" s="259" t="str">
        <f t="shared" si="270"/>
        <v/>
      </c>
      <c r="G292" s="259" t="str">
        <f t="shared" si="271"/>
        <v/>
      </c>
      <c r="H292" s="256" t="str">
        <f t="shared" si="249"/>
        <v/>
      </c>
      <c r="I292" s="259" t="str">
        <f t="shared" si="272"/>
        <v/>
      </c>
      <c r="J292" s="259" t="str">
        <f t="shared" si="273"/>
        <v/>
      </c>
      <c r="K292" s="256" t="str">
        <f t="shared" si="250"/>
        <v/>
      </c>
      <c r="L292" s="259" t="str">
        <f t="shared" si="251"/>
        <v/>
      </c>
      <c r="M292" s="259" t="str">
        <f t="shared" si="274"/>
        <v/>
      </c>
      <c r="N292" s="256" t="str">
        <f t="shared" si="275"/>
        <v/>
      </c>
      <c r="O292" s="259" t="str">
        <f t="shared" si="276"/>
        <v/>
      </c>
      <c r="P292" s="259" t="str">
        <f t="shared" si="277"/>
        <v/>
      </c>
      <c r="Q292" s="256" t="str">
        <f t="shared" si="278"/>
        <v/>
      </c>
      <c r="R292" s="259" t="str">
        <f t="shared" si="279"/>
        <v/>
      </c>
      <c r="S292" s="259" t="str">
        <f t="shared" si="280"/>
        <v/>
      </c>
      <c r="T292" s="256" t="str">
        <f t="shared" si="281"/>
        <v/>
      </c>
      <c r="U292" s="217"/>
      <c r="V292" s="217"/>
      <c r="AB292" s="217" t="e">
        <f>VLOOKUP($B$6,Lookup_Source,285,0)</f>
        <v>#N/A</v>
      </c>
      <c r="AC292" s="241" t="str">
        <f t="shared" si="282"/>
        <v/>
      </c>
      <c r="AD292" s="242">
        <f t="shared" si="283"/>
        <v>7</v>
      </c>
      <c r="AE292" s="261" t="e">
        <f t="shared" si="252"/>
        <v>#N/A</v>
      </c>
      <c r="AF292" s="264" t="e">
        <f t="shared" si="284"/>
        <v>#N/A</v>
      </c>
      <c r="AG292" s="264" t="e">
        <f t="shared" si="285"/>
        <v>#N/A</v>
      </c>
      <c r="AH292" s="263" t="e">
        <f t="shared" si="253"/>
        <v>#N/A</v>
      </c>
      <c r="AI292" s="226">
        <f t="shared" si="286"/>
        <v>7</v>
      </c>
      <c r="AJ292" s="264" t="e">
        <f t="shared" si="254"/>
        <v>#N/A</v>
      </c>
      <c r="AK292" s="264" t="e">
        <f t="shared" si="287"/>
        <v>#N/A</v>
      </c>
      <c r="AL292" s="226" t="e">
        <f t="shared" si="255"/>
        <v>#N/A</v>
      </c>
      <c r="AM292" s="265" t="e">
        <f t="shared" si="288"/>
        <v>#N/A</v>
      </c>
      <c r="AN292" s="266" t="e">
        <f t="shared" si="256"/>
        <v>#N/A</v>
      </c>
      <c r="AO292" s="227" t="e">
        <f t="shared" si="257"/>
        <v>#N/A</v>
      </c>
      <c r="AP292" s="284">
        <f t="shared" si="289"/>
        <v>7</v>
      </c>
      <c r="AQ292" s="285" t="e">
        <f t="shared" si="258"/>
        <v>#N/A</v>
      </c>
      <c r="AR292" s="266" t="e">
        <f t="shared" si="290"/>
        <v>#N/A</v>
      </c>
      <c r="AS292" s="270" t="e">
        <f t="shared" si="259"/>
        <v>#N/A</v>
      </c>
      <c r="AT292" s="271">
        <f t="shared" si="291"/>
        <v>7</v>
      </c>
      <c r="AU292" s="272" t="e">
        <f t="shared" si="292"/>
        <v>#N/A</v>
      </c>
      <c r="AV292" s="273" t="e">
        <f t="shared" si="293"/>
        <v>#N/A</v>
      </c>
      <c r="AW292" s="274" t="e">
        <f t="shared" si="260"/>
        <v>#N/A</v>
      </c>
      <c r="AX292" s="232">
        <f t="shared" si="294"/>
        <v>7</v>
      </c>
      <c r="AY292" s="273" t="e">
        <f t="shared" si="261"/>
        <v>#N/A</v>
      </c>
      <c r="AZ292" s="232" t="e">
        <f t="shared" si="295"/>
        <v>#N/A</v>
      </c>
      <c r="BA292" s="232" t="e">
        <f t="shared" si="262"/>
        <v>#N/A</v>
      </c>
      <c r="BB292" s="275">
        <f t="shared" si="296"/>
        <v>7</v>
      </c>
      <c r="BC292" s="276" t="e">
        <f t="shared" si="297"/>
        <v>#N/A</v>
      </c>
      <c r="BD292" s="277" t="e">
        <f t="shared" si="298"/>
        <v>#N/A</v>
      </c>
      <c r="BE292" s="250" t="e">
        <f t="shared" si="263"/>
        <v>#N/A</v>
      </c>
      <c r="BF292" s="247">
        <f t="shared" si="299"/>
        <v>7</v>
      </c>
      <c r="BG292" s="276" t="e">
        <f t="shared" si="300"/>
        <v>#N/A</v>
      </c>
      <c r="BH292" s="277" t="e">
        <f t="shared" si="301"/>
        <v>#N/A</v>
      </c>
      <c r="BI292" s="250" t="e">
        <f t="shared" si="264"/>
        <v>#N/A</v>
      </c>
      <c r="BJ292" s="251">
        <f t="shared" si="302"/>
        <v>7</v>
      </c>
      <c r="BK292" s="278" t="e">
        <f t="shared" si="303"/>
        <v>#N/A</v>
      </c>
      <c r="BL292" s="278" t="e">
        <f t="shared" si="304"/>
        <v>#N/A</v>
      </c>
      <c r="BM292" s="279" t="e">
        <f t="shared" si="265"/>
        <v>#N/A</v>
      </c>
      <c r="BN292" s="280">
        <f t="shared" si="305"/>
        <v>7</v>
      </c>
      <c r="BO292" s="281" t="e">
        <f t="shared" si="306"/>
        <v>#N/A</v>
      </c>
      <c r="BP292" s="281" t="e">
        <f t="shared" si="307"/>
        <v>#N/A</v>
      </c>
      <c r="BQ292" s="279" t="e">
        <f t="shared" si="266"/>
        <v>#N/A</v>
      </c>
      <c r="BR292" s="282" t="e">
        <f t="shared" si="267"/>
        <v>#N/A</v>
      </c>
      <c r="BS292" s="217" t="e">
        <f>VLOOKUP($B292,SDR24_STOCK_BY_LA!$A$2:$C$11878,3,0)</f>
        <v>#N/A</v>
      </c>
      <c r="BT292" s="217" t="str">
        <f t="shared" si="308"/>
        <v/>
      </c>
    </row>
    <row r="293" spans="1:72" x14ac:dyDescent="0.2">
      <c r="A293" s="256" t="str">
        <f t="shared" si="309"/>
        <v/>
      </c>
      <c r="B293" s="217" t="str">
        <f t="shared" si="310"/>
        <v/>
      </c>
      <c r="C293" s="257" t="str">
        <f t="shared" si="268"/>
        <v/>
      </c>
      <c r="D293" s="256" t="str">
        <f>IF(B293="","",IF(totals!$Q$3=0,IFERROR(IF(AD293=2,"0",AE293),""),"-"))</f>
        <v/>
      </c>
      <c r="E293" s="258" t="str">
        <f t="shared" si="269"/>
        <v/>
      </c>
      <c r="F293" s="259" t="str">
        <f t="shared" si="270"/>
        <v/>
      </c>
      <c r="G293" s="259" t="str">
        <f t="shared" si="271"/>
        <v/>
      </c>
      <c r="H293" s="256" t="str">
        <f t="shared" si="249"/>
        <v/>
      </c>
      <c r="I293" s="259" t="str">
        <f t="shared" si="272"/>
        <v/>
      </c>
      <c r="J293" s="259" t="str">
        <f t="shared" si="273"/>
        <v/>
      </c>
      <c r="K293" s="256" t="str">
        <f t="shared" si="250"/>
        <v/>
      </c>
      <c r="L293" s="259" t="str">
        <f t="shared" si="251"/>
        <v/>
      </c>
      <c r="M293" s="259" t="str">
        <f t="shared" si="274"/>
        <v/>
      </c>
      <c r="N293" s="256" t="str">
        <f t="shared" si="275"/>
        <v/>
      </c>
      <c r="O293" s="259" t="str">
        <f t="shared" si="276"/>
        <v/>
      </c>
      <c r="P293" s="259" t="str">
        <f t="shared" si="277"/>
        <v/>
      </c>
      <c r="Q293" s="256" t="str">
        <f t="shared" si="278"/>
        <v/>
      </c>
      <c r="R293" s="259" t="str">
        <f t="shared" si="279"/>
        <v/>
      </c>
      <c r="S293" s="259" t="str">
        <f t="shared" si="280"/>
        <v/>
      </c>
      <c r="T293" s="256" t="str">
        <f t="shared" si="281"/>
        <v/>
      </c>
      <c r="U293" s="217"/>
      <c r="V293" s="217"/>
      <c r="AB293" s="257" t="e">
        <f>VLOOKUP($B$6,Lookup_Source,286,0)</f>
        <v>#N/A</v>
      </c>
      <c r="AC293" s="241" t="str">
        <f t="shared" si="282"/>
        <v/>
      </c>
      <c r="AD293" s="242">
        <f t="shared" si="283"/>
        <v>7</v>
      </c>
      <c r="AE293" s="261" t="e">
        <f t="shared" si="252"/>
        <v>#N/A</v>
      </c>
      <c r="AF293" s="264" t="e">
        <f t="shared" si="284"/>
        <v>#N/A</v>
      </c>
      <c r="AG293" s="264" t="e">
        <f t="shared" si="285"/>
        <v>#N/A</v>
      </c>
      <c r="AH293" s="263" t="e">
        <f t="shared" si="253"/>
        <v>#N/A</v>
      </c>
      <c r="AI293" s="226">
        <f t="shared" si="286"/>
        <v>7</v>
      </c>
      <c r="AJ293" s="264" t="e">
        <f t="shared" si="254"/>
        <v>#N/A</v>
      </c>
      <c r="AK293" s="264" t="e">
        <f t="shared" si="287"/>
        <v>#N/A</v>
      </c>
      <c r="AL293" s="226" t="e">
        <f t="shared" si="255"/>
        <v>#N/A</v>
      </c>
      <c r="AM293" s="265" t="e">
        <f t="shared" si="288"/>
        <v>#N/A</v>
      </c>
      <c r="AN293" s="266" t="e">
        <f t="shared" si="256"/>
        <v>#N/A</v>
      </c>
      <c r="AO293" s="227" t="e">
        <f t="shared" si="257"/>
        <v>#N/A</v>
      </c>
      <c r="AP293" s="284">
        <f t="shared" si="289"/>
        <v>7</v>
      </c>
      <c r="AQ293" s="285" t="e">
        <f t="shared" si="258"/>
        <v>#N/A</v>
      </c>
      <c r="AR293" s="266" t="e">
        <f t="shared" si="290"/>
        <v>#N/A</v>
      </c>
      <c r="AS293" s="270" t="e">
        <f t="shared" si="259"/>
        <v>#N/A</v>
      </c>
      <c r="AT293" s="271">
        <f t="shared" si="291"/>
        <v>7</v>
      </c>
      <c r="AU293" s="272" t="e">
        <f t="shared" si="292"/>
        <v>#N/A</v>
      </c>
      <c r="AV293" s="273" t="e">
        <f t="shared" si="293"/>
        <v>#N/A</v>
      </c>
      <c r="AW293" s="274" t="e">
        <f t="shared" si="260"/>
        <v>#N/A</v>
      </c>
      <c r="AX293" s="232">
        <f t="shared" si="294"/>
        <v>7</v>
      </c>
      <c r="AY293" s="273" t="e">
        <f t="shared" si="261"/>
        <v>#N/A</v>
      </c>
      <c r="AZ293" s="232" t="e">
        <f t="shared" si="295"/>
        <v>#N/A</v>
      </c>
      <c r="BA293" s="232" t="e">
        <f t="shared" si="262"/>
        <v>#N/A</v>
      </c>
      <c r="BB293" s="275">
        <f t="shared" si="296"/>
        <v>7</v>
      </c>
      <c r="BC293" s="276" t="e">
        <f t="shared" si="297"/>
        <v>#N/A</v>
      </c>
      <c r="BD293" s="277" t="e">
        <f t="shared" si="298"/>
        <v>#N/A</v>
      </c>
      <c r="BE293" s="250" t="e">
        <f t="shared" si="263"/>
        <v>#N/A</v>
      </c>
      <c r="BF293" s="247">
        <f t="shared" si="299"/>
        <v>7</v>
      </c>
      <c r="BG293" s="276" t="e">
        <f t="shared" si="300"/>
        <v>#N/A</v>
      </c>
      <c r="BH293" s="277" t="e">
        <f t="shared" si="301"/>
        <v>#N/A</v>
      </c>
      <c r="BI293" s="250" t="e">
        <f t="shared" si="264"/>
        <v>#N/A</v>
      </c>
      <c r="BJ293" s="251">
        <f t="shared" si="302"/>
        <v>7</v>
      </c>
      <c r="BK293" s="278" t="e">
        <f t="shared" si="303"/>
        <v>#N/A</v>
      </c>
      <c r="BL293" s="278" t="e">
        <f t="shared" si="304"/>
        <v>#N/A</v>
      </c>
      <c r="BM293" s="279" t="e">
        <f t="shared" si="265"/>
        <v>#N/A</v>
      </c>
      <c r="BN293" s="280">
        <f t="shared" si="305"/>
        <v>7</v>
      </c>
      <c r="BO293" s="281" t="e">
        <f t="shared" si="306"/>
        <v>#N/A</v>
      </c>
      <c r="BP293" s="281" t="e">
        <f t="shared" si="307"/>
        <v>#N/A</v>
      </c>
      <c r="BQ293" s="279" t="e">
        <f t="shared" si="266"/>
        <v>#N/A</v>
      </c>
      <c r="BR293" s="282" t="e">
        <f t="shared" si="267"/>
        <v>#N/A</v>
      </c>
      <c r="BS293" s="217" t="e">
        <f>VLOOKUP($B293,SDR24_STOCK_BY_LA!$A$2:$C$11878,3,0)</f>
        <v>#N/A</v>
      </c>
      <c r="BT293" s="217" t="str">
        <f t="shared" si="308"/>
        <v/>
      </c>
    </row>
    <row r="294" spans="1:72" x14ac:dyDescent="0.2">
      <c r="A294" s="217" t="str">
        <f t="shared" si="309"/>
        <v/>
      </c>
      <c r="B294" s="217" t="str">
        <f t="shared" si="310"/>
        <v/>
      </c>
      <c r="C294" s="283" t="str">
        <f t="shared" si="268"/>
        <v/>
      </c>
      <c r="D294" s="256" t="str">
        <f>IF(B294="","",IF(totals!$Q$3=0,IFERROR(IF(AD294=2,"0",AE294),""),"-"))</f>
        <v/>
      </c>
      <c r="E294" s="258" t="str">
        <f t="shared" si="269"/>
        <v/>
      </c>
      <c r="F294" s="259" t="str">
        <f t="shared" si="270"/>
        <v/>
      </c>
      <c r="G294" s="259" t="str">
        <f t="shared" si="271"/>
        <v/>
      </c>
      <c r="H294" s="256" t="str">
        <f t="shared" si="249"/>
        <v/>
      </c>
      <c r="I294" s="259" t="str">
        <f t="shared" si="272"/>
        <v/>
      </c>
      <c r="J294" s="259" t="str">
        <f t="shared" si="273"/>
        <v/>
      </c>
      <c r="K294" s="256" t="str">
        <f t="shared" si="250"/>
        <v/>
      </c>
      <c r="L294" s="259" t="str">
        <f t="shared" si="251"/>
        <v/>
      </c>
      <c r="M294" s="259" t="str">
        <f t="shared" si="274"/>
        <v/>
      </c>
      <c r="N294" s="256" t="str">
        <f t="shared" si="275"/>
        <v/>
      </c>
      <c r="O294" s="259" t="str">
        <f t="shared" si="276"/>
        <v/>
      </c>
      <c r="P294" s="259" t="str">
        <f t="shared" si="277"/>
        <v/>
      </c>
      <c r="Q294" s="256" t="str">
        <f t="shared" si="278"/>
        <v/>
      </c>
      <c r="R294" s="259" t="str">
        <f t="shared" si="279"/>
        <v/>
      </c>
      <c r="S294" s="259" t="str">
        <f t="shared" si="280"/>
        <v/>
      </c>
      <c r="T294" s="256" t="str">
        <f t="shared" si="281"/>
        <v/>
      </c>
      <c r="U294" s="217"/>
      <c r="V294" s="217"/>
      <c r="AB294" s="217" t="e">
        <f>VLOOKUP($B$6,Lookup_Source,287,0)</f>
        <v>#N/A</v>
      </c>
      <c r="AC294" s="241" t="str">
        <f t="shared" si="282"/>
        <v/>
      </c>
      <c r="AD294" s="242">
        <f t="shared" si="283"/>
        <v>7</v>
      </c>
      <c r="AE294" s="261" t="e">
        <f t="shared" si="252"/>
        <v>#N/A</v>
      </c>
      <c r="AF294" s="264" t="e">
        <f t="shared" si="284"/>
        <v>#N/A</v>
      </c>
      <c r="AG294" s="264" t="e">
        <f t="shared" si="285"/>
        <v>#N/A</v>
      </c>
      <c r="AH294" s="263" t="e">
        <f t="shared" si="253"/>
        <v>#N/A</v>
      </c>
      <c r="AI294" s="226">
        <f t="shared" si="286"/>
        <v>7</v>
      </c>
      <c r="AJ294" s="264" t="e">
        <f t="shared" si="254"/>
        <v>#N/A</v>
      </c>
      <c r="AK294" s="264" t="e">
        <f t="shared" si="287"/>
        <v>#N/A</v>
      </c>
      <c r="AL294" s="226" t="e">
        <f t="shared" si="255"/>
        <v>#N/A</v>
      </c>
      <c r="AM294" s="265" t="e">
        <f t="shared" si="288"/>
        <v>#N/A</v>
      </c>
      <c r="AN294" s="266" t="e">
        <f t="shared" si="256"/>
        <v>#N/A</v>
      </c>
      <c r="AO294" s="227" t="e">
        <f t="shared" si="257"/>
        <v>#N/A</v>
      </c>
      <c r="AP294" s="284">
        <f t="shared" si="289"/>
        <v>7</v>
      </c>
      <c r="AQ294" s="285" t="e">
        <f t="shared" si="258"/>
        <v>#N/A</v>
      </c>
      <c r="AR294" s="266" t="e">
        <f t="shared" si="290"/>
        <v>#N/A</v>
      </c>
      <c r="AS294" s="270" t="e">
        <f t="shared" si="259"/>
        <v>#N/A</v>
      </c>
      <c r="AT294" s="271">
        <f t="shared" si="291"/>
        <v>7</v>
      </c>
      <c r="AU294" s="272" t="e">
        <f t="shared" si="292"/>
        <v>#N/A</v>
      </c>
      <c r="AV294" s="273" t="e">
        <f t="shared" si="293"/>
        <v>#N/A</v>
      </c>
      <c r="AW294" s="274" t="e">
        <f t="shared" si="260"/>
        <v>#N/A</v>
      </c>
      <c r="AX294" s="232">
        <f t="shared" si="294"/>
        <v>7</v>
      </c>
      <c r="AY294" s="273" t="e">
        <f t="shared" si="261"/>
        <v>#N/A</v>
      </c>
      <c r="AZ294" s="232" t="e">
        <f t="shared" si="295"/>
        <v>#N/A</v>
      </c>
      <c r="BA294" s="232" t="e">
        <f t="shared" si="262"/>
        <v>#N/A</v>
      </c>
      <c r="BB294" s="275">
        <f t="shared" si="296"/>
        <v>7</v>
      </c>
      <c r="BC294" s="276" t="e">
        <f t="shared" si="297"/>
        <v>#N/A</v>
      </c>
      <c r="BD294" s="277" t="e">
        <f t="shared" si="298"/>
        <v>#N/A</v>
      </c>
      <c r="BE294" s="250" t="e">
        <f t="shared" si="263"/>
        <v>#N/A</v>
      </c>
      <c r="BF294" s="247">
        <f t="shared" si="299"/>
        <v>7</v>
      </c>
      <c r="BG294" s="276" t="e">
        <f t="shared" si="300"/>
        <v>#N/A</v>
      </c>
      <c r="BH294" s="277" t="e">
        <f t="shared" si="301"/>
        <v>#N/A</v>
      </c>
      <c r="BI294" s="250" t="e">
        <f t="shared" si="264"/>
        <v>#N/A</v>
      </c>
      <c r="BJ294" s="251">
        <f t="shared" si="302"/>
        <v>7</v>
      </c>
      <c r="BK294" s="278" t="e">
        <f t="shared" si="303"/>
        <v>#N/A</v>
      </c>
      <c r="BL294" s="278" t="e">
        <f t="shared" si="304"/>
        <v>#N/A</v>
      </c>
      <c r="BM294" s="279" t="e">
        <f t="shared" si="265"/>
        <v>#N/A</v>
      </c>
      <c r="BN294" s="280">
        <f t="shared" si="305"/>
        <v>7</v>
      </c>
      <c r="BO294" s="281" t="e">
        <f t="shared" si="306"/>
        <v>#N/A</v>
      </c>
      <c r="BP294" s="281" t="e">
        <f t="shared" si="307"/>
        <v>#N/A</v>
      </c>
      <c r="BQ294" s="279" t="e">
        <f t="shared" si="266"/>
        <v>#N/A</v>
      </c>
      <c r="BR294" s="282" t="e">
        <f t="shared" si="267"/>
        <v>#N/A</v>
      </c>
      <c r="BS294" s="217" t="e">
        <f>VLOOKUP($B294,SDR24_STOCK_BY_LA!$A$2:$C$11878,3,0)</f>
        <v>#N/A</v>
      </c>
      <c r="BT294" s="217" t="str">
        <f t="shared" si="308"/>
        <v/>
      </c>
    </row>
    <row r="295" spans="1:72" x14ac:dyDescent="0.2">
      <c r="A295" s="256" t="str">
        <f t="shared" si="309"/>
        <v/>
      </c>
      <c r="B295" s="217" t="str">
        <f t="shared" si="310"/>
        <v/>
      </c>
      <c r="C295" s="257" t="str">
        <f t="shared" si="268"/>
        <v/>
      </c>
      <c r="D295" s="256" t="str">
        <f>IF(B295="","",IF(totals!$Q$3=0,IFERROR(IF(AD295=2,"0",AE295),""),"-"))</f>
        <v/>
      </c>
      <c r="E295" s="258" t="str">
        <f t="shared" si="269"/>
        <v/>
      </c>
      <c r="F295" s="259" t="str">
        <f t="shared" si="270"/>
        <v/>
      </c>
      <c r="G295" s="259" t="str">
        <f t="shared" si="271"/>
        <v/>
      </c>
      <c r="H295" s="256" t="str">
        <f t="shared" si="249"/>
        <v/>
      </c>
      <c r="I295" s="259" t="str">
        <f t="shared" si="272"/>
        <v/>
      </c>
      <c r="J295" s="259" t="str">
        <f t="shared" si="273"/>
        <v/>
      </c>
      <c r="K295" s="256" t="str">
        <f t="shared" si="250"/>
        <v/>
      </c>
      <c r="L295" s="259" t="str">
        <f t="shared" si="251"/>
        <v/>
      </c>
      <c r="M295" s="259" t="str">
        <f t="shared" si="274"/>
        <v/>
      </c>
      <c r="N295" s="256" t="str">
        <f t="shared" si="275"/>
        <v/>
      </c>
      <c r="O295" s="259" t="str">
        <f t="shared" si="276"/>
        <v/>
      </c>
      <c r="P295" s="259" t="str">
        <f t="shared" si="277"/>
        <v/>
      </c>
      <c r="Q295" s="256" t="str">
        <f t="shared" si="278"/>
        <v/>
      </c>
      <c r="R295" s="259" t="str">
        <f t="shared" si="279"/>
        <v/>
      </c>
      <c r="S295" s="259" t="str">
        <f t="shared" si="280"/>
        <v/>
      </c>
      <c r="T295" s="256" t="str">
        <f t="shared" si="281"/>
        <v/>
      </c>
      <c r="U295" s="217"/>
      <c r="V295" s="217"/>
      <c r="AB295" s="257" t="e">
        <f>VLOOKUP($B$6,Lookup_Source,288,0)</f>
        <v>#N/A</v>
      </c>
      <c r="AC295" s="241" t="str">
        <f t="shared" si="282"/>
        <v/>
      </c>
      <c r="AD295" s="242">
        <f t="shared" si="283"/>
        <v>7</v>
      </c>
      <c r="AE295" s="261" t="e">
        <f t="shared" si="252"/>
        <v>#N/A</v>
      </c>
      <c r="AF295" s="264" t="e">
        <f t="shared" si="284"/>
        <v>#N/A</v>
      </c>
      <c r="AG295" s="264" t="e">
        <f t="shared" si="285"/>
        <v>#N/A</v>
      </c>
      <c r="AH295" s="263" t="e">
        <f t="shared" si="253"/>
        <v>#N/A</v>
      </c>
      <c r="AI295" s="226">
        <f t="shared" si="286"/>
        <v>7</v>
      </c>
      <c r="AJ295" s="264" t="e">
        <f t="shared" si="254"/>
        <v>#N/A</v>
      </c>
      <c r="AK295" s="264" t="e">
        <f t="shared" si="287"/>
        <v>#N/A</v>
      </c>
      <c r="AL295" s="226" t="e">
        <f t="shared" si="255"/>
        <v>#N/A</v>
      </c>
      <c r="AM295" s="265" t="e">
        <f t="shared" si="288"/>
        <v>#N/A</v>
      </c>
      <c r="AN295" s="266" t="e">
        <f t="shared" si="256"/>
        <v>#N/A</v>
      </c>
      <c r="AO295" s="227" t="e">
        <f t="shared" si="257"/>
        <v>#N/A</v>
      </c>
      <c r="AP295" s="284">
        <f t="shared" si="289"/>
        <v>7</v>
      </c>
      <c r="AQ295" s="285" t="e">
        <f t="shared" si="258"/>
        <v>#N/A</v>
      </c>
      <c r="AR295" s="266" t="e">
        <f t="shared" si="290"/>
        <v>#N/A</v>
      </c>
      <c r="AS295" s="270" t="e">
        <f t="shared" si="259"/>
        <v>#N/A</v>
      </c>
      <c r="AT295" s="271">
        <f t="shared" si="291"/>
        <v>7</v>
      </c>
      <c r="AU295" s="272" t="e">
        <f t="shared" si="292"/>
        <v>#N/A</v>
      </c>
      <c r="AV295" s="273" t="e">
        <f t="shared" si="293"/>
        <v>#N/A</v>
      </c>
      <c r="AW295" s="274" t="e">
        <f t="shared" si="260"/>
        <v>#N/A</v>
      </c>
      <c r="AX295" s="232">
        <f t="shared" si="294"/>
        <v>7</v>
      </c>
      <c r="AY295" s="273" t="e">
        <f t="shared" si="261"/>
        <v>#N/A</v>
      </c>
      <c r="AZ295" s="232" t="e">
        <f t="shared" si="295"/>
        <v>#N/A</v>
      </c>
      <c r="BA295" s="232" t="e">
        <f t="shared" si="262"/>
        <v>#N/A</v>
      </c>
      <c r="BB295" s="275">
        <f t="shared" si="296"/>
        <v>7</v>
      </c>
      <c r="BC295" s="276" t="e">
        <f t="shared" si="297"/>
        <v>#N/A</v>
      </c>
      <c r="BD295" s="277" t="e">
        <f t="shared" si="298"/>
        <v>#N/A</v>
      </c>
      <c r="BE295" s="250" t="e">
        <f t="shared" si="263"/>
        <v>#N/A</v>
      </c>
      <c r="BF295" s="247">
        <f t="shared" si="299"/>
        <v>7</v>
      </c>
      <c r="BG295" s="276" t="e">
        <f t="shared" si="300"/>
        <v>#N/A</v>
      </c>
      <c r="BH295" s="277" t="e">
        <f t="shared" si="301"/>
        <v>#N/A</v>
      </c>
      <c r="BI295" s="250" t="e">
        <f t="shared" si="264"/>
        <v>#N/A</v>
      </c>
      <c r="BJ295" s="251">
        <f t="shared" si="302"/>
        <v>7</v>
      </c>
      <c r="BK295" s="278" t="e">
        <f t="shared" si="303"/>
        <v>#N/A</v>
      </c>
      <c r="BL295" s="278" t="e">
        <f t="shared" si="304"/>
        <v>#N/A</v>
      </c>
      <c r="BM295" s="279" t="e">
        <f t="shared" si="265"/>
        <v>#N/A</v>
      </c>
      <c r="BN295" s="280">
        <f t="shared" si="305"/>
        <v>7</v>
      </c>
      <c r="BO295" s="281" t="e">
        <f t="shared" si="306"/>
        <v>#N/A</v>
      </c>
      <c r="BP295" s="281" t="e">
        <f t="shared" si="307"/>
        <v>#N/A</v>
      </c>
      <c r="BQ295" s="279" t="e">
        <f t="shared" si="266"/>
        <v>#N/A</v>
      </c>
      <c r="BR295" s="282" t="e">
        <f t="shared" si="267"/>
        <v>#N/A</v>
      </c>
      <c r="BS295" s="217" t="e">
        <f>VLOOKUP($B295,SDR24_STOCK_BY_LA!$A$2:$C$11878,3,0)</f>
        <v>#N/A</v>
      </c>
      <c r="BT295" s="217" t="str">
        <f t="shared" si="308"/>
        <v/>
      </c>
    </row>
    <row r="296" spans="1:72" x14ac:dyDescent="0.2">
      <c r="A296" s="217" t="str">
        <f t="shared" si="309"/>
        <v/>
      </c>
      <c r="B296" s="217" t="str">
        <f t="shared" si="310"/>
        <v/>
      </c>
      <c r="C296" s="283" t="str">
        <f t="shared" si="268"/>
        <v/>
      </c>
      <c r="D296" s="256" t="str">
        <f>IF(B296="","",IF(totals!$Q$3=0,IFERROR(IF(AD296=2,"0",AE296),""),"-"))</f>
        <v/>
      </c>
      <c r="E296" s="258" t="str">
        <f t="shared" si="269"/>
        <v/>
      </c>
      <c r="F296" s="259" t="str">
        <f t="shared" si="270"/>
        <v/>
      </c>
      <c r="G296" s="259" t="str">
        <f t="shared" si="271"/>
        <v/>
      </c>
      <c r="H296" s="256" t="str">
        <f t="shared" si="249"/>
        <v/>
      </c>
      <c r="I296" s="259" t="str">
        <f t="shared" si="272"/>
        <v/>
      </c>
      <c r="J296" s="259" t="str">
        <f t="shared" si="273"/>
        <v/>
      </c>
      <c r="K296" s="256" t="str">
        <f t="shared" si="250"/>
        <v/>
      </c>
      <c r="L296" s="259" t="str">
        <f t="shared" si="251"/>
        <v/>
      </c>
      <c r="M296" s="259" t="str">
        <f t="shared" si="274"/>
        <v/>
      </c>
      <c r="N296" s="256" t="str">
        <f t="shared" si="275"/>
        <v/>
      </c>
      <c r="O296" s="259" t="str">
        <f t="shared" si="276"/>
        <v/>
      </c>
      <c r="P296" s="259" t="str">
        <f t="shared" si="277"/>
        <v/>
      </c>
      <c r="Q296" s="256" t="str">
        <f t="shared" si="278"/>
        <v/>
      </c>
      <c r="R296" s="259" t="str">
        <f t="shared" si="279"/>
        <v/>
      </c>
      <c r="S296" s="259" t="str">
        <f t="shared" si="280"/>
        <v/>
      </c>
      <c r="T296" s="256" t="str">
        <f t="shared" si="281"/>
        <v/>
      </c>
      <c r="U296" s="217"/>
      <c r="V296" s="217"/>
      <c r="AB296" s="217" t="e">
        <f>VLOOKUP($B$6,Lookup_Source,289,0)</f>
        <v>#N/A</v>
      </c>
      <c r="AC296" s="241" t="str">
        <f t="shared" si="282"/>
        <v/>
      </c>
      <c r="AD296" s="242">
        <f t="shared" si="283"/>
        <v>7</v>
      </c>
      <c r="AE296" s="261" t="e">
        <f t="shared" si="252"/>
        <v>#N/A</v>
      </c>
      <c r="AF296" s="264" t="e">
        <f t="shared" si="284"/>
        <v>#N/A</v>
      </c>
      <c r="AG296" s="264" t="e">
        <f t="shared" si="285"/>
        <v>#N/A</v>
      </c>
      <c r="AH296" s="263" t="e">
        <f t="shared" si="253"/>
        <v>#N/A</v>
      </c>
      <c r="AI296" s="226">
        <f t="shared" si="286"/>
        <v>7</v>
      </c>
      <c r="AJ296" s="264" t="e">
        <f t="shared" si="254"/>
        <v>#N/A</v>
      </c>
      <c r="AK296" s="264" t="e">
        <f t="shared" si="287"/>
        <v>#N/A</v>
      </c>
      <c r="AL296" s="226" t="e">
        <f t="shared" si="255"/>
        <v>#N/A</v>
      </c>
      <c r="AM296" s="265" t="e">
        <f t="shared" si="288"/>
        <v>#N/A</v>
      </c>
      <c r="AN296" s="266" t="e">
        <f t="shared" si="256"/>
        <v>#N/A</v>
      </c>
      <c r="AO296" s="227" t="e">
        <f t="shared" si="257"/>
        <v>#N/A</v>
      </c>
      <c r="AP296" s="284">
        <f t="shared" si="289"/>
        <v>7</v>
      </c>
      <c r="AQ296" s="285" t="e">
        <f t="shared" si="258"/>
        <v>#N/A</v>
      </c>
      <c r="AR296" s="266" t="e">
        <f t="shared" si="290"/>
        <v>#N/A</v>
      </c>
      <c r="AS296" s="270" t="e">
        <f t="shared" si="259"/>
        <v>#N/A</v>
      </c>
      <c r="AT296" s="271">
        <f t="shared" si="291"/>
        <v>7</v>
      </c>
      <c r="AU296" s="272" t="e">
        <f t="shared" si="292"/>
        <v>#N/A</v>
      </c>
      <c r="AV296" s="273" t="e">
        <f t="shared" si="293"/>
        <v>#N/A</v>
      </c>
      <c r="AW296" s="274" t="e">
        <f t="shared" si="260"/>
        <v>#N/A</v>
      </c>
      <c r="AX296" s="232">
        <f t="shared" si="294"/>
        <v>7</v>
      </c>
      <c r="AY296" s="273" t="e">
        <f t="shared" si="261"/>
        <v>#N/A</v>
      </c>
      <c r="AZ296" s="232" t="e">
        <f t="shared" si="295"/>
        <v>#N/A</v>
      </c>
      <c r="BA296" s="232" t="e">
        <f t="shared" si="262"/>
        <v>#N/A</v>
      </c>
      <c r="BB296" s="275">
        <f t="shared" si="296"/>
        <v>7</v>
      </c>
      <c r="BC296" s="276" t="e">
        <f t="shared" si="297"/>
        <v>#N/A</v>
      </c>
      <c r="BD296" s="277" t="e">
        <f t="shared" si="298"/>
        <v>#N/A</v>
      </c>
      <c r="BE296" s="250" t="e">
        <f t="shared" si="263"/>
        <v>#N/A</v>
      </c>
      <c r="BF296" s="247">
        <f t="shared" si="299"/>
        <v>7</v>
      </c>
      <c r="BG296" s="276" t="e">
        <f t="shared" si="300"/>
        <v>#N/A</v>
      </c>
      <c r="BH296" s="277" t="e">
        <f t="shared" si="301"/>
        <v>#N/A</v>
      </c>
      <c r="BI296" s="250" t="e">
        <f t="shared" si="264"/>
        <v>#N/A</v>
      </c>
      <c r="BJ296" s="251">
        <f t="shared" si="302"/>
        <v>7</v>
      </c>
      <c r="BK296" s="278" t="e">
        <f t="shared" si="303"/>
        <v>#N/A</v>
      </c>
      <c r="BL296" s="278" t="e">
        <f t="shared" si="304"/>
        <v>#N/A</v>
      </c>
      <c r="BM296" s="279" t="e">
        <f t="shared" si="265"/>
        <v>#N/A</v>
      </c>
      <c r="BN296" s="280">
        <f t="shared" si="305"/>
        <v>7</v>
      </c>
      <c r="BO296" s="281" t="e">
        <f t="shared" si="306"/>
        <v>#N/A</v>
      </c>
      <c r="BP296" s="281" t="e">
        <f t="shared" si="307"/>
        <v>#N/A</v>
      </c>
      <c r="BQ296" s="279" t="e">
        <f t="shared" si="266"/>
        <v>#N/A</v>
      </c>
      <c r="BR296" s="282" t="e">
        <f t="shared" si="267"/>
        <v>#N/A</v>
      </c>
      <c r="BS296" s="217" t="e">
        <f>VLOOKUP($B296,SDR24_STOCK_BY_LA!$A$2:$C$11878,3,0)</f>
        <v>#N/A</v>
      </c>
      <c r="BT296" s="217" t="str">
        <f t="shared" si="308"/>
        <v/>
      </c>
    </row>
    <row r="297" spans="1:72" x14ac:dyDescent="0.2">
      <c r="A297" s="256" t="str">
        <f t="shared" si="309"/>
        <v/>
      </c>
      <c r="B297" s="217" t="str">
        <f t="shared" si="310"/>
        <v/>
      </c>
      <c r="C297" s="257" t="str">
        <f t="shared" si="268"/>
        <v/>
      </c>
      <c r="D297" s="256" t="str">
        <f>IF(B297="","",IF(totals!$Q$3=0,IFERROR(IF(AD297=2,"0",AE297),""),"-"))</f>
        <v/>
      </c>
      <c r="E297" s="258" t="str">
        <f t="shared" si="269"/>
        <v/>
      </c>
      <c r="F297" s="259" t="str">
        <f t="shared" si="270"/>
        <v/>
      </c>
      <c r="G297" s="259" t="str">
        <f t="shared" si="271"/>
        <v/>
      </c>
      <c r="H297" s="256" t="str">
        <f t="shared" si="249"/>
        <v/>
      </c>
      <c r="I297" s="259" t="str">
        <f t="shared" si="272"/>
        <v/>
      </c>
      <c r="J297" s="259" t="str">
        <f t="shared" si="273"/>
        <v/>
      </c>
      <c r="K297" s="256" t="str">
        <f t="shared" si="250"/>
        <v/>
      </c>
      <c r="L297" s="259" t="str">
        <f t="shared" si="251"/>
        <v/>
      </c>
      <c r="M297" s="259" t="str">
        <f t="shared" si="274"/>
        <v/>
      </c>
      <c r="N297" s="256" t="str">
        <f t="shared" si="275"/>
        <v/>
      </c>
      <c r="O297" s="259" t="str">
        <f t="shared" si="276"/>
        <v/>
      </c>
      <c r="P297" s="259" t="str">
        <f t="shared" si="277"/>
        <v/>
      </c>
      <c r="Q297" s="256" t="str">
        <f t="shared" si="278"/>
        <v/>
      </c>
      <c r="R297" s="259" t="str">
        <f t="shared" si="279"/>
        <v/>
      </c>
      <c r="S297" s="259" t="str">
        <f t="shared" si="280"/>
        <v/>
      </c>
      <c r="T297" s="256" t="str">
        <f t="shared" si="281"/>
        <v/>
      </c>
      <c r="U297" s="217"/>
      <c r="V297" s="217"/>
      <c r="AB297" s="257" t="e">
        <f>VLOOKUP($B$6,Lookup_Source,290,0)</f>
        <v>#N/A</v>
      </c>
      <c r="AC297" s="241" t="str">
        <f t="shared" si="282"/>
        <v/>
      </c>
      <c r="AD297" s="242">
        <f t="shared" si="283"/>
        <v>7</v>
      </c>
      <c r="AE297" s="261" t="e">
        <f t="shared" si="252"/>
        <v>#N/A</v>
      </c>
      <c r="AF297" s="264" t="e">
        <f t="shared" si="284"/>
        <v>#N/A</v>
      </c>
      <c r="AG297" s="264" t="e">
        <f t="shared" si="285"/>
        <v>#N/A</v>
      </c>
      <c r="AH297" s="263" t="e">
        <f t="shared" si="253"/>
        <v>#N/A</v>
      </c>
      <c r="AI297" s="226">
        <f t="shared" si="286"/>
        <v>7</v>
      </c>
      <c r="AJ297" s="264" t="e">
        <f t="shared" si="254"/>
        <v>#N/A</v>
      </c>
      <c r="AK297" s="264" t="e">
        <f t="shared" si="287"/>
        <v>#N/A</v>
      </c>
      <c r="AL297" s="226" t="e">
        <f t="shared" si="255"/>
        <v>#N/A</v>
      </c>
      <c r="AM297" s="265" t="e">
        <f t="shared" si="288"/>
        <v>#N/A</v>
      </c>
      <c r="AN297" s="266" t="e">
        <f t="shared" si="256"/>
        <v>#N/A</v>
      </c>
      <c r="AO297" s="227" t="e">
        <f t="shared" si="257"/>
        <v>#N/A</v>
      </c>
      <c r="AP297" s="284">
        <f t="shared" si="289"/>
        <v>7</v>
      </c>
      <c r="AQ297" s="285" t="e">
        <f t="shared" si="258"/>
        <v>#N/A</v>
      </c>
      <c r="AR297" s="266" t="e">
        <f t="shared" si="290"/>
        <v>#N/A</v>
      </c>
      <c r="AS297" s="270" t="e">
        <f t="shared" si="259"/>
        <v>#N/A</v>
      </c>
      <c r="AT297" s="271">
        <f t="shared" si="291"/>
        <v>7</v>
      </c>
      <c r="AU297" s="272" t="e">
        <f t="shared" si="292"/>
        <v>#N/A</v>
      </c>
      <c r="AV297" s="273" t="e">
        <f t="shared" si="293"/>
        <v>#N/A</v>
      </c>
      <c r="AW297" s="274" t="e">
        <f t="shared" si="260"/>
        <v>#N/A</v>
      </c>
      <c r="AX297" s="232">
        <f t="shared" si="294"/>
        <v>7</v>
      </c>
      <c r="AY297" s="273" t="e">
        <f t="shared" si="261"/>
        <v>#N/A</v>
      </c>
      <c r="AZ297" s="232" t="e">
        <f t="shared" si="295"/>
        <v>#N/A</v>
      </c>
      <c r="BA297" s="232" t="e">
        <f t="shared" si="262"/>
        <v>#N/A</v>
      </c>
      <c r="BB297" s="275">
        <f t="shared" si="296"/>
        <v>7</v>
      </c>
      <c r="BC297" s="276" t="e">
        <f t="shared" si="297"/>
        <v>#N/A</v>
      </c>
      <c r="BD297" s="277" t="e">
        <f t="shared" si="298"/>
        <v>#N/A</v>
      </c>
      <c r="BE297" s="250" t="e">
        <f t="shared" si="263"/>
        <v>#N/A</v>
      </c>
      <c r="BF297" s="247">
        <f t="shared" si="299"/>
        <v>7</v>
      </c>
      <c r="BG297" s="276" t="e">
        <f t="shared" si="300"/>
        <v>#N/A</v>
      </c>
      <c r="BH297" s="277" t="e">
        <f t="shared" si="301"/>
        <v>#N/A</v>
      </c>
      <c r="BI297" s="250" t="e">
        <f t="shared" si="264"/>
        <v>#N/A</v>
      </c>
      <c r="BJ297" s="251">
        <f t="shared" si="302"/>
        <v>7</v>
      </c>
      <c r="BK297" s="278" t="e">
        <f t="shared" si="303"/>
        <v>#N/A</v>
      </c>
      <c r="BL297" s="278" t="e">
        <f t="shared" si="304"/>
        <v>#N/A</v>
      </c>
      <c r="BM297" s="279" t="e">
        <f t="shared" si="265"/>
        <v>#N/A</v>
      </c>
      <c r="BN297" s="280">
        <f t="shared" si="305"/>
        <v>7</v>
      </c>
      <c r="BO297" s="281" t="e">
        <f t="shared" si="306"/>
        <v>#N/A</v>
      </c>
      <c r="BP297" s="281" t="e">
        <f t="shared" si="307"/>
        <v>#N/A</v>
      </c>
      <c r="BQ297" s="279" t="e">
        <f t="shared" si="266"/>
        <v>#N/A</v>
      </c>
      <c r="BR297" s="282" t="e">
        <f t="shared" si="267"/>
        <v>#N/A</v>
      </c>
      <c r="BS297" s="217" t="e">
        <f>VLOOKUP($B297,SDR24_STOCK_BY_LA!$A$2:$C$11878,3,0)</f>
        <v>#N/A</v>
      </c>
      <c r="BT297" s="217" t="str">
        <f t="shared" si="308"/>
        <v/>
      </c>
    </row>
    <row r="298" spans="1:72" x14ac:dyDescent="0.2">
      <c r="A298" s="217" t="str">
        <f t="shared" si="309"/>
        <v/>
      </c>
      <c r="B298" s="217" t="str">
        <f t="shared" si="310"/>
        <v/>
      </c>
      <c r="C298" s="283" t="str">
        <f t="shared" si="268"/>
        <v/>
      </c>
      <c r="D298" s="256" t="str">
        <f>IF(B298="","",IF(totals!$Q$3=0,IFERROR(IF(AD298=2,"0",AE298),""),"-"))</f>
        <v/>
      </c>
      <c r="E298" s="258" t="str">
        <f t="shared" si="269"/>
        <v/>
      </c>
      <c r="F298" s="259" t="str">
        <f t="shared" si="270"/>
        <v/>
      </c>
      <c r="G298" s="259" t="str">
        <f t="shared" si="271"/>
        <v/>
      </c>
      <c r="H298" s="256" t="str">
        <f t="shared" si="249"/>
        <v/>
      </c>
      <c r="I298" s="259" t="str">
        <f t="shared" si="272"/>
        <v/>
      </c>
      <c r="J298" s="259" t="str">
        <f t="shared" si="273"/>
        <v/>
      </c>
      <c r="K298" s="256" t="str">
        <f t="shared" si="250"/>
        <v/>
      </c>
      <c r="L298" s="259" t="str">
        <f t="shared" si="251"/>
        <v/>
      </c>
      <c r="M298" s="259" t="str">
        <f t="shared" si="274"/>
        <v/>
      </c>
      <c r="N298" s="256" t="str">
        <f t="shared" si="275"/>
        <v/>
      </c>
      <c r="O298" s="259" t="str">
        <f t="shared" si="276"/>
        <v/>
      </c>
      <c r="P298" s="259" t="str">
        <f t="shared" si="277"/>
        <v/>
      </c>
      <c r="Q298" s="256" t="str">
        <f t="shared" si="278"/>
        <v/>
      </c>
      <c r="R298" s="259" t="str">
        <f t="shared" si="279"/>
        <v/>
      </c>
      <c r="S298" s="259" t="str">
        <f t="shared" si="280"/>
        <v/>
      </c>
      <c r="T298" s="256" t="str">
        <f t="shared" si="281"/>
        <v/>
      </c>
      <c r="U298" s="217"/>
      <c r="V298" s="217"/>
      <c r="AB298" s="217" t="e">
        <f>VLOOKUP($B$6,Lookup_Source,291,0)</f>
        <v>#N/A</v>
      </c>
      <c r="AC298" s="241" t="str">
        <f t="shared" si="282"/>
        <v/>
      </c>
      <c r="AD298" s="242">
        <f t="shared" si="283"/>
        <v>7</v>
      </c>
      <c r="AE298" s="261" t="e">
        <f t="shared" si="252"/>
        <v>#N/A</v>
      </c>
      <c r="AF298" s="264" t="e">
        <f t="shared" si="284"/>
        <v>#N/A</v>
      </c>
      <c r="AG298" s="264" t="e">
        <f t="shared" si="285"/>
        <v>#N/A</v>
      </c>
      <c r="AH298" s="263" t="e">
        <f t="shared" si="253"/>
        <v>#N/A</v>
      </c>
      <c r="AI298" s="226">
        <f t="shared" si="286"/>
        <v>7</v>
      </c>
      <c r="AJ298" s="264" t="e">
        <f t="shared" si="254"/>
        <v>#N/A</v>
      </c>
      <c r="AK298" s="264" t="e">
        <f t="shared" si="287"/>
        <v>#N/A</v>
      </c>
      <c r="AL298" s="226" t="e">
        <f t="shared" si="255"/>
        <v>#N/A</v>
      </c>
      <c r="AM298" s="265" t="e">
        <f t="shared" si="288"/>
        <v>#N/A</v>
      </c>
      <c r="AN298" s="266" t="e">
        <f t="shared" si="256"/>
        <v>#N/A</v>
      </c>
      <c r="AO298" s="227" t="e">
        <f t="shared" si="257"/>
        <v>#N/A</v>
      </c>
      <c r="AP298" s="284">
        <f t="shared" si="289"/>
        <v>7</v>
      </c>
      <c r="AQ298" s="285" t="e">
        <f t="shared" si="258"/>
        <v>#N/A</v>
      </c>
      <c r="AR298" s="266" t="e">
        <f t="shared" si="290"/>
        <v>#N/A</v>
      </c>
      <c r="AS298" s="270" t="e">
        <f t="shared" si="259"/>
        <v>#N/A</v>
      </c>
      <c r="AT298" s="271">
        <f t="shared" si="291"/>
        <v>7</v>
      </c>
      <c r="AU298" s="272" t="e">
        <f t="shared" si="292"/>
        <v>#N/A</v>
      </c>
      <c r="AV298" s="273" t="e">
        <f t="shared" si="293"/>
        <v>#N/A</v>
      </c>
      <c r="AW298" s="274" t="e">
        <f t="shared" si="260"/>
        <v>#N/A</v>
      </c>
      <c r="AX298" s="232">
        <f t="shared" si="294"/>
        <v>7</v>
      </c>
      <c r="AY298" s="273" t="e">
        <f t="shared" si="261"/>
        <v>#N/A</v>
      </c>
      <c r="AZ298" s="232" t="e">
        <f t="shared" si="295"/>
        <v>#N/A</v>
      </c>
      <c r="BA298" s="232" t="e">
        <f t="shared" si="262"/>
        <v>#N/A</v>
      </c>
      <c r="BB298" s="275">
        <f t="shared" si="296"/>
        <v>7</v>
      </c>
      <c r="BC298" s="276" t="e">
        <f t="shared" si="297"/>
        <v>#N/A</v>
      </c>
      <c r="BD298" s="277" t="e">
        <f t="shared" si="298"/>
        <v>#N/A</v>
      </c>
      <c r="BE298" s="250" t="e">
        <f t="shared" si="263"/>
        <v>#N/A</v>
      </c>
      <c r="BF298" s="247">
        <f t="shared" si="299"/>
        <v>7</v>
      </c>
      <c r="BG298" s="276" t="e">
        <f t="shared" si="300"/>
        <v>#N/A</v>
      </c>
      <c r="BH298" s="277" t="e">
        <f t="shared" si="301"/>
        <v>#N/A</v>
      </c>
      <c r="BI298" s="250" t="e">
        <f t="shared" si="264"/>
        <v>#N/A</v>
      </c>
      <c r="BJ298" s="251">
        <f t="shared" si="302"/>
        <v>7</v>
      </c>
      <c r="BK298" s="278" t="e">
        <f t="shared" si="303"/>
        <v>#N/A</v>
      </c>
      <c r="BL298" s="278" t="e">
        <f t="shared" si="304"/>
        <v>#N/A</v>
      </c>
      <c r="BM298" s="279" t="e">
        <f t="shared" si="265"/>
        <v>#N/A</v>
      </c>
      <c r="BN298" s="280">
        <f t="shared" si="305"/>
        <v>7</v>
      </c>
      <c r="BO298" s="281" t="e">
        <f t="shared" si="306"/>
        <v>#N/A</v>
      </c>
      <c r="BP298" s="281" t="e">
        <f t="shared" si="307"/>
        <v>#N/A</v>
      </c>
      <c r="BQ298" s="279" t="e">
        <f t="shared" si="266"/>
        <v>#N/A</v>
      </c>
      <c r="BR298" s="282" t="e">
        <f t="shared" si="267"/>
        <v>#N/A</v>
      </c>
      <c r="BS298" s="217" t="e">
        <f>VLOOKUP($B298,SDR24_STOCK_BY_LA!$A$2:$C$11878,3,0)</f>
        <v>#N/A</v>
      </c>
      <c r="BT298" s="217" t="str">
        <f t="shared" si="308"/>
        <v/>
      </c>
    </row>
    <row r="299" spans="1:72" x14ac:dyDescent="0.2">
      <c r="A299" s="256" t="str">
        <f t="shared" si="309"/>
        <v/>
      </c>
      <c r="B299" s="217" t="str">
        <f t="shared" si="310"/>
        <v/>
      </c>
      <c r="C299" s="257" t="str">
        <f t="shared" si="268"/>
        <v/>
      </c>
      <c r="D299" s="256" t="str">
        <f>IF(B299="","",IF(totals!$Q$3=0,IFERROR(IF(AD299=2,"0",AE299),""),"-"))</f>
        <v/>
      </c>
      <c r="E299" s="258" t="str">
        <f t="shared" si="269"/>
        <v/>
      </c>
      <c r="F299" s="259" t="str">
        <f t="shared" si="270"/>
        <v/>
      </c>
      <c r="G299" s="259" t="str">
        <f t="shared" si="271"/>
        <v/>
      </c>
      <c r="H299" s="256" t="str">
        <f t="shared" si="249"/>
        <v/>
      </c>
      <c r="I299" s="259" t="str">
        <f t="shared" si="272"/>
        <v/>
      </c>
      <c r="J299" s="259" t="str">
        <f t="shared" si="273"/>
        <v/>
      </c>
      <c r="K299" s="256" t="str">
        <f t="shared" si="250"/>
        <v/>
      </c>
      <c r="L299" s="259" t="str">
        <f t="shared" si="251"/>
        <v/>
      </c>
      <c r="M299" s="259" t="str">
        <f t="shared" si="274"/>
        <v/>
      </c>
      <c r="N299" s="256" t="str">
        <f t="shared" si="275"/>
        <v/>
      </c>
      <c r="O299" s="259" t="str">
        <f t="shared" si="276"/>
        <v/>
      </c>
      <c r="P299" s="259" t="str">
        <f t="shared" si="277"/>
        <v/>
      </c>
      <c r="Q299" s="256" t="str">
        <f t="shared" si="278"/>
        <v/>
      </c>
      <c r="R299" s="259" t="str">
        <f t="shared" si="279"/>
        <v/>
      </c>
      <c r="S299" s="259" t="str">
        <f t="shared" si="280"/>
        <v/>
      </c>
      <c r="T299" s="256" t="str">
        <f t="shared" si="281"/>
        <v/>
      </c>
      <c r="U299" s="217"/>
      <c r="V299" s="217"/>
      <c r="AB299" s="257" t="e">
        <f>VLOOKUP($B$6,Lookup_Source,292,0)</f>
        <v>#N/A</v>
      </c>
      <c r="AC299" s="241" t="str">
        <f t="shared" si="282"/>
        <v/>
      </c>
      <c r="AD299" s="242">
        <f t="shared" si="283"/>
        <v>7</v>
      </c>
      <c r="AE299" s="261" t="e">
        <f t="shared" si="252"/>
        <v>#N/A</v>
      </c>
      <c r="AF299" s="264" t="e">
        <f t="shared" si="284"/>
        <v>#N/A</v>
      </c>
      <c r="AG299" s="264" t="e">
        <f t="shared" si="285"/>
        <v>#N/A</v>
      </c>
      <c r="AH299" s="263" t="e">
        <f t="shared" si="253"/>
        <v>#N/A</v>
      </c>
      <c r="AI299" s="226">
        <f t="shared" si="286"/>
        <v>7</v>
      </c>
      <c r="AJ299" s="264" t="e">
        <f t="shared" si="254"/>
        <v>#N/A</v>
      </c>
      <c r="AK299" s="264" t="e">
        <f t="shared" si="287"/>
        <v>#N/A</v>
      </c>
      <c r="AL299" s="226" t="e">
        <f t="shared" si="255"/>
        <v>#N/A</v>
      </c>
      <c r="AM299" s="265" t="e">
        <f t="shared" si="288"/>
        <v>#N/A</v>
      </c>
      <c r="AN299" s="266" t="e">
        <f t="shared" si="256"/>
        <v>#N/A</v>
      </c>
      <c r="AO299" s="227" t="e">
        <f t="shared" si="257"/>
        <v>#N/A</v>
      </c>
      <c r="AP299" s="284">
        <f t="shared" si="289"/>
        <v>7</v>
      </c>
      <c r="AQ299" s="285" t="e">
        <f t="shared" si="258"/>
        <v>#N/A</v>
      </c>
      <c r="AR299" s="266" t="e">
        <f t="shared" si="290"/>
        <v>#N/A</v>
      </c>
      <c r="AS299" s="270" t="e">
        <f t="shared" si="259"/>
        <v>#N/A</v>
      </c>
      <c r="AT299" s="271">
        <f t="shared" si="291"/>
        <v>7</v>
      </c>
      <c r="AU299" s="272" t="e">
        <f t="shared" si="292"/>
        <v>#N/A</v>
      </c>
      <c r="AV299" s="273" t="e">
        <f t="shared" si="293"/>
        <v>#N/A</v>
      </c>
      <c r="AW299" s="274" t="e">
        <f t="shared" si="260"/>
        <v>#N/A</v>
      </c>
      <c r="AX299" s="232">
        <f t="shared" si="294"/>
        <v>7</v>
      </c>
      <c r="AY299" s="273" t="e">
        <f t="shared" si="261"/>
        <v>#N/A</v>
      </c>
      <c r="AZ299" s="232" t="e">
        <f t="shared" si="295"/>
        <v>#N/A</v>
      </c>
      <c r="BA299" s="232" t="e">
        <f t="shared" si="262"/>
        <v>#N/A</v>
      </c>
      <c r="BB299" s="275">
        <f t="shared" si="296"/>
        <v>7</v>
      </c>
      <c r="BC299" s="276" t="e">
        <f t="shared" si="297"/>
        <v>#N/A</v>
      </c>
      <c r="BD299" s="277" t="e">
        <f t="shared" si="298"/>
        <v>#N/A</v>
      </c>
      <c r="BE299" s="250" t="e">
        <f t="shared" si="263"/>
        <v>#N/A</v>
      </c>
      <c r="BF299" s="247">
        <f t="shared" si="299"/>
        <v>7</v>
      </c>
      <c r="BG299" s="276" t="e">
        <f t="shared" si="300"/>
        <v>#N/A</v>
      </c>
      <c r="BH299" s="277" t="e">
        <f t="shared" si="301"/>
        <v>#N/A</v>
      </c>
      <c r="BI299" s="250" t="e">
        <f t="shared" si="264"/>
        <v>#N/A</v>
      </c>
      <c r="BJ299" s="251">
        <f t="shared" si="302"/>
        <v>7</v>
      </c>
      <c r="BK299" s="278" t="e">
        <f t="shared" si="303"/>
        <v>#N/A</v>
      </c>
      <c r="BL299" s="278" t="e">
        <f t="shared" si="304"/>
        <v>#N/A</v>
      </c>
      <c r="BM299" s="279" t="e">
        <f t="shared" si="265"/>
        <v>#N/A</v>
      </c>
      <c r="BN299" s="280">
        <f t="shared" si="305"/>
        <v>7</v>
      </c>
      <c r="BO299" s="281" t="e">
        <f t="shared" si="306"/>
        <v>#N/A</v>
      </c>
      <c r="BP299" s="281" t="e">
        <f t="shared" si="307"/>
        <v>#N/A</v>
      </c>
      <c r="BQ299" s="279" t="e">
        <f t="shared" si="266"/>
        <v>#N/A</v>
      </c>
      <c r="BR299" s="282" t="e">
        <f t="shared" si="267"/>
        <v>#N/A</v>
      </c>
      <c r="BS299" s="217" t="e">
        <f>VLOOKUP($B299,SDR24_STOCK_BY_LA!$A$2:$C$11878,3,0)</f>
        <v>#N/A</v>
      </c>
      <c r="BT299" s="217" t="str">
        <f t="shared" si="308"/>
        <v/>
      </c>
    </row>
    <row r="300" spans="1:72" x14ac:dyDescent="0.2">
      <c r="A300" s="217" t="str">
        <f t="shared" si="309"/>
        <v/>
      </c>
      <c r="B300" s="217" t="str">
        <f t="shared" si="310"/>
        <v/>
      </c>
      <c r="C300" s="283" t="str">
        <f t="shared" si="268"/>
        <v/>
      </c>
      <c r="D300" s="256" t="str">
        <f>IF(B300="","",IF(totals!$Q$3=0,IFERROR(IF(AD300=2,"0",AE300),""),"-"))</f>
        <v/>
      </c>
      <c r="E300" s="258" t="str">
        <f t="shared" si="269"/>
        <v/>
      </c>
      <c r="F300" s="259" t="str">
        <f t="shared" si="270"/>
        <v/>
      </c>
      <c r="G300" s="259" t="str">
        <f t="shared" si="271"/>
        <v/>
      </c>
      <c r="H300" s="256" t="str">
        <f t="shared" si="249"/>
        <v/>
      </c>
      <c r="I300" s="259" t="str">
        <f t="shared" si="272"/>
        <v/>
      </c>
      <c r="J300" s="259" t="str">
        <f t="shared" si="273"/>
        <v/>
      </c>
      <c r="K300" s="256" t="str">
        <f t="shared" si="250"/>
        <v/>
      </c>
      <c r="L300" s="259" t="str">
        <f t="shared" si="251"/>
        <v/>
      </c>
      <c r="M300" s="259" t="str">
        <f t="shared" si="274"/>
        <v/>
      </c>
      <c r="N300" s="256" t="str">
        <f t="shared" si="275"/>
        <v/>
      </c>
      <c r="O300" s="259" t="str">
        <f t="shared" si="276"/>
        <v/>
      </c>
      <c r="P300" s="259" t="str">
        <f t="shared" si="277"/>
        <v/>
      </c>
      <c r="Q300" s="256" t="str">
        <f t="shared" si="278"/>
        <v/>
      </c>
      <c r="R300" s="259" t="str">
        <f t="shared" si="279"/>
        <v/>
      </c>
      <c r="S300" s="259" t="str">
        <f t="shared" si="280"/>
        <v/>
      </c>
      <c r="T300" s="256" t="str">
        <f t="shared" si="281"/>
        <v/>
      </c>
      <c r="U300" s="217"/>
      <c r="V300" s="217"/>
      <c r="AB300" s="217" t="e">
        <f>VLOOKUP($B$6,Lookup_Source,293,0)</f>
        <v>#N/A</v>
      </c>
      <c r="AC300" s="241" t="str">
        <f t="shared" si="282"/>
        <v/>
      </c>
      <c r="AD300" s="242">
        <f t="shared" si="283"/>
        <v>7</v>
      </c>
      <c r="AE300" s="261" t="e">
        <f t="shared" si="252"/>
        <v>#N/A</v>
      </c>
      <c r="AF300" s="264" t="e">
        <f t="shared" si="284"/>
        <v>#N/A</v>
      </c>
      <c r="AG300" s="264" t="e">
        <f t="shared" si="285"/>
        <v>#N/A</v>
      </c>
      <c r="AH300" s="263" t="e">
        <f t="shared" si="253"/>
        <v>#N/A</v>
      </c>
      <c r="AI300" s="226">
        <f t="shared" si="286"/>
        <v>7</v>
      </c>
      <c r="AJ300" s="264" t="e">
        <f t="shared" si="254"/>
        <v>#N/A</v>
      </c>
      <c r="AK300" s="264" t="e">
        <f t="shared" si="287"/>
        <v>#N/A</v>
      </c>
      <c r="AL300" s="226" t="e">
        <f t="shared" si="255"/>
        <v>#N/A</v>
      </c>
      <c r="AM300" s="265" t="e">
        <f t="shared" si="288"/>
        <v>#N/A</v>
      </c>
      <c r="AN300" s="266" t="e">
        <f t="shared" si="256"/>
        <v>#N/A</v>
      </c>
      <c r="AO300" s="227" t="e">
        <f t="shared" si="257"/>
        <v>#N/A</v>
      </c>
      <c r="AP300" s="284">
        <f t="shared" si="289"/>
        <v>7</v>
      </c>
      <c r="AQ300" s="285" t="e">
        <f t="shared" si="258"/>
        <v>#N/A</v>
      </c>
      <c r="AR300" s="266" t="e">
        <f t="shared" si="290"/>
        <v>#N/A</v>
      </c>
      <c r="AS300" s="270" t="e">
        <f t="shared" si="259"/>
        <v>#N/A</v>
      </c>
      <c r="AT300" s="271">
        <f t="shared" si="291"/>
        <v>7</v>
      </c>
      <c r="AU300" s="272" t="e">
        <f t="shared" si="292"/>
        <v>#N/A</v>
      </c>
      <c r="AV300" s="273" t="e">
        <f t="shared" si="293"/>
        <v>#N/A</v>
      </c>
      <c r="AW300" s="274" t="e">
        <f t="shared" si="260"/>
        <v>#N/A</v>
      </c>
      <c r="AX300" s="232">
        <f t="shared" si="294"/>
        <v>7</v>
      </c>
      <c r="AY300" s="273" t="e">
        <f t="shared" si="261"/>
        <v>#N/A</v>
      </c>
      <c r="AZ300" s="232" t="e">
        <f t="shared" si="295"/>
        <v>#N/A</v>
      </c>
      <c r="BA300" s="232" t="e">
        <f t="shared" si="262"/>
        <v>#N/A</v>
      </c>
      <c r="BB300" s="275">
        <f t="shared" si="296"/>
        <v>7</v>
      </c>
      <c r="BC300" s="276" t="e">
        <f t="shared" si="297"/>
        <v>#N/A</v>
      </c>
      <c r="BD300" s="277" t="e">
        <f t="shared" si="298"/>
        <v>#N/A</v>
      </c>
      <c r="BE300" s="250" t="e">
        <f t="shared" si="263"/>
        <v>#N/A</v>
      </c>
      <c r="BF300" s="247">
        <f t="shared" si="299"/>
        <v>7</v>
      </c>
      <c r="BG300" s="276" t="e">
        <f t="shared" si="300"/>
        <v>#N/A</v>
      </c>
      <c r="BH300" s="277" t="e">
        <f t="shared" si="301"/>
        <v>#N/A</v>
      </c>
      <c r="BI300" s="250" t="e">
        <f t="shared" si="264"/>
        <v>#N/A</v>
      </c>
      <c r="BJ300" s="251">
        <f t="shared" si="302"/>
        <v>7</v>
      </c>
      <c r="BK300" s="278" t="e">
        <f t="shared" si="303"/>
        <v>#N/A</v>
      </c>
      <c r="BL300" s="278" t="e">
        <f t="shared" si="304"/>
        <v>#N/A</v>
      </c>
      <c r="BM300" s="279" t="e">
        <f t="shared" si="265"/>
        <v>#N/A</v>
      </c>
      <c r="BN300" s="280">
        <f t="shared" si="305"/>
        <v>7</v>
      </c>
      <c r="BO300" s="281" t="e">
        <f t="shared" si="306"/>
        <v>#N/A</v>
      </c>
      <c r="BP300" s="281" t="e">
        <f t="shared" si="307"/>
        <v>#N/A</v>
      </c>
      <c r="BQ300" s="279" t="e">
        <f t="shared" si="266"/>
        <v>#N/A</v>
      </c>
      <c r="BR300" s="282" t="e">
        <f t="shared" si="267"/>
        <v>#N/A</v>
      </c>
      <c r="BS300" s="217" t="e">
        <f>VLOOKUP($B300,SDR24_STOCK_BY_LA!$A$2:$C$11878,3,0)</f>
        <v>#N/A</v>
      </c>
      <c r="BT300" s="217" t="str">
        <f t="shared" si="308"/>
        <v/>
      </c>
    </row>
    <row r="301" spans="1:72" x14ac:dyDescent="0.2">
      <c r="A301" s="256" t="str">
        <f t="shared" si="309"/>
        <v/>
      </c>
      <c r="B301" s="217" t="str">
        <f t="shared" si="310"/>
        <v/>
      </c>
      <c r="C301" s="257" t="str">
        <f t="shared" si="268"/>
        <v/>
      </c>
      <c r="D301" s="256" t="str">
        <f>IF(B301="","",IF(totals!$Q$3=0,IFERROR(IF(AD301=2,"0",AE301),""),"-"))</f>
        <v/>
      </c>
      <c r="E301" s="258" t="str">
        <f t="shared" si="269"/>
        <v/>
      </c>
      <c r="F301" s="259" t="str">
        <f t="shared" si="270"/>
        <v/>
      </c>
      <c r="G301" s="259" t="str">
        <f t="shared" si="271"/>
        <v/>
      </c>
      <c r="H301" s="256" t="str">
        <f t="shared" si="249"/>
        <v/>
      </c>
      <c r="I301" s="259" t="str">
        <f t="shared" si="272"/>
        <v/>
      </c>
      <c r="J301" s="259" t="str">
        <f t="shared" si="273"/>
        <v/>
      </c>
      <c r="K301" s="256" t="str">
        <f t="shared" si="250"/>
        <v/>
      </c>
      <c r="L301" s="259" t="str">
        <f t="shared" si="251"/>
        <v/>
      </c>
      <c r="M301" s="259" t="str">
        <f t="shared" si="274"/>
        <v/>
      </c>
      <c r="N301" s="256" t="str">
        <f t="shared" si="275"/>
        <v/>
      </c>
      <c r="O301" s="259" t="str">
        <f t="shared" si="276"/>
        <v/>
      </c>
      <c r="P301" s="259" t="str">
        <f t="shared" si="277"/>
        <v/>
      </c>
      <c r="Q301" s="256" t="str">
        <f t="shared" si="278"/>
        <v/>
      </c>
      <c r="R301" s="259" t="str">
        <f t="shared" si="279"/>
        <v/>
      </c>
      <c r="S301" s="259" t="str">
        <f t="shared" si="280"/>
        <v/>
      </c>
      <c r="T301" s="256" t="str">
        <f t="shared" si="281"/>
        <v/>
      </c>
      <c r="U301" s="217"/>
      <c r="V301" s="217"/>
      <c r="AB301" s="257" t="e">
        <f>VLOOKUP($B$6,Lookup_Source,294,0)</f>
        <v>#N/A</v>
      </c>
      <c r="AC301" s="241" t="str">
        <f t="shared" si="282"/>
        <v/>
      </c>
      <c r="AD301" s="242">
        <f t="shared" si="283"/>
        <v>7</v>
      </c>
      <c r="AE301" s="261" t="e">
        <f t="shared" si="252"/>
        <v>#N/A</v>
      </c>
      <c r="AF301" s="264" t="e">
        <f t="shared" si="284"/>
        <v>#N/A</v>
      </c>
      <c r="AG301" s="264" t="e">
        <f t="shared" si="285"/>
        <v>#N/A</v>
      </c>
      <c r="AH301" s="263" t="e">
        <f t="shared" si="253"/>
        <v>#N/A</v>
      </c>
      <c r="AI301" s="226">
        <f t="shared" si="286"/>
        <v>7</v>
      </c>
      <c r="AJ301" s="264" t="e">
        <f t="shared" si="254"/>
        <v>#N/A</v>
      </c>
      <c r="AK301" s="264" t="e">
        <f t="shared" si="287"/>
        <v>#N/A</v>
      </c>
      <c r="AL301" s="226" t="e">
        <f t="shared" si="255"/>
        <v>#N/A</v>
      </c>
      <c r="AM301" s="265" t="e">
        <f t="shared" si="288"/>
        <v>#N/A</v>
      </c>
      <c r="AN301" s="266" t="e">
        <f t="shared" si="256"/>
        <v>#N/A</v>
      </c>
      <c r="AO301" s="227" t="e">
        <f t="shared" si="257"/>
        <v>#N/A</v>
      </c>
      <c r="AP301" s="284">
        <f t="shared" si="289"/>
        <v>7</v>
      </c>
      <c r="AQ301" s="285" t="e">
        <f t="shared" si="258"/>
        <v>#N/A</v>
      </c>
      <c r="AR301" s="266" t="e">
        <f t="shared" si="290"/>
        <v>#N/A</v>
      </c>
      <c r="AS301" s="270" t="e">
        <f t="shared" si="259"/>
        <v>#N/A</v>
      </c>
      <c r="AT301" s="271">
        <f t="shared" si="291"/>
        <v>7</v>
      </c>
      <c r="AU301" s="272" t="e">
        <f t="shared" si="292"/>
        <v>#N/A</v>
      </c>
      <c r="AV301" s="273" t="e">
        <f t="shared" si="293"/>
        <v>#N/A</v>
      </c>
      <c r="AW301" s="274" t="e">
        <f t="shared" si="260"/>
        <v>#N/A</v>
      </c>
      <c r="AX301" s="232">
        <f t="shared" si="294"/>
        <v>7</v>
      </c>
      <c r="AY301" s="273" t="e">
        <f t="shared" si="261"/>
        <v>#N/A</v>
      </c>
      <c r="AZ301" s="232" t="e">
        <f t="shared" si="295"/>
        <v>#N/A</v>
      </c>
      <c r="BA301" s="232" t="e">
        <f t="shared" si="262"/>
        <v>#N/A</v>
      </c>
      <c r="BB301" s="275">
        <f t="shared" si="296"/>
        <v>7</v>
      </c>
      <c r="BC301" s="276" t="e">
        <f t="shared" si="297"/>
        <v>#N/A</v>
      </c>
      <c r="BD301" s="277" t="e">
        <f t="shared" si="298"/>
        <v>#N/A</v>
      </c>
      <c r="BE301" s="250" t="e">
        <f t="shared" si="263"/>
        <v>#N/A</v>
      </c>
      <c r="BF301" s="247">
        <f t="shared" si="299"/>
        <v>7</v>
      </c>
      <c r="BG301" s="276" t="e">
        <f t="shared" si="300"/>
        <v>#N/A</v>
      </c>
      <c r="BH301" s="277" t="e">
        <f t="shared" si="301"/>
        <v>#N/A</v>
      </c>
      <c r="BI301" s="250" t="e">
        <f t="shared" si="264"/>
        <v>#N/A</v>
      </c>
      <c r="BJ301" s="251">
        <f t="shared" si="302"/>
        <v>7</v>
      </c>
      <c r="BK301" s="278" t="e">
        <f t="shared" si="303"/>
        <v>#N/A</v>
      </c>
      <c r="BL301" s="278" t="e">
        <f t="shared" si="304"/>
        <v>#N/A</v>
      </c>
      <c r="BM301" s="279" t="e">
        <f t="shared" si="265"/>
        <v>#N/A</v>
      </c>
      <c r="BN301" s="280">
        <f t="shared" si="305"/>
        <v>7</v>
      </c>
      <c r="BO301" s="281" t="e">
        <f t="shared" si="306"/>
        <v>#N/A</v>
      </c>
      <c r="BP301" s="281" t="e">
        <f t="shared" si="307"/>
        <v>#N/A</v>
      </c>
      <c r="BQ301" s="279" t="e">
        <f t="shared" si="266"/>
        <v>#N/A</v>
      </c>
      <c r="BR301" s="282" t="e">
        <f t="shared" si="267"/>
        <v>#N/A</v>
      </c>
      <c r="BS301" s="217" t="e">
        <f>VLOOKUP($B301,SDR24_STOCK_BY_LA!$A$2:$C$11878,3,0)</f>
        <v>#N/A</v>
      </c>
      <c r="BT301" s="217" t="str">
        <f t="shared" si="308"/>
        <v/>
      </c>
    </row>
    <row r="302" spans="1:72" x14ac:dyDescent="0.2">
      <c r="A302" s="217" t="str">
        <f t="shared" si="309"/>
        <v/>
      </c>
      <c r="B302" s="217" t="str">
        <f t="shared" si="310"/>
        <v/>
      </c>
      <c r="C302" s="283" t="str">
        <f t="shared" si="268"/>
        <v/>
      </c>
      <c r="D302" s="256" t="str">
        <f>IF(B302="","",IF(totals!$Q$3=0,IFERROR(IF(AD302=2,"0",AE302),""),"-"))</f>
        <v/>
      </c>
      <c r="E302" s="258" t="str">
        <f t="shared" si="269"/>
        <v/>
      </c>
      <c r="F302" s="259" t="str">
        <f t="shared" si="270"/>
        <v/>
      </c>
      <c r="G302" s="259" t="str">
        <f t="shared" si="271"/>
        <v/>
      </c>
      <c r="H302" s="256" t="str">
        <f t="shared" si="249"/>
        <v/>
      </c>
      <c r="I302" s="259" t="str">
        <f t="shared" si="272"/>
        <v/>
      </c>
      <c r="J302" s="259" t="str">
        <f t="shared" si="273"/>
        <v/>
      </c>
      <c r="K302" s="256" t="str">
        <f t="shared" si="250"/>
        <v/>
      </c>
      <c r="L302" s="259" t="str">
        <f t="shared" si="251"/>
        <v/>
      </c>
      <c r="M302" s="259" t="str">
        <f t="shared" si="274"/>
        <v/>
      </c>
      <c r="N302" s="256" t="str">
        <f t="shared" si="275"/>
        <v/>
      </c>
      <c r="O302" s="259" t="str">
        <f t="shared" si="276"/>
        <v/>
      </c>
      <c r="P302" s="259" t="str">
        <f t="shared" si="277"/>
        <v/>
      </c>
      <c r="Q302" s="256" t="str">
        <f t="shared" si="278"/>
        <v/>
      </c>
      <c r="R302" s="259" t="str">
        <f t="shared" si="279"/>
        <v/>
      </c>
      <c r="S302" s="259" t="str">
        <f t="shared" si="280"/>
        <v/>
      </c>
      <c r="T302" s="256" t="str">
        <f t="shared" si="281"/>
        <v/>
      </c>
      <c r="U302" s="217"/>
      <c r="V302" s="217"/>
      <c r="AB302" s="217" t="e">
        <f>VLOOKUP($B$6,Lookup_Source,295,0)</f>
        <v>#N/A</v>
      </c>
      <c r="AC302" s="241" t="str">
        <f t="shared" si="282"/>
        <v/>
      </c>
      <c r="AD302" s="242">
        <f t="shared" si="283"/>
        <v>7</v>
      </c>
      <c r="AE302" s="261" t="e">
        <f t="shared" si="252"/>
        <v>#N/A</v>
      </c>
      <c r="AF302" s="264" t="e">
        <f t="shared" si="284"/>
        <v>#N/A</v>
      </c>
      <c r="AG302" s="264" t="e">
        <f t="shared" si="285"/>
        <v>#N/A</v>
      </c>
      <c r="AH302" s="263" t="e">
        <f t="shared" si="253"/>
        <v>#N/A</v>
      </c>
      <c r="AI302" s="226">
        <f t="shared" si="286"/>
        <v>7</v>
      </c>
      <c r="AJ302" s="264" t="e">
        <f t="shared" si="254"/>
        <v>#N/A</v>
      </c>
      <c r="AK302" s="264" t="e">
        <f t="shared" si="287"/>
        <v>#N/A</v>
      </c>
      <c r="AL302" s="226" t="e">
        <f t="shared" si="255"/>
        <v>#N/A</v>
      </c>
      <c r="AM302" s="265" t="e">
        <f t="shared" si="288"/>
        <v>#N/A</v>
      </c>
      <c r="AN302" s="266" t="e">
        <f t="shared" si="256"/>
        <v>#N/A</v>
      </c>
      <c r="AO302" s="227" t="e">
        <f t="shared" si="257"/>
        <v>#N/A</v>
      </c>
      <c r="AP302" s="284">
        <f t="shared" si="289"/>
        <v>7</v>
      </c>
      <c r="AQ302" s="285" t="e">
        <f t="shared" si="258"/>
        <v>#N/A</v>
      </c>
      <c r="AR302" s="266" t="e">
        <f t="shared" si="290"/>
        <v>#N/A</v>
      </c>
      <c r="AS302" s="270" t="e">
        <f t="shared" si="259"/>
        <v>#N/A</v>
      </c>
      <c r="AT302" s="271">
        <f t="shared" si="291"/>
        <v>7</v>
      </c>
      <c r="AU302" s="272" t="e">
        <f t="shared" si="292"/>
        <v>#N/A</v>
      </c>
      <c r="AV302" s="273" t="e">
        <f t="shared" si="293"/>
        <v>#N/A</v>
      </c>
      <c r="AW302" s="274" t="e">
        <f t="shared" si="260"/>
        <v>#N/A</v>
      </c>
      <c r="AX302" s="232">
        <f t="shared" si="294"/>
        <v>7</v>
      </c>
      <c r="AY302" s="273" t="e">
        <f t="shared" si="261"/>
        <v>#N/A</v>
      </c>
      <c r="AZ302" s="232" t="e">
        <f t="shared" si="295"/>
        <v>#N/A</v>
      </c>
      <c r="BA302" s="232" t="e">
        <f t="shared" si="262"/>
        <v>#N/A</v>
      </c>
      <c r="BB302" s="275">
        <f t="shared" si="296"/>
        <v>7</v>
      </c>
      <c r="BC302" s="276" t="e">
        <f t="shared" si="297"/>
        <v>#N/A</v>
      </c>
      <c r="BD302" s="277" t="e">
        <f t="shared" si="298"/>
        <v>#N/A</v>
      </c>
      <c r="BE302" s="250" t="e">
        <f t="shared" si="263"/>
        <v>#N/A</v>
      </c>
      <c r="BF302" s="247">
        <f t="shared" si="299"/>
        <v>7</v>
      </c>
      <c r="BG302" s="276" t="e">
        <f t="shared" si="300"/>
        <v>#N/A</v>
      </c>
      <c r="BH302" s="277" t="e">
        <f t="shared" si="301"/>
        <v>#N/A</v>
      </c>
      <c r="BI302" s="250" t="e">
        <f t="shared" si="264"/>
        <v>#N/A</v>
      </c>
      <c r="BJ302" s="251">
        <f t="shared" si="302"/>
        <v>7</v>
      </c>
      <c r="BK302" s="278" t="e">
        <f t="shared" si="303"/>
        <v>#N/A</v>
      </c>
      <c r="BL302" s="278" t="e">
        <f t="shared" si="304"/>
        <v>#N/A</v>
      </c>
      <c r="BM302" s="279" t="e">
        <f t="shared" si="265"/>
        <v>#N/A</v>
      </c>
      <c r="BN302" s="280">
        <f t="shared" si="305"/>
        <v>7</v>
      </c>
      <c r="BO302" s="281" t="e">
        <f t="shared" si="306"/>
        <v>#N/A</v>
      </c>
      <c r="BP302" s="281" t="e">
        <f t="shared" si="307"/>
        <v>#N/A</v>
      </c>
      <c r="BQ302" s="279" t="e">
        <f t="shared" si="266"/>
        <v>#N/A</v>
      </c>
      <c r="BR302" s="282" t="e">
        <f t="shared" si="267"/>
        <v>#N/A</v>
      </c>
      <c r="BS302" s="217" t="e">
        <f>VLOOKUP($B302,SDR24_STOCK_BY_LA!$A$2:$C$11878,3,0)</f>
        <v>#N/A</v>
      </c>
      <c r="BT302" s="217" t="str">
        <f t="shared" si="308"/>
        <v/>
      </c>
    </row>
    <row r="303" spans="1:72" x14ac:dyDescent="0.2">
      <c r="A303" s="256" t="str">
        <f t="shared" si="309"/>
        <v/>
      </c>
      <c r="B303" s="217" t="str">
        <f t="shared" si="310"/>
        <v/>
      </c>
      <c r="C303" s="257" t="str">
        <f t="shared" si="268"/>
        <v/>
      </c>
      <c r="D303" s="256" t="str">
        <f>IF(B303="","",IF(totals!$Q$3=0,IFERROR(IF(AD303=2,"0",AE303),""),"-"))</f>
        <v/>
      </c>
      <c r="E303" s="258" t="str">
        <f t="shared" si="269"/>
        <v/>
      </c>
      <c r="F303" s="259" t="str">
        <f t="shared" si="270"/>
        <v/>
      </c>
      <c r="G303" s="259" t="str">
        <f t="shared" si="271"/>
        <v/>
      </c>
      <c r="H303" s="256" t="str">
        <f t="shared" si="249"/>
        <v/>
      </c>
      <c r="I303" s="259" t="str">
        <f t="shared" si="272"/>
        <v/>
      </c>
      <c r="J303" s="259" t="str">
        <f t="shared" si="273"/>
        <v/>
      </c>
      <c r="K303" s="256" t="str">
        <f t="shared" si="250"/>
        <v/>
      </c>
      <c r="L303" s="259" t="str">
        <f t="shared" si="251"/>
        <v/>
      </c>
      <c r="M303" s="259" t="str">
        <f t="shared" si="274"/>
        <v/>
      </c>
      <c r="N303" s="256" t="str">
        <f t="shared" si="275"/>
        <v/>
      </c>
      <c r="O303" s="259" t="str">
        <f t="shared" si="276"/>
        <v/>
      </c>
      <c r="P303" s="259" t="str">
        <f t="shared" si="277"/>
        <v/>
      </c>
      <c r="Q303" s="256" t="str">
        <f t="shared" si="278"/>
        <v/>
      </c>
      <c r="R303" s="259" t="str">
        <f t="shared" si="279"/>
        <v/>
      </c>
      <c r="S303" s="259" t="str">
        <f t="shared" si="280"/>
        <v/>
      </c>
      <c r="T303" s="256" t="str">
        <f t="shared" si="281"/>
        <v/>
      </c>
      <c r="U303" s="217"/>
      <c r="V303" s="217"/>
      <c r="AB303" s="257" t="e">
        <f>VLOOKUP($B$6,Lookup_Source,296,0)</f>
        <v>#N/A</v>
      </c>
      <c r="AC303" s="241" t="str">
        <f t="shared" si="282"/>
        <v/>
      </c>
      <c r="AD303" s="242">
        <f t="shared" si="283"/>
        <v>7</v>
      </c>
      <c r="AE303" s="261" t="e">
        <f t="shared" si="252"/>
        <v>#N/A</v>
      </c>
      <c r="AF303" s="264" t="e">
        <f t="shared" si="284"/>
        <v>#N/A</v>
      </c>
      <c r="AG303" s="264" t="e">
        <f t="shared" si="285"/>
        <v>#N/A</v>
      </c>
      <c r="AH303" s="263" t="e">
        <f t="shared" si="253"/>
        <v>#N/A</v>
      </c>
      <c r="AI303" s="226">
        <f t="shared" si="286"/>
        <v>7</v>
      </c>
      <c r="AJ303" s="264" t="e">
        <f t="shared" si="254"/>
        <v>#N/A</v>
      </c>
      <c r="AK303" s="264" t="e">
        <f t="shared" si="287"/>
        <v>#N/A</v>
      </c>
      <c r="AL303" s="226" t="e">
        <f t="shared" si="255"/>
        <v>#N/A</v>
      </c>
      <c r="AM303" s="265" t="e">
        <f t="shared" si="288"/>
        <v>#N/A</v>
      </c>
      <c r="AN303" s="266" t="e">
        <f t="shared" si="256"/>
        <v>#N/A</v>
      </c>
      <c r="AO303" s="227" t="e">
        <f t="shared" si="257"/>
        <v>#N/A</v>
      </c>
      <c r="AP303" s="284">
        <f t="shared" si="289"/>
        <v>7</v>
      </c>
      <c r="AQ303" s="285" t="e">
        <f t="shared" si="258"/>
        <v>#N/A</v>
      </c>
      <c r="AR303" s="266" t="e">
        <f t="shared" si="290"/>
        <v>#N/A</v>
      </c>
      <c r="AS303" s="270" t="e">
        <f t="shared" si="259"/>
        <v>#N/A</v>
      </c>
      <c r="AT303" s="271">
        <f t="shared" si="291"/>
        <v>7</v>
      </c>
      <c r="AU303" s="272" t="e">
        <f t="shared" si="292"/>
        <v>#N/A</v>
      </c>
      <c r="AV303" s="273" t="e">
        <f t="shared" si="293"/>
        <v>#N/A</v>
      </c>
      <c r="AW303" s="274" t="e">
        <f t="shared" si="260"/>
        <v>#N/A</v>
      </c>
      <c r="AX303" s="232">
        <f t="shared" si="294"/>
        <v>7</v>
      </c>
      <c r="AY303" s="273" t="e">
        <f t="shared" si="261"/>
        <v>#N/A</v>
      </c>
      <c r="AZ303" s="232" t="e">
        <f t="shared" si="295"/>
        <v>#N/A</v>
      </c>
      <c r="BA303" s="232" t="e">
        <f t="shared" si="262"/>
        <v>#N/A</v>
      </c>
      <c r="BB303" s="275">
        <f t="shared" si="296"/>
        <v>7</v>
      </c>
      <c r="BC303" s="276" t="e">
        <f t="shared" si="297"/>
        <v>#N/A</v>
      </c>
      <c r="BD303" s="277" t="e">
        <f t="shared" si="298"/>
        <v>#N/A</v>
      </c>
      <c r="BE303" s="250" t="e">
        <f t="shared" si="263"/>
        <v>#N/A</v>
      </c>
      <c r="BF303" s="247">
        <f t="shared" si="299"/>
        <v>7</v>
      </c>
      <c r="BG303" s="276" t="e">
        <f t="shared" si="300"/>
        <v>#N/A</v>
      </c>
      <c r="BH303" s="277" t="e">
        <f t="shared" si="301"/>
        <v>#N/A</v>
      </c>
      <c r="BI303" s="250" t="e">
        <f t="shared" si="264"/>
        <v>#N/A</v>
      </c>
      <c r="BJ303" s="251">
        <f t="shared" si="302"/>
        <v>7</v>
      </c>
      <c r="BK303" s="278" t="e">
        <f t="shared" si="303"/>
        <v>#N/A</v>
      </c>
      <c r="BL303" s="278" t="e">
        <f t="shared" si="304"/>
        <v>#N/A</v>
      </c>
      <c r="BM303" s="279" t="e">
        <f t="shared" si="265"/>
        <v>#N/A</v>
      </c>
      <c r="BN303" s="280">
        <f t="shared" si="305"/>
        <v>7</v>
      </c>
      <c r="BO303" s="281" t="e">
        <f t="shared" si="306"/>
        <v>#N/A</v>
      </c>
      <c r="BP303" s="281" t="e">
        <f t="shared" si="307"/>
        <v>#N/A</v>
      </c>
      <c r="BQ303" s="279" t="e">
        <f t="shared" si="266"/>
        <v>#N/A</v>
      </c>
      <c r="BR303" s="282" t="e">
        <f t="shared" si="267"/>
        <v>#N/A</v>
      </c>
      <c r="BS303" s="217" t="e">
        <f>VLOOKUP($B303,SDR24_STOCK_BY_LA!$A$2:$C$11878,3,0)</f>
        <v>#N/A</v>
      </c>
      <c r="BT303" s="217" t="str">
        <f t="shared" si="308"/>
        <v/>
      </c>
    </row>
    <row r="304" spans="1:72" x14ac:dyDescent="0.2">
      <c r="A304" s="217" t="str">
        <f t="shared" si="309"/>
        <v/>
      </c>
      <c r="B304" s="217" t="str">
        <f t="shared" si="310"/>
        <v/>
      </c>
      <c r="C304" s="283" t="str">
        <f t="shared" si="268"/>
        <v/>
      </c>
      <c r="D304" s="256" t="str">
        <f>IF(B304="","",IF(totals!$Q$3=0,IFERROR(IF(AD304=2,"0",AE304),""),"-"))</f>
        <v/>
      </c>
      <c r="E304" s="258" t="str">
        <f t="shared" si="269"/>
        <v/>
      </c>
      <c r="F304" s="259" t="str">
        <f t="shared" si="270"/>
        <v/>
      </c>
      <c r="G304" s="259" t="str">
        <f t="shared" si="271"/>
        <v/>
      </c>
      <c r="H304" s="256" t="str">
        <f t="shared" si="249"/>
        <v/>
      </c>
      <c r="I304" s="259" t="str">
        <f t="shared" si="272"/>
        <v/>
      </c>
      <c r="J304" s="259" t="str">
        <f t="shared" si="273"/>
        <v/>
      </c>
      <c r="K304" s="256" t="str">
        <f t="shared" si="250"/>
        <v/>
      </c>
      <c r="L304" s="259" t="str">
        <f t="shared" si="251"/>
        <v/>
      </c>
      <c r="M304" s="259" t="str">
        <f t="shared" si="274"/>
        <v/>
      </c>
      <c r="N304" s="256" t="str">
        <f t="shared" si="275"/>
        <v/>
      </c>
      <c r="O304" s="259" t="str">
        <f t="shared" si="276"/>
        <v/>
      </c>
      <c r="P304" s="259" t="str">
        <f t="shared" si="277"/>
        <v/>
      </c>
      <c r="Q304" s="256" t="str">
        <f t="shared" si="278"/>
        <v/>
      </c>
      <c r="R304" s="259" t="str">
        <f t="shared" si="279"/>
        <v/>
      </c>
      <c r="S304" s="259" t="str">
        <f t="shared" si="280"/>
        <v/>
      </c>
      <c r="T304" s="256" t="str">
        <f t="shared" si="281"/>
        <v/>
      </c>
      <c r="U304" s="217"/>
      <c r="V304" s="217"/>
      <c r="AB304" s="217" t="e">
        <f>VLOOKUP($B$6,Lookup_Source,297,0)</f>
        <v>#N/A</v>
      </c>
      <c r="AC304" s="241" t="str">
        <f t="shared" si="282"/>
        <v/>
      </c>
      <c r="AD304" s="242">
        <f t="shared" si="283"/>
        <v>7</v>
      </c>
      <c r="AE304" s="261" t="e">
        <f t="shared" si="252"/>
        <v>#N/A</v>
      </c>
      <c r="AF304" s="264" t="e">
        <f t="shared" si="284"/>
        <v>#N/A</v>
      </c>
      <c r="AG304" s="264" t="e">
        <f t="shared" si="285"/>
        <v>#N/A</v>
      </c>
      <c r="AH304" s="263" t="e">
        <f t="shared" si="253"/>
        <v>#N/A</v>
      </c>
      <c r="AI304" s="226">
        <f t="shared" si="286"/>
        <v>7</v>
      </c>
      <c r="AJ304" s="264" t="e">
        <f t="shared" si="254"/>
        <v>#N/A</v>
      </c>
      <c r="AK304" s="264" t="e">
        <f t="shared" si="287"/>
        <v>#N/A</v>
      </c>
      <c r="AL304" s="226" t="e">
        <f t="shared" si="255"/>
        <v>#N/A</v>
      </c>
      <c r="AM304" s="265" t="e">
        <f t="shared" si="288"/>
        <v>#N/A</v>
      </c>
      <c r="AN304" s="266" t="e">
        <f t="shared" si="256"/>
        <v>#N/A</v>
      </c>
      <c r="AO304" s="227" t="e">
        <f t="shared" si="257"/>
        <v>#N/A</v>
      </c>
      <c r="AP304" s="284">
        <f t="shared" si="289"/>
        <v>7</v>
      </c>
      <c r="AQ304" s="285" t="e">
        <f t="shared" si="258"/>
        <v>#N/A</v>
      </c>
      <c r="AR304" s="266" t="e">
        <f t="shared" si="290"/>
        <v>#N/A</v>
      </c>
      <c r="AS304" s="270" t="e">
        <f t="shared" si="259"/>
        <v>#N/A</v>
      </c>
      <c r="AT304" s="271">
        <f t="shared" si="291"/>
        <v>7</v>
      </c>
      <c r="AU304" s="272" t="e">
        <f t="shared" si="292"/>
        <v>#N/A</v>
      </c>
      <c r="AV304" s="273" t="e">
        <f t="shared" si="293"/>
        <v>#N/A</v>
      </c>
      <c r="AW304" s="274" t="e">
        <f t="shared" si="260"/>
        <v>#N/A</v>
      </c>
      <c r="AX304" s="232">
        <f t="shared" si="294"/>
        <v>7</v>
      </c>
      <c r="AY304" s="273" t="e">
        <f t="shared" si="261"/>
        <v>#N/A</v>
      </c>
      <c r="AZ304" s="232" t="e">
        <f t="shared" si="295"/>
        <v>#N/A</v>
      </c>
      <c r="BA304" s="232" t="e">
        <f t="shared" si="262"/>
        <v>#N/A</v>
      </c>
      <c r="BB304" s="275">
        <f t="shared" si="296"/>
        <v>7</v>
      </c>
      <c r="BC304" s="276" t="e">
        <f t="shared" si="297"/>
        <v>#N/A</v>
      </c>
      <c r="BD304" s="277" t="e">
        <f t="shared" si="298"/>
        <v>#N/A</v>
      </c>
      <c r="BE304" s="250" t="e">
        <f t="shared" si="263"/>
        <v>#N/A</v>
      </c>
      <c r="BF304" s="247">
        <f t="shared" si="299"/>
        <v>7</v>
      </c>
      <c r="BG304" s="276" t="e">
        <f t="shared" si="300"/>
        <v>#N/A</v>
      </c>
      <c r="BH304" s="277" t="e">
        <f t="shared" si="301"/>
        <v>#N/A</v>
      </c>
      <c r="BI304" s="250" t="e">
        <f t="shared" si="264"/>
        <v>#N/A</v>
      </c>
      <c r="BJ304" s="251">
        <f t="shared" si="302"/>
        <v>7</v>
      </c>
      <c r="BK304" s="278" t="e">
        <f t="shared" si="303"/>
        <v>#N/A</v>
      </c>
      <c r="BL304" s="278" t="e">
        <f t="shared" si="304"/>
        <v>#N/A</v>
      </c>
      <c r="BM304" s="279" t="e">
        <f t="shared" si="265"/>
        <v>#N/A</v>
      </c>
      <c r="BN304" s="280">
        <f t="shared" si="305"/>
        <v>7</v>
      </c>
      <c r="BO304" s="281" t="e">
        <f t="shared" si="306"/>
        <v>#N/A</v>
      </c>
      <c r="BP304" s="281" t="e">
        <f t="shared" si="307"/>
        <v>#N/A</v>
      </c>
      <c r="BQ304" s="279" t="e">
        <f t="shared" si="266"/>
        <v>#N/A</v>
      </c>
      <c r="BR304" s="282" t="e">
        <f t="shared" si="267"/>
        <v>#N/A</v>
      </c>
      <c r="BS304" s="217" t="e">
        <f>VLOOKUP($B304,SDR24_STOCK_BY_LA!$A$2:$C$11878,3,0)</f>
        <v>#N/A</v>
      </c>
      <c r="BT304" s="217" t="str">
        <f t="shared" si="308"/>
        <v/>
      </c>
    </row>
    <row r="305" spans="1:72" x14ac:dyDescent="0.2">
      <c r="A305" s="256" t="str">
        <f t="shared" si="309"/>
        <v/>
      </c>
      <c r="B305" s="217" t="str">
        <f t="shared" si="310"/>
        <v/>
      </c>
      <c r="C305" s="257" t="str">
        <f t="shared" si="268"/>
        <v/>
      </c>
      <c r="D305" s="256" t="str">
        <f>IF(B305="","",IF(totals!$Q$3=0,IFERROR(IF(AD305=2,"0",AE305),""),"-"))</f>
        <v/>
      </c>
      <c r="E305" s="258" t="str">
        <f t="shared" si="269"/>
        <v/>
      </c>
      <c r="F305" s="259" t="str">
        <f t="shared" si="270"/>
        <v/>
      </c>
      <c r="G305" s="259" t="str">
        <f t="shared" si="271"/>
        <v/>
      </c>
      <c r="H305" s="256" t="str">
        <f t="shared" si="249"/>
        <v/>
      </c>
      <c r="I305" s="259" t="str">
        <f t="shared" si="272"/>
        <v/>
      </c>
      <c r="J305" s="259" t="str">
        <f t="shared" si="273"/>
        <v/>
      </c>
      <c r="K305" s="256" t="str">
        <f t="shared" si="250"/>
        <v/>
      </c>
      <c r="L305" s="259" t="str">
        <f t="shared" si="251"/>
        <v/>
      </c>
      <c r="M305" s="259" t="str">
        <f t="shared" si="274"/>
        <v/>
      </c>
      <c r="N305" s="256" t="str">
        <f t="shared" si="275"/>
        <v/>
      </c>
      <c r="O305" s="259" t="str">
        <f t="shared" si="276"/>
        <v/>
      </c>
      <c r="P305" s="259" t="str">
        <f t="shared" si="277"/>
        <v/>
      </c>
      <c r="Q305" s="256" t="str">
        <f t="shared" si="278"/>
        <v/>
      </c>
      <c r="R305" s="259" t="str">
        <f t="shared" si="279"/>
        <v/>
      </c>
      <c r="S305" s="259" t="str">
        <f t="shared" si="280"/>
        <v/>
      </c>
      <c r="T305" s="256" t="str">
        <f t="shared" si="281"/>
        <v/>
      </c>
      <c r="U305" s="217"/>
      <c r="V305" s="217"/>
      <c r="AB305" s="257" t="e">
        <f>VLOOKUP($B$6,Lookup_Source,298,0)</f>
        <v>#N/A</v>
      </c>
      <c r="AC305" s="241" t="str">
        <f t="shared" si="282"/>
        <v/>
      </c>
      <c r="AD305" s="242">
        <f t="shared" si="283"/>
        <v>7</v>
      </c>
      <c r="AE305" s="261" t="e">
        <f t="shared" si="252"/>
        <v>#N/A</v>
      </c>
      <c r="AF305" s="264" t="e">
        <f t="shared" si="284"/>
        <v>#N/A</v>
      </c>
      <c r="AG305" s="264" t="e">
        <f t="shared" si="285"/>
        <v>#N/A</v>
      </c>
      <c r="AH305" s="263" t="e">
        <f t="shared" si="253"/>
        <v>#N/A</v>
      </c>
      <c r="AI305" s="226">
        <f t="shared" si="286"/>
        <v>7</v>
      </c>
      <c r="AJ305" s="264" t="e">
        <f t="shared" si="254"/>
        <v>#N/A</v>
      </c>
      <c r="AK305" s="264" t="e">
        <f t="shared" si="287"/>
        <v>#N/A</v>
      </c>
      <c r="AL305" s="226" t="e">
        <f t="shared" si="255"/>
        <v>#N/A</v>
      </c>
      <c r="AM305" s="265" t="e">
        <f t="shared" si="288"/>
        <v>#N/A</v>
      </c>
      <c r="AN305" s="266" t="e">
        <f t="shared" si="256"/>
        <v>#N/A</v>
      </c>
      <c r="AO305" s="227" t="e">
        <f t="shared" si="257"/>
        <v>#N/A</v>
      </c>
      <c r="AP305" s="284">
        <f t="shared" si="289"/>
        <v>7</v>
      </c>
      <c r="AQ305" s="285" t="e">
        <f t="shared" si="258"/>
        <v>#N/A</v>
      </c>
      <c r="AR305" s="266" t="e">
        <f t="shared" si="290"/>
        <v>#N/A</v>
      </c>
      <c r="AS305" s="270" t="e">
        <f t="shared" si="259"/>
        <v>#N/A</v>
      </c>
      <c r="AT305" s="271">
        <f t="shared" si="291"/>
        <v>7</v>
      </c>
      <c r="AU305" s="272" t="e">
        <f t="shared" si="292"/>
        <v>#N/A</v>
      </c>
      <c r="AV305" s="273" t="e">
        <f t="shared" si="293"/>
        <v>#N/A</v>
      </c>
      <c r="AW305" s="274" t="e">
        <f t="shared" si="260"/>
        <v>#N/A</v>
      </c>
      <c r="AX305" s="232">
        <f t="shared" si="294"/>
        <v>7</v>
      </c>
      <c r="AY305" s="273" t="e">
        <f t="shared" si="261"/>
        <v>#N/A</v>
      </c>
      <c r="AZ305" s="232" t="e">
        <f t="shared" si="295"/>
        <v>#N/A</v>
      </c>
      <c r="BA305" s="232" t="e">
        <f t="shared" si="262"/>
        <v>#N/A</v>
      </c>
      <c r="BB305" s="275">
        <f t="shared" si="296"/>
        <v>7</v>
      </c>
      <c r="BC305" s="276" t="e">
        <f t="shared" si="297"/>
        <v>#N/A</v>
      </c>
      <c r="BD305" s="277" t="e">
        <f t="shared" si="298"/>
        <v>#N/A</v>
      </c>
      <c r="BE305" s="250" t="e">
        <f t="shared" si="263"/>
        <v>#N/A</v>
      </c>
      <c r="BF305" s="247">
        <f t="shared" si="299"/>
        <v>7</v>
      </c>
      <c r="BG305" s="276" t="e">
        <f t="shared" si="300"/>
        <v>#N/A</v>
      </c>
      <c r="BH305" s="277" t="e">
        <f t="shared" si="301"/>
        <v>#N/A</v>
      </c>
      <c r="BI305" s="250" t="e">
        <f t="shared" si="264"/>
        <v>#N/A</v>
      </c>
      <c r="BJ305" s="251">
        <f t="shared" si="302"/>
        <v>7</v>
      </c>
      <c r="BK305" s="278" t="e">
        <f t="shared" si="303"/>
        <v>#N/A</v>
      </c>
      <c r="BL305" s="278" t="e">
        <f t="shared" si="304"/>
        <v>#N/A</v>
      </c>
      <c r="BM305" s="279" t="e">
        <f t="shared" si="265"/>
        <v>#N/A</v>
      </c>
      <c r="BN305" s="280">
        <f t="shared" si="305"/>
        <v>7</v>
      </c>
      <c r="BO305" s="281" t="e">
        <f t="shared" si="306"/>
        <v>#N/A</v>
      </c>
      <c r="BP305" s="281" t="e">
        <f t="shared" si="307"/>
        <v>#N/A</v>
      </c>
      <c r="BQ305" s="279" t="e">
        <f t="shared" si="266"/>
        <v>#N/A</v>
      </c>
      <c r="BR305" s="282" t="e">
        <f t="shared" si="267"/>
        <v>#N/A</v>
      </c>
      <c r="BS305" s="217" t="e">
        <f>VLOOKUP($B305,SDR24_STOCK_BY_LA!$A$2:$C$11878,3,0)</f>
        <v>#N/A</v>
      </c>
      <c r="BT305" s="217" t="str">
        <f t="shared" si="308"/>
        <v/>
      </c>
    </row>
    <row r="306" spans="1:72" x14ac:dyDescent="0.2">
      <c r="A306" s="217" t="str">
        <f t="shared" si="309"/>
        <v/>
      </c>
      <c r="B306" s="217" t="str">
        <f t="shared" si="310"/>
        <v/>
      </c>
      <c r="C306" s="283" t="str">
        <f t="shared" si="268"/>
        <v/>
      </c>
      <c r="D306" s="256" t="str">
        <f>IF(B306="","",IF(totals!$Q$3=0,IFERROR(IF(AD306=2,"0",AE306),""),"-"))</f>
        <v/>
      </c>
      <c r="E306" s="258" t="str">
        <f t="shared" si="269"/>
        <v/>
      </c>
      <c r="F306" s="259" t="str">
        <f t="shared" si="270"/>
        <v/>
      </c>
      <c r="G306" s="259" t="str">
        <f t="shared" si="271"/>
        <v/>
      </c>
      <c r="H306" s="256" t="str">
        <f t="shared" si="249"/>
        <v/>
      </c>
      <c r="I306" s="259" t="str">
        <f t="shared" si="272"/>
        <v/>
      </c>
      <c r="J306" s="259" t="str">
        <f t="shared" si="273"/>
        <v/>
      </c>
      <c r="K306" s="256" t="str">
        <f t="shared" si="250"/>
        <v/>
      </c>
      <c r="L306" s="259" t="str">
        <f t="shared" si="251"/>
        <v/>
      </c>
      <c r="M306" s="259" t="str">
        <f t="shared" si="274"/>
        <v/>
      </c>
      <c r="N306" s="256" t="str">
        <f t="shared" si="275"/>
        <v/>
      </c>
      <c r="O306" s="259" t="str">
        <f t="shared" si="276"/>
        <v/>
      </c>
      <c r="P306" s="259" t="str">
        <f t="shared" si="277"/>
        <v/>
      </c>
      <c r="Q306" s="256" t="str">
        <f t="shared" si="278"/>
        <v/>
      </c>
      <c r="R306" s="259" t="str">
        <f t="shared" si="279"/>
        <v/>
      </c>
      <c r="S306" s="259" t="str">
        <f t="shared" si="280"/>
        <v/>
      </c>
      <c r="T306" s="256" t="str">
        <f t="shared" si="281"/>
        <v/>
      </c>
      <c r="U306" s="217"/>
      <c r="V306" s="217"/>
      <c r="AB306" s="217" t="e">
        <f>VLOOKUP($B$6,Lookup_Source,299,0)</f>
        <v>#N/A</v>
      </c>
      <c r="AC306" s="241" t="str">
        <f t="shared" si="282"/>
        <v/>
      </c>
      <c r="AD306" s="242">
        <f t="shared" si="283"/>
        <v>7</v>
      </c>
      <c r="AE306" s="261" t="e">
        <f t="shared" si="252"/>
        <v>#N/A</v>
      </c>
      <c r="AF306" s="264" t="e">
        <f t="shared" si="284"/>
        <v>#N/A</v>
      </c>
      <c r="AG306" s="264" t="e">
        <f t="shared" si="285"/>
        <v>#N/A</v>
      </c>
      <c r="AH306" s="263" t="e">
        <f t="shared" si="253"/>
        <v>#N/A</v>
      </c>
      <c r="AI306" s="226">
        <f t="shared" si="286"/>
        <v>7</v>
      </c>
      <c r="AJ306" s="264" t="e">
        <f t="shared" si="254"/>
        <v>#N/A</v>
      </c>
      <c r="AK306" s="264" t="e">
        <f t="shared" si="287"/>
        <v>#N/A</v>
      </c>
      <c r="AL306" s="226" t="e">
        <f t="shared" si="255"/>
        <v>#N/A</v>
      </c>
      <c r="AM306" s="265" t="e">
        <f t="shared" si="288"/>
        <v>#N/A</v>
      </c>
      <c r="AN306" s="266" t="e">
        <f t="shared" si="256"/>
        <v>#N/A</v>
      </c>
      <c r="AO306" s="227" t="e">
        <f t="shared" si="257"/>
        <v>#N/A</v>
      </c>
      <c r="AP306" s="284">
        <f t="shared" si="289"/>
        <v>7</v>
      </c>
      <c r="AQ306" s="285" t="e">
        <f t="shared" si="258"/>
        <v>#N/A</v>
      </c>
      <c r="AR306" s="266" t="e">
        <f t="shared" si="290"/>
        <v>#N/A</v>
      </c>
      <c r="AS306" s="270" t="e">
        <f t="shared" si="259"/>
        <v>#N/A</v>
      </c>
      <c r="AT306" s="271">
        <f t="shared" si="291"/>
        <v>7</v>
      </c>
      <c r="AU306" s="272" t="e">
        <f t="shared" si="292"/>
        <v>#N/A</v>
      </c>
      <c r="AV306" s="273" t="e">
        <f t="shared" si="293"/>
        <v>#N/A</v>
      </c>
      <c r="AW306" s="274" t="e">
        <f t="shared" si="260"/>
        <v>#N/A</v>
      </c>
      <c r="AX306" s="232">
        <f t="shared" si="294"/>
        <v>7</v>
      </c>
      <c r="AY306" s="273" t="e">
        <f t="shared" si="261"/>
        <v>#N/A</v>
      </c>
      <c r="AZ306" s="232" t="e">
        <f t="shared" si="295"/>
        <v>#N/A</v>
      </c>
      <c r="BA306" s="232" t="e">
        <f t="shared" si="262"/>
        <v>#N/A</v>
      </c>
      <c r="BB306" s="275">
        <f t="shared" si="296"/>
        <v>7</v>
      </c>
      <c r="BC306" s="276" t="e">
        <f t="shared" si="297"/>
        <v>#N/A</v>
      </c>
      <c r="BD306" s="277" t="e">
        <f t="shared" si="298"/>
        <v>#N/A</v>
      </c>
      <c r="BE306" s="250" t="e">
        <f t="shared" si="263"/>
        <v>#N/A</v>
      </c>
      <c r="BF306" s="247">
        <f t="shared" si="299"/>
        <v>7</v>
      </c>
      <c r="BG306" s="276" t="e">
        <f t="shared" si="300"/>
        <v>#N/A</v>
      </c>
      <c r="BH306" s="277" t="e">
        <f t="shared" si="301"/>
        <v>#N/A</v>
      </c>
      <c r="BI306" s="250" t="e">
        <f t="shared" si="264"/>
        <v>#N/A</v>
      </c>
      <c r="BJ306" s="251">
        <f t="shared" si="302"/>
        <v>7</v>
      </c>
      <c r="BK306" s="278" t="e">
        <f t="shared" si="303"/>
        <v>#N/A</v>
      </c>
      <c r="BL306" s="278" t="e">
        <f t="shared" si="304"/>
        <v>#N/A</v>
      </c>
      <c r="BM306" s="279" t="e">
        <f t="shared" si="265"/>
        <v>#N/A</v>
      </c>
      <c r="BN306" s="280">
        <f t="shared" si="305"/>
        <v>7</v>
      </c>
      <c r="BO306" s="281" t="e">
        <f t="shared" si="306"/>
        <v>#N/A</v>
      </c>
      <c r="BP306" s="281" t="e">
        <f t="shared" si="307"/>
        <v>#N/A</v>
      </c>
      <c r="BQ306" s="279" t="e">
        <f t="shared" si="266"/>
        <v>#N/A</v>
      </c>
      <c r="BR306" s="282" t="e">
        <f t="shared" si="267"/>
        <v>#N/A</v>
      </c>
      <c r="BS306" s="217" t="e">
        <f>VLOOKUP($B306,SDR24_STOCK_BY_LA!$A$2:$C$11878,3,0)</f>
        <v>#N/A</v>
      </c>
      <c r="BT306" s="217" t="str">
        <f t="shared" si="308"/>
        <v/>
      </c>
    </row>
    <row r="307" spans="1:72" x14ac:dyDescent="0.2">
      <c r="A307" s="256" t="str">
        <f t="shared" si="309"/>
        <v/>
      </c>
      <c r="B307" s="217" t="str">
        <f t="shared" si="310"/>
        <v/>
      </c>
      <c r="C307" s="257" t="str">
        <f t="shared" si="268"/>
        <v/>
      </c>
      <c r="D307" s="256" t="str">
        <f>IF(B307="","",IF(totals!$Q$3=0,IFERROR(IF(AD307=2,"0",AE307),""),"-"))</f>
        <v/>
      </c>
      <c r="E307" s="258" t="str">
        <f t="shared" si="269"/>
        <v/>
      </c>
      <c r="F307" s="259" t="str">
        <f t="shared" si="270"/>
        <v/>
      </c>
      <c r="G307" s="259" t="str">
        <f t="shared" si="271"/>
        <v/>
      </c>
      <c r="H307" s="256" t="str">
        <f t="shared" si="249"/>
        <v/>
      </c>
      <c r="I307" s="259" t="str">
        <f t="shared" si="272"/>
        <v/>
      </c>
      <c r="J307" s="259" t="str">
        <f t="shared" si="273"/>
        <v/>
      </c>
      <c r="K307" s="256" t="str">
        <f t="shared" si="250"/>
        <v/>
      </c>
      <c r="L307" s="259" t="str">
        <f t="shared" si="251"/>
        <v/>
      </c>
      <c r="M307" s="259" t="str">
        <f t="shared" si="274"/>
        <v/>
      </c>
      <c r="N307" s="256" t="str">
        <f t="shared" si="275"/>
        <v/>
      </c>
      <c r="O307" s="259" t="str">
        <f t="shared" si="276"/>
        <v/>
      </c>
      <c r="P307" s="259" t="str">
        <f t="shared" si="277"/>
        <v/>
      </c>
      <c r="Q307" s="256" t="str">
        <f t="shared" si="278"/>
        <v/>
      </c>
      <c r="R307" s="259" t="str">
        <f t="shared" si="279"/>
        <v/>
      </c>
      <c r="S307" s="259" t="str">
        <f t="shared" si="280"/>
        <v/>
      </c>
      <c r="T307" s="256" t="str">
        <f t="shared" si="281"/>
        <v/>
      </c>
      <c r="U307" s="217"/>
      <c r="V307" s="217"/>
      <c r="AB307" s="257" t="e">
        <f>VLOOKUP($B$6,Lookup_Source,300,0)</f>
        <v>#N/A</v>
      </c>
      <c r="AC307" s="241" t="str">
        <f t="shared" si="282"/>
        <v/>
      </c>
      <c r="AD307" s="242">
        <f t="shared" si="283"/>
        <v>7</v>
      </c>
      <c r="AE307" s="261" t="e">
        <f t="shared" si="252"/>
        <v>#N/A</v>
      </c>
      <c r="AF307" s="264" t="e">
        <f t="shared" si="284"/>
        <v>#N/A</v>
      </c>
      <c r="AG307" s="264" t="e">
        <f t="shared" si="285"/>
        <v>#N/A</v>
      </c>
      <c r="AH307" s="263" t="e">
        <f t="shared" si="253"/>
        <v>#N/A</v>
      </c>
      <c r="AI307" s="226">
        <f t="shared" si="286"/>
        <v>7</v>
      </c>
      <c r="AJ307" s="264" t="e">
        <f t="shared" si="254"/>
        <v>#N/A</v>
      </c>
      <c r="AK307" s="264" t="e">
        <f t="shared" si="287"/>
        <v>#N/A</v>
      </c>
      <c r="AL307" s="226" t="e">
        <f t="shared" si="255"/>
        <v>#N/A</v>
      </c>
      <c r="AM307" s="265" t="e">
        <f t="shared" si="288"/>
        <v>#N/A</v>
      </c>
      <c r="AN307" s="266" t="e">
        <f t="shared" si="256"/>
        <v>#N/A</v>
      </c>
      <c r="AO307" s="227" t="e">
        <f t="shared" si="257"/>
        <v>#N/A</v>
      </c>
      <c r="AP307" s="284">
        <f t="shared" si="289"/>
        <v>7</v>
      </c>
      <c r="AQ307" s="285" t="e">
        <f t="shared" si="258"/>
        <v>#N/A</v>
      </c>
      <c r="AR307" s="266" t="e">
        <f t="shared" si="290"/>
        <v>#N/A</v>
      </c>
      <c r="AS307" s="270" t="e">
        <f t="shared" si="259"/>
        <v>#N/A</v>
      </c>
      <c r="AT307" s="271">
        <f t="shared" si="291"/>
        <v>7</v>
      </c>
      <c r="AU307" s="272" t="e">
        <f t="shared" si="292"/>
        <v>#N/A</v>
      </c>
      <c r="AV307" s="273" t="e">
        <f t="shared" si="293"/>
        <v>#N/A</v>
      </c>
      <c r="AW307" s="274" t="e">
        <f t="shared" si="260"/>
        <v>#N/A</v>
      </c>
      <c r="AX307" s="232">
        <f t="shared" si="294"/>
        <v>7</v>
      </c>
      <c r="AY307" s="273" t="e">
        <f t="shared" si="261"/>
        <v>#N/A</v>
      </c>
      <c r="AZ307" s="232" t="e">
        <f t="shared" si="295"/>
        <v>#N/A</v>
      </c>
      <c r="BA307" s="232" t="e">
        <f t="shared" si="262"/>
        <v>#N/A</v>
      </c>
      <c r="BB307" s="275">
        <f t="shared" si="296"/>
        <v>7</v>
      </c>
      <c r="BC307" s="276" t="e">
        <f t="shared" si="297"/>
        <v>#N/A</v>
      </c>
      <c r="BD307" s="277" t="e">
        <f t="shared" si="298"/>
        <v>#N/A</v>
      </c>
      <c r="BE307" s="250" t="e">
        <f t="shared" si="263"/>
        <v>#N/A</v>
      </c>
      <c r="BF307" s="247">
        <f t="shared" si="299"/>
        <v>7</v>
      </c>
      <c r="BG307" s="276" t="e">
        <f t="shared" si="300"/>
        <v>#N/A</v>
      </c>
      <c r="BH307" s="277" t="e">
        <f t="shared" si="301"/>
        <v>#N/A</v>
      </c>
      <c r="BI307" s="250" t="e">
        <f t="shared" si="264"/>
        <v>#N/A</v>
      </c>
      <c r="BJ307" s="251">
        <f t="shared" si="302"/>
        <v>7</v>
      </c>
      <c r="BK307" s="278" t="e">
        <f t="shared" si="303"/>
        <v>#N/A</v>
      </c>
      <c r="BL307" s="278" t="e">
        <f t="shared" si="304"/>
        <v>#N/A</v>
      </c>
      <c r="BM307" s="279" t="e">
        <f t="shared" si="265"/>
        <v>#N/A</v>
      </c>
      <c r="BN307" s="280">
        <f t="shared" si="305"/>
        <v>7</v>
      </c>
      <c r="BO307" s="281" t="e">
        <f t="shared" si="306"/>
        <v>#N/A</v>
      </c>
      <c r="BP307" s="281" t="e">
        <f t="shared" si="307"/>
        <v>#N/A</v>
      </c>
      <c r="BQ307" s="279" t="e">
        <f t="shared" si="266"/>
        <v>#N/A</v>
      </c>
      <c r="BR307" s="282" t="e">
        <f t="shared" si="267"/>
        <v>#N/A</v>
      </c>
      <c r="BS307" s="217" t="e">
        <f>VLOOKUP($B307,SDR24_STOCK_BY_LA!$A$2:$C$11878,3,0)</f>
        <v>#N/A</v>
      </c>
      <c r="BT307" s="217" t="str">
        <f t="shared" si="308"/>
        <v/>
      </c>
    </row>
    <row r="308" spans="1:72" x14ac:dyDescent="0.2">
      <c r="A308" s="217" t="str">
        <f t="shared" si="309"/>
        <v/>
      </c>
      <c r="B308" s="217" t="str">
        <f t="shared" si="310"/>
        <v/>
      </c>
      <c r="C308" s="283" t="str">
        <f t="shared" si="268"/>
        <v/>
      </c>
      <c r="D308" s="256" t="str">
        <f>IF(B308="","",IF(totals!$Q$3=0,IFERROR(IF(AD308=2,"0",AE308),""),"-"))</f>
        <v/>
      </c>
      <c r="E308" s="258" t="str">
        <f t="shared" si="269"/>
        <v/>
      </c>
      <c r="F308" s="259" t="str">
        <f t="shared" si="270"/>
        <v/>
      </c>
      <c r="G308" s="259" t="str">
        <f t="shared" si="271"/>
        <v/>
      </c>
      <c r="H308" s="256" t="str">
        <f t="shared" si="249"/>
        <v/>
      </c>
      <c r="I308" s="259" t="str">
        <f t="shared" si="272"/>
        <v/>
      </c>
      <c r="J308" s="259" t="str">
        <f t="shared" si="273"/>
        <v/>
      </c>
      <c r="K308" s="256" t="str">
        <f t="shared" si="250"/>
        <v/>
      </c>
      <c r="L308" s="259" t="str">
        <f t="shared" si="251"/>
        <v/>
      </c>
      <c r="M308" s="259" t="str">
        <f t="shared" si="274"/>
        <v/>
      </c>
      <c r="N308" s="256" t="str">
        <f t="shared" si="275"/>
        <v/>
      </c>
      <c r="O308" s="259" t="str">
        <f t="shared" si="276"/>
        <v/>
      </c>
      <c r="P308" s="259" t="str">
        <f t="shared" si="277"/>
        <v/>
      </c>
      <c r="Q308" s="256" t="str">
        <f t="shared" si="278"/>
        <v/>
      </c>
      <c r="R308" s="259" t="str">
        <f t="shared" si="279"/>
        <v/>
      </c>
      <c r="S308" s="259" t="str">
        <f t="shared" si="280"/>
        <v/>
      </c>
      <c r="T308" s="256" t="str">
        <f t="shared" si="281"/>
        <v/>
      </c>
      <c r="U308" s="217"/>
      <c r="V308" s="217"/>
      <c r="AB308" s="217" t="e">
        <f>VLOOKUP($B$6,Lookup_Source,301,0)</f>
        <v>#N/A</v>
      </c>
      <c r="AC308" s="241" t="str">
        <f t="shared" si="282"/>
        <v/>
      </c>
      <c r="AD308" s="242">
        <f t="shared" si="283"/>
        <v>7</v>
      </c>
      <c r="AE308" s="261" t="e">
        <f t="shared" si="252"/>
        <v>#N/A</v>
      </c>
      <c r="AF308" s="264" t="e">
        <f t="shared" si="284"/>
        <v>#N/A</v>
      </c>
      <c r="AG308" s="264" t="e">
        <f t="shared" si="285"/>
        <v>#N/A</v>
      </c>
      <c r="AH308" s="263" t="e">
        <f t="shared" si="253"/>
        <v>#N/A</v>
      </c>
      <c r="AI308" s="226">
        <f t="shared" si="286"/>
        <v>7</v>
      </c>
      <c r="AJ308" s="264" t="e">
        <f t="shared" si="254"/>
        <v>#N/A</v>
      </c>
      <c r="AK308" s="264" t="e">
        <f t="shared" si="287"/>
        <v>#N/A</v>
      </c>
      <c r="AL308" s="226" t="e">
        <f t="shared" si="255"/>
        <v>#N/A</v>
      </c>
      <c r="AM308" s="265" t="e">
        <f t="shared" si="288"/>
        <v>#N/A</v>
      </c>
      <c r="AN308" s="266" t="e">
        <f t="shared" si="256"/>
        <v>#N/A</v>
      </c>
      <c r="AO308" s="227" t="e">
        <f t="shared" si="257"/>
        <v>#N/A</v>
      </c>
      <c r="AP308" s="284">
        <f t="shared" si="289"/>
        <v>7</v>
      </c>
      <c r="AQ308" s="285" t="e">
        <f t="shared" si="258"/>
        <v>#N/A</v>
      </c>
      <c r="AR308" s="266" t="e">
        <f t="shared" si="290"/>
        <v>#N/A</v>
      </c>
      <c r="AS308" s="270" t="e">
        <f t="shared" si="259"/>
        <v>#N/A</v>
      </c>
      <c r="AT308" s="271">
        <f t="shared" si="291"/>
        <v>7</v>
      </c>
      <c r="AU308" s="272" t="e">
        <f t="shared" si="292"/>
        <v>#N/A</v>
      </c>
      <c r="AV308" s="273" t="e">
        <f t="shared" si="293"/>
        <v>#N/A</v>
      </c>
      <c r="AW308" s="274" t="e">
        <f t="shared" si="260"/>
        <v>#N/A</v>
      </c>
      <c r="AX308" s="232">
        <f t="shared" si="294"/>
        <v>7</v>
      </c>
      <c r="AY308" s="273" t="e">
        <f t="shared" si="261"/>
        <v>#N/A</v>
      </c>
      <c r="AZ308" s="232" t="e">
        <f t="shared" si="295"/>
        <v>#N/A</v>
      </c>
      <c r="BA308" s="232" t="e">
        <f t="shared" si="262"/>
        <v>#N/A</v>
      </c>
      <c r="BB308" s="275">
        <f t="shared" si="296"/>
        <v>7</v>
      </c>
      <c r="BC308" s="276" t="e">
        <f t="shared" si="297"/>
        <v>#N/A</v>
      </c>
      <c r="BD308" s="277" t="e">
        <f t="shared" si="298"/>
        <v>#N/A</v>
      </c>
      <c r="BE308" s="250" t="e">
        <f t="shared" si="263"/>
        <v>#N/A</v>
      </c>
      <c r="BF308" s="247">
        <f t="shared" si="299"/>
        <v>7</v>
      </c>
      <c r="BG308" s="276" t="e">
        <f t="shared" si="300"/>
        <v>#N/A</v>
      </c>
      <c r="BH308" s="277" t="e">
        <f t="shared" si="301"/>
        <v>#N/A</v>
      </c>
      <c r="BI308" s="250" t="e">
        <f t="shared" si="264"/>
        <v>#N/A</v>
      </c>
      <c r="BJ308" s="251">
        <f t="shared" si="302"/>
        <v>7</v>
      </c>
      <c r="BK308" s="278" t="e">
        <f t="shared" si="303"/>
        <v>#N/A</v>
      </c>
      <c r="BL308" s="278" t="e">
        <f t="shared" si="304"/>
        <v>#N/A</v>
      </c>
      <c r="BM308" s="279" t="e">
        <f t="shared" si="265"/>
        <v>#N/A</v>
      </c>
      <c r="BN308" s="280">
        <f t="shared" si="305"/>
        <v>7</v>
      </c>
      <c r="BO308" s="281" t="e">
        <f t="shared" si="306"/>
        <v>#N/A</v>
      </c>
      <c r="BP308" s="281" t="e">
        <f t="shared" si="307"/>
        <v>#N/A</v>
      </c>
      <c r="BQ308" s="279" t="e">
        <f t="shared" si="266"/>
        <v>#N/A</v>
      </c>
      <c r="BR308" s="282" t="e">
        <f t="shared" si="267"/>
        <v>#N/A</v>
      </c>
      <c r="BS308" s="217" t="e">
        <f>VLOOKUP($B308,SDR24_STOCK_BY_LA!$A$2:$C$11878,3,0)</f>
        <v>#N/A</v>
      </c>
      <c r="BT308" s="217" t="str">
        <f t="shared" si="308"/>
        <v/>
      </c>
    </row>
    <row r="309" spans="1:72" x14ac:dyDescent="0.2">
      <c r="A309" s="256" t="str">
        <f t="shared" si="309"/>
        <v/>
      </c>
      <c r="B309" s="217" t="str">
        <f t="shared" si="310"/>
        <v/>
      </c>
      <c r="C309" s="257" t="str">
        <f t="shared" si="268"/>
        <v/>
      </c>
      <c r="D309" s="256" t="str">
        <f>IF(B309="","",IF(totals!$Q$3=0,IFERROR(IF(AD309=2,"0",AE309),""),"-"))</f>
        <v/>
      </c>
      <c r="E309" s="258" t="str">
        <f t="shared" si="269"/>
        <v/>
      </c>
      <c r="F309" s="259" t="str">
        <f t="shared" si="270"/>
        <v/>
      </c>
      <c r="G309" s="259" t="str">
        <f t="shared" si="271"/>
        <v/>
      </c>
      <c r="H309" s="256" t="str">
        <f t="shared" si="249"/>
        <v/>
      </c>
      <c r="I309" s="259" t="str">
        <f t="shared" si="272"/>
        <v/>
      </c>
      <c r="J309" s="259" t="str">
        <f t="shared" si="273"/>
        <v/>
      </c>
      <c r="K309" s="256" t="str">
        <f t="shared" si="250"/>
        <v/>
      </c>
      <c r="L309" s="259" t="str">
        <f t="shared" si="251"/>
        <v/>
      </c>
      <c r="M309" s="259" t="str">
        <f t="shared" si="274"/>
        <v/>
      </c>
      <c r="N309" s="256" t="str">
        <f t="shared" si="275"/>
        <v/>
      </c>
      <c r="O309" s="259" t="str">
        <f t="shared" si="276"/>
        <v/>
      </c>
      <c r="P309" s="259" t="str">
        <f t="shared" si="277"/>
        <v/>
      </c>
      <c r="Q309" s="256" t="str">
        <f t="shared" si="278"/>
        <v/>
      </c>
      <c r="R309" s="259" t="str">
        <f t="shared" si="279"/>
        <v/>
      </c>
      <c r="S309" s="259" t="str">
        <f t="shared" si="280"/>
        <v/>
      </c>
      <c r="T309" s="256" t="str">
        <f t="shared" si="281"/>
        <v/>
      </c>
      <c r="U309" s="217"/>
      <c r="V309" s="217"/>
      <c r="AB309" s="257" t="e">
        <f>VLOOKUP($B$6,Lookup_Source,302,0)</f>
        <v>#N/A</v>
      </c>
      <c r="AC309" s="241" t="str">
        <f t="shared" si="282"/>
        <v/>
      </c>
      <c r="AD309" s="242">
        <f t="shared" si="283"/>
        <v>7</v>
      </c>
      <c r="AE309" s="261" t="e">
        <f t="shared" si="252"/>
        <v>#N/A</v>
      </c>
      <c r="AF309" s="264" t="e">
        <f t="shared" si="284"/>
        <v>#N/A</v>
      </c>
      <c r="AG309" s="264" t="e">
        <f t="shared" si="285"/>
        <v>#N/A</v>
      </c>
      <c r="AH309" s="263" t="e">
        <f t="shared" si="253"/>
        <v>#N/A</v>
      </c>
      <c r="AI309" s="226">
        <f t="shared" si="286"/>
        <v>7</v>
      </c>
      <c r="AJ309" s="264" t="e">
        <f t="shared" si="254"/>
        <v>#N/A</v>
      </c>
      <c r="AK309" s="264" t="e">
        <f t="shared" si="287"/>
        <v>#N/A</v>
      </c>
      <c r="AL309" s="226" t="e">
        <f t="shared" si="255"/>
        <v>#N/A</v>
      </c>
      <c r="AM309" s="265" t="e">
        <f t="shared" si="288"/>
        <v>#N/A</v>
      </c>
      <c r="AN309" s="266" t="e">
        <f t="shared" si="256"/>
        <v>#N/A</v>
      </c>
      <c r="AO309" s="227" t="e">
        <f t="shared" si="257"/>
        <v>#N/A</v>
      </c>
      <c r="AP309" s="284">
        <f t="shared" si="289"/>
        <v>7</v>
      </c>
      <c r="AQ309" s="285" t="e">
        <f t="shared" si="258"/>
        <v>#N/A</v>
      </c>
      <c r="AR309" s="266" t="e">
        <f t="shared" si="290"/>
        <v>#N/A</v>
      </c>
      <c r="AS309" s="270" t="e">
        <f t="shared" si="259"/>
        <v>#N/A</v>
      </c>
      <c r="AT309" s="271">
        <f t="shared" si="291"/>
        <v>7</v>
      </c>
      <c r="AU309" s="272" t="e">
        <f t="shared" si="292"/>
        <v>#N/A</v>
      </c>
      <c r="AV309" s="273" t="e">
        <f t="shared" si="293"/>
        <v>#N/A</v>
      </c>
      <c r="AW309" s="274" t="e">
        <f t="shared" si="260"/>
        <v>#N/A</v>
      </c>
      <c r="AX309" s="232">
        <f t="shared" si="294"/>
        <v>7</v>
      </c>
      <c r="AY309" s="273" t="e">
        <f t="shared" si="261"/>
        <v>#N/A</v>
      </c>
      <c r="AZ309" s="232" t="e">
        <f t="shared" si="295"/>
        <v>#N/A</v>
      </c>
      <c r="BA309" s="232" t="e">
        <f t="shared" si="262"/>
        <v>#N/A</v>
      </c>
      <c r="BB309" s="275">
        <f t="shared" si="296"/>
        <v>7</v>
      </c>
      <c r="BC309" s="276" t="e">
        <f t="shared" si="297"/>
        <v>#N/A</v>
      </c>
      <c r="BD309" s="277" t="e">
        <f t="shared" si="298"/>
        <v>#N/A</v>
      </c>
      <c r="BE309" s="250" t="e">
        <f t="shared" si="263"/>
        <v>#N/A</v>
      </c>
      <c r="BF309" s="247">
        <f t="shared" si="299"/>
        <v>7</v>
      </c>
      <c r="BG309" s="276" t="e">
        <f t="shared" si="300"/>
        <v>#N/A</v>
      </c>
      <c r="BH309" s="277" t="e">
        <f t="shared" si="301"/>
        <v>#N/A</v>
      </c>
      <c r="BI309" s="250" t="e">
        <f t="shared" si="264"/>
        <v>#N/A</v>
      </c>
      <c r="BJ309" s="251">
        <f t="shared" si="302"/>
        <v>7</v>
      </c>
      <c r="BK309" s="278" t="e">
        <f t="shared" si="303"/>
        <v>#N/A</v>
      </c>
      <c r="BL309" s="278" t="e">
        <f t="shared" si="304"/>
        <v>#N/A</v>
      </c>
      <c r="BM309" s="279" t="e">
        <f t="shared" si="265"/>
        <v>#N/A</v>
      </c>
      <c r="BN309" s="280">
        <f t="shared" si="305"/>
        <v>7</v>
      </c>
      <c r="BO309" s="281" t="e">
        <f t="shared" si="306"/>
        <v>#N/A</v>
      </c>
      <c r="BP309" s="281" t="e">
        <f t="shared" si="307"/>
        <v>#N/A</v>
      </c>
      <c r="BQ309" s="279" t="e">
        <f t="shared" si="266"/>
        <v>#N/A</v>
      </c>
      <c r="BR309" s="282" t="e">
        <f t="shared" si="267"/>
        <v>#N/A</v>
      </c>
      <c r="BS309" s="217" t="e">
        <f>VLOOKUP($B309,SDR24_STOCK_BY_LA!$A$2:$C$11878,3,0)</f>
        <v>#N/A</v>
      </c>
      <c r="BT309" s="217" t="str">
        <f t="shared" si="308"/>
        <v/>
      </c>
    </row>
    <row r="310" spans="1:72" x14ac:dyDescent="0.2">
      <c r="A310" s="217" t="str">
        <f t="shared" si="309"/>
        <v/>
      </c>
      <c r="B310" s="217" t="str">
        <f t="shared" si="310"/>
        <v/>
      </c>
      <c r="C310" s="283" t="str">
        <f t="shared" si="268"/>
        <v/>
      </c>
      <c r="D310" s="256" t="str">
        <f>IF(B310="","",IF(totals!$Q$3=0,IFERROR(IF(AD310=2,"0",AE310),""),"-"))</f>
        <v/>
      </c>
      <c r="E310" s="258" t="str">
        <f t="shared" si="269"/>
        <v/>
      </c>
      <c r="F310" s="259" t="str">
        <f t="shared" si="270"/>
        <v/>
      </c>
      <c r="G310" s="259" t="str">
        <f t="shared" si="271"/>
        <v/>
      </c>
      <c r="H310" s="256" t="str">
        <f t="shared" si="249"/>
        <v/>
      </c>
      <c r="I310" s="259" t="str">
        <f t="shared" si="272"/>
        <v/>
      </c>
      <c r="J310" s="259" t="str">
        <f t="shared" si="273"/>
        <v/>
      </c>
      <c r="K310" s="256" t="str">
        <f t="shared" si="250"/>
        <v/>
      </c>
      <c r="L310" s="259" t="str">
        <f t="shared" si="251"/>
        <v/>
      </c>
      <c r="M310" s="259" t="str">
        <f t="shared" si="274"/>
        <v/>
      </c>
      <c r="N310" s="256" t="str">
        <f t="shared" si="275"/>
        <v/>
      </c>
      <c r="O310" s="259" t="str">
        <f t="shared" si="276"/>
        <v/>
      </c>
      <c r="P310" s="259" t="str">
        <f t="shared" si="277"/>
        <v/>
      </c>
      <c r="Q310" s="256" t="str">
        <f t="shared" si="278"/>
        <v/>
      </c>
      <c r="R310" s="259" t="str">
        <f t="shared" si="279"/>
        <v/>
      </c>
      <c r="S310" s="259" t="str">
        <f t="shared" si="280"/>
        <v/>
      </c>
      <c r="T310" s="256" t="str">
        <f t="shared" si="281"/>
        <v/>
      </c>
      <c r="U310" s="217"/>
      <c r="V310" s="217"/>
      <c r="AB310" s="217" t="e">
        <f>VLOOKUP($B$6,Lookup_Source,303,0)</f>
        <v>#N/A</v>
      </c>
      <c r="AC310" s="241" t="str">
        <f t="shared" si="282"/>
        <v/>
      </c>
      <c r="AD310" s="242">
        <f t="shared" si="283"/>
        <v>7</v>
      </c>
      <c r="AE310" s="261" t="e">
        <f t="shared" si="252"/>
        <v>#N/A</v>
      </c>
      <c r="AF310" s="264" t="e">
        <f t="shared" si="284"/>
        <v>#N/A</v>
      </c>
      <c r="AG310" s="264" t="e">
        <f t="shared" si="285"/>
        <v>#N/A</v>
      </c>
      <c r="AH310" s="263" t="e">
        <f t="shared" si="253"/>
        <v>#N/A</v>
      </c>
      <c r="AI310" s="226">
        <f t="shared" si="286"/>
        <v>7</v>
      </c>
      <c r="AJ310" s="264" t="e">
        <f t="shared" si="254"/>
        <v>#N/A</v>
      </c>
      <c r="AK310" s="264" t="e">
        <f t="shared" si="287"/>
        <v>#N/A</v>
      </c>
      <c r="AL310" s="226" t="e">
        <f t="shared" si="255"/>
        <v>#N/A</v>
      </c>
      <c r="AM310" s="265" t="e">
        <f t="shared" si="288"/>
        <v>#N/A</v>
      </c>
      <c r="AN310" s="266" t="e">
        <f t="shared" si="256"/>
        <v>#N/A</v>
      </c>
      <c r="AO310" s="227" t="e">
        <f t="shared" si="257"/>
        <v>#N/A</v>
      </c>
      <c r="AP310" s="284">
        <f t="shared" si="289"/>
        <v>7</v>
      </c>
      <c r="AQ310" s="285" t="e">
        <f t="shared" si="258"/>
        <v>#N/A</v>
      </c>
      <c r="AR310" s="266" t="e">
        <f t="shared" si="290"/>
        <v>#N/A</v>
      </c>
      <c r="AS310" s="270" t="e">
        <f t="shared" si="259"/>
        <v>#N/A</v>
      </c>
      <c r="AT310" s="271">
        <f t="shared" si="291"/>
        <v>7</v>
      </c>
      <c r="AU310" s="272" t="e">
        <f t="shared" si="292"/>
        <v>#N/A</v>
      </c>
      <c r="AV310" s="273" t="e">
        <f t="shared" si="293"/>
        <v>#N/A</v>
      </c>
      <c r="AW310" s="274" t="e">
        <f t="shared" si="260"/>
        <v>#N/A</v>
      </c>
      <c r="AX310" s="232">
        <f t="shared" si="294"/>
        <v>7</v>
      </c>
      <c r="AY310" s="273" t="e">
        <f t="shared" si="261"/>
        <v>#N/A</v>
      </c>
      <c r="AZ310" s="232" t="e">
        <f t="shared" si="295"/>
        <v>#N/A</v>
      </c>
      <c r="BA310" s="232" t="e">
        <f t="shared" si="262"/>
        <v>#N/A</v>
      </c>
      <c r="BB310" s="275">
        <f t="shared" si="296"/>
        <v>7</v>
      </c>
      <c r="BC310" s="276" t="e">
        <f t="shared" si="297"/>
        <v>#N/A</v>
      </c>
      <c r="BD310" s="277" t="e">
        <f t="shared" si="298"/>
        <v>#N/A</v>
      </c>
      <c r="BE310" s="250" t="e">
        <f t="shared" si="263"/>
        <v>#N/A</v>
      </c>
      <c r="BF310" s="247">
        <f t="shared" si="299"/>
        <v>7</v>
      </c>
      <c r="BG310" s="276" t="e">
        <f t="shared" si="300"/>
        <v>#N/A</v>
      </c>
      <c r="BH310" s="277" t="e">
        <f t="shared" si="301"/>
        <v>#N/A</v>
      </c>
      <c r="BI310" s="250" t="e">
        <f t="shared" si="264"/>
        <v>#N/A</v>
      </c>
      <c r="BJ310" s="251">
        <f t="shared" si="302"/>
        <v>7</v>
      </c>
      <c r="BK310" s="278" t="e">
        <f t="shared" si="303"/>
        <v>#N/A</v>
      </c>
      <c r="BL310" s="278" t="e">
        <f t="shared" si="304"/>
        <v>#N/A</v>
      </c>
      <c r="BM310" s="279" t="e">
        <f t="shared" si="265"/>
        <v>#N/A</v>
      </c>
      <c r="BN310" s="280">
        <f t="shared" si="305"/>
        <v>7</v>
      </c>
      <c r="BO310" s="281" t="e">
        <f t="shared" si="306"/>
        <v>#N/A</v>
      </c>
      <c r="BP310" s="281" t="e">
        <f t="shared" si="307"/>
        <v>#N/A</v>
      </c>
      <c r="BQ310" s="279" t="e">
        <f t="shared" si="266"/>
        <v>#N/A</v>
      </c>
      <c r="BR310" s="282" t="e">
        <f t="shared" si="267"/>
        <v>#N/A</v>
      </c>
      <c r="BS310" s="217" t="e">
        <f>VLOOKUP($B310,SDR24_STOCK_BY_LA!$A$2:$C$11878,3,0)</f>
        <v>#N/A</v>
      </c>
      <c r="BT310" s="217" t="str">
        <f t="shared" si="308"/>
        <v/>
      </c>
    </row>
    <row r="311" spans="1:72" x14ac:dyDescent="0.2">
      <c r="A311" s="256" t="str">
        <f t="shared" si="309"/>
        <v/>
      </c>
      <c r="B311" s="217" t="str">
        <f t="shared" si="310"/>
        <v/>
      </c>
      <c r="C311" s="257" t="str">
        <f t="shared" si="268"/>
        <v/>
      </c>
      <c r="D311" s="256" t="str">
        <f>IF(B311="","",IF(totals!$Q$3=0,IFERROR(IF(AD311=2,"0",AE311),""),"-"))</f>
        <v/>
      </c>
      <c r="E311" s="258" t="str">
        <f t="shared" si="269"/>
        <v/>
      </c>
      <c r="F311" s="259" t="str">
        <f t="shared" si="270"/>
        <v/>
      </c>
      <c r="G311" s="259" t="str">
        <f t="shared" si="271"/>
        <v/>
      </c>
      <c r="H311" s="256" t="str">
        <f t="shared" si="249"/>
        <v/>
      </c>
      <c r="I311" s="259" t="str">
        <f t="shared" si="272"/>
        <v/>
      </c>
      <c r="J311" s="259" t="str">
        <f t="shared" si="273"/>
        <v/>
      </c>
      <c r="K311" s="256" t="str">
        <f t="shared" si="250"/>
        <v/>
      </c>
      <c r="L311" s="259" t="str">
        <f t="shared" si="251"/>
        <v/>
      </c>
      <c r="M311" s="259" t="str">
        <f t="shared" si="274"/>
        <v/>
      </c>
      <c r="N311" s="256" t="str">
        <f t="shared" si="275"/>
        <v/>
      </c>
      <c r="O311" s="259" t="str">
        <f t="shared" si="276"/>
        <v/>
      </c>
      <c r="P311" s="259" t="str">
        <f t="shared" si="277"/>
        <v/>
      </c>
      <c r="Q311" s="256" t="str">
        <f t="shared" si="278"/>
        <v/>
      </c>
      <c r="R311" s="259" t="str">
        <f t="shared" si="279"/>
        <v/>
      </c>
      <c r="S311" s="259" t="str">
        <f t="shared" si="280"/>
        <v/>
      </c>
      <c r="T311" s="256" t="str">
        <f t="shared" si="281"/>
        <v/>
      </c>
      <c r="U311" s="217"/>
      <c r="V311" s="217"/>
      <c r="AB311" s="257" t="e">
        <f>VLOOKUP($B$6,Lookup_Source,304,0)</f>
        <v>#N/A</v>
      </c>
      <c r="AC311" s="241" t="str">
        <f t="shared" si="282"/>
        <v/>
      </c>
      <c r="AD311" s="242">
        <f t="shared" si="283"/>
        <v>7</v>
      </c>
      <c r="AE311" s="261" t="e">
        <f t="shared" si="252"/>
        <v>#N/A</v>
      </c>
      <c r="AF311" s="264" t="e">
        <f t="shared" si="284"/>
        <v>#N/A</v>
      </c>
      <c r="AG311" s="264" t="e">
        <f t="shared" si="285"/>
        <v>#N/A</v>
      </c>
      <c r="AH311" s="263" t="e">
        <f t="shared" si="253"/>
        <v>#N/A</v>
      </c>
      <c r="AI311" s="226">
        <f t="shared" si="286"/>
        <v>7</v>
      </c>
      <c r="AJ311" s="264" t="e">
        <f t="shared" si="254"/>
        <v>#N/A</v>
      </c>
      <c r="AK311" s="264" t="e">
        <f t="shared" si="287"/>
        <v>#N/A</v>
      </c>
      <c r="AL311" s="226" t="e">
        <f t="shared" si="255"/>
        <v>#N/A</v>
      </c>
      <c r="AM311" s="265" t="e">
        <f t="shared" si="288"/>
        <v>#N/A</v>
      </c>
      <c r="AN311" s="266" t="e">
        <f t="shared" si="256"/>
        <v>#N/A</v>
      </c>
      <c r="AO311" s="227" t="e">
        <f t="shared" si="257"/>
        <v>#N/A</v>
      </c>
      <c r="AP311" s="284">
        <f t="shared" si="289"/>
        <v>7</v>
      </c>
      <c r="AQ311" s="285" t="e">
        <f t="shared" si="258"/>
        <v>#N/A</v>
      </c>
      <c r="AR311" s="266" t="e">
        <f t="shared" si="290"/>
        <v>#N/A</v>
      </c>
      <c r="AS311" s="270" t="e">
        <f t="shared" si="259"/>
        <v>#N/A</v>
      </c>
      <c r="AT311" s="271">
        <f t="shared" si="291"/>
        <v>7</v>
      </c>
      <c r="AU311" s="272" t="e">
        <f t="shared" si="292"/>
        <v>#N/A</v>
      </c>
      <c r="AV311" s="273" t="e">
        <f t="shared" si="293"/>
        <v>#N/A</v>
      </c>
      <c r="AW311" s="274" t="e">
        <f t="shared" si="260"/>
        <v>#N/A</v>
      </c>
      <c r="AX311" s="232">
        <f t="shared" si="294"/>
        <v>7</v>
      </c>
      <c r="AY311" s="273" t="e">
        <f t="shared" si="261"/>
        <v>#N/A</v>
      </c>
      <c r="AZ311" s="232" t="e">
        <f t="shared" si="295"/>
        <v>#N/A</v>
      </c>
      <c r="BA311" s="232" t="e">
        <f t="shared" si="262"/>
        <v>#N/A</v>
      </c>
      <c r="BB311" s="275">
        <f t="shared" si="296"/>
        <v>7</v>
      </c>
      <c r="BC311" s="276" t="e">
        <f t="shared" si="297"/>
        <v>#N/A</v>
      </c>
      <c r="BD311" s="277" t="e">
        <f t="shared" si="298"/>
        <v>#N/A</v>
      </c>
      <c r="BE311" s="250" t="e">
        <f t="shared" si="263"/>
        <v>#N/A</v>
      </c>
      <c r="BF311" s="247">
        <f t="shared" si="299"/>
        <v>7</v>
      </c>
      <c r="BG311" s="276" t="e">
        <f t="shared" si="300"/>
        <v>#N/A</v>
      </c>
      <c r="BH311" s="277" t="e">
        <f t="shared" si="301"/>
        <v>#N/A</v>
      </c>
      <c r="BI311" s="250" t="e">
        <f t="shared" si="264"/>
        <v>#N/A</v>
      </c>
      <c r="BJ311" s="251">
        <f t="shared" si="302"/>
        <v>7</v>
      </c>
      <c r="BK311" s="278" t="e">
        <f t="shared" si="303"/>
        <v>#N/A</v>
      </c>
      <c r="BL311" s="278" t="e">
        <f t="shared" si="304"/>
        <v>#N/A</v>
      </c>
      <c r="BM311" s="279" t="e">
        <f t="shared" si="265"/>
        <v>#N/A</v>
      </c>
      <c r="BN311" s="280">
        <f t="shared" si="305"/>
        <v>7</v>
      </c>
      <c r="BO311" s="281" t="e">
        <f t="shared" si="306"/>
        <v>#N/A</v>
      </c>
      <c r="BP311" s="281" t="e">
        <f t="shared" si="307"/>
        <v>#N/A</v>
      </c>
      <c r="BQ311" s="279" t="e">
        <f t="shared" si="266"/>
        <v>#N/A</v>
      </c>
      <c r="BR311" s="282" t="e">
        <f t="shared" si="267"/>
        <v>#N/A</v>
      </c>
      <c r="BS311" s="217" t="e">
        <f>VLOOKUP($B311,SDR24_STOCK_BY_LA!$A$2:$C$11878,3,0)</f>
        <v>#N/A</v>
      </c>
      <c r="BT311" s="217" t="str">
        <f t="shared" si="308"/>
        <v/>
      </c>
    </row>
    <row r="312" spans="1:72" x14ac:dyDescent="0.2">
      <c r="A312" s="217" t="str">
        <f t="shared" si="309"/>
        <v/>
      </c>
      <c r="B312" s="217" t="str">
        <f t="shared" si="310"/>
        <v/>
      </c>
      <c r="C312" s="283" t="str">
        <f t="shared" si="268"/>
        <v/>
      </c>
      <c r="D312" s="256" t="str">
        <f>IF(B312="","",IF(totals!$Q$3=0,IFERROR(IF(AD312=2,"0",AE312),""),"-"))</f>
        <v/>
      </c>
      <c r="E312" s="258" t="str">
        <f t="shared" si="269"/>
        <v/>
      </c>
      <c r="F312" s="259" t="str">
        <f t="shared" si="270"/>
        <v/>
      </c>
      <c r="G312" s="259" t="str">
        <f t="shared" si="271"/>
        <v/>
      </c>
      <c r="H312" s="256" t="str">
        <f t="shared" si="249"/>
        <v/>
      </c>
      <c r="I312" s="259" t="str">
        <f t="shared" si="272"/>
        <v/>
      </c>
      <c r="J312" s="259" t="str">
        <f t="shared" si="273"/>
        <v/>
      </c>
      <c r="K312" s="256" t="str">
        <f t="shared" si="250"/>
        <v/>
      </c>
      <c r="L312" s="259" t="str">
        <f t="shared" si="251"/>
        <v/>
      </c>
      <c r="M312" s="259" t="str">
        <f t="shared" si="274"/>
        <v/>
      </c>
      <c r="N312" s="256" t="str">
        <f t="shared" si="275"/>
        <v/>
      </c>
      <c r="O312" s="259" t="str">
        <f t="shared" si="276"/>
        <v/>
      </c>
      <c r="P312" s="259" t="str">
        <f t="shared" si="277"/>
        <v/>
      </c>
      <c r="Q312" s="256" t="str">
        <f t="shared" si="278"/>
        <v/>
      </c>
      <c r="R312" s="259" t="str">
        <f t="shared" si="279"/>
        <v/>
      </c>
      <c r="S312" s="259" t="str">
        <f t="shared" si="280"/>
        <v/>
      </c>
      <c r="T312" s="256" t="str">
        <f t="shared" si="281"/>
        <v/>
      </c>
      <c r="U312" s="217"/>
      <c r="V312" s="217"/>
      <c r="AB312" s="217" t="e">
        <f>VLOOKUP($B$6,Lookup_Source,305,0)</f>
        <v>#N/A</v>
      </c>
      <c r="AC312" s="241" t="str">
        <f t="shared" si="282"/>
        <v/>
      </c>
      <c r="AD312" s="242">
        <f t="shared" si="283"/>
        <v>7</v>
      </c>
      <c r="AE312" s="261" t="e">
        <f t="shared" si="252"/>
        <v>#N/A</v>
      </c>
      <c r="AF312" s="264" t="e">
        <f t="shared" si="284"/>
        <v>#N/A</v>
      </c>
      <c r="AG312" s="264" t="e">
        <f t="shared" si="285"/>
        <v>#N/A</v>
      </c>
      <c r="AH312" s="263" t="e">
        <f t="shared" si="253"/>
        <v>#N/A</v>
      </c>
      <c r="AI312" s="226">
        <f t="shared" si="286"/>
        <v>7</v>
      </c>
      <c r="AJ312" s="264" t="e">
        <f t="shared" si="254"/>
        <v>#N/A</v>
      </c>
      <c r="AK312" s="264" t="e">
        <f t="shared" si="287"/>
        <v>#N/A</v>
      </c>
      <c r="AL312" s="226" t="e">
        <f t="shared" si="255"/>
        <v>#N/A</v>
      </c>
      <c r="AM312" s="265" t="e">
        <f t="shared" si="288"/>
        <v>#N/A</v>
      </c>
      <c r="AN312" s="266" t="e">
        <f t="shared" si="256"/>
        <v>#N/A</v>
      </c>
      <c r="AO312" s="227" t="e">
        <f t="shared" si="257"/>
        <v>#N/A</v>
      </c>
      <c r="AP312" s="284">
        <f t="shared" si="289"/>
        <v>7</v>
      </c>
      <c r="AQ312" s="285" t="e">
        <f t="shared" si="258"/>
        <v>#N/A</v>
      </c>
      <c r="AR312" s="266" t="e">
        <f t="shared" si="290"/>
        <v>#N/A</v>
      </c>
      <c r="AS312" s="270" t="e">
        <f t="shared" si="259"/>
        <v>#N/A</v>
      </c>
      <c r="AT312" s="271">
        <f t="shared" si="291"/>
        <v>7</v>
      </c>
      <c r="AU312" s="272" t="e">
        <f t="shared" si="292"/>
        <v>#N/A</v>
      </c>
      <c r="AV312" s="273" t="e">
        <f t="shared" si="293"/>
        <v>#N/A</v>
      </c>
      <c r="AW312" s="274" t="e">
        <f t="shared" si="260"/>
        <v>#N/A</v>
      </c>
      <c r="AX312" s="232">
        <f t="shared" si="294"/>
        <v>7</v>
      </c>
      <c r="AY312" s="273" t="e">
        <f t="shared" si="261"/>
        <v>#N/A</v>
      </c>
      <c r="AZ312" s="232" t="e">
        <f t="shared" si="295"/>
        <v>#N/A</v>
      </c>
      <c r="BA312" s="232" t="e">
        <f t="shared" si="262"/>
        <v>#N/A</v>
      </c>
      <c r="BB312" s="275">
        <f t="shared" si="296"/>
        <v>7</v>
      </c>
      <c r="BC312" s="276" t="e">
        <f t="shared" si="297"/>
        <v>#N/A</v>
      </c>
      <c r="BD312" s="277" t="e">
        <f t="shared" si="298"/>
        <v>#N/A</v>
      </c>
      <c r="BE312" s="250" t="e">
        <f t="shared" si="263"/>
        <v>#N/A</v>
      </c>
      <c r="BF312" s="247">
        <f t="shared" si="299"/>
        <v>7</v>
      </c>
      <c r="BG312" s="276" t="e">
        <f t="shared" si="300"/>
        <v>#N/A</v>
      </c>
      <c r="BH312" s="277" t="e">
        <f t="shared" si="301"/>
        <v>#N/A</v>
      </c>
      <c r="BI312" s="250" t="e">
        <f t="shared" si="264"/>
        <v>#N/A</v>
      </c>
      <c r="BJ312" s="251">
        <f t="shared" si="302"/>
        <v>7</v>
      </c>
      <c r="BK312" s="278" t="e">
        <f t="shared" si="303"/>
        <v>#N/A</v>
      </c>
      <c r="BL312" s="278" t="e">
        <f t="shared" si="304"/>
        <v>#N/A</v>
      </c>
      <c r="BM312" s="279" t="e">
        <f t="shared" si="265"/>
        <v>#N/A</v>
      </c>
      <c r="BN312" s="280">
        <f t="shared" si="305"/>
        <v>7</v>
      </c>
      <c r="BO312" s="281" t="e">
        <f t="shared" si="306"/>
        <v>#N/A</v>
      </c>
      <c r="BP312" s="281" t="e">
        <f t="shared" si="307"/>
        <v>#N/A</v>
      </c>
      <c r="BQ312" s="279" t="e">
        <f t="shared" si="266"/>
        <v>#N/A</v>
      </c>
      <c r="BR312" s="282" t="e">
        <f t="shared" si="267"/>
        <v>#N/A</v>
      </c>
      <c r="BS312" s="217" t="e">
        <f>VLOOKUP($B312,SDR24_STOCK_BY_LA!$A$2:$C$11878,3,0)</f>
        <v>#N/A</v>
      </c>
      <c r="BT312" s="217" t="str">
        <f t="shared" si="308"/>
        <v/>
      </c>
    </row>
    <row r="313" spans="1:72" x14ac:dyDescent="0.2">
      <c r="A313" s="256" t="str">
        <f t="shared" si="309"/>
        <v/>
      </c>
      <c r="B313" s="217" t="str">
        <f t="shared" si="310"/>
        <v/>
      </c>
      <c r="C313" s="257" t="str">
        <f t="shared" si="268"/>
        <v/>
      </c>
      <c r="D313" s="256" t="str">
        <f>IF(B313="","",IF(totals!$Q$3=0,IFERROR(IF(AD313=2,"0",AE313),""),"-"))</f>
        <v/>
      </c>
      <c r="E313" s="258" t="str">
        <f t="shared" si="269"/>
        <v/>
      </c>
      <c r="F313" s="259" t="str">
        <f t="shared" si="270"/>
        <v/>
      </c>
      <c r="G313" s="259" t="str">
        <f t="shared" si="271"/>
        <v/>
      </c>
      <c r="H313" s="256" t="str">
        <f t="shared" si="249"/>
        <v/>
      </c>
      <c r="I313" s="259" t="str">
        <f t="shared" si="272"/>
        <v/>
      </c>
      <c r="J313" s="259" t="str">
        <f t="shared" si="273"/>
        <v/>
      </c>
      <c r="K313" s="256" t="str">
        <f t="shared" si="250"/>
        <v/>
      </c>
      <c r="L313" s="259" t="str">
        <f t="shared" si="251"/>
        <v/>
      </c>
      <c r="M313" s="259" t="str">
        <f t="shared" si="274"/>
        <v/>
      </c>
      <c r="N313" s="256" t="str">
        <f t="shared" si="275"/>
        <v/>
      </c>
      <c r="O313" s="259" t="str">
        <f t="shared" si="276"/>
        <v/>
      </c>
      <c r="P313" s="259" t="str">
        <f t="shared" si="277"/>
        <v/>
      </c>
      <c r="Q313" s="256" t="str">
        <f t="shared" si="278"/>
        <v/>
      </c>
      <c r="R313" s="259" t="str">
        <f t="shared" si="279"/>
        <v/>
      </c>
      <c r="S313" s="259" t="str">
        <f t="shared" si="280"/>
        <v/>
      </c>
      <c r="T313" s="256" t="str">
        <f t="shared" si="281"/>
        <v/>
      </c>
      <c r="U313" s="217"/>
      <c r="V313" s="217"/>
      <c r="AB313" s="257" t="e">
        <f>VLOOKUP($B$6,Lookup_Source,306,0)</f>
        <v>#N/A</v>
      </c>
      <c r="AC313" s="241" t="str">
        <f t="shared" si="282"/>
        <v/>
      </c>
      <c r="AD313" s="242">
        <f t="shared" si="283"/>
        <v>7</v>
      </c>
      <c r="AE313" s="261" t="e">
        <f t="shared" si="252"/>
        <v>#N/A</v>
      </c>
      <c r="AF313" s="264" t="e">
        <f t="shared" si="284"/>
        <v>#N/A</v>
      </c>
      <c r="AG313" s="264" t="e">
        <f t="shared" si="285"/>
        <v>#N/A</v>
      </c>
      <c r="AH313" s="263" t="e">
        <f t="shared" si="253"/>
        <v>#N/A</v>
      </c>
      <c r="AI313" s="226">
        <f t="shared" si="286"/>
        <v>7</v>
      </c>
      <c r="AJ313" s="264" t="e">
        <f t="shared" si="254"/>
        <v>#N/A</v>
      </c>
      <c r="AK313" s="264" t="e">
        <f t="shared" si="287"/>
        <v>#N/A</v>
      </c>
      <c r="AL313" s="226" t="e">
        <f t="shared" si="255"/>
        <v>#N/A</v>
      </c>
      <c r="AM313" s="265" t="e">
        <f t="shared" si="288"/>
        <v>#N/A</v>
      </c>
      <c r="AN313" s="266" t="e">
        <f t="shared" si="256"/>
        <v>#N/A</v>
      </c>
      <c r="AO313" s="227" t="e">
        <f t="shared" si="257"/>
        <v>#N/A</v>
      </c>
      <c r="AP313" s="284">
        <f t="shared" si="289"/>
        <v>7</v>
      </c>
      <c r="AQ313" s="285" t="e">
        <f t="shared" si="258"/>
        <v>#N/A</v>
      </c>
      <c r="AR313" s="266" t="e">
        <f t="shared" si="290"/>
        <v>#N/A</v>
      </c>
      <c r="AS313" s="270" t="e">
        <f t="shared" si="259"/>
        <v>#N/A</v>
      </c>
      <c r="AT313" s="271">
        <f t="shared" si="291"/>
        <v>7</v>
      </c>
      <c r="AU313" s="272" t="e">
        <f t="shared" si="292"/>
        <v>#N/A</v>
      </c>
      <c r="AV313" s="273" t="e">
        <f t="shared" si="293"/>
        <v>#N/A</v>
      </c>
      <c r="AW313" s="274" t="e">
        <f t="shared" si="260"/>
        <v>#N/A</v>
      </c>
      <c r="AX313" s="232">
        <f t="shared" si="294"/>
        <v>7</v>
      </c>
      <c r="AY313" s="273" t="e">
        <f t="shared" si="261"/>
        <v>#N/A</v>
      </c>
      <c r="AZ313" s="232" t="e">
        <f t="shared" si="295"/>
        <v>#N/A</v>
      </c>
      <c r="BA313" s="232" t="e">
        <f t="shared" si="262"/>
        <v>#N/A</v>
      </c>
      <c r="BB313" s="275">
        <f t="shared" si="296"/>
        <v>7</v>
      </c>
      <c r="BC313" s="276" t="e">
        <f t="shared" si="297"/>
        <v>#N/A</v>
      </c>
      <c r="BD313" s="277" t="e">
        <f t="shared" si="298"/>
        <v>#N/A</v>
      </c>
      <c r="BE313" s="250" t="e">
        <f t="shared" si="263"/>
        <v>#N/A</v>
      </c>
      <c r="BF313" s="247">
        <f t="shared" si="299"/>
        <v>7</v>
      </c>
      <c r="BG313" s="276" t="e">
        <f t="shared" si="300"/>
        <v>#N/A</v>
      </c>
      <c r="BH313" s="277" t="e">
        <f t="shared" si="301"/>
        <v>#N/A</v>
      </c>
      <c r="BI313" s="250" t="e">
        <f t="shared" si="264"/>
        <v>#N/A</v>
      </c>
      <c r="BJ313" s="251">
        <f t="shared" si="302"/>
        <v>7</v>
      </c>
      <c r="BK313" s="278" t="e">
        <f t="shared" si="303"/>
        <v>#N/A</v>
      </c>
      <c r="BL313" s="278" t="e">
        <f t="shared" si="304"/>
        <v>#N/A</v>
      </c>
      <c r="BM313" s="279" t="e">
        <f t="shared" si="265"/>
        <v>#N/A</v>
      </c>
      <c r="BN313" s="280">
        <f t="shared" si="305"/>
        <v>7</v>
      </c>
      <c r="BO313" s="281" t="e">
        <f t="shared" si="306"/>
        <v>#N/A</v>
      </c>
      <c r="BP313" s="281" t="e">
        <f t="shared" si="307"/>
        <v>#N/A</v>
      </c>
      <c r="BQ313" s="279" t="e">
        <f t="shared" si="266"/>
        <v>#N/A</v>
      </c>
      <c r="BR313" s="282" t="e">
        <f t="shared" si="267"/>
        <v>#N/A</v>
      </c>
      <c r="BS313" s="217" t="e">
        <f>VLOOKUP($B313,SDR24_STOCK_BY_LA!$A$2:$C$11878,3,0)</f>
        <v>#N/A</v>
      </c>
      <c r="BT313" s="217" t="str">
        <f t="shared" si="308"/>
        <v/>
      </c>
    </row>
    <row r="314" spans="1:72" x14ac:dyDescent="0.2">
      <c r="A314" s="217" t="str">
        <f t="shared" si="309"/>
        <v/>
      </c>
      <c r="B314" s="217" t="str">
        <f t="shared" si="310"/>
        <v/>
      </c>
      <c r="C314" s="283" t="str">
        <f t="shared" si="268"/>
        <v/>
      </c>
      <c r="D314" s="256" t="str">
        <f>IF(B314="","",IF(totals!$Q$3=0,IFERROR(IF(AD314=2,"0",AE314),""),"-"))</f>
        <v/>
      </c>
      <c r="E314" s="258" t="str">
        <f t="shared" si="269"/>
        <v/>
      </c>
      <c r="F314" s="259" t="str">
        <f t="shared" si="270"/>
        <v/>
      </c>
      <c r="G314" s="259" t="str">
        <f t="shared" si="271"/>
        <v/>
      </c>
      <c r="H314" s="256" t="str">
        <f t="shared" si="249"/>
        <v/>
      </c>
      <c r="I314" s="259" t="str">
        <f t="shared" si="272"/>
        <v/>
      </c>
      <c r="J314" s="259" t="str">
        <f t="shared" si="273"/>
        <v/>
      </c>
      <c r="K314" s="256" t="str">
        <f t="shared" si="250"/>
        <v/>
      </c>
      <c r="L314" s="259" t="str">
        <f t="shared" si="251"/>
        <v/>
      </c>
      <c r="M314" s="259" t="str">
        <f t="shared" si="274"/>
        <v/>
      </c>
      <c r="N314" s="256" t="str">
        <f t="shared" si="275"/>
        <v/>
      </c>
      <c r="O314" s="259" t="str">
        <f t="shared" si="276"/>
        <v/>
      </c>
      <c r="P314" s="259" t="str">
        <f t="shared" si="277"/>
        <v/>
      </c>
      <c r="Q314" s="256" t="str">
        <f t="shared" si="278"/>
        <v/>
      </c>
      <c r="R314" s="259" t="str">
        <f t="shared" si="279"/>
        <v/>
      </c>
      <c r="S314" s="259" t="str">
        <f t="shared" si="280"/>
        <v/>
      </c>
      <c r="T314" s="256" t="str">
        <f t="shared" si="281"/>
        <v/>
      </c>
      <c r="U314" s="217"/>
      <c r="V314" s="217"/>
      <c r="AB314" s="217" t="e">
        <f>VLOOKUP($B$6,Lookup_Source,307,0)</f>
        <v>#N/A</v>
      </c>
      <c r="AC314" s="241" t="str">
        <f t="shared" si="282"/>
        <v/>
      </c>
      <c r="AD314" s="242">
        <f t="shared" si="283"/>
        <v>7</v>
      </c>
      <c r="AE314" s="261" t="e">
        <f t="shared" si="252"/>
        <v>#N/A</v>
      </c>
      <c r="AF314" s="264" t="e">
        <f t="shared" si="284"/>
        <v>#N/A</v>
      </c>
      <c r="AG314" s="264" t="e">
        <f t="shared" si="285"/>
        <v>#N/A</v>
      </c>
      <c r="AH314" s="263" t="e">
        <f t="shared" si="253"/>
        <v>#N/A</v>
      </c>
      <c r="AI314" s="226">
        <f t="shared" si="286"/>
        <v>7</v>
      </c>
      <c r="AJ314" s="264" t="e">
        <f t="shared" si="254"/>
        <v>#N/A</v>
      </c>
      <c r="AK314" s="264" t="e">
        <f t="shared" si="287"/>
        <v>#N/A</v>
      </c>
      <c r="AL314" s="226" t="e">
        <f t="shared" si="255"/>
        <v>#N/A</v>
      </c>
      <c r="AM314" s="265" t="e">
        <f t="shared" si="288"/>
        <v>#N/A</v>
      </c>
      <c r="AN314" s="266" t="e">
        <f t="shared" si="256"/>
        <v>#N/A</v>
      </c>
      <c r="AO314" s="227" t="e">
        <f t="shared" si="257"/>
        <v>#N/A</v>
      </c>
      <c r="AP314" s="284">
        <f t="shared" si="289"/>
        <v>7</v>
      </c>
      <c r="AQ314" s="285" t="e">
        <f t="shared" si="258"/>
        <v>#N/A</v>
      </c>
      <c r="AR314" s="266" t="e">
        <f t="shared" si="290"/>
        <v>#N/A</v>
      </c>
      <c r="AS314" s="270" t="e">
        <f t="shared" si="259"/>
        <v>#N/A</v>
      </c>
      <c r="AT314" s="271">
        <f t="shared" si="291"/>
        <v>7</v>
      </c>
      <c r="AU314" s="272" t="e">
        <f t="shared" si="292"/>
        <v>#N/A</v>
      </c>
      <c r="AV314" s="273" t="e">
        <f t="shared" si="293"/>
        <v>#N/A</v>
      </c>
      <c r="AW314" s="274" t="e">
        <f t="shared" si="260"/>
        <v>#N/A</v>
      </c>
      <c r="AX314" s="232">
        <f t="shared" si="294"/>
        <v>7</v>
      </c>
      <c r="AY314" s="273" t="e">
        <f t="shared" si="261"/>
        <v>#N/A</v>
      </c>
      <c r="AZ314" s="232" t="e">
        <f t="shared" si="295"/>
        <v>#N/A</v>
      </c>
      <c r="BA314" s="232" t="e">
        <f t="shared" si="262"/>
        <v>#N/A</v>
      </c>
      <c r="BB314" s="275">
        <f t="shared" si="296"/>
        <v>7</v>
      </c>
      <c r="BC314" s="276" t="e">
        <f t="shared" si="297"/>
        <v>#N/A</v>
      </c>
      <c r="BD314" s="277" t="e">
        <f t="shared" si="298"/>
        <v>#N/A</v>
      </c>
      <c r="BE314" s="250" t="e">
        <f t="shared" si="263"/>
        <v>#N/A</v>
      </c>
      <c r="BF314" s="247">
        <f t="shared" si="299"/>
        <v>7</v>
      </c>
      <c r="BG314" s="276" t="e">
        <f t="shared" si="300"/>
        <v>#N/A</v>
      </c>
      <c r="BH314" s="277" t="e">
        <f t="shared" si="301"/>
        <v>#N/A</v>
      </c>
      <c r="BI314" s="250" t="e">
        <f t="shared" si="264"/>
        <v>#N/A</v>
      </c>
      <c r="BJ314" s="251">
        <f t="shared" si="302"/>
        <v>7</v>
      </c>
      <c r="BK314" s="278" t="e">
        <f t="shared" si="303"/>
        <v>#N/A</v>
      </c>
      <c r="BL314" s="278" t="e">
        <f t="shared" si="304"/>
        <v>#N/A</v>
      </c>
      <c r="BM314" s="279" t="e">
        <f t="shared" si="265"/>
        <v>#N/A</v>
      </c>
      <c r="BN314" s="280">
        <f t="shared" si="305"/>
        <v>7</v>
      </c>
      <c r="BO314" s="281" t="e">
        <f t="shared" si="306"/>
        <v>#N/A</v>
      </c>
      <c r="BP314" s="281" t="e">
        <f t="shared" si="307"/>
        <v>#N/A</v>
      </c>
      <c r="BQ314" s="279" t="e">
        <f t="shared" si="266"/>
        <v>#N/A</v>
      </c>
      <c r="BR314" s="282" t="e">
        <f t="shared" si="267"/>
        <v>#N/A</v>
      </c>
      <c r="BS314" s="217" t="e">
        <f>VLOOKUP($B314,SDR24_STOCK_BY_LA!$A$2:$C$11878,3,0)</f>
        <v>#N/A</v>
      </c>
      <c r="BT314" s="217" t="str">
        <f t="shared" si="308"/>
        <v/>
      </c>
    </row>
    <row r="315" spans="1:72" x14ac:dyDescent="0.2">
      <c r="A315" s="256" t="str">
        <f t="shared" si="309"/>
        <v/>
      </c>
      <c r="B315" s="217" t="str">
        <f t="shared" si="310"/>
        <v/>
      </c>
      <c r="C315" s="257" t="str">
        <f t="shared" si="268"/>
        <v/>
      </c>
      <c r="D315" s="256" t="str">
        <f>IF(B315="","",IF(totals!$Q$3=0,IFERROR(IF(AD315=2,"0",AE315),""),"-"))</f>
        <v/>
      </c>
      <c r="E315" s="258" t="str">
        <f t="shared" si="269"/>
        <v/>
      </c>
      <c r="F315" s="259" t="str">
        <f t="shared" si="270"/>
        <v/>
      </c>
      <c r="G315" s="259" t="str">
        <f t="shared" si="271"/>
        <v/>
      </c>
      <c r="H315" s="256" t="str">
        <f t="shared" si="249"/>
        <v/>
      </c>
      <c r="I315" s="259" t="str">
        <f t="shared" si="272"/>
        <v/>
      </c>
      <c r="J315" s="259" t="str">
        <f t="shared" si="273"/>
        <v/>
      </c>
      <c r="K315" s="256" t="str">
        <f t="shared" si="250"/>
        <v/>
      </c>
      <c r="L315" s="259" t="str">
        <f t="shared" si="251"/>
        <v/>
      </c>
      <c r="M315" s="259" t="str">
        <f t="shared" si="274"/>
        <v/>
      </c>
      <c r="N315" s="256" t="str">
        <f t="shared" si="275"/>
        <v/>
      </c>
      <c r="O315" s="259" t="str">
        <f t="shared" si="276"/>
        <v/>
      </c>
      <c r="P315" s="259" t="str">
        <f t="shared" si="277"/>
        <v/>
      </c>
      <c r="Q315" s="256" t="str">
        <f t="shared" si="278"/>
        <v/>
      </c>
      <c r="R315" s="259" t="str">
        <f t="shared" si="279"/>
        <v/>
      </c>
      <c r="S315" s="259" t="str">
        <f t="shared" si="280"/>
        <v/>
      </c>
      <c r="T315" s="256" t="str">
        <f t="shared" si="281"/>
        <v/>
      </c>
      <c r="U315" s="217"/>
      <c r="V315" s="217"/>
      <c r="AB315" s="257" t="e">
        <f>VLOOKUP($B$6,Lookup_Source,308,0)</f>
        <v>#N/A</v>
      </c>
      <c r="AC315" s="241" t="str">
        <f t="shared" si="282"/>
        <v/>
      </c>
      <c r="AD315" s="242">
        <f t="shared" si="283"/>
        <v>7</v>
      </c>
      <c r="AE315" s="261" t="e">
        <f t="shared" si="252"/>
        <v>#N/A</v>
      </c>
      <c r="AF315" s="264" t="e">
        <f t="shared" si="284"/>
        <v>#N/A</v>
      </c>
      <c r="AG315" s="264" t="e">
        <f t="shared" si="285"/>
        <v>#N/A</v>
      </c>
      <c r="AH315" s="263" t="e">
        <f t="shared" si="253"/>
        <v>#N/A</v>
      </c>
      <c r="AI315" s="226">
        <f t="shared" si="286"/>
        <v>7</v>
      </c>
      <c r="AJ315" s="264" t="e">
        <f t="shared" si="254"/>
        <v>#N/A</v>
      </c>
      <c r="AK315" s="264" t="e">
        <f t="shared" si="287"/>
        <v>#N/A</v>
      </c>
      <c r="AL315" s="226" t="e">
        <f t="shared" si="255"/>
        <v>#N/A</v>
      </c>
      <c r="AM315" s="265" t="e">
        <f t="shared" si="288"/>
        <v>#N/A</v>
      </c>
      <c r="AN315" s="266" t="e">
        <f t="shared" si="256"/>
        <v>#N/A</v>
      </c>
      <c r="AO315" s="227" t="e">
        <f t="shared" si="257"/>
        <v>#N/A</v>
      </c>
      <c r="AP315" s="284">
        <f t="shared" si="289"/>
        <v>7</v>
      </c>
      <c r="AQ315" s="285" t="e">
        <f t="shared" si="258"/>
        <v>#N/A</v>
      </c>
      <c r="AR315" s="266" t="e">
        <f t="shared" si="290"/>
        <v>#N/A</v>
      </c>
      <c r="AS315" s="270" t="e">
        <f t="shared" si="259"/>
        <v>#N/A</v>
      </c>
      <c r="AT315" s="271">
        <f t="shared" si="291"/>
        <v>7</v>
      </c>
      <c r="AU315" s="272" t="e">
        <f t="shared" si="292"/>
        <v>#N/A</v>
      </c>
      <c r="AV315" s="273" t="e">
        <f t="shared" si="293"/>
        <v>#N/A</v>
      </c>
      <c r="AW315" s="274" t="e">
        <f t="shared" si="260"/>
        <v>#N/A</v>
      </c>
      <c r="AX315" s="232">
        <f t="shared" si="294"/>
        <v>7</v>
      </c>
      <c r="AY315" s="273" t="e">
        <f t="shared" si="261"/>
        <v>#N/A</v>
      </c>
      <c r="AZ315" s="232" t="e">
        <f t="shared" si="295"/>
        <v>#N/A</v>
      </c>
      <c r="BA315" s="232" t="e">
        <f t="shared" si="262"/>
        <v>#N/A</v>
      </c>
      <c r="BB315" s="275">
        <f t="shared" si="296"/>
        <v>7</v>
      </c>
      <c r="BC315" s="276" t="e">
        <f t="shared" si="297"/>
        <v>#N/A</v>
      </c>
      <c r="BD315" s="277" t="e">
        <f t="shared" si="298"/>
        <v>#N/A</v>
      </c>
      <c r="BE315" s="250" t="e">
        <f t="shared" si="263"/>
        <v>#N/A</v>
      </c>
      <c r="BF315" s="247">
        <f t="shared" si="299"/>
        <v>7</v>
      </c>
      <c r="BG315" s="276" t="e">
        <f t="shared" si="300"/>
        <v>#N/A</v>
      </c>
      <c r="BH315" s="277" t="e">
        <f t="shared" si="301"/>
        <v>#N/A</v>
      </c>
      <c r="BI315" s="250" t="e">
        <f t="shared" si="264"/>
        <v>#N/A</v>
      </c>
      <c r="BJ315" s="251">
        <f t="shared" si="302"/>
        <v>7</v>
      </c>
      <c r="BK315" s="278" t="e">
        <f t="shared" si="303"/>
        <v>#N/A</v>
      </c>
      <c r="BL315" s="278" t="e">
        <f t="shared" si="304"/>
        <v>#N/A</v>
      </c>
      <c r="BM315" s="279" t="e">
        <f t="shared" si="265"/>
        <v>#N/A</v>
      </c>
      <c r="BN315" s="280">
        <f t="shared" si="305"/>
        <v>7</v>
      </c>
      <c r="BO315" s="281" t="e">
        <f t="shared" si="306"/>
        <v>#N/A</v>
      </c>
      <c r="BP315" s="281" t="e">
        <f t="shared" si="307"/>
        <v>#N/A</v>
      </c>
      <c r="BQ315" s="279" t="e">
        <f t="shared" si="266"/>
        <v>#N/A</v>
      </c>
      <c r="BR315" s="282" t="e">
        <f t="shared" si="267"/>
        <v>#N/A</v>
      </c>
      <c r="BS315" s="217" t="e">
        <f>VLOOKUP($B315,SDR24_STOCK_BY_LA!$A$2:$C$11878,3,0)</f>
        <v>#N/A</v>
      </c>
      <c r="BT315" s="217" t="str">
        <f t="shared" si="308"/>
        <v/>
      </c>
    </row>
    <row r="316" spans="1:72" x14ac:dyDescent="0.2">
      <c r="A316" s="217" t="str">
        <f t="shared" si="309"/>
        <v/>
      </c>
      <c r="B316" s="217" t="str">
        <f t="shared" si="310"/>
        <v/>
      </c>
      <c r="C316" s="283" t="str">
        <f t="shared" si="268"/>
        <v/>
      </c>
      <c r="D316" s="256" t="str">
        <f>IF(B316="","",IF(totals!$Q$3=0,IFERROR(IF(AD316=2,"0",AE316),""),"-"))</f>
        <v/>
      </c>
      <c r="E316" s="258" t="str">
        <f t="shared" si="269"/>
        <v/>
      </c>
      <c r="F316" s="259" t="str">
        <f t="shared" si="270"/>
        <v/>
      </c>
      <c r="G316" s="259" t="str">
        <f t="shared" si="271"/>
        <v/>
      </c>
      <c r="H316" s="256" t="str">
        <f t="shared" si="249"/>
        <v/>
      </c>
      <c r="I316" s="259" t="str">
        <f t="shared" si="272"/>
        <v/>
      </c>
      <c r="J316" s="259" t="str">
        <f t="shared" si="273"/>
        <v/>
      </c>
      <c r="K316" s="256" t="str">
        <f t="shared" si="250"/>
        <v/>
      </c>
      <c r="L316" s="259" t="str">
        <f t="shared" si="251"/>
        <v/>
      </c>
      <c r="M316" s="259" t="str">
        <f t="shared" si="274"/>
        <v/>
      </c>
      <c r="N316" s="256" t="str">
        <f t="shared" si="275"/>
        <v/>
      </c>
      <c r="O316" s="259" t="str">
        <f t="shared" si="276"/>
        <v/>
      </c>
      <c r="P316" s="259" t="str">
        <f t="shared" si="277"/>
        <v/>
      </c>
      <c r="Q316" s="256" t="str">
        <f t="shared" si="278"/>
        <v/>
      </c>
      <c r="R316" s="259" t="str">
        <f t="shared" si="279"/>
        <v/>
      </c>
      <c r="S316" s="259" t="str">
        <f t="shared" si="280"/>
        <v/>
      </c>
      <c r="T316" s="256" t="str">
        <f t="shared" si="281"/>
        <v/>
      </c>
      <c r="U316" s="217"/>
      <c r="V316" s="217"/>
      <c r="AB316" s="217" t="e">
        <f>VLOOKUP($B$6,Lookup_Source,309,0)</f>
        <v>#N/A</v>
      </c>
      <c r="AC316" s="241" t="str">
        <f t="shared" si="282"/>
        <v/>
      </c>
      <c r="AD316" s="242">
        <f t="shared" si="283"/>
        <v>7</v>
      </c>
      <c r="AE316" s="261" t="e">
        <f t="shared" si="252"/>
        <v>#N/A</v>
      </c>
      <c r="AF316" s="264" t="e">
        <f t="shared" si="284"/>
        <v>#N/A</v>
      </c>
      <c r="AG316" s="264" t="e">
        <f t="shared" si="285"/>
        <v>#N/A</v>
      </c>
      <c r="AH316" s="263" t="e">
        <f t="shared" si="253"/>
        <v>#N/A</v>
      </c>
      <c r="AI316" s="226">
        <f t="shared" si="286"/>
        <v>7</v>
      </c>
      <c r="AJ316" s="264" t="e">
        <f t="shared" si="254"/>
        <v>#N/A</v>
      </c>
      <c r="AK316" s="264" t="e">
        <f t="shared" si="287"/>
        <v>#N/A</v>
      </c>
      <c r="AL316" s="226" t="e">
        <f t="shared" si="255"/>
        <v>#N/A</v>
      </c>
      <c r="AM316" s="265" t="e">
        <f t="shared" si="288"/>
        <v>#N/A</v>
      </c>
      <c r="AN316" s="266" t="e">
        <f t="shared" si="256"/>
        <v>#N/A</v>
      </c>
      <c r="AO316" s="227" t="e">
        <f t="shared" si="257"/>
        <v>#N/A</v>
      </c>
      <c r="AP316" s="284">
        <f t="shared" si="289"/>
        <v>7</v>
      </c>
      <c r="AQ316" s="285" t="e">
        <f t="shared" si="258"/>
        <v>#N/A</v>
      </c>
      <c r="AR316" s="266" t="e">
        <f t="shared" si="290"/>
        <v>#N/A</v>
      </c>
      <c r="AS316" s="270" t="e">
        <f t="shared" si="259"/>
        <v>#N/A</v>
      </c>
      <c r="AT316" s="271">
        <f t="shared" si="291"/>
        <v>7</v>
      </c>
      <c r="AU316" s="272" t="e">
        <f t="shared" si="292"/>
        <v>#N/A</v>
      </c>
      <c r="AV316" s="273" t="e">
        <f t="shared" si="293"/>
        <v>#N/A</v>
      </c>
      <c r="AW316" s="274" t="e">
        <f t="shared" si="260"/>
        <v>#N/A</v>
      </c>
      <c r="AX316" s="232">
        <f t="shared" si="294"/>
        <v>7</v>
      </c>
      <c r="AY316" s="273" t="e">
        <f t="shared" si="261"/>
        <v>#N/A</v>
      </c>
      <c r="AZ316" s="232" t="e">
        <f t="shared" si="295"/>
        <v>#N/A</v>
      </c>
      <c r="BA316" s="232" t="e">
        <f t="shared" si="262"/>
        <v>#N/A</v>
      </c>
      <c r="BB316" s="275">
        <f t="shared" si="296"/>
        <v>7</v>
      </c>
      <c r="BC316" s="276" t="e">
        <f t="shared" si="297"/>
        <v>#N/A</v>
      </c>
      <c r="BD316" s="277" t="e">
        <f t="shared" si="298"/>
        <v>#N/A</v>
      </c>
      <c r="BE316" s="250" t="e">
        <f t="shared" si="263"/>
        <v>#N/A</v>
      </c>
      <c r="BF316" s="247">
        <f t="shared" si="299"/>
        <v>7</v>
      </c>
      <c r="BG316" s="276" t="e">
        <f t="shared" si="300"/>
        <v>#N/A</v>
      </c>
      <c r="BH316" s="277" t="e">
        <f t="shared" si="301"/>
        <v>#N/A</v>
      </c>
      <c r="BI316" s="250" t="e">
        <f t="shared" si="264"/>
        <v>#N/A</v>
      </c>
      <c r="BJ316" s="251">
        <f t="shared" si="302"/>
        <v>7</v>
      </c>
      <c r="BK316" s="278" t="e">
        <f t="shared" si="303"/>
        <v>#N/A</v>
      </c>
      <c r="BL316" s="278" t="e">
        <f t="shared" si="304"/>
        <v>#N/A</v>
      </c>
      <c r="BM316" s="279" t="e">
        <f t="shared" si="265"/>
        <v>#N/A</v>
      </c>
      <c r="BN316" s="280">
        <f t="shared" si="305"/>
        <v>7</v>
      </c>
      <c r="BO316" s="281" t="e">
        <f t="shared" si="306"/>
        <v>#N/A</v>
      </c>
      <c r="BP316" s="281" t="e">
        <f t="shared" si="307"/>
        <v>#N/A</v>
      </c>
      <c r="BQ316" s="279" t="e">
        <f t="shared" si="266"/>
        <v>#N/A</v>
      </c>
      <c r="BR316" s="282" t="e">
        <f t="shared" si="267"/>
        <v>#N/A</v>
      </c>
      <c r="BS316" s="217" t="e">
        <f>VLOOKUP($B316,SDR24_STOCK_BY_LA!$A$2:$C$11878,3,0)</f>
        <v>#N/A</v>
      </c>
      <c r="BT316" s="217" t="str">
        <f t="shared" si="308"/>
        <v/>
      </c>
    </row>
    <row r="317" spans="1:72" x14ac:dyDescent="0.2">
      <c r="A317" s="256" t="str">
        <f t="shared" si="309"/>
        <v/>
      </c>
      <c r="B317" s="217" t="str">
        <f t="shared" si="310"/>
        <v/>
      </c>
      <c r="C317" s="257" t="str">
        <f t="shared" si="268"/>
        <v/>
      </c>
      <c r="D317" s="256" t="str">
        <f>IF(B317="","",IF(totals!$Q$3=0,IFERROR(IF(AD317=2,"0",AE317),""),"-"))</f>
        <v/>
      </c>
      <c r="E317" s="258" t="str">
        <f t="shared" si="269"/>
        <v/>
      </c>
      <c r="F317" s="259" t="str">
        <f t="shared" si="270"/>
        <v/>
      </c>
      <c r="G317" s="259" t="str">
        <f t="shared" si="271"/>
        <v/>
      </c>
      <c r="H317" s="256" t="str">
        <f t="shared" si="249"/>
        <v/>
      </c>
      <c r="I317" s="259" t="str">
        <f t="shared" si="272"/>
        <v/>
      </c>
      <c r="J317" s="259" t="str">
        <f t="shared" si="273"/>
        <v/>
      </c>
      <c r="K317" s="256" t="str">
        <f t="shared" si="250"/>
        <v/>
      </c>
      <c r="L317" s="259" t="str">
        <f t="shared" si="251"/>
        <v/>
      </c>
      <c r="M317" s="259" t="str">
        <f t="shared" si="274"/>
        <v/>
      </c>
      <c r="N317" s="256" t="str">
        <f t="shared" si="275"/>
        <v/>
      </c>
      <c r="O317" s="259" t="str">
        <f t="shared" si="276"/>
        <v/>
      </c>
      <c r="P317" s="259" t="str">
        <f t="shared" si="277"/>
        <v/>
      </c>
      <c r="Q317" s="256" t="str">
        <f t="shared" si="278"/>
        <v/>
      </c>
      <c r="R317" s="259" t="str">
        <f t="shared" si="279"/>
        <v/>
      </c>
      <c r="S317" s="259" t="str">
        <f t="shared" si="280"/>
        <v/>
      </c>
      <c r="T317" s="256" t="str">
        <f t="shared" si="281"/>
        <v/>
      </c>
      <c r="U317" s="217"/>
      <c r="V317" s="217"/>
      <c r="AB317" s="257" t="e">
        <f>VLOOKUP($B$6,Lookup_Source,310,0)</f>
        <v>#N/A</v>
      </c>
      <c r="AC317" s="241" t="str">
        <f t="shared" si="282"/>
        <v/>
      </c>
      <c r="AD317" s="242">
        <f t="shared" si="283"/>
        <v>7</v>
      </c>
      <c r="AE317" s="261" t="e">
        <f t="shared" si="252"/>
        <v>#N/A</v>
      </c>
      <c r="AF317" s="264" t="e">
        <f t="shared" si="284"/>
        <v>#N/A</v>
      </c>
      <c r="AG317" s="264" t="e">
        <f t="shared" si="285"/>
        <v>#N/A</v>
      </c>
      <c r="AH317" s="263" t="e">
        <f t="shared" si="253"/>
        <v>#N/A</v>
      </c>
      <c r="AI317" s="226">
        <f t="shared" si="286"/>
        <v>7</v>
      </c>
      <c r="AJ317" s="264" t="e">
        <f t="shared" si="254"/>
        <v>#N/A</v>
      </c>
      <c r="AK317" s="264" t="e">
        <f t="shared" si="287"/>
        <v>#N/A</v>
      </c>
      <c r="AL317" s="226" t="e">
        <f t="shared" si="255"/>
        <v>#N/A</v>
      </c>
      <c r="AM317" s="265" t="e">
        <f t="shared" si="288"/>
        <v>#N/A</v>
      </c>
      <c r="AN317" s="266" t="e">
        <f t="shared" si="256"/>
        <v>#N/A</v>
      </c>
      <c r="AO317" s="227" t="e">
        <f t="shared" si="257"/>
        <v>#N/A</v>
      </c>
      <c r="AP317" s="284">
        <f t="shared" si="289"/>
        <v>7</v>
      </c>
      <c r="AQ317" s="285" t="e">
        <f t="shared" si="258"/>
        <v>#N/A</v>
      </c>
      <c r="AR317" s="266" t="e">
        <f t="shared" si="290"/>
        <v>#N/A</v>
      </c>
      <c r="AS317" s="270" t="e">
        <f t="shared" si="259"/>
        <v>#N/A</v>
      </c>
      <c r="AT317" s="271">
        <f t="shared" si="291"/>
        <v>7</v>
      </c>
      <c r="AU317" s="272" t="e">
        <f t="shared" si="292"/>
        <v>#N/A</v>
      </c>
      <c r="AV317" s="273" t="e">
        <f t="shared" si="293"/>
        <v>#N/A</v>
      </c>
      <c r="AW317" s="274" t="e">
        <f t="shared" si="260"/>
        <v>#N/A</v>
      </c>
      <c r="AX317" s="232">
        <f t="shared" si="294"/>
        <v>7</v>
      </c>
      <c r="AY317" s="273" t="e">
        <f t="shared" si="261"/>
        <v>#N/A</v>
      </c>
      <c r="AZ317" s="232" t="e">
        <f t="shared" si="295"/>
        <v>#N/A</v>
      </c>
      <c r="BA317" s="232" t="e">
        <f t="shared" si="262"/>
        <v>#N/A</v>
      </c>
      <c r="BB317" s="275">
        <f t="shared" si="296"/>
        <v>7</v>
      </c>
      <c r="BC317" s="276" t="e">
        <f t="shared" si="297"/>
        <v>#N/A</v>
      </c>
      <c r="BD317" s="277" t="e">
        <f t="shared" si="298"/>
        <v>#N/A</v>
      </c>
      <c r="BE317" s="250" t="e">
        <f t="shared" si="263"/>
        <v>#N/A</v>
      </c>
      <c r="BF317" s="247">
        <f t="shared" si="299"/>
        <v>7</v>
      </c>
      <c r="BG317" s="276" t="e">
        <f t="shared" si="300"/>
        <v>#N/A</v>
      </c>
      <c r="BH317" s="277" t="e">
        <f t="shared" si="301"/>
        <v>#N/A</v>
      </c>
      <c r="BI317" s="250" t="e">
        <f t="shared" si="264"/>
        <v>#N/A</v>
      </c>
      <c r="BJ317" s="251">
        <f t="shared" si="302"/>
        <v>7</v>
      </c>
      <c r="BK317" s="278" t="e">
        <f t="shared" si="303"/>
        <v>#N/A</v>
      </c>
      <c r="BL317" s="278" t="e">
        <f t="shared" si="304"/>
        <v>#N/A</v>
      </c>
      <c r="BM317" s="279" t="e">
        <f t="shared" si="265"/>
        <v>#N/A</v>
      </c>
      <c r="BN317" s="280">
        <f t="shared" si="305"/>
        <v>7</v>
      </c>
      <c r="BO317" s="281" t="e">
        <f t="shared" si="306"/>
        <v>#N/A</v>
      </c>
      <c r="BP317" s="281" t="e">
        <f t="shared" si="307"/>
        <v>#N/A</v>
      </c>
      <c r="BQ317" s="279" t="e">
        <f t="shared" si="266"/>
        <v>#N/A</v>
      </c>
      <c r="BR317" s="282" t="e">
        <f t="shared" si="267"/>
        <v>#N/A</v>
      </c>
      <c r="BS317" s="217" t="e">
        <f>VLOOKUP($B317,SDR24_STOCK_BY_LA!$A$2:$C$11878,3,0)</f>
        <v>#N/A</v>
      </c>
      <c r="BT317" s="217" t="str">
        <f t="shared" si="308"/>
        <v/>
      </c>
    </row>
    <row r="318" spans="1:72" x14ac:dyDescent="0.2">
      <c r="A318" s="217" t="str">
        <f t="shared" si="309"/>
        <v/>
      </c>
      <c r="B318" s="217" t="str">
        <f t="shared" si="310"/>
        <v/>
      </c>
      <c r="C318" s="283" t="str">
        <f t="shared" si="268"/>
        <v/>
      </c>
      <c r="D318" s="256" t="str">
        <f>IF(B318="","",IF(totals!$Q$3=0,IFERROR(IF(AD318=2,"0",AE318),""),"-"))</f>
        <v/>
      </c>
      <c r="E318" s="258" t="str">
        <f t="shared" si="269"/>
        <v/>
      </c>
      <c r="F318" s="259" t="str">
        <f t="shared" si="270"/>
        <v/>
      </c>
      <c r="G318" s="259" t="str">
        <f t="shared" si="271"/>
        <v/>
      </c>
      <c r="H318" s="256" t="str">
        <f t="shared" si="249"/>
        <v/>
      </c>
      <c r="I318" s="259" t="str">
        <f t="shared" si="272"/>
        <v/>
      </c>
      <c r="J318" s="259" t="str">
        <f t="shared" si="273"/>
        <v/>
      </c>
      <c r="K318" s="256" t="str">
        <f t="shared" si="250"/>
        <v/>
      </c>
      <c r="L318" s="259" t="str">
        <f t="shared" si="251"/>
        <v/>
      </c>
      <c r="M318" s="259" t="str">
        <f t="shared" si="274"/>
        <v/>
      </c>
      <c r="N318" s="256" t="str">
        <f t="shared" si="275"/>
        <v/>
      </c>
      <c r="O318" s="259" t="str">
        <f t="shared" si="276"/>
        <v/>
      </c>
      <c r="P318" s="259" t="str">
        <f t="shared" si="277"/>
        <v/>
      </c>
      <c r="Q318" s="256" t="str">
        <f t="shared" si="278"/>
        <v/>
      </c>
      <c r="R318" s="259" t="str">
        <f t="shared" si="279"/>
        <v/>
      </c>
      <c r="S318" s="259" t="str">
        <f t="shared" si="280"/>
        <v/>
      </c>
      <c r="T318" s="256" t="str">
        <f t="shared" si="281"/>
        <v/>
      </c>
      <c r="U318" s="217"/>
      <c r="V318" s="217"/>
      <c r="AB318" s="217" t="e">
        <f>VLOOKUP($B$6,Lookup_Source,311,0)</f>
        <v>#N/A</v>
      </c>
      <c r="AC318" s="241" t="str">
        <f t="shared" si="282"/>
        <v/>
      </c>
      <c r="AD318" s="242">
        <f t="shared" si="283"/>
        <v>7</v>
      </c>
      <c r="AE318" s="261" t="e">
        <f t="shared" si="252"/>
        <v>#N/A</v>
      </c>
      <c r="AF318" s="264" t="e">
        <f t="shared" si="284"/>
        <v>#N/A</v>
      </c>
      <c r="AG318" s="264" t="e">
        <f t="shared" si="285"/>
        <v>#N/A</v>
      </c>
      <c r="AH318" s="263" t="e">
        <f t="shared" si="253"/>
        <v>#N/A</v>
      </c>
      <c r="AI318" s="226">
        <f t="shared" si="286"/>
        <v>7</v>
      </c>
      <c r="AJ318" s="264" t="e">
        <f t="shared" si="254"/>
        <v>#N/A</v>
      </c>
      <c r="AK318" s="264" t="e">
        <f t="shared" si="287"/>
        <v>#N/A</v>
      </c>
      <c r="AL318" s="226" t="e">
        <f t="shared" si="255"/>
        <v>#N/A</v>
      </c>
      <c r="AM318" s="265" t="e">
        <f t="shared" si="288"/>
        <v>#N/A</v>
      </c>
      <c r="AN318" s="266" t="e">
        <f t="shared" si="256"/>
        <v>#N/A</v>
      </c>
      <c r="AO318" s="227" t="e">
        <f t="shared" si="257"/>
        <v>#N/A</v>
      </c>
      <c r="AP318" s="284">
        <f t="shared" si="289"/>
        <v>7</v>
      </c>
      <c r="AQ318" s="285" t="e">
        <f t="shared" si="258"/>
        <v>#N/A</v>
      </c>
      <c r="AR318" s="266" t="e">
        <f t="shared" si="290"/>
        <v>#N/A</v>
      </c>
      <c r="AS318" s="270" t="e">
        <f t="shared" si="259"/>
        <v>#N/A</v>
      </c>
      <c r="AT318" s="271">
        <f t="shared" si="291"/>
        <v>7</v>
      </c>
      <c r="AU318" s="272" t="e">
        <f t="shared" si="292"/>
        <v>#N/A</v>
      </c>
      <c r="AV318" s="273" t="e">
        <f t="shared" si="293"/>
        <v>#N/A</v>
      </c>
      <c r="AW318" s="274" t="e">
        <f t="shared" si="260"/>
        <v>#N/A</v>
      </c>
      <c r="AX318" s="232">
        <f t="shared" si="294"/>
        <v>7</v>
      </c>
      <c r="AY318" s="273" t="e">
        <f t="shared" si="261"/>
        <v>#N/A</v>
      </c>
      <c r="AZ318" s="232" t="e">
        <f t="shared" si="295"/>
        <v>#N/A</v>
      </c>
      <c r="BA318" s="232" t="e">
        <f t="shared" si="262"/>
        <v>#N/A</v>
      </c>
      <c r="BB318" s="275">
        <f t="shared" si="296"/>
        <v>7</v>
      </c>
      <c r="BC318" s="276" t="e">
        <f t="shared" si="297"/>
        <v>#N/A</v>
      </c>
      <c r="BD318" s="277" t="e">
        <f t="shared" si="298"/>
        <v>#N/A</v>
      </c>
      <c r="BE318" s="250" t="e">
        <f t="shared" si="263"/>
        <v>#N/A</v>
      </c>
      <c r="BF318" s="247">
        <f t="shared" si="299"/>
        <v>7</v>
      </c>
      <c r="BG318" s="276" t="e">
        <f t="shared" si="300"/>
        <v>#N/A</v>
      </c>
      <c r="BH318" s="277" t="e">
        <f t="shared" si="301"/>
        <v>#N/A</v>
      </c>
      <c r="BI318" s="250" t="e">
        <f t="shared" si="264"/>
        <v>#N/A</v>
      </c>
      <c r="BJ318" s="251">
        <f t="shared" si="302"/>
        <v>7</v>
      </c>
      <c r="BK318" s="278" t="e">
        <f t="shared" si="303"/>
        <v>#N/A</v>
      </c>
      <c r="BL318" s="278" t="e">
        <f t="shared" si="304"/>
        <v>#N/A</v>
      </c>
      <c r="BM318" s="279" t="e">
        <f t="shared" si="265"/>
        <v>#N/A</v>
      </c>
      <c r="BN318" s="280">
        <f t="shared" si="305"/>
        <v>7</v>
      </c>
      <c r="BO318" s="281" t="e">
        <f t="shared" si="306"/>
        <v>#N/A</v>
      </c>
      <c r="BP318" s="281" t="e">
        <f t="shared" si="307"/>
        <v>#N/A</v>
      </c>
      <c r="BQ318" s="279" t="e">
        <f t="shared" si="266"/>
        <v>#N/A</v>
      </c>
      <c r="BR318" s="282" t="e">
        <f t="shared" si="267"/>
        <v>#N/A</v>
      </c>
      <c r="BS318" s="217" t="e">
        <f>VLOOKUP($B318,SDR24_STOCK_BY_LA!$A$2:$C$11878,3,0)</f>
        <v>#N/A</v>
      </c>
      <c r="BT318" s="217" t="str">
        <f t="shared" si="308"/>
        <v/>
      </c>
    </row>
    <row r="319" spans="1:72" x14ac:dyDescent="0.2">
      <c r="A319" s="256" t="str">
        <f t="shared" si="309"/>
        <v/>
      </c>
      <c r="B319" s="217" t="str">
        <f t="shared" si="310"/>
        <v/>
      </c>
      <c r="C319" s="257" t="str">
        <f t="shared" si="268"/>
        <v/>
      </c>
      <c r="D319" s="256" t="str">
        <f>IF(B319="","",IF(totals!$Q$3=0,IFERROR(IF(AD319=2,"0",AE319),""),"-"))</f>
        <v/>
      </c>
      <c r="E319" s="258" t="str">
        <f t="shared" si="269"/>
        <v/>
      </c>
      <c r="F319" s="259" t="str">
        <f t="shared" si="270"/>
        <v/>
      </c>
      <c r="G319" s="259" t="str">
        <f t="shared" si="271"/>
        <v/>
      </c>
      <c r="H319" s="256" t="str">
        <f t="shared" si="249"/>
        <v/>
      </c>
      <c r="I319" s="259" t="str">
        <f t="shared" si="272"/>
        <v/>
      </c>
      <c r="J319" s="259" t="str">
        <f t="shared" si="273"/>
        <v/>
      </c>
      <c r="K319" s="256" t="str">
        <f t="shared" si="250"/>
        <v/>
      </c>
      <c r="L319" s="259" t="str">
        <f t="shared" si="251"/>
        <v/>
      </c>
      <c r="M319" s="259" t="str">
        <f t="shared" si="274"/>
        <v/>
      </c>
      <c r="N319" s="256" t="str">
        <f t="shared" si="275"/>
        <v/>
      </c>
      <c r="O319" s="259" t="str">
        <f t="shared" si="276"/>
        <v/>
      </c>
      <c r="P319" s="259" t="str">
        <f t="shared" si="277"/>
        <v/>
      </c>
      <c r="Q319" s="256" t="str">
        <f t="shared" si="278"/>
        <v/>
      </c>
      <c r="R319" s="259" t="str">
        <f t="shared" si="279"/>
        <v/>
      </c>
      <c r="S319" s="259" t="str">
        <f t="shared" si="280"/>
        <v/>
      </c>
      <c r="T319" s="256" t="str">
        <f t="shared" si="281"/>
        <v/>
      </c>
      <c r="U319" s="217"/>
      <c r="V319" s="217"/>
      <c r="AB319" s="257" t="e">
        <f>VLOOKUP($B$6,Lookup_Source,312,0)</f>
        <v>#N/A</v>
      </c>
      <c r="AC319" s="241" t="str">
        <f t="shared" si="282"/>
        <v/>
      </c>
      <c r="AD319" s="242">
        <f t="shared" si="283"/>
        <v>7</v>
      </c>
      <c r="AE319" s="261" t="e">
        <f t="shared" si="252"/>
        <v>#N/A</v>
      </c>
      <c r="AF319" s="264" t="e">
        <f t="shared" si="284"/>
        <v>#N/A</v>
      </c>
      <c r="AG319" s="264" t="e">
        <f t="shared" si="285"/>
        <v>#N/A</v>
      </c>
      <c r="AH319" s="263" t="e">
        <f t="shared" si="253"/>
        <v>#N/A</v>
      </c>
      <c r="AI319" s="226">
        <f t="shared" si="286"/>
        <v>7</v>
      </c>
      <c r="AJ319" s="264" t="e">
        <f t="shared" si="254"/>
        <v>#N/A</v>
      </c>
      <c r="AK319" s="264" t="e">
        <f t="shared" si="287"/>
        <v>#N/A</v>
      </c>
      <c r="AL319" s="226" t="e">
        <f t="shared" si="255"/>
        <v>#N/A</v>
      </c>
      <c r="AM319" s="265" t="e">
        <f t="shared" si="288"/>
        <v>#N/A</v>
      </c>
      <c r="AN319" s="266" t="e">
        <f t="shared" si="256"/>
        <v>#N/A</v>
      </c>
      <c r="AO319" s="227" t="e">
        <f t="shared" si="257"/>
        <v>#N/A</v>
      </c>
      <c r="AP319" s="284">
        <f t="shared" si="289"/>
        <v>7</v>
      </c>
      <c r="AQ319" s="285" t="e">
        <f t="shared" si="258"/>
        <v>#N/A</v>
      </c>
      <c r="AR319" s="266" t="e">
        <f t="shared" si="290"/>
        <v>#N/A</v>
      </c>
      <c r="AS319" s="270" t="e">
        <f t="shared" si="259"/>
        <v>#N/A</v>
      </c>
      <c r="AT319" s="271">
        <f t="shared" si="291"/>
        <v>7</v>
      </c>
      <c r="AU319" s="272" t="e">
        <f t="shared" si="292"/>
        <v>#N/A</v>
      </c>
      <c r="AV319" s="273" t="e">
        <f t="shared" si="293"/>
        <v>#N/A</v>
      </c>
      <c r="AW319" s="274" t="e">
        <f t="shared" si="260"/>
        <v>#N/A</v>
      </c>
      <c r="AX319" s="232">
        <f t="shared" si="294"/>
        <v>7</v>
      </c>
      <c r="AY319" s="273" t="e">
        <f t="shared" si="261"/>
        <v>#N/A</v>
      </c>
      <c r="AZ319" s="232" t="e">
        <f t="shared" si="295"/>
        <v>#N/A</v>
      </c>
      <c r="BA319" s="232" t="e">
        <f t="shared" si="262"/>
        <v>#N/A</v>
      </c>
      <c r="BB319" s="275">
        <f t="shared" si="296"/>
        <v>7</v>
      </c>
      <c r="BC319" s="276" t="e">
        <f t="shared" si="297"/>
        <v>#N/A</v>
      </c>
      <c r="BD319" s="277" t="e">
        <f t="shared" si="298"/>
        <v>#N/A</v>
      </c>
      <c r="BE319" s="250" t="e">
        <f t="shared" si="263"/>
        <v>#N/A</v>
      </c>
      <c r="BF319" s="247">
        <f t="shared" si="299"/>
        <v>7</v>
      </c>
      <c r="BG319" s="276" t="e">
        <f t="shared" si="300"/>
        <v>#N/A</v>
      </c>
      <c r="BH319" s="277" t="e">
        <f t="shared" si="301"/>
        <v>#N/A</v>
      </c>
      <c r="BI319" s="250" t="e">
        <f t="shared" si="264"/>
        <v>#N/A</v>
      </c>
      <c r="BJ319" s="251">
        <f t="shared" si="302"/>
        <v>7</v>
      </c>
      <c r="BK319" s="278" t="e">
        <f t="shared" si="303"/>
        <v>#N/A</v>
      </c>
      <c r="BL319" s="278" t="e">
        <f t="shared" si="304"/>
        <v>#N/A</v>
      </c>
      <c r="BM319" s="279" t="e">
        <f t="shared" si="265"/>
        <v>#N/A</v>
      </c>
      <c r="BN319" s="280">
        <f t="shared" si="305"/>
        <v>7</v>
      </c>
      <c r="BO319" s="281" t="e">
        <f t="shared" si="306"/>
        <v>#N/A</v>
      </c>
      <c r="BP319" s="281" t="e">
        <f t="shared" si="307"/>
        <v>#N/A</v>
      </c>
      <c r="BQ319" s="279" t="e">
        <f t="shared" si="266"/>
        <v>#N/A</v>
      </c>
      <c r="BR319" s="282" t="e">
        <f t="shared" si="267"/>
        <v>#N/A</v>
      </c>
      <c r="BS319" s="217" t="e">
        <f>VLOOKUP($B319,SDR24_STOCK_BY_LA!$A$2:$C$11878,3,0)</f>
        <v>#N/A</v>
      </c>
      <c r="BT319" s="217" t="str">
        <f t="shared" si="308"/>
        <v/>
      </c>
    </row>
    <row r="320" spans="1:72" x14ac:dyDescent="0.2">
      <c r="A320" s="217" t="str">
        <f t="shared" si="309"/>
        <v/>
      </c>
      <c r="B320" s="217" t="str">
        <f t="shared" si="310"/>
        <v/>
      </c>
      <c r="C320" s="283" t="str">
        <f t="shared" si="268"/>
        <v/>
      </c>
      <c r="D320" s="256" t="str">
        <f>IF(B320="","",IF(totals!$Q$3=0,IFERROR(IF(AD320=2,"0",AE320),""),"-"))</f>
        <v/>
      </c>
      <c r="E320" s="258" t="str">
        <f t="shared" si="269"/>
        <v/>
      </c>
      <c r="F320" s="259" t="str">
        <f t="shared" si="270"/>
        <v/>
      </c>
      <c r="G320" s="259" t="str">
        <f t="shared" si="271"/>
        <v/>
      </c>
      <c r="H320" s="256" t="str">
        <f t="shared" si="249"/>
        <v/>
      </c>
      <c r="I320" s="259" t="str">
        <f t="shared" si="272"/>
        <v/>
      </c>
      <c r="J320" s="259" t="str">
        <f t="shared" si="273"/>
        <v/>
      </c>
      <c r="K320" s="256" t="str">
        <f t="shared" si="250"/>
        <v/>
      </c>
      <c r="L320" s="259" t="str">
        <f t="shared" si="251"/>
        <v/>
      </c>
      <c r="M320" s="259" t="str">
        <f t="shared" si="274"/>
        <v/>
      </c>
      <c r="N320" s="256" t="str">
        <f t="shared" si="275"/>
        <v/>
      </c>
      <c r="O320" s="259" t="str">
        <f t="shared" si="276"/>
        <v/>
      </c>
      <c r="P320" s="259" t="str">
        <f t="shared" si="277"/>
        <v/>
      </c>
      <c r="Q320" s="256" t="str">
        <f t="shared" si="278"/>
        <v/>
      </c>
      <c r="R320" s="259" t="str">
        <f t="shared" si="279"/>
        <v/>
      </c>
      <c r="S320" s="259" t="str">
        <f t="shared" si="280"/>
        <v/>
      </c>
      <c r="T320" s="256" t="str">
        <f t="shared" si="281"/>
        <v/>
      </c>
      <c r="U320" s="217"/>
      <c r="V320" s="217"/>
      <c r="AB320" s="217" t="e">
        <f>VLOOKUP($B$6,Lookup_Source,313,0)</f>
        <v>#N/A</v>
      </c>
      <c r="AC320" s="241" t="str">
        <f t="shared" si="282"/>
        <v/>
      </c>
      <c r="AD320" s="242">
        <f t="shared" si="283"/>
        <v>7</v>
      </c>
      <c r="AE320" s="261" t="e">
        <f t="shared" si="252"/>
        <v>#N/A</v>
      </c>
      <c r="AF320" s="264" t="e">
        <f t="shared" si="284"/>
        <v>#N/A</v>
      </c>
      <c r="AG320" s="264" t="e">
        <f t="shared" si="285"/>
        <v>#N/A</v>
      </c>
      <c r="AH320" s="263" t="e">
        <f t="shared" si="253"/>
        <v>#N/A</v>
      </c>
      <c r="AI320" s="226">
        <f t="shared" si="286"/>
        <v>7</v>
      </c>
      <c r="AJ320" s="264" t="e">
        <f t="shared" si="254"/>
        <v>#N/A</v>
      </c>
      <c r="AK320" s="264" t="e">
        <f t="shared" si="287"/>
        <v>#N/A</v>
      </c>
      <c r="AL320" s="226" t="e">
        <f t="shared" si="255"/>
        <v>#N/A</v>
      </c>
      <c r="AM320" s="265" t="e">
        <f t="shared" si="288"/>
        <v>#N/A</v>
      </c>
      <c r="AN320" s="266" t="e">
        <f t="shared" si="256"/>
        <v>#N/A</v>
      </c>
      <c r="AO320" s="227" t="e">
        <f t="shared" si="257"/>
        <v>#N/A</v>
      </c>
      <c r="AP320" s="284">
        <f t="shared" si="289"/>
        <v>7</v>
      </c>
      <c r="AQ320" s="285" t="e">
        <f t="shared" si="258"/>
        <v>#N/A</v>
      </c>
      <c r="AR320" s="266" t="e">
        <f t="shared" si="290"/>
        <v>#N/A</v>
      </c>
      <c r="AS320" s="270" t="e">
        <f t="shared" si="259"/>
        <v>#N/A</v>
      </c>
      <c r="AT320" s="271">
        <f t="shared" si="291"/>
        <v>7</v>
      </c>
      <c r="AU320" s="272" t="e">
        <f t="shared" si="292"/>
        <v>#N/A</v>
      </c>
      <c r="AV320" s="273" t="e">
        <f t="shared" si="293"/>
        <v>#N/A</v>
      </c>
      <c r="AW320" s="274" t="e">
        <f t="shared" si="260"/>
        <v>#N/A</v>
      </c>
      <c r="AX320" s="232">
        <f t="shared" si="294"/>
        <v>7</v>
      </c>
      <c r="AY320" s="273" t="e">
        <f t="shared" si="261"/>
        <v>#N/A</v>
      </c>
      <c r="AZ320" s="232" t="e">
        <f t="shared" si="295"/>
        <v>#N/A</v>
      </c>
      <c r="BA320" s="232" t="e">
        <f t="shared" si="262"/>
        <v>#N/A</v>
      </c>
      <c r="BB320" s="275">
        <f t="shared" si="296"/>
        <v>7</v>
      </c>
      <c r="BC320" s="276" t="e">
        <f t="shared" si="297"/>
        <v>#N/A</v>
      </c>
      <c r="BD320" s="277" t="e">
        <f t="shared" si="298"/>
        <v>#N/A</v>
      </c>
      <c r="BE320" s="250" t="e">
        <f t="shared" si="263"/>
        <v>#N/A</v>
      </c>
      <c r="BF320" s="247">
        <f t="shared" si="299"/>
        <v>7</v>
      </c>
      <c r="BG320" s="276" t="e">
        <f t="shared" si="300"/>
        <v>#N/A</v>
      </c>
      <c r="BH320" s="277" t="e">
        <f t="shared" si="301"/>
        <v>#N/A</v>
      </c>
      <c r="BI320" s="250" t="e">
        <f t="shared" si="264"/>
        <v>#N/A</v>
      </c>
      <c r="BJ320" s="251">
        <f t="shared" si="302"/>
        <v>7</v>
      </c>
      <c r="BK320" s="278" t="e">
        <f t="shared" si="303"/>
        <v>#N/A</v>
      </c>
      <c r="BL320" s="278" t="e">
        <f t="shared" si="304"/>
        <v>#N/A</v>
      </c>
      <c r="BM320" s="279" t="e">
        <f t="shared" si="265"/>
        <v>#N/A</v>
      </c>
      <c r="BN320" s="280">
        <f t="shared" si="305"/>
        <v>7</v>
      </c>
      <c r="BO320" s="281" t="e">
        <f t="shared" si="306"/>
        <v>#N/A</v>
      </c>
      <c r="BP320" s="281" t="e">
        <f t="shared" si="307"/>
        <v>#N/A</v>
      </c>
      <c r="BQ320" s="279" t="e">
        <f t="shared" si="266"/>
        <v>#N/A</v>
      </c>
      <c r="BR320" s="282" t="e">
        <f t="shared" si="267"/>
        <v>#N/A</v>
      </c>
      <c r="BS320" s="217" t="e">
        <f>VLOOKUP($B320,SDR24_STOCK_BY_LA!$A$2:$C$11878,3,0)</f>
        <v>#N/A</v>
      </c>
      <c r="BT320" s="217" t="str">
        <f t="shared" si="308"/>
        <v/>
      </c>
    </row>
    <row r="321" spans="1:72" x14ac:dyDescent="0.2">
      <c r="A321" s="256" t="str">
        <f t="shared" si="309"/>
        <v/>
      </c>
      <c r="B321" s="217" t="str">
        <f t="shared" si="310"/>
        <v/>
      </c>
      <c r="C321" s="257" t="str">
        <f t="shared" si="268"/>
        <v/>
      </c>
      <c r="D321" s="256" t="str">
        <f>IF(B321="","",IF(totals!$Q$3=0,IFERROR(IF(AD321=2,"0",AE321),""),"-"))</f>
        <v/>
      </c>
      <c r="E321" s="258" t="str">
        <f t="shared" si="269"/>
        <v/>
      </c>
      <c r="F321" s="259" t="str">
        <f t="shared" si="270"/>
        <v/>
      </c>
      <c r="G321" s="259" t="str">
        <f t="shared" si="271"/>
        <v/>
      </c>
      <c r="H321" s="256" t="str">
        <f t="shared" si="249"/>
        <v/>
      </c>
      <c r="I321" s="259" t="str">
        <f t="shared" si="272"/>
        <v/>
      </c>
      <c r="J321" s="259" t="str">
        <f t="shared" si="273"/>
        <v/>
      </c>
      <c r="K321" s="256" t="str">
        <f t="shared" si="250"/>
        <v/>
      </c>
      <c r="L321" s="259" t="str">
        <f t="shared" si="251"/>
        <v/>
      </c>
      <c r="M321" s="259" t="str">
        <f t="shared" si="274"/>
        <v/>
      </c>
      <c r="N321" s="256" t="str">
        <f t="shared" si="275"/>
        <v/>
      </c>
      <c r="O321" s="259" t="str">
        <f t="shared" si="276"/>
        <v/>
      </c>
      <c r="P321" s="259" t="str">
        <f t="shared" si="277"/>
        <v/>
      </c>
      <c r="Q321" s="256" t="str">
        <f t="shared" si="278"/>
        <v/>
      </c>
      <c r="R321" s="259" t="str">
        <f t="shared" si="279"/>
        <v/>
      </c>
      <c r="S321" s="259" t="str">
        <f t="shared" si="280"/>
        <v/>
      </c>
      <c r="T321" s="256" t="str">
        <f t="shared" si="281"/>
        <v/>
      </c>
      <c r="U321" s="217"/>
      <c r="V321" s="217"/>
      <c r="AB321" s="257" t="e">
        <f>VLOOKUP($B$6,Lookup_Source,314,0)</f>
        <v>#N/A</v>
      </c>
      <c r="AC321" s="241" t="str">
        <f t="shared" si="282"/>
        <v/>
      </c>
      <c r="AD321" s="242">
        <f t="shared" si="283"/>
        <v>7</v>
      </c>
      <c r="AE321" s="261" t="e">
        <f t="shared" si="252"/>
        <v>#N/A</v>
      </c>
      <c r="AF321" s="264" t="e">
        <f t="shared" si="284"/>
        <v>#N/A</v>
      </c>
      <c r="AG321" s="264" t="e">
        <f t="shared" si="285"/>
        <v>#N/A</v>
      </c>
      <c r="AH321" s="263" t="e">
        <f t="shared" si="253"/>
        <v>#N/A</v>
      </c>
      <c r="AI321" s="226">
        <f t="shared" si="286"/>
        <v>7</v>
      </c>
      <c r="AJ321" s="264" t="e">
        <f t="shared" si="254"/>
        <v>#N/A</v>
      </c>
      <c r="AK321" s="264" t="e">
        <f t="shared" si="287"/>
        <v>#N/A</v>
      </c>
      <c r="AL321" s="226" t="e">
        <f t="shared" si="255"/>
        <v>#N/A</v>
      </c>
      <c r="AM321" s="265" t="e">
        <f t="shared" si="288"/>
        <v>#N/A</v>
      </c>
      <c r="AN321" s="266" t="e">
        <f t="shared" si="256"/>
        <v>#N/A</v>
      </c>
      <c r="AO321" s="227" t="e">
        <f t="shared" si="257"/>
        <v>#N/A</v>
      </c>
      <c r="AP321" s="284">
        <f t="shared" si="289"/>
        <v>7</v>
      </c>
      <c r="AQ321" s="285" t="e">
        <f t="shared" si="258"/>
        <v>#N/A</v>
      </c>
      <c r="AR321" s="266" t="e">
        <f t="shared" si="290"/>
        <v>#N/A</v>
      </c>
      <c r="AS321" s="270" t="e">
        <f t="shared" si="259"/>
        <v>#N/A</v>
      </c>
      <c r="AT321" s="271">
        <f t="shared" si="291"/>
        <v>7</v>
      </c>
      <c r="AU321" s="272" t="e">
        <f t="shared" si="292"/>
        <v>#N/A</v>
      </c>
      <c r="AV321" s="273" t="e">
        <f t="shared" si="293"/>
        <v>#N/A</v>
      </c>
      <c r="AW321" s="274" t="e">
        <f t="shared" si="260"/>
        <v>#N/A</v>
      </c>
      <c r="AX321" s="232">
        <f t="shared" si="294"/>
        <v>7</v>
      </c>
      <c r="AY321" s="273" t="e">
        <f t="shared" si="261"/>
        <v>#N/A</v>
      </c>
      <c r="AZ321" s="232" t="e">
        <f t="shared" si="295"/>
        <v>#N/A</v>
      </c>
      <c r="BA321" s="232" t="e">
        <f t="shared" si="262"/>
        <v>#N/A</v>
      </c>
      <c r="BB321" s="275">
        <f t="shared" si="296"/>
        <v>7</v>
      </c>
      <c r="BC321" s="276" t="e">
        <f t="shared" si="297"/>
        <v>#N/A</v>
      </c>
      <c r="BD321" s="277" t="e">
        <f t="shared" si="298"/>
        <v>#N/A</v>
      </c>
      <c r="BE321" s="250" t="e">
        <f t="shared" si="263"/>
        <v>#N/A</v>
      </c>
      <c r="BF321" s="247">
        <f t="shared" si="299"/>
        <v>7</v>
      </c>
      <c r="BG321" s="276" t="e">
        <f t="shared" si="300"/>
        <v>#N/A</v>
      </c>
      <c r="BH321" s="277" t="e">
        <f t="shared" si="301"/>
        <v>#N/A</v>
      </c>
      <c r="BI321" s="250" t="e">
        <f t="shared" si="264"/>
        <v>#N/A</v>
      </c>
      <c r="BJ321" s="251">
        <f t="shared" si="302"/>
        <v>7</v>
      </c>
      <c r="BK321" s="278" t="e">
        <f t="shared" si="303"/>
        <v>#N/A</v>
      </c>
      <c r="BL321" s="278" t="e">
        <f t="shared" si="304"/>
        <v>#N/A</v>
      </c>
      <c r="BM321" s="279" t="e">
        <f t="shared" si="265"/>
        <v>#N/A</v>
      </c>
      <c r="BN321" s="280">
        <f t="shared" si="305"/>
        <v>7</v>
      </c>
      <c r="BO321" s="281" t="e">
        <f t="shared" si="306"/>
        <v>#N/A</v>
      </c>
      <c r="BP321" s="281" t="e">
        <f t="shared" si="307"/>
        <v>#N/A</v>
      </c>
      <c r="BQ321" s="279" t="e">
        <f t="shared" si="266"/>
        <v>#N/A</v>
      </c>
      <c r="BR321" s="282" t="e">
        <f t="shared" si="267"/>
        <v>#N/A</v>
      </c>
      <c r="BS321" s="217" t="e">
        <f>VLOOKUP($B321,SDR24_STOCK_BY_LA!$A$2:$C$11878,3,0)</f>
        <v>#N/A</v>
      </c>
      <c r="BT321" s="217" t="str">
        <f t="shared" si="308"/>
        <v/>
      </c>
    </row>
    <row r="322" spans="1:72" x14ac:dyDescent="0.2">
      <c r="A322" s="217" t="str">
        <f t="shared" si="309"/>
        <v/>
      </c>
      <c r="B322" s="217" t="str">
        <f t="shared" si="310"/>
        <v/>
      </c>
      <c r="C322" s="283" t="str">
        <f t="shared" si="268"/>
        <v/>
      </c>
      <c r="D322" s="256" t="str">
        <f>IF(B322="","",IF(totals!$Q$3=0,IFERROR(IF(AD322=2,"0",AE322),""),"-"))</f>
        <v/>
      </c>
      <c r="E322" s="258" t="str">
        <f t="shared" si="269"/>
        <v/>
      </c>
      <c r="F322" s="259" t="str">
        <f t="shared" si="270"/>
        <v/>
      </c>
      <c r="G322" s="259" t="str">
        <f t="shared" si="271"/>
        <v/>
      </c>
      <c r="H322" s="256" t="str">
        <f t="shared" si="249"/>
        <v/>
      </c>
      <c r="I322" s="259" t="str">
        <f t="shared" si="272"/>
        <v/>
      </c>
      <c r="J322" s="259" t="str">
        <f t="shared" si="273"/>
        <v/>
      </c>
      <c r="K322" s="256" t="str">
        <f t="shared" si="250"/>
        <v/>
      </c>
      <c r="L322" s="259" t="str">
        <f t="shared" si="251"/>
        <v/>
      </c>
      <c r="M322" s="259" t="str">
        <f t="shared" si="274"/>
        <v/>
      </c>
      <c r="N322" s="256" t="str">
        <f t="shared" si="275"/>
        <v/>
      </c>
      <c r="O322" s="259" t="str">
        <f t="shared" si="276"/>
        <v/>
      </c>
      <c r="P322" s="259" t="str">
        <f t="shared" si="277"/>
        <v/>
      </c>
      <c r="Q322" s="256" t="str">
        <f t="shared" si="278"/>
        <v/>
      </c>
      <c r="R322" s="259" t="str">
        <f t="shared" si="279"/>
        <v/>
      </c>
      <c r="S322" s="259" t="str">
        <f t="shared" si="280"/>
        <v/>
      </c>
      <c r="T322" s="256" t="str">
        <f t="shared" si="281"/>
        <v/>
      </c>
      <c r="U322" s="217"/>
      <c r="V322" s="217"/>
      <c r="AB322" s="217" t="e">
        <f>VLOOKUP($B$6,Lookup_Source,315,0)</f>
        <v>#N/A</v>
      </c>
      <c r="AC322" s="241" t="str">
        <f t="shared" si="282"/>
        <v/>
      </c>
      <c r="AD322" s="242">
        <f t="shared" si="283"/>
        <v>7</v>
      </c>
      <c r="AE322" s="261" t="e">
        <f t="shared" si="252"/>
        <v>#N/A</v>
      </c>
      <c r="AF322" s="264" t="e">
        <f t="shared" si="284"/>
        <v>#N/A</v>
      </c>
      <c r="AG322" s="264" t="e">
        <f t="shared" si="285"/>
        <v>#N/A</v>
      </c>
      <c r="AH322" s="263" t="e">
        <f t="shared" si="253"/>
        <v>#N/A</v>
      </c>
      <c r="AI322" s="226">
        <f t="shared" si="286"/>
        <v>7</v>
      </c>
      <c r="AJ322" s="264" t="e">
        <f t="shared" si="254"/>
        <v>#N/A</v>
      </c>
      <c r="AK322" s="264" t="e">
        <f t="shared" si="287"/>
        <v>#N/A</v>
      </c>
      <c r="AL322" s="226" t="e">
        <f t="shared" si="255"/>
        <v>#N/A</v>
      </c>
      <c r="AM322" s="265" t="e">
        <f t="shared" si="288"/>
        <v>#N/A</v>
      </c>
      <c r="AN322" s="266" t="e">
        <f t="shared" si="256"/>
        <v>#N/A</v>
      </c>
      <c r="AO322" s="227" t="e">
        <f t="shared" si="257"/>
        <v>#N/A</v>
      </c>
      <c r="AP322" s="284">
        <f t="shared" si="289"/>
        <v>7</v>
      </c>
      <c r="AQ322" s="285" t="e">
        <f t="shared" si="258"/>
        <v>#N/A</v>
      </c>
      <c r="AR322" s="266" t="e">
        <f t="shared" si="290"/>
        <v>#N/A</v>
      </c>
      <c r="AS322" s="270" t="e">
        <f t="shared" si="259"/>
        <v>#N/A</v>
      </c>
      <c r="AT322" s="271">
        <f t="shared" si="291"/>
        <v>7</v>
      </c>
      <c r="AU322" s="272" t="e">
        <f t="shared" si="292"/>
        <v>#N/A</v>
      </c>
      <c r="AV322" s="273" t="e">
        <f t="shared" si="293"/>
        <v>#N/A</v>
      </c>
      <c r="AW322" s="274" t="e">
        <f t="shared" si="260"/>
        <v>#N/A</v>
      </c>
      <c r="AX322" s="232">
        <f t="shared" si="294"/>
        <v>7</v>
      </c>
      <c r="AY322" s="273" t="e">
        <f t="shared" si="261"/>
        <v>#N/A</v>
      </c>
      <c r="AZ322" s="232" t="e">
        <f t="shared" si="295"/>
        <v>#N/A</v>
      </c>
      <c r="BA322" s="232" t="e">
        <f t="shared" si="262"/>
        <v>#N/A</v>
      </c>
      <c r="BB322" s="275">
        <f t="shared" si="296"/>
        <v>7</v>
      </c>
      <c r="BC322" s="276" t="e">
        <f t="shared" si="297"/>
        <v>#N/A</v>
      </c>
      <c r="BD322" s="277" t="e">
        <f t="shared" si="298"/>
        <v>#N/A</v>
      </c>
      <c r="BE322" s="250" t="e">
        <f t="shared" si="263"/>
        <v>#N/A</v>
      </c>
      <c r="BF322" s="247">
        <f t="shared" si="299"/>
        <v>7</v>
      </c>
      <c r="BG322" s="276" t="e">
        <f t="shared" si="300"/>
        <v>#N/A</v>
      </c>
      <c r="BH322" s="277" t="e">
        <f t="shared" si="301"/>
        <v>#N/A</v>
      </c>
      <c r="BI322" s="250" t="e">
        <f t="shared" si="264"/>
        <v>#N/A</v>
      </c>
      <c r="BJ322" s="251">
        <f t="shared" si="302"/>
        <v>7</v>
      </c>
      <c r="BK322" s="278" t="e">
        <f t="shared" si="303"/>
        <v>#N/A</v>
      </c>
      <c r="BL322" s="278" t="e">
        <f t="shared" si="304"/>
        <v>#N/A</v>
      </c>
      <c r="BM322" s="279" t="e">
        <f t="shared" si="265"/>
        <v>#N/A</v>
      </c>
      <c r="BN322" s="280">
        <f t="shared" si="305"/>
        <v>7</v>
      </c>
      <c r="BO322" s="281" t="e">
        <f t="shared" si="306"/>
        <v>#N/A</v>
      </c>
      <c r="BP322" s="281" t="e">
        <f t="shared" si="307"/>
        <v>#N/A</v>
      </c>
      <c r="BQ322" s="279" t="e">
        <f t="shared" si="266"/>
        <v>#N/A</v>
      </c>
      <c r="BR322" s="282" t="e">
        <f t="shared" si="267"/>
        <v>#N/A</v>
      </c>
      <c r="BS322" s="217" t="e">
        <f>VLOOKUP($B322,SDR24_STOCK_BY_LA!$A$2:$C$11878,3,0)</f>
        <v>#N/A</v>
      </c>
      <c r="BT322" s="217" t="str">
        <f t="shared" si="308"/>
        <v/>
      </c>
    </row>
    <row r="323" spans="1:72" x14ac:dyDescent="0.2">
      <c r="A323" s="256" t="str">
        <f t="shared" si="309"/>
        <v/>
      </c>
      <c r="B323" s="217" t="str">
        <f t="shared" si="310"/>
        <v/>
      </c>
      <c r="C323" s="257" t="str">
        <f t="shared" si="268"/>
        <v/>
      </c>
      <c r="D323" s="256" t="str">
        <f>IF(B323="","",IF(totals!$Q$3=0,IFERROR(IF(AD323=2,"0",AE323),""),"-"))</f>
        <v/>
      </c>
      <c r="E323" s="258" t="str">
        <f t="shared" si="269"/>
        <v/>
      </c>
      <c r="F323" s="259" t="str">
        <f t="shared" si="270"/>
        <v/>
      </c>
      <c r="G323" s="259" t="str">
        <f t="shared" si="271"/>
        <v/>
      </c>
      <c r="H323" s="256" t="str">
        <f t="shared" si="249"/>
        <v/>
      </c>
      <c r="I323" s="259" t="str">
        <f t="shared" si="272"/>
        <v/>
      </c>
      <c r="J323" s="259" t="str">
        <f t="shared" si="273"/>
        <v/>
      </c>
      <c r="K323" s="256" t="str">
        <f t="shared" si="250"/>
        <v/>
      </c>
      <c r="L323" s="259" t="str">
        <f t="shared" si="251"/>
        <v/>
      </c>
      <c r="M323" s="259" t="str">
        <f t="shared" si="274"/>
        <v/>
      </c>
      <c r="N323" s="256" t="str">
        <f t="shared" si="275"/>
        <v/>
      </c>
      <c r="O323" s="259" t="str">
        <f t="shared" si="276"/>
        <v/>
      </c>
      <c r="P323" s="259" t="str">
        <f t="shared" si="277"/>
        <v/>
      </c>
      <c r="Q323" s="256" t="str">
        <f t="shared" si="278"/>
        <v/>
      </c>
      <c r="R323" s="259" t="str">
        <f t="shared" si="279"/>
        <v/>
      </c>
      <c r="S323" s="259" t="str">
        <f t="shared" si="280"/>
        <v/>
      </c>
      <c r="T323" s="256" t="str">
        <f t="shared" si="281"/>
        <v/>
      </c>
      <c r="U323" s="217"/>
      <c r="V323" s="217"/>
      <c r="AB323" s="257" t="e">
        <f>VLOOKUP($B$6,Lookup_Source,316,0)</f>
        <v>#N/A</v>
      </c>
      <c r="AC323" s="241" t="str">
        <f t="shared" si="282"/>
        <v/>
      </c>
      <c r="AD323" s="242">
        <f t="shared" si="283"/>
        <v>7</v>
      </c>
      <c r="AE323" s="261" t="e">
        <f t="shared" si="252"/>
        <v>#N/A</v>
      </c>
      <c r="AF323" s="264" t="e">
        <f t="shared" si="284"/>
        <v>#N/A</v>
      </c>
      <c r="AG323" s="264" t="e">
        <f t="shared" si="285"/>
        <v>#N/A</v>
      </c>
      <c r="AH323" s="263" t="e">
        <f t="shared" si="253"/>
        <v>#N/A</v>
      </c>
      <c r="AI323" s="226">
        <f t="shared" si="286"/>
        <v>7</v>
      </c>
      <c r="AJ323" s="264" t="e">
        <f t="shared" si="254"/>
        <v>#N/A</v>
      </c>
      <c r="AK323" s="264" t="e">
        <f t="shared" si="287"/>
        <v>#N/A</v>
      </c>
      <c r="AL323" s="226" t="e">
        <f t="shared" si="255"/>
        <v>#N/A</v>
      </c>
      <c r="AM323" s="265" t="e">
        <f t="shared" si="288"/>
        <v>#N/A</v>
      </c>
      <c r="AN323" s="266" t="e">
        <f t="shared" si="256"/>
        <v>#N/A</v>
      </c>
      <c r="AO323" s="227" t="e">
        <f t="shared" si="257"/>
        <v>#N/A</v>
      </c>
      <c r="AP323" s="284">
        <f t="shared" si="289"/>
        <v>7</v>
      </c>
      <c r="AQ323" s="285" t="e">
        <f t="shared" si="258"/>
        <v>#N/A</v>
      </c>
      <c r="AR323" s="266" t="e">
        <f t="shared" si="290"/>
        <v>#N/A</v>
      </c>
      <c r="AS323" s="270" t="e">
        <f t="shared" si="259"/>
        <v>#N/A</v>
      </c>
      <c r="AT323" s="271">
        <f t="shared" si="291"/>
        <v>7</v>
      </c>
      <c r="AU323" s="272" t="e">
        <f t="shared" si="292"/>
        <v>#N/A</v>
      </c>
      <c r="AV323" s="273" t="e">
        <f t="shared" si="293"/>
        <v>#N/A</v>
      </c>
      <c r="AW323" s="274" t="e">
        <f t="shared" si="260"/>
        <v>#N/A</v>
      </c>
      <c r="AX323" s="232">
        <f t="shared" si="294"/>
        <v>7</v>
      </c>
      <c r="AY323" s="273" t="e">
        <f t="shared" si="261"/>
        <v>#N/A</v>
      </c>
      <c r="AZ323" s="232" t="e">
        <f t="shared" si="295"/>
        <v>#N/A</v>
      </c>
      <c r="BA323" s="232" t="e">
        <f t="shared" si="262"/>
        <v>#N/A</v>
      </c>
      <c r="BB323" s="275">
        <f t="shared" si="296"/>
        <v>7</v>
      </c>
      <c r="BC323" s="276" t="e">
        <f t="shared" si="297"/>
        <v>#N/A</v>
      </c>
      <c r="BD323" s="277" t="e">
        <f t="shared" si="298"/>
        <v>#N/A</v>
      </c>
      <c r="BE323" s="250" t="e">
        <f t="shared" si="263"/>
        <v>#N/A</v>
      </c>
      <c r="BF323" s="247">
        <f t="shared" si="299"/>
        <v>7</v>
      </c>
      <c r="BG323" s="276" t="e">
        <f t="shared" si="300"/>
        <v>#N/A</v>
      </c>
      <c r="BH323" s="277" t="e">
        <f t="shared" si="301"/>
        <v>#N/A</v>
      </c>
      <c r="BI323" s="250" t="e">
        <f t="shared" si="264"/>
        <v>#N/A</v>
      </c>
      <c r="BJ323" s="251">
        <f t="shared" si="302"/>
        <v>7</v>
      </c>
      <c r="BK323" s="278" t="e">
        <f t="shared" si="303"/>
        <v>#N/A</v>
      </c>
      <c r="BL323" s="278" t="e">
        <f t="shared" si="304"/>
        <v>#N/A</v>
      </c>
      <c r="BM323" s="279" t="e">
        <f t="shared" si="265"/>
        <v>#N/A</v>
      </c>
      <c r="BN323" s="280">
        <f t="shared" si="305"/>
        <v>7</v>
      </c>
      <c r="BO323" s="281" t="e">
        <f t="shared" si="306"/>
        <v>#N/A</v>
      </c>
      <c r="BP323" s="281" t="e">
        <f t="shared" si="307"/>
        <v>#N/A</v>
      </c>
      <c r="BQ323" s="279" t="e">
        <f t="shared" si="266"/>
        <v>#N/A</v>
      </c>
      <c r="BR323" s="282" t="e">
        <f t="shared" si="267"/>
        <v>#N/A</v>
      </c>
      <c r="BS323" s="217" t="e">
        <f>VLOOKUP($B323,SDR24_STOCK_BY_LA!$A$2:$C$11878,3,0)</f>
        <v>#N/A</v>
      </c>
      <c r="BT323" s="217" t="str">
        <f t="shared" si="308"/>
        <v/>
      </c>
    </row>
    <row r="324" spans="1:72" x14ac:dyDescent="0.2">
      <c r="A324" s="217" t="str">
        <f t="shared" si="309"/>
        <v/>
      </c>
      <c r="B324" s="217" t="str">
        <f t="shared" si="310"/>
        <v/>
      </c>
      <c r="C324" s="283" t="str">
        <f t="shared" si="268"/>
        <v/>
      </c>
      <c r="D324" s="256" t="str">
        <f>IF(B324="","",IF(totals!$Q$3=0,IFERROR(IF(AD324=2,"0",AE324),""),"-"))</f>
        <v/>
      </c>
      <c r="E324" s="258" t="str">
        <f t="shared" si="269"/>
        <v/>
      </c>
      <c r="F324" s="259" t="str">
        <f t="shared" si="270"/>
        <v/>
      </c>
      <c r="G324" s="259" t="str">
        <f t="shared" si="271"/>
        <v/>
      </c>
      <c r="H324" s="256" t="str">
        <f t="shared" si="249"/>
        <v/>
      </c>
      <c r="I324" s="259" t="str">
        <f t="shared" si="272"/>
        <v/>
      </c>
      <c r="J324" s="259" t="str">
        <f t="shared" si="273"/>
        <v/>
      </c>
      <c r="K324" s="256" t="str">
        <f t="shared" si="250"/>
        <v/>
      </c>
      <c r="L324" s="259" t="str">
        <f t="shared" si="251"/>
        <v/>
      </c>
      <c r="M324" s="259" t="str">
        <f t="shared" si="274"/>
        <v/>
      </c>
      <c r="N324" s="256" t="str">
        <f t="shared" si="275"/>
        <v/>
      </c>
      <c r="O324" s="259" t="str">
        <f t="shared" si="276"/>
        <v/>
      </c>
      <c r="P324" s="259" t="str">
        <f t="shared" si="277"/>
        <v/>
      </c>
      <c r="Q324" s="256" t="str">
        <f t="shared" si="278"/>
        <v/>
      </c>
      <c r="R324" s="259" t="str">
        <f t="shared" si="279"/>
        <v/>
      </c>
      <c r="S324" s="259" t="str">
        <f t="shared" si="280"/>
        <v/>
      </c>
      <c r="T324" s="256" t="str">
        <f t="shared" si="281"/>
        <v/>
      </c>
      <c r="U324" s="217"/>
      <c r="V324" s="217"/>
      <c r="AB324" s="217" t="e">
        <f>VLOOKUP($B$6,Lookup_Source,317,0)</f>
        <v>#N/A</v>
      </c>
      <c r="AC324" s="241" t="str">
        <f t="shared" si="282"/>
        <v/>
      </c>
      <c r="AD324" s="242">
        <f t="shared" si="283"/>
        <v>7</v>
      </c>
      <c r="AE324" s="261" t="e">
        <f t="shared" si="252"/>
        <v>#N/A</v>
      </c>
      <c r="AF324" s="264" t="e">
        <f t="shared" si="284"/>
        <v>#N/A</v>
      </c>
      <c r="AG324" s="264" t="e">
        <f t="shared" si="285"/>
        <v>#N/A</v>
      </c>
      <c r="AH324" s="263" t="e">
        <f t="shared" si="253"/>
        <v>#N/A</v>
      </c>
      <c r="AI324" s="226">
        <f t="shared" si="286"/>
        <v>7</v>
      </c>
      <c r="AJ324" s="264" t="e">
        <f t="shared" si="254"/>
        <v>#N/A</v>
      </c>
      <c r="AK324" s="264" t="e">
        <f t="shared" si="287"/>
        <v>#N/A</v>
      </c>
      <c r="AL324" s="226" t="e">
        <f t="shared" si="255"/>
        <v>#N/A</v>
      </c>
      <c r="AM324" s="265" t="e">
        <f t="shared" si="288"/>
        <v>#N/A</v>
      </c>
      <c r="AN324" s="266" t="e">
        <f t="shared" si="256"/>
        <v>#N/A</v>
      </c>
      <c r="AO324" s="227" t="e">
        <f t="shared" si="257"/>
        <v>#N/A</v>
      </c>
      <c r="AP324" s="284">
        <f t="shared" si="289"/>
        <v>7</v>
      </c>
      <c r="AQ324" s="285" t="e">
        <f t="shared" si="258"/>
        <v>#N/A</v>
      </c>
      <c r="AR324" s="266" t="e">
        <f t="shared" si="290"/>
        <v>#N/A</v>
      </c>
      <c r="AS324" s="270" t="e">
        <f t="shared" si="259"/>
        <v>#N/A</v>
      </c>
      <c r="AT324" s="271">
        <f t="shared" si="291"/>
        <v>7</v>
      </c>
      <c r="AU324" s="272" t="e">
        <f t="shared" si="292"/>
        <v>#N/A</v>
      </c>
      <c r="AV324" s="273" t="e">
        <f t="shared" si="293"/>
        <v>#N/A</v>
      </c>
      <c r="AW324" s="274" t="e">
        <f t="shared" si="260"/>
        <v>#N/A</v>
      </c>
      <c r="AX324" s="232">
        <f t="shared" si="294"/>
        <v>7</v>
      </c>
      <c r="AY324" s="273" t="e">
        <f t="shared" si="261"/>
        <v>#N/A</v>
      </c>
      <c r="AZ324" s="232" t="e">
        <f t="shared" si="295"/>
        <v>#N/A</v>
      </c>
      <c r="BA324" s="232" t="e">
        <f t="shared" si="262"/>
        <v>#N/A</v>
      </c>
      <c r="BB324" s="275">
        <f t="shared" si="296"/>
        <v>7</v>
      </c>
      <c r="BC324" s="276" t="e">
        <f t="shared" si="297"/>
        <v>#N/A</v>
      </c>
      <c r="BD324" s="277" t="e">
        <f t="shared" si="298"/>
        <v>#N/A</v>
      </c>
      <c r="BE324" s="250" t="e">
        <f t="shared" si="263"/>
        <v>#N/A</v>
      </c>
      <c r="BF324" s="247">
        <f t="shared" si="299"/>
        <v>7</v>
      </c>
      <c r="BG324" s="276" t="e">
        <f t="shared" si="300"/>
        <v>#N/A</v>
      </c>
      <c r="BH324" s="277" t="e">
        <f t="shared" si="301"/>
        <v>#N/A</v>
      </c>
      <c r="BI324" s="250" t="e">
        <f t="shared" si="264"/>
        <v>#N/A</v>
      </c>
      <c r="BJ324" s="251">
        <f t="shared" si="302"/>
        <v>7</v>
      </c>
      <c r="BK324" s="278" t="e">
        <f t="shared" si="303"/>
        <v>#N/A</v>
      </c>
      <c r="BL324" s="278" t="e">
        <f t="shared" si="304"/>
        <v>#N/A</v>
      </c>
      <c r="BM324" s="279" t="e">
        <f t="shared" si="265"/>
        <v>#N/A</v>
      </c>
      <c r="BN324" s="280">
        <f t="shared" si="305"/>
        <v>7</v>
      </c>
      <c r="BO324" s="281" t="e">
        <f t="shared" si="306"/>
        <v>#N/A</v>
      </c>
      <c r="BP324" s="281" t="e">
        <f t="shared" si="307"/>
        <v>#N/A</v>
      </c>
      <c r="BQ324" s="279" t="e">
        <f t="shared" si="266"/>
        <v>#N/A</v>
      </c>
      <c r="BR324" s="282" t="e">
        <f t="shared" si="267"/>
        <v>#N/A</v>
      </c>
      <c r="BS324" s="217" t="e">
        <f>VLOOKUP($B324,SDR24_STOCK_BY_LA!$A$2:$C$11878,3,0)</f>
        <v>#N/A</v>
      </c>
      <c r="BT324" s="217" t="str">
        <f t="shared" si="308"/>
        <v/>
      </c>
    </row>
    <row r="325" spans="1:72" x14ac:dyDescent="0.2">
      <c r="A325" s="256" t="str">
        <f t="shared" si="309"/>
        <v/>
      </c>
      <c r="B325" s="217" t="str">
        <f t="shared" si="310"/>
        <v/>
      </c>
      <c r="C325" s="257" t="str">
        <f t="shared" si="268"/>
        <v/>
      </c>
      <c r="D325" s="256" t="str">
        <f>IF(B325="","",IF(totals!$Q$3=0,IFERROR(IF(AD325=2,"0",AE325),""),"-"))</f>
        <v/>
      </c>
      <c r="E325" s="258" t="str">
        <f t="shared" si="269"/>
        <v/>
      </c>
      <c r="F325" s="259" t="str">
        <f t="shared" si="270"/>
        <v/>
      </c>
      <c r="G325" s="259" t="str">
        <f t="shared" si="271"/>
        <v/>
      </c>
      <c r="H325" s="256" t="str">
        <f t="shared" si="249"/>
        <v/>
      </c>
      <c r="I325" s="259" t="str">
        <f t="shared" si="272"/>
        <v/>
      </c>
      <c r="J325" s="259" t="str">
        <f t="shared" si="273"/>
        <v/>
      </c>
      <c r="K325" s="256" t="str">
        <f t="shared" si="250"/>
        <v/>
      </c>
      <c r="L325" s="259" t="str">
        <f t="shared" si="251"/>
        <v/>
      </c>
      <c r="M325" s="259" t="str">
        <f t="shared" si="274"/>
        <v/>
      </c>
      <c r="N325" s="256" t="str">
        <f t="shared" si="275"/>
        <v/>
      </c>
      <c r="O325" s="259" t="str">
        <f t="shared" si="276"/>
        <v/>
      </c>
      <c r="P325" s="259" t="str">
        <f t="shared" si="277"/>
        <v/>
      </c>
      <c r="Q325" s="256" t="str">
        <f t="shared" si="278"/>
        <v/>
      </c>
      <c r="R325" s="259" t="str">
        <f t="shared" si="279"/>
        <v/>
      </c>
      <c r="S325" s="259" t="str">
        <f t="shared" si="280"/>
        <v/>
      </c>
      <c r="T325" s="256" t="str">
        <f t="shared" si="281"/>
        <v/>
      </c>
      <c r="U325" s="217"/>
      <c r="V325" s="217"/>
      <c r="AB325" s="257" t="e">
        <f>VLOOKUP($B$6,Lookup_Source,318,0)</f>
        <v>#N/A</v>
      </c>
      <c r="AC325" s="241" t="str">
        <f t="shared" si="282"/>
        <v/>
      </c>
      <c r="AD325" s="242">
        <f t="shared" si="283"/>
        <v>7</v>
      </c>
      <c r="AE325" s="261" t="e">
        <f t="shared" si="252"/>
        <v>#N/A</v>
      </c>
      <c r="AF325" s="264" t="e">
        <f t="shared" si="284"/>
        <v>#N/A</v>
      </c>
      <c r="AG325" s="264" t="e">
        <f t="shared" si="285"/>
        <v>#N/A</v>
      </c>
      <c r="AH325" s="263" t="e">
        <f t="shared" si="253"/>
        <v>#N/A</v>
      </c>
      <c r="AI325" s="226">
        <f t="shared" si="286"/>
        <v>7</v>
      </c>
      <c r="AJ325" s="264" t="e">
        <f t="shared" si="254"/>
        <v>#N/A</v>
      </c>
      <c r="AK325" s="264" t="e">
        <f t="shared" si="287"/>
        <v>#N/A</v>
      </c>
      <c r="AL325" s="226" t="e">
        <f t="shared" si="255"/>
        <v>#N/A</v>
      </c>
      <c r="AM325" s="265" t="e">
        <f t="shared" si="288"/>
        <v>#N/A</v>
      </c>
      <c r="AN325" s="266" t="e">
        <f t="shared" si="256"/>
        <v>#N/A</v>
      </c>
      <c r="AO325" s="227" t="e">
        <f t="shared" si="257"/>
        <v>#N/A</v>
      </c>
      <c r="AP325" s="284">
        <f t="shared" si="289"/>
        <v>7</v>
      </c>
      <c r="AQ325" s="285" t="e">
        <f t="shared" si="258"/>
        <v>#N/A</v>
      </c>
      <c r="AR325" s="266" t="e">
        <f t="shared" si="290"/>
        <v>#N/A</v>
      </c>
      <c r="AS325" s="270" t="e">
        <f t="shared" si="259"/>
        <v>#N/A</v>
      </c>
      <c r="AT325" s="271">
        <f t="shared" si="291"/>
        <v>7</v>
      </c>
      <c r="AU325" s="272" t="e">
        <f t="shared" si="292"/>
        <v>#N/A</v>
      </c>
      <c r="AV325" s="273" t="e">
        <f t="shared" si="293"/>
        <v>#N/A</v>
      </c>
      <c r="AW325" s="274" t="e">
        <f t="shared" si="260"/>
        <v>#N/A</v>
      </c>
      <c r="AX325" s="232">
        <f t="shared" si="294"/>
        <v>7</v>
      </c>
      <c r="AY325" s="273" t="e">
        <f t="shared" si="261"/>
        <v>#N/A</v>
      </c>
      <c r="AZ325" s="232" t="e">
        <f t="shared" si="295"/>
        <v>#N/A</v>
      </c>
      <c r="BA325" s="232" t="e">
        <f t="shared" si="262"/>
        <v>#N/A</v>
      </c>
      <c r="BB325" s="275">
        <f t="shared" si="296"/>
        <v>7</v>
      </c>
      <c r="BC325" s="276" t="e">
        <f t="shared" si="297"/>
        <v>#N/A</v>
      </c>
      <c r="BD325" s="277" t="e">
        <f t="shared" si="298"/>
        <v>#N/A</v>
      </c>
      <c r="BE325" s="250" t="e">
        <f t="shared" si="263"/>
        <v>#N/A</v>
      </c>
      <c r="BF325" s="247">
        <f t="shared" si="299"/>
        <v>7</v>
      </c>
      <c r="BG325" s="276" t="e">
        <f t="shared" si="300"/>
        <v>#N/A</v>
      </c>
      <c r="BH325" s="277" t="e">
        <f t="shared" si="301"/>
        <v>#N/A</v>
      </c>
      <c r="BI325" s="250" t="e">
        <f t="shared" si="264"/>
        <v>#N/A</v>
      </c>
      <c r="BJ325" s="251">
        <f t="shared" si="302"/>
        <v>7</v>
      </c>
      <c r="BK325" s="278" t="e">
        <f t="shared" si="303"/>
        <v>#N/A</v>
      </c>
      <c r="BL325" s="278" t="e">
        <f t="shared" si="304"/>
        <v>#N/A</v>
      </c>
      <c r="BM325" s="279" t="e">
        <f t="shared" si="265"/>
        <v>#N/A</v>
      </c>
      <c r="BN325" s="280">
        <f t="shared" si="305"/>
        <v>7</v>
      </c>
      <c r="BO325" s="281" t="e">
        <f t="shared" si="306"/>
        <v>#N/A</v>
      </c>
      <c r="BP325" s="281" t="e">
        <f t="shared" si="307"/>
        <v>#N/A</v>
      </c>
      <c r="BQ325" s="279" t="e">
        <f t="shared" si="266"/>
        <v>#N/A</v>
      </c>
      <c r="BR325" s="282" t="e">
        <f t="shared" si="267"/>
        <v>#N/A</v>
      </c>
      <c r="BS325" s="217" t="e">
        <f>VLOOKUP($B325,SDR24_STOCK_BY_LA!$A$2:$C$11878,3,0)</f>
        <v>#N/A</v>
      </c>
      <c r="BT325" s="217" t="str">
        <f t="shared" si="308"/>
        <v/>
      </c>
    </row>
    <row r="326" spans="1:72" x14ac:dyDescent="0.2">
      <c r="A326" s="217" t="str">
        <f t="shared" si="309"/>
        <v/>
      </c>
      <c r="B326" s="217" t="str">
        <f t="shared" si="310"/>
        <v/>
      </c>
      <c r="C326" s="283" t="str">
        <f t="shared" si="268"/>
        <v/>
      </c>
      <c r="D326" s="256" t="str">
        <f>IF(B326="","",IF(totals!$Q$3=0,IFERROR(IF(AD326=2,"0",AE326),""),"-"))</f>
        <v/>
      </c>
      <c r="E326" s="258" t="str">
        <f t="shared" si="269"/>
        <v/>
      </c>
      <c r="F326" s="259" t="str">
        <f t="shared" si="270"/>
        <v/>
      </c>
      <c r="G326" s="259" t="str">
        <f t="shared" si="271"/>
        <v/>
      </c>
      <c r="H326" s="256" t="str">
        <f t="shared" si="249"/>
        <v/>
      </c>
      <c r="I326" s="259" t="str">
        <f t="shared" si="272"/>
        <v/>
      </c>
      <c r="J326" s="259" t="str">
        <f t="shared" si="273"/>
        <v/>
      </c>
      <c r="K326" s="256" t="str">
        <f t="shared" si="250"/>
        <v/>
      </c>
      <c r="L326" s="259" t="str">
        <f t="shared" si="251"/>
        <v/>
      </c>
      <c r="M326" s="259" t="str">
        <f t="shared" si="274"/>
        <v/>
      </c>
      <c r="N326" s="256" t="str">
        <f t="shared" si="275"/>
        <v/>
      </c>
      <c r="O326" s="259" t="str">
        <f t="shared" si="276"/>
        <v/>
      </c>
      <c r="P326" s="259" t="str">
        <f t="shared" si="277"/>
        <v/>
      </c>
      <c r="Q326" s="256" t="str">
        <f t="shared" si="278"/>
        <v/>
      </c>
      <c r="R326" s="259" t="str">
        <f t="shared" si="279"/>
        <v/>
      </c>
      <c r="S326" s="259" t="str">
        <f t="shared" si="280"/>
        <v/>
      </c>
      <c r="T326" s="256" t="str">
        <f t="shared" si="281"/>
        <v/>
      </c>
      <c r="U326" s="217"/>
      <c r="V326" s="217"/>
      <c r="AB326" s="217" t="e">
        <f>VLOOKUP($B$6,Lookup_Source,319,0)</f>
        <v>#N/A</v>
      </c>
      <c r="AC326" s="241" t="str">
        <f t="shared" si="282"/>
        <v/>
      </c>
      <c r="AD326" s="242">
        <f t="shared" si="283"/>
        <v>7</v>
      </c>
      <c r="AE326" s="261" t="e">
        <f t="shared" si="252"/>
        <v>#N/A</v>
      </c>
      <c r="AF326" s="264" t="e">
        <f t="shared" si="284"/>
        <v>#N/A</v>
      </c>
      <c r="AG326" s="264" t="e">
        <f t="shared" si="285"/>
        <v>#N/A</v>
      </c>
      <c r="AH326" s="263" t="e">
        <f t="shared" si="253"/>
        <v>#N/A</v>
      </c>
      <c r="AI326" s="226">
        <f t="shared" si="286"/>
        <v>7</v>
      </c>
      <c r="AJ326" s="264" t="e">
        <f t="shared" si="254"/>
        <v>#N/A</v>
      </c>
      <c r="AK326" s="264" t="e">
        <f t="shared" si="287"/>
        <v>#N/A</v>
      </c>
      <c r="AL326" s="226" t="e">
        <f t="shared" si="255"/>
        <v>#N/A</v>
      </c>
      <c r="AM326" s="265" t="e">
        <f t="shared" si="288"/>
        <v>#N/A</v>
      </c>
      <c r="AN326" s="266" t="e">
        <f t="shared" si="256"/>
        <v>#N/A</v>
      </c>
      <c r="AO326" s="227" t="e">
        <f t="shared" si="257"/>
        <v>#N/A</v>
      </c>
      <c r="AP326" s="284">
        <f t="shared" si="289"/>
        <v>7</v>
      </c>
      <c r="AQ326" s="285" t="e">
        <f t="shared" si="258"/>
        <v>#N/A</v>
      </c>
      <c r="AR326" s="266" t="e">
        <f t="shared" si="290"/>
        <v>#N/A</v>
      </c>
      <c r="AS326" s="270" t="e">
        <f t="shared" si="259"/>
        <v>#N/A</v>
      </c>
      <c r="AT326" s="271">
        <f t="shared" si="291"/>
        <v>7</v>
      </c>
      <c r="AU326" s="272" t="e">
        <f t="shared" si="292"/>
        <v>#N/A</v>
      </c>
      <c r="AV326" s="273" t="e">
        <f t="shared" si="293"/>
        <v>#N/A</v>
      </c>
      <c r="AW326" s="274" t="e">
        <f t="shared" si="260"/>
        <v>#N/A</v>
      </c>
      <c r="AX326" s="232">
        <f t="shared" si="294"/>
        <v>7</v>
      </c>
      <c r="AY326" s="273" t="e">
        <f t="shared" si="261"/>
        <v>#N/A</v>
      </c>
      <c r="AZ326" s="232" t="e">
        <f t="shared" si="295"/>
        <v>#N/A</v>
      </c>
      <c r="BA326" s="232" t="e">
        <f t="shared" si="262"/>
        <v>#N/A</v>
      </c>
      <c r="BB326" s="275">
        <f t="shared" si="296"/>
        <v>7</v>
      </c>
      <c r="BC326" s="276" t="e">
        <f t="shared" si="297"/>
        <v>#N/A</v>
      </c>
      <c r="BD326" s="277" t="e">
        <f t="shared" si="298"/>
        <v>#N/A</v>
      </c>
      <c r="BE326" s="250" t="e">
        <f t="shared" si="263"/>
        <v>#N/A</v>
      </c>
      <c r="BF326" s="247">
        <f t="shared" si="299"/>
        <v>7</v>
      </c>
      <c r="BG326" s="276" t="e">
        <f t="shared" si="300"/>
        <v>#N/A</v>
      </c>
      <c r="BH326" s="277" t="e">
        <f t="shared" si="301"/>
        <v>#N/A</v>
      </c>
      <c r="BI326" s="250" t="e">
        <f t="shared" si="264"/>
        <v>#N/A</v>
      </c>
      <c r="BJ326" s="251">
        <f t="shared" si="302"/>
        <v>7</v>
      </c>
      <c r="BK326" s="278" t="e">
        <f t="shared" si="303"/>
        <v>#N/A</v>
      </c>
      <c r="BL326" s="278" t="e">
        <f t="shared" si="304"/>
        <v>#N/A</v>
      </c>
      <c r="BM326" s="279" t="e">
        <f t="shared" si="265"/>
        <v>#N/A</v>
      </c>
      <c r="BN326" s="280">
        <f t="shared" si="305"/>
        <v>7</v>
      </c>
      <c r="BO326" s="281" t="e">
        <f t="shared" si="306"/>
        <v>#N/A</v>
      </c>
      <c r="BP326" s="281" t="e">
        <f t="shared" si="307"/>
        <v>#N/A</v>
      </c>
      <c r="BQ326" s="279" t="e">
        <f t="shared" si="266"/>
        <v>#N/A</v>
      </c>
      <c r="BR326" s="282" t="e">
        <f t="shared" si="267"/>
        <v>#N/A</v>
      </c>
      <c r="BS326" s="217" t="e">
        <f>VLOOKUP($B326,SDR24_STOCK_BY_LA!$A$2:$C$11878,3,0)</f>
        <v>#N/A</v>
      </c>
      <c r="BT326" s="217" t="str">
        <f t="shared" si="308"/>
        <v/>
      </c>
    </row>
    <row r="327" spans="1:72" x14ac:dyDescent="0.2">
      <c r="A327" s="256" t="str">
        <f t="shared" si="309"/>
        <v/>
      </c>
      <c r="B327" s="217" t="str">
        <f t="shared" si="310"/>
        <v/>
      </c>
      <c r="C327" s="257" t="str">
        <f t="shared" si="268"/>
        <v/>
      </c>
      <c r="D327" s="256" t="str">
        <f>IF(B327="","",IF(totals!$Q$3=0,IFERROR(IF(AD327=2,"0",AE327),""),"-"))</f>
        <v/>
      </c>
      <c r="E327" s="258" t="str">
        <f t="shared" si="269"/>
        <v/>
      </c>
      <c r="F327" s="259" t="str">
        <f t="shared" si="270"/>
        <v/>
      </c>
      <c r="G327" s="259" t="str">
        <f t="shared" si="271"/>
        <v/>
      </c>
      <c r="H327" s="256" t="str">
        <f t="shared" si="249"/>
        <v/>
      </c>
      <c r="I327" s="259" t="str">
        <f t="shared" si="272"/>
        <v/>
      </c>
      <c r="J327" s="259" t="str">
        <f t="shared" si="273"/>
        <v/>
      </c>
      <c r="K327" s="256" t="str">
        <f t="shared" si="250"/>
        <v/>
      </c>
      <c r="L327" s="259" t="str">
        <f t="shared" si="251"/>
        <v/>
      </c>
      <c r="M327" s="259" t="str">
        <f t="shared" si="274"/>
        <v/>
      </c>
      <c r="N327" s="256" t="str">
        <f t="shared" si="275"/>
        <v/>
      </c>
      <c r="O327" s="259" t="str">
        <f t="shared" si="276"/>
        <v/>
      </c>
      <c r="P327" s="259" t="str">
        <f t="shared" si="277"/>
        <v/>
      </c>
      <c r="Q327" s="256" t="str">
        <f t="shared" si="278"/>
        <v/>
      </c>
      <c r="R327" s="259" t="str">
        <f t="shared" si="279"/>
        <v/>
      </c>
      <c r="S327" s="259" t="str">
        <f t="shared" si="280"/>
        <v/>
      </c>
      <c r="T327" s="256" t="str">
        <f t="shared" si="281"/>
        <v/>
      </c>
      <c r="U327" s="217"/>
      <c r="V327" s="217"/>
      <c r="AB327" s="257" t="e">
        <f>VLOOKUP($B$6,Lookup_Source,320,0)</f>
        <v>#N/A</v>
      </c>
      <c r="AC327" s="241" t="str">
        <f t="shared" si="282"/>
        <v/>
      </c>
      <c r="AD327" s="242">
        <f t="shared" si="283"/>
        <v>7</v>
      </c>
      <c r="AE327" s="261" t="e">
        <f t="shared" si="252"/>
        <v>#N/A</v>
      </c>
      <c r="AF327" s="264" t="e">
        <f t="shared" si="284"/>
        <v>#N/A</v>
      </c>
      <c r="AG327" s="264" t="e">
        <f t="shared" si="285"/>
        <v>#N/A</v>
      </c>
      <c r="AH327" s="263" t="e">
        <f t="shared" si="253"/>
        <v>#N/A</v>
      </c>
      <c r="AI327" s="226">
        <f t="shared" si="286"/>
        <v>7</v>
      </c>
      <c r="AJ327" s="264" t="e">
        <f t="shared" si="254"/>
        <v>#N/A</v>
      </c>
      <c r="AK327" s="264" t="e">
        <f t="shared" si="287"/>
        <v>#N/A</v>
      </c>
      <c r="AL327" s="226" t="e">
        <f t="shared" si="255"/>
        <v>#N/A</v>
      </c>
      <c r="AM327" s="265" t="e">
        <f t="shared" si="288"/>
        <v>#N/A</v>
      </c>
      <c r="AN327" s="266" t="e">
        <f t="shared" si="256"/>
        <v>#N/A</v>
      </c>
      <c r="AO327" s="227" t="e">
        <f t="shared" si="257"/>
        <v>#N/A</v>
      </c>
      <c r="AP327" s="284">
        <f t="shared" si="289"/>
        <v>7</v>
      </c>
      <c r="AQ327" s="285" t="e">
        <f t="shared" si="258"/>
        <v>#N/A</v>
      </c>
      <c r="AR327" s="266" t="e">
        <f t="shared" si="290"/>
        <v>#N/A</v>
      </c>
      <c r="AS327" s="270" t="e">
        <f t="shared" si="259"/>
        <v>#N/A</v>
      </c>
      <c r="AT327" s="271">
        <f t="shared" si="291"/>
        <v>7</v>
      </c>
      <c r="AU327" s="272" t="e">
        <f t="shared" si="292"/>
        <v>#N/A</v>
      </c>
      <c r="AV327" s="273" t="e">
        <f t="shared" si="293"/>
        <v>#N/A</v>
      </c>
      <c r="AW327" s="274" t="e">
        <f t="shared" si="260"/>
        <v>#N/A</v>
      </c>
      <c r="AX327" s="232">
        <f t="shared" si="294"/>
        <v>7</v>
      </c>
      <c r="AY327" s="273" t="e">
        <f t="shared" si="261"/>
        <v>#N/A</v>
      </c>
      <c r="AZ327" s="232" t="e">
        <f t="shared" si="295"/>
        <v>#N/A</v>
      </c>
      <c r="BA327" s="232" t="e">
        <f t="shared" si="262"/>
        <v>#N/A</v>
      </c>
      <c r="BB327" s="275">
        <f t="shared" si="296"/>
        <v>7</v>
      </c>
      <c r="BC327" s="276" t="e">
        <f t="shared" si="297"/>
        <v>#N/A</v>
      </c>
      <c r="BD327" s="277" t="e">
        <f t="shared" si="298"/>
        <v>#N/A</v>
      </c>
      <c r="BE327" s="250" t="e">
        <f t="shared" si="263"/>
        <v>#N/A</v>
      </c>
      <c r="BF327" s="247">
        <f t="shared" si="299"/>
        <v>7</v>
      </c>
      <c r="BG327" s="276" t="e">
        <f t="shared" si="300"/>
        <v>#N/A</v>
      </c>
      <c r="BH327" s="277" t="e">
        <f t="shared" si="301"/>
        <v>#N/A</v>
      </c>
      <c r="BI327" s="250" t="e">
        <f t="shared" si="264"/>
        <v>#N/A</v>
      </c>
      <c r="BJ327" s="251">
        <f t="shared" si="302"/>
        <v>7</v>
      </c>
      <c r="BK327" s="278" t="e">
        <f t="shared" si="303"/>
        <v>#N/A</v>
      </c>
      <c r="BL327" s="278" t="e">
        <f t="shared" si="304"/>
        <v>#N/A</v>
      </c>
      <c r="BM327" s="279" t="e">
        <f t="shared" si="265"/>
        <v>#N/A</v>
      </c>
      <c r="BN327" s="280">
        <f t="shared" si="305"/>
        <v>7</v>
      </c>
      <c r="BO327" s="281" t="e">
        <f t="shared" si="306"/>
        <v>#N/A</v>
      </c>
      <c r="BP327" s="281" t="e">
        <f t="shared" si="307"/>
        <v>#N/A</v>
      </c>
      <c r="BQ327" s="279" t="e">
        <f t="shared" si="266"/>
        <v>#N/A</v>
      </c>
      <c r="BR327" s="282" t="e">
        <f t="shared" si="267"/>
        <v>#N/A</v>
      </c>
      <c r="BS327" s="217" t="e">
        <f>VLOOKUP($B327,SDR24_STOCK_BY_LA!$A$2:$C$11878,3,0)</f>
        <v>#N/A</v>
      </c>
      <c r="BT327" s="217" t="str">
        <f t="shared" si="308"/>
        <v/>
      </c>
    </row>
    <row r="328" spans="1:72" x14ac:dyDescent="0.2">
      <c r="A328" s="217" t="str">
        <f t="shared" si="309"/>
        <v/>
      </c>
      <c r="B328" s="217" t="str">
        <f t="shared" si="310"/>
        <v/>
      </c>
      <c r="C328" s="283" t="str">
        <f t="shared" si="268"/>
        <v/>
      </c>
      <c r="D328" s="256" t="str">
        <f>IF(B328="","",IF(totals!$Q$3=0,IFERROR(IF(AD328=2,"0",AE328),""),"-"))</f>
        <v/>
      </c>
      <c r="E328" s="258" t="str">
        <f t="shared" si="269"/>
        <v/>
      </c>
      <c r="F328" s="259" t="str">
        <f t="shared" si="270"/>
        <v/>
      </c>
      <c r="G328" s="259" t="str">
        <f t="shared" si="271"/>
        <v/>
      </c>
      <c r="H328" s="256" t="str">
        <f t="shared" si="249"/>
        <v/>
      </c>
      <c r="I328" s="259" t="str">
        <f t="shared" si="272"/>
        <v/>
      </c>
      <c r="J328" s="259" t="str">
        <f t="shared" si="273"/>
        <v/>
      </c>
      <c r="K328" s="256" t="str">
        <f t="shared" si="250"/>
        <v/>
      </c>
      <c r="L328" s="259" t="str">
        <f t="shared" si="251"/>
        <v/>
      </c>
      <c r="M328" s="259" t="str">
        <f t="shared" si="274"/>
        <v/>
      </c>
      <c r="N328" s="256" t="str">
        <f t="shared" si="275"/>
        <v/>
      </c>
      <c r="O328" s="259" t="str">
        <f t="shared" si="276"/>
        <v/>
      </c>
      <c r="P328" s="259" t="str">
        <f t="shared" si="277"/>
        <v/>
      </c>
      <c r="Q328" s="256" t="str">
        <f t="shared" si="278"/>
        <v/>
      </c>
      <c r="R328" s="259" t="str">
        <f t="shared" si="279"/>
        <v/>
      </c>
      <c r="S328" s="259" t="str">
        <f t="shared" si="280"/>
        <v/>
      </c>
      <c r="T328" s="256" t="str">
        <f t="shared" si="281"/>
        <v/>
      </c>
      <c r="U328" s="217"/>
      <c r="V328" s="217"/>
      <c r="AB328" s="217" t="e">
        <f>VLOOKUP($B$6,Lookup_Source,321,0)</f>
        <v>#N/A</v>
      </c>
      <c r="AC328" s="241" t="str">
        <f t="shared" si="282"/>
        <v/>
      </c>
      <c r="AD328" s="242">
        <f t="shared" si="283"/>
        <v>7</v>
      </c>
      <c r="AE328" s="261" t="e">
        <f t="shared" si="252"/>
        <v>#N/A</v>
      </c>
      <c r="AF328" s="264" t="e">
        <f t="shared" si="284"/>
        <v>#N/A</v>
      </c>
      <c r="AG328" s="264" t="e">
        <f t="shared" si="285"/>
        <v>#N/A</v>
      </c>
      <c r="AH328" s="263" t="e">
        <f t="shared" si="253"/>
        <v>#N/A</v>
      </c>
      <c r="AI328" s="226">
        <f t="shared" si="286"/>
        <v>7</v>
      </c>
      <c r="AJ328" s="264" t="e">
        <f t="shared" si="254"/>
        <v>#N/A</v>
      </c>
      <c r="AK328" s="264" t="e">
        <f t="shared" si="287"/>
        <v>#N/A</v>
      </c>
      <c r="AL328" s="226" t="e">
        <f t="shared" si="255"/>
        <v>#N/A</v>
      </c>
      <c r="AM328" s="265" t="e">
        <f t="shared" si="288"/>
        <v>#N/A</v>
      </c>
      <c r="AN328" s="266" t="e">
        <f t="shared" si="256"/>
        <v>#N/A</v>
      </c>
      <c r="AO328" s="227" t="e">
        <f t="shared" si="257"/>
        <v>#N/A</v>
      </c>
      <c r="AP328" s="284">
        <f t="shared" si="289"/>
        <v>7</v>
      </c>
      <c r="AQ328" s="285" t="e">
        <f t="shared" si="258"/>
        <v>#N/A</v>
      </c>
      <c r="AR328" s="266" t="e">
        <f t="shared" si="290"/>
        <v>#N/A</v>
      </c>
      <c r="AS328" s="270" t="e">
        <f t="shared" si="259"/>
        <v>#N/A</v>
      </c>
      <c r="AT328" s="271">
        <f t="shared" si="291"/>
        <v>7</v>
      </c>
      <c r="AU328" s="272" t="e">
        <f t="shared" si="292"/>
        <v>#N/A</v>
      </c>
      <c r="AV328" s="273" t="e">
        <f t="shared" si="293"/>
        <v>#N/A</v>
      </c>
      <c r="AW328" s="274" t="e">
        <f t="shared" si="260"/>
        <v>#N/A</v>
      </c>
      <c r="AX328" s="232">
        <f t="shared" si="294"/>
        <v>7</v>
      </c>
      <c r="AY328" s="273" t="e">
        <f t="shared" si="261"/>
        <v>#N/A</v>
      </c>
      <c r="AZ328" s="232" t="e">
        <f t="shared" si="295"/>
        <v>#N/A</v>
      </c>
      <c r="BA328" s="232" t="e">
        <f t="shared" si="262"/>
        <v>#N/A</v>
      </c>
      <c r="BB328" s="275">
        <f t="shared" si="296"/>
        <v>7</v>
      </c>
      <c r="BC328" s="276" t="e">
        <f t="shared" si="297"/>
        <v>#N/A</v>
      </c>
      <c r="BD328" s="277" t="e">
        <f t="shared" si="298"/>
        <v>#N/A</v>
      </c>
      <c r="BE328" s="250" t="e">
        <f t="shared" si="263"/>
        <v>#N/A</v>
      </c>
      <c r="BF328" s="247">
        <f t="shared" si="299"/>
        <v>7</v>
      </c>
      <c r="BG328" s="276" t="e">
        <f t="shared" si="300"/>
        <v>#N/A</v>
      </c>
      <c r="BH328" s="277" t="e">
        <f t="shared" si="301"/>
        <v>#N/A</v>
      </c>
      <c r="BI328" s="250" t="e">
        <f t="shared" si="264"/>
        <v>#N/A</v>
      </c>
      <c r="BJ328" s="251">
        <f t="shared" si="302"/>
        <v>7</v>
      </c>
      <c r="BK328" s="278" t="e">
        <f t="shared" si="303"/>
        <v>#N/A</v>
      </c>
      <c r="BL328" s="278" t="e">
        <f t="shared" si="304"/>
        <v>#N/A</v>
      </c>
      <c r="BM328" s="279" t="e">
        <f t="shared" si="265"/>
        <v>#N/A</v>
      </c>
      <c r="BN328" s="280">
        <f t="shared" si="305"/>
        <v>7</v>
      </c>
      <c r="BO328" s="281" t="e">
        <f t="shared" si="306"/>
        <v>#N/A</v>
      </c>
      <c r="BP328" s="281" t="e">
        <f t="shared" si="307"/>
        <v>#N/A</v>
      </c>
      <c r="BQ328" s="279" t="e">
        <f t="shared" si="266"/>
        <v>#N/A</v>
      </c>
      <c r="BR328" s="282" t="e">
        <f t="shared" si="267"/>
        <v>#N/A</v>
      </c>
      <c r="BS328" s="217" t="e">
        <f>VLOOKUP($B328,SDR24_STOCK_BY_LA!$A$2:$C$11878,3,0)</f>
        <v>#N/A</v>
      </c>
      <c r="BT328" s="217" t="str">
        <f t="shared" si="308"/>
        <v/>
      </c>
    </row>
    <row r="329" spans="1:72" x14ac:dyDescent="0.2">
      <c r="A329" s="256" t="str">
        <f t="shared" si="309"/>
        <v/>
      </c>
      <c r="B329" s="217" t="str">
        <f t="shared" si="310"/>
        <v/>
      </c>
      <c r="C329" s="257" t="str">
        <f t="shared" si="268"/>
        <v/>
      </c>
      <c r="D329" s="256" t="str">
        <f>IF(B329="","",IF(totals!$Q$3=0,IFERROR(IF(AD329=2,"0",AE329),""),"-"))</f>
        <v/>
      </c>
      <c r="E329" s="258" t="str">
        <f t="shared" si="269"/>
        <v/>
      </c>
      <c r="F329" s="259" t="str">
        <f t="shared" si="270"/>
        <v/>
      </c>
      <c r="G329" s="259" t="str">
        <f t="shared" si="271"/>
        <v/>
      </c>
      <c r="H329" s="256" t="str">
        <f t="shared" ref="H329:H392" si="311">IFERROR(AO329,"")</f>
        <v/>
      </c>
      <c r="I329" s="259" t="str">
        <f t="shared" si="272"/>
        <v/>
      </c>
      <c r="J329" s="259" t="str">
        <f t="shared" si="273"/>
        <v/>
      </c>
      <c r="K329" s="256" t="str">
        <f t="shared" ref="K329:K392" si="312">IFERROR(AW329,"")</f>
        <v/>
      </c>
      <c r="L329" s="259" t="str">
        <f t="shared" ref="L329:L392" si="313">IFERROR(IF(AT329=2,"-",AU329),"")</f>
        <v/>
      </c>
      <c r="M329" s="259" t="str">
        <f t="shared" si="274"/>
        <v/>
      </c>
      <c r="N329" s="256" t="str">
        <f t="shared" si="275"/>
        <v/>
      </c>
      <c r="O329" s="259" t="str">
        <f t="shared" si="276"/>
        <v/>
      </c>
      <c r="P329" s="259" t="str">
        <f t="shared" si="277"/>
        <v/>
      </c>
      <c r="Q329" s="256" t="str">
        <f t="shared" si="278"/>
        <v/>
      </c>
      <c r="R329" s="259" t="str">
        <f t="shared" si="279"/>
        <v/>
      </c>
      <c r="S329" s="259" t="str">
        <f t="shared" si="280"/>
        <v/>
      </c>
      <c r="T329" s="256" t="str">
        <f t="shared" si="281"/>
        <v/>
      </c>
      <c r="U329" s="217"/>
      <c r="V329" s="217"/>
      <c r="AB329" s="257" t="e">
        <f>VLOOKUP($B$6,Lookup_Source,322,0)</f>
        <v>#N/A</v>
      </c>
      <c r="AC329" s="241" t="str">
        <f t="shared" si="282"/>
        <v/>
      </c>
      <c r="AD329" s="242">
        <f t="shared" si="283"/>
        <v>7</v>
      </c>
      <c r="AE329" s="261" t="e">
        <f t="shared" ref="AE329:AE392" si="314">SUM(VLOOKUP($B329,Totals,8,0)-1)</f>
        <v>#N/A</v>
      </c>
      <c r="AF329" s="264" t="e">
        <f t="shared" si="284"/>
        <v>#N/A</v>
      </c>
      <c r="AG329" s="264" t="e">
        <f t="shared" si="285"/>
        <v>#N/A</v>
      </c>
      <c r="AH329" s="263" t="e">
        <f t="shared" ref="AH329:AH392" si="315">VLOOKUP($BT329,Stock_By_LA,2,0)</f>
        <v>#N/A</v>
      </c>
      <c r="AI329" s="226">
        <f t="shared" si="286"/>
        <v>7</v>
      </c>
      <c r="AJ329" s="264" t="e">
        <f t="shared" ref="AJ329:AJ392" si="316">IF(AK329&gt;0,AK329,"-")</f>
        <v>#N/A</v>
      </c>
      <c r="AK329" s="264" t="e">
        <f t="shared" si="287"/>
        <v>#N/A</v>
      </c>
      <c r="AL329" s="226" t="e">
        <f t="shared" ref="AL329:AL392" si="317">VLOOKUP($B329,Totals,7,0)</f>
        <v>#N/A</v>
      </c>
      <c r="AM329" s="265" t="e">
        <f t="shared" si="288"/>
        <v>#N/A</v>
      </c>
      <c r="AN329" s="266" t="e">
        <f t="shared" ref="AN329:AN392" si="318">$AO329/$AO$8</f>
        <v>#N/A</v>
      </c>
      <c r="AO329" s="227" t="e">
        <f t="shared" ref="AO329:AO392" si="319">VLOOKUP($BT329,Stock_By_LA,3,0)</f>
        <v>#N/A</v>
      </c>
      <c r="AP329" s="284">
        <f t="shared" si="289"/>
        <v>7</v>
      </c>
      <c r="AQ329" s="285" t="e">
        <f t="shared" ref="AQ329:AQ392" si="320">IF(AR329&gt;0,AR329,"-")</f>
        <v>#N/A</v>
      </c>
      <c r="AR329" s="266" t="e">
        <f t="shared" si="290"/>
        <v>#N/A</v>
      </c>
      <c r="AS329" s="270" t="e">
        <f t="shared" ref="AS329:AS392" si="321">VLOOKUP($B329,Totals,2,0)</f>
        <v>#N/A</v>
      </c>
      <c r="AT329" s="271">
        <f t="shared" si="291"/>
        <v>7</v>
      </c>
      <c r="AU329" s="272" t="e">
        <f t="shared" si="292"/>
        <v>#N/A</v>
      </c>
      <c r="AV329" s="273" t="e">
        <f t="shared" si="293"/>
        <v>#N/A</v>
      </c>
      <c r="AW329" s="274" t="e">
        <f t="shared" ref="AW329:AW392" si="322">VLOOKUP($BT329,Stock_By_LA,4,0)</f>
        <v>#N/A</v>
      </c>
      <c r="AX329" s="232">
        <f t="shared" si="294"/>
        <v>7</v>
      </c>
      <c r="AY329" s="273" t="e">
        <f t="shared" ref="AY329:AY392" si="323">IF(AZ329&gt;0,AZ329,"-")</f>
        <v>#N/A</v>
      </c>
      <c r="AZ329" s="232" t="e">
        <f t="shared" si="295"/>
        <v>#N/A</v>
      </c>
      <c r="BA329" s="232" t="e">
        <f t="shared" ref="BA329:BA392" si="324">VLOOKUP($B329,Totals,3,0)</f>
        <v>#N/A</v>
      </c>
      <c r="BB329" s="275">
        <f t="shared" si="296"/>
        <v>7</v>
      </c>
      <c r="BC329" s="276" t="e">
        <f t="shared" si="297"/>
        <v>#N/A</v>
      </c>
      <c r="BD329" s="277" t="e">
        <f t="shared" si="298"/>
        <v>#N/A</v>
      </c>
      <c r="BE329" s="250" t="e">
        <f t="shared" ref="BE329:BE392" si="325">VLOOKUP($BT329,Stock_By_LA,5,0)</f>
        <v>#N/A</v>
      </c>
      <c r="BF329" s="247">
        <f t="shared" si="299"/>
        <v>7</v>
      </c>
      <c r="BG329" s="276" t="e">
        <f t="shared" si="300"/>
        <v>#N/A</v>
      </c>
      <c r="BH329" s="277" t="e">
        <f t="shared" si="301"/>
        <v>#N/A</v>
      </c>
      <c r="BI329" s="250" t="e">
        <f t="shared" ref="BI329:BI392" si="326">VLOOKUP($B329,Totals,4,0)</f>
        <v>#N/A</v>
      </c>
      <c r="BJ329" s="251">
        <f t="shared" si="302"/>
        <v>7</v>
      </c>
      <c r="BK329" s="278" t="e">
        <f t="shared" si="303"/>
        <v>#N/A</v>
      </c>
      <c r="BL329" s="278" t="e">
        <f t="shared" si="304"/>
        <v>#N/A</v>
      </c>
      <c r="BM329" s="279" t="e">
        <f t="shared" ref="BM329:BM392" si="327">VLOOKUP($BT329,Stock_By_LA,6,0)</f>
        <v>#N/A</v>
      </c>
      <c r="BN329" s="280">
        <f t="shared" si="305"/>
        <v>7</v>
      </c>
      <c r="BO329" s="281" t="e">
        <f t="shared" si="306"/>
        <v>#N/A</v>
      </c>
      <c r="BP329" s="281" t="e">
        <f t="shared" si="307"/>
        <v>#N/A</v>
      </c>
      <c r="BQ329" s="279" t="e">
        <f t="shared" ref="BQ329:BQ392" si="328">VLOOKUP($B329,Totals,5,0)</f>
        <v>#N/A</v>
      </c>
      <c r="BR329" s="282" t="e">
        <f t="shared" ref="BR329:BR392" si="329">VLOOKUP($BT329,Stock_By_LA,8,0)</f>
        <v>#N/A</v>
      </c>
      <c r="BS329" s="217" t="e">
        <f>VLOOKUP($B329,SDR24_STOCK_BY_LA!$A$2:$C$11878,3,0)</f>
        <v>#N/A</v>
      </c>
      <c r="BT329" s="217" t="str">
        <f t="shared" si="308"/>
        <v/>
      </c>
    </row>
    <row r="330" spans="1:72" x14ac:dyDescent="0.2">
      <c r="A330" s="217" t="str">
        <f t="shared" si="309"/>
        <v/>
      </c>
      <c r="B330" s="217" t="str">
        <f t="shared" si="310"/>
        <v/>
      </c>
      <c r="C330" s="283" t="str">
        <f t="shared" ref="C330:C393" si="330">IFERROR(BS330,"")</f>
        <v/>
      </c>
      <c r="D330" s="256" t="str">
        <f>IF(B330="","",IF(totals!$Q$3=0,IFERROR(IF(AD330=2,"0",AE330),""),"-"))</f>
        <v/>
      </c>
      <c r="E330" s="258" t="str">
        <f t="shared" ref="E330:E393" si="331">IFERROR(AH330,"")</f>
        <v/>
      </c>
      <c r="F330" s="259" t="str">
        <f t="shared" ref="F330:F393" si="332">IFERROR(AF330,"")</f>
        <v/>
      </c>
      <c r="G330" s="259" t="str">
        <f t="shared" ref="G330:G393" si="333">IFERROR(IF(AI330=2,"-",AJ330),"")</f>
        <v/>
      </c>
      <c r="H330" s="256" t="str">
        <f t="shared" si="311"/>
        <v/>
      </c>
      <c r="I330" s="259" t="str">
        <f t="shared" ref="I330:I393" si="334">IFERROR(AM330,"")</f>
        <v/>
      </c>
      <c r="J330" s="259" t="str">
        <f t="shared" ref="J330:J393" si="335">IFERROR(IF(AP330=2,"-",AQ330),"")</f>
        <v/>
      </c>
      <c r="K330" s="256" t="str">
        <f t="shared" si="312"/>
        <v/>
      </c>
      <c r="L330" s="259" t="str">
        <f t="shared" si="313"/>
        <v/>
      </c>
      <c r="M330" s="259" t="str">
        <f t="shared" ref="M330:M393" si="336">IFERROR(IF(AX330=2,"-",AY330),"")</f>
        <v/>
      </c>
      <c r="N330" s="256" t="str">
        <f t="shared" ref="N330:N393" si="337">IFERROR(BE330,"")</f>
        <v/>
      </c>
      <c r="O330" s="259" t="str">
        <f t="shared" ref="O330:O393" si="338">IFERROR(IF(BB330=2,"-",BC330),"")</f>
        <v/>
      </c>
      <c r="P330" s="259" t="str">
        <f t="shared" ref="P330:P393" si="339">IFERROR(IF(BF330=2,"-",BG330),"")</f>
        <v/>
      </c>
      <c r="Q330" s="256" t="str">
        <f t="shared" ref="Q330:Q393" si="340">IFERROR(BM330,"")</f>
        <v/>
      </c>
      <c r="R330" s="259" t="str">
        <f t="shared" ref="R330:R393" si="341">IFERROR(IF(BJ330=2,"-",BK330),"")</f>
        <v/>
      </c>
      <c r="S330" s="259" t="str">
        <f t="shared" ref="S330:S393" si="342">IFERROR(IF(BN330=2,"-",BO330),"")</f>
        <v/>
      </c>
      <c r="T330" s="256" t="str">
        <f t="shared" ref="T330:T393" si="343">IFERROR(BR330,"")</f>
        <v/>
      </c>
      <c r="U330" s="217"/>
      <c r="V330" s="217"/>
      <c r="AB330" s="217" t="e">
        <f>VLOOKUP($B$6,Lookup_Source,323,0)</f>
        <v>#N/A</v>
      </c>
      <c r="AC330" s="241" t="str">
        <f t="shared" ref="AC330:AC393" si="344">IF(ISNUMBER(SEARCH("*",B330)),1,"")</f>
        <v/>
      </c>
      <c r="AD330" s="242">
        <f t="shared" ref="AD330:AD393" si="345">IFERROR(ERROR.TYPE(AE330),0)</f>
        <v>7</v>
      </c>
      <c r="AE330" s="261" t="e">
        <f t="shared" si="314"/>
        <v>#N/A</v>
      </c>
      <c r="AF330" s="264" t="e">
        <f t="shared" ref="AF330:AF393" si="346">IF(AG330&gt;0,AG330,"-")</f>
        <v>#N/A</v>
      </c>
      <c r="AG330" s="264" t="e">
        <f t="shared" ref="AG330:AG393" si="347">$AH330/$AH$8</f>
        <v>#N/A</v>
      </c>
      <c r="AH330" s="263" t="e">
        <f t="shared" si="315"/>
        <v>#N/A</v>
      </c>
      <c r="AI330" s="226">
        <f t="shared" ref="AI330:AI393" si="348">IFERROR(ERROR.TYPE(AJ330),0)</f>
        <v>7</v>
      </c>
      <c r="AJ330" s="264" t="e">
        <f t="shared" si="316"/>
        <v>#N/A</v>
      </c>
      <c r="AK330" s="264" t="e">
        <f t="shared" ref="AK330:AK393" si="349">$AH330/$AL330</f>
        <v>#N/A</v>
      </c>
      <c r="AL330" s="226" t="e">
        <f t="shared" si="317"/>
        <v>#N/A</v>
      </c>
      <c r="AM330" s="265" t="e">
        <f t="shared" ref="AM330:AM393" si="350">IF(AN330&gt;0,AN330,"-")</f>
        <v>#N/A</v>
      </c>
      <c r="AN330" s="266" t="e">
        <f t="shared" si="318"/>
        <v>#N/A</v>
      </c>
      <c r="AO330" s="227" t="e">
        <f t="shared" si="319"/>
        <v>#N/A</v>
      </c>
      <c r="AP330" s="284">
        <f t="shared" ref="AP330:AP393" si="351">IFERROR(ERROR.TYPE(AQ330),0)</f>
        <v>7</v>
      </c>
      <c r="AQ330" s="285" t="e">
        <f t="shared" si="320"/>
        <v>#N/A</v>
      </c>
      <c r="AR330" s="266" t="e">
        <f t="shared" ref="AR330:AR393" si="352">$AO330/$AS330</f>
        <v>#N/A</v>
      </c>
      <c r="AS330" s="270" t="e">
        <f t="shared" si="321"/>
        <v>#N/A</v>
      </c>
      <c r="AT330" s="271">
        <f t="shared" ref="AT330:AT393" si="353">IFERROR(ERROR.TYPE(AU330),0)</f>
        <v>7</v>
      </c>
      <c r="AU330" s="272" t="e">
        <f t="shared" ref="AU330:AU393" si="354">IF(AV330&gt;0,AV330,"-")</f>
        <v>#N/A</v>
      </c>
      <c r="AV330" s="273" t="e">
        <f t="shared" ref="AV330:AV393" si="355">AW330/$AW$8</f>
        <v>#N/A</v>
      </c>
      <c r="AW330" s="274" t="e">
        <f t="shared" si="322"/>
        <v>#N/A</v>
      </c>
      <c r="AX330" s="232">
        <f t="shared" ref="AX330:AX393" si="356">IFERROR(ERROR.TYPE(AY330),0)</f>
        <v>7</v>
      </c>
      <c r="AY330" s="273" t="e">
        <f t="shared" si="323"/>
        <v>#N/A</v>
      </c>
      <c r="AZ330" s="232" t="e">
        <f t="shared" ref="AZ330:AZ393" si="357">$AW330/$BA330</f>
        <v>#N/A</v>
      </c>
      <c r="BA330" s="232" t="e">
        <f t="shared" si="324"/>
        <v>#N/A</v>
      </c>
      <c r="BB330" s="275">
        <f t="shared" ref="BB330:BB393" si="358">IFERROR(ERROR.TYPE(BC330),0)</f>
        <v>7</v>
      </c>
      <c r="BC330" s="276" t="e">
        <f t="shared" ref="BC330:BC393" si="359">IF(BD330&gt;0,BD330,"-")</f>
        <v>#N/A</v>
      </c>
      <c r="BD330" s="277" t="e">
        <f t="shared" ref="BD330:BD393" si="360">$BE330/$BE$8</f>
        <v>#N/A</v>
      </c>
      <c r="BE330" s="250" t="e">
        <f t="shared" si="325"/>
        <v>#N/A</v>
      </c>
      <c r="BF330" s="247">
        <f t="shared" ref="BF330:BF393" si="361">IFERROR(ERROR.TYPE(BG330),0)</f>
        <v>7</v>
      </c>
      <c r="BG330" s="276" t="e">
        <f t="shared" ref="BG330:BG393" si="362">IF(BH330&gt;0,BH330,"-")</f>
        <v>#N/A</v>
      </c>
      <c r="BH330" s="277" t="e">
        <f t="shared" ref="BH330:BH393" si="363">$BE330/$BI330</f>
        <v>#N/A</v>
      </c>
      <c r="BI330" s="250" t="e">
        <f t="shared" si="326"/>
        <v>#N/A</v>
      </c>
      <c r="BJ330" s="251">
        <f t="shared" ref="BJ330:BJ393" si="364">IFERROR(ERROR.TYPE(BK330),0)</f>
        <v>7</v>
      </c>
      <c r="BK330" s="278" t="e">
        <f t="shared" ref="BK330:BK393" si="365">IF(BL330&gt;0,BL330,"-")</f>
        <v>#N/A</v>
      </c>
      <c r="BL330" s="278" t="e">
        <f t="shared" ref="BL330:BL393" si="366">$BM330/$BM$8</f>
        <v>#N/A</v>
      </c>
      <c r="BM330" s="279" t="e">
        <f t="shared" si="327"/>
        <v>#N/A</v>
      </c>
      <c r="BN330" s="280">
        <f t="shared" ref="BN330:BN393" si="367">IFERROR(ERROR.TYPE(BO330),0)</f>
        <v>7</v>
      </c>
      <c r="BO330" s="281" t="e">
        <f t="shared" ref="BO330:BO393" si="368">IF(BP330&gt;0,BP330,"-")</f>
        <v>#N/A</v>
      </c>
      <c r="BP330" s="281" t="e">
        <f t="shared" ref="BP330:BP393" si="369">$BM330/$BQ330</f>
        <v>#N/A</v>
      </c>
      <c r="BQ330" s="279" t="e">
        <f t="shared" si="328"/>
        <v>#N/A</v>
      </c>
      <c r="BR330" s="282" t="e">
        <f t="shared" si="329"/>
        <v>#N/A</v>
      </c>
      <c r="BS330" s="217" t="e">
        <f>VLOOKUP($B330,SDR24_STOCK_BY_LA!$A$2:$C$11878,3,0)</f>
        <v>#N/A</v>
      </c>
      <c r="BT330" s="217" t="str">
        <f t="shared" ref="BT330:BT393" si="370">$B$6&amp;$B330</f>
        <v/>
      </c>
    </row>
    <row r="331" spans="1:72" x14ac:dyDescent="0.2">
      <c r="A331" s="256" t="str">
        <f t="shared" ref="A331:A394" si="371">IF(AC331=1,A330+1,"")</f>
        <v/>
      </c>
      <c r="B331" s="217" t="str">
        <f t="shared" si="310"/>
        <v/>
      </c>
      <c r="C331" s="257" t="str">
        <f t="shared" si="330"/>
        <v/>
      </c>
      <c r="D331" s="256" t="str">
        <f>IF(B331="","",IF(totals!$Q$3=0,IFERROR(IF(AD331=2,"0",AE331),""),"-"))</f>
        <v/>
      </c>
      <c r="E331" s="258" t="str">
        <f t="shared" si="331"/>
        <v/>
      </c>
      <c r="F331" s="259" t="str">
        <f t="shared" si="332"/>
        <v/>
      </c>
      <c r="G331" s="259" t="str">
        <f t="shared" si="333"/>
        <v/>
      </c>
      <c r="H331" s="256" t="str">
        <f t="shared" si="311"/>
        <v/>
      </c>
      <c r="I331" s="259" t="str">
        <f t="shared" si="334"/>
        <v/>
      </c>
      <c r="J331" s="259" t="str">
        <f t="shared" si="335"/>
        <v/>
      </c>
      <c r="K331" s="256" t="str">
        <f t="shared" si="312"/>
        <v/>
      </c>
      <c r="L331" s="259" t="str">
        <f t="shared" si="313"/>
        <v/>
      </c>
      <c r="M331" s="259" t="str">
        <f t="shared" si="336"/>
        <v/>
      </c>
      <c r="N331" s="256" t="str">
        <f t="shared" si="337"/>
        <v/>
      </c>
      <c r="O331" s="259" t="str">
        <f t="shared" si="338"/>
        <v/>
      </c>
      <c r="P331" s="259" t="str">
        <f t="shared" si="339"/>
        <v/>
      </c>
      <c r="Q331" s="256" t="str">
        <f t="shared" si="340"/>
        <v/>
      </c>
      <c r="R331" s="259" t="str">
        <f t="shared" si="341"/>
        <v/>
      </c>
      <c r="S331" s="259" t="str">
        <f t="shared" si="342"/>
        <v/>
      </c>
      <c r="T331" s="256" t="str">
        <f t="shared" si="343"/>
        <v/>
      </c>
      <c r="U331" s="217"/>
      <c r="V331" s="217"/>
      <c r="AB331" s="257" t="e">
        <f>VLOOKUP($B$6,Lookup_Source,324,0)</f>
        <v>#N/A</v>
      </c>
      <c r="AC331" s="241" t="str">
        <f t="shared" si="344"/>
        <v/>
      </c>
      <c r="AD331" s="242">
        <f t="shared" si="345"/>
        <v>7</v>
      </c>
      <c r="AE331" s="261" t="e">
        <f t="shared" si="314"/>
        <v>#N/A</v>
      </c>
      <c r="AF331" s="264" t="e">
        <f t="shared" si="346"/>
        <v>#N/A</v>
      </c>
      <c r="AG331" s="264" t="e">
        <f t="shared" si="347"/>
        <v>#N/A</v>
      </c>
      <c r="AH331" s="263" t="e">
        <f t="shared" si="315"/>
        <v>#N/A</v>
      </c>
      <c r="AI331" s="226">
        <f t="shared" si="348"/>
        <v>7</v>
      </c>
      <c r="AJ331" s="264" t="e">
        <f t="shared" si="316"/>
        <v>#N/A</v>
      </c>
      <c r="AK331" s="264" t="e">
        <f t="shared" si="349"/>
        <v>#N/A</v>
      </c>
      <c r="AL331" s="226" t="e">
        <f t="shared" si="317"/>
        <v>#N/A</v>
      </c>
      <c r="AM331" s="265" t="e">
        <f t="shared" si="350"/>
        <v>#N/A</v>
      </c>
      <c r="AN331" s="266" t="e">
        <f t="shared" si="318"/>
        <v>#N/A</v>
      </c>
      <c r="AO331" s="227" t="e">
        <f t="shared" si="319"/>
        <v>#N/A</v>
      </c>
      <c r="AP331" s="284">
        <f t="shared" si="351"/>
        <v>7</v>
      </c>
      <c r="AQ331" s="285" t="e">
        <f t="shared" si="320"/>
        <v>#N/A</v>
      </c>
      <c r="AR331" s="266" t="e">
        <f t="shared" si="352"/>
        <v>#N/A</v>
      </c>
      <c r="AS331" s="270" t="e">
        <f t="shared" si="321"/>
        <v>#N/A</v>
      </c>
      <c r="AT331" s="271">
        <f t="shared" si="353"/>
        <v>7</v>
      </c>
      <c r="AU331" s="272" t="e">
        <f t="shared" si="354"/>
        <v>#N/A</v>
      </c>
      <c r="AV331" s="273" t="e">
        <f t="shared" si="355"/>
        <v>#N/A</v>
      </c>
      <c r="AW331" s="274" t="e">
        <f t="shared" si="322"/>
        <v>#N/A</v>
      </c>
      <c r="AX331" s="232">
        <f t="shared" si="356"/>
        <v>7</v>
      </c>
      <c r="AY331" s="273" t="e">
        <f t="shared" si="323"/>
        <v>#N/A</v>
      </c>
      <c r="AZ331" s="232" t="e">
        <f t="shared" si="357"/>
        <v>#N/A</v>
      </c>
      <c r="BA331" s="232" t="e">
        <f t="shared" si="324"/>
        <v>#N/A</v>
      </c>
      <c r="BB331" s="275">
        <f t="shared" si="358"/>
        <v>7</v>
      </c>
      <c r="BC331" s="276" t="e">
        <f t="shared" si="359"/>
        <v>#N/A</v>
      </c>
      <c r="BD331" s="277" t="e">
        <f t="shared" si="360"/>
        <v>#N/A</v>
      </c>
      <c r="BE331" s="250" t="e">
        <f t="shared" si="325"/>
        <v>#N/A</v>
      </c>
      <c r="BF331" s="247">
        <f t="shared" si="361"/>
        <v>7</v>
      </c>
      <c r="BG331" s="276" t="e">
        <f t="shared" si="362"/>
        <v>#N/A</v>
      </c>
      <c r="BH331" s="277" t="e">
        <f t="shared" si="363"/>
        <v>#N/A</v>
      </c>
      <c r="BI331" s="250" t="e">
        <f t="shared" si="326"/>
        <v>#N/A</v>
      </c>
      <c r="BJ331" s="251">
        <f t="shared" si="364"/>
        <v>7</v>
      </c>
      <c r="BK331" s="278" t="e">
        <f t="shared" si="365"/>
        <v>#N/A</v>
      </c>
      <c r="BL331" s="278" t="e">
        <f t="shared" si="366"/>
        <v>#N/A</v>
      </c>
      <c r="BM331" s="279" t="e">
        <f t="shared" si="327"/>
        <v>#N/A</v>
      </c>
      <c r="BN331" s="280">
        <f t="shared" si="367"/>
        <v>7</v>
      </c>
      <c r="BO331" s="281" t="e">
        <f t="shared" si="368"/>
        <v>#N/A</v>
      </c>
      <c r="BP331" s="281" t="e">
        <f t="shared" si="369"/>
        <v>#N/A</v>
      </c>
      <c r="BQ331" s="279" t="e">
        <f t="shared" si="328"/>
        <v>#N/A</v>
      </c>
      <c r="BR331" s="282" t="e">
        <f t="shared" si="329"/>
        <v>#N/A</v>
      </c>
      <c r="BS331" s="217" t="e">
        <f>VLOOKUP($B331,SDR24_STOCK_BY_LA!$A$2:$C$11878,3,0)</f>
        <v>#N/A</v>
      </c>
      <c r="BT331" s="217" t="str">
        <f t="shared" si="370"/>
        <v/>
      </c>
    </row>
    <row r="332" spans="1:72" x14ac:dyDescent="0.2">
      <c r="A332" s="217" t="str">
        <f t="shared" si="371"/>
        <v/>
      </c>
      <c r="B332" s="217" t="str">
        <f t="shared" si="310"/>
        <v/>
      </c>
      <c r="C332" s="283" t="str">
        <f t="shared" si="330"/>
        <v/>
      </c>
      <c r="D332" s="256" t="str">
        <f>IF(B332="","",IF(totals!$Q$3=0,IFERROR(IF(AD332=2,"0",AE332),""),"-"))</f>
        <v/>
      </c>
      <c r="E332" s="258" t="str">
        <f t="shared" si="331"/>
        <v/>
      </c>
      <c r="F332" s="259" t="str">
        <f t="shared" si="332"/>
        <v/>
      </c>
      <c r="G332" s="259" t="str">
        <f t="shared" si="333"/>
        <v/>
      </c>
      <c r="H332" s="256" t="str">
        <f t="shared" si="311"/>
        <v/>
      </c>
      <c r="I332" s="259" t="str">
        <f t="shared" si="334"/>
        <v/>
      </c>
      <c r="J332" s="259" t="str">
        <f t="shared" si="335"/>
        <v/>
      </c>
      <c r="K332" s="256" t="str">
        <f t="shared" si="312"/>
        <v/>
      </c>
      <c r="L332" s="259" t="str">
        <f t="shared" si="313"/>
        <v/>
      </c>
      <c r="M332" s="259" t="str">
        <f t="shared" si="336"/>
        <v/>
      </c>
      <c r="N332" s="256" t="str">
        <f t="shared" si="337"/>
        <v/>
      </c>
      <c r="O332" s="259" t="str">
        <f t="shared" si="338"/>
        <v/>
      </c>
      <c r="P332" s="259" t="str">
        <f t="shared" si="339"/>
        <v/>
      </c>
      <c r="Q332" s="256" t="str">
        <f t="shared" si="340"/>
        <v/>
      </c>
      <c r="R332" s="259" t="str">
        <f t="shared" si="341"/>
        <v/>
      </c>
      <c r="S332" s="259" t="str">
        <f t="shared" si="342"/>
        <v/>
      </c>
      <c r="T332" s="256" t="str">
        <f t="shared" si="343"/>
        <v/>
      </c>
      <c r="U332" s="217"/>
      <c r="V332" s="217"/>
      <c r="AB332" s="217" t="e">
        <f>VLOOKUP($B$6,Lookup_Source,325,0)</f>
        <v>#N/A</v>
      </c>
      <c r="AC332" s="241" t="str">
        <f t="shared" si="344"/>
        <v/>
      </c>
      <c r="AD332" s="242">
        <f t="shared" si="345"/>
        <v>7</v>
      </c>
      <c r="AE332" s="261" t="e">
        <f t="shared" si="314"/>
        <v>#N/A</v>
      </c>
      <c r="AF332" s="264" t="e">
        <f t="shared" si="346"/>
        <v>#N/A</v>
      </c>
      <c r="AG332" s="264" t="e">
        <f t="shared" si="347"/>
        <v>#N/A</v>
      </c>
      <c r="AH332" s="263" t="e">
        <f t="shared" si="315"/>
        <v>#N/A</v>
      </c>
      <c r="AI332" s="226">
        <f t="shared" si="348"/>
        <v>7</v>
      </c>
      <c r="AJ332" s="264" t="e">
        <f t="shared" si="316"/>
        <v>#N/A</v>
      </c>
      <c r="AK332" s="264" t="e">
        <f t="shared" si="349"/>
        <v>#N/A</v>
      </c>
      <c r="AL332" s="226" t="e">
        <f t="shared" si="317"/>
        <v>#N/A</v>
      </c>
      <c r="AM332" s="265" t="e">
        <f t="shared" si="350"/>
        <v>#N/A</v>
      </c>
      <c r="AN332" s="266" t="e">
        <f t="shared" si="318"/>
        <v>#N/A</v>
      </c>
      <c r="AO332" s="227" t="e">
        <f t="shared" si="319"/>
        <v>#N/A</v>
      </c>
      <c r="AP332" s="284">
        <f t="shared" si="351"/>
        <v>7</v>
      </c>
      <c r="AQ332" s="285" t="e">
        <f t="shared" si="320"/>
        <v>#N/A</v>
      </c>
      <c r="AR332" s="266" t="e">
        <f t="shared" si="352"/>
        <v>#N/A</v>
      </c>
      <c r="AS332" s="270" t="e">
        <f t="shared" si="321"/>
        <v>#N/A</v>
      </c>
      <c r="AT332" s="271">
        <f t="shared" si="353"/>
        <v>7</v>
      </c>
      <c r="AU332" s="272" t="e">
        <f t="shared" si="354"/>
        <v>#N/A</v>
      </c>
      <c r="AV332" s="273" t="e">
        <f t="shared" si="355"/>
        <v>#N/A</v>
      </c>
      <c r="AW332" s="274" t="e">
        <f t="shared" si="322"/>
        <v>#N/A</v>
      </c>
      <c r="AX332" s="232">
        <f t="shared" si="356"/>
        <v>7</v>
      </c>
      <c r="AY332" s="273" t="e">
        <f t="shared" si="323"/>
        <v>#N/A</v>
      </c>
      <c r="AZ332" s="232" t="e">
        <f t="shared" si="357"/>
        <v>#N/A</v>
      </c>
      <c r="BA332" s="232" t="e">
        <f t="shared" si="324"/>
        <v>#N/A</v>
      </c>
      <c r="BB332" s="275">
        <f t="shared" si="358"/>
        <v>7</v>
      </c>
      <c r="BC332" s="276" t="e">
        <f t="shared" si="359"/>
        <v>#N/A</v>
      </c>
      <c r="BD332" s="277" t="e">
        <f t="shared" si="360"/>
        <v>#N/A</v>
      </c>
      <c r="BE332" s="250" t="e">
        <f t="shared" si="325"/>
        <v>#N/A</v>
      </c>
      <c r="BF332" s="247">
        <f t="shared" si="361"/>
        <v>7</v>
      </c>
      <c r="BG332" s="276" t="e">
        <f t="shared" si="362"/>
        <v>#N/A</v>
      </c>
      <c r="BH332" s="277" t="e">
        <f t="shared" si="363"/>
        <v>#N/A</v>
      </c>
      <c r="BI332" s="250" t="e">
        <f t="shared" si="326"/>
        <v>#N/A</v>
      </c>
      <c r="BJ332" s="251">
        <f t="shared" si="364"/>
        <v>7</v>
      </c>
      <c r="BK332" s="278" t="e">
        <f t="shared" si="365"/>
        <v>#N/A</v>
      </c>
      <c r="BL332" s="278" t="e">
        <f t="shared" si="366"/>
        <v>#N/A</v>
      </c>
      <c r="BM332" s="279" t="e">
        <f t="shared" si="327"/>
        <v>#N/A</v>
      </c>
      <c r="BN332" s="280">
        <f t="shared" si="367"/>
        <v>7</v>
      </c>
      <c r="BO332" s="281" t="e">
        <f t="shared" si="368"/>
        <v>#N/A</v>
      </c>
      <c r="BP332" s="281" t="e">
        <f t="shared" si="369"/>
        <v>#N/A</v>
      </c>
      <c r="BQ332" s="279" t="e">
        <f t="shared" si="328"/>
        <v>#N/A</v>
      </c>
      <c r="BR332" s="282" t="e">
        <f t="shared" si="329"/>
        <v>#N/A</v>
      </c>
      <c r="BS332" s="217" t="e">
        <f>VLOOKUP($B332,SDR24_STOCK_BY_LA!$A$2:$C$11878,3,0)</f>
        <v>#N/A</v>
      </c>
      <c r="BT332" s="217" t="str">
        <f t="shared" si="370"/>
        <v/>
      </c>
    </row>
    <row r="333" spans="1:72" x14ac:dyDescent="0.2">
      <c r="A333" s="256" t="str">
        <f t="shared" si="371"/>
        <v/>
      </c>
      <c r="B333" s="217" t="str">
        <f t="shared" ref="B333:B396" si="372">IFERROR(IF(AB333=0,"",AB333),"")</f>
        <v/>
      </c>
      <c r="C333" s="257" t="str">
        <f t="shared" si="330"/>
        <v/>
      </c>
      <c r="D333" s="256" t="str">
        <f>IF(B333="","",IF(totals!$Q$3=0,IFERROR(IF(AD333=2,"0",AE333),""),"-"))</f>
        <v/>
      </c>
      <c r="E333" s="258" t="str">
        <f t="shared" si="331"/>
        <v/>
      </c>
      <c r="F333" s="259" t="str">
        <f t="shared" si="332"/>
        <v/>
      </c>
      <c r="G333" s="259" t="str">
        <f t="shared" si="333"/>
        <v/>
      </c>
      <c r="H333" s="256" t="str">
        <f t="shared" si="311"/>
        <v/>
      </c>
      <c r="I333" s="259" t="str">
        <f t="shared" si="334"/>
        <v/>
      </c>
      <c r="J333" s="259" t="str">
        <f t="shared" si="335"/>
        <v/>
      </c>
      <c r="K333" s="256" t="str">
        <f t="shared" si="312"/>
        <v/>
      </c>
      <c r="L333" s="259" t="str">
        <f t="shared" si="313"/>
        <v/>
      </c>
      <c r="M333" s="259" t="str">
        <f t="shared" si="336"/>
        <v/>
      </c>
      <c r="N333" s="256" t="str">
        <f t="shared" si="337"/>
        <v/>
      </c>
      <c r="O333" s="259" t="str">
        <f t="shared" si="338"/>
        <v/>
      </c>
      <c r="P333" s="259" t="str">
        <f t="shared" si="339"/>
        <v/>
      </c>
      <c r="Q333" s="256" t="str">
        <f t="shared" si="340"/>
        <v/>
      </c>
      <c r="R333" s="259" t="str">
        <f t="shared" si="341"/>
        <v/>
      </c>
      <c r="S333" s="259" t="str">
        <f t="shared" si="342"/>
        <v/>
      </c>
      <c r="T333" s="256" t="str">
        <f t="shared" si="343"/>
        <v/>
      </c>
      <c r="U333" s="217"/>
      <c r="V333" s="217"/>
      <c r="AB333" s="257" t="e">
        <f>VLOOKUP($B$6,Lookup_Source,326,0)</f>
        <v>#N/A</v>
      </c>
      <c r="AC333" s="241" t="str">
        <f t="shared" si="344"/>
        <v/>
      </c>
      <c r="AD333" s="242">
        <f t="shared" si="345"/>
        <v>7</v>
      </c>
      <c r="AE333" s="261" t="e">
        <f t="shared" si="314"/>
        <v>#N/A</v>
      </c>
      <c r="AF333" s="264" t="e">
        <f t="shared" si="346"/>
        <v>#N/A</v>
      </c>
      <c r="AG333" s="264" t="e">
        <f t="shared" si="347"/>
        <v>#N/A</v>
      </c>
      <c r="AH333" s="263" t="e">
        <f t="shared" si="315"/>
        <v>#N/A</v>
      </c>
      <c r="AI333" s="226">
        <f t="shared" si="348"/>
        <v>7</v>
      </c>
      <c r="AJ333" s="264" t="e">
        <f t="shared" si="316"/>
        <v>#N/A</v>
      </c>
      <c r="AK333" s="264" t="e">
        <f t="shared" si="349"/>
        <v>#N/A</v>
      </c>
      <c r="AL333" s="226" t="e">
        <f t="shared" si="317"/>
        <v>#N/A</v>
      </c>
      <c r="AM333" s="265" t="e">
        <f t="shared" si="350"/>
        <v>#N/A</v>
      </c>
      <c r="AN333" s="266" t="e">
        <f t="shared" si="318"/>
        <v>#N/A</v>
      </c>
      <c r="AO333" s="227" t="e">
        <f t="shared" si="319"/>
        <v>#N/A</v>
      </c>
      <c r="AP333" s="284">
        <f t="shared" si="351"/>
        <v>7</v>
      </c>
      <c r="AQ333" s="285" t="e">
        <f t="shared" si="320"/>
        <v>#N/A</v>
      </c>
      <c r="AR333" s="266" t="e">
        <f t="shared" si="352"/>
        <v>#N/A</v>
      </c>
      <c r="AS333" s="270" t="e">
        <f t="shared" si="321"/>
        <v>#N/A</v>
      </c>
      <c r="AT333" s="271">
        <f t="shared" si="353"/>
        <v>7</v>
      </c>
      <c r="AU333" s="272" t="e">
        <f t="shared" si="354"/>
        <v>#N/A</v>
      </c>
      <c r="AV333" s="273" t="e">
        <f t="shared" si="355"/>
        <v>#N/A</v>
      </c>
      <c r="AW333" s="274" t="e">
        <f t="shared" si="322"/>
        <v>#N/A</v>
      </c>
      <c r="AX333" s="232">
        <f t="shared" si="356"/>
        <v>7</v>
      </c>
      <c r="AY333" s="273" t="e">
        <f t="shared" si="323"/>
        <v>#N/A</v>
      </c>
      <c r="AZ333" s="232" t="e">
        <f t="shared" si="357"/>
        <v>#N/A</v>
      </c>
      <c r="BA333" s="232" t="e">
        <f t="shared" si="324"/>
        <v>#N/A</v>
      </c>
      <c r="BB333" s="275">
        <f t="shared" si="358"/>
        <v>7</v>
      </c>
      <c r="BC333" s="276" t="e">
        <f t="shared" si="359"/>
        <v>#N/A</v>
      </c>
      <c r="BD333" s="277" t="e">
        <f t="shared" si="360"/>
        <v>#N/A</v>
      </c>
      <c r="BE333" s="250" t="e">
        <f t="shared" si="325"/>
        <v>#N/A</v>
      </c>
      <c r="BF333" s="247">
        <f t="shared" si="361"/>
        <v>7</v>
      </c>
      <c r="BG333" s="276" t="e">
        <f t="shared" si="362"/>
        <v>#N/A</v>
      </c>
      <c r="BH333" s="277" t="e">
        <f t="shared" si="363"/>
        <v>#N/A</v>
      </c>
      <c r="BI333" s="250" t="e">
        <f t="shared" si="326"/>
        <v>#N/A</v>
      </c>
      <c r="BJ333" s="251">
        <f t="shared" si="364"/>
        <v>7</v>
      </c>
      <c r="BK333" s="278" t="e">
        <f t="shared" si="365"/>
        <v>#N/A</v>
      </c>
      <c r="BL333" s="278" t="e">
        <f t="shared" si="366"/>
        <v>#N/A</v>
      </c>
      <c r="BM333" s="279" t="e">
        <f t="shared" si="327"/>
        <v>#N/A</v>
      </c>
      <c r="BN333" s="280">
        <f t="shared" si="367"/>
        <v>7</v>
      </c>
      <c r="BO333" s="281" t="e">
        <f t="shared" si="368"/>
        <v>#N/A</v>
      </c>
      <c r="BP333" s="281" t="e">
        <f t="shared" si="369"/>
        <v>#N/A</v>
      </c>
      <c r="BQ333" s="279" t="e">
        <f t="shared" si="328"/>
        <v>#N/A</v>
      </c>
      <c r="BR333" s="282" t="e">
        <f t="shared" si="329"/>
        <v>#N/A</v>
      </c>
      <c r="BS333" s="217" t="e">
        <f>VLOOKUP($B333,SDR24_STOCK_BY_LA!$A$2:$C$11878,3,0)</f>
        <v>#N/A</v>
      </c>
      <c r="BT333" s="217" t="str">
        <f t="shared" si="370"/>
        <v/>
      </c>
    </row>
    <row r="334" spans="1:72" x14ac:dyDescent="0.2">
      <c r="A334" s="217" t="str">
        <f t="shared" si="371"/>
        <v/>
      </c>
      <c r="B334" s="217" t="str">
        <f t="shared" si="372"/>
        <v/>
      </c>
      <c r="C334" s="283" t="str">
        <f t="shared" si="330"/>
        <v/>
      </c>
      <c r="D334" s="256" t="str">
        <f>IF(B334="","",IF(totals!$Q$3=0,IFERROR(IF(AD334=2,"0",AE334),""),"-"))</f>
        <v/>
      </c>
      <c r="E334" s="258" t="str">
        <f t="shared" si="331"/>
        <v/>
      </c>
      <c r="F334" s="259" t="str">
        <f t="shared" si="332"/>
        <v/>
      </c>
      <c r="G334" s="259" t="str">
        <f t="shared" si="333"/>
        <v/>
      </c>
      <c r="H334" s="256" t="str">
        <f t="shared" si="311"/>
        <v/>
      </c>
      <c r="I334" s="259" t="str">
        <f t="shared" si="334"/>
        <v/>
      </c>
      <c r="J334" s="259" t="str">
        <f t="shared" si="335"/>
        <v/>
      </c>
      <c r="K334" s="256" t="str">
        <f t="shared" si="312"/>
        <v/>
      </c>
      <c r="L334" s="259" t="str">
        <f t="shared" si="313"/>
        <v/>
      </c>
      <c r="M334" s="259" t="str">
        <f t="shared" si="336"/>
        <v/>
      </c>
      <c r="N334" s="256" t="str">
        <f t="shared" si="337"/>
        <v/>
      </c>
      <c r="O334" s="259" t="str">
        <f t="shared" si="338"/>
        <v/>
      </c>
      <c r="P334" s="259" t="str">
        <f t="shared" si="339"/>
        <v/>
      </c>
      <c r="Q334" s="256" t="str">
        <f t="shared" si="340"/>
        <v/>
      </c>
      <c r="R334" s="259" t="str">
        <f t="shared" si="341"/>
        <v/>
      </c>
      <c r="S334" s="259" t="str">
        <f t="shared" si="342"/>
        <v/>
      </c>
      <c r="T334" s="256" t="str">
        <f t="shared" si="343"/>
        <v/>
      </c>
      <c r="U334" s="217"/>
      <c r="V334" s="217"/>
      <c r="AB334" s="217" t="e">
        <f>VLOOKUP($B$6,Lookup_Source,327,0)</f>
        <v>#N/A</v>
      </c>
      <c r="AC334" s="241" t="str">
        <f t="shared" si="344"/>
        <v/>
      </c>
      <c r="AD334" s="242">
        <f t="shared" si="345"/>
        <v>7</v>
      </c>
      <c r="AE334" s="261" t="e">
        <f t="shared" si="314"/>
        <v>#N/A</v>
      </c>
      <c r="AF334" s="264" t="e">
        <f t="shared" si="346"/>
        <v>#N/A</v>
      </c>
      <c r="AG334" s="264" t="e">
        <f t="shared" si="347"/>
        <v>#N/A</v>
      </c>
      <c r="AH334" s="263" t="e">
        <f t="shared" si="315"/>
        <v>#N/A</v>
      </c>
      <c r="AI334" s="226">
        <f t="shared" si="348"/>
        <v>7</v>
      </c>
      <c r="AJ334" s="264" t="e">
        <f t="shared" si="316"/>
        <v>#N/A</v>
      </c>
      <c r="AK334" s="264" t="e">
        <f t="shared" si="349"/>
        <v>#N/A</v>
      </c>
      <c r="AL334" s="226" t="e">
        <f t="shared" si="317"/>
        <v>#N/A</v>
      </c>
      <c r="AM334" s="265" t="e">
        <f t="shared" si="350"/>
        <v>#N/A</v>
      </c>
      <c r="AN334" s="266" t="e">
        <f t="shared" si="318"/>
        <v>#N/A</v>
      </c>
      <c r="AO334" s="227" t="e">
        <f t="shared" si="319"/>
        <v>#N/A</v>
      </c>
      <c r="AP334" s="284">
        <f t="shared" si="351"/>
        <v>7</v>
      </c>
      <c r="AQ334" s="285" t="e">
        <f t="shared" si="320"/>
        <v>#N/A</v>
      </c>
      <c r="AR334" s="266" t="e">
        <f t="shared" si="352"/>
        <v>#N/A</v>
      </c>
      <c r="AS334" s="270" t="e">
        <f t="shared" si="321"/>
        <v>#N/A</v>
      </c>
      <c r="AT334" s="271">
        <f t="shared" si="353"/>
        <v>7</v>
      </c>
      <c r="AU334" s="272" t="e">
        <f t="shared" si="354"/>
        <v>#N/A</v>
      </c>
      <c r="AV334" s="273" t="e">
        <f t="shared" si="355"/>
        <v>#N/A</v>
      </c>
      <c r="AW334" s="274" t="e">
        <f t="shared" si="322"/>
        <v>#N/A</v>
      </c>
      <c r="AX334" s="232">
        <f t="shared" si="356"/>
        <v>7</v>
      </c>
      <c r="AY334" s="273" t="e">
        <f t="shared" si="323"/>
        <v>#N/A</v>
      </c>
      <c r="AZ334" s="232" t="e">
        <f t="shared" si="357"/>
        <v>#N/A</v>
      </c>
      <c r="BA334" s="232" t="e">
        <f t="shared" si="324"/>
        <v>#N/A</v>
      </c>
      <c r="BB334" s="275">
        <f t="shared" si="358"/>
        <v>7</v>
      </c>
      <c r="BC334" s="276" t="e">
        <f t="shared" si="359"/>
        <v>#N/A</v>
      </c>
      <c r="BD334" s="277" t="e">
        <f t="shared" si="360"/>
        <v>#N/A</v>
      </c>
      <c r="BE334" s="250" t="e">
        <f t="shared" si="325"/>
        <v>#N/A</v>
      </c>
      <c r="BF334" s="247">
        <f t="shared" si="361"/>
        <v>7</v>
      </c>
      <c r="BG334" s="276" t="e">
        <f t="shared" si="362"/>
        <v>#N/A</v>
      </c>
      <c r="BH334" s="277" t="e">
        <f t="shared" si="363"/>
        <v>#N/A</v>
      </c>
      <c r="BI334" s="250" t="e">
        <f t="shared" si="326"/>
        <v>#N/A</v>
      </c>
      <c r="BJ334" s="251">
        <f t="shared" si="364"/>
        <v>7</v>
      </c>
      <c r="BK334" s="278" t="e">
        <f t="shared" si="365"/>
        <v>#N/A</v>
      </c>
      <c r="BL334" s="278" t="e">
        <f t="shared" si="366"/>
        <v>#N/A</v>
      </c>
      <c r="BM334" s="279" t="e">
        <f t="shared" si="327"/>
        <v>#N/A</v>
      </c>
      <c r="BN334" s="280">
        <f t="shared" si="367"/>
        <v>7</v>
      </c>
      <c r="BO334" s="281" t="e">
        <f t="shared" si="368"/>
        <v>#N/A</v>
      </c>
      <c r="BP334" s="281" t="e">
        <f t="shared" si="369"/>
        <v>#N/A</v>
      </c>
      <c r="BQ334" s="279" t="e">
        <f t="shared" si="328"/>
        <v>#N/A</v>
      </c>
      <c r="BR334" s="282" t="e">
        <f t="shared" si="329"/>
        <v>#N/A</v>
      </c>
      <c r="BS334" s="217" t="e">
        <f>VLOOKUP($B334,SDR24_STOCK_BY_LA!$A$2:$C$11878,3,0)</f>
        <v>#N/A</v>
      </c>
      <c r="BT334" s="217" t="str">
        <f t="shared" si="370"/>
        <v/>
      </c>
    </row>
    <row r="335" spans="1:72" x14ac:dyDescent="0.2">
      <c r="A335" s="256" t="str">
        <f t="shared" si="371"/>
        <v/>
      </c>
      <c r="B335" s="217" t="str">
        <f t="shared" si="372"/>
        <v/>
      </c>
      <c r="C335" s="257" t="str">
        <f t="shared" si="330"/>
        <v/>
      </c>
      <c r="D335" s="256" t="str">
        <f>IF(B335="","",IF(totals!$Q$3=0,IFERROR(IF(AD335=2,"0",AE335),""),"-"))</f>
        <v/>
      </c>
      <c r="E335" s="258" t="str">
        <f t="shared" si="331"/>
        <v/>
      </c>
      <c r="F335" s="259" t="str">
        <f t="shared" si="332"/>
        <v/>
      </c>
      <c r="G335" s="259" t="str">
        <f t="shared" si="333"/>
        <v/>
      </c>
      <c r="H335" s="256" t="str">
        <f t="shared" si="311"/>
        <v/>
      </c>
      <c r="I335" s="259" t="str">
        <f t="shared" si="334"/>
        <v/>
      </c>
      <c r="J335" s="259" t="str">
        <f t="shared" si="335"/>
        <v/>
      </c>
      <c r="K335" s="256" t="str">
        <f t="shared" si="312"/>
        <v/>
      </c>
      <c r="L335" s="259" t="str">
        <f t="shared" si="313"/>
        <v/>
      </c>
      <c r="M335" s="259" t="str">
        <f t="shared" si="336"/>
        <v/>
      </c>
      <c r="N335" s="256" t="str">
        <f t="shared" si="337"/>
        <v/>
      </c>
      <c r="O335" s="259" t="str">
        <f t="shared" si="338"/>
        <v/>
      </c>
      <c r="P335" s="259" t="str">
        <f t="shared" si="339"/>
        <v/>
      </c>
      <c r="Q335" s="256" t="str">
        <f t="shared" si="340"/>
        <v/>
      </c>
      <c r="R335" s="259" t="str">
        <f t="shared" si="341"/>
        <v/>
      </c>
      <c r="S335" s="259" t="str">
        <f t="shared" si="342"/>
        <v/>
      </c>
      <c r="T335" s="256" t="str">
        <f t="shared" si="343"/>
        <v/>
      </c>
      <c r="U335" s="217"/>
      <c r="V335" s="217"/>
      <c r="AB335" s="257" t="e">
        <f>VLOOKUP($B$6,Lookup_Source,328,0)</f>
        <v>#N/A</v>
      </c>
      <c r="AC335" s="241" t="str">
        <f t="shared" si="344"/>
        <v/>
      </c>
      <c r="AD335" s="242">
        <f t="shared" si="345"/>
        <v>7</v>
      </c>
      <c r="AE335" s="261" t="e">
        <f t="shared" si="314"/>
        <v>#N/A</v>
      </c>
      <c r="AF335" s="264" t="e">
        <f t="shared" si="346"/>
        <v>#N/A</v>
      </c>
      <c r="AG335" s="264" t="e">
        <f t="shared" si="347"/>
        <v>#N/A</v>
      </c>
      <c r="AH335" s="263" t="e">
        <f t="shared" si="315"/>
        <v>#N/A</v>
      </c>
      <c r="AI335" s="226">
        <f t="shared" si="348"/>
        <v>7</v>
      </c>
      <c r="AJ335" s="264" t="e">
        <f t="shared" si="316"/>
        <v>#N/A</v>
      </c>
      <c r="AK335" s="264" t="e">
        <f t="shared" si="349"/>
        <v>#N/A</v>
      </c>
      <c r="AL335" s="226" t="e">
        <f t="shared" si="317"/>
        <v>#N/A</v>
      </c>
      <c r="AM335" s="265" t="e">
        <f t="shared" si="350"/>
        <v>#N/A</v>
      </c>
      <c r="AN335" s="266" t="e">
        <f t="shared" si="318"/>
        <v>#N/A</v>
      </c>
      <c r="AO335" s="227" t="e">
        <f t="shared" si="319"/>
        <v>#N/A</v>
      </c>
      <c r="AP335" s="284">
        <f t="shared" si="351"/>
        <v>7</v>
      </c>
      <c r="AQ335" s="285" t="e">
        <f t="shared" si="320"/>
        <v>#N/A</v>
      </c>
      <c r="AR335" s="266" t="e">
        <f t="shared" si="352"/>
        <v>#N/A</v>
      </c>
      <c r="AS335" s="270" t="e">
        <f t="shared" si="321"/>
        <v>#N/A</v>
      </c>
      <c r="AT335" s="271">
        <f t="shared" si="353"/>
        <v>7</v>
      </c>
      <c r="AU335" s="272" t="e">
        <f t="shared" si="354"/>
        <v>#N/A</v>
      </c>
      <c r="AV335" s="273" t="e">
        <f t="shared" si="355"/>
        <v>#N/A</v>
      </c>
      <c r="AW335" s="274" t="e">
        <f t="shared" si="322"/>
        <v>#N/A</v>
      </c>
      <c r="AX335" s="232">
        <f t="shared" si="356"/>
        <v>7</v>
      </c>
      <c r="AY335" s="273" t="e">
        <f t="shared" si="323"/>
        <v>#N/A</v>
      </c>
      <c r="AZ335" s="232" t="e">
        <f t="shared" si="357"/>
        <v>#N/A</v>
      </c>
      <c r="BA335" s="232" t="e">
        <f t="shared" si="324"/>
        <v>#N/A</v>
      </c>
      <c r="BB335" s="275">
        <f t="shared" si="358"/>
        <v>7</v>
      </c>
      <c r="BC335" s="276" t="e">
        <f t="shared" si="359"/>
        <v>#N/A</v>
      </c>
      <c r="BD335" s="277" t="e">
        <f t="shared" si="360"/>
        <v>#N/A</v>
      </c>
      <c r="BE335" s="250" t="e">
        <f t="shared" si="325"/>
        <v>#N/A</v>
      </c>
      <c r="BF335" s="247">
        <f t="shared" si="361"/>
        <v>7</v>
      </c>
      <c r="BG335" s="276" t="e">
        <f t="shared" si="362"/>
        <v>#N/A</v>
      </c>
      <c r="BH335" s="277" t="e">
        <f t="shared" si="363"/>
        <v>#N/A</v>
      </c>
      <c r="BI335" s="250" t="e">
        <f t="shared" si="326"/>
        <v>#N/A</v>
      </c>
      <c r="BJ335" s="251">
        <f t="shared" si="364"/>
        <v>7</v>
      </c>
      <c r="BK335" s="278" t="e">
        <f t="shared" si="365"/>
        <v>#N/A</v>
      </c>
      <c r="BL335" s="278" t="e">
        <f t="shared" si="366"/>
        <v>#N/A</v>
      </c>
      <c r="BM335" s="279" t="e">
        <f t="shared" si="327"/>
        <v>#N/A</v>
      </c>
      <c r="BN335" s="280">
        <f t="shared" si="367"/>
        <v>7</v>
      </c>
      <c r="BO335" s="281" t="e">
        <f t="shared" si="368"/>
        <v>#N/A</v>
      </c>
      <c r="BP335" s="281" t="e">
        <f t="shared" si="369"/>
        <v>#N/A</v>
      </c>
      <c r="BQ335" s="279" t="e">
        <f t="shared" si="328"/>
        <v>#N/A</v>
      </c>
      <c r="BR335" s="282" t="e">
        <f t="shared" si="329"/>
        <v>#N/A</v>
      </c>
      <c r="BS335" s="217" t="e">
        <f>VLOOKUP($B335,SDR24_STOCK_BY_LA!$A$2:$C$11878,3,0)</f>
        <v>#N/A</v>
      </c>
      <c r="BT335" s="217" t="str">
        <f t="shared" si="370"/>
        <v/>
      </c>
    </row>
    <row r="336" spans="1:72" x14ac:dyDescent="0.2">
      <c r="A336" s="217" t="str">
        <f t="shared" si="371"/>
        <v/>
      </c>
      <c r="B336" s="217" t="str">
        <f t="shared" si="372"/>
        <v/>
      </c>
      <c r="C336" s="283" t="str">
        <f t="shared" si="330"/>
        <v/>
      </c>
      <c r="D336" s="256" t="str">
        <f>IF(B336="","",IF(totals!$Q$3=0,IFERROR(IF(AD336=2,"0",AE336),""),"-"))</f>
        <v/>
      </c>
      <c r="E336" s="258" t="str">
        <f t="shared" si="331"/>
        <v/>
      </c>
      <c r="F336" s="259" t="str">
        <f t="shared" si="332"/>
        <v/>
      </c>
      <c r="G336" s="259" t="str">
        <f t="shared" si="333"/>
        <v/>
      </c>
      <c r="H336" s="256" t="str">
        <f t="shared" si="311"/>
        <v/>
      </c>
      <c r="I336" s="259" t="str">
        <f t="shared" si="334"/>
        <v/>
      </c>
      <c r="J336" s="259" t="str">
        <f t="shared" si="335"/>
        <v/>
      </c>
      <c r="K336" s="256" t="str">
        <f t="shared" si="312"/>
        <v/>
      </c>
      <c r="L336" s="259" t="str">
        <f t="shared" si="313"/>
        <v/>
      </c>
      <c r="M336" s="259" t="str">
        <f t="shared" si="336"/>
        <v/>
      </c>
      <c r="N336" s="256" t="str">
        <f t="shared" si="337"/>
        <v/>
      </c>
      <c r="O336" s="259" t="str">
        <f t="shared" si="338"/>
        <v/>
      </c>
      <c r="P336" s="259" t="str">
        <f t="shared" si="339"/>
        <v/>
      </c>
      <c r="Q336" s="256" t="str">
        <f t="shared" si="340"/>
        <v/>
      </c>
      <c r="R336" s="259" t="str">
        <f t="shared" si="341"/>
        <v/>
      </c>
      <c r="S336" s="259" t="str">
        <f t="shared" si="342"/>
        <v/>
      </c>
      <c r="T336" s="256" t="str">
        <f t="shared" si="343"/>
        <v/>
      </c>
      <c r="U336" s="217"/>
      <c r="V336" s="217"/>
      <c r="AB336" s="217" t="e">
        <f>VLOOKUP($B$6,Lookup_Source,329,0)</f>
        <v>#N/A</v>
      </c>
      <c r="AC336" s="241" t="str">
        <f t="shared" si="344"/>
        <v/>
      </c>
      <c r="AD336" s="242">
        <f t="shared" si="345"/>
        <v>7</v>
      </c>
      <c r="AE336" s="261" t="e">
        <f t="shared" si="314"/>
        <v>#N/A</v>
      </c>
      <c r="AF336" s="264" t="e">
        <f t="shared" si="346"/>
        <v>#N/A</v>
      </c>
      <c r="AG336" s="264" t="e">
        <f t="shared" si="347"/>
        <v>#N/A</v>
      </c>
      <c r="AH336" s="263" t="e">
        <f t="shared" si="315"/>
        <v>#N/A</v>
      </c>
      <c r="AI336" s="226">
        <f t="shared" si="348"/>
        <v>7</v>
      </c>
      <c r="AJ336" s="264" t="e">
        <f t="shared" si="316"/>
        <v>#N/A</v>
      </c>
      <c r="AK336" s="264" t="e">
        <f t="shared" si="349"/>
        <v>#N/A</v>
      </c>
      <c r="AL336" s="226" t="e">
        <f t="shared" si="317"/>
        <v>#N/A</v>
      </c>
      <c r="AM336" s="265" t="e">
        <f t="shared" si="350"/>
        <v>#N/A</v>
      </c>
      <c r="AN336" s="266" t="e">
        <f t="shared" si="318"/>
        <v>#N/A</v>
      </c>
      <c r="AO336" s="227" t="e">
        <f t="shared" si="319"/>
        <v>#N/A</v>
      </c>
      <c r="AP336" s="284">
        <f t="shared" si="351"/>
        <v>7</v>
      </c>
      <c r="AQ336" s="285" t="e">
        <f t="shared" si="320"/>
        <v>#N/A</v>
      </c>
      <c r="AR336" s="266" t="e">
        <f t="shared" si="352"/>
        <v>#N/A</v>
      </c>
      <c r="AS336" s="270" t="e">
        <f t="shared" si="321"/>
        <v>#N/A</v>
      </c>
      <c r="AT336" s="271">
        <f t="shared" si="353"/>
        <v>7</v>
      </c>
      <c r="AU336" s="272" t="e">
        <f t="shared" si="354"/>
        <v>#N/A</v>
      </c>
      <c r="AV336" s="273" t="e">
        <f t="shared" si="355"/>
        <v>#N/A</v>
      </c>
      <c r="AW336" s="274" t="e">
        <f t="shared" si="322"/>
        <v>#N/A</v>
      </c>
      <c r="AX336" s="232">
        <f t="shared" si="356"/>
        <v>7</v>
      </c>
      <c r="AY336" s="273" t="e">
        <f t="shared" si="323"/>
        <v>#N/A</v>
      </c>
      <c r="AZ336" s="232" t="e">
        <f t="shared" si="357"/>
        <v>#N/A</v>
      </c>
      <c r="BA336" s="232" t="e">
        <f t="shared" si="324"/>
        <v>#N/A</v>
      </c>
      <c r="BB336" s="275">
        <f t="shared" si="358"/>
        <v>7</v>
      </c>
      <c r="BC336" s="276" t="e">
        <f t="shared" si="359"/>
        <v>#N/A</v>
      </c>
      <c r="BD336" s="277" t="e">
        <f t="shared" si="360"/>
        <v>#N/A</v>
      </c>
      <c r="BE336" s="250" t="e">
        <f t="shared" si="325"/>
        <v>#N/A</v>
      </c>
      <c r="BF336" s="247">
        <f t="shared" si="361"/>
        <v>7</v>
      </c>
      <c r="BG336" s="276" t="e">
        <f t="shared" si="362"/>
        <v>#N/A</v>
      </c>
      <c r="BH336" s="277" t="e">
        <f t="shared" si="363"/>
        <v>#N/A</v>
      </c>
      <c r="BI336" s="250" t="e">
        <f t="shared" si="326"/>
        <v>#N/A</v>
      </c>
      <c r="BJ336" s="251">
        <f t="shared" si="364"/>
        <v>7</v>
      </c>
      <c r="BK336" s="278" t="e">
        <f t="shared" si="365"/>
        <v>#N/A</v>
      </c>
      <c r="BL336" s="278" t="e">
        <f t="shared" si="366"/>
        <v>#N/A</v>
      </c>
      <c r="BM336" s="279" t="e">
        <f t="shared" si="327"/>
        <v>#N/A</v>
      </c>
      <c r="BN336" s="280">
        <f t="shared" si="367"/>
        <v>7</v>
      </c>
      <c r="BO336" s="281" t="e">
        <f t="shared" si="368"/>
        <v>#N/A</v>
      </c>
      <c r="BP336" s="281" t="e">
        <f t="shared" si="369"/>
        <v>#N/A</v>
      </c>
      <c r="BQ336" s="279" t="e">
        <f t="shared" si="328"/>
        <v>#N/A</v>
      </c>
      <c r="BR336" s="282" t="e">
        <f t="shared" si="329"/>
        <v>#N/A</v>
      </c>
      <c r="BS336" s="217" t="e">
        <f>VLOOKUP($B336,SDR24_STOCK_BY_LA!$A$2:$C$11878,3,0)</f>
        <v>#N/A</v>
      </c>
      <c r="BT336" s="217" t="str">
        <f t="shared" si="370"/>
        <v/>
      </c>
    </row>
    <row r="337" spans="1:72" x14ac:dyDescent="0.2">
      <c r="A337" s="256" t="str">
        <f t="shared" si="371"/>
        <v/>
      </c>
      <c r="B337" s="217" t="str">
        <f t="shared" si="372"/>
        <v/>
      </c>
      <c r="C337" s="257" t="str">
        <f t="shared" si="330"/>
        <v/>
      </c>
      <c r="D337" s="256" t="str">
        <f>IF(B337="","",IF(totals!$Q$3=0,IFERROR(IF(AD337=2,"0",AE337),""),"-"))</f>
        <v/>
      </c>
      <c r="E337" s="258" t="str">
        <f t="shared" si="331"/>
        <v/>
      </c>
      <c r="F337" s="259" t="str">
        <f t="shared" si="332"/>
        <v/>
      </c>
      <c r="G337" s="259" t="str">
        <f t="shared" si="333"/>
        <v/>
      </c>
      <c r="H337" s="256" t="str">
        <f t="shared" si="311"/>
        <v/>
      </c>
      <c r="I337" s="259" t="str">
        <f t="shared" si="334"/>
        <v/>
      </c>
      <c r="J337" s="259" t="str">
        <f t="shared" si="335"/>
        <v/>
      </c>
      <c r="K337" s="256" t="str">
        <f t="shared" si="312"/>
        <v/>
      </c>
      <c r="L337" s="259" t="str">
        <f t="shared" si="313"/>
        <v/>
      </c>
      <c r="M337" s="259" t="str">
        <f t="shared" si="336"/>
        <v/>
      </c>
      <c r="N337" s="256" t="str">
        <f t="shared" si="337"/>
        <v/>
      </c>
      <c r="O337" s="259" t="str">
        <f t="shared" si="338"/>
        <v/>
      </c>
      <c r="P337" s="259" t="str">
        <f t="shared" si="339"/>
        <v/>
      </c>
      <c r="Q337" s="256" t="str">
        <f t="shared" si="340"/>
        <v/>
      </c>
      <c r="R337" s="259" t="str">
        <f t="shared" si="341"/>
        <v/>
      </c>
      <c r="S337" s="259" t="str">
        <f t="shared" si="342"/>
        <v/>
      </c>
      <c r="T337" s="256" t="str">
        <f t="shared" si="343"/>
        <v/>
      </c>
      <c r="U337" s="217"/>
      <c r="V337" s="217"/>
      <c r="AB337" s="257" t="e">
        <f>VLOOKUP($B$6,Lookup_Source,330,0)</f>
        <v>#N/A</v>
      </c>
      <c r="AC337" s="241" t="str">
        <f t="shared" si="344"/>
        <v/>
      </c>
      <c r="AD337" s="242">
        <f t="shared" si="345"/>
        <v>7</v>
      </c>
      <c r="AE337" s="261" t="e">
        <f t="shared" si="314"/>
        <v>#N/A</v>
      </c>
      <c r="AF337" s="264" t="e">
        <f t="shared" si="346"/>
        <v>#N/A</v>
      </c>
      <c r="AG337" s="264" t="e">
        <f t="shared" si="347"/>
        <v>#N/A</v>
      </c>
      <c r="AH337" s="263" t="e">
        <f t="shared" si="315"/>
        <v>#N/A</v>
      </c>
      <c r="AI337" s="226">
        <f t="shared" si="348"/>
        <v>7</v>
      </c>
      <c r="AJ337" s="264" t="e">
        <f t="shared" si="316"/>
        <v>#N/A</v>
      </c>
      <c r="AK337" s="264" t="e">
        <f t="shared" si="349"/>
        <v>#N/A</v>
      </c>
      <c r="AL337" s="226" t="e">
        <f t="shared" si="317"/>
        <v>#N/A</v>
      </c>
      <c r="AM337" s="265" t="e">
        <f t="shared" si="350"/>
        <v>#N/A</v>
      </c>
      <c r="AN337" s="266" t="e">
        <f t="shared" si="318"/>
        <v>#N/A</v>
      </c>
      <c r="AO337" s="227" t="e">
        <f t="shared" si="319"/>
        <v>#N/A</v>
      </c>
      <c r="AP337" s="284">
        <f t="shared" si="351"/>
        <v>7</v>
      </c>
      <c r="AQ337" s="285" t="e">
        <f t="shared" si="320"/>
        <v>#N/A</v>
      </c>
      <c r="AR337" s="266" t="e">
        <f t="shared" si="352"/>
        <v>#N/A</v>
      </c>
      <c r="AS337" s="270" t="e">
        <f t="shared" si="321"/>
        <v>#N/A</v>
      </c>
      <c r="AT337" s="271">
        <f t="shared" si="353"/>
        <v>7</v>
      </c>
      <c r="AU337" s="272" t="e">
        <f t="shared" si="354"/>
        <v>#N/A</v>
      </c>
      <c r="AV337" s="273" t="e">
        <f t="shared" si="355"/>
        <v>#N/A</v>
      </c>
      <c r="AW337" s="274" t="e">
        <f t="shared" si="322"/>
        <v>#N/A</v>
      </c>
      <c r="AX337" s="232">
        <f t="shared" si="356"/>
        <v>7</v>
      </c>
      <c r="AY337" s="273" t="e">
        <f t="shared" si="323"/>
        <v>#N/A</v>
      </c>
      <c r="AZ337" s="232" t="e">
        <f t="shared" si="357"/>
        <v>#N/A</v>
      </c>
      <c r="BA337" s="232" t="e">
        <f t="shared" si="324"/>
        <v>#N/A</v>
      </c>
      <c r="BB337" s="275">
        <f t="shared" si="358"/>
        <v>7</v>
      </c>
      <c r="BC337" s="276" t="e">
        <f t="shared" si="359"/>
        <v>#N/A</v>
      </c>
      <c r="BD337" s="277" t="e">
        <f t="shared" si="360"/>
        <v>#N/A</v>
      </c>
      <c r="BE337" s="250" t="e">
        <f t="shared" si="325"/>
        <v>#N/A</v>
      </c>
      <c r="BF337" s="247">
        <f t="shared" si="361"/>
        <v>7</v>
      </c>
      <c r="BG337" s="276" t="e">
        <f t="shared" si="362"/>
        <v>#N/A</v>
      </c>
      <c r="BH337" s="277" t="e">
        <f t="shared" si="363"/>
        <v>#N/A</v>
      </c>
      <c r="BI337" s="250" t="e">
        <f t="shared" si="326"/>
        <v>#N/A</v>
      </c>
      <c r="BJ337" s="251">
        <f t="shared" si="364"/>
        <v>7</v>
      </c>
      <c r="BK337" s="278" t="e">
        <f t="shared" si="365"/>
        <v>#N/A</v>
      </c>
      <c r="BL337" s="278" t="e">
        <f t="shared" si="366"/>
        <v>#N/A</v>
      </c>
      <c r="BM337" s="279" t="e">
        <f t="shared" si="327"/>
        <v>#N/A</v>
      </c>
      <c r="BN337" s="280">
        <f t="shared" si="367"/>
        <v>7</v>
      </c>
      <c r="BO337" s="281" t="e">
        <f t="shared" si="368"/>
        <v>#N/A</v>
      </c>
      <c r="BP337" s="281" t="e">
        <f t="shared" si="369"/>
        <v>#N/A</v>
      </c>
      <c r="BQ337" s="279" t="e">
        <f t="shared" si="328"/>
        <v>#N/A</v>
      </c>
      <c r="BR337" s="282" t="e">
        <f t="shared" si="329"/>
        <v>#N/A</v>
      </c>
      <c r="BS337" s="217" t="e">
        <f>VLOOKUP($B337,SDR24_STOCK_BY_LA!$A$2:$C$11878,3,0)</f>
        <v>#N/A</v>
      </c>
      <c r="BT337" s="217" t="str">
        <f t="shared" si="370"/>
        <v/>
      </c>
    </row>
    <row r="338" spans="1:72" x14ac:dyDescent="0.2">
      <c r="A338" s="217" t="str">
        <f t="shared" si="371"/>
        <v/>
      </c>
      <c r="B338" s="217" t="str">
        <f t="shared" si="372"/>
        <v/>
      </c>
      <c r="C338" s="283" t="str">
        <f t="shared" si="330"/>
        <v/>
      </c>
      <c r="D338" s="256" t="str">
        <f>IF(B338="","",IF(totals!$Q$3=0,IFERROR(IF(AD338=2,"0",AE338),""),"-"))</f>
        <v/>
      </c>
      <c r="E338" s="258" t="str">
        <f t="shared" si="331"/>
        <v/>
      </c>
      <c r="F338" s="259" t="str">
        <f t="shared" si="332"/>
        <v/>
      </c>
      <c r="G338" s="259" t="str">
        <f t="shared" si="333"/>
        <v/>
      </c>
      <c r="H338" s="256" t="str">
        <f t="shared" si="311"/>
        <v/>
      </c>
      <c r="I338" s="259" t="str">
        <f t="shared" si="334"/>
        <v/>
      </c>
      <c r="J338" s="259" t="str">
        <f t="shared" si="335"/>
        <v/>
      </c>
      <c r="K338" s="256" t="str">
        <f t="shared" si="312"/>
        <v/>
      </c>
      <c r="L338" s="259" t="str">
        <f t="shared" si="313"/>
        <v/>
      </c>
      <c r="M338" s="259" t="str">
        <f t="shared" si="336"/>
        <v/>
      </c>
      <c r="N338" s="256" t="str">
        <f t="shared" si="337"/>
        <v/>
      </c>
      <c r="O338" s="259" t="str">
        <f t="shared" si="338"/>
        <v/>
      </c>
      <c r="P338" s="259" t="str">
        <f t="shared" si="339"/>
        <v/>
      </c>
      <c r="Q338" s="256" t="str">
        <f t="shared" si="340"/>
        <v/>
      </c>
      <c r="R338" s="259" t="str">
        <f t="shared" si="341"/>
        <v/>
      </c>
      <c r="S338" s="259" t="str">
        <f t="shared" si="342"/>
        <v/>
      </c>
      <c r="T338" s="256" t="str">
        <f t="shared" si="343"/>
        <v/>
      </c>
      <c r="U338" s="217"/>
      <c r="V338" s="217"/>
      <c r="AB338" s="217" t="e">
        <f>VLOOKUP($B$6,Lookup_Source,331,0)</f>
        <v>#N/A</v>
      </c>
      <c r="AC338" s="241" t="str">
        <f t="shared" si="344"/>
        <v/>
      </c>
      <c r="AD338" s="242">
        <f t="shared" si="345"/>
        <v>7</v>
      </c>
      <c r="AE338" s="261" t="e">
        <f t="shared" si="314"/>
        <v>#N/A</v>
      </c>
      <c r="AF338" s="264" t="e">
        <f t="shared" si="346"/>
        <v>#N/A</v>
      </c>
      <c r="AG338" s="264" t="e">
        <f t="shared" si="347"/>
        <v>#N/A</v>
      </c>
      <c r="AH338" s="263" t="e">
        <f t="shared" si="315"/>
        <v>#N/A</v>
      </c>
      <c r="AI338" s="226">
        <f t="shared" si="348"/>
        <v>7</v>
      </c>
      <c r="AJ338" s="264" t="e">
        <f t="shared" si="316"/>
        <v>#N/A</v>
      </c>
      <c r="AK338" s="264" t="e">
        <f t="shared" si="349"/>
        <v>#N/A</v>
      </c>
      <c r="AL338" s="226" t="e">
        <f t="shared" si="317"/>
        <v>#N/A</v>
      </c>
      <c r="AM338" s="265" t="e">
        <f t="shared" si="350"/>
        <v>#N/A</v>
      </c>
      <c r="AN338" s="266" t="e">
        <f t="shared" si="318"/>
        <v>#N/A</v>
      </c>
      <c r="AO338" s="227" t="e">
        <f t="shared" si="319"/>
        <v>#N/A</v>
      </c>
      <c r="AP338" s="284">
        <f t="shared" si="351"/>
        <v>7</v>
      </c>
      <c r="AQ338" s="285" t="e">
        <f t="shared" si="320"/>
        <v>#N/A</v>
      </c>
      <c r="AR338" s="266" t="e">
        <f t="shared" si="352"/>
        <v>#N/A</v>
      </c>
      <c r="AS338" s="270" t="e">
        <f t="shared" si="321"/>
        <v>#N/A</v>
      </c>
      <c r="AT338" s="271">
        <f t="shared" si="353"/>
        <v>7</v>
      </c>
      <c r="AU338" s="272" t="e">
        <f t="shared" si="354"/>
        <v>#N/A</v>
      </c>
      <c r="AV338" s="273" t="e">
        <f t="shared" si="355"/>
        <v>#N/A</v>
      </c>
      <c r="AW338" s="274" t="e">
        <f t="shared" si="322"/>
        <v>#N/A</v>
      </c>
      <c r="AX338" s="232">
        <f t="shared" si="356"/>
        <v>7</v>
      </c>
      <c r="AY338" s="273" t="e">
        <f t="shared" si="323"/>
        <v>#N/A</v>
      </c>
      <c r="AZ338" s="232" t="e">
        <f t="shared" si="357"/>
        <v>#N/A</v>
      </c>
      <c r="BA338" s="232" t="e">
        <f t="shared" si="324"/>
        <v>#N/A</v>
      </c>
      <c r="BB338" s="275">
        <f t="shared" si="358"/>
        <v>7</v>
      </c>
      <c r="BC338" s="276" t="e">
        <f t="shared" si="359"/>
        <v>#N/A</v>
      </c>
      <c r="BD338" s="277" t="e">
        <f t="shared" si="360"/>
        <v>#N/A</v>
      </c>
      <c r="BE338" s="250" t="e">
        <f t="shared" si="325"/>
        <v>#N/A</v>
      </c>
      <c r="BF338" s="247">
        <f t="shared" si="361"/>
        <v>7</v>
      </c>
      <c r="BG338" s="276" t="e">
        <f t="shared" si="362"/>
        <v>#N/A</v>
      </c>
      <c r="BH338" s="277" t="e">
        <f t="shared" si="363"/>
        <v>#N/A</v>
      </c>
      <c r="BI338" s="250" t="e">
        <f t="shared" si="326"/>
        <v>#N/A</v>
      </c>
      <c r="BJ338" s="251">
        <f t="shared" si="364"/>
        <v>7</v>
      </c>
      <c r="BK338" s="278" t="e">
        <f t="shared" si="365"/>
        <v>#N/A</v>
      </c>
      <c r="BL338" s="278" t="e">
        <f t="shared" si="366"/>
        <v>#N/A</v>
      </c>
      <c r="BM338" s="279" t="e">
        <f t="shared" si="327"/>
        <v>#N/A</v>
      </c>
      <c r="BN338" s="280">
        <f t="shared" si="367"/>
        <v>7</v>
      </c>
      <c r="BO338" s="281" t="e">
        <f t="shared" si="368"/>
        <v>#N/A</v>
      </c>
      <c r="BP338" s="281" t="e">
        <f t="shared" si="369"/>
        <v>#N/A</v>
      </c>
      <c r="BQ338" s="279" t="e">
        <f t="shared" si="328"/>
        <v>#N/A</v>
      </c>
      <c r="BR338" s="282" t="e">
        <f t="shared" si="329"/>
        <v>#N/A</v>
      </c>
      <c r="BS338" s="217" t="e">
        <f>VLOOKUP($B338,SDR24_STOCK_BY_LA!$A$2:$C$11878,3,0)</f>
        <v>#N/A</v>
      </c>
      <c r="BT338" s="217" t="str">
        <f t="shared" si="370"/>
        <v/>
      </c>
    </row>
    <row r="339" spans="1:72" x14ac:dyDescent="0.2">
      <c r="A339" s="256" t="str">
        <f t="shared" si="371"/>
        <v/>
      </c>
      <c r="B339" s="217" t="str">
        <f t="shared" si="372"/>
        <v/>
      </c>
      <c r="C339" s="257" t="str">
        <f t="shared" si="330"/>
        <v/>
      </c>
      <c r="D339" s="256" t="str">
        <f>IF(B339="","",IF(totals!$Q$3=0,IFERROR(IF(AD339=2,"0",AE339),""),"-"))</f>
        <v/>
      </c>
      <c r="E339" s="258" t="str">
        <f t="shared" si="331"/>
        <v/>
      </c>
      <c r="F339" s="259" t="str">
        <f t="shared" si="332"/>
        <v/>
      </c>
      <c r="G339" s="259" t="str">
        <f t="shared" si="333"/>
        <v/>
      </c>
      <c r="H339" s="256" t="str">
        <f t="shared" si="311"/>
        <v/>
      </c>
      <c r="I339" s="259" t="str">
        <f t="shared" si="334"/>
        <v/>
      </c>
      <c r="J339" s="259" t="str">
        <f t="shared" si="335"/>
        <v/>
      </c>
      <c r="K339" s="256" t="str">
        <f t="shared" si="312"/>
        <v/>
      </c>
      <c r="L339" s="259" t="str">
        <f t="shared" si="313"/>
        <v/>
      </c>
      <c r="M339" s="259" t="str">
        <f t="shared" si="336"/>
        <v/>
      </c>
      <c r="N339" s="256" t="str">
        <f t="shared" si="337"/>
        <v/>
      </c>
      <c r="O339" s="259" t="str">
        <f t="shared" si="338"/>
        <v/>
      </c>
      <c r="P339" s="259" t="str">
        <f t="shared" si="339"/>
        <v/>
      </c>
      <c r="Q339" s="256" t="str">
        <f t="shared" si="340"/>
        <v/>
      </c>
      <c r="R339" s="259" t="str">
        <f t="shared" si="341"/>
        <v/>
      </c>
      <c r="S339" s="259" t="str">
        <f t="shared" si="342"/>
        <v/>
      </c>
      <c r="T339" s="256" t="str">
        <f t="shared" si="343"/>
        <v/>
      </c>
      <c r="U339" s="217"/>
      <c r="V339" s="217"/>
      <c r="AB339" s="257" t="e">
        <f>VLOOKUP($B$6,Lookup_Source,332,0)</f>
        <v>#N/A</v>
      </c>
      <c r="AC339" s="241" t="str">
        <f t="shared" si="344"/>
        <v/>
      </c>
      <c r="AD339" s="242">
        <f t="shared" si="345"/>
        <v>7</v>
      </c>
      <c r="AE339" s="261" t="e">
        <f t="shared" si="314"/>
        <v>#N/A</v>
      </c>
      <c r="AF339" s="264" t="e">
        <f t="shared" si="346"/>
        <v>#N/A</v>
      </c>
      <c r="AG339" s="264" t="e">
        <f t="shared" si="347"/>
        <v>#N/A</v>
      </c>
      <c r="AH339" s="263" t="e">
        <f t="shared" si="315"/>
        <v>#N/A</v>
      </c>
      <c r="AI339" s="226">
        <f t="shared" si="348"/>
        <v>7</v>
      </c>
      <c r="AJ339" s="264" t="e">
        <f t="shared" si="316"/>
        <v>#N/A</v>
      </c>
      <c r="AK339" s="264" t="e">
        <f t="shared" si="349"/>
        <v>#N/A</v>
      </c>
      <c r="AL339" s="226" t="e">
        <f t="shared" si="317"/>
        <v>#N/A</v>
      </c>
      <c r="AM339" s="265" t="e">
        <f t="shared" si="350"/>
        <v>#N/A</v>
      </c>
      <c r="AN339" s="266" t="e">
        <f t="shared" si="318"/>
        <v>#N/A</v>
      </c>
      <c r="AO339" s="227" t="e">
        <f t="shared" si="319"/>
        <v>#N/A</v>
      </c>
      <c r="AP339" s="284">
        <f t="shared" si="351"/>
        <v>7</v>
      </c>
      <c r="AQ339" s="285" t="e">
        <f t="shared" si="320"/>
        <v>#N/A</v>
      </c>
      <c r="AR339" s="266" t="e">
        <f t="shared" si="352"/>
        <v>#N/A</v>
      </c>
      <c r="AS339" s="270" t="e">
        <f t="shared" si="321"/>
        <v>#N/A</v>
      </c>
      <c r="AT339" s="271">
        <f t="shared" si="353"/>
        <v>7</v>
      </c>
      <c r="AU339" s="272" t="e">
        <f t="shared" si="354"/>
        <v>#N/A</v>
      </c>
      <c r="AV339" s="273" t="e">
        <f t="shared" si="355"/>
        <v>#N/A</v>
      </c>
      <c r="AW339" s="274" t="e">
        <f t="shared" si="322"/>
        <v>#N/A</v>
      </c>
      <c r="AX339" s="232">
        <f t="shared" si="356"/>
        <v>7</v>
      </c>
      <c r="AY339" s="273" t="e">
        <f t="shared" si="323"/>
        <v>#N/A</v>
      </c>
      <c r="AZ339" s="232" t="e">
        <f t="shared" si="357"/>
        <v>#N/A</v>
      </c>
      <c r="BA339" s="232" t="e">
        <f t="shared" si="324"/>
        <v>#N/A</v>
      </c>
      <c r="BB339" s="275">
        <f t="shared" si="358"/>
        <v>7</v>
      </c>
      <c r="BC339" s="276" t="e">
        <f t="shared" si="359"/>
        <v>#N/A</v>
      </c>
      <c r="BD339" s="277" t="e">
        <f t="shared" si="360"/>
        <v>#N/A</v>
      </c>
      <c r="BE339" s="250" t="e">
        <f t="shared" si="325"/>
        <v>#N/A</v>
      </c>
      <c r="BF339" s="247">
        <f t="shared" si="361"/>
        <v>7</v>
      </c>
      <c r="BG339" s="276" t="e">
        <f t="shared" si="362"/>
        <v>#N/A</v>
      </c>
      <c r="BH339" s="277" t="e">
        <f t="shared" si="363"/>
        <v>#N/A</v>
      </c>
      <c r="BI339" s="250" t="e">
        <f t="shared" si="326"/>
        <v>#N/A</v>
      </c>
      <c r="BJ339" s="251">
        <f t="shared" si="364"/>
        <v>7</v>
      </c>
      <c r="BK339" s="278" t="e">
        <f t="shared" si="365"/>
        <v>#N/A</v>
      </c>
      <c r="BL339" s="278" t="e">
        <f t="shared" si="366"/>
        <v>#N/A</v>
      </c>
      <c r="BM339" s="279" t="e">
        <f t="shared" si="327"/>
        <v>#N/A</v>
      </c>
      <c r="BN339" s="280">
        <f t="shared" si="367"/>
        <v>7</v>
      </c>
      <c r="BO339" s="281" t="e">
        <f t="shared" si="368"/>
        <v>#N/A</v>
      </c>
      <c r="BP339" s="281" t="e">
        <f t="shared" si="369"/>
        <v>#N/A</v>
      </c>
      <c r="BQ339" s="279" t="e">
        <f t="shared" si="328"/>
        <v>#N/A</v>
      </c>
      <c r="BR339" s="282" t="e">
        <f t="shared" si="329"/>
        <v>#N/A</v>
      </c>
      <c r="BS339" s="217" t="e">
        <f>VLOOKUP($B339,SDR24_STOCK_BY_LA!$A$2:$C$11878,3,0)</f>
        <v>#N/A</v>
      </c>
      <c r="BT339" s="217" t="str">
        <f t="shared" si="370"/>
        <v/>
      </c>
    </row>
    <row r="340" spans="1:72" x14ac:dyDescent="0.2">
      <c r="A340" s="217" t="str">
        <f t="shared" si="371"/>
        <v/>
      </c>
      <c r="B340" s="217" t="str">
        <f t="shared" si="372"/>
        <v/>
      </c>
      <c r="C340" s="283" t="str">
        <f t="shared" si="330"/>
        <v/>
      </c>
      <c r="D340" s="256" t="str">
        <f>IF(B340="","",IF(totals!$Q$3=0,IFERROR(IF(AD340=2,"0",AE340),""),"-"))</f>
        <v/>
      </c>
      <c r="E340" s="258" t="str">
        <f t="shared" si="331"/>
        <v/>
      </c>
      <c r="F340" s="259" t="str">
        <f t="shared" si="332"/>
        <v/>
      </c>
      <c r="G340" s="259" t="str">
        <f t="shared" si="333"/>
        <v/>
      </c>
      <c r="H340" s="256" t="str">
        <f t="shared" si="311"/>
        <v/>
      </c>
      <c r="I340" s="259" t="str">
        <f t="shared" si="334"/>
        <v/>
      </c>
      <c r="J340" s="259" t="str">
        <f t="shared" si="335"/>
        <v/>
      </c>
      <c r="K340" s="256" t="str">
        <f t="shared" si="312"/>
        <v/>
      </c>
      <c r="L340" s="259" t="str">
        <f t="shared" si="313"/>
        <v/>
      </c>
      <c r="M340" s="259" t="str">
        <f t="shared" si="336"/>
        <v/>
      </c>
      <c r="N340" s="256" t="str">
        <f t="shared" si="337"/>
        <v/>
      </c>
      <c r="O340" s="259" t="str">
        <f t="shared" si="338"/>
        <v/>
      </c>
      <c r="P340" s="259" t="str">
        <f t="shared" si="339"/>
        <v/>
      </c>
      <c r="Q340" s="256" t="str">
        <f t="shared" si="340"/>
        <v/>
      </c>
      <c r="R340" s="259" t="str">
        <f t="shared" si="341"/>
        <v/>
      </c>
      <c r="S340" s="259" t="str">
        <f t="shared" si="342"/>
        <v/>
      </c>
      <c r="T340" s="256" t="str">
        <f t="shared" si="343"/>
        <v/>
      </c>
      <c r="U340" s="217"/>
      <c r="V340" s="217"/>
      <c r="AB340" s="217" t="e">
        <f>VLOOKUP($B$6,Lookup_Source,333,0)</f>
        <v>#N/A</v>
      </c>
      <c r="AC340" s="241" t="str">
        <f t="shared" si="344"/>
        <v/>
      </c>
      <c r="AD340" s="242">
        <f t="shared" si="345"/>
        <v>7</v>
      </c>
      <c r="AE340" s="261" t="e">
        <f t="shared" si="314"/>
        <v>#N/A</v>
      </c>
      <c r="AF340" s="264" t="e">
        <f t="shared" si="346"/>
        <v>#N/A</v>
      </c>
      <c r="AG340" s="264" t="e">
        <f t="shared" si="347"/>
        <v>#N/A</v>
      </c>
      <c r="AH340" s="263" t="e">
        <f t="shared" si="315"/>
        <v>#N/A</v>
      </c>
      <c r="AI340" s="226">
        <f t="shared" si="348"/>
        <v>7</v>
      </c>
      <c r="AJ340" s="264" t="e">
        <f t="shared" si="316"/>
        <v>#N/A</v>
      </c>
      <c r="AK340" s="264" t="e">
        <f t="shared" si="349"/>
        <v>#N/A</v>
      </c>
      <c r="AL340" s="226" t="e">
        <f t="shared" si="317"/>
        <v>#N/A</v>
      </c>
      <c r="AM340" s="265" t="e">
        <f t="shared" si="350"/>
        <v>#N/A</v>
      </c>
      <c r="AN340" s="266" t="e">
        <f t="shared" si="318"/>
        <v>#N/A</v>
      </c>
      <c r="AO340" s="227" t="e">
        <f t="shared" si="319"/>
        <v>#N/A</v>
      </c>
      <c r="AP340" s="284">
        <f t="shared" si="351"/>
        <v>7</v>
      </c>
      <c r="AQ340" s="285" t="e">
        <f t="shared" si="320"/>
        <v>#N/A</v>
      </c>
      <c r="AR340" s="266" t="e">
        <f t="shared" si="352"/>
        <v>#N/A</v>
      </c>
      <c r="AS340" s="270" t="e">
        <f t="shared" si="321"/>
        <v>#N/A</v>
      </c>
      <c r="AT340" s="271">
        <f t="shared" si="353"/>
        <v>7</v>
      </c>
      <c r="AU340" s="272" t="e">
        <f t="shared" si="354"/>
        <v>#N/A</v>
      </c>
      <c r="AV340" s="273" t="e">
        <f t="shared" si="355"/>
        <v>#N/A</v>
      </c>
      <c r="AW340" s="274" t="e">
        <f t="shared" si="322"/>
        <v>#N/A</v>
      </c>
      <c r="AX340" s="232">
        <f t="shared" si="356"/>
        <v>7</v>
      </c>
      <c r="AY340" s="273" t="e">
        <f t="shared" si="323"/>
        <v>#N/A</v>
      </c>
      <c r="AZ340" s="232" t="e">
        <f t="shared" si="357"/>
        <v>#N/A</v>
      </c>
      <c r="BA340" s="232" t="e">
        <f t="shared" si="324"/>
        <v>#N/A</v>
      </c>
      <c r="BB340" s="275">
        <f t="shared" si="358"/>
        <v>7</v>
      </c>
      <c r="BC340" s="276" t="e">
        <f t="shared" si="359"/>
        <v>#N/A</v>
      </c>
      <c r="BD340" s="277" t="e">
        <f t="shared" si="360"/>
        <v>#N/A</v>
      </c>
      <c r="BE340" s="250" t="e">
        <f t="shared" si="325"/>
        <v>#N/A</v>
      </c>
      <c r="BF340" s="247">
        <f t="shared" si="361"/>
        <v>7</v>
      </c>
      <c r="BG340" s="276" t="e">
        <f t="shared" si="362"/>
        <v>#N/A</v>
      </c>
      <c r="BH340" s="277" t="e">
        <f t="shared" si="363"/>
        <v>#N/A</v>
      </c>
      <c r="BI340" s="250" t="e">
        <f t="shared" si="326"/>
        <v>#N/A</v>
      </c>
      <c r="BJ340" s="251">
        <f t="shared" si="364"/>
        <v>7</v>
      </c>
      <c r="BK340" s="278" t="e">
        <f t="shared" si="365"/>
        <v>#N/A</v>
      </c>
      <c r="BL340" s="278" t="e">
        <f t="shared" si="366"/>
        <v>#N/A</v>
      </c>
      <c r="BM340" s="279" t="e">
        <f t="shared" si="327"/>
        <v>#N/A</v>
      </c>
      <c r="BN340" s="280">
        <f t="shared" si="367"/>
        <v>7</v>
      </c>
      <c r="BO340" s="281" t="e">
        <f t="shared" si="368"/>
        <v>#N/A</v>
      </c>
      <c r="BP340" s="281" t="e">
        <f t="shared" si="369"/>
        <v>#N/A</v>
      </c>
      <c r="BQ340" s="279" t="e">
        <f t="shared" si="328"/>
        <v>#N/A</v>
      </c>
      <c r="BR340" s="282" t="e">
        <f t="shared" si="329"/>
        <v>#N/A</v>
      </c>
      <c r="BS340" s="217" t="e">
        <f>VLOOKUP($B340,SDR24_STOCK_BY_LA!$A$2:$C$11878,3,0)</f>
        <v>#N/A</v>
      </c>
      <c r="BT340" s="217" t="str">
        <f t="shared" si="370"/>
        <v/>
      </c>
    </row>
    <row r="341" spans="1:72" x14ac:dyDescent="0.2">
      <c r="A341" s="256" t="str">
        <f t="shared" si="371"/>
        <v/>
      </c>
      <c r="B341" s="217" t="str">
        <f t="shared" si="372"/>
        <v/>
      </c>
      <c r="C341" s="257" t="str">
        <f t="shared" si="330"/>
        <v/>
      </c>
      <c r="D341" s="256" t="str">
        <f>IF(B341="","",IF(totals!$Q$3=0,IFERROR(IF(AD341=2,"0",AE341),""),"-"))</f>
        <v/>
      </c>
      <c r="E341" s="258" t="str">
        <f t="shared" si="331"/>
        <v/>
      </c>
      <c r="F341" s="259" t="str">
        <f t="shared" si="332"/>
        <v/>
      </c>
      <c r="G341" s="259" t="str">
        <f t="shared" si="333"/>
        <v/>
      </c>
      <c r="H341" s="256" t="str">
        <f t="shared" si="311"/>
        <v/>
      </c>
      <c r="I341" s="259" t="str">
        <f t="shared" si="334"/>
        <v/>
      </c>
      <c r="J341" s="259" t="str">
        <f t="shared" si="335"/>
        <v/>
      </c>
      <c r="K341" s="256" t="str">
        <f t="shared" si="312"/>
        <v/>
      </c>
      <c r="L341" s="259" t="str">
        <f t="shared" si="313"/>
        <v/>
      </c>
      <c r="M341" s="259" t="str">
        <f t="shared" si="336"/>
        <v/>
      </c>
      <c r="N341" s="256" t="str">
        <f t="shared" si="337"/>
        <v/>
      </c>
      <c r="O341" s="259" t="str">
        <f t="shared" si="338"/>
        <v/>
      </c>
      <c r="P341" s="259" t="str">
        <f t="shared" si="339"/>
        <v/>
      </c>
      <c r="Q341" s="256" t="str">
        <f t="shared" si="340"/>
        <v/>
      </c>
      <c r="R341" s="259" t="str">
        <f t="shared" si="341"/>
        <v/>
      </c>
      <c r="S341" s="259" t="str">
        <f t="shared" si="342"/>
        <v/>
      </c>
      <c r="T341" s="256" t="str">
        <f t="shared" si="343"/>
        <v/>
      </c>
      <c r="U341" s="217"/>
      <c r="V341" s="217"/>
      <c r="AB341" s="257" t="e">
        <f>VLOOKUP($B$6,Lookup_Source,334,0)</f>
        <v>#N/A</v>
      </c>
      <c r="AC341" s="241" t="str">
        <f t="shared" si="344"/>
        <v/>
      </c>
      <c r="AD341" s="242">
        <f t="shared" si="345"/>
        <v>7</v>
      </c>
      <c r="AE341" s="261" t="e">
        <f t="shared" si="314"/>
        <v>#N/A</v>
      </c>
      <c r="AF341" s="264" t="e">
        <f t="shared" si="346"/>
        <v>#N/A</v>
      </c>
      <c r="AG341" s="264" t="e">
        <f t="shared" si="347"/>
        <v>#N/A</v>
      </c>
      <c r="AH341" s="263" t="e">
        <f t="shared" si="315"/>
        <v>#N/A</v>
      </c>
      <c r="AI341" s="226">
        <f t="shared" si="348"/>
        <v>7</v>
      </c>
      <c r="AJ341" s="264" t="e">
        <f t="shared" si="316"/>
        <v>#N/A</v>
      </c>
      <c r="AK341" s="264" t="e">
        <f t="shared" si="349"/>
        <v>#N/A</v>
      </c>
      <c r="AL341" s="226" t="e">
        <f t="shared" si="317"/>
        <v>#N/A</v>
      </c>
      <c r="AM341" s="265" t="e">
        <f t="shared" si="350"/>
        <v>#N/A</v>
      </c>
      <c r="AN341" s="266" t="e">
        <f t="shared" si="318"/>
        <v>#N/A</v>
      </c>
      <c r="AO341" s="227" t="e">
        <f t="shared" si="319"/>
        <v>#N/A</v>
      </c>
      <c r="AP341" s="284">
        <f t="shared" si="351"/>
        <v>7</v>
      </c>
      <c r="AQ341" s="285" t="e">
        <f t="shared" si="320"/>
        <v>#N/A</v>
      </c>
      <c r="AR341" s="266" t="e">
        <f t="shared" si="352"/>
        <v>#N/A</v>
      </c>
      <c r="AS341" s="270" t="e">
        <f t="shared" si="321"/>
        <v>#N/A</v>
      </c>
      <c r="AT341" s="271">
        <f t="shared" si="353"/>
        <v>7</v>
      </c>
      <c r="AU341" s="272" t="e">
        <f t="shared" si="354"/>
        <v>#N/A</v>
      </c>
      <c r="AV341" s="273" t="e">
        <f t="shared" si="355"/>
        <v>#N/A</v>
      </c>
      <c r="AW341" s="274" t="e">
        <f t="shared" si="322"/>
        <v>#N/A</v>
      </c>
      <c r="AX341" s="232">
        <f t="shared" si="356"/>
        <v>7</v>
      </c>
      <c r="AY341" s="273" t="e">
        <f t="shared" si="323"/>
        <v>#N/A</v>
      </c>
      <c r="AZ341" s="232" t="e">
        <f t="shared" si="357"/>
        <v>#N/A</v>
      </c>
      <c r="BA341" s="232" t="e">
        <f t="shared" si="324"/>
        <v>#N/A</v>
      </c>
      <c r="BB341" s="275">
        <f t="shared" si="358"/>
        <v>7</v>
      </c>
      <c r="BC341" s="276" t="e">
        <f t="shared" si="359"/>
        <v>#N/A</v>
      </c>
      <c r="BD341" s="277" t="e">
        <f t="shared" si="360"/>
        <v>#N/A</v>
      </c>
      <c r="BE341" s="250" t="e">
        <f t="shared" si="325"/>
        <v>#N/A</v>
      </c>
      <c r="BF341" s="247">
        <f t="shared" si="361"/>
        <v>7</v>
      </c>
      <c r="BG341" s="276" t="e">
        <f t="shared" si="362"/>
        <v>#N/A</v>
      </c>
      <c r="BH341" s="277" t="e">
        <f t="shared" si="363"/>
        <v>#N/A</v>
      </c>
      <c r="BI341" s="250" t="e">
        <f t="shared" si="326"/>
        <v>#N/A</v>
      </c>
      <c r="BJ341" s="251">
        <f t="shared" si="364"/>
        <v>7</v>
      </c>
      <c r="BK341" s="278" t="e">
        <f t="shared" si="365"/>
        <v>#N/A</v>
      </c>
      <c r="BL341" s="278" t="e">
        <f t="shared" si="366"/>
        <v>#N/A</v>
      </c>
      <c r="BM341" s="279" t="e">
        <f t="shared" si="327"/>
        <v>#N/A</v>
      </c>
      <c r="BN341" s="280">
        <f t="shared" si="367"/>
        <v>7</v>
      </c>
      <c r="BO341" s="281" t="e">
        <f t="shared" si="368"/>
        <v>#N/A</v>
      </c>
      <c r="BP341" s="281" t="e">
        <f t="shared" si="369"/>
        <v>#N/A</v>
      </c>
      <c r="BQ341" s="279" t="e">
        <f t="shared" si="328"/>
        <v>#N/A</v>
      </c>
      <c r="BR341" s="282" t="e">
        <f t="shared" si="329"/>
        <v>#N/A</v>
      </c>
      <c r="BS341" s="217" t="e">
        <f>VLOOKUP($B341,SDR24_STOCK_BY_LA!$A$2:$C$11878,3,0)</f>
        <v>#N/A</v>
      </c>
      <c r="BT341" s="217" t="str">
        <f t="shared" si="370"/>
        <v/>
      </c>
    </row>
    <row r="342" spans="1:72" x14ac:dyDescent="0.2">
      <c r="A342" s="217" t="str">
        <f t="shared" si="371"/>
        <v/>
      </c>
      <c r="B342" s="217" t="str">
        <f t="shared" si="372"/>
        <v/>
      </c>
      <c r="C342" s="283" t="str">
        <f t="shared" si="330"/>
        <v/>
      </c>
      <c r="D342" s="256" t="str">
        <f>IF(B342="","",IF(totals!$Q$3=0,IFERROR(IF(AD342=2,"0",AE342),""),"-"))</f>
        <v/>
      </c>
      <c r="E342" s="258" t="str">
        <f t="shared" si="331"/>
        <v/>
      </c>
      <c r="F342" s="259" t="str">
        <f t="shared" si="332"/>
        <v/>
      </c>
      <c r="G342" s="259" t="str">
        <f t="shared" si="333"/>
        <v/>
      </c>
      <c r="H342" s="256" t="str">
        <f t="shared" si="311"/>
        <v/>
      </c>
      <c r="I342" s="259" t="str">
        <f t="shared" si="334"/>
        <v/>
      </c>
      <c r="J342" s="259" t="str">
        <f t="shared" si="335"/>
        <v/>
      </c>
      <c r="K342" s="256" t="str">
        <f t="shared" si="312"/>
        <v/>
      </c>
      <c r="L342" s="259" t="str">
        <f t="shared" si="313"/>
        <v/>
      </c>
      <c r="M342" s="259" t="str">
        <f t="shared" si="336"/>
        <v/>
      </c>
      <c r="N342" s="256" t="str">
        <f t="shared" si="337"/>
        <v/>
      </c>
      <c r="O342" s="259" t="str">
        <f t="shared" si="338"/>
        <v/>
      </c>
      <c r="P342" s="259" t="str">
        <f t="shared" si="339"/>
        <v/>
      </c>
      <c r="Q342" s="256" t="str">
        <f t="shared" si="340"/>
        <v/>
      </c>
      <c r="R342" s="259" t="str">
        <f t="shared" si="341"/>
        <v/>
      </c>
      <c r="S342" s="259" t="str">
        <f t="shared" si="342"/>
        <v/>
      </c>
      <c r="T342" s="256" t="str">
        <f t="shared" si="343"/>
        <v/>
      </c>
      <c r="U342" s="217"/>
      <c r="V342" s="217"/>
      <c r="AB342" s="217" t="e">
        <f>VLOOKUP($B$6,Lookup_Source,335,0)</f>
        <v>#N/A</v>
      </c>
      <c r="AC342" s="241" t="str">
        <f t="shared" si="344"/>
        <v/>
      </c>
      <c r="AD342" s="242">
        <f t="shared" si="345"/>
        <v>7</v>
      </c>
      <c r="AE342" s="261" t="e">
        <f t="shared" si="314"/>
        <v>#N/A</v>
      </c>
      <c r="AF342" s="264" t="e">
        <f t="shared" si="346"/>
        <v>#N/A</v>
      </c>
      <c r="AG342" s="264" t="e">
        <f t="shared" si="347"/>
        <v>#N/A</v>
      </c>
      <c r="AH342" s="263" t="e">
        <f t="shared" si="315"/>
        <v>#N/A</v>
      </c>
      <c r="AI342" s="226">
        <f t="shared" si="348"/>
        <v>7</v>
      </c>
      <c r="AJ342" s="264" t="e">
        <f t="shared" si="316"/>
        <v>#N/A</v>
      </c>
      <c r="AK342" s="264" t="e">
        <f t="shared" si="349"/>
        <v>#N/A</v>
      </c>
      <c r="AL342" s="226" t="e">
        <f t="shared" si="317"/>
        <v>#N/A</v>
      </c>
      <c r="AM342" s="265" t="e">
        <f t="shared" si="350"/>
        <v>#N/A</v>
      </c>
      <c r="AN342" s="266" t="e">
        <f t="shared" si="318"/>
        <v>#N/A</v>
      </c>
      <c r="AO342" s="227" t="e">
        <f t="shared" si="319"/>
        <v>#N/A</v>
      </c>
      <c r="AP342" s="284">
        <f t="shared" si="351"/>
        <v>7</v>
      </c>
      <c r="AQ342" s="285" t="e">
        <f t="shared" si="320"/>
        <v>#N/A</v>
      </c>
      <c r="AR342" s="266" t="e">
        <f t="shared" si="352"/>
        <v>#N/A</v>
      </c>
      <c r="AS342" s="270" t="e">
        <f t="shared" si="321"/>
        <v>#N/A</v>
      </c>
      <c r="AT342" s="271">
        <f t="shared" si="353"/>
        <v>7</v>
      </c>
      <c r="AU342" s="272" t="e">
        <f t="shared" si="354"/>
        <v>#N/A</v>
      </c>
      <c r="AV342" s="273" t="e">
        <f t="shared" si="355"/>
        <v>#N/A</v>
      </c>
      <c r="AW342" s="274" t="e">
        <f t="shared" si="322"/>
        <v>#N/A</v>
      </c>
      <c r="AX342" s="232">
        <f t="shared" si="356"/>
        <v>7</v>
      </c>
      <c r="AY342" s="273" t="e">
        <f t="shared" si="323"/>
        <v>#N/A</v>
      </c>
      <c r="AZ342" s="232" t="e">
        <f t="shared" si="357"/>
        <v>#N/A</v>
      </c>
      <c r="BA342" s="232" t="e">
        <f t="shared" si="324"/>
        <v>#N/A</v>
      </c>
      <c r="BB342" s="275">
        <f t="shared" si="358"/>
        <v>7</v>
      </c>
      <c r="BC342" s="276" t="e">
        <f t="shared" si="359"/>
        <v>#N/A</v>
      </c>
      <c r="BD342" s="277" t="e">
        <f t="shared" si="360"/>
        <v>#N/A</v>
      </c>
      <c r="BE342" s="250" t="e">
        <f t="shared" si="325"/>
        <v>#N/A</v>
      </c>
      <c r="BF342" s="247">
        <f t="shared" si="361"/>
        <v>7</v>
      </c>
      <c r="BG342" s="276" t="e">
        <f t="shared" si="362"/>
        <v>#N/A</v>
      </c>
      <c r="BH342" s="277" t="e">
        <f t="shared" si="363"/>
        <v>#N/A</v>
      </c>
      <c r="BI342" s="250" t="e">
        <f t="shared" si="326"/>
        <v>#N/A</v>
      </c>
      <c r="BJ342" s="251">
        <f t="shared" si="364"/>
        <v>7</v>
      </c>
      <c r="BK342" s="278" t="e">
        <f t="shared" si="365"/>
        <v>#N/A</v>
      </c>
      <c r="BL342" s="278" t="e">
        <f t="shared" si="366"/>
        <v>#N/A</v>
      </c>
      <c r="BM342" s="279" t="e">
        <f t="shared" si="327"/>
        <v>#N/A</v>
      </c>
      <c r="BN342" s="280">
        <f t="shared" si="367"/>
        <v>7</v>
      </c>
      <c r="BO342" s="281" t="e">
        <f t="shared" si="368"/>
        <v>#N/A</v>
      </c>
      <c r="BP342" s="281" t="e">
        <f t="shared" si="369"/>
        <v>#N/A</v>
      </c>
      <c r="BQ342" s="279" t="e">
        <f t="shared" si="328"/>
        <v>#N/A</v>
      </c>
      <c r="BR342" s="282" t="e">
        <f t="shared" si="329"/>
        <v>#N/A</v>
      </c>
      <c r="BS342" s="217" t="e">
        <f>VLOOKUP($B342,SDR24_STOCK_BY_LA!$A$2:$C$11878,3,0)</f>
        <v>#N/A</v>
      </c>
      <c r="BT342" s="217" t="str">
        <f t="shared" si="370"/>
        <v/>
      </c>
    </row>
    <row r="343" spans="1:72" x14ac:dyDescent="0.2">
      <c r="A343" s="256" t="str">
        <f t="shared" si="371"/>
        <v/>
      </c>
      <c r="B343" s="217" t="str">
        <f t="shared" si="372"/>
        <v/>
      </c>
      <c r="C343" s="257" t="str">
        <f t="shared" si="330"/>
        <v/>
      </c>
      <c r="D343" s="256" t="str">
        <f>IF(B343="","",IF(totals!$Q$3=0,IFERROR(IF(AD343=2,"0",AE343),""),"-"))</f>
        <v/>
      </c>
      <c r="E343" s="258" t="str">
        <f t="shared" si="331"/>
        <v/>
      </c>
      <c r="F343" s="259" t="str">
        <f t="shared" si="332"/>
        <v/>
      </c>
      <c r="G343" s="259" t="str">
        <f t="shared" si="333"/>
        <v/>
      </c>
      <c r="H343" s="256" t="str">
        <f t="shared" si="311"/>
        <v/>
      </c>
      <c r="I343" s="259" t="str">
        <f t="shared" si="334"/>
        <v/>
      </c>
      <c r="J343" s="259" t="str">
        <f t="shared" si="335"/>
        <v/>
      </c>
      <c r="K343" s="256" t="str">
        <f t="shared" si="312"/>
        <v/>
      </c>
      <c r="L343" s="259" t="str">
        <f t="shared" si="313"/>
        <v/>
      </c>
      <c r="M343" s="259" t="str">
        <f t="shared" si="336"/>
        <v/>
      </c>
      <c r="N343" s="256" t="str">
        <f t="shared" si="337"/>
        <v/>
      </c>
      <c r="O343" s="259" t="str">
        <f t="shared" si="338"/>
        <v/>
      </c>
      <c r="P343" s="259" t="str">
        <f t="shared" si="339"/>
        <v/>
      </c>
      <c r="Q343" s="256" t="str">
        <f t="shared" si="340"/>
        <v/>
      </c>
      <c r="R343" s="259" t="str">
        <f t="shared" si="341"/>
        <v/>
      </c>
      <c r="S343" s="259" t="str">
        <f t="shared" si="342"/>
        <v/>
      </c>
      <c r="T343" s="256" t="str">
        <f t="shared" si="343"/>
        <v/>
      </c>
      <c r="U343" s="217"/>
      <c r="V343" s="217"/>
      <c r="AB343" s="257" t="e">
        <f>VLOOKUP($B$6,Lookup_Source,336,0)</f>
        <v>#N/A</v>
      </c>
      <c r="AC343" s="241" t="str">
        <f t="shared" si="344"/>
        <v/>
      </c>
      <c r="AD343" s="242">
        <f t="shared" si="345"/>
        <v>7</v>
      </c>
      <c r="AE343" s="261" t="e">
        <f t="shared" si="314"/>
        <v>#N/A</v>
      </c>
      <c r="AF343" s="264" t="e">
        <f t="shared" si="346"/>
        <v>#N/A</v>
      </c>
      <c r="AG343" s="264" t="e">
        <f t="shared" si="347"/>
        <v>#N/A</v>
      </c>
      <c r="AH343" s="263" t="e">
        <f t="shared" si="315"/>
        <v>#N/A</v>
      </c>
      <c r="AI343" s="226">
        <f t="shared" si="348"/>
        <v>7</v>
      </c>
      <c r="AJ343" s="264" t="e">
        <f t="shared" si="316"/>
        <v>#N/A</v>
      </c>
      <c r="AK343" s="264" t="e">
        <f t="shared" si="349"/>
        <v>#N/A</v>
      </c>
      <c r="AL343" s="226" t="e">
        <f t="shared" si="317"/>
        <v>#N/A</v>
      </c>
      <c r="AM343" s="265" t="e">
        <f t="shared" si="350"/>
        <v>#N/A</v>
      </c>
      <c r="AN343" s="266" t="e">
        <f t="shared" si="318"/>
        <v>#N/A</v>
      </c>
      <c r="AO343" s="227" t="e">
        <f t="shared" si="319"/>
        <v>#N/A</v>
      </c>
      <c r="AP343" s="284">
        <f t="shared" si="351"/>
        <v>7</v>
      </c>
      <c r="AQ343" s="285" t="e">
        <f t="shared" si="320"/>
        <v>#N/A</v>
      </c>
      <c r="AR343" s="266" t="e">
        <f t="shared" si="352"/>
        <v>#N/A</v>
      </c>
      <c r="AS343" s="270" t="e">
        <f t="shared" si="321"/>
        <v>#N/A</v>
      </c>
      <c r="AT343" s="271">
        <f t="shared" si="353"/>
        <v>7</v>
      </c>
      <c r="AU343" s="272" t="e">
        <f t="shared" si="354"/>
        <v>#N/A</v>
      </c>
      <c r="AV343" s="273" t="e">
        <f t="shared" si="355"/>
        <v>#N/A</v>
      </c>
      <c r="AW343" s="274" t="e">
        <f t="shared" si="322"/>
        <v>#N/A</v>
      </c>
      <c r="AX343" s="232">
        <f t="shared" si="356"/>
        <v>7</v>
      </c>
      <c r="AY343" s="273" t="e">
        <f t="shared" si="323"/>
        <v>#N/A</v>
      </c>
      <c r="AZ343" s="232" t="e">
        <f t="shared" si="357"/>
        <v>#N/A</v>
      </c>
      <c r="BA343" s="232" t="e">
        <f t="shared" si="324"/>
        <v>#N/A</v>
      </c>
      <c r="BB343" s="275">
        <f t="shared" si="358"/>
        <v>7</v>
      </c>
      <c r="BC343" s="276" t="e">
        <f t="shared" si="359"/>
        <v>#N/A</v>
      </c>
      <c r="BD343" s="277" t="e">
        <f t="shared" si="360"/>
        <v>#N/A</v>
      </c>
      <c r="BE343" s="250" t="e">
        <f t="shared" si="325"/>
        <v>#N/A</v>
      </c>
      <c r="BF343" s="247">
        <f t="shared" si="361"/>
        <v>7</v>
      </c>
      <c r="BG343" s="276" t="e">
        <f t="shared" si="362"/>
        <v>#N/A</v>
      </c>
      <c r="BH343" s="277" t="e">
        <f t="shared" si="363"/>
        <v>#N/A</v>
      </c>
      <c r="BI343" s="250" t="e">
        <f t="shared" si="326"/>
        <v>#N/A</v>
      </c>
      <c r="BJ343" s="251">
        <f t="shared" si="364"/>
        <v>7</v>
      </c>
      <c r="BK343" s="278" t="e">
        <f t="shared" si="365"/>
        <v>#N/A</v>
      </c>
      <c r="BL343" s="278" t="e">
        <f t="shared" si="366"/>
        <v>#N/A</v>
      </c>
      <c r="BM343" s="279" t="e">
        <f t="shared" si="327"/>
        <v>#N/A</v>
      </c>
      <c r="BN343" s="280">
        <f t="shared" si="367"/>
        <v>7</v>
      </c>
      <c r="BO343" s="281" t="e">
        <f t="shared" si="368"/>
        <v>#N/A</v>
      </c>
      <c r="BP343" s="281" t="e">
        <f t="shared" si="369"/>
        <v>#N/A</v>
      </c>
      <c r="BQ343" s="279" t="e">
        <f t="shared" si="328"/>
        <v>#N/A</v>
      </c>
      <c r="BR343" s="282" t="e">
        <f t="shared" si="329"/>
        <v>#N/A</v>
      </c>
      <c r="BS343" s="217" t="e">
        <f>VLOOKUP($B343,SDR24_STOCK_BY_LA!$A$2:$C$11878,3,0)</f>
        <v>#N/A</v>
      </c>
      <c r="BT343" s="217" t="str">
        <f t="shared" si="370"/>
        <v/>
      </c>
    </row>
    <row r="344" spans="1:72" x14ac:dyDescent="0.2">
      <c r="A344" s="217" t="str">
        <f t="shared" si="371"/>
        <v/>
      </c>
      <c r="B344" s="217" t="str">
        <f t="shared" si="372"/>
        <v/>
      </c>
      <c r="C344" s="283" t="str">
        <f t="shared" si="330"/>
        <v/>
      </c>
      <c r="D344" s="256" t="str">
        <f>IF(B344="","",IF(totals!$Q$3=0,IFERROR(IF(AD344=2,"0",AE344),""),"-"))</f>
        <v/>
      </c>
      <c r="E344" s="258" t="str">
        <f t="shared" si="331"/>
        <v/>
      </c>
      <c r="F344" s="259" t="str">
        <f t="shared" si="332"/>
        <v/>
      </c>
      <c r="G344" s="259" t="str">
        <f t="shared" si="333"/>
        <v/>
      </c>
      <c r="H344" s="256" t="str">
        <f t="shared" si="311"/>
        <v/>
      </c>
      <c r="I344" s="259" t="str">
        <f t="shared" si="334"/>
        <v/>
      </c>
      <c r="J344" s="259" t="str">
        <f t="shared" si="335"/>
        <v/>
      </c>
      <c r="K344" s="256" t="str">
        <f t="shared" si="312"/>
        <v/>
      </c>
      <c r="L344" s="259" t="str">
        <f t="shared" si="313"/>
        <v/>
      </c>
      <c r="M344" s="259" t="str">
        <f t="shared" si="336"/>
        <v/>
      </c>
      <c r="N344" s="256" t="str">
        <f t="shared" si="337"/>
        <v/>
      </c>
      <c r="O344" s="259" t="str">
        <f t="shared" si="338"/>
        <v/>
      </c>
      <c r="P344" s="259" t="str">
        <f t="shared" si="339"/>
        <v/>
      </c>
      <c r="Q344" s="256" t="str">
        <f t="shared" si="340"/>
        <v/>
      </c>
      <c r="R344" s="259" t="str">
        <f t="shared" si="341"/>
        <v/>
      </c>
      <c r="S344" s="259" t="str">
        <f t="shared" si="342"/>
        <v/>
      </c>
      <c r="T344" s="256" t="str">
        <f t="shared" si="343"/>
        <v/>
      </c>
      <c r="U344" s="217"/>
      <c r="V344" s="217"/>
      <c r="AB344" s="217" t="e">
        <f>VLOOKUP($B$6,Lookup_Source,337,0)</f>
        <v>#N/A</v>
      </c>
      <c r="AC344" s="241" t="str">
        <f t="shared" si="344"/>
        <v/>
      </c>
      <c r="AD344" s="242">
        <f t="shared" si="345"/>
        <v>7</v>
      </c>
      <c r="AE344" s="261" t="e">
        <f t="shared" si="314"/>
        <v>#N/A</v>
      </c>
      <c r="AF344" s="264" t="e">
        <f t="shared" si="346"/>
        <v>#N/A</v>
      </c>
      <c r="AG344" s="264" t="e">
        <f t="shared" si="347"/>
        <v>#N/A</v>
      </c>
      <c r="AH344" s="263" t="e">
        <f t="shared" si="315"/>
        <v>#N/A</v>
      </c>
      <c r="AI344" s="226">
        <f t="shared" si="348"/>
        <v>7</v>
      </c>
      <c r="AJ344" s="264" t="e">
        <f t="shared" si="316"/>
        <v>#N/A</v>
      </c>
      <c r="AK344" s="264" t="e">
        <f t="shared" si="349"/>
        <v>#N/A</v>
      </c>
      <c r="AL344" s="226" t="e">
        <f t="shared" si="317"/>
        <v>#N/A</v>
      </c>
      <c r="AM344" s="265" t="e">
        <f t="shared" si="350"/>
        <v>#N/A</v>
      </c>
      <c r="AN344" s="266" t="e">
        <f t="shared" si="318"/>
        <v>#N/A</v>
      </c>
      <c r="AO344" s="227" t="e">
        <f t="shared" si="319"/>
        <v>#N/A</v>
      </c>
      <c r="AP344" s="284">
        <f t="shared" si="351"/>
        <v>7</v>
      </c>
      <c r="AQ344" s="285" t="e">
        <f t="shared" si="320"/>
        <v>#N/A</v>
      </c>
      <c r="AR344" s="266" t="e">
        <f t="shared" si="352"/>
        <v>#N/A</v>
      </c>
      <c r="AS344" s="270" t="e">
        <f t="shared" si="321"/>
        <v>#N/A</v>
      </c>
      <c r="AT344" s="271">
        <f t="shared" si="353"/>
        <v>7</v>
      </c>
      <c r="AU344" s="272" t="e">
        <f t="shared" si="354"/>
        <v>#N/A</v>
      </c>
      <c r="AV344" s="273" t="e">
        <f t="shared" si="355"/>
        <v>#N/A</v>
      </c>
      <c r="AW344" s="274" t="e">
        <f t="shared" si="322"/>
        <v>#N/A</v>
      </c>
      <c r="AX344" s="232">
        <f t="shared" si="356"/>
        <v>7</v>
      </c>
      <c r="AY344" s="273" t="e">
        <f t="shared" si="323"/>
        <v>#N/A</v>
      </c>
      <c r="AZ344" s="232" t="e">
        <f t="shared" si="357"/>
        <v>#N/A</v>
      </c>
      <c r="BA344" s="232" t="e">
        <f t="shared" si="324"/>
        <v>#N/A</v>
      </c>
      <c r="BB344" s="275">
        <f t="shared" si="358"/>
        <v>7</v>
      </c>
      <c r="BC344" s="276" t="e">
        <f t="shared" si="359"/>
        <v>#N/A</v>
      </c>
      <c r="BD344" s="277" t="e">
        <f t="shared" si="360"/>
        <v>#N/A</v>
      </c>
      <c r="BE344" s="250" t="e">
        <f t="shared" si="325"/>
        <v>#N/A</v>
      </c>
      <c r="BF344" s="247">
        <f t="shared" si="361"/>
        <v>7</v>
      </c>
      <c r="BG344" s="276" t="e">
        <f t="shared" si="362"/>
        <v>#N/A</v>
      </c>
      <c r="BH344" s="277" t="e">
        <f t="shared" si="363"/>
        <v>#N/A</v>
      </c>
      <c r="BI344" s="250" t="e">
        <f t="shared" si="326"/>
        <v>#N/A</v>
      </c>
      <c r="BJ344" s="251">
        <f t="shared" si="364"/>
        <v>7</v>
      </c>
      <c r="BK344" s="278" t="e">
        <f t="shared" si="365"/>
        <v>#N/A</v>
      </c>
      <c r="BL344" s="278" t="e">
        <f t="shared" si="366"/>
        <v>#N/A</v>
      </c>
      <c r="BM344" s="279" t="e">
        <f t="shared" si="327"/>
        <v>#N/A</v>
      </c>
      <c r="BN344" s="280">
        <f t="shared" si="367"/>
        <v>7</v>
      </c>
      <c r="BO344" s="281" t="e">
        <f t="shared" si="368"/>
        <v>#N/A</v>
      </c>
      <c r="BP344" s="281" t="e">
        <f t="shared" si="369"/>
        <v>#N/A</v>
      </c>
      <c r="BQ344" s="279" t="e">
        <f t="shared" si="328"/>
        <v>#N/A</v>
      </c>
      <c r="BR344" s="282" t="e">
        <f t="shared" si="329"/>
        <v>#N/A</v>
      </c>
      <c r="BS344" s="217" t="e">
        <f>VLOOKUP($B344,SDR24_STOCK_BY_LA!$A$2:$C$11878,3,0)</f>
        <v>#N/A</v>
      </c>
      <c r="BT344" s="217" t="str">
        <f t="shared" si="370"/>
        <v/>
      </c>
    </row>
    <row r="345" spans="1:72" x14ac:dyDescent="0.2">
      <c r="A345" s="256" t="str">
        <f t="shared" si="371"/>
        <v/>
      </c>
      <c r="B345" s="217" t="str">
        <f t="shared" si="372"/>
        <v/>
      </c>
      <c r="C345" s="257" t="str">
        <f t="shared" si="330"/>
        <v/>
      </c>
      <c r="D345" s="256" t="str">
        <f>IF(B345="","",IF(totals!$Q$3=0,IFERROR(IF(AD345=2,"0",AE345),""),"-"))</f>
        <v/>
      </c>
      <c r="E345" s="258" t="str">
        <f t="shared" si="331"/>
        <v/>
      </c>
      <c r="F345" s="259" t="str">
        <f t="shared" si="332"/>
        <v/>
      </c>
      <c r="G345" s="259" t="str">
        <f t="shared" si="333"/>
        <v/>
      </c>
      <c r="H345" s="256" t="str">
        <f t="shared" si="311"/>
        <v/>
      </c>
      <c r="I345" s="259" t="str">
        <f t="shared" si="334"/>
        <v/>
      </c>
      <c r="J345" s="259" t="str">
        <f t="shared" si="335"/>
        <v/>
      </c>
      <c r="K345" s="256" t="str">
        <f t="shared" si="312"/>
        <v/>
      </c>
      <c r="L345" s="259" t="str">
        <f t="shared" si="313"/>
        <v/>
      </c>
      <c r="M345" s="259" t="str">
        <f t="shared" si="336"/>
        <v/>
      </c>
      <c r="N345" s="256" t="str">
        <f t="shared" si="337"/>
        <v/>
      </c>
      <c r="O345" s="259" t="str">
        <f t="shared" si="338"/>
        <v/>
      </c>
      <c r="P345" s="259" t="str">
        <f t="shared" si="339"/>
        <v/>
      </c>
      <c r="Q345" s="256" t="str">
        <f t="shared" si="340"/>
        <v/>
      </c>
      <c r="R345" s="259" t="str">
        <f t="shared" si="341"/>
        <v/>
      </c>
      <c r="S345" s="259" t="str">
        <f t="shared" si="342"/>
        <v/>
      </c>
      <c r="T345" s="256" t="str">
        <f t="shared" si="343"/>
        <v/>
      </c>
      <c r="U345" s="217"/>
      <c r="V345" s="217"/>
      <c r="AB345" s="257" t="e">
        <f>VLOOKUP($B$6,Lookup_Source,338,0)</f>
        <v>#N/A</v>
      </c>
      <c r="AC345" s="241" t="str">
        <f t="shared" si="344"/>
        <v/>
      </c>
      <c r="AD345" s="242">
        <f t="shared" si="345"/>
        <v>7</v>
      </c>
      <c r="AE345" s="261" t="e">
        <f t="shared" si="314"/>
        <v>#N/A</v>
      </c>
      <c r="AF345" s="264" t="e">
        <f t="shared" si="346"/>
        <v>#N/A</v>
      </c>
      <c r="AG345" s="264" t="e">
        <f t="shared" si="347"/>
        <v>#N/A</v>
      </c>
      <c r="AH345" s="263" t="e">
        <f t="shared" si="315"/>
        <v>#N/A</v>
      </c>
      <c r="AI345" s="226">
        <f t="shared" si="348"/>
        <v>7</v>
      </c>
      <c r="AJ345" s="264" t="e">
        <f t="shared" si="316"/>
        <v>#N/A</v>
      </c>
      <c r="AK345" s="264" t="e">
        <f t="shared" si="349"/>
        <v>#N/A</v>
      </c>
      <c r="AL345" s="226" t="e">
        <f t="shared" si="317"/>
        <v>#N/A</v>
      </c>
      <c r="AM345" s="265" t="e">
        <f t="shared" si="350"/>
        <v>#N/A</v>
      </c>
      <c r="AN345" s="266" t="e">
        <f t="shared" si="318"/>
        <v>#N/A</v>
      </c>
      <c r="AO345" s="227" t="e">
        <f t="shared" si="319"/>
        <v>#N/A</v>
      </c>
      <c r="AP345" s="284">
        <f t="shared" si="351"/>
        <v>7</v>
      </c>
      <c r="AQ345" s="285" t="e">
        <f t="shared" si="320"/>
        <v>#N/A</v>
      </c>
      <c r="AR345" s="266" t="e">
        <f t="shared" si="352"/>
        <v>#N/A</v>
      </c>
      <c r="AS345" s="270" t="e">
        <f t="shared" si="321"/>
        <v>#N/A</v>
      </c>
      <c r="AT345" s="271">
        <f t="shared" si="353"/>
        <v>7</v>
      </c>
      <c r="AU345" s="272" t="e">
        <f t="shared" si="354"/>
        <v>#N/A</v>
      </c>
      <c r="AV345" s="273" t="e">
        <f t="shared" si="355"/>
        <v>#N/A</v>
      </c>
      <c r="AW345" s="274" t="e">
        <f t="shared" si="322"/>
        <v>#N/A</v>
      </c>
      <c r="AX345" s="232">
        <f t="shared" si="356"/>
        <v>7</v>
      </c>
      <c r="AY345" s="273" t="e">
        <f t="shared" si="323"/>
        <v>#N/A</v>
      </c>
      <c r="AZ345" s="232" t="e">
        <f t="shared" si="357"/>
        <v>#N/A</v>
      </c>
      <c r="BA345" s="232" t="e">
        <f t="shared" si="324"/>
        <v>#N/A</v>
      </c>
      <c r="BB345" s="275">
        <f t="shared" si="358"/>
        <v>7</v>
      </c>
      <c r="BC345" s="276" t="e">
        <f t="shared" si="359"/>
        <v>#N/A</v>
      </c>
      <c r="BD345" s="277" t="e">
        <f t="shared" si="360"/>
        <v>#N/A</v>
      </c>
      <c r="BE345" s="250" t="e">
        <f t="shared" si="325"/>
        <v>#N/A</v>
      </c>
      <c r="BF345" s="247">
        <f t="shared" si="361"/>
        <v>7</v>
      </c>
      <c r="BG345" s="276" t="e">
        <f t="shared" si="362"/>
        <v>#N/A</v>
      </c>
      <c r="BH345" s="277" t="e">
        <f t="shared" si="363"/>
        <v>#N/A</v>
      </c>
      <c r="BI345" s="250" t="e">
        <f t="shared" si="326"/>
        <v>#N/A</v>
      </c>
      <c r="BJ345" s="251">
        <f t="shared" si="364"/>
        <v>7</v>
      </c>
      <c r="BK345" s="278" t="e">
        <f t="shared" si="365"/>
        <v>#N/A</v>
      </c>
      <c r="BL345" s="278" t="e">
        <f t="shared" si="366"/>
        <v>#N/A</v>
      </c>
      <c r="BM345" s="279" t="e">
        <f t="shared" si="327"/>
        <v>#N/A</v>
      </c>
      <c r="BN345" s="280">
        <f t="shared" si="367"/>
        <v>7</v>
      </c>
      <c r="BO345" s="281" t="e">
        <f t="shared" si="368"/>
        <v>#N/A</v>
      </c>
      <c r="BP345" s="281" t="e">
        <f t="shared" si="369"/>
        <v>#N/A</v>
      </c>
      <c r="BQ345" s="279" t="e">
        <f t="shared" si="328"/>
        <v>#N/A</v>
      </c>
      <c r="BR345" s="282" t="e">
        <f t="shared" si="329"/>
        <v>#N/A</v>
      </c>
      <c r="BS345" s="217" t="e">
        <f>VLOOKUP($B345,SDR24_STOCK_BY_LA!$A$2:$C$11878,3,0)</f>
        <v>#N/A</v>
      </c>
      <c r="BT345" s="217" t="str">
        <f t="shared" si="370"/>
        <v/>
      </c>
    </row>
    <row r="346" spans="1:72" x14ac:dyDescent="0.2">
      <c r="A346" s="217" t="str">
        <f t="shared" si="371"/>
        <v/>
      </c>
      <c r="B346" s="217" t="str">
        <f t="shared" si="372"/>
        <v/>
      </c>
      <c r="C346" s="283" t="str">
        <f t="shared" si="330"/>
        <v/>
      </c>
      <c r="D346" s="256" t="str">
        <f>IF(B346="","",IF(totals!$Q$3=0,IFERROR(IF(AD346=2,"0",AE346),""),"-"))</f>
        <v/>
      </c>
      <c r="E346" s="258" t="str">
        <f t="shared" si="331"/>
        <v/>
      </c>
      <c r="F346" s="259" t="str">
        <f t="shared" si="332"/>
        <v/>
      </c>
      <c r="G346" s="259" t="str">
        <f t="shared" si="333"/>
        <v/>
      </c>
      <c r="H346" s="256" t="str">
        <f t="shared" si="311"/>
        <v/>
      </c>
      <c r="I346" s="259" t="str">
        <f t="shared" si="334"/>
        <v/>
      </c>
      <c r="J346" s="259" t="str">
        <f t="shared" si="335"/>
        <v/>
      </c>
      <c r="K346" s="256" t="str">
        <f t="shared" si="312"/>
        <v/>
      </c>
      <c r="L346" s="259" t="str">
        <f t="shared" si="313"/>
        <v/>
      </c>
      <c r="M346" s="259" t="str">
        <f t="shared" si="336"/>
        <v/>
      </c>
      <c r="N346" s="256" t="str">
        <f t="shared" si="337"/>
        <v/>
      </c>
      <c r="O346" s="259" t="str">
        <f t="shared" si="338"/>
        <v/>
      </c>
      <c r="P346" s="259" t="str">
        <f t="shared" si="339"/>
        <v/>
      </c>
      <c r="Q346" s="256" t="str">
        <f t="shared" si="340"/>
        <v/>
      </c>
      <c r="R346" s="259" t="str">
        <f t="shared" si="341"/>
        <v/>
      </c>
      <c r="S346" s="259" t="str">
        <f t="shared" si="342"/>
        <v/>
      </c>
      <c r="T346" s="256" t="str">
        <f t="shared" si="343"/>
        <v/>
      </c>
      <c r="U346" s="217"/>
      <c r="V346" s="217"/>
      <c r="AB346" s="217" t="e">
        <f>VLOOKUP($B$6,Lookup_Source,339,0)</f>
        <v>#N/A</v>
      </c>
      <c r="AC346" s="241" t="str">
        <f t="shared" si="344"/>
        <v/>
      </c>
      <c r="AD346" s="242">
        <f t="shared" si="345"/>
        <v>7</v>
      </c>
      <c r="AE346" s="261" t="e">
        <f t="shared" si="314"/>
        <v>#N/A</v>
      </c>
      <c r="AF346" s="264" t="e">
        <f t="shared" si="346"/>
        <v>#N/A</v>
      </c>
      <c r="AG346" s="264" t="e">
        <f t="shared" si="347"/>
        <v>#N/A</v>
      </c>
      <c r="AH346" s="263" t="e">
        <f t="shared" si="315"/>
        <v>#N/A</v>
      </c>
      <c r="AI346" s="226">
        <f t="shared" si="348"/>
        <v>7</v>
      </c>
      <c r="AJ346" s="264" t="e">
        <f t="shared" si="316"/>
        <v>#N/A</v>
      </c>
      <c r="AK346" s="264" t="e">
        <f t="shared" si="349"/>
        <v>#N/A</v>
      </c>
      <c r="AL346" s="226" t="e">
        <f t="shared" si="317"/>
        <v>#N/A</v>
      </c>
      <c r="AM346" s="265" t="e">
        <f t="shared" si="350"/>
        <v>#N/A</v>
      </c>
      <c r="AN346" s="266" t="e">
        <f t="shared" si="318"/>
        <v>#N/A</v>
      </c>
      <c r="AO346" s="227" t="e">
        <f t="shared" si="319"/>
        <v>#N/A</v>
      </c>
      <c r="AP346" s="284">
        <f t="shared" si="351"/>
        <v>7</v>
      </c>
      <c r="AQ346" s="285" t="e">
        <f t="shared" si="320"/>
        <v>#N/A</v>
      </c>
      <c r="AR346" s="266" t="e">
        <f t="shared" si="352"/>
        <v>#N/A</v>
      </c>
      <c r="AS346" s="270" t="e">
        <f t="shared" si="321"/>
        <v>#N/A</v>
      </c>
      <c r="AT346" s="271">
        <f t="shared" si="353"/>
        <v>7</v>
      </c>
      <c r="AU346" s="272" t="e">
        <f t="shared" si="354"/>
        <v>#N/A</v>
      </c>
      <c r="AV346" s="273" t="e">
        <f t="shared" si="355"/>
        <v>#N/A</v>
      </c>
      <c r="AW346" s="274" t="e">
        <f t="shared" si="322"/>
        <v>#N/A</v>
      </c>
      <c r="AX346" s="232">
        <f t="shared" si="356"/>
        <v>7</v>
      </c>
      <c r="AY346" s="273" t="e">
        <f t="shared" si="323"/>
        <v>#N/A</v>
      </c>
      <c r="AZ346" s="232" t="e">
        <f t="shared" si="357"/>
        <v>#N/A</v>
      </c>
      <c r="BA346" s="232" t="e">
        <f t="shared" si="324"/>
        <v>#N/A</v>
      </c>
      <c r="BB346" s="275">
        <f t="shared" si="358"/>
        <v>7</v>
      </c>
      <c r="BC346" s="276" t="e">
        <f t="shared" si="359"/>
        <v>#N/A</v>
      </c>
      <c r="BD346" s="277" t="e">
        <f t="shared" si="360"/>
        <v>#N/A</v>
      </c>
      <c r="BE346" s="250" t="e">
        <f t="shared" si="325"/>
        <v>#N/A</v>
      </c>
      <c r="BF346" s="247">
        <f t="shared" si="361"/>
        <v>7</v>
      </c>
      <c r="BG346" s="276" t="e">
        <f t="shared" si="362"/>
        <v>#N/A</v>
      </c>
      <c r="BH346" s="277" t="e">
        <f t="shared" si="363"/>
        <v>#N/A</v>
      </c>
      <c r="BI346" s="250" t="e">
        <f t="shared" si="326"/>
        <v>#N/A</v>
      </c>
      <c r="BJ346" s="251">
        <f t="shared" si="364"/>
        <v>7</v>
      </c>
      <c r="BK346" s="278" t="e">
        <f t="shared" si="365"/>
        <v>#N/A</v>
      </c>
      <c r="BL346" s="278" t="e">
        <f t="shared" si="366"/>
        <v>#N/A</v>
      </c>
      <c r="BM346" s="279" t="e">
        <f t="shared" si="327"/>
        <v>#N/A</v>
      </c>
      <c r="BN346" s="280">
        <f t="shared" si="367"/>
        <v>7</v>
      </c>
      <c r="BO346" s="281" t="e">
        <f t="shared" si="368"/>
        <v>#N/A</v>
      </c>
      <c r="BP346" s="281" t="e">
        <f t="shared" si="369"/>
        <v>#N/A</v>
      </c>
      <c r="BQ346" s="279" t="e">
        <f t="shared" si="328"/>
        <v>#N/A</v>
      </c>
      <c r="BR346" s="282" t="e">
        <f t="shared" si="329"/>
        <v>#N/A</v>
      </c>
      <c r="BS346" s="217" t="e">
        <f>VLOOKUP($B346,SDR24_STOCK_BY_LA!$A$2:$C$11878,3,0)</f>
        <v>#N/A</v>
      </c>
      <c r="BT346" s="217" t="str">
        <f t="shared" si="370"/>
        <v/>
      </c>
    </row>
    <row r="347" spans="1:72" x14ac:dyDescent="0.2">
      <c r="A347" s="256" t="str">
        <f t="shared" si="371"/>
        <v/>
      </c>
      <c r="B347" s="217" t="str">
        <f t="shared" si="372"/>
        <v/>
      </c>
      <c r="C347" s="257" t="str">
        <f t="shared" si="330"/>
        <v/>
      </c>
      <c r="D347" s="256" t="str">
        <f>IF(B347="","",IF(totals!$Q$3=0,IFERROR(IF(AD347=2,"0",AE347),""),"-"))</f>
        <v/>
      </c>
      <c r="E347" s="258" t="str">
        <f t="shared" si="331"/>
        <v/>
      </c>
      <c r="F347" s="259" t="str">
        <f t="shared" si="332"/>
        <v/>
      </c>
      <c r="G347" s="259" t="str">
        <f t="shared" si="333"/>
        <v/>
      </c>
      <c r="H347" s="256" t="str">
        <f t="shared" si="311"/>
        <v/>
      </c>
      <c r="I347" s="259" t="str">
        <f t="shared" si="334"/>
        <v/>
      </c>
      <c r="J347" s="259" t="str">
        <f t="shared" si="335"/>
        <v/>
      </c>
      <c r="K347" s="256" t="str">
        <f t="shared" si="312"/>
        <v/>
      </c>
      <c r="L347" s="259" t="str">
        <f t="shared" si="313"/>
        <v/>
      </c>
      <c r="M347" s="259" t="str">
        <f t="shared" si="336"/>
        <v/>
      </c>
      <c r="N347" s="256" t="str">
        <f t="shared" si="337"/>
        <v/>
      </c>
      <c r="O347" s="259" t="str">
        <f t="shared" si="338"/>
        <v/>
      </c>
      <c r="P347" s="259" t="str">
        <f t="shared" si="339"/>
        <v/>
      </c>
      <c r="Q347" s="256" t="str">
        <f t="shared" si="340"/>
        <v/>
      </c>
      <c r="R347" s="259" t="str">
        <f t="shared" si="341"/>
        <v/>
      </c>
      <c r="S347" s="259" t="str">
        <f t="shared" si="342"/>
        <v/>
      </c>
      <c r="T347" s="256" t="str">
        <f t="shared" si="343"/>
        <v/>
      </c>
      <c r="U347" s="217"/>
      <c r="V347" s="217"/>
      <c r="AB347" s="257" t="e">
        <f>VLOOKUP($B$6,Lookup_Source,340,0)</f>
        <v>#N/A</v>
      </c>
      <c r="AC347" s="241" t="str">
        <f t="shared" si="344"/>
        <v/>
      </c>
      <c r="AD347" s="242">
        <f t="shared" si="345"/>
        <v>7</v>
      </c>
      <c r="AE347" s="261" t="e">
        <f t="shared" si="314"/>
        <v>#N/A</v>
      </c>
      <c r="AF347" s="264" t="e">
        <f t="shared" si="346"/>
        <v>#N/A</v>
      </c>
      <c r="AG347" s="264" t="e">
        <f t="shared" si="347"/>
        <v>#N/A</v>
      </c>
      <c r="AH347" s="263" t="e">
        <f t="shared" si="315"/>
        <v>#N/A</v>
      </c>
      <c r="AI347" s="226">
        <f t="shared" si="348"/>
        <v>7</v>
      </c>
      <c r="AJ347" s="264" t="e">
        <f t="shared" si="316"/>
        <v>#N/A</v>
      </c>
      <c r="AK347" s="264" t="e">
        <f t="shared" si="349"/>
        <v>#N/A</v>
      </c>
      <c r="AL347" s="226" t="e">
        <f t="shared" si="317"/>
        <v>#N/A</v>
      </c>
      <c r="AM347" s="265" t="e">
        <f t="shared" si="350"/>
        <v>#N/A</v>
      </c>
      <c r="AN347" s="266" t="e">
        <f t="shared" si="318"/>
        <v>#N/A</v>
      </c>
      <c r="AO347" s="227" t="e">
        <f t="shared" si="319"/>
        <v>#N/A</v>
      </c>
      <c r="AP347" s="284">
        <f t="shared" si="351"/>
        <v>7</v>
      </c>
      <c r="AQ347" s="285" t="e">
        <f t="shared" si="320"/>
        <v>#N/A</v>
      </c>
      <c r="AR347" s="266" t="e">
        <f t="shared" si="352"/>
        <v>#N/A</v>
      </c>
      <c r="AS347" s="270" t="e">
        <f t="shared" si="321"/>
        <v>#N/A</v>
      </c>
      <c r="AT347" s="271">
        <f t="shared" si="353"/>
        <v>7</v>
      </c>
      <c r="AU347" s="272" t="e">
        <f t="shared" si="354"/>
        <v>#N/A</v>
      </c>
      <c r="AV347" s="273" t="e">
        <f t="shared" si="355"/>
        <v>#N/A</v>
      </c>
      <c r="AW347" s="274" t="e">
        <f t="shared" si="322"/>
        <v>#N/A</v>
      </c>
      <c r="AX347" s="232">
        <f t="shared" si="356"/>
        <v>7</v>
      </c>
      <c r="AY347" s="273" t="e">
        <f t="shared" si="323"/>
        <v>#N/A</v>
      </c>
      <c r="AZ347" s="232" t="e">
        <f t="shared" si="357"/>
        <v>#N/A</v>
      </c>
      <c r="BA347" s="232" t="e">
        <f t="shared" si="324"/>
        <v>#N/A</v>
      </c>
      <c r="BB347" s="275">
        <f t="shared" si="358"/>
        <v>7</v>
      </c>
      <c r="BC347" s="276" t="e">
        <f t="shared" si="359"/>
        <v>#N/A</v>
      </c>
      <c r="BD347" s="277" t="e">
        <f t="shared" si="360"/>
        <v>#N/A</v>
      </c>
      <c r="BE347" s="250" t="e">
        <f t="shared" si="325"/>
        <v>#N/A</v>
      </c>
      <c r="BF347" s="247">
        <f t="shared" si="361"/>
        <v>7</v>
      </c>
      <c r="BG347" s="276" t="e">
        <f t="shared" si="362"/>
        <v>#N/A</v>
      </c>
      <c r="BH347" s="277" t="e">
        <f t="shared" si="363"/>
        <v>#N/A</v>
      </c>
      <c r="BI347" s="250" t="e">
        <f t="shared" si="326"/>
        <v>#N/A</v>
      </c>
      <c r="BJ347" s="251">
        <f t="shared" si="364"/>
        <v>7</v>
      </c>
      <c r="BK347" s="278" t="e">
        <f t="shared" si="365"/>
        <v>#N/A</v>
      </c>
      <c r="BL347" s="278" t="e">
        <f t="shared" si="366"/>
        <v>#N/A</v>
      </c>
      <c r="BM347" s="279" t="e">
        <f t="shared" si="327"/>
        <v>#N/A</v>
      </c>
      <c r="BN347" s="280">
        <f t="shared" si="367"/>
        <v>7</v>
      </c>
      <c r="BO347" s="281" t="e">
        <f t="shared" si="368"/>
        <v>#N/A</v>
      </c>
      <c r="BP347" s="281" t="e">
        <f t="shared" si="369"/>
        <v>#N/A</v>
      </c>
      <c r="BQ347" s="279" t="e">
        <f t="shared" si="328"/>
        <v>#N/A</v>
      </c>
      <c r="BR347" s="282" t="e">
        <f t="shared" si="329"/>
        <v>#N/A</v>
      </c>
      <c r="BS347" s="217" t="e">
        <f>VLOOKUP($B347,SDR24_STOCK_BY_LA!$A$2:$C$11878,3,0)</f>
        <v>#N/A</v>
      </c>
      <c r="BT347" s="217" t="str">
        <f t="shared" si="370"/>
        <v/>
      </c>
    </row>
    <row r="348" spans="1:72" x14ac:dyDescent="0.2">
      <c r="A348" s="217" t="str">
        <f t="shared" si="371"/>
        <v/>
      </c>
      <c r="B348" s="217" t="str">
        <f t="shared" si="372"/>
        <v/>
      </c>
      <c r="C348" s="283" t="str">
        <f t="shared" si="330"/>
        <v/>
      </c>
      <c r="D348" s="256" t="str">
        <f>IF(B348="","",IF(totals!$Q$3=0,IFERROR(IF(AD348=2,"0",AE348),""),"-"))</f>
        <v/>
      </c>
      <c r="E348" s="258" t="str">
        <f t="shared" si="331"/>
        <v/>
      </c>
      <c r="F348" s="259" t="str">
        <f t="shared" si="332"/>
        <v/>
      </c>
      <c r="G348" s="259" t="str">
        <f t="shared" si="333"/>
        <v/>
      </c>
      <c r="H348" s="256" t="str">
        <f t="shared" si="311"/>
        <v/>
      </c>
      <c r="I348" s="259" t="str">
        <f t="shared" si="334"/>
        <v/>
      </c>
      <c r="J348" s="259" t="str">
        <f t="shared" si="335"/>
        <v/>
      </c>
      <c r="K348" s="256" t="str">
        <f t="shared" si="312"/>
        <v/>
      </c>
      <c r="L348" s="259" t="str">
        <f t="shared" si="313"/>
        <v/>
      </c>
      <c r="M348" s="259" t="str">
        <f t="shared" si="336"/>
        <v/>
      </c>
      <c r="N348" s="256" t="str">
        <f t="shared" si="337"/>
        <v/>
      </c>
      <c r="O348" s="259" t="str">
        <f t="shared" si="338"/>
        <v/>
      </c>
      <c r="P348" s="259" t="str">
        <f t="shared" si="339"/>
        <v/>
      </c>
      <c r="Q348" s="256" t="str">
        <f t="shared" si="340"/>
        <v/>
      </c>
      <c r="R348" s="259" t="str">
        <f t="shared" si="341"/>
        <v/>
      </c>
      <c r="S348" s="259" t="str">
        <f t="shared" si="342"/>
        <v/>
      </c>
      <c r="T348" s="256" t="str">
        <f t="shared" si="343"/>
        <v/>
      </c>
      <c r="U348" s="217"/>
      <c r="V348" s="217"/>
      <c r="AB348" s="217" t="e">
        <f>VLOOKUP($B$6,Lookup_Source,341,0)</f>
        <v>#N/A</v>
      </c>
      <c r="AC348" s="241" t="str">
        <f t="shared" si="344"/>
        <v/>
      </c>
      <c r="AD348" s="242">
        <f t="shared" si="345"/>
        <v>7</v>
      </c>
      <c r="AE348" s="261" t="e">
        <f t="shared" si="314"/>
        <v>#N/A</v>
      </c>
      <c r="AF348" s="264" t="e">
        <f t="shared" si="346"/>
        <v>#N/A</v>
      </c>
      <c r="AG348" s="264" t="e">
        <f t="shared" si="347"/>
        <v>#N/A</v>
      </c>
      <c r="AH348" s="263" t="e">
        <f t="shared" si="315"/>
        <v>#N/A</v>
      </c>
      <c r="AI348" s="226">
        <f t="shared" si="348"/>
        <v>7</v>
      </c>
      <c r="AJ348" s="264" t="e">
        <f t="shared" si="316"/>
        <v>#N/A</v>
      </c>
      <c r="AK348" s="264" t="e">
        <f t="shared" si="349"/>
        <v>#N/A</v>
      </c>
      <c r="AL348" s="226" t="e">
        <f t="shared" si="317"/>
        <v>#N/A</v>
      </c>
      <c r="AM348" s="265" t="e">
        <f t="shared" si="350"/>
        <v>#N/A</v>
      </c>
      <c r="AN348" s="266" t="e">
        <f t="shared" si="318"/>
        <v>#N/A</v>
      </c>
      <c r="AO348" s="227" t="e">
        <f t="shared" si="319"/>
        <v>#N/A</v>
      </c>
      <c r="AP348" s="284">
        <f t="shared" si="351"/>
        <v>7</v>
      </c>
      <c r="AQ348" s="285" t="e">
        <f t="shared" si="320"/>
        <v>#N/A</v>
      </c>
      <c r="AR348" s="266" t="e">
        <f t="shared" si="352"/>
        <v>#N/A</v>
      </c>
      <c r="AS348" s="270" t="e">
        <f t="shared" si="321"/>
        <v>#N/A</v>
      </c>
      <c r="AT348" s="271">
        <f t="shared" si="353"/>
        <v>7</v>
      </c>
      <c r="AU348" s="272" t="e">
        <f t="shared" si="354"/>
        <v>#N/A</v>
      </c>
      <c r="AV348" s="273" t="e">
        <f t="shared" si="355"/>
        <v>#N/A</v>
      </c>
      <c r="AW348" s="274" t="e">
        <f t="shared" si="322"/>
        <v>#N/A</v>
      </c>
      <c r="AX348" s="232">
        <f t="shared" si="356"/>
        <v>7</v>
      </c>
      <c r="AY348" s="273" t="e">
        <f t="shared" si="323"/>
        <v>#N/A</v>
      </c>
      <c r="AZ348" s="232" t="e">
        <f t="shared" si="357"/>
        <v>#N/A</v>
      </c>
      <c r="BA348" s="232" t="e">
        <f t="shared" si="324"/>
        <v>#N/A</v>
      </c>
      <c r="BB348" s="275">
        <f t="shared" si="358"/>
        <v>7</v>
      </c>
      <c r="BC348" s="276" t="e">
        <f t="shared" si="359"/>
        <v>#N/A</v>
      </c>
      <c r="BD348" s="277" t="e">
        <f t="shared" si="360"/>
        <v>#N/A</v>
      </c>
      <c r="BE348" s="250" t="e">
        <f t="shared" si="325"/>
        <v>#N/A</v>
      </c>
      <c r="BF348" s="247">
        <f t="shared" si="361"/>
        <v>7</v>
      </c>
      <c r="BG348" s="276" t="e">
        <f t="shared" si="362"/>
        <v>#N/A</v>
      </c>
      <c r="BH348" s="277" t="e">
        <f t="shared" si="363"/>
        <v>#N/A</v>
      </c>
      <c r="BI348" s="250" t="e">
        <f t="shared" si="326"/>
        <v>#N/A</v>
      </c>
      <c r="BJ348" s="251">
        <f t="shared" si="364"/>
        <v>7</v>
      </c>
      <c r="BK348" s="278" t="e">
        <f t="shared" si="365"/>
        <v>#N/A</v>
      </c>
      <c r="BL348" s="278" t="e">
        <f t="shared" si="366"/>
        <v>#N/A</v>
      </c>
      <c r="BM348" s="279" t="e">
        <f t="shared" si="327"/>
        <v>#N/A</v>
      </c>
      <c r="BN348" s="280">
        <f t="shared" si="367"/>
        <v>7</v>
      </c>
      <c r="BO348" s="281" t="e">
        <f t="shared" si="368"/>
        <v>#N/A</v>
      </c>
      <c r="BP348" s="281" t="e">
        <f t="shared" si="369"/>
        <v>#N/A</v>
      </c>
      <c r="BQ348" s="279" t="e">
        <f t="shared" si="328"/>
        <v>#N/A</v>
      </c>
      <c r="BR348" s="282" t="e">
        <f t="shared" si="329"/>
        <v>#N/A</v>
      </c>
      <c r="BS348" s="217" t="e">
        <f>VLOOKUP($B348,SDR24_STOCK_BY_LA!$A$2:$C$11878,3,0)</f>
        <v>#N/A</v>
      </c>
      <c r="BT348" s="217" t="str">
        <f t="shared" si="370"/>
        <v/>
      </c>
    </row>
    <row r="349" spans="1:72" x14ac:dyDescent="0.2">
      <c r="A349" s="256" t="str">
        <f t="shared" si="371"/>
        <v/>
      </c>
      <c r="B349" s="217" t="str">
        <f t="shared" si="372"/>
        <v/>
      </c>
      <c r="C349" s="257" t="str">
        <f t="shared" si="330"/>
        <v/>
      </c>
      <c r="D349" s="256" t="str">
        <f>IF(B349="","",IF(totals!$Q$3=0,IFERROR(IF(AD349=2,"0",AE349),""),"-"))</f>
        <v/>
      </c>
      <c r="E349" s="258" t="str">
        <f t="shared" si="331"/>
        <v/>
      </c>
      <c r="F349" s="259" t="str">
        <f t="shared" si="332"/>
        <v/>
      </c>
      <c r="G349" s="259" t="str">
        <f t="shared" si="333"/>
        <v/>
      </c>
      <c r="H349" s="256" t="str">
        <f t="shared" si="311"/>
        <v/>
      </c>
      <c r="I349" s="259" t="str">
        <f t="shared" si="334"/>
        <v/>
      </c>
      <c r="J349" s="259" t="str">
        <f t="shared" si="335"/>
        <v/>
      </c>
      <c r="K349" s="256" t="str">
        <f t="shared" si="312"/>
        <v/>
      </c>
      <c r="L349" s="259" t="str">
        <f t="shared" si="313"/>
        <v/>
      </c>
      <c r="M349" s="259" t="str">
        <f t="shared" si="336"/>
        <v/>
      </c>
      <c r="N349" s="256" t="str">
        <f t="shared" si="337"/>
        <v/>
      </c>
      <c r="O349" s="259" t="str">
        <f t="shared" si="338"/>
        <v/>
      </c>
      <c r="P349" s="259" t="str">
        <f t="shared" si="339"/>
        <v/>
      </c>
      <c r="Q349" s="256" t="str">
        <f t="shared" si="340"/>
        <v/>
      </c>
      <c r="R349" s="259" t="str">
        <f t="shared" si="341"/>
        <v/>
      </c>
      <c r="S349" s="259" t="str">
        <f t="shared" si="342"/>
        <v/>
      </c>
      <c r="T349" s="256" t="str">
        <f t="shared" si="343"/>
        <v/>
      </c>
      <c r="U349" s="217"/>
      <c r="V349" s="217"/>
      <c r="AB349" s="257" t="e">
        <f>VLOOKUP($B$6,Lookup_Source,342,0)</f>
        <v>#N/A</v>
      </c>
      <c r="AC349" s="241" t="str">
        <f t="shared" si="344"/>
        <v/>
      </c>
      <c r="AD349" s="242">
        <f t="shared" si="345"/>
        <v>7</v>
      </c>
      <c r="AE349" s="261" t="e">
        <f t="shared" si="314"/>
        <v>#N/A</v>
      </c>
      <c r="AF349" s="264" t="e">
        <f t="shared" si="346"/>
        <v>#N/A</v>
      </c>
      <c r="AG349" s="264" t="e">
        <f t="shared" si="347"/>
        <v>#N/A</v>
      </c>
      <c r="AH349" s="263" t="e">
        <f t="shared" si="315"/>
        <v>#N/A</v>
      </c>
      <c r="AI349" s="226">
        <f t="shared" si="348"/>
        <v>7</v>
      </c>
      <c r="AJ349" s="264" t="e">
        <f t="shared" si="316"/>
        <v>#N/A</v>
      </c>
      <c r="AK349" s="264" t="e">
        <f t="shared" si="349"/>
        <v>#N/A</v>
      </c>
      <c r="AL349" s="226" t="e">
        <f t="shared" si="317"/>
        <v>#N/A</v>
      </c>
      <c r="AM349" s="265" t="e">
        <f t="shared" si="350"/>
        <v>#N/A</v>
      </c>
      <c r="AN349" s="266" t="e">
        <f t="shared" si="318"/>
        <v>#N/A</v>
      </c>
      <c r="AO349" s="227" t="e">
        <f t="shared" si="319"/>
        <v>#N/A</v>
      </c>
      <c r="AP349" s="284">
        <f t="shared" si="351"/>
        <v>7</v>
      </c>
      <c r="AQ349" s="285" t="e">
        <f t="shared" si="320"/>
        <v>#N/A</v>
      </c>
      <c r="AR349" s="266" t="e">
        <f t="shared" si="352"/>
        <v>#N/A</v>
      </c>
      <c r="AS349" s="270" t="e">
        <f t="shared" si="321"/>
        <v>#N/A</v>
      </c>
      <c r="AT349" s="271">
        <f t="shared" si="353"/>
        <v>7</v>
      </c>
      <c r="AU349" s="272" t="e">
        <f t="shared" si="354"/>
        <v>#N/A</v>
      </c>
      <c r="AV349" s="273" t="e">
        <f t="shared" si="355"/>
        <v>#N/A</v>
      </c>
      <c r="AW349" s="274" t="e">
        <f t="shared" si="322"/>
        <v>#N/A</v>
      </c>
      <c r="AX349" s="232">
        <f t="shared" si="356"/>
        <v>7</v>
      </c>
      <c r="AY349" s="273" t="e">
        <f t="shared" si="323"/>
        <v>#N/A</v>
      </c>
      <c r="AZ349" s="232" t="e">
        <f t="shared" si="357"/>
        <v>#N/A</v>
      </c>
      <c r="BA349" s="232" t="e">
        <f t="shared" si="324"/>
        <v>#N/A</v>
      </c>
      <c r="BB349" s="275">
        <f t="shared" si="358"/>
        <v>7</v>
      </c>
      <c r="BC349" s="276" t="e">
        <f t="shared" si="359"/>
        <v>#N/A</v>
      </c>
      <c r="BD349" s="277" t="e">
        <f t="shared" si="360"/>
        <v>#N/A</v>
      </c>
      <c r="BE349" s="250" t="e">
        <f t="shared" si="325"/>
        <v>#N/A</v>
      </c>
      <c r="BF349" s="247">
        <f t="shared" si="361"/>
        <v>7</v>
      </c>
      <c r="BG349" s="276" t="e">
        <f t="shared" si="362"/>
        <v>#N/A</v>
      </c>
      <c r="BH349" s="277" t="e">
        <f t="shared" si="363"/>
        <v>#N/A</v>
      </c>
      <c r="BI349" s="250" t="e">
        <f t="shared" si="326"/>
        <v>#N/A</v>
      </c>
      <c r="BJ349" s="251">
        <f t="shared" si="364"/>
        <v>7</v>
      </c>
      <c r="BK349" s="278" t="e">
        <f t="shared" si="365"/>
        <v>#N/A</v>
      </c>
      <c r="BL349" s="278" t="e">
        <f t="shared" si="366"/>
        <v>#N/A</v>
      </c>
      <c r="BM349" s="279" t="e">
        <f t="shared" si="327"/>
        <v>#N/A</v>
      </c>
      <c r="BN349" s="280">
        <f t="shared" si="367"/>
        <v>7</v>
      </c>
      <c r="BO349" s="281" t="e">
        <f t="shared" si="368"/>
        <v>#N/A</v>
      </c>
      <c r="BP349" s="281" t="e">
        <f t="shared" si="369"/>
        <v>#N/A</v>
      </c>
      <c r="BQ349" s="279" t="e">
        <f t="shared" si="328"/>
        <v>#N/A</v>
      </c>
      <c r="BR349" s="282" t="e">
        <f t="shared" si="329"/>
        <v>#N/A</v>
      </c>
      <c r="BS349" s="217" t="e">
        <f>VLOOKUP($B349,SDR24_STOCK_BY_LA!$A$2:$C$11878,3,0)</f>
        <v>#N/A</v>
      </c>
      <c r="BT349" s="217" t="str">
        <f t="shared" si="370"/>
        <v/>
      </c>
    </row>
    <row r="350" spans="1:72" x14ac:dyDescent="0.2">
      <c r="A350" s="217" t="str">
        <f t="shared" si="371"/>
        <v/>
      </c>
      <c r="B350" s="217" t="str">
        <f t="shared" si="372"/>
        <v/>
      </c>
      <c r="C350" s="283" t="str">
        <f t="shared" si="330"/>
        <v/>
      </c>
      <c r="D350" s="256" t="str">
        <f>IF(B350="","",IF(totals!$Q$3=0,IFERROR(IF(AD350=2,"0",AE350),""),"-"))</f>
        <v/>
      </c>
      <c r="E350" s="258" t="str">
        <f t="shared" si="331"/>
        <v/>
      </c>
      <c r="F350" s="259" t="str">
        <f t="shared" si="332"/>
        <v/>
      </c>
      <c r="G350" s="259" t="str">
        <f t="shared" si="333"/>
        <v/>
      </c>
      <c r="H350" s="256" t="str">
        <f t="shared" si="311"/>
        <v/>
      </c>
      <c r="I350" s="259" t="str">
        <f t="shared" si="334"/>
        <v/>
      </c>
      <c r="J350" s="259" t="str">
        <f t="shared" si="335"/>
        <v/>
      </c>
      <c r="K350" s="256" t="str">
        <f t="shared" si="312"/>
        <v/>
      </c>
      <c r="L350" s="259" t="str">
        <f t="shared" si="313"/>
        <v/>
      </c>
      <c r="M350" s="259" t="str">
        <f t="shared" si="336"/>
        <v/>
      </c>
      <c r="N350" s="256" t="str">
        <f t="shared" si="337"/>
        <v/>
      </c>
      <c r="O350" s="259" t="str">
        <f t="shared" si="338"/>
        <v/>
      </c>
      <c r="P350" s="259" t="str">
        <f t="shared" si="339"/>
        <v/>
      </c>
      <c r="Q350" s="256" t="str">
        <f t="shared" si="340"/>
        <v/>
      </c>
      <c r="R350" s="259" t="str">
        <f t="shared" si="341"/>
        <v/>
      </c>
      <c r="S350" s="259" t="str">
        <f t="shared" si="342"/>
        <v/>
      </c>
      <c r="T350" s="256" t="str">
        <f t="shared" si="343"/>
        <v/>
      </c>
      <c r="U350" s="217"/>
      <c r="V350" s="217"/>
      <c r="AB350" s="217" t="e">
        <f>VLOOKUP($B$6,Lookup_Source,343,0)</f>
        <v>#N/A</v>
      </c>
      <c r="AC350" s="241" t="str">
        <f t="shared" si="344"/>
        <v/>
      </c>
      <c r="AD350" s="242">
        <f t="shared" si="345"/>
        <v>7</v>
      </c>
      <c r="AE350" s="261" t="e">
        <f t="shared" si="314"/>
        <v>#N/A</v>
      </c>
      <c r="AF350" s="264" t="e">
        <f t="shared" si="346"/>
        <v>#N/A</v>
      </c>
      <c r="AG350" s="264" t="e">
        <f t="shared" si="347"/>
        <v>#N/A</v>
      </c>
      <c r="AH350" s="263" t="e">
        <f t="shared" si="315"/>
        <v>#N/A</v>
      </c>
      <c r="AI350" s="226">
        <f t="shared" si="348"/>
        <v>7</v>
      </c>
      <c r="AJ350" s="264" t="e">
        <f t="shared" si="316"/>
        <v>#N/A</v>
      </c>
      <c r="AK350" s="264" t="e">
        <f t="shared" si="349"/>
        <v>#N/A</v>
      </c>
      <c r="AL350" s="226" t="e">
        <f t="shared" si="317"/>
        <v>#N/A</v>
      </c>
      <c r="AM350" s="265" t="e">
        <f t="shared" si="350"/>
        <v>#N/A</v>
      </c>
      <c r="AN350" s="266" t="e">
        <f t="shared" si="318"/>
        <v>#N/A</v>
      </c>
      <c r="AO350" s="227" t="e">
        <f t="shared" si="319"/>
        <v>#N/A</v>
      </c>
      <c r="AP350" s="284">
        <f t="shared" si="351"/>
        <v>7</v>
      </c>
      <c r="AQ350" s="285" t="e">
        <f t="shared" si="320"/>
        <v>#N/A</v>
      </c>
      <c r="AR350" s="266" t="e">
        <f t="shared" si="352"/>
        <v>#N/A</v>
      </c>
      <c r="AS350" s="270" t="e">
        <f t="shared" si="321"/>
        <v>#N/A</v>
      </c>
      <c r="AT350" s="271">
        <f t="shared" si="353"/>
        <v>7</v>
      </c>
      <c r="AU350" s="272" t="e">
        <f t="shared" si="354"/>
        <v>#N/A</v>
      </c>
      <c r="AV350" s="273" t="e">
        <f t="shared" si="355"/>
        <v>#N/A</v>
      </c>
      <c r="AW350" s="274" t="e">
        <f t="shared" si="322"/>
        <v>#N/A</v>
      </c>
      <c r="AX350" s="232">
        <f t="shared" si="356"/>
        <v>7</v>
      </c>
      <c r="AY350" s="273" t="e">
        <f t="shared" si="323"/>
        <v>#N/A</v>
      </c>
      <c r="AZ350" s="232" t="e">
        <f t="shared" si="357"/>
        <v>#N/A</v>
      </c>
      <c r="BA350" s="232" t="e">
        <f t="shared" si="324"/>
        <v>#N/A</v>
      </c>
      <c r="BB350" s="275">
        <f t="shared" si="358"/>
        <v>7</v>
      </c>
      <c r="BC350" s="276" t="e">
        <f t="shared" si="359"/>
        <v>#N/A</v>
      </c>
      <c r="BD350" s="277" t="e">
        <f t="shared" si="360"/>
        <v>#N/A</v>
      </c>
      <c r="BE350" s="250" t="e">
        <f t="shared" si="325"/>
        <v>#N/A</v>
      </c>
      <c r="BF350" s="247">
        <f t="shared" si="361"/>
        <v>7</v>
      </c>
      <c r="BG350" s="276" t="e">
        <f t="shared" si="362"/>
        <v>#N/A</v>
      </c>
      <c r="BH350" s="277" t="e">
        <f t="shared" si="363"/>
        <v>#N/A</v>
      </c>
      <c r="BI350" s="250" t="e">
        <f t="shared" si="326"/>
        <v>#N/A</v>
      </c>
      <c r="BJ350" s="251">
        <f t="shared" si="364"/>
        <v>7</v>
      </c>
      <c r="BK350" s="278" t="e">
        <f t="shared" si="365"/>
        <v>#N/A</v>
      </c>
      <c r="BL350" s="278" t="e">
        <f t="shared" si="366"/>
        <v>#N/A</v>
      </c>
      <c r="BM350" s="279" t="e">
        <f t="shared" si="327"/>
        <v>#N/A</v>
      </c>
      <c r="BN350" s="280">
        <f t="shared" si="367"/>
        <v>7</v>
      </c>
      <c r="BO350" s="281" t="e">
        <f t="shared" si="368"/>
        <v>#N/A</v>
      </c>
      <c r="BP350" s="281" t="e">
        <f t="shared" si="369"/>
        <v>#N/A</v>
      </c>
      <c r="BQ350" s="279" t="e">
        <f t="shared" si="328"/>
        <v>#N/A</v>
      </c>
      <c r="BR350" s="282" t="e">
        <f t="shared" si="329"/>
        <v>#N/A</v>
      </c>
      <c r="BS350" s="217" t="e">
        <f>VLOOKUP($B350,SDR24_STOCK_BY_LA!$A$2:$C$11878,3,0)</f>
        <v>#N/A</v>
      </c>
      <c r="BT350" s="217" t="str">
        <f t="shared" si="370"/>
        <v/>
      </c>
    </row>
    <row r="351" spans="1:72" x14ac:dyDescent="0.2">
      <c r="A351" s="256" t="str">
        <f t="shared" si="371"/>
        <v/>
      </c>
      <c r="B351" s="217" t="str">
        <f t="shared" si="372"/>
        <v/>
      </c>
      <c r="C351" s="257" t="str">
        <f t="shared" si="330"/>
        <v/>
      </c>
      <c r="D351" s="256" t="str">
        <f>IF(B351="","",IF(totals!$Q$3=0,IFERROR(IF(AD351=2,"0",AE351),""),"-"))</f>
        <v/>
      </c>
      <c r="E351" s="258" t="str">
        <f t="shared" si="331"/>
        <v/>
      </c>
      <c r="F351" s="259" t="str">
        <f t="shared" si="332"/>
        <v/>
      </c>
      <c r="G351" s="259" t="str">
        <f t="shared" si="333"/>
        <v/>
      </c>
      <c r="H351" s="256" t="str">
        <f t="shared" si="311"/>
        <v/>
      </c>
      <c r="I351" s="259" t="str">
        <f t="shared" si="334"/>
        <v/>
      </c>
      <c r="J351" s="259" t="str">
        <f t="shared" si="335"/>
        <v/>
      </c>
      <c r="K351" s="256" t="str">
        <f t="shared" si="312"/>
        <v/>
      </c>
      <c r="L351" s="259" t="str">
        <f t="shared" si="313"/>
        <v/>
      </c>
      <c r="M351" s="259" t="str">
        <f t="shared" si="336"/>
        <v/>
      </c>
      <c r="N351" s="256" t="str">
        <f t="shared" si="337"/>
        <v/>
      </c>
      <c r="O351" s="259" t="str">
        <f t="shared" si="338"/>
        <v/>
      </c>
      <c r="P351" s="259" t="str">
        <f t="shared" si="339"/>
        <v/>
      </c>
      <c r="Q351" s="256" t="str">
        <f t="shared" si="340"/>
        <v/>
      </c>
      <c r="R351" s="259" t="str">
        <f t="shared" si="341"/>
        <v/>
      </c>
      <c r="S351" s="259" t="str">
        <f t="shared" si="342"/>
        <v/>
      </c>
      <c r="T351" s="256" t="str">
        <f t="shared" si="343"/>
        <v/>
      </c>
      <c r="U351" s="217"/>
      <c r="V351" s="217"/>
      <c r="AB351" s="257" t="e">
        <f>VLOOKUP($B$6,Lookup_Source,344,0)</f>
        <v>#N/A</v>
      </c>
      <c r="AC351" s="241" t="str">
        <f t="shared" si="344"/>
        <v/>
      </c>
      <c r="AD351" s="242">
        <f t="shared" si="345"/>
        <v>7</v>
      </c>
      <c r="AE351" s="261" t="e">
        <f t="shared" si="314"/>
        <v>#N/A</v>
      </c>
      <c r="AF351" s="264" t="e">
        <f t="shared" si="346"/>
        <v>#N/A</v>
      </c>
      <c r="AG351" s="264" t="e">
        <f t="shared" si="347"/>
        <v>#N/A</v>
      </c>
      <c r="AH351" s="263" t="e">
        <f t="shared" si="315"/>
        <v>#N/A</v>
      </c>
      <c r="AI351" s="226">
        <f t="shared" si="348"/>
        <v>7</v>
      </c>
      <c r="AJ351" s="264" t="e">
        <f t="shared" si="316"/>
        <v>#N/A</v>
      </c>
      <c r="AK351" s="264" t="e">
        <f t="shared" si="349"/>
        <v>#N/A</v>
      </c>
      <c r="AL351" s="226" t="e">
        <f t="shared" si="317"/>
        <v>#N/A</v>
      </c>
      <c r="AM351" s="265" t="e">
        <f t="shared" si="350"/>
        <v>#N/A</v>
      </c>
      <c r="AN351" s="266" t="e">
        <f t="shared" si="318"/>
        <v>#N/A</v>
      </c>
      <c r="AO351" s="227" t="e">
        <f t="shared" si="319"/>
        <v>#N/A</v>
      </c>
      <c r="AP351" s="284">
        <f t="shared" si="351"/>
        <v>7</v>
      </c>
      <c r="AQ351" s="285" t="e">
        <f t="shared" si="320"/>
        <v>#N/A</v>
      </c>
      <c r="AR351" s="266" t="e">
        <f t="shared" si="352"/>
        <v>#N/A</v>
      </c>
      <c r="AS351" s="270" t="e">
        <f t="shared" si="321"/>
        <v>#N/A</v>
      </c>
      <c r="AT351" s="271">
        <f t="shared" si="353"/>
        <v>7</v>
      </c>
      <c r="AU351" s="272" t="e">
        <f t="shared" si="354"/>
        <v>#N/A</v>
      </c>
      <c r="AV351" s="273" t="e">
        <f t="shared" si="355"/>
        <v>#N/A</v>
      </c>
      <c r="AW351" s="274" t="e">
        <f t="shared" si="322"/>
        <v>#N/A</v>
      </c>
      <c r="AX351" s="232">
        <f t="shared" si="356"/>
        <v>7</v>
      </c>
      <c r="AY351" s="273" t="e">
        <f t="shared" si="323"/>
        <v>#N/A</v>
      </c>
      <c r="AZ351" s="232" t="e">
        <f t="shared" si="357"/>
        <v>#N/A</v>
      </c>
      <c r="BA351" s="232" t="e">
        <f t="shared" si="324"/>
        <v>#N/A</v>
      </c>
      <c r="BB351" s="275">
        <f t="shared" si="358"/>
        <v>7</v>
      </c>
      <c r="BC351" s="276" t="e">
        <f t="shared" si="359"/>
        <v>#N/A</v>
      </c>
      <c r="BD351" s="277" t="e">
        <f t="shared" si="360"/>
        <v>#N/A</v>
      </c>
      <c r="BE351" s="250" t="e">
        <f t="shared" si="325"/>
        <v>#N/A</v>
      </c>
      <c r="BF351" s="247">
        <f t="shared" si="361"/>
        <v>7</v>
      </c>
      <c r="BG351" s="276" t="e">
        <f t="shared" si="362"/>
        <v>#N/A</v>
      </c>
      <c r="BH351" s="277" t="e">
        <f t="shared" si="363"/>
        <v>#N/A</v>
      </c>
      <c r="BI351" s="250" t="e">
        <f t="shared" si="326"/>
        <v>#N/A</v>
      </c>
      <c r="BJ351" s="251">
        <f t="shared" si="364"/>
        <v>7</v>
      </c>
      <c r="BK351" s="278" t="e">
        <f t="shared" si="365"/>
        <v>#N/A</v>
      </c>
      <c r="BL351" s="278" t="e">
        <f t="shared" si="366"/>
        <v>#N/A</v>
      </c>
      <c r="BM351" s="279" t="e">
        <f t="shared" si="327"/>
        <v>#N/A</v>
      </c>
      <c r="BN351" s="280">
        <f t="shared" si="367"/>
        <v>7</v>
      </c>
      <c r="BO351" s="281" t="e">
        <f t="shared" si="368"/>
        <v>#N/A</v>
      </c>
      <c r="BP351" s="281" t="e">
        <f t="shared" si="369"/>
        <v>#N/A</v>
      </c>
      <c r="BQ351" s="279" t="e">
        <f t="shared" si="328"/>
        <v>#N/A</v>
      </c>
      <c r="BR351" s="282" t="e">
        <f t="shared" si="329"/>
        <v>#N/A</v>
      </c>
      <c r="BS351" s="217" t="e">
        <f>VLOOKUP($B351,SDR24_STOCK_BY_LA!$A$2:$C$11878,3,0)</f>
        <v>#N/A</v>
      </c>
      <c r="BT351" s="217" t="str">
        <f t="shared" si="370"/>
        <v/>
      </c>
    </row>
    <row r="352" spans="1:72" x14ac:dyDescent="0.2">
      <c r="A352" s="217" t="str">
        <f t="shared" si="371"/>
        <v/>
      </c>
      <c r="B352" s="217" t="str">
        <f t="shared" si="372"/>
        <v/>
      </c>
      <c r="C352" s="283" t="str">
        <f t="shared" si="330"/>
        <v/>
      </c>
      <c r="D352" s="256" t="str">
        <f>IF(B352="","",IF(totals!$Q$3=0,IFERROR(IF(AD352=2,"0",AE352),""),"-"))</f>
        <v/>
      </c>
      <c r="E352" s="258" t="str">
        <f t="shared" si="331"/>
        <v/>
      </c>
      <c r="F352" s="259" t="str">
        <f t="shared" si="332"/>
        <v/>
      </c>
      <c r="G352" s="259" t="str">
        <f t="shared" si="333"/>
        <v/>
      </c>
      <c r="H352" s="256" t="str">
        <f t="shared" si="311"/>
        <v/>
      </c>
      <c r="I352" s="259" t="str">
        <f t="shared" si="334"/>
        <v/>
      </c>
      <c r="J352" s="259" t="str">
        <f t="shared" si="335"/>
        <v/>
      </c>
      <c r="K352" s="256" t="str">
        <f t="shared" si="312"/>
        <v/>
      </c>
      <c r="L352" s="259" t="str">
        <f t="shared" si="313"/>
        <v/>
      </c>
      <c r="M352" s="259" t="str">
        <f t="shared" si="336"/>
        <v/>
      </c>
      <c r="N352" s="256" t="str">
        <f t="shared" si="337"/>
        <v/>
      </c>
      <c r="O352" s="259" t="str">
        <f t="shared" si="338"/>
        <v/>
      </c>
      <c r="P352" s="259" t="str">
        <f t="shared" si="339"/>
        <v/>
      </c>
      <c r="Q352" s="256" t="str">
        <f t="shared" si="340"/>
        <v/>
      </c>
      <c r="R352" s="259" t="str">
        <f t="shared" si="341"/>
        <v/>
      </c>
      <c r="S352" s="259" t="str">
        <f t="shared" si="342"/>
        <v/>
      </c>
      <c r="T352" s="256" t="str">
        <f t="shared" si="343"/>
        <v/>
      </c>
      <c r="U352" s="217"/>
      <c r="V352" s="217"/>
      <c r="AB352" s="217" t="e">
        <f>VLOOKUP($B$6,Lookup_Source,345,0)</f>
        <v>#N/A</v>
      </c>
      <c r="AC352" s="241" t="str">
        <f t="shared" si="344"/>
        <v/>
      </c>
      <c r="AD352" s="242">
        <f t="shared" si="345"/>
        <v>7</v>
      </c>
      <c r="AE352" s="261" t="e">
        <f t="shared" si="314"/>
        <v>#N/A</v>
      </c>
      <c r="AF352" s="264" t="e">
        <f t="shared" si="346"/>
        <v>#N/A</v>
      </c>
      <c r="AG352" s="264" t="e">
        <f t="shared" si="347"/>
        <v>#N/A</v>
      </c>
      <c r="AH352" s="263" t="e">
        <f t="shared" si="315"/>
        <v>#N/A</v>
      </c>
      <c r="AI352" s="226">
        <f t="shared" si="348"/>
        <v>7</v>
      </c>
      <c r="AJ352" s="264" t="e">
        <f t="shared" si="316"/>
        <v>#N/A</v>
      </c>
      <c r="AK352" s="264" t="e">
        <f t="shared" si="349"/>
        <v>#N/A</v>
      </c>
      <c r="AL352" s="226" t="e">
        <f t="shared" si="317"/>
        <v>#N/A</v>
      </c>
      <c r="AM352" s="265" t="e">
        <f t="shared" si="350"/>
        <v>#N/A</v>
      </c>
      <c r="AN352" s="266" t="e">
        <f t="shared" si="318"/>
        <v>#N/A</v>
      </c>
      <c r="AO352" s="227" t="e">
        <f t="shared" si="319"/>
        <v>#N/A</v>
      </c>
      <c r="AP352" s="284">
        <f t="shared" si="351"/>
        <v>7</v>
      </c>
      <c r="AQ352" s="285" t="e">
        <f t="shared" si="320"/>
        <v>#N/A</v>
      </c>
      <c r="AR352" s="266" t="e">
        <f t="shared" si="352"/>
        <v>#N/A</v>
      </c>
      <c r="AS352" s="270" t="e">
        <f t="shared" si="321"/>
        <v>#N/A</v>
      </c>
      <c r="AT352" s="271">
        <f t="shared" si="353"/>
        <v>7</v>
      </c>
      <c r="AU352" s="272" t="e">
        <f t="shared" si="354"/>
        <v>#N/A</v>
      </c>
      <c r="AV352" s="273" t="e">
        <f t="shared" si="355"/>
        <v>#N/A</v>
      </c>
      <c r="AW352" s="274" t="e">
        <f t="shared" si="322"/>
        <v>#N/A</v>
      </c>
      <c r="AX352" s="232">
        <f t="shared" si="356"/>
        <v>7</v>
      </c>
      <c r="AY352" s="273" t="e">
        <f t="shared" si="323"/>
        <v>#N/A</v>
      </c>
      <c r="AZ352" s="232" t="e">
        <f t="shared" si="357"/>
        <v>#N/A</v>
      </c>
      <c r="BA352" s="232" t="e">
        <f t="shared" si="324"/>
        <v>#N/A</v>
      </c>
      <c r="BB352" s="275">
        <f t="shared" si="358"/>
        <v>7</v>
      </c>
      <c r="BC352" s="276" t="e">
        <f t="shared" si="359"/>
        <v>#N/A</v>
      </c>
      <c r="BD352" s="277" t="e">
        <f t="shared" si="360"/>
        <v>#N/A</v>
      </c>
      <c r="BE352" s="250" t="e">
        <f t="shared" si="325"/>
        <v>#N/A</v>
      </c>
      <c r="BF352" s="247">
        <f t="shared" si="361"/>
        <v>7</v>
      </c>
      <c r="BG352" s="276" t="e">
        <f t="shared" si="362"/>
        <v>#N/A</v>
      </c>
      <c r="BH352" s="277" t="e">
        <f t="shared" si="363"/>
        <v>#N/A</v>
      </c>
      <c r="BI352" s="250" t="e">
        <f t="shared" si="326"/>
        <v>#N/A</v>
      </c>
      <c r="BJ352" s="251">
        <f t="shared" si="364"/>
        <v>7</v>
      </c>
      <c r="BK352" s="278" t="e">
        <f t="shared" si="365"/>
        <v>#N/A</v>
      </c>
      <c r="BL352" s="278" t="e">
        <f t="shared" si="366"/>
        <v>#N/A</v>
      </c>
      <c r="BM352" s="279" t="e">
        <f t="shared" si="327"/>
        <v>#N/A</v>
      </c>
      <c r="BN352" s="280">
        <f t="shared" si="367"/>
        <v>7</v>
      </c>
      <c r="BO352" s="281" t="e">
        <f t="shared" si="368"/>
        <v>#N/A</v>
      </c>
      <c r="BP352" s="281" t="e">
        <f t="shared" si="369"/>
        <v>#N/A</v>
      </c>
      <c r="BQ352" s="279" t="e">
        <f t="shared" si="328"/>
        <v>#N/A</v>
      </c>
      <c r="BR352" s="282" t="e">
        <f t="shared" si="329"/>
        <v>#N/A</v>
      </c>
      <c r="BS352" s="217" t="e">
        <f>VLOOKUP($B352,SDR24_STOCK_BY_LA!$A$2:$C$11878,3,0)</f>
        <v>#N/A</v>
      </c>
      <c r="BT352" s="217" t="str">
        <f t="shared" si="370"/>
        <v/>
      </c>
    </row>
    <row r="353" spans="1:72" x14ac:dyDescent="0.2">
      <c r="A353" s="256" t="str">
        <f t="shared" si="371"/>
        <v/>
      </c>
      <c r="B353" s="217" t="str">
        <f t="shared" si="372"/>
        <v/>
      </c>
      <c r="C353" s="257" t="str">
        <f t="shared" si="330"/>
        <v/>
      </c>
      <c r="D353" s="256" t="str">
        <f>IF(B353="","",IF(totals!$Q$3=0,IFERROR(IF(AD353=2,"0",AE353),""),"-"))</f>
        <v/>
      </c>
      <c r="E353" s="258" t="str">
        <f t="shared" si="331"/>
        <v/>
      </c>
      <c r="F353" s="259" t="str">
        <f t="shared" si="332"/>
        <v/>
      </c>
      <c r="G353" s="259" t="str">
        <f t="shared" si="333"/>
        <v/>
      </c>
      <c r="H353" s="256" t="str">
        <f t="shared" si="311"/>
        <v/>
      </c>
      <c r="I353" s="259" t="str">
        <f t="shared" si="334"/>
        <v/>
      </c>
      <c r="J353" s="259" t="str">
        <f t="shared" si="335"/>
        <v/>
      </c>
      <c r="K353" s="256" t="str">
        <f t="shared" si="312"/>
        <v/>
      </c>
      <c r="L353" s="259" t="str">
        <f t="shared" si="313"/>
        <v/>
      </c>
      <c r="M353" s="259" t="str">
        <f t="shared" si="336"/>
        <v/>
      </c>
      <c r="N353" s="256" t="str">
        <f t="shared" si="337"/>
        <v/>
      </c>
      <c r="O353" s="259" t="str">
        <f t="shared" si="338"/>
        <v/>
      </c>
      <c r="P353" s="259" t="str">
        <f t="shared" si="339"/>
        <v/>
      </c>
      <c r="Q353" s="256" t="str">
        <f t="shared" si="340"/>
        <v/>
      </c>
      <c r="R353" s="259" t="str">
        <f t="shared" si="341"/>
        <v/>
      </c>
      <c r="S353" s="259" t="str">
        <f t="shared" si="342"/>
        <v/>
      </c>
      <c r="T353" s="256" t="str">
        <f t="shared" si="343"/>
        <v/>
      </c>
      <c r="U353" s="217"/>
      <c r="V353" s="217"/>
      <c r="AB353" s="257" t="e">
        <f>VLOOKUP($B$6,Lookup_Source,346,0)</f>
        <v>#N/A</v>
      </c>
      <c r="AC353" s="241" t="str">
        <f t="shared" si="344"/>
        <v/>
      </c>
      <c r="AD353" s="242">
        <f t="shared" si="345"/>
        <v>7</v>
      </c>
      <c r="AE353" s="261" t="e">
        <f t="shared" si="314"/>
        <v>#N/A</v>
      </c>
      <c r="AF353" s="264" t="e">
        <f t="shared" si="346"/>
        <v>#N/A</v>
      </c>
      <c r="AG353" s="264" t="e">
        <f t="shared" si="347"/>
        <v>#N/A</v>
      </c>
      <c r="AH353" s="263" t="e">
        <f t="shared" si="315"/>
        <v>#N/A</v>
      </c>
      <c r="AI353" s="226">
        <f t="shared" si="348"/>
        <v>7</v>
      </c>
      <c r="AJ353" s="264" t="e">
        <f t="shared" si="316"/>
        <v>#N/A</v>
      </c>
      <c r="AK353" s="264" t="e">
        <f t="shared" si="349"/>
        <v>#N/A</v>
      </c>
      <c r="AL353" s="226" t="e">
        <f t="shared" si="317"/>
        <v>#N/A</v>
      </c>
      <c r="AM353" s="265" t="e">
        <f t="shared" si="350"/>
        <v>#N/A</v>
      </c>
      <c r="AN353" s="266" t="e">
        <f t="shared" si="318"/>
        <v>#N/A</v>
      </c>
      <c r="AO353" s="227" t="e">
        <f t="shared" si="319"/>
        <v>#N/A</v>
      </c>
      <c r="AP353" s="284">
        <f t="shared" si="351"/>
        <v>7</v>
      </c>
      <c r="AQ353" s="285" t="e">
        <f t="shared" si="320"/>
        <v>#N/A</v>
      </c>
      <c r="AR353" s="266" t="e">
        <f t="shared" si="352"/>
        <v>#N/A</v>
      </c>
      <c r="AS353" s="270" t="e">
        <f t="shared" si="321"/>
        <v>#N/A</v>
      </c>
      <c r="AT353" s="271">
        <f t="shared" si="353"/>
        <v>7</v>
      </c>
      <c r="AU353" s="272" t="e">
        <f t="shared" si="354"/>
        <v>#N/A</v>
      </c>
      <c r="AV353" s="273" t="e">
        <f t="shared" si="355"/>
        <v>#N/A</v>
      </c>
      <c r="AW353" s="274" t="e">
        <f t="shared" si="322"/>
        <v>#N/A</v>
      </c>
      <c r="AX353" s="232">
        <f t="shared" si="356"/>
        <v>7</v>
      </c>
      <c r="AY353" s="273" t="e">
        <f t="shared" si="323"/>
        <v>#N/A</v>
      </c>
      <c r="AZ353" s="232" t="e">
        <f t="shared" si="357"/>
        <v>#N/A</v>
      </c>
      <c r="BA353" s="232" t="e">
        <f t="shared" si="324"/>
        <v>#N/A</v>
      </c>
      <c r="BB353" s="275">
        <f t="shared" si="358"/>
        <v>7</v>
      </c>
      <c r="BC353" s="276" t="e">
        <f t="shared" si="359"/>
        <v>#N/A</v>
      </c>
      <c r="BD353" s="277" t="e">
        <f t="shared" si="360"/>
        <v>#N/A</v>
      </c>
      <c r="BE353" s="250" t="e">
        <f t="shared" si="325"/>
        <v>#N/A</v>
      </c>
      <c r="BF353" s="247">
        <f t="shared" si="361"/>
        <v>7</v>
      </c>
      <c r="BG353" s="276" t="e">
        <f t="shared" si="362"/>
        <v>#N/A</v>
      </c>
      <c r="BH353" s="277" t="e">
        <f t="shared" si="363"/>
        <v>#N/A</v>
      </c>
      <c r="BI353" s="250" t="e">
        <f t="shared" si="326"/>
        <v>#N/A</v>
      </c>
      <c r="BJ353" s="251">
        <f t="shared" si="364"/>
        <v>7</v>
      </c>
      <c r="BK353" s="278" t="e">
        <f t="shared" si="365"/>
        <v>#N/A</v>
      </c>
      <c r="BL353" s="278" t="e">
        <f t="shared" si="366"/>
        <v>#N/A</v>
      </c>
      <c r="BM353" s="279" t="e">
        <f t="shared" si="327"/>
        <v>#N/A</v>
      </c>
      <c r="BN353" s="280">
        <f t="shared" si="367"/>
        <v>7</v>
      </c>
      <c r="BO353" s="281" t="e">
        <f t="shared" si="368"/>
        <v>#N/A</v>
      </c>
      <c r="BP353" s="281" t="e">
        <f t="shared" si="369"/>
        <v>#N/A</v>
      </c>
      <c r="BQ353" s="279" t="e">
        <f t="shared" si="328"/>
        <v>#N/A</v>
      </c>
      <c r="BR353" s="282" t="e">
        <f t="shared" si="329"/>
        <v>#N/A</v>
      </c>
      <c r="BS353" s="217" t="e">
        <f>VLOOKUP($B353,SDR24_STOCK_BY_LA!$A$2:$C$11878,3,0)</f>
        <v>#N/A</v>
      </c>
      <c r="BT353" s="217" t="str">
        <f t="shared" si="370"/>
        <v/>
      </c>
    </row>
    <row r="354" spans="1:72" x14ac:dyDescent="0.2">
      <c r="A354" s="217" t="str">
        <f t="shared" si="371"/>
        <v/>
      </c>
      <c r="B354" s="217" t="str">
        <f t="shared" si="372"/>
        <v/>
      </c>
      <c r="C354" s="283" t="str">
        <f t="shared" si="330"/>
        <v/>
      </c>
      <c r="D354" s="256" t="str">
        <f>IF(B354="","",IF(totals!$Q$3=0,IFERROR(IF(AD354=2,"0",AE354),""),"-"))</f>
        <v/>
      </c>
      <c r="E354" s="258" t="str">
        <f t="shared" si="331"/>
        <v/>
      </c>
      <c r="F354" s="259" t="str">
        <f t="shared" si="332"/>
        <v/>
      </c>
      <c r="G354" s="259" t="str">
        <f t="shared" si="333"/>
        <v/>
      </c>
      <c r="H354" s="256" t="str">
        <f t="shared" si="311"/>
        <v/>
      </c>
      <c r="I354" s="259" t="str">
        <f t="shared" si="334"/>
        <v/>
      </c>
      <c r="J354" s="259" t="str">
        <f t="shared" si="335"/>
        <v/>
      </c>
      <c r="K354" s="256" t="str">
        <f t="shared" si="312"/>
        <v/>
      </c>
      <c r="L354" s="259" t="str">
        <f t="shared" si="313"/>
        <v/>
      </c>
      <c r="M354" s="259" t="str">
        <f t="shared" si="336"/>
        <v/>
      </c>
      <c r="N354" s="256" t="str">
        <f t="shared" si="337"/>
        <v/>
      </c>
      <c r="O354" s="259" t="str">
        <f t="shared" si="338"/>
        <v/>
      </c>
      <c r="P354" s="259" t="str">
        <f t="shared" si="339"/>
        <v/>
      </c>
      <c r="Q354" s="256" t="str">
        <f t="shared" si="340"/>
        <v/>
      </c>
      <c r="R354" s="259" t="str">
        <f t="shared" si="341"/>
        <v/>
      </c>
      <c r="S354" s="259" t="str">
        <f t="shared" si="342"/>
        <v/>
      </c>
      <c r="T354" s="256" t="str">
        <f t="shared" si="343"/>
        <v/>
      </c>
      <c r="U354" s="217"/>
      <c r="V354" s="217"/>
      <c r="AB354" s="217" t="e">
        <f>VLOOKUP($B$6,Lookup_Source,347,0)</f>
        <v>#N/A</v>
      </c>
      <c r="AC354" s="241" t="str">
        <f t="shared" si="344"/>
        <v/>
      </c>
      <c r="AD354" s="242">
        <f t="shared" si="345"/>
        <v>7</v>
      </c>
      <c r="AE354" s="261" t="e">
        <f t="shared" si="314"/>
        <v>#N/A</v>
      </c>
      <c r="AF354" s="264" t="e">
        <f t="shared" si="346"/>
        <v>#N/A</v>
      </c>
      <c r="AG354" s="264" t="e">
        <f t="shared" si="347"/>
        <v>#N/A</v>
      </c>
      <c r="AH354" s="263" t="e">
        <f t="shared" si="315"/>
        <v>#N/A</v>
      </c>
      <c r="AI354" s="226">
        <f t="shared" si="348"/>
        <v>7</v>
      </c>
      <c r="AJ354" s="264" t="e">
        <f t="shared" si="316"/>
        <v>#N/A</v>
      </c>
      <c r="AK354" s="264" t="e">
        <f t="shared" si="349"/>
        <v>#N/A</v>
      </c>
      <c r="AL354" s="226" t="e">
        <f t="shared" si="317"/>
        <v>#N/A</v>
      </c>
      <c r="AM354" s="265" t="e">
        <f t="shared" si="350"/>
        <v>#N/A</v>
      </c>
      <c r="AN354" s="266" t="e">
        <f t="shared" si="318"/>
        <v>#N/A</v>
      </c>
      <c r="AO354" s="227" t="e">
        <f t="shared" si="319"/>
        <v>#N/A</v>
      </c>
      <c r="AP354" s="284">
        <f t="shared" si="351"/>
        <v>7</v>
      </c>
      <c r="AQ354" s="285" t="e">
        <f t="shared" si="320"/>
        <v>#N/A</v>
      </c>
      <c r="AR354" s="266" t="e">
        <f t="shared" si="352"/>
        <v>#N/A</v>
      </c>
      <c r="AS354" s="270" t="e">
        <f t="shared" si="321"/>
        <v>#N/A</v>
      </c>
      <c r="AT354" s="271">
        <f t="shared" si="353"/>
        <v>7</v>
      </c>
      <c r="AU354" s="272" t="e">
        <f t="shared" si="354"/>
        <v>#N/A</v>
      </c>
      <c r="AV354" s="273" t="e">
        <f t="shared" si="355"/>
        <v>#N/A</v>
      </c>
      <c r="AW354" s="274" t="e">
        <f t="shared" si="322"/>
        <v>#N/A</v>
      </c>
      <c r="AX354" s="232">
        <f t="shared" si="356"/>
        <v>7</v>
      </c>
      <c r="AY354" s="273" t="e">
        <f t="shared" si="323"/>
        <v>#N/A</v>
      </c>
      <c r="AZ354" s="232" t="e">
        <f t="shared" si="357"/>
        <v>#N/A</v>
      </c>
      <c r="BA354" s="232" t="e">
        <f t="shared" si="324"/>
        <v>#N/A</v>
      </c>
      <c r="BB354" s="275">
        <f t="shared" si="358"/>
        <v>7</v>
      </c>
      <c r="BC354" s="276" t="e">
        <f t="shared" si="359"/>
        <v>#N/A</v>
      </c>
      <c r="BD354" s="277" t="e">
        <f t="shared" si="360"/>
        <v>#N/A</v>
      </c>
      <c r="BE354" s="250" t="e">
        <f t="shared" si="325"/>
        <v>#N/A</v>
      </c>
      <c r="BF354" s="247">
        <f t="shared" si="361"/>
        <v>7</v>
      </c>
      <c r="BG354" s="276" t="e">
        <f t="shared" si="362"/>
        <v>#N/A</v>
      </c>
      <c r="BH354" s="277" t="e">
        <f t="shared" si="363"/>
        <v>#N/A</v>
      </c>
      <c r="BI354" s="250" t="e">
        <f t="shared" si="326"/>
        <v>#N/A</v>
      </c>
      <c r="BJ354" s="251">
        <f t="shared" si="364"/>
        <v>7</v>
      </c>
      <c r="BK354" s="278" t="e">
        <f t="shared" si="365"/>
        <v>#N/A</v>
      </c>
      <c r="BL354" s="278" t="e">
        <f t="shared" si="366"/>
        <v>#N/A</v>
      </c>
      <c r="BM354" s="279" t="e">
        <f t="shared" si="327"/>
        <v>#N/A</v>
      </c>
      <c r="BN354" s="280">
        <f t="shared" si="367"/>
        <v>7</v>
      </c>
      <c r="BO354" s="281" t="e">
        <f t="shared" si="368"/>
        <v>#N/A</v>
      </c>
      <c r="BP354" s="281" t="e">
        <f t="shared" si="369"/>
        <v>#N/A</v>
      </c>
      <c r="BQ354" s="279" t="e">
        <f t="shared" si="328"/>
        <v>#N/A</v>
      </c>
      <c r="BR354" s="282" t="e">
        <f t="shared" si="329"/>
        <v>#N/A</v>
      </c>
      <c r="BS354" s="217" t="e">
        <f>VLOOKUP($B354,SDR24_STOCK_BY_LA!$A$2:$C$11878,3,0)</f>
        <v>#N/A</v>
      </c>
      <c r="BT354" s="217" t="str">
        <f t="shared" si="370"/>
        <v/>
      </c>
    </row>
    <row r="355" spans="1:72" x14ac:dyDescent="0.2">
      <c r="A355" s="256" t="str">
        <f t="shared" si="371"/>
        <v/>
      </c>
      <c r="B355" s="217" t="str">
        <f t="shared" si="372"/>
        <v/>
      </c>
      <c r="C355" s="257" t="str">
        <f t="shared" si="330"/>
        <v/>
      </c>
      <c r="D355" s="256" t="str">
        <f>IF(B355="","",IF(totals!$Q$3=0,IFERROR(IF(AD355=2,"0",AE355),""),"-"))</f>
        <v/>
      </c>
      <c r="E355" s="258" t="str">
        <f t="shared" si="331"/>
        <v/>
      </c>
      <c r="F355" s="259" t="str">
        <f t="shared" si="332"/>
        <v/>
      </c>
      <c r="G355" s="259" t="str">
        <f t="shared" si="333"/>
        <v/>
      </c>
      <c r="H355" s="256" t="str">
        <f t="shared" si="311"/>
        <v/>
      </c>
      <c r="I355" s="259" t="str">
        <f t="shared" si="334"/>
        <v/>
      </c>
      <c r="J355" s="259" t="str">
        <f t="shared" si="335"/>
        <v/>
      </c>
      <c r="K355" s="256" t="str">
        <f t="shared" si="312"/>
        <v/>
      </c>
      <c r="L355" s="259" t="str">
        <f t="shared" si="313"/>
        <v/>
      </c>
      <c r="M355" s="259" t="str">
        <f t="shared" si="336"/>
        <v/>
      </c>
      <c r="N355" s="256" t="str">
        <f t="shared" si="337"/>
        <v/>
      </c>
      <c r="O355" s="259" t="str">
        <f t="shared" si="338"/>
        <v/>
      </c>
      <c r="P355" s="259" t="str">
        <f t="shared" si="339"/>
        <v/>
      </c>
      <c r="Q355" s="256" t="str">
        <f t="shared" si="340"/>
        <v/>
      </c>
      <c r="R355" s="259" t="str">
        <f t="shared" si="341"/>
        <v/>
      </c>
      <c r="S355" s="259" t="str">
        <f t="shared" si="342"/>
        <v/>
      </c>
      <c r="T355" s="256" t="str">
        <f t="shared" si="343"/>
        <v/>
      </c>
      <c r="U355" s="217"/>
      <c r="V355" s="217"/>
      <c r="AB355" s="257" t="e">
        <f>VLOOKUP($B$6,Lookup_Source,348,0)</f>
        <v>#N/A</v>
      </c>
      <c r="AC355" s="241" t="str">
        <f t="shared" si="344"/>
        <v/>
      </c>
      <c r="AD355" s="242">
        <f t="shared" si="345"/>
        <v>7</v>
      </c>
      <c r="AE355" s="261" t="e">
        <f t="shared" si="314"/>
        <v>#N/A</v>
      </c>
      <c r="AF355" s="264" t="e">
        <f t="shared" si="346"/>
        <v>#N/A</v>
      </c>
      <c r="AG355" s="264" t="e">
        <f t="shared" si="347"/>
        <v>#N/A</v>
      </c>
      <c r="AH355" s="263" t="e">
        <f t="shared" si="315"/>
        <v>#N/A</v>
      </c>
      <c r="AI355" s="226">
        <f t="shared" si="348"/>
        <v>7</v>
      </c>
      <c r="AJ355" s="264" t="e">
        <f t="shared" si="316"/>
        <v>#N/A</v>
      </c>
      <c r="AK355" s="264" t="e">
        <f t="shared" si="349"/>
        <v>#N/A</v>
      </c>
      <c r="AL355" s="226" t="e">
        <f t="shared" si="317"/>
        <v>#N/A</v>
      </c>
      <c r="AM355" s="265" t="e">
        <f t="shared" si="350"/>
        <v>#N/A</v>
      </c>
      <c r="AN355" s="266" t="e">
        <f t="shared" si="318"/>
        <v>#N/A</v>
      </c>
      <c r="AO355" s="227" t="e">
        <f t="shared" si="319"/>
        <v>#N/A</v>
      </c>
      <c r="AP355" s="284">
        <f t="shared" si="351"/>
        <v>7</v>
      </c>
      <c r="AQ355" s="285" t="e">
        <f t="shared" si="320"/>
        <v>#N/A</v>
      </c>
      <c r="AR355" s="266" t="e">
        <f t="shared" si="352"/>
        <v>#N/A</v>
      </c>
      <c r="AS355" s="270" t="e">
        <f t="shared" si="321"/>
        <v>#N/A</v>
      </c>
      <c r="AT355" s="271">
        <f t="shared" si="353"/>
        <v>7</v>
      </c>
      <c r="AU355" s="272" t="e">
        <f t="shared" si="354"/>
        <v>#N/A</v>
      </c>
      <c r="AV355" s="273" t="e">
        <f t="shared" si="355"/>
        <v>#N/A</v>
      </c>
      <c r="AW355" s="274" t="e">
        <f t="shared" si="322"/>
        <v>#N/A</v>
      </c>
      <c r="AX355" s="232">
        <f t="shared" si="356"/>
        <v>7</v>
      </c>
      <c r="AY355" s="273" t="e">
        <f t="shared" si="323"/>
        <v>#N/A</v>
      </c>
      <c r="AZ355" s="232" t="e">
        <f t="shared" si="357"/>
        <v>#N/A</v>
      </c>
      <c r="BA355" s="232" t="e">
        <f t="shared" si="324"/>
        <v>#N/A</v>
      </c>
      <c r="BB355" s="275">
        <f t="shared" si="358"/>
        <v>7</v>
      </c>
      <c r="BC355" s="276" t="e">
        <f t="shared" si="359"/>
        <v>#N/A</v>
      </c>
      <c r="BD355" s="277" t="e">
        <f t="shared" si="360"/>
        <v>#N/A</v>
      </c>
      <c r="BE355" s="250" t="e">
        <f t="shared" si="325"/>
        <v>#N/A</v>
      </c>
      <c r="BF355" s="247">
        <f t="shared" si="361"/>
        <v>7</v>
      </c>
      <c r="BG355" s="276" t="e">
        <f t="shared" si="362"/>
        <v>#N/A</v>
      </c>
      <c r="BH355" s="277" t="e">
        <f t="shared" si="363"/>
        <v>#N/A</v>
      </c>
      <c r="BI355" s="250" t="e">
        <f t="shared" si="326"/>
        <v>#N/A</v>
      </c>
      <c r="BJ355" s="251">
        <f t="shared" si="364"/>
        <v>7</v>
      </c>
      <c r="BK355" s="278" t="e">
        <f t="shared" si="365"/>
        <v>#N/A</v>
      </c>
      <c r="BL355" s="278" t="e">
        <f t="shared" si="366"/>
        <v>#N/A</v>
      </c>
      <c r="BM355" s="279" t="e">
        <f t="shared" si="327"/>
        <v>#N/A</v>
      </c>
      <c r="BN355" s="280">
        <f t="shared" si="367"/>
        <v>7</v>
      </c>
      <c r="BO355" s="281" t="e">
        <f t="shared" si="368"/>
        <v>#N/A</v>
      </c>
      <c r="BP355" s="281" t="e">
        <f t="shared" si="369"/>
        <v>#N/A</v>
      </c>
      <c r="BQ355" s="279" t="e">
        <f t="shared" si="328"/>
        <v>#N/A</v>
      </c>
      <c r="BR355" s="282" t="e">
        <f t="shared" si="329"/>
        <v>#N/A</v>
      </c>
      <c r="BS355" s="217" t="e">
        <f>VLOOKUP($B355,SDR24_STOCK_BY_LA!$A$2:$C$11878,3,0)</f>
        <v>#N/A</v>
      </c>
      <c r="BT355" s="217" t="str">
        <f t="shared" si="370"/>
        <v/>
      </c>
    </row>
    <row r="356" spans="1:72" x14ac:dyDescent="0.2">
      <c r="A356" s="217" t="str">
        <f t="shared" si="371"/>
        <v/>
      </c>
      <c r="B356" s="217" t="str">
        <f t="shared" si="372"/>
        <v/>
      </c>
      <c r="C356" s="283" t="str">
        <f t="shared" si="330"/>
        <v/>
      </c>
      <c r="D356" s="256" t="str">
        <f>IF(B356="","",IF(totals!$Q$3=0,IFERROR(IF(AD356=2,"0",AE356),""),"-"))</f>
        <v/>
      </c>
      <c r="E356" s="258" t="str">
        <f t="shared" si="331"/>
        <v/>
      </c>
      <c r="F356" s="259" t="str">
        <f t="shared" si="332"/>
        <v/>
      </c>
      <c r="G356" s="259" t="str">
        <f t="shared" si="333"/>
        <v/>
      </c>
      <c r="H356" s="256" t="str">
        <f t="shared" si="311"/>
        <v/>
      </c>
      <c r="I356" s="259" t="str">
        <f t="shared" si="334"/>
        <v/>
      </c>
      <c r="J356" s="259" t="str">
        <f t="shared" si="335"/>
        <v/>
      </c>
      <c r="K356" s="256" t="str">
        <f t="shared" si="312"/>
        <v/>
      </c>
      <c r="L356" s="259" t="str">
        <f t="shared" si="313"/>
        <v/>
      </c>
      <c r="M356" s="259" t="str">
        <f t="shared" si="336"/>
        <v/>
      </c>
      <c r="N356" s="256" t="str">
        <f t="shared" si="337"/>
        <v/>
      </c>
      <c r="O356" s="259" t="str">
        <f t="shared" si="338"/>
        <v/>
      </c>
      <c r="P356" s="259" t="str">
        <f t="shared" si="339"/>
        <v/>
      </c>
      <c r="Q356" s="256" t="str">
        <f t="shared" si="340"/>
        <v/>
      </c>
      <c r="R356" s="259" t="str">
        <f t="shared" si="341"/>
        <v/>
      </c>
      <c r="S356" s="259" t="str">
        <f t="shared" si="342"/>
        <v/>
      </c>
      <c r="T356" s="256" t="str">
        <f t="shared" si="343"/>
        <v/>
      </c>
      <c r="U356" s="217"/>
      <c r="V356" s="217"/>
      <c r="AB356" s="217" t="e">
        <f>VLOOKUP($B$6,Lookup_Source,349,0)</f>
        <v>#N/A</v>
      </c>
      <c r="AC356" s="241" t="str">
        <f t="shared" si="344"/>
        <v/>
      </c>
      <c r="AD356" s="242">
        <f t="shared" si="345"/>
        <v>7</v>
      </c>
      <c r="AE356" s="261" t="e">
        <f t="shared" si="314"/>
        <v>#N/A</v>
      </c>
      <c r="AF356" s="264" t="e">
        <f t="shared" si="346"/>
        <v>#N/A</v>
      </c>
      <c r="AG356" s="264" t="e">
        <f t="shared" si="347"/>
        <v>#N/A</v>
      </c>
      <c r="AH356" s="263" t="e">
        <f t="shared" si="315"/>
        <v>#N/A</v>
      </c>
      <c r="AI356" s="226">
        <f t="shared" si="348"/>
        <v>7</v>
      </c>
      <c r="AJ356" s="264" t="e">
        <f t="shared" si="316"/>
        <v>#N/A</v>
      </c>
      <c r="AK356" s="264" t="e">
        <f t="shared" si="349"/>
        <v>#N/A</v>
      </c>
      <c r="AL356" s="226" t="e">
        <f t="shared" si="317"/>
        <v>#N/A</v>
      </c>
      <c r="AM356" s="265" t="e">
        <f t="shared" si="350"/>
        <v>#N/A</v>
      </c>
      <c r="AN356" s="266" t="e">
        <f t="shared" si="318"/>
        <v>#N/A</v>
      </c>
      <c r="AO356" s="227" t="e">
        <f t="shared" si="319"/>
        <v>#N/A</v>
      </c>
      <c r="AP356" s="284">
        <f t="shared" si="351"/>
        <v>7</v>
      </c>
      <c r="AQ356" s="285" t="e">
        <f t="shared" si="320"/>
        <v>#N/A</v>
      </c>
      <c r="AR356" s="266" t="e">
        <f t="shared" si="352"/>
        <v>#N/A</v>
      </c>
      <c r="AS356" s="270" t="e">
        <f t="shared" si="321"/>
        <v>#N/A</v>
      </c>
      <c r="AT356" s="271">
        <f t="shared" si="353"/>
        <v>7</v>
      </c>
      <c r="AU356" s="272" t="e">
        <f t="shared" si="354"/>
        <v>#N/A</v>
      </c>
      <c r="AV356" s="273" t="e">
        <f t="shared" si="355"/>
        <v>#N/A</v>
      </c>
      <c r="AW356" s="274" t="e">
        <f t="shared" si="322"/>
        <v>#N/A</v>
      </c>
      <c r="AX356" s="232">
        <f t="shared" si="356"/>
        <v>7</v>
      </c>
      <c r="AY356" s="273" t="e">
        <f t="shared" si="323"/>
        <v>#N/A</v>
      </c>
      <c r="AZ356" s="232" t="e">
        <f t="shared" si="357"/>
        <v>#N/A</v>
      </c>
      <c r="BA356" s="232" t="e">
        <f t="shared" si="324"/>
        <v>#N/A</v>
      </c>
      <c r="BB356" s="275">
        <f t="shared" si="358"/>
        <v>7</v>
      </c>
      <c r="BC356" s="276" t="e">
        <f t="shared" si="359"/>
        <v>#N/A</v>
      </c>
      <c r="BD356" s="277" t="e">
        <f t="shared" si="360"/>
        <v>#N/A</v>
      </c>
      <c r="BE356" s="250" t="e">
        <f t="shared" si="325"/>
        <v>#N/A</v>
      </c>
      <c r="BF356" s="247">
        <f t="shared" si="361"/>
        <v>7</v>
      </c>
      <c r="BG356" s="276" t="e">
        <f t="shared" si="362"/>
        <v>#N/A</v>
      </c>
      <c r="BH356" s="277" t="e">
        <f t="shared" si="363"/>
        <v>#N/A</v>
      </c>
      <c r="BI356" s="250" t="e">
        <f t="shared" si="326"/>
        <v>#N/A</v>
      </c>
      <c r="BJ356" s="251">
        <f t="shared" si="364"/>
        <v>7</v>
      </c>
      <c r="BK356" s="278" t="e">
        <f t="shared" si="365"/>
        <v>#N/A</v>
      </c>
      <c r="BL356" s="278" t="e">
        <f t="shared" si="366"/>
        <v>#N/A</v>
      </c>
      <c r="BM356" s="279" t="e">
        <f t="shared" si="327"/>
        <v>#N/A</v>
      </c>
      <c r="BN356" s="280">
        <f t="shared" si="367"/>
        <v>7</v>
      </c>
      <c r="BO356" s="281" t="e">
        <f t="shared" si="368"/>
        <v>#N/A</v>
      </c>
      <c r="BP356" s="281" t="e">
        <f t="shared" si="369"/>
        <v>#N/A</v>
      </c>
      <c r="BQ356" s="279" t="e">
        <f t="shared" si="328"/>
        <v>#N/A</v>
      </c>
      <c r="BR356" s="282" t="e">
        <f t="shared" si="329"/>
        <v>#N/A</v>
      </c>
      <c r="BS356" s="217" t="e">
        <f>VLOOKUP($B356,SDR24_STOCK_BY_LA!$A$2:$C$11878,3,0)</f>
        <v>#N/A</v>
      </c>
      <c r="BT356" s="217" t="str">
        <f t="shared" si="370"/>
        <v/>
      </c>
    </row>
    <row r="357" spans="1:72" x14ac:dyDescent="0.2">
      <c r="A357" s="256" t="str">
        <f t="shared" si="371"/>
        <v/>
      </c>
      <c r="B357" s="217" t="str">
        <f t="shared" si="372"/>
        <v/>
      </c>
      <c r="C357" s="257" t="str">
        <f t="shared" si="330"/>
        <v/>
      </c>
      <c r="D357" s="256" t="str">
        <f>IF(B357="","",IF(totals!$Q$3=0,IFERROR(IF(AD357=2,"0",AE357),""),"-"))</f>
        <v/>
      </c>
      <c r="E357" s="258" t="str">
        <f t="shared" si="331"/>
        <v/>
      </c>
      <c r="F357" s="259" t="str">
        <f t="shared" si="332"/>
        <v/>
      </c>
      <c r="G357" s="259" t="str">
        <f t="shared" si="333"/>
        <v/>
      </c>
      <c r="H357" s="256" t="str">
        <f t="shared" si="311"/>
        <v/>
      </c>
      <c r="I357" s="259" t="str">
        <f t="shared" si="334"/>
        <v/>
      </c>
      <c r="J357" s="259" t="str">
        <f t="shared" si="335"/>
        <v/>
      </c>
      <c r="K357" s="256" t="str">
        <f t="shared" si="312"/>
        <v/>
      </c>
      <c r="L357" s="259" t="str">
        <f t="shared" si="313"/>
        <v/>
      </c>
      <c r="M357" s="259" t="str">
        <f t="shared" si="336"/>
        <v/>
      </c>
      <c r="N357" s="256" t="str">
        <f t="shared" si="337"/>
        <v/>
      </c>
      <c r="O357" s="259" t="str">
        <f t="shared" si="338"/>
        <v/>
      </c>
      <c r="P357" s="259" t="str">
        <f t="shared" si="339"/>
        <v/>
      </c>
      <c r="Q357" s="256" t="str">
        <f t="shared" si="340"/>
        <v/>
      </c>
      <c r="R357" s="259" t="str">
        <f t="shared" si="341"/>
        <v/>
      </c>
      <c r="S357" s="259" t="str">
        <f t="shared" si="342"/>
        <v/>
      </c>
      <c r="T357" s="256" t="str">
        <f t="shared" si="343"/>
        <v/>
      </c>
      <c r="U357" s="217"/>
      <c r="V357" s="217"/>
      <c r="AB357" s="257" t="e">
        <f>VLOOKUP($B$6,Lookup_Source,350,0)</f>
        <v>#N/A</v>
      </c>
      <c r="AC357" s="241" t="str">
        <f t="shared" si="344"/>
        <v/>
      </c>
      <c r="AD357" s="242">
        <f t="shared" si="345"/>
        <v>7</v>
      </c>
      <c r="AE357" s="261" t="e">
        <f t="shared" si="314"/>
        <v>#N/A</v>
      </c>
      <c r="AF357" s="264" t="e">
        <f t="shared" si="346"/>
        <v>#N/A</v>
      </c>
      <c r="AG357" s="264" t="e">
        <f t="shared" si="347"/>
        <v>#N/A</v>
      </c>
      <c r="AH357" s="263" t="e">
        <f t="shared" si="315"/>
        <v>#N/A</v>
      </c>
      <c r="AI357" s="226">
        <f t="shared" si="348"/>
        <v>7</v>
      </c>
      <c r="AJ357" s="264" t="e">
        <f t="shared" si="316"/>
        <v>#N/A</v>
      </c>
      <c r="AK357" s="264" t="e">
        <f t="shared" si="349"/>
        <v>#N/A</v>
      </c>
      <c r="AL357" s="226" t="e">
        <f t="shared" si="317"/>
        <v>#N/A</v>
      </c>
      <c r="AM357" s="265" t="e">
        <f t="shared" si="350"/>
        <v>#N/A</v>
      </c>
      <c r="AN357" s="266" t="e">
        <f t="shared" si="318"/>
        <v>#N/A</v>
      </c>
      <c r="AO357" s="227" t="e">
        <f t="shared" si="319"/>
        <v>#N/A</v>
      </c>
      <c r="AP357" s="284">
        <f t="shared" si="351"/>
        <v>7</v>
      </c>
      <c r="AQ357" s="285" t="e">
        <f t="shared" si="320"/>
        <v>#N/A</v>
      </c>
      <c r="AR357" s="266" t="e">
        <f t="shared" si="352"/>
        <v>#N/A</v>
      </c>
      <c r="AS357" s="270" t="e">
        <f t="shared" si="321"/>
        <v>#N/A</v>
      </c>
      <c r="AT357" s="271">
        <f t="shared" si="353"/>
        <v>7</v>
      </c>
      <c r="AU357" s="272" t="e">
        <f t="shared" si="354"/>
        <v>#N/A</v>
      </c>
      <c r="AV357" s="273" t="e">
        <f t="shared" si="355"/>
        <v>#N/A</v>
      </c>
      <c r="AW357" s="274" t="e">
        <f t="shared" si="322"/>
        <v>#N/A</v>
      </c>
      <c r="AX357" s="232">
        <f t="shared" si="356"/>
        <v>7</v>
      </c>
      <c r="AY357" s="273" t="e">
        <f t="shared" si="323"/>
        <v>#N/A</v>
      </c>
      <c r="AZ357" s="232" t="e">
        <f t="shared" si="357"/>
        <v>#N/A</v>
      </c>
      <c r="BA357" s="232" t="e">
        <f t="shared" si="324"/>
        <v>#N/A</v>
      </c>
      <c r="BB357" s="275">
        <f t="shared" si="358"/>
        <v>7</v>
      </c>
      <c r="BC357" s="276" t="e">
        <f t="shared" si="359"/>
        <v>#N/A</v>
      </c>
      <c r="BD357" s="277" t="e">
        <f t="shared" si="360"/>
        <v>#N/A</v>
      </c>
      <c r="BE357" s="250" t="e">
        <f t="shared" si="325"/>
        <v>#N/A</v>
      </c>
      <c r="BF357" s="247">
        <f t="shared" si="361"/>
        <v>7</v>
      </c>
      <c r="BG357" s="276" t="e">
        <f t="shared" si="362"/>
        <v>#N/A</v>
      </c>
      <c r="BH357" s="277" t="e">
        <f t="shared" si="363"/>
        <v>#N/A</v>
      </c>
      <c r="BI357" s="250" t="e">
        <f t="shared" si="326"/>
        <v>#N/A</v>
      </c>
      <c r="BJ357" s="251">
        <f t="shared" si="364"/>
        <v>7</v>
      </c>
      <c r="BK357" s="278" t="e">
        <f t="shared" si="365"/>
        <v>#N/A</v>
      </c>
      <c r="BL357" s="278" t="e">
        <f t="shared" si="366"/>
        <v>#N/A</v>
      </c>
      <c r="BM357" s="279" t="e">
        <f t="shared" si="327"/>
        <v>#N/A</v>
      </c>
      <c r="BN357" s="280">
        <f t="shared" si="367"/>
        <v>7</v>
      </c>
      <c r="BO357" s="281" t="e">
        <f t="shared" si="368"/>
        <v>#N/A</v>
      </c>
      <c r="BP357" s="281" t="e">
        <f t="shared" si="369"/>
        <v>#N/A</v>
      </c>
      <c r="BQ357" s="279" t="e">
        <f t="shared" si="328"/>
        <v>#N/A</v>
      </c>
      <c r="BR357" s="282" t="e">
        <f t="shared" si="329"/>
        <v>#N/A</v>
      </c>
      <c r="BS357" s="217" t="e">
        <f>VLOOKUP($B357,SDR24_STOCK_BY_LA!$A$2:$C$11878,3,0)</f>
        <v>#N/A</v>
      </c>
      <c r="BT357" s="217" t="str">
        <f t="shared" si="370"/>
        <v/>
      </c>
    </row>
    <row r="358" spans="1:72" x14ac:dyDescent="0.2">
      <c r="A358" s="217" t="str">
        <f t="shared" si="371"/>
        <v/>
      </c>
      <c r="B358" s="217" t="str">
        <f t="shared" si="372"/>
        <v/>
      </c>
      <c r="C358" s="283" t="str">
        <f t="shared" si="330"/>
        <v/>
      </c>
      <c r="D358" s="256" t="str">
        <f>IF(B358="","",IF(totals!$Q$3=0,IFERROR(IF(AD358=2,"0",AE358),""),"-"))</f>
        <v/>
      </c>
      <c r="E358" s="258" t="str">
        <f t="shared" si="331"/>
        <v/>
      </c>
      <c r="F358" s="259" t="str">
        <f t="shared" si="332"/>
        <v/>
      </c>
      <c r="G358" s="259" t="str">
        <f t="shared" si="333"/>
        <v/>
      </c>
      <c r="H358" s="256" t="str">
        <f t="shared" si="311"/>
        <v/>
      </c>
      <c r="I358" s="259" t="str">
        <f t="shared" si="334"/>
        <v/>
      </c>
      <c r="J358" s="259" t="str">
        <f t="shared" si="335"/>
        <v/>
      </c>
      <c r="K358" s="256" t="str">
        <f t="shared" si="312"/>
        <v/>
      </c>
      <c r="L358" s="259" t="str">
        <f t="shared" si="313"/>
        <v/>
      </c>
      <c r="M358" s="259" t="str">
        <f t="shared" si="336"/>
        <v/>
      </c>
      <c r="N358" s="256" t="str">
        <f t="shared" si="337"/>
        <v/>
      </c>
      <c r="O358" s="259" t="str">
        <f t="shared" si="338"/>
        <v/>
      </c>
      <c r="P358" s="259" t="str">
        <f t="shared" si="339"/>
        <v/>
      </c>
      <c r="Q358" s="256" t="str">
        <f t="shared" si="340"/>
        <v/>
      </c>
      <c r="R358" s="259" t="str">
        <f t="shared" si="341"/>
        <v/>
      </c>
      <c r="S358" s="259" t="str">
        <f t="shared" si="342"/>
        <v/>
      </c>
      <c r="T358" s="256" t="str">
        <f t="shared" si="343"/>
        <v/>
      </c>
      <c r="U358" s="217"/>
      <c r="V358" s="217"/>
      <c r="AB358" s="217" t="e">
        <f>VLOOKUP($B$6,Lookup_Source,351,0)</f>
        <v>#N/A</v>
      </c>
      <c r="AC358" s="241" t="str">
        <f t="shared" si="344"/>
        <v/>
      </c>
      <c r="AD358" s="242">
        <f t="shared" si="345"/>
        <v>7</v>
      </c>
      <c r="AE358" s="261" t="e">
        <f t="shared" si="314"/>
        <v>#N/A</v>
      </c>
      <c r="AF358" s="264" t="e">
        <f t="shared" si="346"/>
        <v>#N/A</v>
      </c>
      <c r="AG358" s="264" t="e">
        <f t="shared" si="347"/>
        <v>#N/A</v>
      </c>
      <c r="AH358" s="263" t="e">
        <f t="shared" si="315"/>
        <v>#N/A</v>
      </c>
      <c r="AI358" s="226">
        <f t="shared" si="348"/>
        <v>7</v>
      </c>
      <c r="AJ358" s="264" t="e">
        <f t="shared" si="316"/>
        <v>#N/A</v>
      </c>
      <c r="AK358" s="264" t="e">
        <f t="shared" si="349"/>
        <v>#N/A</v>
      </c>
      <c r="AL358" s="226" t="e">
        <f t="shared" si="317"/>
        <v>#N/A</v>
      </c>
      <c r="AM358" s="265" t="e">
        <f t="shared" si="350"/>
        <v>#N/A</v>
      </c>
      <c r="AN358" s="266" t="e">
        <f t="shared" si="318"/>
        <v>#N/A</v>
      </c>
      <c r="AO358" s="227" t="e">
        <f t="shared" si="319"/>
        <v>#N/A</v>
      </c>
      <c r="AP358" s="284">
        <f t="shared" si="351"/>
        <v>7</v>
      </c>
      <c r="AQ358" s="285" t="e">
        <f t="shared" si="320"/>
        <v>#N/A</v>
      </c>
      <c r="AR358" s="266" t="e">
        <f t="shared" si="352"/>
        <v>#N/A</v>
      </c>
      <c r="AS358" s="270" t="e">
        <f t="shared" si="321"/>
        <v>#N/A</v>
      </c>
      <c r="AT358" s="271">
        <f t="shared" si="353"/>
        <v>7</v>
      </c>
      <c r="AU358" s="272" t="e">
        <f t="shared" si="354"/>
        <v>#N/A</v>
      </c>
      <c r="AV358" s="273" t="e">
        <f t="shared" si="355"/>
        <v>#N/A</v>
      </c>
      <c r="AW358" s="274" t="e">
        <f t="shared" si="322"/>
        <v>#N/A</v>
      </c>
      <c r="AX358" s="232">
        <f t="shared" si="356"/>
        <v>7</v>
      </c>
      <c r="AY358" s="273" t="e">
        <f t="shared" si="323"/>
        <v>#N/A</v>
      </c>
      <c r="AZ358" s="232" t="e">
        <f t="shared" si="357"/>
        <v>#N/A</v>
      </c>
      <c r="BA358" s="232" t="e">
        <f t="shared" si="324"/>
        <v>#N/A</v>
      </c>
      <c r="BB358" s="275">
        <f t="shared" si="358"/>
        <v>7</v>
      </c>
      <c r="BC358" s="276" t="e">
        <f t="shared" si="359"/>
        <v>#N/A</v>
      </c>
      <c r="BD358" s="277" t="e">
        <f t="shared" si="360"/>
        <v>#N/A</v>
      </c>
      <c r="BE358" s="250" t="e">
        <f t="shared" si="325"/>
        <v>#N/A</v>
      </c>
      <c r="BF358" s="247">
        <f t="shared" si="361"/>
        <v>7</v>
      </c>
      <c r="BG358" s="276" t="e">
        <f t="shared" si="362"/>
        <v>#N/A</v>
      </c>
      <c r="BH358" s="277" t="e">
        <f t="shared" si="363"/>
        <v>#N/A</v>
      </c>
      <c r="BI358" s="250" t="e">
        <f t="shared" si="326"/>
        <v>#N/A</v>
      </c>
      <c r="BJ358" s="251">
        <f t="shared" si="364"/>
        <v>7</v>
      </c>
      <c r="BK358" s="278" t="e">
        <f t="shared" si="365"/>
        <v>#N/A</v>
      </c>
      <c r="BL358" s="278" t="e">
        <f t="shared" si="366"/>
        <v>#N/A</v>
      </c>
      <c r="BM358" s="279" t="e">
        <f t="shared" si="327"/>
        <v>#N/A</v>
      </c>
      <c r="BN358" s="280">
        <f t="shared" si="367"/>
        <v>7</v>
      </c>
      <c r="BO358" s="281" t="e">
        <f t="shared" si="368"/>
        <v>#N/A</v>
      </c>
      <c r="BP358" s="281" t="e">
        <f t="shared" si="369"/>
        <v>#N/A</v>
      </c>
      <c r="BQ358" s="279" t="e">
        <f t="shared" si="328"/>
        <v>#N/A</v>
      </c>
      <c r="BR358" s="282" t="e">
        <f t="shared" si="329"/>
        <v>#N/A</v>
      </c>
      <c r="BS358" s="217" t="e">
        <f>VLOOKUP($B358,SDR24_STOCK_BY_LA!$A$2:$C$11878,3,0)</f>
        <v>#N/A</v>
      </c>
      <c r="BT358" s="217" t="str">
        <f t="shared" si="370"/>
        <v/>
      </c>
    </row>
    <row r="359" spans="1:72" x14ac:dyDescent="0.2">
      <c r="A359" s="256" t="str">
        <f t="shared" si="371"/>
        <v/>
      </c>
      <c r="B359" s="217" t="str">
        <f t="shared" si="372"/>
        <v/>
      </c>
      <c r="C359" s="257" t="str">
        <f t="shared" si="330"/>
        <v/>
      </c>
      <c r="D359" s="256" t="str">
        <f>IF(B359="","",IF(totals!$Q$3=0,IFERROR(IF(AD359=2,"0",AE359),""),"-"))</f>
        <v/>
      </c>
      <c r="E359" s="258" t="str">
        <f t="shared" si="331"/>
        <v/>
      </c>
      <c r="F359" s="259" t="str">
        <f t="shared" si="332"/>
        <v/>
      </c>
      <c r="G359" s="259" t="str">
        <f t="shared" si="333"/>
        <v/>
      </c>
      <c r="H359" s="256" t="str">
        <f t="shared" si="311"/>
        <v/>
      </c>
      <c r="I359" s="259" t="str">
        <f t="shared" si="334"/>
        <v/>
      </c>
      <c r="J359" s="259" t="str">
        <f t="shared" si="335"/>
        <v/>
      </c>
      <c r="K359" s="256" t="str">
        <f t="shared" si="312"/>
        <v/>
      </c>
      <c r="L359" s="259" t="str">
        <f t="shared" si="313"/>
        <v/>
      </c>
      <c r="M359" s="259" t="str">
        <f t="shared" si="336"/>
        <v/>
      </c>
      <c r="N359" s="256" t="str">
        <f t="shared" si="337"/>
        <v/>
      </c>
      <c r="O359" s="259" t="str">
        <f t="shared" si="338"/>
        <v/>
      </c>
      <c r="P359" s="259" t="str">
        <f t="shared" si="339"/>
        <v/>
      </c>
      <c r="Q359" s="256" t="str">
        <f t="shared" si="340"/>
        <v/>
      </c>
      <c r="R359" s="259" t="str">
        <f t="shared" si="341"/>
        <v/>
      </c>
      <c r="S359" s="259" t="str">
        <f t="shared" si="342"/>
        <v/>
      </c>
      <c r="T359" s="256" t="str">
        <f t="shared" si="343"/>
        <v/>
      </c>
      <c r="U359" s="217"/>
      <c r="V359" s="217"/>
      <c r="AB359" s="257" t="e">
        <f>VLOOKUP($B$6,Lookup_Source,352,0)</f>
        <v>#N/A</v>
      </c>
      <c r="AC359" s="241" t="str">
        <f t="shared" si="344"/>
        <v/>
      </c>
      <c r="AD359" s="242">
        <f t="shared" si="345"/>
        <v>7</v>
      </c>
      <c r="AE359" s="261" t="e">
        <f t="shared" si="314"/>
        <v>#N/A</v>
      </c>
      <c r="AF359" s="264" t="e">
        <f t="shared" si="346"/>
        <v>#N/A</v>
      </c>
      <c r="AG359" s="264" t="e">
        <f t="shared" si="347"/>
        <v>#N/A</v>
      </c>
      <c r="AH359" s="263" t="e">
        <f t="shared" si="315"/>
        <v>#N/A</v>
      </c>
      <c r="AI359" s="226">
        <f t="shared" si="348"/>
        <v>7</v>
      </c>
      <c r="AJ359" s="264" t="e">
        <f t="shared" si="316"/>
        <v>#N/A</v>
      </c>
      <c r="AK359" s="264" t="e">
        <f t="shared" si="349"/>
        <v>#N/A</v>
      </c>
      <c r="AL359" s="226" t="e">
        <f t="shared" si="317"/>
        <v>#N/A</v>
      </c>
      <c r="AM359" s="265" t="e">
        <f t="shared" si="350"/>
        <v>#N/A</v>
      </c>
      <c r="AN359" s="266" t="e">
        <f t="shared" si="318"/>
        <v>#N/A</v>
      </c>
      <c r="AO359" s="227" t="e">
        <f t="shared" si="319"/>
        <v>#N/A</v>
      </c>
      <c r="AP359" s="284">
        <f t="shared" si="351"/>
        <v>7</v>
      </c>
      <c r="AQ359" s="285" t="e">
        <f t="shared" si="320"/>
        <v>#N/A</v>
      </c>
      <c r="AR359" s="266" t="e">
        <f t="shared" si="352"/>
        <v>#N/A</v>
      </c>
      <c r="AS359" s="270" t="e">
        <f t="shared" si="321"/>
        <v>#N/A</v>
      </c>
      <c r="AT359" s="271">
        <f t="shared" si="353"/>
        <v>7</v>
      </c>
      <c r="AU359" s="272" t="e">
        <f t="shared" si="354"/>
        <v>#N/A</v>
      </c>
      <c r="AV359" s="273" t="e">
        <f t="shared" si="355"/>
        <v>#N/A</v>
      </c>
      <c r="AW359" s="274" t="e">
        <f t="shared" si="322"/>
        <v>#N/A</v>
      </c>
      <c r="AX359" s="232">
        <f t="shared" si="356"/>
        <v>7</v>
      </c>
      <c r="AY359" s="273" t="e">
        <f t="shared" si="323"/>
        <v>#N/A</v>
      </c>
      <c r="AZ359" s="232" t="e">
        <f t="shared" si="357"/>
        <v>#N/A</v>
      </c>
      <c r="BA359" s="232" t="e">
        <f t="shared" si="324"/>
        <v>#N/A</v>
      </c>
      <c r="BB359" s="275">
        <f t="shared" si="358"/>
        <v>7</v>
      </c>
      <c r="BC359" s="276" t="e">
        <f t="shared" si="359"/>
        <v>#N/A</v>
      </c>
      <c r="BD359" s="277" t="e">
        <f t="shared" si="360"/>
        <v>#N/A</v>
      </c>
      <c r="BE359" s="250" t="e">
        <f t="shared" si="325"/>
        <v>#N/A</v>
      </c>
      <c r="BF359" s="247">
        <f t="shared" si="361"/>
        <v>7</v>
      </c>
      <c r="BG359" s="276" t="e">
        <f t="shared" si="362"/>
        <v>#N/A</v>
      </c>
      <c r="BH359" s="277" t="e">
        <f t="shared" si="363"/>
        <v>#N/A</v>
      </c>
      <c r="BI359" s="250" t="e">
        <f t="shared" si="326"/>
        <v>#N/A</v>
      </c>
      <c r="BJ359" s="251">
        <f t="shared" si="364"/>
        <v>7</v>
      </c>
      <c r="BK359" s="278" t="e">
        <f t="shared" si="365"/>
        <v>#N/A</v>
      </c>
      <c r="BL359" s="278" t="e">
        <f t="shared" si="366"/>
        <v>#N/A</v>
      </c>
      <c r="BM359" s="279" t="e">
        <f t="shared" si="327"/>
        <v>#N/A</v>
      </c>
      <c r="BN359" s="280">
        <f t="shared" si="367"/>
        <v>7</v>
      </c>
      <c r="BO359" s="281" t="e">
        <f t="shared" si="368"/>
        <v>#N/A</v>
      </c>
      <c r="BP359" s="281" t="e">
        <f t="shared" si="369"/>
        <v>#N/A</v>
      </c>
      <c r="BQ359" s="279" t="e">
        <f t="shared" si="328"/>
        <v>#N/A</v>
      </c>
      <c r="BR359" s="282" t="e">
        <f t="shared" si="329"/>
        <v>#N/A</v>
      </c>
      <c r="BS359" s="217" t="e">
        <f>VLOOKUP($B359,SDR24_STOCK_BY_LA!$A$2:$C$11878,3,0)</f>
        <v>#N/A</v>
      </c>
      <c r="BT359" s="217" t="str">
        <f t="shared" si="370"/>
        <v/>
      </c>
    </row>
    <row r="360" spans="1:72" x14ac:dyDescent="0.2">
      <c r="A360" s="217" t="str">
        <f t="shared" si="371"/>
        <v/>
      </c>
      <c r="B360" s="217" t="str">
        <f t="shared" si="372"/>
        <v/>
      </c>
      <c r="C360" s="283" t="str">
        <f t="shared" si="330"/>
        <v/>
      </c>
      <c r="D360" s="256" t="str">
        <f>IF(B360="","",IF(totals!$Q$3=0,IFERROR(IF(AD360=2,"0",AE360),""),"-"))</f>
        <v/>
      </c>
      <c r="E360" s="258" t="str">
        <f t="shared" si="331"/>
        <v/>
      </c>
      <c r="F360" s="259" t="str">
        <f t="shared" si="332"/>
        <v/>
      </c>
      <c r="G360" s="259" t="str">
        <f t="shared" si="333"/>
        <v/>
      </c>
      <c r="H360" s="256" t="str">
        <f t="shared" si="311"/>
        <v/>
      </c>
      <c r="I360" s="259" t="str">
        <f t="shared" si="334"/>
        <v/>
      </c>
      <c r="J360" s="259" t="str">
        <f t="shared" si="335"/>
        <v/>
      </c>
      <c r="K360" s="256" t="str">
        <f t="shared" si="312"/>
        <v/>
      </c>
      <c r="L360" s="259" t="str">
        <f t="shared" si="313"/>
        <v/>
      </c>
      <c r="M360" s="259" t="str">
        <f t="shared" si="336"/>
        <v/>
      </c>
      <c r="N360" s="256" t="str">
        <f t="shared" si="337"/>
        <v/>
      </c>
      <c r="O360" s="259" t="str">
        <f t="shared" si="338"/>
        <v/>
      </c>
      <c r="P360" s="259" t="str">
        <f t="shared" si="339"/>
        <v/>
      </c>
      <c r="Q360" s="256" t="str">
        <f t="shared" si="340"/>
        <v/>
      </c>
      <c r="R360" s="259" t="str">
        <f t="shared" si="341"/>
        <v/>
      </c>
      <c r="S360" s="259" t="str">
        <f t="shared" si="342"/>
        <v/>
      </c>
      <c r="T360" s="256" t="str">
        <f t="shared" si="343"/>
        <v/>
      </c>
      <c r="U360" s="217"/>
      <c r="V360" s="217"/>
      <c r="AB360" s="217" t="e">
        <f>VLOOKUP($B$6,Lookup_Source,353,0)</f>
        <v>#N/A</v>
      </c>
      <c r="AC360" s="241" t="str">
        <f t="shared" si="344"/>
        <v/>
      </c>
      <c r="AD360" s="242">
        <f t="shared" si="345"/>
        <v>7</v>
      </c>
      <c r="AE360" s="261" t="e">
        <f t="shared" si="314"/>
        <v>#N/A</v>
      </c>
      <c r="AF360" s="264" t="e">
        <f t="shared" si="346"/>
        <v>#N/A</v>
      </c>
      <c r="AG360" s="264" t="e">
        <f t="shared" si="347"/>
        <v>#N/A</v>
      </c>
      <c r="AH360" s="263" t="e">
        <f t="shared" si="315"/>
        <v>#N/A</v>
      </c>
      <c r="AI360" s="226">
        <f t="shared" si="348"/>
        <v>7</v>
      </c>
      <c r="AJ360" s="264" t="e">
        <f t="shared" si="316"/>
        <v>#N/A</v>
      </c>
      <c r="AK360" s="264" t="e">
        <f t="shared" si="349"/>
        <v>#N/A</v>
      </c>
      <c r="AL360" s="226" t="e">
        <f t="shared" si="317"/>
        <v>#N/A</v>
      </c>
      <c r="AM360" s="265" t="e">
        <f t="shared" si="350"/>
        <v>#N/A</v>
      </c>
      <c r="AN360" s="266" t="e">
        <f t="shared" si="318"/>
        <v>#N/A</v>
      </c>
      <c r="AO360" s="227" t="e">
        <f t="shared" si="319"/>
        <v>#N/A</v>
      </c>
      <c r="AP360" s="284">
        <f t="shared" si="351"/>
        <v>7</v>
      </c>
      <c r="AQ360" s="285" t="e">
        <f t="shared" si="320"/>
        <v>#N/A</v>
      </c>
      <c r="AR360" s="266" t="e">
        <f t="shared" si="352"/>
        <v>#N/A</v>
      </c>
      <c r="AS360" s="270" t="e">
        <f t="shared" si="321"/>
        <v>#N/A</v>
      </c>
      <c r="AT360" s="271">
        <f t="shared" si="353"/>
        <v>7</v>
      </c>
      <c r="AU360" s="272" t="e">
        <f t="shared" si="354"/>
        <v>#N/A</v>
      </c>
      <c r="AV360" s="273" t="e">
        <f t="shared" si="355"/>
        <v>#N/A</v>
      </c>
      <c r="AW360" s="274" t="e">
        <f t="shared" si="322"/>
        <v>#N/A</v>
      </c>
      <c r="AX360" s="232">
        <f t="shared" si="356"/>
        <v>7</v>
      </c>
      <c r="AY360" s="273" t="e">
        <f t="shared" si="323"/>
        <v>#N/A</v>
      </c>
      <c r="AZ360" s="232" t="e">
        <f t="shared" si="357"/>
        <v>#N/A</v>
      </c>
      <c r="BA360" s="232" t="e">
        <f t="shared" si="324"/>
        <v>#N/A</v>
      </c>
      <c r="BB360" s="275">
        <f t="shared" si="358"/>
        <v>7</v>
      </c>
      <c r="BC360" s="276" t="e">
        <f t="shared" si="359"/>
        <v>#N/A</v>
      </c>
      <c r="BD360" s="277" t="e">
        <f t="shared" si="360"/>
        <v>#N/A</v>
      </c>
      <c r="BE360" s="250" t="e">
        <f t="shared" si="325"/>
        <v>#N/A</v>
      </c>
      <c r="BF360" s="247">
        <f t="shared" si="361"/>
        <v>7</v>
      </c>
      <c r="BG360" s="276" t="e">
        <f t="shared" si="362"/>
        <v>#N/A</v>
      </c>
      <c r="BH360" s="277" t="e">
        <f t="shared" si="363"/>
        <v>#N/A</v>
      </c>
      <c r="BI360" s="250" t="e">
        <f t="shared" si="326"/>
        <v>#N/A</v>
      </c>
      <c r="BJ360" s="251">
        <f t="shared" si="364"/>
        <v>7</v>
      </c>
      <c r="BK360" s="278" t="e">
        <f t="shared" si="365"/>
        <v>#N/A</v>
      </c>
      <c r="BL360" s="278" t="e">
        <f t="shared" si="366"/>
        <v>#N/A</v>
      </c>
      <c r="BM360" s="279" t="e">
        <f t="shared" si="327"/>
        <v>#N/A</v>
      </c>
      <c r="BN360" s="280">
        <f t="shared" si="367"/>
        <v>7</v>
      </c>
      <c r="BO360" s="281" t="e">
        <f t="shared" si="368"/>
        <v>#N/A</v>
      </c>
      <c r="BP360" s="281" t="e">
        <f t="shared" si="369"/>
        <v>#N/A</v>
      </c>
      <c r="BQ360" s="279" t="e">
        <f t="shared" si="328"/>
        <v>#N/A</v>
      </c>
      <c r="BR360" s="282" t="e">
        <f t="shared" si="329"/>
        <v>#N/A</v>
      </c>
      <c r="BS360" s="217" t="e">
        <f>VLOOKUP($B360,SDR24_STOCK_BY_LA!$A$2:$C$11878,3,0)</f>
        <v>#N/A</v>
      </c>
      <c r="BT360" s="217" t="str">
        <f t="shared" si="370"/>
        <v/>
      </c>
    </row>
    <row r="361" spans="1:72" x14ac:dyDescent="0.2">
      <c r="A361" s="256" t="str">
        <f t="shared" si="371"/>
        <v/>
      </c>
      <c r="B361" s="217" t="str">
        <f t="shared" si="372"/>
        <v/>
      </c>
      <c r="C361" s="257" t="str">
        <f t="shared" si="330"/>
        <v/>
      </c>
      <c r="D361" s="256" t="str">
        <f>IF(B361="","",IF(totals!$Q$3=0,IFERROR(IF(AD361=2,"0",AE361),""),"-"))</f>
        <v/>
      </c>
      <c r="E361" s="258" t="str">
        <f t="shared" si="331"/>
        <v/>
      </c>
      <c r="F361" s="259" t="str">
        <f t="shared" si="332"/>
        <v/>
      </c>
      <c r="G361" s="259" t="str">
        <f t="shared" si="333"/>
        <v/>
      </c>
      <c r="H361" s="256" t="str">
        <f t="shared" si="311"/>
        <v/>
      </c>
      <c r="I361" s="259" t="str">
        <f t="shared" si="334"/>
        <v/>
      </c>
      <c r="J361" s="259" t="str">
        <f t="shared" si="335"/>
        <v/>
      </c>
      <c r="K361" s="256" t="str">
        <f t="shared" si="312"/>
        <v/>
      </c>
      <c r="L361" s="259" t="str">
        <f t="shared" si="313"/>
        <v/>
      </c>
      <c r="M361" s="259" t="str">
        <f t="shared" si="336"/>
        <v/>
      </c>
      <c r="N361" s="256" t="str">
        <f t="shared" si="337"/>
        <v/>
      </c>
      <c r="O361" s="259" t="str">
        <f t="shared" si="338"/>
        <v/>
      </c>
      <c r="P361" s="259" t="str">
        <f t="shared" si="339"/>
        <v/>
      </c>
      <c r="Q361" s="256" t="str">
        <f t="shared" si="340"/>
        <v/>
      </c>
      <c r="R361" s="259" t="str">
        <f t="shared" si="341"/>
        <v/>
      </c>
      <c r="S361" s="259" t="str">
        <f t="shared" si="342"/>
        <v/>
      </c>
      <c r="T361" s="256" t="str">
        <f t="shared" si="343"/>
        <v/>
      </c>
      <c r="U361" s="217"/>
      <c r="V361" s="217"/>
      <c r="AB361" s="257" t="e">
        <f>VLOOKUP($B$6,Lookup_Source,354,0)</f>
        <v>#N/A</v>
      </c>
      <c r="AC361" s="241" t="str">
        <f t="shared" si="344"/>
        <v/>
      </c>
      <c r="AD361" s="242">
        <f t="shared" si="345"/>
        <v>7</v>
      </c>
      <c r="AE361" s="261" t="e">
        <f t="shared" si="314"/>
        <v>#N/A</v>
      </c>
      <c r="AF361" s="264" t="e">
        <f t="shared" si="346"/>
        <v>#N/A</v>
      </c>
      <c r="AG361" s="264" t="e">
        <f t="shared" si="347"/>
        <v>#N/A</v>
      </c>
      <c r="AH361" s="263" t="e">
        <f t="shared" si="315"/>
        <v>#N/A</v>
      </c>
      <c r="AI361" s="226">
        <f t="shared" si="348"/>
        <v>7</v>
      </c>
      <c r="AJ361" s="264" t="e">
        <f t="shared" si="316"/>
        <v>#N/A</v>
      </c>
      <c r="AK361" s="264" t="e">
        <f t="shared" si="349"/>
        <v>#N/A</v>
      </c>
      <c r="AL361" s="226" t="e">
        <f t="shared" si="317"/>
        <v>#N/A</v>
      </c>
      <c r="AM361" s="265" t="e">
        <f t="shared" si="350"/>
        <v>#N/A</v>
      </c>
      <c r="AN361" s="266" t="e">
        <f t="shared" si="318"/>
        <v>#N/A</v>
      </c>
      <c r="AO361" s="227" t="e">
        <f t="shared" si="319"/>
        <v>#N/A</v>
      </c>
      <c r="AP361" s="284">
        <f t="shared" si="351"/>
        <v>7</v>
      </c>
      <c r="AQ361" s="285" t="e">
        <f t="shared" si="320"/>
        <v>#N/A</v>
      </c>
      <c r="AR361" s="266" t="e">
        <f t="shared" si="352"/>
        <v>#N/A</v>
      </c>
      <c r="AS361" s="270" t="e">
        <f t="shared" si="321"/>
        <v>#N/A</v>
      </c>
      <c r="AT361" s="271">
        <f t="shared" si="353"/>
        <v>7</v>
      </c>
      <c r="AU361" s="272" t="e">
        <f t="shared" si="354"/>
        <v>#N/A</v>
      </c>
      <c r="AV361" s="273" t="e">
        <f t="shared" si="355"/>
        <v>#N/A</v>
      </c>
      <c r="AW361" s="274" t="e">
        <f t="shared" si="322"/>
        <v>#N/A</v>
      </c>
      <c r="AX361" s="232">
        <f t="shared" si="356"/>
        <v>7</v>
      </c>
      <c r="AY361" s="273" t="e">
        <f t="shared" si="323"/>
        <v>#N/A</v>
      </c>
      <c r="AZ361" s="232" t="e">
        <f t="shared" si="357"/>
        <v>#N/A</v>
      </c>
      <c r="BA361" s="232" t="e">
        <f t="shared" si="324"/>
        <v>#N/A</v>
      </c>
      <c r="BB361" s="275">
        <f t="shared" si="358"/>
        <v>7</v>
      </c>
      <c r="BC361" s="276" t="e">
        <f t="shared" si="359"/>
        <v>#N/A</v>
      </c>
      <c r="BD361" s="277" t="e">
        <f t="shared" si="360"/>
        <v>#N/A</v>
      </c>
      <c r="BE361" s="250" t="e">
        <f t="shared" si="325"/>
        <v>#N/A</v>
      </c>
      <c r="BF361" s="247">
        <f t="shared" si="361"/>
        <v>7</v>
      </c>
      <c r="BG361" s="276" t="e">
        <f t="shared" si="362"/>
        <v>#N/A</v>
      </c>
      <c r="BH361" s="277" t="e">
        <f t="shared" si="363"/>
        <v>#N/A</v>
      </c>
      <c r="BI361" s="250" t="e">
        <f t="shared" si="326"/>
        <v>#N/A</v>
      </c>
      <c r="BJ361" s="251">
        <f t="shared" si="364"/>
        <v>7</v>
      </c>
      <c r="BK361" s="278" t="e">
        <f t="shared" si="365"/>
        <v>#N/A</v>
      </c>
      <c r="BL361" s="278" t="e">
        <f t="shared" si="366"/>
        <v>#N/A</v>
      </c>
      <c r="BM361" s="279" t="e">
        <f t="shared" si="327"/>
        <v>#N/A</v>
      </c>
      <c r="BN361" s="280">
        <f t="shared" si="367"/>
        <v>7</v>
      </c>
      <c r="BO361" s="281" t="e">
        <f t="shared" si="368"/>
        <v>#N/A</v>
      </c>
      <c r="BP361" s="281" t="e">
        <f t="shared" si="369"/>
        <v>#N/A</v>
      </c>
      <c r="BQ361" s="279" t="e">
        <f t="shared" si="328"/>
        <v>#N/A</v>
      </c>
      <c r="BR361" s="282" t="e">
        <f t="shared" si="329"/>
        <v>#N/A</v>
      </c>
      <c r="BS361" s="217" t="e">
        <f>VLOOKUP($B361,SDR24_STOCK_BY_LA!$A$2:$C$11878,3,0)</f>
        <v>#N/A</v>
      </c>
      <c r="BT361" s="217" t="str">
        <f t="shared" si="370"/>
        <v/>
      </c>
    </row>
    <row r="362" spans="1:72" x14ac:dyDescent="0.2">
      <c r="A362" s="217" t="str">
        <f t="shared" si="371"/>
        <v/>
      </c>
      <c r="B362" s="217" t="str">
        <f t="shared" si="372"/>
        <v/>
      </c>
      <c r="C362" s="283" t="str">
        <f t="shared" si="330"/>
        <v/>
      </c>
      <c r="D362" s="256" t="str">
        <f>IF(B362="","",IF(totals!$Q$3=0,IFERROR(IF(AD362=2,"0",AE362),""),"-"))</f>
        <v/>
      </c>
      <c r="E362" s="258" t="str">
        <f t="shared" si="331"/>
        <v/>
      </c>
      <c r="F362" s="259" t="str">
        <f t="shared" si="332"/>
        <v/>
      </c>
      <c r="G362" s="259" t="str">
        <f t="shared" si="333"/>
        <v/>
      </c>
      <c r="H362" s="256" t="str">
        <f t="shared" si="311"/>
        <v/>
      </c>
      <c r="I362" s="259" t="str">
        <f t="shared" si="334"/>
        <v/>
      </c>
      <c r="J362" s="259" t="str">
        <f t="shared" si="335"/>
        <v/>
      </c>
      <c r="K362" s="256" t="str">
        <f t="shared" si="312"/>
        <v/>
      </c>
      <c r="L362" s="259" t="str">
        <f t="shared" si="313"/>
        <v/>
      </c>
      <c r="M362" s="259" t="str">
        <f t="shared" si="336"/>
        <v/>
      </c>
      <c r="N362" s="256" t="str">
        <f t="shared" si="337"/>
        <v/>
      </c>
      <c r="O362" s="259" t="str">
        <f t="shared" si="338"/>
        <v/>
      </c>
      <c r="P362" s="259" t="str">
        <f t="shared" si="339"/>
        <v/>
      </c>
      <c r="Q362" s="256" t="str">
        <f t="shared" si="340"/>
        <v/>
      </c>
      <c r="R362" s="259" t="str">
        <f t="shared" si="341"/>
        <v/>
      </c>
      <c r="S362" s="259" t="str">
        <f t="shared" si="342"/>
        <v/>
      </c>
      <c r="T362" s="256" t="str">
        <f t="shared" si="343"/>
        <v/>
      </c>
      <c r="U362" s="217"/>
      <c r="V362" s="217"/>
      <c r="AB362" s="217" t="e">
        <f>VLOOKUP($B$6,Lookup_Source,355,0)</f>
        <v>#N/A</v>
      </c>
      <c r="AC362" s="241" t="str">
        <f t="shared" si="344"/>
        <v/>
      </c>
      <c r="AD362" s="242">
        <f t="shared" si="345"/>
        <v>7</v>
      </c>
      <c r="AE362" s="261" t="e">
        <f t="shared" si="314"/>
        <v>#N/A</v>
      </c>
      <c r="AF362" s="264" t="e">
        <f t="shared" si="346"/>
        <v>#N/A</v>
      </c>
      <c r="AG362" s="264" t="e">
        <f t="shared" si="347"/>
        <v>#N/A</v>
      </c>
      <c r="AH362" s="263" t="e">
        <f t="shared" si="315"/>
        <v>#N/A</v>
      </c>
      <c r="AI362" s="226">
        <f t="shared" si="348"/>
        <v>7</v>
      </c>
      <c r="AJ362" s="264" t="e">
        <f t="shared" si="316"/>
        <v>#N/A</v>
      </c>
      <c r="AK362" s="264" t="e">
        <f t="shared" si="349"/>
        <v>#N/A</v>
      </c>
      <c r="AL362" s="226" t="e">
        <f t="shared" si="317"/>
        <v>#N/A</v>
      </c>
      <c r="AM362" s="265" t="e">
        <f t="shared" si="350"/>
        <v>#N/A</v>
      </c>
      <c r="AN362" s="266" t="e">
        <f t="shared" si="318"/>
        <v>#N/A</v>
      </c>
      <c r="AO362" s="227" t="e">
        <f t="shared" si="319"/>
        <v>#N/A</v>
      </c>
      <c r="AP362" s="284">
        <f t="shared" si="351"/>
        <v>7</v>
      </c>
      <c r="AQ362" s="285" t="e">
        <f t="shared" si="320"/>
        <v>#N/A</v>
      </c>
      <c r="AR362" s="266" t="e">
        <f t="shared" si="352"/>
        <v>#N/A</v>
      </c>
      <c r="AS362" s="270" t="e">
        <f t="shared" si="321"/>
        <v>#N/A</v>
      </c>
      <c r="AT362" s="271">
        <f t="shared" si="353"/>
        <v>7</v>
      </c>
      <c r="AU362" s="272" t="e">
        <f t="shared" si="354"/>
        <v>#N/A</v>
      </c>
      <c r="AV362" s="273" t="e">
        <f t="shared" si="355"/>
        <v>#N/A</v>
      </c>
      <c r="AW362" s="274" t="e">
        <f t="shared" si="322"/>
        <v>#N/A</v>
      </c>
      <c r="AX362" s="232">
        <f t="shared" si="356"/>
        <v>7</v>
      </c>
      <c r="AY362" s="273" t="e">
        <f t="shared" si="323"/>
        <v>#N/A</v>
      </c>
      <c r="AZ362" s="232" t="e">
        <f t="shared" si="357"/>
        <v>#N/A</v>
      </c>
      <c r="BA362" s="232" t="e">
        <f t="shared" si="324"/>
        <v>#N/A</v>
      </c>
      <c r="BB362" s="275">
        <f t="shared" si="358"/>
        <v>7</v>
      </c>
      <c r="BC362" s="276" t="e">
        <f t="shared" si="359"/>
        <v>#N/A</v>
      </c>
      <c r="BD362" s="277" t="e">
        <f t="shared" si="360"/>
        <v>#N/A</v>
      </c>
      <c r="BE362" s="250" t="e">
        <f t="shared" si="325"/>
        <v>#N/A</v>
      </c>
      <c r="BF362" s="247">
        <f t="shared" si="361"/>
        <v>7</v>
      </c>
      <c r="BG362" s="276" t="e">
        <f t="shared" si="362"/>
        <v>#N/A</v>
      </c>
      <c r="BH362" s="277" t="e">
        <f t="shared" si="363"/>
        <v>#N/A</v>
      </c>
      <c r="BI362" s="250" t="e">
        <f t="shared" si="326"/>
        <v>#N/A</v>
      </c>
      <c r="BJ362" s="251">
        <f t="shared" si="364"/>
        <v>7</v>
      </c>
      <c r="BK362" s="278" t="e">
        <f t="shared" si="365"/>
        <v>#N/A</v>
      </c>
      <c r="BL362" s="278" t="e">
        <f t="shared" si="366"/>
        <v>#N/A</v>
      </c>
      <c r="BM362" s="279" t="e">
        <f t="shared" si="327"/>
        <v>#N/A</v>
      </c>
      <c r="BN362" s="280">
        <f t="shared" si="367"/>
        <v>7</v>
      </c>
      <c r="BO362" s="281" t="e">
        <f t="shared" si="368"/>
        <v>#N/A</v>
      </c>
      <c r="BP362" s="281" t="e">
        <f t="shared" si="369"/>
        <v>#N/A</v>
      </c>
      <c r="BQ362" s="279" t="e">
        <f t="shared" si="328"/>
        <v>#N/A</v>
      </c>
      <c r="BR362" s="282" t="e">
        <f t="shared" si="329"/>
        <v>#N/A</v>
      </c>
      <c r="BS362" s="217" t="e">
        <f>VLOOKUP($B362,SDR24_STOCK_BY_LA!$A$2:$C$11878,3,0)</f>
        <v>#N/A</v>
      </c>
      <c r="BT362" s="217" t="str">
        <f t="shared" si="370"/>
        <v/>
      </c>
    </row>
    <row r="363" spans="1:72" x14ac:dyDescent="0.2">
      <c r="A363" s="256" t="str">
        <f t="shared" si="371"/>
        <v/>
      </c>
      <c r="B363" s="217" t="str">
        <f t="shared" si="372"/>
        <v/>
      </c>
      <c r="C363" s="257" t="str">
        <f t="shared" si="330"/>
        <v/>
      </c>
      <c r="D363" s="256" t="str">
        <f>IF(B363="","",IF(totals!$Q$3=0,IFERROR(IF(AD363=2,"0",AE363),""),"-"))</f>
        <v/>
      </c>
      <c r="E363" s="258" t="str">
        <f t="shared" si="331"/>
        <v/>
      </c>
      <c r="F363" s="259" t="str">
        <f t="shared" si="332"/>
        <v/>
      </c>
      <c r="G363" s="259" t="str">
        <f t="shared" si="333"/>
        <v/>
      </c>
      <c r="H363" s="256" t="str">
        <f t="shared" si="311"/>
        <v/>
      </c>
      <c r="I363" s="259" t="str">
        <f t="shared" si="334"/>
        <v/>
      </c>
      <c r="J363" s="259" t="str">
        <f t="shared" si="335"/>
        <v/>
      </c>
      <c r="K363" s="256" t="str">
        <f t="shared" si="312"/>
        <v/>
      </c>
      <c r="L363" s="259" t="str">
        <f t="shared" si="313"/>
        <v/>
      </c>
      <c r="M363" s="259" t="str">
        <f t="shared" si="336"/>
        <v/>
      </c>
      <c r="N363" s="256" t="str">
        <f t="shared" si="337"/>
        <v/>
      </c>
      <c r="O363" s="259" t="str">
        <f t="shared" si="338"/>
        <v/>
      </c>
      <c r="P363" s="259" t="str">
        <f t="shared" si="339"/>
        <v/>
      </c>
      <c r="Q363" s="256" t="str">
        <f t="shared" si="340"/>
        <v/>
      </c>
      <c r="R363" s="259" t="str">
        <f t="shared" si="341"/>
        <v/>
      </c>
      <c r="S363" s="259" t="str">
        <f t="shared" si="342"/>
        <v/>
      </c>
      <c r="T363" s="256" t="str">
        <f t="shared" si="343"/>
        <v/>
      </c>
      <c r="U363" s="217"/>
      <c r="V363" s="217"/>
      <c r="AB363" s="257" t="e">
        <f>VLOOKUP($B$6,Lookup_Source,356,0)</f>
        <v>#N/A</v>
      </c>
      <c r="AC363" s="241" t="str">
        <f t="shared" si="344"/>
        <v/>
      </c>
      <c r="AD363" s="242">
        <f t="shared" si="345"/>
        <v>7</v>
      </c>
      <c r="AE363" s="261" t="e">
        <f t="shared" si="314"/>
        <v>#N/A</v>
      </c>
      <c r="AF363" s="264" t="e">
        <f t="shared" si="346"/>
        <v>#N/A</v>
      </c>
      <c r="AG363" s="264" t="e">
        <f t="shared" si="347"/>
        <v>#N/A</v>
      </c>
      <c r="AH363" s="263" t="e">
        <f t="shared" si="315"/>
        <v>#N/A</v>
      </c>
      <c r="AI363" s="226">
        <f t="shared" si="348"/>
        <v>7</v>
      </c>
      <c r="AJ363" s="264" t="e">
        <f t="shared" si="316"/>
        <v>#N/A</v>
      </c>
      <c r="AK363" s="264" t="e">
        <f t="shared" si="349"/>
        <v>#N/A</v>
      </c>
      <c r="AL363" s="226" t="e">
        <f t="shared" si="317"/>
        <v>#N/A</v>
      </c>
      <c r="AM363" s="265" t="e">
        <f t="shared" si="350"/>
        <v>#N/A</v>
      </c>
      <c r="AN363" s="266" t="e">
        <f t="shared" si="318"/>
        <v>#N/A</v>
      </c>
      <c r="AO363" s="227" t="e">
        <f t="shared" si="319"/>
        <v>#N/A</v>
      </c>
      <c r="AP363" s="284">
        <f t="shared" si="351"/>
        <v>7</v>
      </c>
      <c r="AQ363" s="285" t="e">
        <f t="shared" si="320"/>
        <v>#N/A</v>
      </c>
      <c r="AR363" s="266" t="e">
        <f t="shared" si="352"/>
        <v>#N/A</v>
      </c>
      <c r="AS363" s="270" t="e">
        <f t="shared" si="321"/>
        <v>#N/A</v>
      </c>
      <c r="AT363" s="271">
        <f t="shared" si="353"/>
        <v>7</v>
      </c>
      <c r="AU363" s="272" t="e">
        <f t="shared" si="354"/>
        <v>#N/A</v>
      </c>
      <c r="AV363" s="273" t="e">
        <f t="shared" si="355"/>
        <v>#N/A</v>
      </c>
      <c r="AW363" s="274" t="e">
        <f t="shared" si="322"/>
        <v>#N/A</v>
      </c>
      <c r="AX363" s="232">
        <f t="shared" si="356"/>
        <v>7</v>
      </c>
      <c r="AY363" s="273" t="e">
        <f t="shared" si="323"/>
        <v>#N/A</v>
      </c>
      <c r="AZ363" s="232" t="e">
        <f t="shared" si="357"/>
        <v>#N/A</v>
      </c>
      <c r="BA363" s="232" t="e">
        <f t="shared" si="324"/>
        <v>#N/A</v>
      </c>
      <c r="BB363" s="275">
        <f t="shared" si="358"/>
        <v>7</v>
      </c>
      <c r="BC363" s="276" t="e">
        <f t="shared" si="359"/>
        <v>#N/A</v>
      </c>
      <c r="BD363" s="277" t="e">
        <f t="shared" si="360"/>
        <v>#N/A</v>
      </c>
      <c r="BE363" s="250" t="e">
        <f t="shared" si="325"/>
        <v>#N/A</v>
      </c>
      <c r="BF363" s="247">
        <f t="shared" si="361"/>
        <v>7</v>
      </c>
      <c r="BG363" s="276" t="e">
        <f t="shared" si="362"/>
        <v>#N/A</v>
      </c>
      <c r="BH363" s="277" t="e">
        <f t="shared" si="363"/>
        <v>#N/A</v>
      </c>
      <c r="BI363" s="250" t="e">
        <f t="shared" si="326"/>
        <v>#N/A</v>
      </c>
      <c r="BJ363" s="251">
        <f t="shared" si="364"/>
        <v>7</v>
      </c>
      <c r="BK363" s="278" t="e">
        <f t="shared" si="365"/>
        <v>#N/A</v>
      </c>
      <c r="BL363" s="278" t="e">
        <f t="shared" si="366"/>
        <v>#N/A</v>
      </c>
      <c r="BM363" s="279" t="e">
        <f t="shared" si="327"/>
        <v>#N/A</v>
      </c>
      <c r="BN363" s="280">
        <f t="shared" si="367"/>
        <v>7</v>
      </c>
      <c r="BO363" s="281" t="e">
        <f t="shared" si="368"/>
        <v>#N/A</v>
      </c>
      <c r="BP363" s="281" t="e">
        <f t="shared" si="369"/>
        <v>#N/A</v>
      </c>
      <c r="BQ363" s="279" t="e">
        <f t="shared" si="328"/>
        <v>#N/A</v>
      </c>
      <c r="BR363" s="282" t="e">
        <f t="shared" si="329"/>
        <v>#N/A</v>
      </c>
      <c r="BS363" s="217" t="e">
        <f>VLOOKUP($B363,SDR24_STOCK_BY_LA!$A$2:$C$11878,3,0)</f>
        <v>#N/A</v>
      </c>
      <c r="BT363" s="217" t="str">
        <f t="shared" si="370"/>
        <v/>
      </c>
    </row>
    <row r="364" spans="1:72" x14ac:dyDescent="0.2">
      <c r="A364" s="217" t="str">
        <f t="shared" si="371"/>
        <v/>
      </c>
      <c r="B364" s="217" t="str">
        <f t="shared" si="372"/>
        <v/>
      </c>
      <c r="C364" s="283" t="str">
        <f t="shared" si="330"/>
        <v/>
      </c>
      <c r="D364" s="256" t="str">
        <f>IF(B364="","",IF(totals!$Q$3=0,IFERROR(IF(AD364=2,"0",AE364),""),"-"))</f>
        <v/>
      </c>
      <c r="E364" s="258" t="str">
        <f t="shared" si="331"/>
        <v/>
      </c>
      <c r="F364" s="259" t="str">
        <f t="shared" si="332"/>
        <v/>
      </c>
      <c r="G364" s="259" t="str">
        <f t="shared" si="333"/>
        <v/>
      </c>
      <c r="H364" s="256" t="str">
        <f t="shared" si="311"/>
        <v/>
      </c>
      <c r="I364" s="259" t="str">
        <f t="shared" si="334"/>
        <v/>
      </c>
      <c r="J364" s="259" t="str">
        <f t="shared" si="335"/>
        <v/>
      </c>
      <c r="K364" s="256" t="str">
        <f t="shared" si="312"/>
        <v/>
      </c>
      <c r="L364" s="259" t="str">
        <f t="shared" si="313"/>
        <v/>
      </c>
      <c r="M364" s="259" t="str">
        <f t="shared" si="336"/>
        <v/>
      </c>
      <c r="N364" s="256" t="str">
        <f t="shared" si="337"/>
        <v/>
      </c>
      <c r="O364" s="259" t="str">
        <f t="shared" si="338"/>
        <v/>
      </c>
      <c r="P364" s="259" t="str">
        <f t="shared" si="339"/>
        <v/>
      </c>
      <c r="Q364" s="256" t="str">
        <f t="shared" si="340"/>
        <v/>
      </c>
      <c r="R364" s="259" t="str">
        <f t="shared" si="341"/>
        <v/>
      </c>
      <c r="S364" s="259" t="str">
        <f t="shared" si="342"/>
        <v/>
      </c>
      <c r="T364" s="256" t="str">
        <f t="shared" si="343"/>
        <v/>
      </c>
      <c r="U364" s="217"/>
      <c r="V364" s="217"/>
      <c r="AB364" s="217" t="e">
        <f>VLOOKUP($B$6,Lookup_Source,357,0)</f>
        <v>#N/A</v>
      </c>
      <c r="AC364" s="241" t="str">
        <f t="shared" si="344"/>
        <v/>
      </c>
      <c r="AD364" s="242">
        <f t="shared" si="345"/>
        <v>7</v>
      </c>
      <c r="AE364" s="261" t="e">
        <f t="shared" si="314"/>
        <v>#N/A</v>
      </c>
      <c r="AF364" s="264" t="e">
        <f t="shared" si="346"/>
        <v>#N/A</v>
      </c>
      <c r="AG364" s="264" t="e">
        <f t="shared" si="347"/>
        <v>#N/A</v>
      </c>
      <c r="AH364" s="263" t="e">
        <f t="shared" si="315"/>
        <v>#N/A</v>
      </c>
      <c r="AI364" s="226">
        <f t="shared" si="348"/>
        <v>7</v>
      </c>
      <c r="AJ364" s="264" t="e">
        <f t="shared" si="316"/>
        <v>#N/A</v>
      </c>
      <c r="AK364" s="264" t="e">
        <f t="shared" si="349"/>
        <v>#N/A</v>
      </c>
      <c r="AL364" s="226" t="e">
        <f t="shared" si="317"/>
        <v>#N/A</v>
      </c>
      <c r="AM364" s="265" t="e">
        <f t="shared" si="350"/>
        <v>#N/A</v>
      </c>
      <c r="AN364" s="266" t="e">
        <f t="shared" si="318"/>
        <v>#N/A</v>
      </c>
      <c r="AO364" s="227" t="e">
        <f t="shared" si="319"/>
        <v>#N/A</v>
      </c>
      <c r="AP364" s="284">
        <f t="shared" si="351"/>
        <v>7</v>
      </c>
      <c r="AQ364" s="285" t="e">
        <f t="shared" si="320"/>
        <v>#N/A</v>
      </c>
      <c r="AR364" s="266" t="e">
        <f t="shared" si="352"/>
        <v>#N/A</v>
      </c>
      <c r="AS364" s="270" t="e">
        <f t="shared" si="321"/>
        <v>#N/A</v>
      </c>
      <c r="AT364" s="271">
        <f t="shared" si="353"/>
        <v>7</v>
      </c>
      <c r="AU364" s="272" t="e">
        <f t="shared" si="354"/>
        <v>#N/A</v>
      </c>
      <c r="AV364" s="273" t="e">
        <f t="shared" si="355"/>
        <v>#N/A</v>
      </c>
      <c r="AW364" s="274" t="e">
        <f t="shared" si="322"/>
        <v>#N/A</v>
      </c>
      <c r="AX364" s="232">
        <f t="shared" si="356"/>
        <v>7</v>
      </c>
      <c r="AY364" s="273" t="e">
        <f t="shared" si="323"/>
        <v>#N/A</v>
      </c>
      <c r="AZ364" s="232" t="e">
        <f t="shared" si="357"/>
        <v>#N/A</v>
      </c>
      <c r="BA364" s="232" t="e">
        <f t="shared" si="324"/>
        <v>#N/A</v>
      </c>
      <c r="BB364" s="275">
        <f t="shared" si="358"/>
        <v>7</v>
      </c>
      <c r="BC364" s="276" t="e">
        <f t="shared" si="359"/>
        <v>#N/A</v>
      </c>
      <c r="BD364" s="277" t="e">
        <f t="shared" si="360"/>
        <v>#N/A</v>
      </c>
      <c r="BE364" s="250" t="e">
        <f t="shared" si="325"/>
        <v>#N/A</v>
      </c>
      <c r="BF364" s="247">
        <f t="shared" si="361"/>
        <v>7</v>
      </c>
      <c r="BG364" s="276" t="e">
        <f t="shared" si="362"/>
        <v>#N/A</v>
      </c>
      <c r="BH364" s="277" t="e">
        <f t="shared" si="363"/>
        <v>#N/A</v>
      </c>
      <c r="BI364" s="250" t="e">
        <f t="shared" si="326"/>
        <v>#N/A</v>
      </c>
      <c r="BJ364" s="251">
        <f t="shared" si="364"/>
        <v>7</v>
      </c>
      <c r="BK364" s="278" t="e">
        <f t="shared" si="365"/>
        <v>#N/A</v>
      </c>
      <c r="BL364" s="278" t="e">
        <f t="shared" si="366"/>
        <v>#N/A</v>
      </c>
      <c r="BM364" s="279" t="e">
        <f t="shared" si="327"/>
        <v>#N/A</v>
      </c>
      <c r="BN364" s="280">
        <f t="shared" si="367"/>
        <v>7</v>
      </c>
      <c r="BO364" s="281" t="e">
        <f t="shared" si="368"/>
        <v>#N/A</v>
      </c>
      <c r="BP364" s="281" t="e">
        <f t="shared" si="369"/>
        <v>#N/A</v>
      </c>
      <c r="BQ364" s="279" t="e">
        <f t="shared" si="328"/>
        <v>#N/A</v>
      </c>
      <c r="BR364" s="282" t="e">
        <f t="shared" si="329"/>
        <v>#N/A</v>
      </c>
      <c r="BS364" s="217" t="e">
        <f>VLOOKUP($B364,SDR24_STOCK_BY_LA!$A$2:$C$11878,3,0)</f>
        <v>#N/A</v>
      </c>
      <c r="BT364" s="217" t="str">
        <f t="shared" si="370"/>
        <v/>
      </c>
    </row>
    <row r="365" spans="1:72" x14ac:dyDescent="0.2">
      <c r="A365" s="256" t="str">
        <f t="shared" si="371"/>
        <v/>
      </c>
      <c r="B365" s="217" t="str">
        <f t="shared" si="372"/>
        <v/>
      </c>
      <c r="C365" s="257" t="str">
        <f t="shared" si="330"/>
        <v/>
      </c>
      <c r="D365" s="256" t="str">
        <f>IF(B365="","",IF(totals!$Q$3=0,IFERROR(IF(AD365=2,"0",AE365),""),"-"))</f>
        <v/>
      </c>
      <c r="E365" s="258" t="str">
        <f t="shared" si="331"/>
        <v/>
      </c>
      <c r="F365" s="259" t="str">
        <f t="shared" si="332"/>
        <v/>
      </c>
      <c r="G365" s="259" t="str">
        <f t="shared" si="333"/>
        <v/>
      </c>
      <c r="H365" s="256" t="str">
        <f t="shared" si="311"/>
        <v/>
      </c>
      <c r="I365" s="259" t="str">
        <f t="shared" si="334"/>
        <v/>
      </c>
      <c r="J365" s="259" t="str">
        <f t="shared" si="335"/>
        <v/>
      </c>
      <c r="K365" s="256" t="str">
        <f t="shared" si="312"/>
        <v/>
      </c>
      <c r="L365" s="259" t="str">
        <f t="shared" si="313"/>
        <v/>
      </c>
      <c r="M365" s="259" t="str">
        <f t="shared" si="336"/>
        <v/>
      </c>
      <c r="N365" s="256" t="str">
        <f t="shared" si="337"/>
        <v/>
      </c>
      <c r="O365" s="259" t="str">
        <f t="shared" si="338"/>
        <v/>
      </c>
      <c r="P365" s="259" t="str">
        <f t="shared" si="339"/>
        <v/>
      </c>
      <c r="Q365" s="256" t="str">
        <f t="shared" si="340"/>
        <v/>
      </c>
      <c r="R365" s="259" t="str">
        <f t="shared" si="341"/>
        <v/>
      </c>
      <c r="S365" s="259" t="str">
        <f t="shared" si="342"/>
        <v/>
      </c>
      <c r="T365" s="256" t="str">
        <f t="shared" si="343"/>
        <v/>
      </c>
      <c r="U365" s="217"/>
      <c r="V365" s="217"/>
      <c r="AB365" s="257" t="e">
        <f>VLOOKUP($B$6,Lookup_Source,358,0)</f>
        <v>#N/A</v>
      </c>
      <c r="AC365" s="241" t="str">
        <f t="shared" si="344"/>
        <v/>
      </c>
      <c r="AD365" s="242">
        <f t="shared" si="345"/>
        <v>7</v>
      </c>
      <c r="AE365" s="261" t="e">
        <f t="shared" si="314"/>
        <v>#N/A</v>
      </c>
      <c r="AF365" s="264" t="e">
        <f t="shared" si="346"/>
        <v>#N/A</v>
      </c>
      <c r="AG365" s="264" t="e">
        <f t="shared" si="347"/>
        <v>#N/A</v>
      </c>
      <c r="AH365" s="263" t="e">
        <f t="shared" si="315"/>
        <v>#N/A</v>
      </c>
      <c r="AI365" s="226">
        <f t="shared" si="348"/>
        <v>7</v>
      </c>
      <c r="AJ365" s="264" t="e">
        <f t="shared" si="316"/>
        <v>#N/A</v>
      </c>
      <c r="AK365" s="264" t="e">
        <f t="shared" si="349"/>
        <v>#N/A</v>
      </c>
      <c r="AL365" s="226" t="e">
        <f t="shared" si="317"/>
        <v>#N/A</v>
      </c>
      <c r="AM365" s="265" t="e">
        <f t="shared" si="350"/>
        <v>#N/A</v>
      </c>
      <c r="AN365" s="266" t="e">
        <f t="shared" si="318"/>
        <v>#N/A</v>
      </c>
      <c r="AO365" s="227" t="e">
        <f t="shared" si="319"/>
        <v>#N/A</v>
      </c>
      <c r="AP365" s="284">
        <f t="shared" si="351"/>
        <v>7</v>
      </c>
      <c r="AQ365" s="285" t="e">
        <f t="shared" si="320"/>
        <v>#N/A</v>
      </c>
      <c r="AR365" s="266" t="e">
        <f t="shared" si="352"/>
        <v>#N/A</v>
      </c>
      <c r="AS365" s="270" t="e">
        <f t="shared" si="321"/>
        <v>#N/A</v>
      </c>
      <c r="AT365" s="271">
        <f t="shared" si="353"/>
        <v>7</v>
      </c>
      <c r="AU365" s="272" t="e">
        <f t="shared" si="354"/>
        <v>#N/A</v>
      </c>
      <c r="AV365" s="273" t="e">
        <f t="shared" si="355"/>
        <v>#N/A</v>
      </c>
      <c r="AW365" s="274" t="e">
        <f t="shared" si="322"/>
        <v>#N/A</v>
      </c>
      <c r="AX365" s="232">
        <f t="shared" si="356"/>
        <v>7</v>
      </c>
      <c r="AY365" s="273" t="e">
        <f t="shared" si="323"/>
        <v>#N/A</v>
      </c>
      <c r="AZ365" s="232" t="e">
        <f t="shared" si="357"/>
        <v>#N/A</v>
      </c>
      <c r="BA365" s="232" t="e">
        <f t="shared" si="324"/>
        <v>#N/A</v>
      </c>
      <c r="BB365" s="275">
        <f t="shared" si="358"/>
        <v>7</v>
      </c>
      <c r="BC365" s="276" t="e">
        <f t="shared" si="359"/>
        <v>#N/A</v>
      </c>
      <c r="BD365" s="277" t="e">
        <f t="shared" si="360"/>
        <v>#N/A</v>
      </c>
      <c r="BE365" s="250" t="e">
        <f t="shared" si="325"/>
        <v>#N/A</v>
      </c>
      <c r="BF365" s="247">
        <f t="shared" si="361"/>
        <v>7</v>
      </c>
      <c r="BG365" s="276" t="e">
        <f t="shared" si="362"/>
        <v>#N/A</v>
      </c>
      <c r="BH365" s="277" t="e">
        <f t="shared" si="363"/>
        <v>#N/A</v>
      </c>
      <c r="BI365" s="250" t="e">
        <f t="shared" si="326"/>
        <v>#N/A</v>
      </c>
      <c r="BJ365" s="251">
        <f t="shared" si="364"/>
        <v>7</v>
      </c>
      <c r="BK365" s="278" t="e">
        <f t="shared" si="365"/>
        <v>#N/A</v>
      </c>
      <c r="BL365" s="278" t="e">
        <f t="shared" si="366"/>
        <v>#N/A</v>
      </c>
      <c r="BM365" s="279" t="e">
        <f t="shared" si="327"/>
        <v>#N/A</v>
      </c>
      <c r="BN365" s="280">
        <f t="shared" si="367"/>
        <v>7</v>
      </c>
      <c r="BO365" s="281" t="e">
        <f t="shared" si="368"/>
        <v>#N/A</v>
      </c>
      <c r="BP365" s="281" t="e">
        <f t="shared" si="369"/>
        <v>#N/A</v>
      </c>
      <c r="BQ365" s="279" t="e">
        <f t="shared" si="328"/>
        <v>#N/A</v>
      </c>
      <c r="BR365" s="282" t="e">
        <f t="shared" si="329"/>
        <v>#N/A</v>
      </c>
      <c r="BS365" s="217" t="e">
        <f>VLOOKUP($B365,SDR24_STOCK_BY_LA!$A$2:$C$11878,3,0)</f>
        <v>#N/A</v>
      </c>
      <c r="BT365" s="217" t="str">
        <f t="shared" si="370"/>
        <v/>
      </c>
    </row>
    <row r="366" spans="1:72" x14ac:dyDescent="0.2">
      <c r="A366" s="217" t="str">
        <f t="shared" si="371"/>
        <v/>
      </c>
      <c r="B366" s="217" t="str">
        <f t="shared" si="372"/>
        <v/>
      </c>
      <c r="C366" s="283" t="str">
        <f t="shared" si="330"/>
        <v/>
      </c>
      <c r="D366" s="256" t="str">
        <f>IF(B366="","",IF(totals!$Q$3=0,IFERROR(IF(AD366=2,"0",AE366),""),"-"))</f>
        <v/>
      </c>
      <c r="E366" s="258" t="str">
        <f t="shared" si="331"/>
        <v/>
      </c>
      <c r="F366" s="259" t="str">
        <f t="shared" si="332"/>
        <v/>
      </c>
      <c r="G366" s="259" t="str">
        <f t="shared" si="333"/>
        <v/>
      </c>
      <c r="H366" s="256" t="str">
        <f t="shared" si="311"/>
        <v/>
      </c>
      <c r="I366" s="259" t="str">
        <f t="shared" si="334"/>
        <v/>
      </c>
      <c r="J366" s="259" t="str">
        <f t="shared" si="335"/>
        <v/>
      </c>
      <c r="K366" s="256" t="str">
        <f t="shared" si="312"/>
        <v/>
      </c>
      <c r="L366" s="259" t="str">
        <f t="shared" si="313"/>
        <v/>
      </c>
      <c r="M366" s="259" t="str">
        <f t="shared" si="336"/>
        <v/>
      </c>
      <c r="N366" s="256" t="str">
        <f t="shared" si="337"/>
        <v/>
      </c>
      <c r="O366" s="259" t="str">
        <f t="shared" si="338"/>
        <v/>
      </c>
      <c r="P366" s="259" t="str">
        <f t="shared" si="339"/>
        <v/>
      </c>
      <c r="Q366" s="256" t="str">
        <f t="shared" si="340"/>
        <v/>
      </c>
      <c r="R366" s="259" t="str">
        <f t="shared" si="341"/>
        <v/>
      </c>
      <c r="S366" s="259" t="str">
        <f t="shared" si="342"/>
        <v/>
      </c>
      <c r="T366" s="256" t="str">
        <f t="shared" si="343"/>
        <v/>
      </c>
      <c r="U366" s="217"/>
      <c r="V366" s="217"/>
      <c r="AB366" s="217" t="e">
        <f>VLOOKUP($B$6,Lookup_Source,359,0)</f>
        <v>#N/A</v>
      </c>
      <c r="AC366" s="241" t="str">
        <f t="shared" si="344"/>
        <v/>
      </c>
      <c r="AD366" s="242">
        <f t="shared" si="345"/>
        <v>7</v>
      </c>
      <c r="AE366" s="261" t="e">
        <f t="shared" si="314"/>
        <v>#N/A</v>
      </c>
      <c r="AF366" s="264" t="e">
        <f t="shared" si="346"/>
        <v>#N/A</v>
      </c>
      <c r="AG366" s="264" t="e">
        <f t="shared" si="347"/>
        <v>#N/A</v>
      </c>
      <c r="AH366" s="263" t="e">
        <f t="shared" si="315"/>
        <v>#N/A</v>
      </c>
      <c r="AI366" s="226">
        <f t="shared" si="348"/>
        <v>7</v>
      </c>
      <c r="AJ366" s="264" t="e">
        <f t="shared" si="316"/>
        <v>#N/A</v>
      </c>
      <c r="AK366" s="264" t="e">
        <f t="shared" si="349"/>
        <v>#N/A</v>
      </c>
      <c r="AL366" s="226" t="e">
        <f t="shared" si="317"/>
        <v>#N/A</v>
      </c>
      <c r="AM366" s="265" t="e">
        <f t="shared" si="350"/>
        <v>#N/A</v>
      </c>
      <c r="AN366" s="266" t="e">
        <f t="shared" si="318"/>
        <v>#N/A</v>
      </c>
      <c r="AO366" s="227" t="e">
        <f t="shared" si="319"/>
        <v>#N/A</v>
      </c>
      <c r="AP366" s="284">
        <f t="shared" si="351"/>
        <v>7</v>
      </c>
      <c r="AQ366" s="285" t="e">
        <f t="shared" si="320"/>
        <v>#N/A</v>
      </c>
      <c r="AR366" s="266" t="e">
        <f t="shared" si="352"/>
        <v>#N/A</v>
      </c>
      <c r="AS366" s="270" t="e">
        <f t="shared" si="321"/>
        <v>#N/A</v>
      </c>
      <c r="AT366" s="271">
        <f t="shared" si="353"/>
        <v>7</v>
      </c>
      <c r="AU366" s="272" t="e">
        <f t="shared" si="354"/>
        <v>#N/A</v>
      </c>
      <c r="AV366" s="273" t="e">
        <f t="shared" si="355"/>
        <v>#N/A</v>
      </c>
      <c r="AW366" s="274" t="e">
        <f t="shared" si="322"/>
        <v>#N/A</v>
      </c>
      <c r="AX366" s="232">
        <f t="shared" si="356"/>
        <v>7</v>
      </c>
      <c r="AY366" s="273" t="e">
        <f t="shared" si="323"/>
        <v>#N/A</v>
      </c>
      <c r="AZ366" s="232" t="e">
        <f t="shared" si="357"/>
        <v>#N/A</v>
      </c>
      <c r="BA366" s="232" t="e">
        <f t="shared" si="324"/>
        <v>#N/A</v>
      </c>
      <c r="BB366" s="275">
        <f t="shared" si="358"/>
        <v>7</v>
      </c>
      <c r="BC366" s="276" t="e">
        <f t="shared" si="359"/>
        <v>#N/A</v>
      </c>
      <c r="BD366" s="277" t="e">
        <f t="shared" si="360"/>
        <v>#N/A</v>
      </c>
      <c r="BE366" s="250" t="e">
        <f t="shared" si="325"/>
        <v>#N/A</v>
      </c>
      <c r="BF366" s="247">
        <f t="shared" si="361"/>
        <v>7</v>
      </c>
      <c r="BG366" s="276" t="e">
        <f t="shared" si="362"/>
        <v>#N/A</v>
      </c>
      <c r="BH366" s="277" t="e">
        <f t="shared" si="363"/>
        <v>#N/A</v>
      </c>
      <c r="BI366" s="250" t="e">
        <f t="shared" si="326"/>
        <v>#N/A</v>
      </c>
      <c r="BJ366" s="251">
        <f t="shared" si="364"/>
        <v>7</v>
      </c>
      <c r="BK366" s="278" t="e">
        <f t="shared" si="365"/>
        <v>#N/A</v>
      </c>
      <c r="BL366" s="278" t="e">
        <f t="shared" si="366"/>
        <v>#N/A</v>
      </c>
      <c r="BM366" s="279" t="e">
        <f t="shared" si="327"/>
        <v>#N/A</v>
      </c>
      <c r="BN366" s="280">
        <f t="shared" si="367"/>
        <v>7</v>
      </c>
      <c r="BO366" s="281" t="e">
        <f t="shared" si="368"/>
        <v>#N/A</v>
      </c>
      <c r="BP366" s="281" t="e">
        <f t="shared" si="369"/>
        <v>#N/A</v>
      </c>
      <c r="BQ366" s="279" t="e">
        <f t="shared" si="328"/>
        <v>#N/A</v>
      </c>
      <c r="BR366" s="282" t="e">
        <f t="shared" si="329"/>
        <v>#N/A</v>
      </c>
      <c r="BS366" s="217" t="e">
        <f>VLOOKUP($B366,SDR24_STOCK_BY_LA!$A$2:$C$11878,3,0)</f>
        <v>#N/A</v>
      </c>
      <c r="BT366" s="217" t="str">
        <f t="shared" si="370"/>
        <v/>
      </c>
    </row>
    <row r="367" spans="1:72" x14ac:dyDescent="0.2">
      <c r="A367" s="256" t="str">
        <f t="shared" si="371"/>
        <v/>
      </c>
      <c r="B367" s="217" t="str">
        <f t="shared" si="372"/>
        <v/>
      </c>
      <c r="C367" s="257" t="str">
        <f t="shared" si="330"/>
        <v/>
      </c>
      <c r="D367" s="256" t="str">
        <f>IF(B367="","",IF(totals!$Q$3=0,IFERROR(IF(AD367=2,"0",AE367),""),"-"))</f>
        <v/>
      </c>
      <c r="E367" s="258" t="str">
        <f t="shared" si="331"/>
        <v/>
      </c>
      <c r="F367" s="259" t="str">
        <f t="shared" si="332"/>
        <v/>
      </c>
      <c r="G367" s="259" t="str">
        <f t="shared" si="333"/>
        <v/>
      </c>
      <c r="H367" s="256" t="str">
        <f t="shared" si="311"/>
        <v/>
      </c>
      <c r="I367" s="259" t="str">
        <f t="shared" si="334"/>
        <v/>
      </c>
      <c r="J367" s="259" t="str">
        <f t="shared" si="335"/>
        <v/>
      </c>
      <c r="K367" s="256" t="str">
        <f t="shared" si="312"/>
        <v/>
      </c>
      <c r="L367" s="259" t="str">
        <f t="shared" si="313"/>
        <v/>
      </c>
      <c r="M367" s="259" t="str">
        <f t="shared" si="336"/>
        <v/>
      </c>
      <c r="N367" s="256" t="str">
        <f t="shared" si="337"/>
        <v/>
      </c>
      <c r="O367" s="259" t="str">
        <f t="shared" si="338"/>
        <v/>
      </c>
      <c r="P367" s="259" t="str">
        <f t="shared" si="339"/>
        <v/>
      </c>
      <c r="Q367" s="256" t="str">
        <f t="shared" si="340"/>
        <v/>
      </c>
      <c r="R367" s="259" t="str">
        <f t="shared" si="341"/>
        <v/>
      </c>
      <c r="S367" s="259" t="str">
        <f t="shared" si="342"/>
        <v/>
      </c>
      <c r="T367" s="256" t="str">
        <f t="shared" si="343"/>
        <v/>
      </c>
      <c r="U367" s="217"/>
      <c r="V367" s="217"/>
      <c r="AB367" s="257" t="e">
        <f>VLOOKUP($B$6,Lookup_Source,360,0)</f>
        <v>#N/A</v>
      </c>
      <c r="AC367" s="241" t="str">
        <f t="shared" si="344"/>
        <v/>
      </c>
      <c r="AD367" s="242">
        <f t="shared" si="345"/>
        <v>7</v>
      </c>
      <c r="AE367" s="261" t="e">
        <f t="shared" si="314"/>
        <v>#N/A</v>
      </c>
      <c r="AF367" s="264" t="e">
        <f t="shared" si="346"/>
        <v>#N/A</v>
      </c>
      <c r="AG367" s="264" t="e">
        <f t="shared" si="347"/>
        <v>#N/A</v>
      </c>
      <c r="AH367" s="263" t="e">
        <f t="shared" si="315"/>
        <v>#N/A</v>
      </c>
      <c r="AI367" s="226">
        <f t="shared" si="348"/>
        <v>7</v>
      </c>
      <c r="AJ367" s="264" t="e">
        <f t="shared" si="316"/>
        <v>#N/A</v>
      </c>
      <c r="AK367" s="264" t="e">
        <f t="shared" si="349"/>
        <v>#N/A</v>
      </c>
      <c r="AL367" s="226" t="e">
        <f t="shared" si="317"/>
        <v>#N/A</v>
      </c>
      <c r="AM367" s="265" t="e">
        <f t="shared" si="350"/>
        <v>#N/A</v>
      </c>
      <c r="AN367" s="266" t="e">
        <f t="shared" si="318"/>
        <v>#N/A</v>
      </c>
      <c r="AO367" s="227" t="e">
        <f t="shared" si="319"/>
        <v>#N/A</v>
      </c>
      <c r="AP367" s="284">
        <f t="shared" si="351"/>
        <v>7</v>
      </c>
      <c r="AQ367" s="285" t="e">
        <f t="shared" si="320"/>
        <v>#N/A</v>
      </c>
      <c r="AR367" s="266" t="e">
        <f t="shared" si="352"/>
        <v>#N/A</v>
      </c>
      <c r="AS367" s="270" t="e">
        <f t="shared" si="321"/>
        <v>#N/A</v>
      </c>
      <c r="AT367" s="271">
        <f t="shared" si="353"/>
        <v>7</v>
      </c>
      <c r="AU367" s="272" t="e">
        <f t="shared" si="354"/>
        <v>#N/A</v>
      </c>
      <c r="AV367" s="273" t="e">
        <f t="shared" si="355"/>
        <v>#N/A</v>
      </c>
      <c r="AW367" s="274" t="e">
        <f t="shared" si="322"/>
        <v>#N/A</v>
      </c>
      <c r="AX367" s="232">
        <f t="shared" si="356"/>
        <v>7</v>
      </c>
      <c r="AY367" s="273" t="e">
        <f t="shared" si="323"/>
        <v>#N/A</v>
      </c>
      <c r="AZ367" s="232" t="e">
        <f t="shared" si="357"/>
        <v>#N/A</v>
      </c>
      <c r="BA367" s="232" t="e">
        <f t="shared" si="324"/>
        <v>#N/A</v>
      </c>
      <c r="BB367" s="275">
        <f t="shared" si="358"/>
        <v>7</v>
      </c>
      <c r="BC367" s="276" t="e">
        <f t="shared" si="359"/>
        <v>#N/A</v>
      </c>
      <c r="BD367" s="277" t="e">
        <f t="shared" si="360"/>
        <v>#N/A</v>
      </c>
      <c r="BE367" s="250" t="e">
        <f t="shared" si="325"/>
        <v>#N/A</v>
      </c>
      <c r="BF367" s="247">
        <f t="shared" si="361"/>
        <v>7</v>
      </c>
      <c r="BG367" s="276" t="e">
        <f t="shared" si="362"/>
        <v>#N/A</v>
      </c>
      <c r="BH367" s="277" t="e">
        <f t="shared" si="363"/>
        <v>#N/A</v>
      </c>
      <c r="BI367" s="250" t="e">
        <f t="shared" si="326"/>
        <v>#N/A</v>
      </c>
      <c r="BJ367" s="251">
        <f t="shared" si="364"/>
        <v>7</v>
      </c>
      <c r="BK367" s="278" t="e">
        <f t="shared" si="365"/>
        <v>#N/A</v>
      </c>
      <c r="BL367" s="278" t="e">
        <f t="shared" si="366"/>
        <v>#N/A</v>
      </c>
      <c r="BM367" s="279" t="e">
        <f t="shared" si="327"/>
        <v>#N/A</v>
      </c>
      <c r="BN367" s="280">
        <f t="shared" si="367"/>
        <v>7</v>
      </c>
      <c r="BO367" s="281" t="e">
        <f t="shared" si="368"/>
        <v>#N/A</v>
      </c>
      <c r="BP367" s="281" t="e">
        <f t="shared" si="369"/>
        <v>#N/A</v>
      </c>
      <c r="BQ367" s="279" t="e">
        <f t="shared" si="328"/>
        <v>#N/A</v>
      </c>
      <c r="BR367" s="282" t="e">
        <f t="shared" si="329"/>
        <v>#N/A</v>
      </c>
      <c r="BS367" s="217" t="e">
        <f>VLOOKUP($B367,SDR24_STOCK_BY_LA!$A$2:$C$11878,3,0)</f>
        <v>#N/A</v>
      </c>
      <c r="BT367" s="217" t="str">
        <f t="shared" si="370"/>
        <v/>
      </c>
    </row>
    <row r="368" spans="1:72" x14ac:dyDescent="0.2">
      <c r="A368" s="217" t="str">
        <f t="shared" si="371"/>
        <v/>
      </c>
      <c r="B368" s="217" t="str">
        <f t="shared" si="372"/>
        <v/>
      </c>
      <c r="C368" s="283" t="str">
        <f t="shared" si="330"/>
        <v/>
      </c>
      <c r="D368" s="256" t="str">
        <f>IF(B368="","",IF(totals!$Q$3=0,IFERROR(IF(AD368=2,"0",AE368),""),"-"))</f>
        <v/>
      </c>
      <c r="E368" s="258" t="str">
        <f t="shared" si="331"/>
        <v/>
      </c>
      <c r="F368" s="259" t="str">
        <f t="shared" si="332"/>
        <v/>
      </c>
      <c r="G368" s="259" t="str">
        <f t="shared" si="333"/>
        <v/>
      </c>
      <c r="H368" s="256" t="str">
        <f t="shared" si="311"/>
        <v/>
      </c>
      <c r="I368" s="259" t="str">
        <f t="shared" si="334"/>
        <v/>
      </c>
      <c r="J368" s="259" t="str">
        <f t="shared" si="335"/>
        <v/>
      </c>
      <c r="K368" s="256" t="str">
        <f t="shared" si="312"/>
        <v/>
      </c>
      <c r="L368" s="259" t="str">
        <f t="shared" si="313"/>
        <v/>
      </c>
      <c r="M368" s="259" t="str">
        <f t="shared" si="336"/>
        <v/>
      </c>
      <c r="N368" s="256" t="str">
        <f t="shared" si="337"/>
        <v/>
      </c>
      <c r="O368" s="259" t="str">
        <f t="shared" si="338"/>
        <v/>
      </c>
      <c r="P368" s="259" t="str">
        <f t="shared" si="339"/>
        <v/>
      </c>
      <c r="Q368" s="256" t="str">
        <f t="shared" si="340"/>
        <v/>
      </c>
      <c r="R368" s="259" t="str">
        <f t="shared" si="341"/>
        <v/>
      </c>
      <c r="S368" s="259" t="str">
        <f t="shared" si="342"/>
        <v/>
      </c>
      <c r="T368" s="256" t="str">
        <f t="shared" si="343"/>
        <v/>
      </c>
      <c r="U368" s="217"/>
      <c r="V368" s="217"/>
      <c r="AB368" s="217" t="e">
        <f>VLOOKUP($B$6,Lookup_Source,361,0)</f>
        <v>#N/A</v>
      </c>
      <c r="AC368" s="241" t="str">
        <f t="shared" si="344"/>
        <v/>
      </c>
      <c r="AD368" s="242">
        <f t="shared" si="345"/>
        <v>7</v>
      </c>
      <c r="AE368" s="261" t="e">
        <f t="shared" si="314"/>
        <v>#N/A</v>
      </c>
      <c r="AF368" s="264" t="e">
        <f t="shared" si="346"/>
        <v>#N/A</v>
      </c>
      <c r="AG368" s="264" t="e">
        <f t="shared" si="347"/>
        <v>#N/A</v>
      </c>
      <c r="AH368" s="263" t="e">
        <f t="shared" si="315"/>
        <v>#N/A</v>
      </c>
      <c r="AI368" s="226">
        <f t="shared" si="348"/>
        <v>7</v>
      </c>
      <c r="AJ368" s="264" t="e">
        <f t="shared" si="316"/>
        <v>#N/A</v>
      </c>
      <c r="AK368" s="264" t="e">
        <f t="shared" si="349"/>
        <v>#N/A</v>
      </c>
      <c r="AL368" s="226" t="e">
        <f t="shared" si="317"/>
        <v>#N/A</v>
      </c>
      <c r="AM368" s="265" t="e">
        <f t="shared" si="350"/>
        <v>#N/A</v>
      </c>
      <c r="AN368" s="266" t="e">
        <f t="shared" si="318"/>
        <v>#N/A</v>
      </c>
      <c r="AO368" s="227" t="e">
        <f t="shared" si="319"/>
        <v>#N/A</v>
      </c>
      <c r="AP368" s="284">
        <f t="shared" si="351"/>
        <v>7</v>
      </c>
      <c r="AQ368" s="285" t="e">
        <f t="shared" si="320"/>
        <v>#N/A</v>
      </c>
      <c r="AR368" s="266" t="e">
        <f t="shared" si="352"/>
        <v>#N/A</v>
      </c>
      <c r="AS368" s="270" t="e">
        <f t="shared" si="321"/>
        <v>#N/A</v>
      </c>
      <c r="AT368" s="271">
        <f t="shared" si="353"/>
        <v>7</v>
      </c>
      <c r="AU368" s="272" t="e">
        <f t="shared" si="354"/>
        <v>#N/A</v>
      </c>
      <c r="AV368" s="273" t="e">
        <f t="shared" si="355"/>
        <v>#N/A</v>
      </c>
      <c r="AW368" s="274" t="e">
        <f t="shared" si="322"/>
        <v>#N/A</v>
      </c>
      <c r="AX368" s="232">
        <f t="shared" si="356"/>
        <v>7</v>
      </c>
      <c r="AY368" s="273" t="e">
        <f t="shared" si="323"/>
        <v>#N/A</v>
      </c>
      <c r="AZ368" s="232" t="e">
        <f t="shared" si="357"/>
        <v>#N/A</v>
      </c>
      <c r="BA368" s="232" t="e">
        <f t="shared" si="324"/>
        <v>#N/A</v>
      </c>
      <c r="BB368" s="275">
        <f t="shared" si="358"/>
        <v>7</v>
      </c>
      <c r="BC368" s="276" t="e">
        <f t="shared" si="359"/>
        <v>#N/A</v>
      </c>
      <c r="BD368" s="277" t="e">
        <f t="shared" si="360"/>
        <v>#N/A</v>
      </c>
      <c r="BE368" s="250" t="e">
        <f t="shared" si="325"/>
        <v>#N/A</v>
      </c>
      <c r="BF368" s="247">
        <f t="shared" si="361"/>
        <v>7</v>
      </c>
      <c r="BG368" s="276" t="e">
        <f t="shared" si="362"/>
        <v>#N/A</v>
      </c>
      <c r="BH368" s="277" t="e">
        <f t="shared" si="363"/>
        <v>#N/A</v>
      </c>
      <c r="BI368" s="250" t="e">
        <f t="shared" si="326"/>
        <v>#N/A</v>
      </c>
      <c r="BJ368" s="251">
        <f t="shared" si="364"/>
        <v>7</v>
      </c>
      <c r="BK368" s="278" t="e">
        <f t="shared" si="365"/>
        <v>#N/A</v>
      </c>
      <c r="BL368" s="278" t="e">
        <f t="shared" si="366"/>
        <v>#N/A</v>
      </c>
      <c r="BM368" s="279" t="e">
        <f t="shared" si="327"/>
        <v>#N/A</v>
      </c>
      <c r="BN368" s="280">
        <f t="shared" si="367"/>
        <v>7</v>
      </c>
      <c r="BO368" s="281" t="e">
        <f t="shared" si="368"/>
        <v>#N/A</v>
      </c>
      <c r="BP368" s="281" t="e">
        <f t="shared" si="369"/>
        <v>#N/A</v>
      </c>
      <c r="BQ368" s="279" t="e">
        <f t="shared" si="328"/>
        <v>#N/A</v>
      </c>
      <c r="BR368" s="282" t="e">
        <f t="shared" si="329"/>
        <v>#N/A</v>
      </c>
      <c r="BS368" s="217" t="e">
        <f>VLOOKUP($B368,SDR24_STOCK_BY_LA!$A$2:$C$11878,3,0)</f>
        <v>#N/A</v>
      </c>
      <c r="BT368" s="217" t="str">
        <f t="shared" si="370"/>
        <v/>
      </c>
    </row>
    <row r="369" spans="1:72" x14ac:dyDescent="0.2">
      <c r="A369" s="256" t="str">
        <f t="shared" si="371"/>
        <v/>
      </c>
      <c r="B369" s="217" t="str">
        <f t="shared" si="372"/>
        <v/>
      </c>
      <c r="C369" s="257" t="str">
        <f t="shared" si="330"/>
        <v/>
      </c>
      <c r="D369" s="256" t="str">
        <f>IF(B369="","",IF(totals!$Q$3=0,IFERROR(IF(AD369=2,"0",AE369),""),"-"))</f>
        <v/>
      </c>
      <c r="E369" s="258" t="str">
        <f t="shared" si="331"/>
        <v/>
      </c>
      <c r="F369" s="259" t="str">
        <f t="shared" si="332"/>
        <v/>
      </c>
      <c r="G369" s="259" t="str">
        <f t="shared" si="333"/>
        <v/>
      </c>
      <c r="H369" s="256" t="str">
        <f t="shared" si="311"/>
        <v/>
      </c>
      <c r="I369" s="259" t="str">
        <f t="shared" si="334"/>
        <v/>
      </c>
      <c r="J369" s="259" t="str">
        <f t="shared" si="335"/>
        <v/>
      </c>
      <c r="K369" s="256" t="str">
        <f t="shared" si="312"/>
        <v/>
      </c>
      <c r="L369" s="259" t="str">
        <f t="shared" si="313"/>
        <v/>
      </c>
      <c r="M369" s="259" t="str">
        <f t="shared" si="336"/>
        <v/>
      </c>
      <c r="N369" s="256" t="str">
        <f t="shared" si="337"/>
        <v/>
      </c>
      <c r="O369" s="259" t="str">
        <f t="shared" si="338"/>
        <v/>
      </c>
      <c r="P369" s="259" t="str">
        <f t="shared" si="339"/>
        <v/>
      </c>
      <c r="Q369" s="256" t="str">
        <f t="shared" si="340"/>
        <v/>
      </c>
      <c r="R369" s="259" t="str">
        <f t="shared" si="341"/>
        <v/>
      </c>
      <c r="S369" s="259" t="str">
        <f t="shared" si="342"/>
        <v/>
      </c>
      <c r="T369" s="256" t="str">
        <f t="shared" si="343"/>
        <v/>
      </c>
      <c r="U369" s="217"/>
      <c r="V369" s="217"/>
      <c r="AB369" s="257" t="e">
        <f>VLOOKUP($B$6,Lookup_Source,362,0)</f>
        <v>#N/A</v>
      </c>
      <c r="AC369" s="241" t="str">
        <f t="shared" si="344"/>
        <v/>
      </c>
      <c r="AD369" s="242">
        <f t="shared" si="345"/>
        <v>7</v>
      </c>
      <c r="AE369" s="261" t="e">
        <f t="shared" si="314"/>
        <v>#N/A</v>
      </c>
      <c r="AF369" s="264" t="e">
        <f t="shared" si="346"/>
        <v>#N/A</v>
      </c>
      <c r="AG369" s="264" t="e">
        <f t="shared" si="347"/>
        <v>#N/A</v>
      </c>
      <c r="AH369" s="263" t="e">
        <f t="shared" si="315"/>
        <v>#N/A</v>
      </c>
      <c r="AI369" s="226">
        <f t="shared" si="348"/>
        <v>7</v>
      </c>
      <c r="AJ369" s="264" t="e">
        <f t="shared" si="316"/>
        <v>#N/A</v>
      </c>
      <c r="AK369" s="264" t="e">
        <f t="shared" si="349"/>
        <v>#N/A</v>
      </c>
      <c r="AL369" s="226" t="e">
        <f t="shared" si="317"/>
        <v>#N/A</v>
      </c>
      <c r="AM369" s="265" t="e">
        <f t="shared" si="350"/>
        <v>#N/A</v>
      </c>
      <c r="AN369" s="266" t="e">
        <f t="shared" si="318"/>
        <v>#N/A</v>
      </c>
      <c r="AO369" s="227" t="e">
        <f t="shared" si="319"/>
        <v>#N/A</v>
      </c>
      <c r="AP369" s="284">
        <f t="shared" si="351"/>
        <v>7</v>
      </c>
      <c r="AQ369" s="285" t="e">
        <f t="shared" si="320"/>
        <v>#N/A</v>
      </c>
      <c r="AR369" s="266" t="e">
        <f t="shared" si="352"/>
        <v>#N/A</v>
      </c>
      <c r="AS369" s="270" t="e">
        <f t="shared" si="321"/>
        <v>#N/A</v>
      </c>
      <c r="AT369" s="271">
        <f t="shared" si="353"/>
        <v>7</v>
      </c>
      <c r="AU369" s="272" t="e">
        <f t="shared" si="354"/>
        <v>#N/A</v>
      </c>
      <c r="AV369" s="273" t="e">
        <f t="shared" si="355"/>
        <v>#N/A</v>
      </c>
      <c r="AW369" s="274" t="e">
        <f t="shared" si="322"/>
        <v>#N/A</v>
      </c>
      <c r="AX369" s="232">
        <f t="shared" si="356"/>
        <v>7</v>
      </c>
      <c r="AY369" s="273" t="e">
        <f t="shared" si="323"/>
        <v>#N/A</v>
      </c>
      <c r="AZ369" s="232" t="e">
        <f t="shared" si="357"/>
        <v>#N/A</v>
      </c>
      <c r="BA369" s="232" t="e">
        <f t="shared" si="324"/>
        <v>#N/A</v>
      </c>
      <c r="BB369" s="275">
        <f t="shared" si="358"/>
        <v>7</v>
      </c>
      <c r="BC369" s="276" t="e">
        <f t="shared" si="359"/>
        <v>#N/A</v>
      </c>
      <c r="BD369" s="277" t="e">
        <f t="shared" si="360"/>
        <v>#N/A</v>
      </c>
      <c r="BE369" s="250" t="e">
        <f t="shared" si="325"/>
        <v>#N/A</v>
      </c>
      <c r="BF369" s="247">
        <f t="shared" si="361"/>
        <v>7</v>
      </c>
      <c r="BG369" s="276" t="e">
        <f t="shared" si="362"/>
        <v>#N/A</v>
      </c>
      <c r="BH369" s="277" t="e">
        <f t="shared" si="363"/>
        <v>#N/A</v>
      </c>
      <c r="BI369" s="250" t="e">
        <f t="shared" si="326"/>
        <v>#N/A</v>
      </c>
      <c r="BJ369" s="251">
        <f t="shared" si="364"/>
        <v>7</v>
      </c>
      <c r="BK369" s="278" t="e">
        <f t="shared" si="365"/>
        <v>#N/A</v>
      </c>
      <c r="BL369" s="278" t="e">
        <f t="shared" si="366"/>
        <v>#N/A</v>
      </c>
      <c r="BM369" s="279" t="e">
        <f t="shared" si="327"/>
        <v>#N/A</v>
      </c>
      <c r="BN369" s="280">
        <f t="shared" si="367"/>
        <v>7</v>
      </c>
      <c r="BO369" s="281" t="e">
        <f t="shared" si="368"/>
        <v>#N/A</v>
      </c>
      <c r="BP369" s="281" t="e">
        <f t="shared" si="369"/>
        <v>#N/A</v>
      </c>
      <c r="BQ369" s="279" t="e">
        <f t="shared" si="328"/>
        <v>#N/A</v>
      </c>
      <c r="BR369" s="282" t="e">
        <f t="shared" si="329"/>
        <v>#N/A</v>
      </c>
      <c r="BS369" s="217" t="e">
        <f>VLOOKUP($B369,SDR24_STOCK_BY_LA!$A$2:$C$11878,3,0)</f>
        <v>#N/A</v>
      </c>
      <c r="BT369" s="217" t="str">
        <f t="shared" si="370"/>
        <v/>
      </c>
    </row>
    <row r="370" spans="1:72" x14ac:dyDescent="0.2">
      <c r="A370" s="217" t="str">
        <f t="shared" si="371"/>
        <v/>
      </c>
      <c r="B370" s="217" t="str">
        <f t="shared" si="372"/>
        <v/>
      </c>
      <c r="C370" s="283" t="str">
        <f t="shared" si="330"/>
        <v/>
      </c>
      <c r="D370" s="256" t="str">
        <f>IF(B370="","",IF(totals!$Q$3=0,IFERROR(IF(AD370=2,"0",AE370),""),"-"))</f>
        <v/>
      </c>
      <c r="E370" s="258" t="str">
        <f t="shared" si="331"/>
        <v/>
      </c>
      <c r="F370" s="259" t="str">
        <f t="shared" si="332"/>
        <v/>
      </c>
      <c r="G370" s="259" t="str">
        <f t="shared" si="333"/>
        <v/>
      </c>
      <c r="H370" s="256" t="str">
        <f t="shared" si="311"/>
        <v/>
      </c>
      <c r="I370" s="259" t="str">
        <f t="shared" si="334"/>
        <v/>
      </c>
      <c r="J370" s="259" t="str">
        <f t="shared" si="335"/>
        <v/>
      </c>
      <c r="K370" s="256" t="str">
        <f t="shared" si="312"/>
        <v/>
      </c>
      <c r="L370" s="259" t="str">
        <f t="shared" si="313"/>
        <v/>
      </c>
      <c r="M370" s="259" t="str">
        <f t="shared" si="336"/>
        <v/>
      </c>
      <c r="N370" s="256" t="str">
        <f t="shared" si="337"/>
        <v/>
      </c>
      <c r="O370" s="259" t="str">
        <f t="shared" si="338"/>
        <v/>
      </c>
      <c r="P370" s="259" t="str">
        <f t="shared" si="339"/>
        <v/>
      </c>
      <c r="Q370" s="256" t="str">
        <f t="shared" si="340"/>
        <v/>
      </c>
      <c r="R370" s="259" t="str">
        <f t="shared" si="341"/>
        <v/>
      </c>
      <c r="S370" s="259" t="str">
        <f t="shared" si="342"/>
        <v/>
      </c>
      <c r="T370" s="256" t="str">
        <f t="shared" si="343"/>
        <v/>
      </c>
      <c r="U370" s="217"/>
      <c r="V370" s="217"/>
      <c r="AB370" s="217" t="e">
        <f>VLOOKUP($B$6,Lookup_Source,363,0)</f>
        <v>#N/A</v>
      </c>
      <c r="AC370" s="241" t="str">
        <f t="shared" si="344"/>
        <v/>
      </c>
      <c r="AD370" s="242">
        <f t="shared" si="345"/>
        <v>7</v>
      </c>
      <c r="AE370" s="261" t="e">
        <f t="shared" si="314"/>
        <v>#N/A</v>
      </c>
      <c r="AF370" s="264" t="e">
        <f t="shared" si="346"/>
        <v>#N/A</v>
      </c>
      <c r="AG370" s="264" t="e">
        <f t="shared" si="347"/>
        <v>#N/A</v>
      </c>
      <c r="AH370" s="263" t="e">
        <f t="shared" si="315"/>
        <v>#N/A</v>
      </c>
      <c r="AI370" s="226">
        <f t="shared" si="348"/>
        <v>7</v>
      </c>
      <c r="AJ370" s="264" t="e">
        <f t="shared" si="316"/>
        <v>#N/A</v>
      </c>
      <c r="AK370" s="264" t="e">
        <f t="shared" si="349"/>
        <v>#N/A</v>
      </c>
      <c r="AL370" s="226" t="e">
        <f t="shared" si="317"/>
        <v>#N/A</v>
      </c>
      <c r="AM370" s="265" t="e">
        <f t="shared" si="350"/>
        <v>#N/A</v>
      </c>
      <c r="AN370" s="266" t="e">
        <f t="shared" si="318"/>
        <v>#N/A</v>
      </c>
      <c r="AO370" s="227" t="e">
        <f t="shared" si="319"/>
        <v>#N/A</v>
      </c>
      <c r="AP370" s="284">
        <f t="shared" si="351"/>
        <v>7</v>
      </c>
      <c r="AQ370" s="285" t="e">
        <f t="shared" si="320"/>
        <v>#N/A</v>
      </c>
      <c r="AR370" s="266" t="e">
        <f t="shared" si="352"/>
        <v>#N/A</v>
      </c>
      <c r="AS370" s="270" t="e">
        <f t="shared" si="321"/>
        <v>#N/A</v>
      </c>
      <c r="AT370" s="271">
        <f t="shared" si="353"/>
        <v>7</v>
      </c>
      <c r="AU370" s="272" t="e">
        <f t="shared" si="354"/>
        <v>#N/A</v>
      </c>
      <c r="AV370" s="273" t="e">
        <f t="shared" si="355"/>
        <v>#N/A</v>
      </c>
      <c r="AW370" s="274" t="e">
        <f t="shared" si="322"/>
        <v>#N/A</v>
      </c>
      <c r="AX370" s="232">
        <f t="shared" si="356"/>
        <v>7</v>
      </c>
      <c r="AY370" s="273" t="e">
        <f t="shared" si="323"/>
        <v>#N/A</v>
      </c>
      <c r="AZ370" s="232" t="e">
        <f t="shared" si="357"/>
        <v>#N/A</v>
      </c>
      <c r="BA370" s="232" t="e">
        <f t="shared" si="324"/>
        <v>#N/A</v>
      </c>
      <c r="BB370" s="275">
        <f t="shared" si="358"/>
        <v>7</v>
      </c>
      <c r="BC370" s="276" t="e">
        <f t="shared" si="359"/>
        <v>#N/A</v>
      </c>
      <c r="BD370" s="277" t="e">
        <f t="shared" si="360"/>
        <v>#N/A</v>
      </c>
      <c r="BE370" s="250" t="e">
        <f t="shared" si="325"/>
        <v>#N/A</v>
      </c>
      <c r="BF370" s="247">
        <f t="shared" si="361"/>
        <v>7</v>
      </c>
      <c r="BG370" s="276" t="e">
        <f t="shared" si="362"/>
        <v>#N/A</v>
      </c>
      <c r="BH370" s="277" t="e">
        <f t="shared" si="363"/>
        <v>#N/A</v>
      </c>
      <c r="BI370" s="250" t="e">
        <f t="shared" si="326"/>
        <v>#N/A</v>
      </c>
      <c r="BJ370" s="251">
        <f t="shared" si="364"/>
        <v>7</v>
      </c>
      <c r="BK370" s="278" t="e">
        <f t="shared" si="365"/>
        <v>#N/A</v>
      </c>
      <c r="BL370" s="278" t="e">
        <f t="shared" si="366"/>
        <v>#N/A</v>
      </c>
      <c r="BM370" s="279" t="e">
        <f t="shared" si="327"/>
        <v>#N/A</v>
      </c>
      <c r="BN370" s="280">
        <f t="shared" si="367"/>
        <v>7</v>
      </c>
      <c r="BO370" s="281" t="e">
        <f t="shared" si="368"/>
        <v>#N/A</v>
      </c>
      <c r="BP370" s="281" t="e">
        <f t="shared" si="369"/>
        <v>#N/A</v>
      </c>
      <c r="BQ370" s="279" t="e">
        <f t="shared" si="328"/>
        <v>#N/A</v>
      </c>
      <c r="BR370" s="282" t="e">
        <f t="shared" si="329"/>
        <v>#N/A</v>
      </c>
      <c r="BS370" s="217" t="e">
        <f>VLOOKUP($B370,SDR24_STOCK_BY_LA!$A$2:$C$11878,3,0)</f>
        <v>#N/A</v>
      </c>
      <c r="BT370" s="217" t="str">
        <f t="shared" si="370"/>
        <v/>
      </c>
    </row>
    <row r="371" spans="1:72" x14ac:dyDescent="0.2">
      <c r="A371" s="256" t="str">
        <f t="shared" si="371"/>
        <v/>
      </c>
      <c r="B371" s="217" t="str">
        <f t="shared" si="372"/>
        <v/>
      </c>
      <c r="C371" s="257" t="str">
        <f t="shared" si="330"/>
        <v/>
      </c>
      <c r="D371" s="256" t="str">
        <f>IF(B371="","",IF(totals!$Q$3=0,IFERROR(IF(AD371=2,"0",AE371),""),"-"))</f>
        <v/>
      </c>
      <c r="E371" s="258" t="str">
        <f t="shared" si="331"/>
        <v/>
      </c>
      <c r="F371" s="259" t="str">
        <f t="shared" si="332"/>
        <v/>
      </c>
      <c r="G371" s="259" t="str">
        <f t="shared" si="333"/>
        <v/>
      </c>
      <c r="H371" s="256" t="str">
        <f t="shared" si="311"/>
        <v/>
      </c>
      <c r="I371" s="259" t="str">
        <f t="shared" si="334"/>
        <v/>
      </c>
      <c r="J371" s="259" t="str">
        <f t="shared" si="335"/>
        <v/>
      </c>
      <c r="K371" s="256" t="str">
        <f t="shared" si="312"/>
        <v/>
      </c>
      <c r="L371" s="259" t="str">
        <f t="shared" si="313"/>
        <v/>
      </c>
      <c r="M371" s="259" t="str">
        <f t="shared" si="336"/>
        <v/>
      </c>
      <c r="N371" s="256" t="str">
        <f t="shared" si="337"/>
        <v/>
      </c>
      <c r="O371" s="259" t="str">
        <f t="shared" si="338"/>
        <v/>
      </c>
      <c r="P371" s="259" t="str">
        <f t="shared" si="339"/>
        <v/>
      </c>
      <c r="Q371" s="256" t="str">
        <f t="shared" si="340"/>
        <v/>
      </c>
      <c r="R371" s="259" t="str">
        <f t="shared" si="341"/>
        <v/>
      </c>
      <c r="S371" s="259" t="str">
        <f t="shared" si="342"/>
        <v/>
      </c>
      <c r="T371" s="256" t="str">
        <f t="shared" si="343"/>
        <v/>
      </c>
      <c r="U371" s="217"/>
      <c r="V371" s="217"/>
      <c r="AB371" s="257" t="e">
        <f>VLOOKUP($B$6,Lookup_Source,364,0)</f>
        <v>#N/A</v>
      </c>
      <c r="AC371" s="241" t="str">
        <f t="shared" si="344"/>
        <v/>
      </c>
      <c r="AD371" s="242">
        <f t="shared" si="345"/>
        <v>7</v>
      </c>
      <c r="AE371" s="261" t="e">
        <f t="shared" si="314"/>
        <v>#N/A</v>
      </c>
      <c r="AF371" s="264" t="e">
        <f t="shared" si="346"/>
        <v>#N/A</v>
      </c>
      <c r="AG371" s="264" t="e">
        <f t="shared" si="347"/>
        <v>#N/A</v>
      </c>
      <c r="AH371" s="263" t="e">
        <f t="shared" si="315"/>
        <v>#N/A</v>
      </c>
      <c r="AI371" s="226">
        <f t="shared" si="348"/>
        <v>7</v>
      </c>
      <c r="AJ371" s="264" t="e">
        <f t="shared" si="316"/>
        <v>#N/A</v>
      </c>
      <c r="AK371" s="264" t="e">
        <f t="shared" si="349"/>
        <v>#N/A</v>
      </c>
      <c r="AL371" s="226" t="e">
        <f t="shared" si="317"/>
        <v>#N/A</v>
      </c>
      <c r="AM371" s="265" t="e">
        <f t="shared" si="350"/>
        <v>#N/A</v>
      </c>
      <c r="AN371" s="266" t="e">
        <f t="shared" si="318"/>
        <v>#N/A</v>
      </c>
      <c r="AO371" s="227" t="e">
        <f t="shared" si="319"/>
        <v>#N/A</v>
      </c>
      <c r="AP371" s="284">
        <f t="shared" si="351"/>
        <v>7</v>
      </c>
      <c r="AQ371" s="285" t="e">
        <f t="shared" si="320"/>
        <v>#N/A</v>
      </c>
      <c r="AR371" s="266" t="e">
        <f t="shared" si="352"/>
        <v>#N/A</v>
      </c>
      <c r="AS371" s="270" t="e">
        <f t="shared" si="321"/>
        <v>#N/A</v>
      </c>
      <c r="AT371" s="271">
        <f t="shared" si="353"/>
        <v>7</v>
      </c>
      <c r="AU371" s="272" t="e">
        <f t="shared" si="354"/>
        <v>#N/A</v>
      </c>
      <c r="AV371" s="273" t="e">
        <f t="shared" si="355"/>
        <v>#N/A</v>
      </c>
      <c r="AW371" s="274" t="e">
        <f t="shared" si="322"/>
        <v>#N/A</v>
      </c>
      <c r="AX371" s="232">
        <f t="shared" si="356"/>
        <v>7</v>
      </c>
      <c r="AY371" s="273" t="e">
        <f t="shared" si="323"/>
        <v>#N/A</v>
      </c>
      <c r="AZ371" s="232" t="e">
        <f t="shared" si="357"/>
        <v>#N/A</v>
      </c>
      <c r="BA371" s="232" t="e">
        <f t="shared" si="324"/>
        <v>#N/A</v>
      </c>
      <c r="BB371" s="275">
        <f t="shared" si="358"/>
        <v>7</v>
      </c>
      <c r="BC371" s="276" t="e">
        <f t="shared" si="359"/>
        <v>#N/A</v>
      </c>
      <c r="BD371" s="277" t="e">
        <f t="shared" si="360"/>
        <v>#N/A</v>
      </c>
      <c r="BE371" s="250" t="e">
        <f t="shared" si="325"/>
        <v>#N/A</v>
      </c>
      <c r="BF371" s="247">
        <f t="shared" si="361"/>
        <v>7</v>
      </c>
      <c r="BG371" s="276" t="e">
        <f t="shared" si="362"/>
        <v>#N/A</v>
      </c>
      <c r="BH371" s="277" t="e">
        <f t="shared" si="363"/>
        <v>#N/A</v>
      </c>
      <c r="BI371" s="250" t="e">
        <f t="shared" si="326"/>
        <v>#N/A</v>
      </c>
      <c r="BJ371" s="251">
        <f t="shared" si="364"/>
        <v>7</v>
      </c>
      <c r="BK371" s="278" t="e">
        <f t="shared" si="365"/>
        <v>#N/A</v>
      </c>
      <c r="BL371" s="278" t="e">
        <f t="shared" si="366"/>
        <v>#N/A</v>
      </c>
      <c r="BM371" s="279" t="e">
        <f t="shared" si="327"/>
        <v>#N/A</v>
      </c>
      <c r="BN371" s="280">
        <f t="shared" si="367"/>
        <v>7</v>
      </c>
      <c r="BO371" s="281" t="e">
        <f t="shared" si="368"/>
        <v>#N/A</v>
      </c>
      <c r="BP371" s="281" t="e">
        <f t="shared" si="369"/>
        <v>#N/A</v>
      </c>
      <c r="BQ371" s="279" t="e">
        <f t="shared" si="328"/>
        <v>#N/A</v>
      </c>
      <c r="BR371" s="282" t="e">
        <f t="shared" si="329"/>
        <v>#N/A</v>
      </c>
      <c r="BS371" s="217" t="e">
        <f>VLOOKUP($B371,SDR24_STOCK_BY_LA!$A$2:$C$11878,3,0)</f>
        <v>#N/A</v>
      </c>
      <c r="BT371" s="217" t="str">
        <f t="shared" si="370"/>
        <v/>
      </c>
    </row>
    <row r="372" spans="1:72" x14ac:dyDescent="0.2">
      <c r="A372" s="217" t="str">
        <f t="shared" si="371"/>
        <v/>
      </c>
      <c r="B372" s="217" t="str">
        <f t="shared" si="372"/>
        <v/>
      </c>
      <c r="C372" s="283" t="str">
        <f t="shared" si="330"/>
        <v/>
      </c>
      <c r="D372" s="256" t="str">
        <f>IF(B372="","",IF(totals!$Q$3=0,IFERROR(IF(AD372=2,"0",AE372),""),"-"))</f>
        <v/>
      </c>
      <c r="E372" s="258" t="str">
        <f t="shared" si="331"/>
        <v/>
      </c>
      <c r="F372" s="259" t="str">
        <f t="shared" si="332"/>
        <v/>
      </c>
      <c r="G372" s="259" t="str">
        <f t="shared" si="333"/>
        <v/>
      </c>
      <c r="H372" s="256" t="str">
        <f t="shared" si="311"/>
        <v/>
      </c>
      <c r="I372" s="259" t="str">
        <f t="shared" si="334"/>
        <v/>
      </c>
      <c r="J372" s="259" t="str">
        <f t="shared" si="335"/>
        <v/>
      </c>
      <c r="K372" s="256" t="str">
        <f t="shared" si="312"/>
        <v/>
      </c>
      <c r="L372" s="259" t="str">
        <f t="shared" si="313"/>
        <v/>
      </c>
      <c r="M372" s="259" t="str">
        <f t="shared" si="336"/>
        <v/>
      </c>
      <c r="N372" s="256" t="str">
        <f t="shared" si="337"/>
        <v/>
      </c>
      <c r="O372" s="259" t="str">
        <f t="shared" si="338"/>
        <v/>
      </c>
      <c r="P372" s="259" t="str">
        <f t="shared" si="339"/>
        <v/>
      </c>
      <c r="Q372" s="256" t="str">
        <f t="shared" si="340"/>
        <v/>
      </c>
      <c r="R372" s="259" t="str">
        <f t="shared" si="341"/>
        <v/>
      </c>
      <c r="S372" s="259" t="str">
        <f t="shared" si="342"/>
        <v/>
      </c>
      <c r="T372" s="256" t="str">
        <f t="shared" si="343"/>
        <v/>
      </c>
      <c r="U372" s="217"/>
      <c r="V372" s="217"/>
      <c r="AB372" s="217" t="e">
        <f>VLOOKUP($B$6,Lookup_Source,365,0)</f>
        <v>#N/A</v>
      </c>
      <c r="AC372" s="241" t="str">
        <f t="shared" si="344"/>
        <v/>
      </c>
      <c r="AD372" s="242">
        <f t="shared" si="345"/>
        <v>7</v>
      </c>
      <c r="AE372" s="261" t="e">
        <f t="shared" si="314"/>
        <v>#N/A</v>
      </c>
      <c r="AF372" s="264" t="e">
        <f t="shared" si="346"/>
        <v>#N/A</v>
      </c>
      <c r="AG372" s="264" t="e">
        <f t="shared" si="347"/>
        <v>#N/A</v>
      </c>
      <c r="AH372" s="263" t="e">
        <f t="shared" si="315"/>
        <v>#N/A</v>
      </c>
      <c r="AI372" s="226">
        <f t="shared" si="348"/>
        <v>7</v>
      </c>
      <c r="AJ372" s="264" t="e">
        <f t="shared" si="316"/>
        <v>#N/A</v>
      </c>
      <c r="AK372" s="264" t="e">
        <f t="shared" si="349"/>
        <v>#N/A</v>
      </c>
      <c r="AL372" s="226" t="e">
        <f t="shared" si="317"/>
        <v>#N/A</v>
      </c>
      <c r="AM372" s="265" t="e">
        <f t="shared" si="350"/>
        <v>#N/A</v>
      </c>
      <c r="AN372" s="266" t="e">
        <f t="shared" si="318"/>
        <v>#N/A</v>
      </c>
      <c r="AO372" s="227" t="e">
        <f t="shared" si="319"/>
        <v>#N/A</v>
      </c>
      <c r="AP372" s="284">
        <f t="shared" si="351"/>
        <v>7</v>
      </c>
      <c r="AQ372" s="285" t="e">
        <f t="shared" si="320"/>
        <v>#N/A</v>
      </c>
      <c r="AR372" s="266" t="e">
        <f t="shared" si="352"/>
        <v>#N/A</v>
      </c>
      <c r="AS372" s="270" t="e">
        <f t="shared" si="321"/>
        <v>#N/A</v>
      </c>
      <c r="AT372" s="271">
        <f t="shared" si="353"/>
        <v>7</v>
      </c>
      <c r="AU372" s="272" t="e">
        <f t="shared" si="354"/>
        <v>#N/A</v>
      </c>
      <c r="AV372" s="273" t="e">
        <f t="shared" si="355"/>
        <v>#N/A</v>
      </c>
      <c r="AW372" s="274" t="e">
        <f t="shared" si="322"/>
        <v>#N/A</v>
      </c>
      <c r="AX372" s="232">
        <f t="shared" si="356"/>
        <v>7</v>
      </c>
      <c r="AY372" s="273" t="e">
        <f t="shared" si="323"/>
        <v>#N/A</v>
      </c>
      <c r="AZ372" s="232" t="e">
        <f t="shared" si="357"/>
        <v>#N/A</v>
      </c>
      <c r="BA372" s="232" t="e">
        <f t="shared" si="324"/>
        <v>#N/A</v>
      </c>
      <c r="BB372" s="275">
        <f t="shared" si="358"/>
        <v>7</v>
      </c>
      <c r="BC372" s="276" t="e">
        <f t="shared" si="359"/>
        <v>#N/A</v>
      </c>
      <c r="BD372" s="277" t="e">
        <f t="shared" si="360"/>
        <v>#N/A</v>
      </c>
      <c r="BE372" s="250" t="e">
        <f t="shared" si="325"/>
        <v>#N/A</v>
      </c>
      <c r="BF372" s="247">
        <f t="shared" si="361"/>
        <v>7</v>
      </c>
      <c r="BG372" s="276" t="e">
        <f t="shared" si="362"/>
        <v>#N/A</v>
      </c>
      <c r="BH372" s="277" t="e">
        <f t="shared" si="363"/>
        <v>#N/A</v>
      </c>
      <c r="BI372" s="250" t="e">
        <f t="shared" si="326"/>
        <v>#N/A</v>
      </c>
      <c r="BJ372" s="251">
        <f t="shared" si="364"/>
        <v>7</v>
      </c>
      <c r="BK372" s="278" t="e">
        <f t="shared" si="365"/>
        <v>#N/A</v>
      </c>
      <c r="BL372" s="278" t="e">
        <f t="shared" si="366"/>
        <v>#N/A</v>
      </c>
      <c r="BM372" s="279" t="e">
        <f t="shared" si="327"/>
        <v>#N/A</v>
      </c>
      <c r="BN372" s="280">
        <f t="shared" si="367"/>
        <v>7</v>
      </c>
      <c r="BO372" s="281" t="e">
        <f t="shared" si="368"/>
        <v>#N/A</v>
      </c>
      <c r="BP372" s="281" t="e">
        <f t="shared" si="369"/>
        <v>#N/A</v>
      </c>
      <c r="BQ372" s="279" t="e">
        <f t="shared" si="328"/>
        <v>#N/A</v>
      </c>
      <c r="BR372" s="282" t="e">
        <f t="shared" si="329"/>
        <v>#N/A</v>
      </c>
      <c r="BS372" s="217" t="e">
        <f>VLOOKUP($B372,SDR24_STOCK_BY_LA!$A$2:$C$11878,3,0)</f>
        <v>#N/A</v>
      </c>
      <c r="BT372" s="217" t="str">
        <f t="shared" si="370"/>
        <v/>
      </c>
    </row>
    <row r="373" spans="1:72" x14ac:dyDescent="0.2">
      <c r="A373" s="256" t="str">
        <f t="shared" si="371"/>
        <v/>
      </c>
      <c r="B373" s="217" t="str">
        <f t="shared" si="372"/>
        <v/>
      </c>
      <c r="C373" s="257" t="str">
        <f t="shared" si="330"/>
        <v/>
      </c>
      <c r="D373" s="256" t="str">
        <f>IF(B373="","",IF(totals!$Q$3=0,IFERROR(IF(AD373=2,"0",AE373),""),"-"))</f>
        <v/>
      </c>
      <c r="E373" s="258" t="str">
        <f t="shared" si="331"/>
        <v/>
      </c>
      <c r="F373" s="259" t="str">
        <f t="shared" si="332"/>
        <v/>
      </c>
      <c r="G373" s="259" t="str">
        <f t="shared" si="333"/>
        <v/>
      </c>
      <c r="H373" s="256" t="str">
        <f t="shared" si="311"/>
        <v/>
      </c>
      <c r="I373" s="259" t="str">
        <f t="shared" si="334"/>
        <v/>
      </c>
      <c r="J373" s="259" t="str">
        <f t="shared" si="335"/>
        <v/>
      </c>
      <c r="K373" s="256" t="str">
        <f t="shared" si="312"/>
        <v/>
      </c>
      <c r="L373" s="259" t="str">
        <f t="shared" si="313"/>
        <v/>
      </c>
      <c r="M373" s="259" t="str">
        <f t="shared" si="336"/>
        <v/>
      </c>
      <c r="N373" s="256" t="str">
        <f t="shared" si="337"/>
        <v/>
      </c>
      <c r="O373" s="259" t="str">
        <f t="shared" si="338"/>
        <v/>
      </c>
      <c r="P373" s="259" t="str">
        <f t="shared" si="339"/>
        <v/>
      </c>
      <c r="Q373" s="256" t="str">
        <f t="shared" si="340"/>
        <v/>
      </c>
      <c r="R373" s="259" t="str">
        <f t="shared" si="341"/>
        <v/>
      </c>
      <c r="S373" s="259" t="str">
        <f t="shared" si="342"/>
        <v/>
      </c>
      <c r="T373" s="256" t="str">
        <f t="shared" si="343"/>
        <v/>
      </c>
      <c r="U373" s="217"/>
      <c r="V373" s="217"/>
      <c r="AB373" s="257" t="e">
        <f>VLOOKUP($B$6,Lookup_Source,366,0)</f>
        <v>#N/A</v>
      </c>
      <c r="AC373" s="241" t="str">
        <f t="shared" si="344"/>
        <v/>
      </c>
      <c r="AD373" s="242">
        <f t="shared" si="345"/>
        <v>7</v>
      </c>
      <c r="AE373" s="261" t="e">
        <f t="shared" si="314"/>
        <v>#N/A</v>
      </c>
      <c r="AF373" s="264" t="e">
        <f t="shared" si="346"/>
        <v>#N/A</v>
      </c>
      <c r="AG373" s="264" t="e">
        <f t="shared" si="347"/>
        <v>#N/A</v>
      </c>
      <c r="AH373" s="263" t="e">
        <f t="shared" si="315"/>
        <v>#N/A</v>
      </c>
      <c r="AI373" s="226">
        <f t="shared" si="348"/>
        <v>7</v>
      </c>
      <c r="AJ373" s="264" t="e">
        <f t="shared" si="316"/>
        <v>#N/A</v>
      </c>
      <c r="AK373" s="264" t="e">
        <f t="shared" si="349"/>
        <v>#N/A</v>
      </c>
      <c r="AL373" s="226" t="e">
        <f t="shared" si="317"/>
        <v>#N/A</v>
      </c>
      <c r="AM373" s="265" t="e">
        <f t="shared" si="350"/>
        <v>#N/A</v>
      </c>
      <c r="AN373" s="266" t="e">
        <f t="shared" si="318"/>
        <v>#N/A</v>
      </c>
      <c r="AO373" s="227" t="e">
        <f t="shared" si="319"/>
        <v>#N/A</v>
      </c>
      <c r="AP373" s="284">
        <f t="shared" si="351"/>
        <v>7</v>
      </c>
      <c r="AQ373" s="285" t="e">
        <f t="shared" si="320"/>
        <v>#N/A</v>
      </c>
      <c r="AR373" s="266" t="e">
        <f t="shared" si="352"/>
        <v>#N/A</v>
      </c>
      <c r="AS373" s="270" t="e">
        <f t="shared" si="321"/>
        <v>#N/A</v>
      </c>
      <c r="AT373" s="271">
        <f t="shared" si="353"/>
        <v>7</v>
      </c>
      <c r="AU373" s="272" t="e">
        <f t="shared" si="354"/>
        <v>#N/A</v>
      </c>
      <c r="AV373" s="273" t="e">
        <f t="shared" si="355"/>
        <v>#N/A</v>
      </c>
      <c r="AW373" s="274" t="e">
        <f t="shared" si="322"/>
        <v>#N/A</v>
      </c>
      <c r="AX373" s="232">
        <f t="shared" si="356"/>
        <v>7</v>
      </c>
      <c r="AY373" s="273" t="e">
        <f t="shared" si="323"/>
        <v>#N/A</v>
      </c>
      <c r="AZ373" s="232" t="e">
        <f t="shared" si="357"/>
        <v>#N/A</v>
      </c>
      <c r="BA373" s="232" t="e">
        <f t="shared" si="324"/>
        <v>#N/A</v>
      </c>
      <c r="BB373" s="275">
        <f t="shared" si="358"/>
        <v>7</v>
      </c>
      <c r="BC373" s="276" t="e">
        <f t="shared" si="359"/>
        <v>#N/A</v>
      </c>
      <c r="BD373" s="277" t="e">
        <f t="shared" si="360"/>
        <v>#N/A</v>
      </c>
      <c r="BE373" s="250" t="e">
        <f t="shared" si="325"/>
        <v>#N/A</v>
      </c>
      <c r="BF373" s="247">
        <f t="shared" si="361"/>
        <v>7</v>
      </c>
      <c r="BG373" s="276" t="e">
        <f t="shared" si="362"/>
        <v>#N/A</v>
      </c>
      <c r="BH373" s="277" t="e">
        <f t="shared" si="363"/>
        <v>#N/A</v>
      </c>
      <c r="BI373" s="250" t="e">
        <f t="shared" si="326"/>
        <v>#N/A</v>
      </c>
      <c r="BJ373" s="251">
        <f t="shared" si="364"/>
        <v>7</v>
      </c>
      <c r="BK373" s="278" t="e">
        <f t="shared" si="365"/>
        <v>#N/A</v>
      </c>
      <c r="BL373" s="278" t="e">
        <f t="shared" si="366"/>
        <v>#N/A</v>
      </c>
      <c r="BM373" s="279" t="e">
        <f t="shared" si="327"/>
        <v>#N/A</v>
      </c>
      <c r="BN373" s="280">
        <f t="shared" si="367"/>
        <v>7</v>
      </c>
      <c r="BO373" s="281" t="e">
        <f t="shared" si="368"/>
        <v>#N/A</v>
      </c>
      <c r="BP373" s="281" t="e">
        <f t="shared" si="369"/>
        <v>#N/A</v>
      </c>
      <c r="BQ373" s="279" t="e">
        <f t="shared" si="328"/>
        <v>#N/A</v>
      </c>
      <c r="BR373" s="282" t="e">
        <f t="shared" si="329"/>
        <v>#N/A</v>
      </c>
      <c r="BS373" s="217" t="e">
        <f>VLOOKUP($B373,SDR24_STOCK_BY_LA!$A$2:$C$11878,3,0)</f>
        <v>#N/A</v>
      </c>
      <c r="BT373" s="217" t="str">
        <f t="shared" si="370"/>
        <v/>
      </c>
    </row>
    <row r="374" spans="1:72" x14ac:dyDescent="0.2">
      <c r="A374" s="217" t="str">
        <f t="shared" si="371"/>
        <v/>
      </c>
      <c r="B374" s="217" t="str">
        <f t="shared" si="372"/>
        <v/>
      </c>
      <c r="C374" s="283" t="str">
        <f t="shared" si="330"/>
        <v/>
      </c>
      <c r="D374" s="256" t="str">
        <f>IF(B374="","",IF(totals!$Q$3=0,IFERROR(IF(AD374=2,"0",AE374),""),"-"))</f>
        <v/>
      </c>
      <c r="E374" s="258" t="str">
        <f t="shared" si="331"/>
        <v/>
      </c>
      <c r="F374" s="259" t="str">
        <f t="shared" si="332"/>
        <v/>
      </c>
      <c r="G374" s="259" t="str">
        <f t="shared" si="333"/>
        <v/>
      </c>
      <c r="H374" s="256" t="str">
        <f t="shared" si="311"/>
        <v/>
      </c>
      <c r="I374" s="259" t="str">
        <f t="shared" si="334"/>
        <v/>
      </c>
      <c r="J374" s="259" t="str">
        <f t="shared" si="335"/>
        <v/>
      </c>
      <c r="K374" s="256" t="str">
        <f t="shared" si="312"/>
        <v/>
      </c>
      <c r="L374" s="259" t="str">
        <f t="shared" si="313"/>
        <v/>
      </c>
      <c r="M374" s="259" t="str">
        <f t="shared" si="336"/>
        <v/>
      </c>
      <c r="N374" s="256" t="str">
        <f t="shared" si="337"/>
        <v/>
      </c>
      <c r="O374" s="259" t="str">
        <f t="shared" si="338"/>
        <v/>
      </c>
      <c r="P374" s="259" t="str">
        <f t="shared" si="339"/>
        <v/>
      </c>
      <c r="Q374" s="256" t="str">
        <f t="shared" si="340"/>
        <v/>
      </c>
      <c r="R374" s="259" t="str">
        <f t="shared" si="341"/>
        <v/>
      </c>
      <c r="S374" s="259" t="str">
        <f t="shared" si="342"/>
        <v/>
      </c>
      <c r="T374" s="256" t="str">
        <f t="shared" si="343"/>
        <v/>
      </c>
      <c r="U374" s="217"/>
      <c r="V374" s="217"/>
      <c r="AB374" s="217" t="e">
        <f>VLOOKUP($B$6,Lookup_Source,367,0)</f>
        <v>#N/A</v>
      </c>
      <c r="AC374" s="241" t="str">
        <f t="shared" si="344"/>
        <v/>
      </c>
      <c r="AD374" s="242">
        <f t="shared" si="345"/>
        <v>7</v>
      </c>
      <c r="AE374" s="261" t="e">
        <f t="shared" si="314"/>
        <v>#N/A</v>
      </c>
      <c r="AF374" s="264" t="e">
        <f t="shared" si="346"/>
        <v>#N/A</v>
      </c>
      <c r="AG374" s="264" t="e">
        <f t="shared" si="347"/>
        <v>#N/A</v>
      </c>
      <c r="AH374" s="263" t="e">
        <f t="shared" si="315"/>
        <v>#N/A</v>
      </c>
      <c r="AI374" s="226">
        <f t="shared" si="348"/>
        <v>7</v>
      </c>
      <c r="AJ374" s="264" t="e">
        <f t="shared" si="316"/>
        <v>#N/A</v>
      </c>
      <c r="AK374" s="264" t="e">
        <f t="shared" si="349"/>
        <v>#N/A</v>
      </c>
      <c r="AL374" s="226" t="e">
        <f t="shared" si="317"/>
        <v>#N/A</v>
      </c>
      <c r="AM374" s="265" t="e">
        <f t="shared" si="350"/>
        <v>#N/A</v>
      </c>
      <c r="AN374" s="266" t="e">
        <f t="shared" si="318"/>
        <v>#N/A</v>
      </c>
      <c r="AO374" s="227" t="e">
        <f t="shared" si="319"/>
        <v>#N/A</v>
      </c>
      <c r="AP374" s="284">
        <f t="shared" si="351"/>
        <v>7</v>
      </c>
      <c r="AQ374" s="285" t="e">
        <f t="shared" si="320"/>
        <v>#N/A</v>
      </c>
      <c r="AR374" s="266" t="e">
        <f t="shared" si="352"/>
        <v>#N/A</v>
      </c>
      <c r="AS374" s="270" t="e">
        <f t="shared" si="321"/>
        <v>#N/A</v>
      </c>
      <c r="AT374" s="271">
        <f t="shared" si="353"/>
        <v>7</v>
      </c>
      <c r="AU374" s="272" t="e">
        <f t="shared" si="354"/>
        <v>#N/A</v>
      </c>
      <c r="AV374" s="273" t="e">
        <f t="shared" si="355"/>
        <v>#N/A</v>
      </c>
      <c r="AW374" s="274" t="e">
        <f t="shared" si="322"/>
        <v>#N/A</v>
      </c>
      <c r="AX374" s="232">
        <f t="shared" si="356"/>
        <v>7</v>
      </c>
      <c r="AY374" s="273" t="e">
        <f t="shared" si="323"/>
        <v>#N/A</v>
      </c>
      <c r="AZ374" s="232" t="e">
        <f t="shared" si="357"/>
        <v>#N/A</v>
      </c>
      <c r="BA374" s="232" t="e">
        <f t="shared" si="324"/>
        <v>#N/A</v>
      </c>
      <c r="BB374" s="275">
        <f t="shared" si="358"/>
        <v>7</v>
      </c>
      <c r="BC374" s="276" t="e">
        <f t="shared" si="359"/>
        <v>#N/A</v>
      </c>
      <c r="BD374" s="277" t="e">
        <f t="shared" si="360"/>
        <v>#N/A</v>
      </c>
      <c r="BE374" s="250" t="e">
        <f t="shared" si="325"/>
        <v>#N/A</v>
      </c>
      <c r="BF374" s="247">
        <f t="shared" si="361"/>
        <v>7</v>
      </c>
      <c r="BG374" s="276" t="e">
        <f t="shared" si="362"/>
        <v>#N/A</v>
      </c>
      <c r="BH374" s="277" t="e">
        <f t="shared" si="363"/>
        <v>#N/A</v>
      </c>
      <c r="BI374" s="250" t="e">
        <f t="shared" si="326"/>
        <v>#N/A</v>
      </c>
      <c r="BJ374" s="251">
        <f t="shared" si="364"/>
        <v>7</v>
      </c>
      <c r="BK374" s="278" t="e">
        <f t="shared" si="365"/>
        <v>#N/A</v>
      </c>
      <c r="BL374" s="278" t="e">
        <f t="shared" si="366"/>
        <v>#N/A</v>
      </c>
      <c r="BM374" s="279" t="e">
        <f t="shared" si="327"/>
        <v>#N/A</v>
      </c>
      <c r="BN374" s="280">
        <f t="shared" si="367"/>
        <v>7</v>
      </c>
      <c r="BO374" s="281" t="e">
        <f t="shared" si="368"/>
        <v>#N/A</v>
      </c>
      <c r="BP374" s="281" t="e">
        <f t="shared" si="369"/>
        <v>#N/A</v>
      </c>
      <c r="BQ374" s="279" t="e">
        <f t="shared" si="328"/>
        <v>#N/A</v>
      </c>
      <c r="BR374" s="282" t="e">
        <f t="shared" si="329"/>
        <v>#N/A</v>
      </c>
      <c r="BS374" s="217" t="e">
        <f>VLOOKUP($B374,SDR24_STOCK_BY_LA!$A$2:$C$11878,3,0)</f>
        <v>#N/A</v>
      </c>
      <c r="BT374" s="217" t="str">
        <f t="shared" si="370"/>
        <v/>
      </c>
    </row>
    <row r="375" spans="1:72" x14ac:dyDescent="0.2">
      <c r="A375" s="256" t="str">
        <f t="shared" si="371"/>
        <v/>
      </c>
      <c r="B375" s="217" t="str">
        <f t="shared" si="372"/>
        <v/>
      </c>
      <c r="C375" s="257" t="str">
        <f t="shared" si="330"/>
        <v/>
      </c>
      <c r="D375" s="256" t="str">
        <f>IF(B375="","",IF(totals!$Q$3=0,IFERROR(IF(AD375=2,"0",AE375),""),"-"))</f>
        <v/>
      </c>
      <c r="E375" s="258" t="str">
        <f t="shared" si="331"/>
        <v/>
      </c>
      <c r="F375" s="259" t="str">
        <f t="shared" si="332"/>
        <v/>
      </c>
      <c r="G375" s="259" t="str">
        <f t="shared" si="333"/>
        <v/>
      </c>
      <c r="H375" s="256" t="str">
        <f t="shared" si="311"/>
        <v/>
      </c>
      <c r="I375" s="259" t="str">
        <f t="shared" si="334"/>
        <v/>
      </c>
      <c r="J375" s="259" t="str">
        <f t="shared" si="335"/>
        <v/>
      </c>
      <c r="K375" s="256" t="str">
        <f t="shared" si="312"/>
        <v/>
      </c>
      <c r="L375" s="259" t="str">
        <f t="shared" si="313"/>
        <v/>
      </c>
      <c r="M375" s="259" t="str">
        <f t="shared" si="336"/>
        <v/>
      </c>
      <c r="N375" s="256" t="str">
        <f t="shared" si="337"/>
        <v/>
      </c>
      <c r="O375" s="259" t="str">
        <f t="shared" si="338"/>
        <v/>
      </c>
      <c r="P375" s="259" t="str">
        <f t="shared" si="339"/>
        <v/>
      </c>
      <c r="Q375" s="256" t="str">
        <f t="shared" si="340"/>
        <v/>
      </c>
      <c r="R375" s="259" t="str">
        <f t="shared" si="341"/>
        <v/>
      </c>
      <c r="S375" s="259" t="str">
        <f t="shared" si="342"/>
        <v/>
      </c>
      <c r="T375" s="256" t="str">
        <f t="shared" si="343"/>
        <v/>
      </c>
      <c r="U375" s="217"/>
      <c r="V375" s="217"/>
      <c r="AB375" s="257" t="e">
        <f>VLOOKUP($B$6,Lookup_Source,368,0)</f>
        <v>#N/A</v>
      </c>
      <c r="AC375" s="241" t="str">
        <f t="shared" si="344"/>
        <v/>
      </c>
      <c r="AD375" s="242">
        <f t="shared" si="345"/>
        <v>7</v>
      </c>
      <c r="AE375" s="261" t="e">
        <f t="shared" si="314"/>
        <v>#N/A</v>
      </c>
      <c r="AF375" s="264" t="e">
        <f t="shared" si="346"/>
        <v>#N/A</v>
      </c>
      <c r="AG375" s="264" t="e">
        <f t="shared" si="347"/>
        <v>#N/A</v>
      </c>
      <c r="AH375" s="263" t="e">
        <f t="shared" si="315"/>
        <v>#N/A</v>
      </c>
      <c r="AI375" s="226">
        <f t="shared" si="348"/>
        <v>7</v>
      </c>
      <c r="AJ375" s="264" t="e">
        <f t="shared" si="316"/>
        <v>#N/A</v>
      </c>
      <c r="AK375" s="264" t="e">
        <f t="shared" si="349"/>
        <v>#N/A</v>
      </c>
      <c r="AL375" s="226" t="e">
        <f t="shared" si="317"/>
        <v>#N/A</v>
      </c>
      <c r="AM375" s="265" t="e">
        <f t="shared" si="350"/>
        <v>#N/A</v>
      </c>
      <c r="AN375" s="266" t="e">
        <f t="shared" si="318"/>
        <v>#N/A</v>
      </c>
      <c r="AO375" s="227" t="e">
        <f t="shared" si="319"/>
        <v>#N/A</v>
      </c>
      <c r="AP375" s="284">
        <f t="shared" si="351"/>
        <v>7</v>
      </c>
      <c r="AQ375" s="285" t="e">
        <f t="shared" si="320"/>
        <v>#N/A</v>
      </c>
      <c r="AR375" s="266" t="e">
        <f t="shared" si="352"/>
        <v>#N/A</v>
      </c>
      <c r="AS375" s="270" t="e">
        <f t="shared" si="321"/>
        <v>#N/A</v>
      </c>
      <c r="AT375" s="271">
        <f t="shared" si="353"/>
        <v>7</v>
      </c>
      <c r="AU375" s="272" t="e">
        <f t="shared" si="354"/>
        <v>#N/A</v>
      </c>
      <c r="AV375" s="273" t="e">
        <f t="shared" si="355"/>
        <v>#N/A</v>
      </c>
      <c r="AW375" s="274" t="e">
        <f t="shared" si="322"/>
        <v>#N/A</v>
      </c>
      <c r="AX375" s="232">
        <f t="shared" si="356"/>
        <v>7</v>
      </c>
      <c r="AY375" s="273" t="e">
        <f t="shared" si="323"/>
        <v>#N/A</v>
      </c>
      <c r="AZ375" s="232" t="e">
        <f t="shared" si="357"/>
        <v>#N/A</v>
      </c>
      <c r="BA375" s="232" t="e">
        <f t="shared" si="324"/>
        <v>#N/A</v>
      </c>
      <c r="BB375" s="275">
        <f t="shared" si="358"/>
        <v>7</v>
      </c>
      <c r="BC375" s="276" t="e">
        <f t="shared" si="359"/>
        <v>#N/A</v>
      </c>
      <c r="BD375" s="277" t="e">
        <f t="shared" si="360"/>
        <v>#N/A</v>
      </c>
      <c r="BE375" s="250" t="e">
        <f t="shared" si="325"/>
        <v>#N/A</v>
      </c>
      <c r="BF375" s="247">
        <f t="shared" si="361"/>
        <v>7</v>
      </c>
      <c r="BG375" s="276" t="e">
        <f t="shared" si="362"/>
        <v>#N/A</v>
      </c>
      <c r="BH375" s="277" t="e">
        <f t="shared" si="363"/>
        <v>#N/A</v>
      </c>
      <c r="BI375" s="250" t="e">
        <f t="shared" si="326"/>
        <v>#N/A</v>
      </c>
      <c r="BJ375" s="251">
        <f t="shared" si="364"/>
        <v>7</v>
      </c>
      <c r="BK375" s="278" t="e">
        <f t="shared" si="365"/>
        <v>#N/A</v>
      </c>
      <c r="BL375" s="278" t="e">
        <f t="shared" si="366"/>
        <v>#N/A</v>
      </c>
      <c r="BM375" s="279" t="e">
        <f t="shared" si="327"/>
        <v>#N/A</v>
      </c>
      <c r="BN375" s="280">
        <f t="shared" si="367"/>
        <v>7</v>
      </c>
      <c r="BO375" s="281" t="e">
        <f t="shared" si="368"/>
        <v>#N/A</v>
      </c>
      <c r="BP375" s="281" t="e">
        <f t="shared" si="369"/>
        <v>#N/A</v>
      </c>
      <c r="BQ375" s="279" t="e">
        <f t="shared" si="328"/>
        <v>#N/A</v>
      </c>
      <c r="BR375" s="282" t="e">
        <f t="shared" si="329"/>
        <v>#N/A</v>
      </c>
      <c r="BS375" s="217" t="e">
        <f>VLOOKUP($B375,SDR24_STOCK_BY_LA!$A$2:$C$11878,3,0)</f>
        <v>#N/A</v>
      </c>
      <c r="BT375" s="217" t="str">
        <f t="shared" si="370"/>
        <v/>
      </c>
    </row>
    <row r="376" spans="1:72" x14ac:dyDescent="0.2">
      <c r="A376" s="217" t="str">
        <f t="shared" si="371"/>
        <v/>
      </c>
      <c r="B376" s="217" t="str">
        <f t="shared" si="372"/>
        <v/>
      </c>
      <c r="C376" s="283" t="str">
        <f t="shared" si="330"/>
        <v/>
      </c>
      <c r="D376" s="256" t="str">
        <f>IF(B376="","",IF(totals!$Q$3=0,IFERROR(IF(AD376=2,"0",AE376),""),"-"))</f>
        <v/>
      </c>
      <c r="E376" s="258" t="str">
        <f t="shared" si="331"/>
        <v/>
      </c>
      <c r="F376" s="259" t="str">
        <f t="shared" si="332"/>
        <v/>
      </c>
      <c r="G376" s="259" t="str">
        <f t="shared" si="333"/>
        <v/>
      </c>
      <c r="H376" s="256" t="str">
        <f t="shared" si="311"/>
        <v/>
      </c>
      <c r="I376" s="259" t="str">
        <f t="shared" si="334"/>
        <v/>
      </c>
      <c r="J376" s="259" t="str">
        <f t="shared" si="335"/>
        <v/>
      </c>
      <c r="K376" s="256" t="str">
        <f t="shared" si="312"/>
        <v/>
      </c>
      <c r="L376" s="259" t="str">
        <f t="shared" si="313"/>
        <v/>
      </c>
      <c r="M376" s="259" t="str">
        <f t="shared" si="336"/>
        <v/>
      </c>
      <c r="N376" s="256" t="str">
        <f t="shared" si="337"/>
        <v/>
      </c>
      <c r="O376" s="259" t="str">
        <f t="shared" si="338"/>
        <v/>
      </c>
      <c r="P376" s="259" t="str">
        <f t="shared" si="339"/>
        <v/>
      </c>
      <c r="Q376" s="256" t="str">
        <f t="shared" si="340"/>
        <v/>
      </c>
      <c r="R376" s="259" t="str">
        <f t="shared" si="341"/>
        <v/>
      </c>
      <c r="S376" s="259" t="str">
        <f t="shared" si="342"/>
        <v/>
      </c>
      <c r="T376" s="256" t="str">
        <f t="shared" si="343"/>
        <v/>
      </c>
      <c r="U376" s="217"/>
      <c r="V376" s="217"/>
      <c r="AB376" s="217" t="e">
        <f>VLOOKUP($B$6,Lookup_Source,369,0)</f>
        <v>#N/A</v>
      </c>
      <c r="AC376" s="241" t="str">
        <f t="shared" si="344"/>
        <v/>
      </c>
      <c r="AD376" s="242">
        <f t="shared" si="345"/>
        <v>7</v>
      </c>
      <c r="AE376" s="261" t="e">
        <f t="shared" si="314"/>
        <v>#N/A</v>
      </c>
      <c r="AF376" s="264" t="e">
        <f t="shared" si="346"/>
        <v>#N/A</v>
      </c>
      <c r="AG376" s="264" t="e">
        <f t="shared" si="347"/>
        <v>#N/A</v>
      </c>
      <c r="AH376" s="263" t="e">
        <f t="shared" si="315"/>
        <v>#N/A</v>
      </c>
      <c r="AI376" s="226">
        <f t="shared" si="348"/>
        <v>7</v>
      </c>
      <c r="AJ376" s="264" t="e">
        <f t="shared" si="316"/>
        <v>#N/A</v>
      </c>
      <c r="AK376" s="264" t="e">
        <f t="shared" si="349"/>
        <v>#N/A</v>
      </c>
      <c r="AL376" s="226" t="e">
        <f t="shared" si="317"/>
        <v>#N/A</v>
      </c>
      <c r="AM376" s="265" t="e">
        <f t="shared" si="350"/>
        <v>#N/A</v>
      </c>
      <c r="AN376" s="266" t="e">
        <f t="shared" si="318"/>
        <v>#N/A</v>
      </c>
      <c r="AO376" s="227" t="e">
        <f t="shared" si="319"/>
        <v>#N/A</v>
      </c>
      <c r="AP376" s="284">
        <f t="shared" si="351"/>
        <v>7</v>
      </c>
      <c r="AQ376" s="285" t="e">
        <f t="shared" si="320"/>
        <v>#N/A</v>
      </c>
      <c r="AR376" s="266" t="e">
        <f t="shared" si="352"/>
        <v>#N/A</v>
      </c>
      <c r="AS376" s="270" t="e">
        <f t="shared" si="321"/>
        <v>#N/A</v>
      </c>
      <c r="AT376" s="271">
        <f t="shared" si="353"/>
        <v>7</v>
      </c>
      <c r="AU376" s="272" t="e">
        <f t="shared" si="354"/>
        <v>#N/A</v>
      </c>
      <c r="AV376" s="273" t="e">
        <f t="shared" si="355"/>
        <v>#N/A</v>
      </c>
      <c r="AW376" s="274" t="e">
        <f t="shared" si="322"/>
        <v>#N/A</v>
      </c>
      <c r="AX376" s="232">
        <f t="shared" si="356"/>
        <v>7</v>
      </c>
      <c r="AY376" s="273" t="e">
        <f t="shared" si="323"/>
        <v>#N/A</v>
      </c>
      <c r="AZ376" s="232" t="e">
        <f t="shared" si="357"/>
        <v>#N/A</v>
      </c>
      <c r="BA376" s="232" t="e">
        <f t="shared" si="324"/>
        <v>#N/A</v>
      </c>
      <c r="BB376" s="275">
        <f t="shared" si="358"/>
        <v>7</v>
      </c>
      <c r="BC376" s="276" t="e">
        <f t="shared" si="359"/>
        <v>#N/A</v>
      </c>
      <c r="BD376" s="277" t="e">
        <f t="shared" si="360"/>
        <v>#N/A</v>
      </c>
      <c r="BE376" s="250" t="e">
        <f t="shared" si="325"/>
        <v>#N/A</v>
      </c>
      <c r="BF376" s="247">
        <f t="shared" si="361"/>
        <v>7</v>
      </c>
      <c r="BG376" s="276" t="e">
        <f t="shared" si="362"/>
        <v>#N/A</v>
      </c>
      <c r="BH376" s="277" t="e">
        <f t="shared" si="363"/>
        <v>#N/A</v>
      </c>
      <c r="BI376" s="250" t="e">
        <f t="shared" si="326"/>
        <v>#N/A</v>
      </c>
      <c r="BJ376" s="251">
        <f t="shared" si="364"/>
        <v>7</v>
      </c>
      <c r="BK376" s="278" t="e">
        <f t="shared" si="365"/>
        <v>#N/A</v>
      </c>
      <c r="BL376" s="278" t="e">
        <f t="shared" si="366"/>
        <v>#N/A</v>
      </c>
      <c r="BM376" s="279" t="e">
        <f t="shared" si="327"/>
        <v>#N/A</v>
      </c>
      <c r="BN376" s="280">
        <f t="shared" si="367"/>
        <v>7</v>
      </c>
      <c r="BO376" s="281" t="e">
        <f t="shared" si="368"/>
        <v>#N/A</v>
      </c>
      <c r="BP376" s="281" t="e">
        <f t="shared" si="369"/>
        <v>#N/A</v>
      </c>
      <c r="BQ376" s="279" t="e">
        <f t="shared" si="328"/>
        <v>#N/A</v>
      </c>
      <c r="BR376" s="282" t="e">
        <f t="shared" si="329"/>
        <v>#N/A</v>
      </c>
      <c r="BS376" s="217" t="e">
        <f>VLOOKUP($B376,SDR24_STOCK_BY_LA!$A$2:$C$11878,3,0)</f>
        <v>#N/A</v>
      </c>
      <c r="BT376" s="217" t="str">
        <f t="shared" si="370"/>
        <v/>
      </c>
    </row>
    <row r="377" spans="1:72" x14ac:dyDescent="0.2">
      <c r="A377" s="256" t="str">
        <f t="shared" si="371"/>
        <v/>
      </c>
      <c r="B377" s="217" t="str">
        <f t="shared" si="372"/>
        <v/>
      </c>
      <c r="C377" s="257" t="str">
        <f t="shared" si="330"/>
        <v/>
      </c>
      <c r="D377" s="256" t="str">
        <f>IF(B377="","",IF(totals!$Q$3=0,IFERROR(IF(AD377=2,"0",AE377),""),"-"))</f>
        <v/>
      </c>
      <c r="E377" s="258" t="str">
        <f t="shared" si="331"/>
        <v/>
      </c>
      <c r="F377" s="259" t="str">
        <f t="shared" si="332"/>
        <v/>
      </c>
      <c r="G377" s="259" t="str">
        <f t="shared" si="333"/>
        <v/>
      </c>
      <c r="H377" s="256" t="str">
        <f t="shared" si="311"/>
        <v/>
      </c>
      <c r="I377" s="259" t="str">
        <f t="shared" si="334"/>
        <v/>
      </c>
      <c r="J377" s="259" t="str">
        <f t="shared" si="335"/>
        <v/>
      </c>
      <c r="K377" s="256" t="str">
        <f t="shared" si="312"/>
        <v/>
      </c>
      <c r="L377" s="259" t="str">
        <f t="shared" si="313"/>
        <v/>
      </c>
      <c r="M377" s="259" t="str">
        <f t="shared" si="336"/>
        <v/>
      </c>
      <c r="N377" s="256" t="str">
        <f t="shared" si="337"/>
        <v/>
      </c>
      <c r="O377" s="259" t="str">
        <f t="shared" si="338"/>
        <v/>
      </c>
      <c r="P377" s="259" t="str">
        <f t="shared" si="339"/>
        <v/>
      </c>
      <c r="Q377" s="256" t="str">
        <f t="shared" si="340"/>
        <v/>
      </c>
      <c r="R377" s="259" t="str">
        <f t="shared" si="341"/>
        <v/>
      </c>
      <c r="S377" s="259" t="str">
        <f t="shared" si="342"/>
        <v/>
      </c>
      <c r="T377" s="256" t="str">
        <f t="shared" si="343"/>
        <v/>
      </c>
      <c r="U377" s="217"/>
      <c r="V377" s="217"/>
      <c r="AB377" s="257" t="e">
        <f>VLOOKUP($B$6,Lookup_Source,370,0)</f>
        <v>#N/A</v>
      </c>
      <c r="AC377" s="241" t="str">
        <f t="shared" si="344"/>
        <v/>
      </c>
      <c r="AD377" s="242">
        <f t="shared" si="345"/>
        <v>7</v>
      </c>
      <c r="AE377" s="261" t="e">
        <f t="shared" si="314"/>
        <v>#N/A</v>
      </c>
      <c r="AF377" s="264" t="e">
        <f t="shared" si="346"/>
        <v>#N/A</v>
      </c>
      <c r="AG377" s="264" t="e">
        <f t="shared" si="347"/>
        <v>#N/A</v>
      </c>
      <c r="AH377" s="263" t="e">
        <f t="shared" si="315"/>
        <v>#N/A</v>
      </c>
      <c r="AI377" s="226">
        <f t="shared" si="348"/>
        <v>7</v>
      </c>
      <c r="AJ377" s="264" t="e">
        <f t="shared" si="316"/>
        <v>#N/A</v>
      </c>
      <c r="AK377" s="264" t="e">
        <f t="shared" si="349"/>
        <v>#N/A</v>
      </c>
      <c r="AL377" s="226" t="e">
        <f t="shared" si="317"/>
        <v>#N/A</v>
      </c>
      <c r="AM377" s="265" t="e">
        <f t="shared" si="350"/>
        <v>#N/A</v>
      </c>
      <c r="AN377" s="266" t="e">
        <f t="shared" si="318"/>
        <v>#N/A</v>
      </c>
      <c r="AO377" s="227" t="e">
        <f t="shared" si="319"/>
        <v>#N/A</v>
      </c>
      <c r="AP377" s="284">
        <f t="shared" si="351"/>
        <v>7</v>
      </c>
      <c r="AQ377" s="285" t="e">
        <f t="shared" si="320"/>
        <v>#N/A</v>
      </c>
      <c r="AR377" s="266" t="e">
        <f t="shared" si="352"/>
        <v>#N/A</v>
      </c>
      <c r="AS377" s="270" t="e">
        <f t="shared" si="321"/>
        <v>#N/A</v>
      </c>
      <c r="AT377" s="271">
        <f t="shared" si="353"/>
        <v>7</v>
      </c>
      <c r="AU377" s="272" t="e">
        <f t="shared" si="354"/>
        <v>#N/A</v>
      </c>
      <c r="AV377" s="273" t="e">
        <f t="shared" si="355"/>
        <v>#N/A</v>
      </c>
      <c r="AW377" s="274" t="e">
        <f t="shared" si="322"/>
        <v>#N/A</v>
      </c>
      <c r="AX377" s="232">
        <f t="shared" si="356"/>
        <v>7</v>
      </c>
      <c r="AY377" s="273" t="e">
        <f t="shared" si="323"/>
        <v>#N/A</v>
      </c>
      <c r="AZ377" s="232" t="e">
        <f t="shared" si="357"/>
        <v>#N/A</v>
      </c>
      <c r="BA377" s="232" t="e">
        <f t="shared" si="324"/>
        <v>#N/A</v>
      </c>
      <c r="BB377" s="275">
        <f t="shared" si="358"/>
        <v>7</v>
      </c>
      <c r="BC377" s="276" t="e">
        <f t="shared" si="359"/>
        <v>#N/A</v>
      </c>
      <c r="BD377" s="277" t="e">
        <f t="shared" si="360"/>
        <v>#N/A</v>
      </c>
      <c r="BE377" s="250" t="e">
        <f t="shared" si="325"/>
        <v>#N/A</v>
      </c>
      <c r="BF377" s="247">
        <f t="shared" si="361"/>
        <v>7</v>
      </c>
      <c r="BG377" s="276" t="e">
        <f t="shared" si="362"/>
        <v>#N/A</v>
      </c>
      <c r="BH377" s="277" t="e">
        <f t="shared" si="363"/>
        <v>#N/A</v>
      </c>
      <c r="BI377" s="250" t="e">
        <f t="shared" si="326"/>
        <v>#N/A</v>
      </c>
      <c r="BJ377" s="251">
        <f t="shared" si="364"/>
        <v>7</v>
      </c>
      <c r="BK377" s="278" t="e">
        <f t="shared" si="365"/>
        <v>#N/A</v>
      </c>
      <c r="BL377" s="278" t="e">
        <f t="shared" si="366"/>
        <v>#N/A</v>
      </c>
      <c r="BM377" s="279" t="e">
        <f t="shared" si="327"/>
        <v>#N/A</v>
      </c>
      <c r="BN377" s="280">
        <f t="shared" si="367"/>
        <v>7</v>
      </c>
      <c r="BO377" s="281" t="e">
        <f t="shared" si="368"/>
        <v>#N/A</v>
      </c>
      <c r="BP377" s="281" t="e">
        <f t="shared" si="369"/>
        <v>#N/A</v>
      </c>
      <c r="BQ377" s="279" t="e">
        <f t="shared" si="328"/>
        <v>#N/A</v>
      </c>
      <c r="BR377" s="282" t="e">
        <f t="shared" si="329"/>
        <v>#N/A</v>
      </c>
      <c r="BS377" s="217" t="e">
        <f>VLOOKUP($B377,SDR24_STOCK_BY_LA!$A$2:$C$11878,3,0)</f>
        <v>#N/A</v>
      </c>
      <c r="BT377" s="217" t="str">
        <f t="shared" si="370"/>
        <v/>
      </c>
    </row>
    <row r="378" spans="1:72" x14ac:dyDescent="0.2">
      <c r="A378" s="217" t="str">
        <f t="shared" si="371"/>
        <v/>
      </c>
      <c r="B378" s="217" t="str">
        <f t="shared" si="372"/>
        <v/>
      </c>
      <c r="C378" s="283" t="str">
        <f t="shared" si="330"/>
        <v/>
      </c>
      <c r="D378" s="256" t="str">
        <f>IF(B378="","",IF(totals!$Q$3=0,IFERROR(IF(AD378=2,"0",AE378),""),"-"))</f>
        <v/>
      </c>
      <c r="E378" s="258" t="str">
        <f t="shared" si="331"/>
        <v/>
      </c>
      <c r="F378" s="259" t="str">
        <f t="shared" si="332"/>
        <v/>
      </c>
      <c r="G378" s="259" t="str">
        <f t="shared" si="333"/>
        <v/>
      </c>
      <c r="H378" s="256" t="str">
        <f t="shared" si="311"/>
        <v/>
      </c>
      <c r="I378" s="259" t="str">
        <f t="shared" si="334"/>
        <v/>
      </c>
      <c r="J378" s="259" t="str">
        <f t="shared" si="335"/>
        <v/>
      </c>
      <c r="K378" s="256" t="str">
        <f t="shared" si="312"/>
        <v/>
      </c>
      <c r="L378" s="259" t="str">
        <f t="shared" si="313"/>
        <v/>
      </c>
      <c r="M378" s="259" t="str">
        <f t="shared" si="336"/>
        <v/>
      </c>
      <c r="N378" s="256" t="str">
        <f t="shared" si="337"/>
        <v/>
      </c>
      <c r="O378" s="259" t="str">
        <f t="shared" si="338"/>
        <v/>
      </c>
      <c r="P378" s="259" t="str">
        <f t="shared" si="339"/>
        <v/>
      </c>
      <c r="Q378" s="256" t="str">
        <f t="shared" si="340"/>
        <v/>
      </c>
      <c r="R378" s="259" t="str">
        <f t="shared" si="341"/>
        <v/>
      </c>
      <c r="S378" s="259" t="str">
        <f t="shared" si="342"/>
        <v/>
      </c>
      <c r="T378" s="256" t="str">
        <f t="shared" si="343"/>
        <v/>
      </c>
      <c r="U378" s="217"/>
      <c r="V378" s="217"/>
      <c r="AB378" s="217" t="e">
        <f>VLOOKUP($B$6,Lookup_Source,371,0)</f>
        <v>#N/A</v>
      </c>
      <c r="AC378" s="241" t="str">
        <f t="shared" si="344"/>
        <v/>
      </c>
      <c r="AD378" s="242">
        <f t="shared" si="345"/>
        <v>7</v>
      </c>
      <c r="AE378" s="261" t="e">
        <f t="shared" si="314"/>
        <v>#N/A</v>
      </c>
      <c r="AF378" s="264" t="e">
        <f t="shared" si="346"/>
        <v>#N/A</v>
      </c>
      <c r="AG378" s="264" t="e">
        <f t="shared" si="347"/>
        <v>#N/A</v>
      </c>
      <c r="AH378" s="263" t="e">
        <f t="shared" si="315"/>
        <v>#N/A</v>
      </c>
      <c r="AI378" s="226">
        <f t="shared" si="348"/>
        <v>7</v>
      </c>
      <c r="AJ378" s="264" t="e">
        <f t="shared" si="316"/>
        <v>#N/A</v>
      </c>
      <c r="AK378" s="264" t="e">
        <f t="shared" si="349"/>
        <v>#N/A</v>
      </c>
      <c r="AL378" s="226" t="e">
        <f t="shared" si="317"/>
        <v>#N/A</v>
      </c>
      <c r="AM378" s="265" t="e">
        <f t="shared" si="350"/>
        <v>#N/A</v>
      </c>
      <c r="AN378" s="266" t="e">
        <f t="shared" si="318"/>
        <v>#N/A</v>
      </c>
      <c r="AO378" s="227" t="e">
        <f t="shared" si="319"/>
        <v>#N/A</v>
      </c>
      <c r="AP378" s="284">
        <f t="shared" si="351"/>
        <v>7</v>
      </c>
      <c r="AQ378" s="285" t="e">
        <f t="shared" si="320"/>
        <v>#N/A</v>
      </c>
      <c r="AR378" s="266" t="e">
        <f t="shared" si="352"/>
        <v>#N/A</v>
      </c>
      <c r="AS378" s="270" t="e">
        <f t="shared" si="321"/>
        <v>#N/A</v>
      </c>
      <c r="AT378" s="271">
        <f t="shared" si="353"/>
        <v>7</v>
      </c>
      <c r="AU378" s="272" t="e">
        <f t="shared" si="354"/>
        <v>#N/A</v>
      </c>
      <c r="AV378" s="273" t="e">
        <f t="shared" si="355"/>
        <v>#N/A</v>
      </c>
      <c r="AW378" s="274" t="e">
        <f t="shared" si="322"/>
        <v>#N/A</v>
      </c>
      <c r="AX378" s="232">
        <f t="shared" si="356"/>
        <v>7</v>
      </c>
      <c r="AY378" s="273" t="e">
        <f t="shared" si="323"/>
        <v>#N/A</v>
      </c>
      <c r="AZ378" s="232" t="e">
        <f t="shared" si="357"/>
        <v>#N/A</v>
      </c>
      <c r="BA378" s="232" t="e">
        <f t="shared" si="324"/>
        <v>#N/A</v>
      </c>
      <c r="BB378" s="275">
        <f t="shared" si="358"/>
        <v>7</v>
      </c>
      <c r="BC378" s="276" t="e">
        <f t="shared" si="359"/>
        <v>#N/A</v>
      </c>
      <c r="BD378" s="277" t="e">
        <f t="shared" si="360"/>
        <v>#N/A</v>
      </c>
      <c r="BE378" s="250" t="e">
        <f t="shared" si="325"/>
        <v>#N/A</v>
      </c>
      <c r="BF378" s="247">
        <f t="shared" si="361"/>
        <v>7</v>
      </c>
      <c r="BG378" s="276" t="e">
        <f t="shared" si="362"/>
        <v>#N/A</v>
      </c>
      <c r="BH378" s="277" t="e">
        <f t="shared" si="363"/>
        <v>#N/A</v>
      </c>
      <c r="BI378" s="250" t="e">
        <f t="shared" si="326"/>
        <v>#N/A</v>
      </c>
      <c r="BJ378" s="251">
        <f t="shared" si="364"/>
        <v>7</v>
      </c>
      <c r="BK378" s="278" t="e">
        <f t="shared" si="365"/>
        <v>#N/A</v>
      </c>
      <c r="BL378" s="278" t="e">
        <f t="shared" si="366"/>
        <v>#N/A</v>
      </c>
      <c r="BM378" s="279" t="e">
        <f t="shared" si="327"/>
        <v>#N/A</v>
      </c>
      <c r="BN378" s="280">
        <f t="shared" si="367"/>
        <v>7</v>
      </c>
      <c r="BO378" s="281" t="e">
        <f t="shared" si="368"/>
        <v>#N/A</v>
      </c>
      <c r="BP378" s="281" t="e">
        <f t="shared" si="369"/>
        <v>#N/A</v>
      </c>
      <c r="BQ378" s="279" t="e">
        <f t="shared" si="328"/>
        <v>#N/A</v>
      </c>
      <c r="BR378" s="282" t="e">
        <f t="shared" si="329"/>
        <v>#N/A</v>
      </c>
      <c r="BS378" s="217" t="e">
        <f>VLOOKUP($B378,SDR24_STOCK_BY_LA!$A$2:$C$11878,3,0)</f>
        <v>#N/A</v>
      </c>
      <c r="BT378" s="217" t="str">
        <f t="shared" si="370"/>
        <v/>
      </c>
    </row>
    <row r="379" spans="1:72" x14ac:dyDescent="0.2">
      <c r="A379" s="256" t="str">
        <f t="shared" si="371"/>
        <v/>
      </c>
      <c r="B379" s="217" t="str">
        <f t="shared" si="372"/>
        <v/>
      </c>
      <c r="C379" s="257" t="str">
        <f t="shared" si="330"/>
        <v/>
      </c>
      <c r="D379" s="256" t="str">
        <f>IF(B379="","",IF(totals!$Q$3=0,IFERROR(IF(AD379=2,"0",AE379),""),"-"))</f>
        <v/>
      </c>
      <c r="E379" s="258" t="str">
        <f t="shared" si="331"/>
        <v/>
      </c>
      <c r="F379" s="259" t="str">
        <f t="shared" si="332"/>
        <v/>
      </c>
      <c r="G379" s="259" t="str">
        <f t="shared" si="333"/>
        <v/>
      </c>
      <c r="H379" s="256" t="str">
        <f t="shared" si="311"/>
        <v/>
      </c>
      <c r="I379" s="259" t="str">
        <f t="shared" si="334"/>
        <v/>
      </c>
      <c r="J379" s="259" t="str">
        <f t="shared" si="335"/>
        <v/>
      </c>
      <c r="K379" s="256" t="str">
        <f t="shared" si="312"/>
        <v/>
      </c>
      <c r="L379" s="259" t="str">
        <f t="shared" si="313"/>
        <v/>
      </c>
      <c r="M379" s="259" t="str">
        <f t="shared" si="336"/>
        <v/>
      </c>
      <c r="N379" s="256" t="str">
        <f t="shared" si="337"/>
        <v/>
      </c>
      <c r="O379" s="259" t="str">
        <f t="shared" si="338"/>
        <v/>
      </c>
      <c r="P379" s="259" t="str">
        <f t="shared" si="339"/>
        <v/>
      </c>
      <c r="Q379" s="256" t="str">
        <f t="shared" si="340"/>
        <v/>
      </c>
      <c r="R379" s="259" t="str">
        <f t="shared" si="341"/>
        <v/>
      </c>
      <c r="S379" s="259" t="str">
        <f t="shared" si="342"/>
        <v/>
      </c>
      <c r="T379" s="256" t="str">
        <f t="shared" si="343"/>
        <v/>
      </c>
      <c r="U379" s="217"/>
      <c r="V379" s="217"/>
      <c r="AB379" s="257" t="e">
        <f>VLOOKUP($B$6,Lookup_Source,372,0)</f>
        <v>#N/A</v>
      </c>
      <c r="AC379" s="241" t="str">
        <f t="shared" si="344"/>
        <v/>
      </c>
      <c r="AD379" s="242">
        <f t="shared" si="345"/>
        <v>7</v>
      </c>
      <c r="AE379" s="261" t="e">
        <f t="shared" si="314"/>
        <v>#N/A</v>
      </c>
      <c r="AF379" s="264" t="e">
        <f t="shared" si="346"/>
        <v>#N/A</v>
      </c>
      <c r="AG379" s="264" t="e">
        <f t="shared" si="347"/>
        <v>#N/A</v>
      </c>
      <c r="AH379" s="263" t="e">
        <f t="shared" si="315"/>
        <v>#N/A</v>
      </c>
      <c r="AI379" s="226">
        <f t="shared" si="348"/>
        <v>7</v>
      </c>
      <c r="AJ379" s="264" t="e">
        <f t="shared" si="316"/>
        <v>#N/A</v>
      </c>
      <c r="AK379" s="264" t="e">
        <f t="shared" si="349"/>
        <v>#N/A</v>
      </c>
      <c r="AL379" s="226" t="e">
        <f t="shared" si="317"/>
        <v>#N/A</v>
      </c>
      <c r="AM379" s="265" t="e">
        <f t="shared" si="350"/>
        <v>#N/A</v>
      </c>
      <c r="AN379" s="266" t="e">
        <f t="shared" si="318"/>
        <v>#N/A</v>
      </c>
      <c r="AO379" s="227" t="e">
        <f t="shared" si="319"/>
        <v>#N/A</v>
      </c>
      <c r="AP379" s="284">
        <f t="shared" si="351"/>
        <v>7</v>
      </c>
      <c r="AQ379" s="285" t="e">
        <f t="shared" si="320"/>
        <v>#N/A</v>
      </c>
      <c r="AR379" s="266" t="e">
        <f t="shared" si="352"/>
        <v>#N/A</v>
      </c>
      <c r="AS379" s="270" t="e">
        <f t="shared" si="321"/>
        <v>#N/A</v>
      </c>
      <c r="AT379" s="271">
        <f t="shared" si="353"/>
        <v>7</v>
      </c>
      <c r="AU379" s="272" t="e">
        <f t="shared" si="354"/>
        <v>#N/A</v>
      </c>
      <c r="AV379" s="273" t="e">
        <f t="shared" si="355"/>
        <v>#N/A</v>
      </c>
      <c r="AW379" s="274" t="e">
        <f t="shared" si="322"/>
        <v>#N/A</v>
      </c>
      <c r="AX379" s="232">
        <f t="shared" si="356"/>
        <v>7</v>
      </c>
      <c r="AY379" s="273" t="e">
        <f t="shared" si="323"/>
        <v>#N/A</v>
      </c>
      <c r="AZ379" s="232" t="e">
        <f t="shared" si="357"/>
        <v>#N/A</v>
      </c>
      <c r="BA379" s="232" t="e">
        <f t="shared" si="324"/>
        <v>#N/A</v>
      </c>
      <c r="BB379" s="275">
        <f t="shared" si="358"/>
        <v>7</v>
      </c>
      <c r="BC379" s="276" t="e">
        <f t="shared" si="359"/>
        <v>#N/A</v>
      </c>
      <c r="BD379" s="277" t="e">
        <f t="shared" si="360"/>
        <v>#N/A</v>
      </c>
      <c r="BE379" s="250" t="e">
        <f t="shared" si="325"/>
        <v>#N/A</v>
      </c>
      <c r="BF379" s="247">
        <f t="shared" si="361"/>
        <v>7</v>
      </c>
      <c r="BG379" s="276" t="e">
        <f t="shared" si="362"/>
        <v>#N/A</v>
      </c>
      <c r="BH379" s="277" t="e">
        <f t="shared" si="363"/>
        <v>#N/A</v>
      </c>
      <c r="BI379" s="250" t="e">
        <f t="shared" si="326"/>
        <v>#N/A</v>
      </c>
      <c r="BJ379" s="251">
        <f t="shared" si="364"/>
        <v>7</v>
      </c>
      <c r="BK379" s="278" t="e">
        <f t="shared" si="365"/>
        <v>#N/A</v>
      </c>
      <c r="BL379" s="278" t="e">
        <f t="shared" si="366"/>
        <v>#N/A</v>
      </c>
      <c r="BM379" s="279" t="e">
        <f t="shared" si="327"/>
        <v>#N/A</v>
      </c>
      <c r="BN379" s="280">
        <f t="shared" si="367"/>
        <v>7</v>
      </c>
      <c r="BO379" s="281" t="e">
        <f t="shared" si="368"/>
        <v>#N/A</v>
      </c>
      <c r="BP379" s="281" t="e">
        <f t="shared" si="369"/>
        <v>#N/A</v>
      </c>
      <c r="BQ379" s="279" t="e">
        <f t="shared" si="328"/>
        <v>#N/A</v>
      </c>
      <c r="BR379" s="282" t="e">
        <f t="shared" si="329"/>
        <v>#N/A</v>
      </c>
      <c r="BS379" s="217" t="e">
        <f>VLOOKUP($B379,SDR24_STOCK_BY_LA!$A$2:$C$11878,3,0)</f>
        <v>#N/A</v>
      </c>
      <c r="BT379" s="217" t="str">
        <f t="shared" si="370"/>
        <v/>
      </c>
    </row>
    <row r="380" spans="1:72" x14ac:dyDescent="0.2">
      <c r="A380" s="217" t="str">
        <f t="shared" si="371"/>
        <v/>
      </c>
      <c r="B380" s="217" t="str">
        <f t="shared" si="372"/>
        <v/>
      </c>
      <c r="C380" s="283" t="str">
        <f t="shared" si="330"/>
        <v/>
      </c>
      <c r="D380" s="256" t="str">
        <f>IF(B380="","",IF(totals!$Q$3=0,IFERROR(IF(AD380=2,"0",AE380),""),"-"))</f>
        <v/>
      </c>
      <c r="E380" s="258" t="str">
        <f t="shared" si="331"/>
        <v/>
      </c>
      <c r="F380" s="259" t="str">
        <f t="shared" si="332"/>
        <v/>
      </c>
      <c r="G380" s="259" t="str">
        <f t="shared" si="333"/>
        <v/>
      </c>
      <c r="H380" s="256" t="str">
        <f t="shared" si="311"/>
        <v/>
      </c>
      <c r="I380" s="259" t="str">
        <f t="shared" si="334"/>
        <v/>
      </c>
      <c r="J380" s="259" t="str">
        <f t="shared" si="335"/>
        <v/>
      </c>
      <c r="K380" s="256" t="str">
        <f t="shared" si="312"/>
        <v/>
      </c>
      <c r="L380" s="259" t="str">
        <f t="shared" si="313"/>
        <v/>
      </c>
      <c r="M380" s="259" t="str">
        <f t="shared" si="336"/>
        <v/>
      </c>
      <c r="N380" s="256" t="str">
        <f t="shared" si="337"/>
        <v/>
      </c>
      <c r="O380" s="259" t="str">
        <f t="shared" si="338"/>
        <v/>
      </c>
      <c r="P380" s="259" t="str">
        <f t="shared" si="339"/>
        <v/>
      </c>
      <c r="Q380" s="256" t="str">
        <f t="shared" si="340"/>
        <v/>
      </c>
      <c r="R380" s="259" t="str">
        <f t="shared" si="341"/>
        <v/>
      </c>
      <c r="S380" s="259" t="str">
        <f t="shared" si="342"/>
        <v/>
      </c>
      <c r="T380" s="256" t="str">
        <f t="shared" si="343"/>
        <v/>
      </c>
      <c r="U380" s="217"/>
      <c r="V380" s="217"/>
      <c r="AB380" s="217" t="e">
        <f>VLOOKUP($B$6,Lookup_Source,373,0)</f>
        <v>#N/A</v>
      </c>
      <c r="AC380" s="241" t="str">
        <f t="shared" si="344"/>
        <v/>
      </c>
      <c r="AD380" s="242">
        <f t="shared" si="345"/>
        <v>7</v>
      </c>
      <c r="AE380" s="261" t="e">
        <f t="shared" si="314"/>
        <v>#N/A</v>
      </c>
      <c r="AF380" s="264" t="e">
        <f t="shared" si="346"/>
        <v>#N/A</v>
      </c>
      <c r="AG380" s="264" t="e">
        <f t="shared" si="347"/>
        <v>#N/A</v>
      </c>
      <c r="AH380" s="263" t="e">
        <f t="shared" si="315"/>
        <v>#N/A</v>
      </c>
      <c r="AI380" s="226">
        <f t="shared" si="348"/>
        <v>7</v>
      </c>
      <c r="AJ380" s="264" t="e">
        <f t="shared" si="316"/>
        <v>#N/A</v>
      </c>
      <c r="AK380" s="264" t="e">
        <f t="shared" si="349"/>
        <v>#N/A</v>
      </c>
      <c r="AL380" s="226" t="e">
        <f t="shared" si="317"/>
        <v>#N/A</v>
      </c>
      <c r="AM380" s="265" t="e">
        <f t="shared" si="350"/>
        <v>#N/A</v>
      </c>
      <c r="AN380" s="266" t="e">
        <f t="shared" si="318"/>
        <v>#N/A</v>
      </c>
      <c r="AO380" s="227" t="e">
        <f t="shared" si="319"/>
        <v>#N/A</v>
      </c>
      <c r="AP380" s="284">
        <f t="shared" si="351"/>
        <v>7</v>
      </c>
      <c r="AQ380" s="285" t="e">
        <f t="shared" si="320"/>
        <v>#N/A</v>
      </c>
      <c r="AR380" s="266" t="e">
        <f t="shared" si="352"/>
        <v>#N/A</v>
      </c>
      <c r="AS380" s="270" t="e">
        <f t="shared" si="321"/>
        <v>#N/A</v>
      </c>
      <c r="AT380" s="271">
        <f t="shared" si="353"/>
        <v>7</v>
      </c>
      <c r="AU380" s="272" t="e">
        <f t="shared" si="354"/>
        <v>#N/A</v>
      </c>
      <c r="AV380" s="273" t="e">
        <f t="shared" si="355"/>
        <v>#N/A</v>
      </c>
      <c r="AW380" s="274" t="e">
        <f t="shared" si="322"/>
        <v>#N/A</v>
      </c>
      <c r="AX380" s="232">
        <f t="shared" si="356"/>
        <v>7</v>
      </c>
      <c r="AY380" s="273" t="e">
        <f t="shared" si="323"/>
        <v>#N/A</v>
      </c>
      <c r="AZ380" s="232" t="e">
        <f t="shared" si="357"/>
        <v>#N/A</v>
      </c>
      <c r="BA380" s="232" t="e">
        <f t="shared" si="324"/>
        <v>#N/A</v>
      </c>
      <c r="BB380" s="275">
        <f t="shared" si="358"/>
        <v>7</v>
      </c>
      <c r="BC380" s="276" t="e">
        <f t="shared" si="359"/>
        <v>#N/A</v>
      </c>
      <c r="BD380" s="277" t="e">
        <f t="shared" si="360"/>
        <v>#N/A</v>
      </c>
      <c r="BE380" s="250" t="e">
        <f t="shared" si="325"/>
        <v>#N/A</v>
      </c>
      <c r="BF380" s="247">
        <f t="shared" si="361"/>
        <v>7</v>
      </c>
      <c r="BG380" s="276" t="e">
        <f t="shared" si="362"/>
        <v>#N/A</v>
      </c>
      <c r="BH380" s="277" t="e">
        <f t="shared" si="363"/>
        <v>#N/A</v>
      </c>
      <c r="BI380" s="250" t="e">
        <f t="shared" si="326"/>
        <v>#N/A</v>
      </c>
      <c r="BJ380" s="251">
        <f t="shared" si="364"/>
        <v>7</v>
      </c>
      <c r="BK380" s="278" t="e">
        <f t="shared" si="365"/>
        <v>#N/A</v>
      </c>
      <c r="BL380" s="278" t="e">
        <f t="shared" si="366"/>
        <v>#N/A</v>
      </c>
      <c r="BM380" s="279" t="e">
        <f t="shared" si="327"/>
        <v>#N/A</v>
      </c>
      <c r="BN380" s="280">
        <f t="shared" si="367"/>
        <v>7</v>
      </c>
      <c r="BO380" s="281" t="e">
        <f t="shared" si="368"/>
        <v>#N/A</v>
      </c>
      <c r="BP380" s="281" t="e">
        <f t="shared" si="369"/>
        <v>#N/A</v>
      </c>
      <c r="BQ380" s="279" t="e">
        <f t="shared" si="328"/>
        <v>#N/A</v>
      </c>
      <c r="BR380" s="282" t="e">
        <f t="shared" si="329"/>
        <v>#N/A</v>
      </c>
      <c r="BS380" s="217" t="e">
        <f>VLOOKUP($B380,SDR24_STOCK_BY_LA!$A$2:$C$11878,3,0)</f>
        <v>#N/A</v>
      </c>
      <c r="BT380" s="217" t="str">
        <f t="shared" si="370"/>
        <v/>
      </c>
    </row>
    <row r="381" spans="1:72" x14ac:dyDescent="0.2">
      <c r="A381" s="256" t="str">
        <f t="shared" si="371"/>
        <v/>
      </c>
      <c r="B381" s="217" t="str">
        <f t="shared" si="372"/>
        <v/>
      </c>
      <c r="C381" s="257" t="str">
        <f t="shared" si="330"/>
        <v/>
      </c>
      <c r="D381" s="256" t="str">
        <f>IF(B381="","",IF(totals!$Q$3=0,IFERROR(IF(AD381=2,"0",AE381),""),"-"))</f>
        <v/>
      </c>
      <c r="E381" s="258" t="str">
        <f t="shared" si="331"/>
        <v/>
      </c>
      <c r="F381" s="259" t="str">
        <f t="shared" si="332"/>
        <v/>
      </c>
      <c r="G381" s="259" t="str">
        <f t="shared" si="333"/>
        <v/>
      </c>
      <c r="H381" s="256" t="str">
        <f t="shared" si="311"/>
        <v/>
      </c>
      <c r="I381" s="259" t="str">
        <f t="shared" si="334"/>
        <v/>
      </c>
      <c r="J381" s="259" t="str">
        <f t="shared" si="335"/>
        <v/>
      </c>
      <c r="K381" s="256" t="str">
        <f t="shared" si="312"/>
        <v/>
      </c>
      <c r="L381" s="259" t="str">
        <f t="shared" si="313"/>
        <v/>
      </c>
      <c r="M381" s="259" t="str">
        <f t="shared" si="336"/>
        <v/>
      </c>
      <c r="N381" s="256" t="str">
        <f t="shared" si="337"/>
        <v/>
      </c>
      <c r="O381" s="259" t="str">
        <f t="shared" si="338"/>
        <v/>
      </c>
      <c r="P381" s="259" t="str">
        <f t="shared" si="339"/>
        <v/>
      </c>
      <c r="Q381" s="256" t="str">
        <f t="shared" si="340"/>
        <v/>
      </c>
      <c r="R381" s="259" t="str">
        <f t="shared" si="341"/>
        <v/>
      </c>
      <c r="S381" s="259" t="str">
        <f t="shared" si="342"/>
        <v/>
      </c>
      <c r="T381" s="256" t="str">
        <f t="shared" si="343"/>
        <v/>
      </c>
      <c r="U381" s="217"/>
      <c r="V381" s="217"/>
      <c r="AB381" s="257" t="e">
        <f>VLOOKUP($B$6,Lookup_Source,374,0)</f>
        <v>#N/A</v>
      </c>
      <c r="AC381" s="241" t="str">
        <f t="shared" si="344"/>
        <v/>
      </c>
      <c r="AD381" s="242">
        <f t="shared" si="345"/>
        <v>7</v>
      </c>
      <c r="AE381" s="261" t="e">
        <f t="shared" si="314"/>
        <v>#N/A</v>
      </c>
      <c r="AF381" s="264" t="e">
        <f t="shared" si="346"/>
        <v>#N/A</v>
      </c>
      <c r="AG381" s="264" t="e">
        <f t="shared" si="347"/>
        <v>#N/A</v>
      </c>
      <c r="AH381" s="263" t="e">
        <f t="shared" si="315"/>
        <v>#N/A</v>
      </c>
      <c r="AI381" s="226">
        <f t="shared" si="348"/>
        <v>7</v>
      </c>
      <c r="AJ381" s="264" t="e">
        <f t="shared" si="316"/>
        <v>#N/A</v>
      </c>
      <c r="AK381" s="264" t="e">
        <f t="shared" si="349"/>
        <v>#N/A</v>
      </c>
      <c r="AL381" s="226" t="e">
        <f t="shared" si="317"/>
        <v>#N/A</v>
      </c>
      <c r="AM381" s="265" t="e">
        <f t="shared" si="350"/>
        <v>#N/A</v>
      </c>
      <c r="AN381" s="266" t="e">
        <f t="shared" si="318"/>
        <v>#N/A</v>
      </c>
      <c r="AO381" s="227" t="e">
        <f t="shared" si="319"/>
        <v>#N/A</v>
      </c>
      <c r="AP381" s="284">
        <f t="shared" si="351"/>
        <v>7</v>
      </c>
      <c r="AQ381" s="285" t="e">
        <f t="shared" si="320"/>
        <v>#N/A</v>
      </c>
      <c r="AR381" s="266" t="e">
        <f t="shared" si="352"/>
        <v>#N/A</v>
      </c>
      <c r="AS381" s="270" t="e">
        <f t="shared" si="321"/>
        <v>#N/A</v>
      </c>
      <c r="AT381" s="271">
        <f t="shared" si="353"/>
        <v>7</v>
      </c>
      <c r="AU381" s="272" t="e">
        <f t="shared" si="354"/>
        <v>#N/A</v>
      </c>
      <c r="AV381" s="273" t="e">
        <f t="shared" si="355"/>
        <v>#N/A</v>
      </c>
      <c r="AW381" s="274" t="e">
        <f t="shared" si="322"/>
        <v>#N/A</v>
      </c>
      <c r="AX381" s="232">
        <f t="shared" si="356"/>
        <v>7</v>
      </c>
      <c r="AY381" s="273" t="e">
        <f t="shared" si="323"/>
        <v>#N/A</v>
      </c>
      <c r="AZ381" s="232" t="e">
        <f t="shared" si="357"/>
        <v>#N/A</v>
      </c>
      <c r="BA381" s="232" t="e">
        <f t="shared" si="324"/>
        <v>#N/A</v>
      </c>
      <c r="BB381" s="275">
        <f t="shared" si="358"/>
        <v>7</v>
      </c>
      <c r="BC381" s="276" t="e">
        <f t="shared" si="359"/>
        <v>#N/A</v>
      </c>
      <c r="BD381" s="277" t="e">
        <f t="shared" si="360"/>
        <v>#N/A</v>
      </c>
      <c r="BE381" s="250" t="e">
        <f t="shared" si="325"/>
        <v>#N/A</v>
      </c>
      <c r="BF381" s="247">
        <f t="shared" si="361"/>
        <v>7</v>
      </c>
      <c r="BG381" s="276" t="e">
        <f t="shared" si="362"/>
        <v>#N/A</v>
      </c>
      <c r="BH381" s="277" t="e">
        <f t="shared" si="363"/>
        <v>#N/A</v>
      </c>
      <c r="BI381" s="250" t="e">
        <f t="shared" si="326"/>
        <v>#N/A</v>
      </c>
      <c r="BJ381" s="251">
        <f t="shared" si="364"/>
        <v>7</v>
      </c>
      <c r="BK381" s="278" t="e">
        <f t="shared" si="365"/>
        <v>#N/A</v>
      </c>
      <c r="BL381" s="278" t="e">
        <f t="shared" si="366"/>
        <v>#N/A</v>
      </c>
      <c r="BM381" s="279" t="e">
        <f t="shared" si="327"/>
        <v>#N/A</v>
      </c>
      <c r="BN381" s="280">
        <f t="shared" si="367"/>
        <v>7</v>
      </c>
      <c r="BO381" s="281" t="e">
        <f t="shared" si="368"/>
        <v>#N/A</v>
      </c>
      <c r="BP381" s="281" t="e">
        <f t="shared" si="369"/>
        <v>#N/A</v>
      </c>
      <c r="BQ381" s="279" t="e">
        <f t="shared" si="328"/>
        <v>#N/A</v>
      </c>
      <c r="BR381" s="282" t="e">
        <f t="shared" si="329"/>
        <v>#N/A</v>
      </c>
      <c r="BS381" s="217" t="e">
        <f>VLOOKUP($B381,SDR24_STOCK_BY_LA!$A$2:$C$11878,3,0)</f>
        <v>#N/A</v>
      </c>
      <c r="BT381" s="217" t="str">
        <f t="shared" si="370"/>
        <v/>
      </c>
    </row>
    <row r="382" spans="1:72" x14ac:dyDescent="0.2">
      <c r="A382" s="217" t="str">
        <f t="shared" si="371"/>
        <v/>
      </c>
      <c r="B382" s="217" t="str">
        <f t="shared" si="372"/>
        <v/>
      </c>
      <c r="C382" s="283" t="str">
        <f t="shared" si="330"/>
        <v/>
      </c>
      <c r="D382" s="256" t="str">
        <f>IF(B382="","",IF(totals!$Q$3=0,IFERROR(IF(AD382=2,"0",AE382),""),"-"))</f>
        <v/>
      </c>
      <c r="E382" s="258" t="str">
        <f t="shared" si="331"/>
        <v/>
      </c>
      <c r="F382" s="259" t="str">
        <f t="shared" si="332"/>
        <v/>
      </c>
      <c r="G382" s="259" t="str">
        <f t="shared" si="333"/>
        <v/>
      </c>
      <c r="H382" s="256" t="str">
        <f t="shared" si="311"/>
        <v/>
      </c>
      <c r="I382" s="259" t="str">
        <f t="shared" si="334"/>
        <v/>
      </c>
      <c r="J382" s="259" t="str">
        <f t="shared" si="335"/>
        <v/>
      </c>
      <c r="K382" s="256" t="str">
        <f t="shared" si="312"/>
        <v/>
      </c>
      <c r="L382" s="259" t="str">
        <f t="shared" si="313"/>
        <v/>
      </c>
      <c r="M382" s="259" t="str">
        <f t="shared" si="336"/>
        <v/>
      </c>
      <c r="N382" s="256" t="str">
        <f t="shared" si="337"/>
        <v/>
      </c>
      <c r="O382" s="259" t="str">
        <f t="shared" si="338"/>
        <v/>
      </c>
      <c r="P382" s="259" t="str">
        <f t="shared" si="339"/>
        <v/>
      </c>
      <c r="Q382" s="256" t="str">
        <f t="shared" si="340"/>
        <v/>
      </c>
      <c r="R382" s="259" t="str">
        <f t="shared" si="341"/>
        <v/>
      </c>
      <c r="S382" s="259" t="str">
        <f t="shared" si="342"/>
        <v/>
      </c>
      <c r="T382" s="256" t="str">
        <f t="shared" si="343"/>
        <v/>
      </c>
      <c r="U382" s="217"/>
      <c r="V382" s="217"/>
      <c r="AB382" s="217" t="e">
        <f>VLOOKUP($B$6,Lookup_Source,375,0)</f>
        <v>#N/A</v>
      </c>
      <c r="AC382" s="241" t="str">
        <f t="shared" si="344"/>
        <v/>
      </c>
      <c r="AD382" s="242">
        <f t="shared" si="345"/>
        <v>7</v>
      </c>
      <c r="AE382" s="261" t="e">
        <f t="shared" si="314"/>
        <v>#N/A</v>
      </c>
      <c r="AF382" s="264" t="e">
        <f t="shared" si="346"/>
        <v>#N/A</v>
      </c>
      <c r="AG382" s="264" t="e">
        <f t="shared" si="347"/>
        <v>#N/A</v>
      </c>
      <c r="AH382" s="263" t="e">
        <f t="shared" si="315"/>
        <v>#N/A</v>
      </c>
      <c r="AI382" s="226">
        <f t="shared" si="348"/>
        <v>7</v>
      </c>
      <c r="AJ382" s="264" t="e">
        <f t="shared" si="316"/>
        <v>#N/A</v>
      </c>
      <c r="AK382" s="264" t="e">
        <f t="shared" si="349"/>
        <v>#N/A</v>
      </c>
      <c r="AL382" s="226" t="e">
        <f t="shared" si="317"/>
        <v>#N/A</v>
      </c>
      <c r="AM382" s="265" t="e">
        <f t="shared" si="350"/>
        <v>#N/A</v>
      </c>
      <c r="AN382" s="266" t="e">
        <f t="shared" si="318"/>
        <v>#N/A</v>
      </c>
      <c r="AO382" s="227" t="e">
        <f t="shared" si="319"/>
        <v>#N/A</v>
      </c>
      <c r="AP382" s="284">
        <f t="shared" si="351"/>
        <v>7</v>
      </c>
      <c r="AQ382" s="285" t="e">
        <f t="shared" si="320"/>
        <v>#N/A</v>
      </c>
      <c r="AR382" s="266" t="e">
        <f t="shared" si="352"/>
        <v>#N/A</v>
      </c>
      <c r="AS382" s="270" t="e">
        <f t="shared" si="321"/>
        <v>#N/A</v>
      </c>
      <c r="AT382" s="271">
        <f t="shared" si="353"/>
        <v>7</v>
      </c>
      <c r="AU382" s="272" t="e">
        <f t="shared" si="354"/>
        <v>#N/A</v>
      </c>
      <c r="AV382" s="273" t="e">
        <f t="shared" si="355"/>
        <v>#N/A</v>
      </c>
      <c r="AW382" s="274" t="e">
        <f t="shared" si="322"/>
        <v>#N/A</v>
      </c>
      <c r="AX382" s="232">
        <f t="shared" si="356"/>
        <v>7</v>
      </c>
      <c r="AY382" s="273" t="e">
        <f t="shared" si="323"/>
        <v>#N/A</v>
      </c>
      <c r="AZ382" s="232" t="e">
        <f t="shared" si="357"/>
        <v>#N/A</v>
      </c>
      <c r="BA382" s="232" t="e">
        <f t="shared" si="324"/>
        <v>#N/A</v>
      </c>
      <c r="BB382" s="275">
        <f t="shared" si="358"/>
        <v>7</v>
      </c>
      <c r="BC382" s="276" t="e">
        <f t="shared" si="359"/>
        <v>#N/A</v>
      </c>
      <c r="BD382" s="277" t="e">
        <f t="shared" si="360"/>
        <v>#N/A</v>
      </c>
      <c r="BE382" s="250" t="e">
        <f t="shared" si="325"/>
        <v>#N/A</v>
      </c>
      <c r="BF382" s="247">
        <f t="shared" si="361"/>
        <v>7</v>
      </c>
      <c r="BG382" s="276" t="e">
        <f t="shared" si="362"/>
        <v>#N/A</v>
      </c>
      <c r="BH382" s="277" t="e">
        <f t="shared" si="363"/>
        <v>#N/A</v>
      </c>
      <c r="BI382" s="250" t="e">
        <f t="shared" si="326"/>
        <v>#N/A</v>
      </c>
      <c r="BJ382" s="251">
        <f t="shared" si="364"/>
        <v>7</v>
      </c>
      <c r="BK382" s="278" t="e">
        <f t="shared" si="365"/>
        <v>#N/A</v>
      </c>
      <c r="BL382" s="278" t="e">
        <f t="shared" si="366"/>
        <v>#N/A</v>
      </c>
      <c r="BM382" s="279" t="e">
        <f t="shared" si="327"/>
        <v>#N/A</v>
      </c>
      <c r="BN382" s="280">
        <f t="shared" si="367"/>
        <v>7</v>
      </c>
      <c r="BO382" s="281" t="e">
        <f t="shared" si="368"/>
        <v>#N/A</v>
      </c>
      <c r="BP382" s="281" t="e">
        <f t="shared" si="369"/>
        <v>#N/A</v>
      </c>
      <c r="BQ382" s="279" t="e">
        <f t="shared" si="328"/>
        <v>#N/A</v>
      </c>
      <c r="BR382" s="282" t="e">
        <f t="shared" si="329"/>
        <v>#N/A</v>
      </c>
      <c r="BS382" s="217" t="e">
        <f>VLOOKUP($B382,SDR24_STOCK_BY_LA!$A$2:$C$11878,3,0)</f>
        <v>#N/A</v>
      </c>
      <c r="BT382" s="217" t="str">
        <f t="shared" si="370"/>
        <v/>
      </c>
    </row>
    <row r="383" spans="1:72" x14ac:dyDescent="0.2">
      <c r="A383" s="256" t="str">
        <f t="shared" si="371"/>
        <v/>
      </c>
      <c r="B383" s="217" t="str">
        <f t="shared" si="372"/>
        <v/>
      </c>
      <c r="C383" s="257" t="str">
        <f t="shared" si="330"/>
        <v/>
      </c>
      <c r="D383" s="256" t="str">
        <f>IF(B383="","",IF(totals!$Q$3=0,IFERROR(IF(AD383=2,"0",AE383),""),"-"))</f>
        <v/>
      </c>
      <c r="E383" s="258" t="str">
        <f t="shared" si="331"/>
        <v/>
      </c>
      <c r="F383" s="259" t="str">
        <f t="shared" si="332"/>
        <v/>
      </c>
      <c r="G383" s="259" t="str">
        <f t="shared" si="333"/>
        <v/>
      </c>
      <c r="H383" s="256" t="str">
        <f t="shared" si="311"/>
        <v/>
      </c>
      <c r="I383" s="259" t="str">
        <f t="shared" si="334"/>
        <v/>
      </c>
      <c r="J383" s="259" t="str">
        <f t="shared" si="335"/>
        <v/>
      </c>
      <c r="K383" s="256" t="str">
        <f t="shared" si="312"/>
        <v/>
      </c>
      <c r="L383" s="259" t="str">
        <f t="shared" si="313"/>
        <v/>
      </c>
      <c r="M383" s="259" t="str">
        <f t="shared" si="336"/>
        <v/>
      </c>
      <c r="N383" s="256" t="str">
        <f t="shared" si="337"/>
        <v/>
      </c>
      <c r="O383" s="259" t="str">
        <f t="shared" si="338"/>
        <v/>
      </c>
      <c r="P383" s="259" t="str">
        <f t="shared" si="339"/>
        <v/>
      </c>
      <c r="Q383" s="256" t="str">
        <f t="shared" si="340"/>
        <v/>
      </c>
      <c r="R383" s="259" t="str">
        <f t="shared" si="341"/>
        <v/>
      </c>
      <c r="S383" s="259" t="str">
        <f t="shared" si="342"/>
        <v/>
      </c>
      <c r="T383" s="256" t="str">
        <f t="shared" si="343"/>
        <v/>
      </c>
      <c r="U383" s="217"/>
      <c r="V383" s="217"/>
      <c r="AB383" s="257" t="e">
        <f>VLOOKUP($B$6,Lookup_Source,376,0)</f>
        <v>#N/A</v>
      </c>
      <c r="AC383" s="241" t="str">
        <f t="shared" si="344"/>
        <v/>
      </c>
      <c r="AD383" s="242">
        <f t="shared" si="345"/>
        <v>7</v>
      </c>
      <c r="AE383" s="261" t="e">
        <f t="shared" si="314"/>
        <v>#N/A</v>
      </c>
      <c r="AF383" s="264" t="e">
        <f t="shared" si="346"/>
        <v>#N/A</v>
      </c>
      <c r="AG383" s="264" t="e">
        <f t="shared" si="347"/>
        <v>#N/A</v>
      </c>
      <c r="AH383" s="263" t="e">
        <f t="shared" si="315"/>
        <v>#N/A</v>
      </c>
      <c r="AI383" s="226">
        <f t="shared" si="348"/>
        <v>7</v>
      </c>
      <c r="AJ383" s="264" t="e">
        <f t="shared" si="316"/>
        <v>#N/A</v>
      </c>
      <c r="AK383" s="264" t="e">
        <f t="shared" si="349"/>
        <v>#N/A</v>
      </c>
      <c r="AL383" s="226" t="e">
        <f t="shared" si="317"/>
        <v>#N/A</v>
      </c>
      <c r="AM383" s="265" t="e">
        <f t="shared" si="350"/>
        <v>#N/A</v>
      </c>
      <c r="AN383" s="266" t="e">
        <f t="shared" si="318"/>
        <v>#N/A</v>
      </c>
      <c r="AO383" s="227" t="e">
        <f t="shared" si="319"/>
        <v>#N/A</v>
      </c>
      <c r="AP383" s="284">
        <f t="shared" si="351"/>
        <v>7</v>
      </c>
      <c r="AQ383" s="285" t="e">
        <f t="shared" si="320"/>
        <v>#N/A</v>
      </c>
      <c r="AR383" s="266" t="e">
        <f t="shared" si="352"/>
        <v>#N/A</v>
      </c>
      <c r="AS383" s="270" t="e">
        <f t="shared" si="321"/>
        <v>#N/A</v>
      </c>
      <c r="AT383" s="271">
        <f t="shared" si="353"/>
        <v>7</v>
      </c>
      <c r="AU383" s="272" t="e">
        <f t="shared" si="354"/>
        <v>#N/A</v>
      </c>
      <c r="AV383" s="273" t="e">
        <f t="shared" si="355"/>
        <v>#N/A</v>
      </c>
      <c r="AW383" s="274" t="e">
        <f t="shared" si="322"/>
        <v>#N/A</v>
      </c>
      <c r="AX383" s="232">
        <f t="shared" si="356"/>
        <v>7</v>
      </c>
      <c r="AY383" s="273" t="e">
        <f t="shared" si="323"/>
        <v>#N/A</v>
      </c>
      <c r="AZ383" s="232" t="e">
        <f t="shared" si="357"/>
        <v>#N/A</v>
      </c>
      <c r="BA383" s="232" t="e">
        <f t="shared" si="324"/>
        <v>#N/A</v>
      </c>
      <c r="BB383" s="275">
        <f t="shared" si="358"/>
        <v>7</v>
      </c>
      <c r="BC383" s="276" t="e">
        <f t="shared" si="359"/>
        <v>#N/A</v>
      </c>
      <c r="BD383" s="277" t="e">
        <f t="shared" si="360"/>
        <v>#N/A</v>
      </c>
      <c r="BE383" s="250" t="e">
        <f t="shared" si="325"/>
        <v>#N/A</v>
      </c>
      <c r="BF383" s="247">
        <f t="shared" si="361"/>
        <v>7</v>
      </c>
      <c r="BG383" s="276" t="e">
        <f t="shared" si="362"/>
        <v>#N/A</v>
      </c>
      <c r="BH383" s="277" t="e">
        <f t="shared" si="363"/>
        <v>#N/A</v>
      </c>
      <c r="BI383" s="250" t="e">
        <f t="shared" si="326"/>
        <v>#N/A</v>
      </c>
      <c r="BJ383" s="251">
        <f t="shared" si="364"/>
        <v>7</v>
      </c>
      <c r="BK383" s="278" t="e">
        <f t="shared" si="365"/>
        <v>#N/A</v>
      </c>
      <c r="BL383" s="278" t="e">
        <f t="shared" si="366"/>
        <v>#N/A</v>
      </c>
      <c r="BM383" s="279" t="e">
        <f t="shared" si="327"/>
        <v>#N/A</v>
      </c>
      <c r="BN383" s="280">
        <f t="shared" si="367"/>
        <v>7</v>
      </c>
      <c r="BO383" s="281" t="e">
        <f t="shared" si="368"/>
        <v>#N/A</v>
      </c>
      <c r="BP383" s="281" t="e">
        <f t="shared" si="369"/>
        <v>#N/A</v>
      </c>
      <c r="BQ383" s="279" t="e">
        <f t="shared" si="328"/>
        <v>#N/A</v>
      </c>
      <c r="BR383" s="282" t="e">
        <f t="shared" si="329"/>
        <v>#N/A</v>
      </c>
      <c r="BS383" s="217" t="e">
        <f>VLOOKUP($B383,SDR24_STOCK_BY_LA!$A$2:$C$11878,3,0)</f>
        <v>#N/A</v>
      </c>
      <c r="BT383" s="217" t="str">
        <f t="shared" si="370"/>
        <v/>
      </c>
    </row>
    <row r="384" spans="1:72" x14ac:dyDescent="0.2">
      <c r="A384" s="217" t="str">
        <f t="shared" si="371"/>
        <v/>
      </c>
      <c r="B384" s="217" t="str">
        <f t="shared" si="372"/>
        <v/>
      </c>
      <c r="C384" s="283" t="str">
        <f t="shared" si="330"/>
        <v/>
      </c>
      <c r="D384" s="256" t="str">
        <f>IF(B384="","",IF(totals!$Q$3=0,IFERROR(IF(AD384=2,"0",AE384),""),"-"))</f>
        <v/>
      </c>
      <c r="E384" s="258" t="str">
        <f t="shared" si="331"/>
        <v/>
      </c>
      <c r="F384" s="259" t="str">
        <f t="shared" si="332"/>
        <v/>
      </c>
      <c r="G384" s="259" t="str">
        <f t="shared" si="333"/>
        <v/>
      </c>
      <c r="H384" s="256" t="str">
        <f t="shared" si="311"/>
        <v/>
      </c>
      <c r="I384" s="259" t="str">
        <f t="shared" si="334"/>
        <v/>
      </c>
      <c r="J384" s="259" t="str">
        <f t="shared" si="335"/>
        <v/>
      </c>
      <c r="K384" s="256" t="str">
        <f t="shared" si="312"/>
        <v/>
      </c>
      <c r="L384" s="259" t="str">
        <f t="shared" si="313"/>
        <v/>
      </c>
      <c r="M384" s="259" t="str">
        <f t="shared" si="336"/>
        <v/>
      </c>
      <c r="N384" s="256" t="str">
        <f t="shared" si="337"/>
        <v/>
      </c>
      <c r="O384" s="259" t="str">
        <f t="shared" si="338"/>
        <v/>
      </c>
      <c r="P384" s="259" t="str">
        <f t="shared" si="339"/>
        <v/>
      </c>
      <c r="Q384" s="256" t="str">
        <f t="shared" si="340"/>
        <v/>
      </c>
      <c r="R384" s="259" t="str">
        <f t="shared" si="341"/>
        <v/>
      </c>
      <c r="S384" s="259" t="str">
        <f t="shared" si="342"/>
        <v/>
      </c>
      <c r="T384" s="256" t="str">
        <f t="shared" si="343"/>
        <v/>
      </c>
      <c r="U384" s="217"/>
      <c r="V384" s="217"/>
      <c r="AB384" s="217" t="e">
        <f>VLOOKUP($B$6,Lookup_Source,377,0)</f>
        <v>#N/A</v>
      </c>
      <c r="AC384" s="241" t="str">
        <f t="shared" si="344"/>
        <v/>
      </c>
      <c r="AD384" s="242">
        <f t="shared" si="345"/>
        <v>7</v>
      </c>
      <c r="AE384" s="261" t="e">
        <f t="shared" si="314"/>
        <v>#N/A</v>
      </c>
      <c r="AF384" s="264" t="e">
        <f t="shared" si="346"/>
        <v>#N/A</v>
      </c>
      <c r="AG384" s="264" t="e">
        <f t="shared" si="347"/>
        <v>#N/A</v>
      </c>
      <c r="AH384" s="263" t="e">
        <f t="shared" si="315"/>
        <v>#N/A</v>
      </c>
      <c r="AI384" s="226">
        <f t="shared" si="348"/>
        <v>7</v>
      </c>
      <c r="AJ384" s="264" t="e">
        <f t="shared" si="316"/>
        <v>#N/A</v>
      </c>
      <c r="AK384" s="264" t="e">
        <f t="shared" si="349"/>
        <v>#N/A</v>
      </c>
      <c r="AL384" s="226" t="e">
        <f t="shared" si="317"/>
        <v>#N/A</v>
      </c>
      <c r="AM384" s="265" t="e">
        <f t="shared" si="350"/>
        <v>#N/A</v>
      </c>
      <c r="AN384" s="266" t="e">
        <f t="shared" si="318"/>
        <v>#N/A</v>
      </c>
      <c r="AO384" s="227" t="e">
        <f t="shared" si="319"/>
        <v>#N/A</v>
      </c>
      <c r="AP384" s="284">
        <f t="shared" si="351"/>
        <v>7</v>
      </c>
      <c r="AQ384" s="285" t="e">
        <f t="shared" si="320"/>
        <v>#N/A</v>
      </c>
      <c r="AR384" s="266" t="e">
        <f t="shared" si="352"/>
        <v>#N/A</v>
      </c>
      <c r="AS384" s="270" t="e">
        <f t="shared" si="321"/>
        <v>#N/A</v>
      </c>
      <c r="AT384" s="271">
        <f t="shared" si="353"/>
        <v>7</v>
      </c>
      <c r="AU384" s="272" t="e">
        <f t="shared" si="354"/>
        <v>#N/A</v>
      </c>
      <c r="AV384" s="273" t="e">
        <f t="shared" si="355"/>
        <v>#N/A</v>
      </c>
      <c r="AW384" s="274" t="e">
        <f t="shared" si="322"/>
        <v>#N/A</v>
      </c>
      <c r="AX384" s="232">
        <f t="shared" si="356"/>
        <v>7</v>
      </c>
      <c r="AY384" s="273" t="e">
        <f t="shared" si="323"/>
        <v>#N/A</v>
      </c>
      <c r="AZ384" s="232" t="e">
        <f t="shared" si="357"/>
        <v>#N/A</v>
      </c>
      <c r="BA384" s="232" t="e">
        <f t="shared" si="324"/>
        <v>#N/A</v>
      </c>
      <c r="BB384" s="275">
        <f t="shared" si="358"/>
        <v>7</v>
      </c>
      <c r="BC384" s="276" t="e">
        <f t="shared" si="359"/>
        <v>#N/A</v>
      </c>
      <c r="BD384" s="277" t="e">
        <f t="shared" si="360"/>
        <v>#N/A</v>
      </c>
      <c r="BE384" s="250" t="e">
        <f t="shared" si="325"/>
        <v>#N/A</v>
      </c>
      <c r="BF384" s="247">
        <f t="shared" si="361"/>
        <v>7</v>
      </c>
      <c r="BG384" s="276" t="e">
        <f t="shared" si="362"/>
        <v>#N/A</v>
      </c>
      <c r="BH384" s="277" t="e">
        <f t="shared" si="363"/>
        <v>#N/A</v>
      </c>
      <c r="BI384" s="250" t="e">
        <f t="shared" si="326"/>
        <v>#N/A</v>
      </c>
      <c r="BJ384" s="251">
        <f t="shared" si="364"/>
        <v>7</v>
      </c>
      <c r="BK384" s="278" t="e">
        <f t="shared" si="365"/>
        <v>#N/A</v>
      </c>
      <c r="BL384" s="278" t="e">
        <f t="shared" si="366"/>
        <v>#N/A</v>
      </c>
      <c r="BM384" s="279" t="e">
        <f t="shared" si="327"/>
        <v>#N/A</v>
      </c>
      <c r="BN384" s="280">
        <f t="shared" si="367"/>
        <v>7</v>
      </c>
      <c r="BO384" s="281" t="e">
        <f t="shared" si="368"/>
        <v>#N/A</v>
      </c>
      <c r="BP384" s="281" t="e">
        <f t="shared" si="369"/>
        <v>#N/A</v>
      </c>
      <c r="BQ384" s="279" t="e">
        <f t="shared" si="328"/>
        <v>#N/A</v>
      </c>
      <c r="BR384" s="282" t="e">
        <f t="shared" si="329"/>
        <v>#N/A</v>
      </c>
      <c r="BS384" s="217" t="e">
        <f>VLOOKUP($B384,SDR24_STOCK_BY_LA!$A$2:$C$11878,3,0)</f>
        <v>#N/A</v>
      </c>
      <c r="BT384" s="217" t="str">
        <f t="shared" si="370"/>
        <v/>
      </c>
    </row>
    <row r="385" spans="1:72" x14ac:dyDescent="0.2">
      <c r="A385" s="256" t="str">
        <f t="shared" si="371"/>
        <v/>
      </c>
      <c r="B385" s="217" t="str">
        <f t="shared" si="372"/>
        <v/>
      </c>
      <c r="C385" s="257" t="str">
        <f t="shared" si="330"/>
        <v/>
      </c>
      <c r="D385" s="256" t="str">
        <f>IF(B385="","",IF(totals!$Q$3=0,IFERROR(IF(AD385=2,"0",AE385),""),"-"))</f>
        <v/>
      </c>
      <c r="E385" s="258" t="str">
        <f t="shared" si="331"/>
        <v/>
      </c>
      <c r="F385" s="259" t="str">
        <f t="shared" si="332"/>
        <v/>
      </c>
      <c r="G385" s="259" t="str">
        <f t="shared" si="333"/>
        <v/>
      </c>
      <c r="H385" s="256" t="str">
        <f t="shared" si="311"/>
        <v/>
      </c>
      <c r="I385" s="259" t="str">
        <f t="shared" si="334"/>
        <v/>
      </c>
      <c r="J385" s="259" t="str">
        <f t="shared" si="335"/>
        <v/>
      </c>
      <c r="K385" s="256" t="str">
        <f t="shared" si="312"/>
        <v/>
      </c>
      <c r="L385" s="259" t="str">
        <f t="shared" si="313"/>
        <v/>
      </c>
      <c r="M385" s="259" t="str">
        <f t="shared" si="336"/>
        <v/>
      </c>
      <c r="N385" s="256" t="str">
        <f t="shared" si="337"/>
        <v/>
      </c>
      <c r="O385" s="259" t="str">
        <f t="shared" si="338"/>
        <v/>
      </c>
      <c r="P385" s="259" t="str">
        <f t="shared" si="339"/>
        <v/>
      </c>
      <c r="Q385" s="256" t="str">
        <f t="shared" si="340"/>
        <v/>
      </c>
      <c r="R385" s="259" t="str">
        <f t="shared" si="341"/>
        <v/>
      </c>
      <c r="S385" s="259" t="str">
        <f t="shared" si="342"/>
        <v/>
      </c>
      <c r="T385" s="256" t="str">
        <f t="shared" si="343"/>
        <v/>
      </c>
      <c r="U385" s="217"/>
      <c r="V385" s="217"/>
      <c r="AB385" s="257" t="e">
        <f>VLOOKUP($B$6,Lookup_Source,378,0)</f>
        <v>#N/A</v>
      </c>
      <c r="AC385" s="241" t="str">
        <f t="shared" si="344"/>
        <v/>
      </c>
      <c r="AD385" s="242">
        <f t="shared" si="345"/>
        <v>7</v>
      </c>
      <c r="AE385" s="261" t="e">
        <f t="shared" si="314"/>
        <v>#N/A</v>
      </c>
      <c r="AF385" s="264" t="e">
        <f t="shared" si="346"/>
        <v>#N/A</v>
      </c>
      <c r="AG385" s="264" t="e">
        <f t="shared" si="347"/>
        <v>#N/A</v>
      </c>
      <c r="AH385" s="263" t="e">
        <f t="shared" si="315"/>
        <v>#N/A</v>
      </c>
      <c r="AI385" s="226">
        <f t="shared" si="348"/>
        <v>7</v>
      </c>
      <c r="AJ385" s="264" t="e">
        <f t="shared" si="316"/>
        <v>#N/A</v>
      </c>
      <c r="AK385" s="264" t="e">
        <f t="shared" si="349"/>
        <v>#N/A</v>
      </c>
      <c r="AL385" s="226" t="e">
        <f t="shared" si="317"/>
        <v>#N/A</v>
      </c>
      <c r="AM385" s="265" t="e">
        <f t="shared" si="350"/>
        <v>#N/A</v>
      </c>
      <c r="AN385" s="266" t="e">
        <f t="shared" si="318"/>
        <v>#N/A</v>
      </c>
      <c r="AO385" s="227" t="e">
        <f t="shared" si="319"/>
        <v>#N/A</v>
      </c>
      <c r="AP385" s="284">
        <f t="shared" si="351"/>
        <v>7</v>
      </c>
      <c r="AQ385" s="285" t="e">
        <f t="shared" si="320"/>
        <v>#N/A</v>
      </c>
      <c r="AR385" s="266" t="e">
        <f t="shared" si="352"/>
        <v>#N/A</v>
      </c>
      <c r="AS385" s="270" t="e">
        <f t="shared" si="321"/>
        <v>#N/A</v>
      </c>
      <c r="AT385" s="271">
        <f t="shared" si="353"/>
        <v>7</v>
      </c>
      <c r="AU385" s="272" t="e">
        <f t="shared" si="354"/>
        <v>#N/A</v>
      </c>
      <c r="AV385" s="273" t="e">
        <f t="shared" si="355"/>
        <v>#N/A</v>
      </c>
      <c r="AW385" s="274" t="e">
        <f t="shared" si="322"/>
        <v>#N/A</v>
      </c>
      <c r="AX385" s="232">
        <f t="shared" si="356"/>
        <v>7</v>
      </c>
      <c r="AY385" s="273" t="e">
        <f t="shared" si="323"/>
        <v>#N/A</v>
      </c>
      <c r="AZ385" s="232" t="e">
        <f t="shared" si="357"/>
        <v>#N/A</v>
      </c>
      <c r="BA385" s="232" t="e">
        <f t="shared" si="324"/>
        <v>#N/A</v>
      </c>
      <c r="BB385" s="275">
        <f t="shared" si="358"/>
        <v>7</v>
      </c>
      <c r="BC385" s="276" t="e">
        <f t="shared" si="359"/>
        <v>#N/A</v>
      </c>
      <c r="BD385" s="277" t="e">
        <f t="shared" si="360"/>
        <v>#N/A</v>
      </c>
      <c r="BE385" s="250" t="e">
        <f t="shared" si="325"/>
        <v>#N/A</v>
      </c>
      <c r="BF385" s="247">
        <f t="shared" si="361"/>
        <v>7</v>
      </c>
      <c r="BG385" s="276" t="e">
        <f t="shared" si="362"/>
        <v>#N/A</v>
      </c>
      <c r="BH385" s="277" t="e">
        <f t="shared" si="363"/>
        <v>#N/A</v>
      </c>
      <c r="BI385" s="250" t="e">
        <f t="shared" si="326"/>
        <v>#N/A</v>
      </c>
      <c r="BJ385" s="251">
        <f t="shared" si="364"/>
        <v>7</v>
      </c>
      <c r="BK385" s="278" t="e">
        <f t="shared" si="365"/>
        <v>#N/A</v>
      </c>
      <c r="BL385" s="278" t="e">
        <f t="shared" si="366"/>
        <v>#N/A</v>
      </c>
      <c r="BM385" s="279" t="e">
        <f t="shared" si="327"/>
        <v>#N/A</v>
      </c>
      <c r="BN385" s="280">
        <f t="shared" si="367"/>
        <v>7</v>
      </c>
      <c r="BO385" s="281" t="e">
        <f t="shared" si="368"/>
        <v>#N/A</v>
      </c>
      <c r="BP385" s="281" t="e">
        <f t="shared" si="369"/>
        <v>#N/A</v>
      </c>
      <c r="BQ385" s="279" t="e">
        <f t="shared" si="328"/>
        <v>#N/A</v>
      </c>
      <c r="BR385" s="282" t="e">
        <f t="shared" si="329"/>
        <v>#N/A</v>
      </c>
      <c r="BS385" s="217" t="e">
        <f>VLOOKUP($B385,SDR24_STOCK_BY_LA!$A$2:$C$11878,3,0)</f>
        <v>#N/A</v>
      </c>
      <c r="BT385" s="217" t="str">
        <f t="shared" si="370"/>
        <v/>
      </c>
    </row>
    <row r="386" spans="1:72" x14ac:dyDescent="0.2">
      <c r="A386" s="217" t="str">
        <f t="shared" si="371"/>
        <v/>
      </c>
      <c r="B386" s="217" t="str">
        <f t="shared" si="372"/>
        <v/>
      </c>
      <c r="C386" s="283" t="str">
        <f t="shared" si="330"/>
        <v/>
      </c>
      <c r="D386" s="256" t="str">
        <f>IF(B386="","",IF(totals!$Q$3=0,IFERROR(IF(AD386=2,"0",AE386),""),"-"))</f>
        <v/>
      </c>
      <c r="E386" s="258" t="str">
        <f t="shared" si="331"/>
        <v/>
      </c>
      <c r="F386" s="259" t="str">
        <f t="shared" si="332"/>
        <v/>
      </c>
      <c r="G386" s="259" t="str">
        <f t="shared" si="333"/>
        <v/>
      </c>
      <c r="H386" s="256" t="str">
        <f t="shared" si="311"/>
        <v/>
      </c>
      <c r="I386" s="259" t="str">
        <f t="shared" si="334"/>
        <v/>
      </c>
      <c r="J386" s="259" t="str">
        <f t="shared" si="335"/>
        <v/>
      </c>
      <c r="K386" s="256" t="str">
        <f t="shared" si="312"/>
        <v/>
      </c>
      <c r="L386" s="259" t="str">
        <f t="shared" si="313"/>
        <v/>
      </c>
      <c r="M386" s="259" t="str">
        <f t="shared" si="336"/>
        <v/>
      </c>
      <c r="N386" s="256" t="str">
        <f t="shared" si="337"/>
        <v/>
      </c>
      <c r="O386" s="259" t="str">
        <f t="shared" si="338"/>
        <v/>
      </c>
      <c r="P386" s="259" t="str">
        <f t="shared" si="339"/>
        <v/>
      </c>
      <c r="Q386" s="256" t="str">
        <f t="shared" si="340"/>
        <v/>
      </c>
      <c r="R386" s="259" t="str">
        <f t="shared" si="341"/>
        <v/>
      </c>
      <c r="S386" s="259" t="str">
        <f t="shared" si="342"/>
        <v/>
      </c>
      <c r="T386" s="256" t="str">
        <f t="shared" si="343"/>
        <v/>
      </c>
      <c r="U386" s="217"/>
      <c r="V386" s="217"/>
      <c r="AB386" s="217" t="e">
        <f>VLOOKUP($B$6,Lookup_Source,379,0)</f>
        <v>#N/A</v>
      </c>
      <c r="AC386" s="241" t="str">
        <f t="shared" si="344"/>
        <v/>
      </c>
      <c r="AD386" s="242">
        <f t="shared" si="345"/>
        <v>7</v>
      </c>
      <c r="AE386" s="261" t="e">
        <f t="shared" si="314"/>
        <v>#N/A</v>
      </c>
      <c r="AF386" s="264" t="e">
        <f t="shared" si="346"/>
        <v>#N/A</v>
      </c>
      <c r="AG386" s="264" t="e">
        <f t="shared" si="347"/>
        <v>#N/A</v>
      </c>
      <c r="AH386" s="263" t="e">
        <f t="shared" si="315"/>
        <v>#N/A</v>
      </c>
      <c r="AI386" s="226">
        <f t="shared" si="348"/>
        <v>7</v>
      </c>
      <c r="AJ386" s="264" t="e">
        <f t="shared" si="316"/>
        <v>#N/A</v>
      </c>
      <c r="AK386" s="264" t="e">
        <f t="shared" si="349"/>
        <v>#N/A</v>
      </c>
      <c r="AL386" s="226" t="e">
        <f t="shared" si="317"/>
        <v>#N/A</v>
      </c>
      <c r="AM386" s="265" t="e">
        <f t="shared" si="350"/>
        <v>#N/A</v>
      </c>
      <c r="AN386" s="266" t="e">
        <f t="shared" si="318"/>
        <v>#N/A</v>
      </c>
      <c r="AO386" s="227" t="e">
        <f t="shared" si="319"/>
        <v>#N/A</v>
      </c>
      <c r="AP386" s="284">
        <f t="shared" si="351"/>
        <v>7</v>
      </c>
      <c r="AQ386" s="285" t="e">
        <f t="shared" si="320"/>
        <v>#N/A</v>
      </c>
      <c r="AR386" s="266" t="e">
        <f t="shared" si="352"/>
        <v>#N/A</v>
      </c>
      <c r="AS386" s="270" t="e">
        <f t="shared" si="321"/>
        <v>#N/A</v>
      </c>
      <c r="AT386" s="271">
        <f t="shared" si="353"/>
        <v>7</v>
      </c>
      <c r="AU386" s="272" t="e">
        <f t="shared" si="354"/>
        <v>#N/A</v>
      </c>
      <c r="AV386" s="273" t="e">
        <f t="shared" si="355"/>
        <v>#N/A</v>
      </c>
      <c r="AW386" s="274" t="e">
        <f t="shared" si="322"/>
        <v>#N/A</v>
      </c>
      <c r="AX386" s="232">
        <f t="shared" si="356"/>
        <v>7</v>
      </c>
      <c r="AY386" s="273" t="e">
        <f t="shared" si="323"/>
        <v>#N/A</v>
      </c>
      <c r="AZ386" s="232" t="e">
        <f t="shared" si="357"/>
        <v>#N/A</v>
      </c>
      <c r="BA386" s="232" t="e">
        <f t="shared" si="324"/>
        <v>#N/A</v>
      </c>
      <c r="BB386" s="275">
        <f t="shared" si="358"/>
        <v>7</v>
      </c>
      <c r="BC386" s="276" t="e">
        <f t="shared" si="359"/>
        <v>#N/A</v>
      </c>
      <c r="BD386" s="277" t="e">
        <f t="shared" si="360"/>
        <v>#N/A</v>
      </c>
      <c r="BE386" s="250" t="e">
        <f t="shared" si="325"/>
        <v>#N/A</v>
      </c>
      <c r="BF386" s="247">
        <f t="shared" si="361"/>
        <v>7</v>
      </c>
      <c r="BG386" s="276" t="e">
        <f t="shared" si="362"/>
        <v>#N/A</v>
      </c>
      <c r="BH386" s="277" t="e">
        <f t="shared" si="363"/>
        <v>#N/A</v>
      </c>
      <c r="BI386" s="250" t="e">
        <f t="shared" si="326"/>
        <v>#N/A</v>
      </c>
      <c r="BJ386" s="251">
        <f t="shared" si="364"/>
        <v>7</v>
      </c>
      <c r="BK386" s="278" t="e">
        <f t="shared" si="365"/>
        <v>#N/A</v>
      </c>
      <c r="BL386" s="278" t="e">
        <f t="shared" si="366"/>
        <v>#N/A</v>
      </c>
      <c r="BM386" s="279" t="e">
        <f t="shared" si="327"/>
        <v>#N/A</v>
      </c>
      <c r="BN386" s="280">
        <f t="shared" si="367"/>
        <v>7</v>
      </c>
      <c r="BO386" s="281" t="e">
        <f t="shared" si="368"/>
        <v>#N/A</v>
      </c>
      <c r="BP386" s="281" t="e">
        <f t="shared" si="369"/>
        <v>#N/A</v>
      </c>
      <c r="BQ386" s="279" t="e">
        <f t="shared" si="328"/>
        <v>#N/A</v>
      </c>
      <c r="BR386" s="282" t="e">
        <f t="shared" si="329"/>
        <v>#N/A</v>
      </c>
      <c r="BS386" s="217" t="e">
        <f>VLOOKUP($B386,SDR24_STOCK_BY_LA!$A$2:$C$11878,3,0)</f>
        <v>#N/A</v>
      </c>
      <c r="BT386" s="217" t="str">
        <f t="shared" si="370"/>
        <v/>
      </c>
    </row>
    <row r="387" spans="1:72" x14ac:dyDescent="0.2">
      <c r="A387" s="256" t="str">
        <f t="shared" si="371"/>
        <v/>
      </c>
      <c r="B387" s="217" t="str">
        <f t="shared" si="372"/>
        <v/>
      </c>
      <c r="C387" s="257" t="str">
        <f t="shared" si="330"/>
        <v/>
      </c>
      <c r="D387" s="256" t="str">
        <f>IF(B387="","",IF(totals!$Q$3=0,IFERROR(IF(AD387=2,"0",AE387),""),"-"))</f>
        <v/>
      </c>
      <c r="E387" s="258" t="str">
        <f t="shared" si="331"/>
        <v/>
      </c>
      <c r="F387" s="259" t="str">
        <f t="shared" si="332"/>
        <v/>
      </c>
      <c r="G387" s="259" t="str">
        <f t="shared" si="333"/>
        <v/>
      </c>
      <c r="H387" s="256" t="str">
        <f t="shared" si="311"/>
        <v/>
      </c>
      <c r="I387" s="259" t="str">
        <f t="shared" si="334"/>
        <v/>
      </c>
      <c r="J387" s="259" t="str">
        <f t="shared" si="335"/>
        <v/>
      </c>
      <c r="K387" s="256" t="str">
        <f t="shared" si="312"/>
        <v/>
      </c>
      <c r="L387" s="259" t="str">
        <f t="shared" si="313"/>
        <v/>
      </c>
      <c r="M387" s="259" t="str">
        <f t="shared" si="336"/>
        <v/>
      </c>
      <c r="N387" s="256" t="str">
        <f t="shared" si="337"/>
        <v/>
      </c>
      <c r="O387" s="259" t="str">
        <f t="shared" si="338"/>
        <v/>
      </c>
      <c r="P387" s="259" t="str">
        <f t="shared" si="339"/>
        <v/>
      </c>
      <c r="Q387" s="256" t="str">
        <f t="shared" si="340"/>
        <v/>
      </c>
      <c r="R387" s="259" t="str">
        <f t="shared" si="341"/>
        <v/>
      </c>
      <c r="S387" s="259" t="str">
        <f t="shared" si="342"/>
        <v/>
      </c>
      <c r="T387" s="256" t="str">
        <f t="shared" si="343"/>
        <v/>
      </c>
      <c r="U387" s="217"/>
      <c r="V387" s="217"/>
      <c r="AB387" s="257" t="e">
        <f>VLOOKUP($B$6,Lookup_Source,380,0)</f>
        <v>#N/A</v>
      </c>
      <c r="AC387" s="241" t="str">
        <f t="shared" si="344"/>
        <v/>
      </c>
      <c r="AD387" s="242">
        <f t="shared" si="345"/>
        <v>7</v>
      </c>
      <c r="AE387" s="261" t="e">
        <f t="shared" si="314"/>
        <v>#N/A</v>
      </c>
      <c r="AF387" s="264" t="e">
        <f t="shared" si="346"/>
        <v>#N/A</v>
      </c>
      <c r="AG387" s="264" t="e">
        <f t="shared" si="347"/>
        <v>#N/A</v>
      </c>
      <c r="AH387" s="263" t="e">
        <f t="shared" si="315"/>
        <v>#N/A</v>
      </c>
      <c r="AI387" s="226">
        <f t="shared" si="348"/>
        <v>7</v>
      </c>
      <c r="AJ387" s="264" t="e">
        <f t="shared" si="316"/>
        <v>#N/A</v>
      </c>
      <c r="AK387" s="264" t="e">
        <f t="shared" si="349"/>
        <v>#N/A</v>
      </c>
      <c r="AL387" s="226" t="e">
        <f t="shared" si="317"/>
        <v>#N/A</v>
      </c>
      <c r="AM387" s="265" t="e">
        <f t="shared" si="350"/>
        <v>#N/A</v>
      </c>
      <c r="AN387" s="266" t="e">
        <f t="shared" si="318"/>
        <v>#N/A</v>
      </c>
      <c r="AO387" s="227" t="e">
        <f t="shared" si="319"/>
        <v>#N/A</v>
      </c>
      <c r="AP387" s="284">
        <f t="shared" si="351"/>
        <v>7</v>
      </c>
      <c r="AQ387" s="285" t="e">
        <f t="shared" si="320"/>
        <v>#N/A</v>
      </c>
      <c r="AR387" s="266" t="e">
        <f t="shared" si="352"/>
        <v>#N/A</v>
      </c>
      <c r="AS387" s="270" t="e">
        <f t="shared" si="321"/>
        <v>#N/A</v>
      </c>
      <c r="AT387" s="271">
        <f t="shared" si="353"/>
        <v>7</v>
      </c>
      <c r="AU387" s="272" t="e">
        <f t="shared" si="354"/>
        <v>#N/A</v>
      </c>
      <c r="AV387" s="273" t="e">
        <f t="shared" si="355"/>
        <v>#N/A</v>
      </c>
      <c r="AW387" s="274" t="e">
        <f t="shared" si="322"/>
        <v>#N/A</v>
      </c>
      <c r="AX387" s="232">
        <f t="shared" si="356"/>
        <v>7</v>
      </c>
      <c r="AY387" s="273" t="e">
        <f t="shared" si="323"/>
        <v>#N/A</v>
      </c>
      <c r="AZ387" s="232" t="e">
        <f t="shared" si="357"/>
        <v>#N/A</v>
      </c>
      <c r="BA387" s="232" t="e">
        <f t="shared" si="324"/>
        <v>#N/A</v>
      </c>
      <c r="BB387" s="275">
        <f t="shared" si="358"/>
        <v>7</v>
      </c>
      <c r="BC387" s="276" t="e">
        <f t="shared" si="359"/>
        <v>#N/A</v>
      </c>
      <c r="BD387" s="277" t="e">
        <f t="shared" si="360"/>
        <v>#N/A</v>
      </c>
      <c r="BE387" s="250" t="e">
        <f t="shared" si="325"/>
        <v>#N/A</v>
      </c>
      <c r="BF387" s="247">
        <f t="shared" si="361"/>
        <v>7</v>
      </c>
      <c r="BG387" s="276" t="e">
        <f t="shared" si="362"/>
        <v>#N/A</v>
      </c>
      <c r="BH387" s="277" t="e">
        <f t="shared" si="363"/>
        <v>#N/A</v>
      </c>
      <c r="BI387" s="250" t="e">
        <f t="shared" si="326"/>
        <v>#N/A</v>
      </c>
      <c r="BJ387" s="251">
        <f t="shared" si="364"/>
        <v>7</v>
      </c>
      <c r="BK387" s="278" t="e">
        <f t="shared" si="365"/>
        <v>#N/A</v>
      </c>
      <c r="BL387" s="278" t="e">
        <f t="shared" si="366"/>
        <v>#N/A</v>
      </c>
      <c r="BM387" s="279" t="e">
        <f t="shared" si="327"/>
        <v>#N/A</v>
      </c>
      <c r="BN387" s="280">
        <f t="shared" si="367"/>
        <v>7</v>
      </c>
      <c r="BO387" s="281" t="e">
        <f t="shared" si="368"/>
        <v>#N/A</v>
      </c>
      <c r="BP387" s="281" t="e">
        <f t="shared" si="369"/>
        <v>#N/A</v>
      </c>
      <c r="BQ387" s="279" t="e">
        <f t="shared" si="328"/>
        <v>#N/A</v>
      </c>
      <c r="BR387" s="282" t="e">
        <f t="shared" si="329"/>
        <v>#N/A</v>
      </c>
      <c r="BS387" s="217" t="e">
        <f>VLOOKUP($B387,SDR24_STOCK_BY_LA!$A$2:$C$11878,3,0)</f>
        <v>#N/A</v>
      </c>
      <c r="BT387" s="217" t="str">
        <f t="shared" si="370"/>
        <v/>
      </c>
    </row>
    <row r="388" spans="1:72" x14ac:dyDescent="0.2">
      <c r="A388" s="217" t="str">
        <f t="shared" si="371"/>
        <v/>
      </c>
      <c r="B388" s="217" t="str">
        <f t="shared" si="372"/>
        <v/>
      </c>
      <c r="C388" s="283" t="str">
        <f t="shared" si="330"/>
        <v/>
      </c>
      <c r="D388" s="256" t="str">
        <f>IF(B388="","",IF(totals!$Q$3=0,IFERROR(IF(AD388=2,"0",AE388),""),"-"))</f>
        <v/>
      </c>
      <c r="E388" s="258" t="str">
        <f t="shared" si="331"/>
        <v/>
      </c>
      <c r="F388" s="259" t="str">
        <f t="shared" si="332"/>
        <v/>
      </c>
      <c r="G388" s="259" t="str">
        <f t="shared" si="333"/>
        <v/>
      </c>
      <c r="H388" s="256" t="str">
        <f t="shared" si="311"/>
        <v/>
      </c>
      <c r="I388" s="259" t="str">
        <f t="shared" si="334"/>
        <v/>
      </c>
      <c r="J388" s="259" t="str">
        <f t="shared" si="335"/>
        <v/>
      </c>
      <c r="K388" s="256" t="str">
        <f t="shared" si="312"/>
        <v/>
      </c>
      <c r="L388" s="259" t="str">
        <f t="shared" si="313"/>
        <v/>
      </c>
      <c r="M388" s="259" t="str">
        <f t="shared" si="336"/>
        <v/>
      </c>
      <c r="N388" s="256" t="str">
        <f t="shared" si="337"/>
        <v/>
      </c>
      <c r="O388" s="259" t="str">
        <f t="shared" si="338"/>
        <v/>
      </c>
      <c r="P388" s="259" t="str">
        <f t="shared" si="339"/>
        <v/>
      </c>
      <c r="Q388" s="256" t="str">
        <f t="shared" si="340"/>
        <v/>
      </c>
      <c r="R388" s="259" t="str">
        <f t="shared" si="341"/>
        <v/>
      </c>
      <c r="S388" s="259" t="str">
        <f t="shared" si="342"/>
        <v/>
      </c>
      <c r="T388" s="256" t="str">
        <f t="shared" si="343"/>
        <v/>
      </c>
      <c r="U388" s="217"/>
      <c r="V388" s="217"/>
      <c r="AB388" s="217" t="e">
        <f>VLOOKUP($B$6,Lookup_Source,381,0)</f>
        <v>#N/A</v>
      </c>
      <c r="AC388" s="241" t="str">
        <f t="shared" si="344"/>
        <v/>
      </c>
      <c r="AD388" s="242">
        <f t="shared" si="345"/>
        <v>7</v>
      </c>
      <c r="AE388" s="261" t="e">
        <f t="shared" si="314"/>
        <v>#N/A</v>
      </c>
      <c r="AF388" s="264" t="e">
        <f t="shared" si="346"/>
        <v>#N/A</v>
      </c>
      <c r="AG388" s="264" t="e">
        <f t="shared" si="347"/>
        <v>#N/A</v>
      </c>
      <c r="AH388" s="263" t="e">
        <f t="shared" si="315"/>
        <v>#N/A</v>
      </c>
      <c r="AI388" s="226">
        <f t="shared" si="348"/>
        <v>7</v>
      </c>
      <c r="AJ388" s="264" t="e">
        <f t="shared" si="316"/>
        <v>#N/A</v>
      </c>
      <c r="AK388" s="264" t="e">
        <f t="shared" si="349"/>
        <v>#N/A</v>
      </c>
      <c r="AL388" s="226" t="e">
        <f t="shared" si="317"/>
        <v>#N/A</v>
      </c>
      <c r="AM388" s="265" t="e">
        <f t="shared" si="350"/>
        <v>#N/A</v>
      </c>
      <c r="AN388" s="266" t="e">
        <f t="shared" si="318"/>
        <v>#N/A</v>
      </c>
      <c r="AO388" s="227" t="e">
        <f t="shared" si="319"/>
        <v>#N/A</v>
      </c>
      <c r="AP388" s="284">
        <f t="shared" si="351"/>
        <v>7</v>
      </c>
      <c r="AQ388" s="285" t="e">
        <f t="shared" si="320"/>
        <v>#N/A</v>
      </c>
      <c r="AR388" s="266" t="e">
        <f t="shared" si="352"/>
        <v>#N/A</v>
      </c>
      <c r="AS388" s="270" t="e">
        <f t="shared" si="321"/>
        <v>#N/A</v>
      </c>
      <c r="AT388" s="271">
        <f t="shared" si="353"/>
        <v>7</v>
      </c>
      <c r="AU388" s="272" t="e">
        <f t="shared" si="354"/>
        <v>#N/A</v>
      </c>
      <c r="AV388" s="273" t="e">
        <f t="shared" si="355"/>
        <v>#N/A</v>
      </c>
      <c r="AW388" s="274" t="e">
        <f t="shared" si="322"/>
        <v>#N/A</v>
      </c>
      <c r="AX388" s="232">
        <f t="shared" si="356"/>
        <v>7</v>
      </c>
      <c r="AY388" s="273" t="e">
        <f t="shared" si="323"/>
        <v>#N/A</v>
      </c>
      <c r="AZ388" s="232" t="e">
        <f t="shared" si="357"/>
        <v>#N/A</v>
      </c>
      <c r="BA388" s="232" t="e">
        <f t="shared" si="324"/>
        <v>#N/A</v>
      </c>
      <c r="BB388" s="275">
        <f t="shared" si="358"/>
        <v>7</v>
      </c>
      <c r="BC388" s="276" t="e">
        <f t="shared" si="359"/>
        <v>#N/A</v>
      </c>
      <c r="BD388" s="277" t="e">
        <f t="shared" si="360"/>
        <v>#N/A</v>
      </c>
      <c r="BE388" s="250" t="e">
        <f t="shared" si="325"/>
        <v>#N/A</v>
      </c>
      <c r="BF388" s="247">
        <f t="shared" si="361"/>
        <v>7</v>
      </c>
      <c r="BG388" s="276" t="e">
        <f t="shared" si="362"/>
        <v>#N/A</v>
      </c>
      <c r="BH388" s="277" t="e">
        <f t="shared" si="363"/>
        <v>#N/A</v>
      </c>
      <c r="BI388" s="250" t="e">
        <f t="shared" si="326"/>
        <v>#N/A</v>
      </c>
      <c r="BJ388" s="251">
        <f t="shared" si="364"/>
        <v>7</v>
      </c>
      <c r="BK388" s="278" t="e">
        <f t="shared" si="365"/>
        <v>#N/A</v>
      </c>
      <c r="BL388" s="278" t="e">
        <f t="shared" si="366"/>
        <v>#N/A</v>
      </c>
      <c r="BM388" s="279" t="e">
        <f t="shared" si="327"/>
        <v>#N/A</v>
      </c>
      <c r="BN388" s="280">
        <f t="shared" si="367"/>
        <v>7</v>
      </c>
      <c r="BO388" s="281" t="e">
        <f t="shared" si="368"/>
        <v>#N/A</v>
      </c>
      <c r="BP388" s="281" t="e">
        <f t="shared" si="369"/>
        <v>#N/A</v>
      </c>
      <c r="BQ388" s="279" t="e">
        <f t="shared" si="328"/>
        <v>#N/A</v>
      </c>
      <c r="BR388" s="282" t="e">
        <f t="shared" si="329"/>
        <v>#N/A</v>
      </c>
      <c r="BS388" s="217" t="e">
        <f>VLOOKUP($B388,SDR24_STOCK_BY_LA!$A$2:$C$11878,3,0)</f>
        <v>#N/A</v>
      </c>
      <c r="BT388" s="217" t="str">
        <f t="shared" si="370"/>
        <v/>
      </c>
    </row>
    <row r="389" spans="1:72" x14ac:dyDescent="0.2">
      <c r="A389" s="256" t="str">
        <f t="shared" si="371"/>
        <v/>
      </c>
      <c r="B389" s="217" t="str">
        <f t="shared" si="372"/>
        <v/>
      </c>
      <c r="C389" s="257" t="str">
        <f t="shared" si="330"/>
        <v/>
      </c>
      <c r="D389" s="256" t="str">
        <f>IF(B389="","",IF(totals!$Q$3=0,IFERROR(IF(AD389=2,"0",AE389),""),"-"))</f>
        <v/>
      </c>
      <c r="E389" s="258" t="str">
        <f t="shared" si="331"/>
        <v/>
      </c>
      <c r="F389" s="259" t="str">
        <f t="shared" si="332"/>
        <v/>
      </c>
      <c r="G389" s="259" t="str">
        <f t="shared" si="333"/>
        <v/>
      </c>
      <c r="H389" s="256" t="str">
        <f t="shared" si="311"/>
        <v/>
      </c>
      <c r="I389" s="259" t="str">
        <f t="shared" si="334"/>
        <v/>
      </c>
      <c r="J389" s="259" t="str">
        <f t="shared" si="335"/>
        <v/>
      </c>
      <c r="K389" s="256" t="str">
        <f t="shared" si="312"/>
        <v/>
      </c>
      <c r="L389" s="259" t="str">
        <f t="shared" si="313"/>
        <v/>
      </c>
      <c r="M389" s="259" t="str">
        <f t="shared" si="336"/>
        <v/>
      </c>
      <c r="N389" s="256" t="str">
        <f t="shared" si="337"/>
        <v/>
      </c>
      <c r="O389" s="259" t="str">
        <f t="shared" si="338"/>
        <v/>
      </c>
      <c r="P389" s="259" t="str">
        <f t="shared" si="339"/>
        <v/>
      </c>
      <c r="Q389" s="256" t="str">
        <f t="shared" si="340"/>
        <v/>
      </c>
      <c r="R389" s="259" t="str">
        <f t="shared" si="341"/>
        <v/>
      </c>
      <c r="S389" s="259" t="str">
        <f t="shared" si="342"/>
        <v/>
      </c>
      <c r="T389" s="256" t="str">
        <f t="shared" si="343"/>
        <v/>
      </c>
      <c r="U389" s="217"/>
      <c r="V389" s="217"/>
      <c r="AB389" s="257" t="e">
        <f>VLOOKUP($B$6,Lookup_Source,382,0)</f>
        <v>#N/A</v>
      </c>
      <c r="AC389" s="241" t="str">
        <f t="shared" si="344"/>
        <v/>
      </c>
      <c r="AD389" s="242">
        <f t="shared" si="345"/>
        <v>7</v>
      </c>
      <c r="AE389" s="261" t="e">
        <f t="shared" si="314"/>
        <v>#N/A</v>
      </c>
      <c r="AF389" s="264" t="e">
        <f t="shared" si="346"/>
        <v>#N/A</v>
      </c>
      <c r="AG389" s="264" t="e">
        <f t="shared" si="347"/>
        <v>#N/A</v>
      </c>
      <c r="AH389" s="263" t="e">
        <f t="shared" si="315"/>
        <v>#N/A</v>
      </c>
      <c r="AI389" s="226">
        <f t="shared" si="348"/>
        <v>7</v>
      </c>
      <c r="AJ389" s="264" t="e">
        <f t="shared" si="316"/>
        <v>#N/A</v>
      </c>
      <c r="AK389" s="264" t="e">
        <f t="shared" si="349"/>
        <v>#N/A</v>
      </c>
      <c r="AL389" s="226" t="e">
        <f t="shared" si="317"/>
        <v>#N/A</v>
      </c>
      <c r="AM389" s="265" t="e">
        <f t="shared" si="350"/>
        <v>#N/A</v>
      </c>
      <c r="AN389" s="266" t="e">
        <f t="shared" si="318"/>
        <v>#N/A</v>
      </c>
      <c r="AO389" s="227" t="e">
        <f t="shared" si="319"/>
        <v>#N/A</v>
      </c>
      <c r="AP389" s="284">
        <f t="shared" si="351"/>
        <v>7</v>
      </c>
      <c r="AQ389" s="285" t="e">
        <f t="shared" si="320"/>
        <v>#N/A</v>
      </c>
      <c r="AR389" s="266" t="e">
        <f t="shared" si="352"/>
        <v>#N/A</v>
      </c>
      <c r="AS389" s="270" t="e">
        <f t="shared" si="321"/>
        <v>#N/A</v>
      </c>
      <c r="AT389" s="271">
        <f t="shared" si="353"/>
        <v>7</v>
      </c>
      <c r="AU389" s="272" t="e">
        <f t="shared" si="354"/>
        <v>#N/A</v>
      </c>
      <c r="AV389" s="273" t="e">
        <f t="shared" si="355"/>
        <v>#N/A</v>
      </c>
      <c r="AW389" s="274" t="e">
        <f t="shared" si="322"/>
        <v>#N/A</v>
      </c>
      <c r="AX389" s="232">
        <f t="shared" si="356"/>
        <v>7</v>
      </c>
      <c r="AY389" s="273" t="e">
        <f t="shared" si="323"/>
        <v>#N/A</v>
      </c>
      <c r="AZ389" s="232" t="e">
        <f t="shared" si="357"/>
        <v>#N/A</v>
      </c>
      <c r="BA389" s="232" t="e">
        <f t="shared" si="324"/>
        <v>#N/A</v>
      </c>
      <c r="BB389" s="275">
        <f t="shared" si="358"/>
        <v>7</v>
      </c>
      <c r="BC389" s="276" t="e">
        <f t="shared" si="359"/>
        <v>#N/A</v>
      </c>
      <c r="BD389" s="277" t="e">
        <f t="shared" si="360"/>
        <v>#N/A</v>
      </c>
      <c r="BE389" s="250" t="e">
        <f t="shared" si="325"/>
        <v>#N/A</v>
      </c>
      <c r="BF389" s="247">
        <f t="shared" si="361"/>
        <v>7</v>
      </c>
      <c r="BG389" s="276" t="e">
        <f t="shared" si="362"/>
        <v>#N/A</v>
      </c>
      <c r="BH389" s="277" t="e">
        <f t="shared" si="363"/>
        <v>#N/A</v>
      </c>
      <c r="BI389" s="250" t="e">
        <f t="shared" si="326"/>
        <v>#N/A</v>
      </c>
      <c r="BJ389" s="251">
        <f t="shared" si="364"/>
        <v>7</v>
      </c>
      <c r="BK389" s="278" t="e">
        <f t="shared" si="365"/>
        <v>#N/A</v>
      </c>
      <c r="BL389" s="278" t="e">
        <f t="shared" si="366"/>
        <v>#N/A</v>
      </c>
      <c r="BM389" s="279" t="e">
        <f t="shared" si="327"/>
        <v>#N/A</v>
      </c>
      <c r="BN389" s="280">
        <f t="shared" si="367"/>
        <v>7</v>
      </c>
      <c r="BO389" s="281" t="e">
        <f t="shared" si="368"/>
        <v>#N/A</v>
      </c>
      <c r="BP389" s="281" t="e">
        <f t="shared" si="369"/>
        <v>#N/A</v>
      </c>
      <c r="BQ389" s="279" t="e">
        <f t="shared" si="328"/>
        <v>#N/A</v>
      </c>
      <c r="BR389" s="282" t="e">
        <f t="shared" si="329"/>
        <v>#N/A</v>
      </c>
      <c r="BS389" s="217" t="e">
        <f>VLOOKUP($B389,SDR24_STOCK_BY_LA!$A$2:$C$11878,3,0)</f>
        <v>#N/A</v>
      </c>
      <c r="BT389" s="217" t="str">
        <f t="shared" si="370"/>
        <v/>
      </c>
    </row>
    <row r="390" spans="1:72" x14ac:dyDescent="0.2">
      <c r="A390" s="217" t="str">
        <f t="shared" si="371"/>
        <v/>
      </c>
      <c r="B390" s="217" t="str">
        <f t="shared" si="372"/>
        <v/>
      </c>
      <c r="C390" s="283" t="str">
        <f t="shared" si="330"/>
        <v/>
      </c>
      <c r="D390" s="256" t="str">
        <f>IF(B390="","",IF(totals!$Q$3=0,IFERROR(IF(AD390=2,"0",AE390),""),"-"))</f>
        <v/>
      </c>
      <c r="E390" s="258" t="str">
        <f t="shared" si="331"/>
        <v/>
      </c>
      <c r="F390" s="259" t="str">
        <f t="shared" si="332"/>
        <v/>
      </c>
      <c r="G390" s="259" t="str">
        <f t="shared" si="333"/>
        <v/>
      </c>
      <c r="H390" s="256" t="str">
        <f t="shared" si="311"/>
        <v/>
      </c>
      <c r="I390" s="259" t="str">
        <f t="shared" si="334"/>
        <v/>
      </c>
      <c r="J390" s="259" t="str">
        <f t="shared" si="335"/>
        <v/>
      </c>
      <c r="K390" s="256" t="str">
        <f t="shared" si="312"/>
        <v/>
      </c>
      <c r="L390" s="259" t="str">
        <f t="shared" si="313"/>
        <v/>
      </c>
      <c r="M390" s="259" t="str">
        <f t="shared" si="336"/>
        <v/>
      </c>
      <c r="N390" s="256" t="str">
        <f t="shared" si="337"/>
        <v/>
      </c>
      <c r="O390" s="259" t="str">
        <f t="shared" si="338"/>
        <v/>
      </c>
      <c r="P390" s="259" t="str">
        <f t="shared" si="339"/>
        <v/>
      </c>
      <c r="Q390" s="256" t="str">
        <f t="shared" si="340"/>
        <v/>
      </c>
      <c r="R390" s="259" t="str">
        <f t="shared" si="341"/>
        <v/>
      </c>
      <c r="S390" s="259" t="str">
        <f t="shared" si="342"/>
        <v/>
      </c>
      <c r="T390" s="256" t="str">
        <f t="shared" si="343"/>
        <v/>
      </c>
      <c r="U390" s="217"/>
      <c r="V390" s="217"/>
      <c r="AB390" s="217" t="e">
        <f>VLOOKUP($B$6,Lookup_Source,383,0)</f>
        <v>#N/A</v>
      </c>
      <c r="AC390" s="241" t="str">
        <f t="shared" si="344"/>
        <v/>
      </c>
      <c r="AD390" s="242">
        <f t="shared" si="345"/>
        <v>7</v>
      </c>
      <c r="AE390" s="261" t="e">
        <f t="shared" si="314"/>
        <v>#N/A</v>
      </c>
      <c r="AF390" s="264" t="e">
        <f t="shared" si="346"/>
        <v>#N/A</v>
      </c>
      <c r="AG390" s="264" t="e">
        <f t="shared" si="347"/>
        <v>#N/A</v>
      </c>
      <c r="AH390" s="263" t="e">
        <f t="shared" si="315"/>
        <v>#N/A</v>
      </c>
      <c r="AI390" s="226">
        <f t="shared" si="348"/>
        <v>7</v>
      </c>
      <c r="AJ390" s="264" t="e">
        <f t="shared" si="316"/>
        <v>#N/A</v>
      </c>
      <c r="AK390" s="264" t="e">
        <f t="shared" si="349"/>
        <v>#N/A</v>
      </c>
      <c r="AL390" s="226" t="e">
        <f t="shared" si="317"/>
        <v>#N/A</v>
      </c>
      <c r="AM390" s="265" t="e">
        <f t="shared" si="350"/>
        <v>#N/A</v>
      </c>
      <c r="AN390" s="266" t="e">
        <f t="shared" si="318"/>
        <v>#N/A</v>
      </c>
      <c r="AO390" s="227" t="e">
        <f t="shared" si="319"/>
        <v>#N/A</v>
      </c>
      <c r="AP390" s="284">
        <f t="shared" si="351"/>
        <v>7</v>
      </c>
      <c r="AQ390" s="285" t="e">
        <f t="shared" si="320"/>
        <v>#N/A</v>
      </c>
      <c r="AR390" s="266" t="e">
        <f t="shared" si="352"/>
        <v>#N/A</v>
      </c>
      <c r="AS390" s="270" t="e">
        <f t="shared" si="321"/>
        <v>#N/A</v>
      </c>
      <c r="AT390" s="271">
        <f t="shared" si="353"/>
        <v>7</v>
      </c>
      <c r="AU390" s="272" t="e">
        <f t="shared" si="354"/>
        <v>#N/A</v>
      </c>
      <c r="AV390" s="273" t="e">
        <f t="shared" si="355"/>
        <v>#N/A</v>
      </c>
      <c r="AW390" s="274" t="e">
        <f t="shared" si="322"/>
        <v>#N/A</v>
      </c>
      <c r="AX390" s="232">
        <f t="shared" si="356"/>
        <v>7</v>
      </c>
      <c r="AY390" s="273" t="e">
        <f t="shared" si="323"/>
        <v>#N/A</v>
      </c>
      <c r="AZ390" s="232" t="e">
        <f t="shared" si="357"/>
        <v>#N/A</v>
      </c>
      <c r="BA390" s="232" t="e">
        <f t="shared" si="324"/>
        <v>#N/A</v>
      </c>
      <c r="BB390" s="275">
        <f t="shared" si="358"/>
        <v>7</v>
      </c>
      <c r="BC390" s="276" t="e">
        <f t="shared" si="359"/>
        <v>#N/A</v>
      </c>
      <c r="BD390" s="277" t="e">
        <f t="shared" si="360"/>
        <v>#N/A</v>
      </c>
      <c r="BE390" s="250" t="e">
        <f t="shared" si="325"/>
        <v>#N/A</v>
      </c>
      <c r="BF390" s="247">
        <f t="shared" si="361"/>
        <v>7</v>
      </c>
      <c r="BG390" s="276" t="e">
        <f t="shared" si="362"/>
        <v>#N/A</v>
      </c>
      <c r="BH390" s="277" t="e">
        <f t="shared" si="363"/>
        <v>#N/A</v>
      </c>
      <c r="BI390" s="250" t="e">
        <f t="shared" si="326"/>
        <v>#N/A</v>
      </c>
      <c r="BJ390" s="251">
        <f t="shared" si="364"/>
        <v>7</v>
      </c>
      <c r="BK390" s="278" t="e">
        <f t="shared" si="365"/>
        <v>#N/A</v>
      </c>
      <c r="BL390" s="278" t="e">
        <f t="shared" si="366"/>
        <v>#N/A</v>
      </c>
      <c r="BM390" s="279" t="e">
        <f t="shared" si="327"/>
        <v>#N/A</v>
      </c>
      <c r="BN390" s="280">
        <f t="shared" si="367"/>
        <v>7</v>
      </c>
      <c r="BO390" s="281" t="e">
        <f t="shared" si="368"/>
        <v>#N/A</v>
      </c>
      <c r="BP390" s="281" t="e">
        <f t="shared" si="369"/>
        <v>#N/A</v>
      </c>
      <c r="BQ390" s="279" t="e">
        <f t="shared" si="328"/>
        <v>#N/A</v>
      </c>
      <c r="BR390" s="282" t="e">
        <f t="shared" si="329"/>
        <v>#N/A</v>
      </c>
      <c r="BS390" s="217" t="e">
        <f>VLOOKUP($B390,SDR24_STOCK_BY_LA!$A$2:$C$11878,3,0)</f>
        <v>#N/A</v>
      </c>
      <c r="BT390" s="217" t="str">
        <f t="shared" si="370"/>
        <v/>
      </c>
    </row>
    <row r="391" spans="1:72" x14ac:dyDescent="0.2">
      <c r="A391" s="256" t="str">
        <f t="shared" si="371"/>
        <v/>
      </c>
      <c r="B391" s="217" t="str">
        <f t="shared" si="372"/>
        <v/>
      </c>
      <c r="C391" s="257" t="str">
        <f t="shared" si="330"/>
        <v/>
      </c>
      <c r="D391" s="256" t="str">
        <f>IF(B391="","",IF(totals!$Q$3=0,IFERROR(IF(AD391=2,"0",AE391),""),"-"))</f>
        <v/>
      </c>
      <c r="E391" s="258" t="str">
        <f t="shared" si="331"/>
        <v/>
      </c>
      <c r="F391" s="259" t="str">
        <f t="shared" si="332"/>
        <v/>
      </c>
      <c r="G391" s="259" t="str">
        <f t="shared" si="333"/>
        <v/>
      </c>
      <c r="H391" s="256" t="str">
        <f t="shared" si="311"/>
        <v/>
      </c>
      <c r="I391" s="259" t="str">
        <f t="shared" si="334"/>
        <v/>
      </c>
      <c r="J391" s="259" t="str">
        <f t="shared" si="335"/>
        <v/>
      </c>
      <c r="K391" s="256" t="str">
        <f t="shared" si="312"/>
        <v/>
      </c>
      <c r="L391" s="259" t="str">
        <f t="shared" si="313"/>
        <v/>
      </c>
      <c r="M391" s="259" t="str">
        <f t="shared" si="336"/>
        <v/>
      </c>
      <c r="N391" s="256" t="str">
        <f t="shared" si="337"/>
        <v/>
      </c>
      <c r="O391" s="259" t="str">
        <f t="shared" si="338"/>
        <v/>
      </c>
      <c r="P391" s="259" t="str">
        <f t="shared" si="339"/>
        <v/>
      </c>
      <c r="Q391" s="256" t="str">
        <f t="shared" si="340"/>
        <v/>
      </c>
      <c r="R391" s="259" t="str">
        <f t="shared" si="341"/>
        <v/>
      </c>
      <c r="S391" s="259" t="str">
        <f t="shared" si="342"/>
        <v/>
      </c>
      <c r="T391" s="256" t="str">
        <f t="shared" si="343"/>
        <v/>
      </c>
      <c r="U391" s="217"/>
      <c r="V391" s="217"/>
      <c r="AB391" s="257" t="e">
        <f>VLOOKUP($B$6,Lookup_Source,384,0)</f>
        <v>#N/A</v>
      </c>
      <c r="AC391" s="241" t="str">
        <f t="shared" si="344"/>
        <v/>
      </c>
      <c r="AD391" s="242">
        <f t="shared" si="345"/>
        <v>7</v>
      </c>
      <c r="AE391" s="261" t="e">
        <f t="shared" si="314"/>
        <v>#N/A</v>
      </c>
      <c r="AF391" s="264" t="e">
        <f t="shared" si="346"/>
        <v>#N/A</v>
      </c>
      <c r="AG391" s="264" t="e">
        <f t="shared" si="347"/>
        <v>#N/A</v>
      </c>
      <c r="AH391" s="263" t="e">
        <f t="shared" si="315"/>
        <v>#N/A</v>
      </c>
      <c r="AI391" s="226">
        <f t="shared" si="348"/>
        <v>7</v>
      </c>
      <c r="AJ391" s="264" t="e">
        <f t="shared" si="316"/>
        <v>#N/A</v>
      </c>
      <c r="AK391" s="264" t="e">
        <f t="shared" si="349"/>
        <v>#N/A</v>
      </c>
      <c r="AL391" s="226" t="e">
        <f t="shared" si="317"/>
        <v>#N/A</v>
      </c>
      <c r="AM391" s="265" t="e">
        <f t="shared" si="350"/>
        <v>#N/A</v>
      </c>
      <c r="AN391" s="266" t="e">
        <f t="shared" si="318"/>
        <v>#N/A</v>
      </c>
      <c r="AO391" s="227" t="e">
        <f t="shared" si="319"/>
        <v>#N/A</v>
      </c>
      <c r="AP391" s="284">
        <f t="shared" si="351"/>
        <v>7</v>
      </c>
      <c r="AQ391" s="285" t="e">
        <f t="shared" si="320"/>
        <v>#N/A</v>
      </c>
      <c r="AR391" s="266" t="e">
        <f t="shared" si="352"/>
        <v>#N/A</v>
      </c>
      <c r="AS391" s="270" t="e">
        <f t="shared" si="321"/>
        <v>#N/A</v>
      </c>
      <c r="AT391" s="271">
        <f t="shared" si="353"/>
        <v>7</v>
      </c>
      <c r="AU391" s="272" t="e">
        <f t="shared" si="354"/>
        <v>#N/A</v>
      </c>
      <c r="AV391" s="273" t="e">
        <f t="shared" si="355"/>
        <v>#N/A</v>
      </c>
      <c r="AW391" s="274" t="e">
        <f t="shared" si="322"/>
        <v>#N/A</v>
      </c>
      <c r="AX391" s="232">
        <f t="shared" si="356"/>
        <v>7</v>
      </c>
      <c r="AY391" s="273" t="e">
        <f t="shared" si="323"/>
        <v>#N/A</v>
      </c>
      <c r="AZ391" s="232" t="e">
        <f t="shared" si="357"/>
        <v>#N/A</v>
      </c>
      <c r="BA391" s="232" t="e">
        <f t="shared" si="324"/>
        <v>#N/A</v>
      </c>
      <c r="BB391" s="275">
        <f t="shared" si="358"/>
        <v>7</v>
      </c>
      <c r="BC391" s="276" t="e">
        <f t="shared" si="359"/>
        <v>#N/A</v>
      </c>
      <c r="BD391" s="277" t="e">
        <f t="shared" si="360"/>
        <v>#N/A</v>
      </c>
      <c r="BE391" s="250" t="e">
        <f t="shared" si="325"/>
        <v>#N/A</v>
      </c>
      <c r="BF391" s="247">
        <f t="shared" si="361"/>
        <v>7</v>
      </c>
      <c r="BG391" s="276" t="e">
        <f t="shared" si="362"/>
        <v>#N/A</v>
      </c>
      <c r="BH391" s="277" t="e">
        <f t="shared" si="363"/>
        <v>#N/A</v>
      </c>
      <c r="BI391" s="250" t="e">
        <f t="shared" si="326"/>
        <v>#N/A</v>
      </c>
      <c r="BJ391" s="251">
        <f t="shared" si="364"/>
        <v>7</v>
      </c>
      <c r="BK391" s="278" t="e">
        <f t="shared" si="365"/>
        <v>#N/A</v>
      </c>
      <c r="BL391" s="278" t="e">
        <f t="shared" si="366"/>
        <v>#N/A</v>
      </c>
      <c r="BM391" s="279" t="e">
        <f t="shared" si="327"/>
        <v>#N/A</v>
      </c>
      <c r="BN391" s="280">
        <f t="shared" si="367"/>
        <v>7</v>
      </c>
      <c r="BO391" s="281" t="e">
        <f t="shared" si="368"/>
        <v>#N/A</v>
      </c>
      <c r="BP391" s="281" t="e">
        <f t="shared" si="369"/>
        <v>#N/A</v>
      </c>
      <c r="BQ391" s="279" t="e">
        <f t="shared" si="328"/>
        <v>#N/A</v>
      </c>
      <c r="BR391" s="282" t="e">
        <f t="shared" si="329"/>
        <v>#N/A</v>
      </c>
      <c r="BS391" s="217" t="e">
        <f>VLOOKUP($B391,SDR24_STOCK_BY_LA!$A$2:$C$11878,3,0)</f>
        <v>#N/A</v>
      </c>
      <c r="BT391" s="217" t="str">
        <f t="shared" si="370"/>
        <v/>
      </c>
    </row>
    <row r="392" spans="1:72" x14ac:dyDescent="0.2">
      <c r="A392" s="217" t="str">
        <f t="shared" si="371"/>
        <v/>
      </c>
      <c r="B392" s="217" t="str">
        <f t="shared" si="372"/>
        <v/>
      </c>
      <c r="C392" s="283" t="str">
        <f t="shared" si="330"/>
        <v/>
      </c>
      <c r="D392" s="256" t="str">
        <f>IF(B392="","",IF(totals!$Q$3=0,IFERROR(IF(AD392=2,"0",AE392),""),"-"))</f>
        <v/>
      </c>
      <c r="E392" s="258" t="str">
        <f t="shared" si="331"/>
        <v/>
      </c>
      <c r="F392" s="259" t="str">
        <f t="shared" si="332"/>
        <v/>
      </c>
      <c r="G392" s="259" t="str">
        <f t="shared" si="333"/>
        <v/>
      </c>
      <c r="H392" s="256" t="str">
        <f t="shared" si="311"/>
        <v/>
      </c>
      <c r="I392" s="259" t="str">
        <f t="shared" si="334"/>
        <v/>
      </c>
      <c r="J392" s="259" t="str">
        <f t="shared" si="335"/>
        <v/>
      </c>
      <c r="K392" s="256" t="str">
        <f t="shared" si="312"/>
        <v/>
      </c>
      <c r="L392" s="259" t="str">
        <f t="shared" si="313"/>
        <v/>
      </c>
      <c r="M392" s="259" t="str">
        <f t="shared" si="336"/>
        <v/>
      </c>
      <c r="N392" s="256" t="str">
        <f t="shared" si="337"/>
        <v/>
      </c>
      <c r="O392" s="259" t="str">
        <f t="shared" si="338"/>
        <v/>
      </c>
      <c r="P392" s="259" t="str">
        <f t="shared" si="339"/>
        <v/>
      </c>
      <c r="Q392" s="256" t="str">
        <f t="shared" si="340"/>
        <v/>
      </c>
      <c r="R392" s="259" t="str">
        <f t="shared" si="341"/>
        <v/>
      </c>
      <c r="S392" s="259" t="str">
        <f t="shared" si="342"/>
        <v/>
      </c>
      <c r="T392" s="256" t="str">
        <f t="shared" si="343"/>
        <v/>
      </c>
      <c r="U392" s="217"/>
      <c r="V392" s="217"/>
      <c r="AB392" s="217" t="e">
        <f>VLOOKUP($B$6,Lookup_Source,385,0)</f>
        <v>#N/A</v>
      </c>
      <c r="AC392" s="241" t="str">
        <f t="shared" si="344"/>
        <v/>
      </c>
      <c r="AD392" s="242">
        <f t="shared" si="345"/>
        <v>7</v>
      </c>
      <c r="AE392" s="261" t="e">
        <f t="shared" si="314"/>
        <v>#N/A</v>
      </c>
      <c r="AF392" s="264" t="e">
        <f t="shared" si="346"/>
        <v>#N/A</v>
      </c>
      <c r="AG392" s="264" t="e">
        <f t="shared" si="347"/>
        <v>#N/A</v>
      </c>
      <c r="AH392" s="263" t="e">
        <f t="shared" si="315"/>
        <v>#N/A</v>
      </c>
      <c r="AI392" s="226">
        <f t="shared" si="348"/>
        <v>7</v>
      </c>
      <c r="AJ392" s="264" t="e">
        <f t="shared" si="316"/>
        <v>#N/A</v>
      </c>
      <c r="AK392" s="264" t="e">
        <f t="shared" si="349"/>
        <v>#N/A</v>
      </c>
      <c r="AL392" s="226" t="e">
        <f t="shared" si="317"/>
        <v>#N/A</v>
      </c>
      <c r="AM392" s="265" t="e">
        <f t="shared" si="350"/>
        <v>#N/A</v>
      </c>
      <c r="AN392" s="266" t="e">
        <f t="shared" si="318"/>
        <v>#N/A</v>
      </c>
      <c r="AO392" s="227" t="e">
        <f t="shared" si="319"/>
        <v>#N/A</v>
      </c>
      <c r="AP392" s="284">
        <f t="shared" si="351"/>
        <v>7</v>
      </c>
      <c r="AQ392" s="285" t="e">
        <f t="shared" si="320"/>
        <v>#N/A</v>
      </c>
      <c r="AR392" s="266" t="e">
        <f t="shared" si="352"/>
        <v>#N/A</v>
      </c>
      <c r="AS392" s="270" t="e">
        <f t="shared" si="321"/>
        <v>#N/A</v>
      </c>
      <c r="AT392" s="271">
        <f t="shared" si="353"/>
        <v>7</v>
      </c>
      <c r="AU392" s="272" t="e">
        <f t="shared" si="354"/>
        <v>#N/A</v>
      </c>
      <c r="AV392" s="273" t="e">
        <f t="shared" si="355"/>
        <v>#N/A</v>
      </c>
      <c r="AW392" s="274" t="e">
        <f t="shared" si="322"/>
        <v>#N/A</v>
      </c>
      <c r="AX392" s="232">
        <f t="shared" si="356"/>
        <v>7</v>
      </c>
      <c r="AY392" s="273" t="e">
        <f t="shared" si="323"/>
        <v>#N/A</v>
      </c>
      <c r="AZ392" s="232" t="e">
        <f t="shared" si="357"/>
        <v>#N/A</v>
      </c>
      <c r="BA392" s="232" t="e">
        <f t="shared" si="324"/>
        <v>#N/A</v>
      </c>
      <c r="BB392" s="275">
        <f t="shared" si="358"/>
        <v>7</v>
      </c>
      <c r="BC392" s="276" t="e">
        <f t="shared" si="359"/>
        <v>#N/A</v>
      </c>
      <c r="BD392" s="277" t="e">
        <f t="shared" si="360"/>
        <v>#N/A</v>
      </c>
      <c r="BE392" s="250" t="e">
        <f t="shared" si="325"/>
        <v>#N/A</v>
      </c>
      <c r="BF392" s="247">
        <f t="shared" si="361"/>
        <v>7</v>
      </c>
      <c r="BG392" s="276" t="e">
        <f t="shared" si="362"/>
        <v>#N/A</v>
      </c>
      <c r="BH392" s="277" t="e">
        <f t="shared" si="363"/>
        <v>#N/A</v>
      </c>
      <c r="BI392" s="250" t="e">
        <f t="shared" si="326"/>
        <v>#N/A</v>
      </c>
      <c r="BJ392" s="251">
        <f t="shared" si="364"/>
        <v>7</v>
      </c>
      <c r="BK392" s="278" t="e">
        <f t="shared" si="365"/>
        <v>#N/A</v>
      </c>
      <c r="BL392" s="278" t="e">
        <f t="shared" si="366"/>
        <v>#N/A</v>
      </c>
      <c r="BM392" s="279" t="e">
        <f t="shared" si="327"/>
        <v>#N/A</v>
      </c>
      <c r="BN392" s="280">
        <f t="shared" si="367"/>
        <v>7</v>
      </c>
      <c r="BO392" s="281" t="e">
        <f t="shared" si="368"/>
        <v>#N/A</v>
      </c>
      <c r="BP392" s="281" t="e">
        <f t="shared" si="369"/>
        <v>#N/A</v>
      </c>
      <c r="BQ392" s="279" t="e">
        <f t="shared" si="328"/>
        <v>#N/A</v>
      </c>
      <c r="BR392" s="282" t="e">
        <f t="shared" si="329"/>
        <v>#N/A</v>
      </c>
      <c r="BS392" s="217" t="e">
        <f>VLOOKUP($B392,SDR24_STOCK_BY_LA!$A$2:$C$11878,3,0)</f>
        <v>#N/A</v>
      </c>
      <c r="BT392" s="217" t="str">
        <f t="shared" si="370"/>
        <v/>
      </c>
    </row>
    <row r="393" spans="1:72" x14ac:dyDescent="0.2">
      <c r="A393" s="256" t="str">
        <f t="shared" si="371"/>
        <v/>
      </c>
      <c r="B393" s="217" t="str">
        <f t="shared" si="372"/>
        <v/>
      </c>
      <c r="C393" s="257" t="str">
        <f t="shared" si="330"/>
        <v/>
      </c>
      <c r="D393" s="256" t="str">
        <f>IF(B393="","",IF(totals!$Q$3=0,IFERROR(IF(AD393=2,"0",AE393),""),"-"))</f>
        <v/>
      </c>
      <c r="E393" s="258" t="str">
        <f t="shared" si="331"/>
        <v/>
      </c>
      <c r="F393" s="259" t="str">
        <f t="shared" si="332"/>
        <v/>
      </c>
      <c r="G393" s="259" t="str">
        <f t="shared" si="333"/>
        <v/>
      </c>
      <c r="H393" s="256" t="str">
        <f t="shared" ref="H393:H456" si="373">IFERROR(AO393,"")</f>
        <v/>
      </c>
      <c r="I393" s="259" t="str">
        <f t="shared" si="334"/>
        <v/>
      </c>
      <c r="J393" s="259" t="str">
        <f t="shared" si="335"/>
        <v/>
      </c>
      <c r="K393" s="256" t="str">
        <f t="shared" ref="K393:K456" si="374">IFERROR(AW393,"")</f>
        <v/>
      </c>
      <c r="L393" s="259" t="str">
        <f t="shared" ref="L393:L456" si="375">IFERROR(IF(AT393=2,"-",AU393),"")</f>
        <v/>
      </c>
      <c r="M393" s="259" t="str">
        <f t="shared" si="336"/>
        <v/>
      </c>
      <c r="N393" s="256" t="str">
        <f t="shared" si="337"/>
        <v/>
      </c>
      <c r="O393" s="259" t="str">
        <f t="shared" si="338"/>
        <v/>
      </c>
      <c r="P393" s="259" t="str">
        <f t="shared" si="339"/>
        <v/>
      </c>
      <c r="Q393" s="256" t="str">
        <f t="shared" si="340"/>
        <v/>
      </c>
      <c r="R393" s="259" t="str">
        <f t="shared" si="341"/>
        <v/>
      </c>
      <c r="S393" s="259" t="str">
        <f t="shared" si="342"/>
        <v/>
      </c>
      <c r="T393" s="256" t="str">
        <f t="shared" si="343"/>
        <v/>
      </c>
      <c r="U393" s="217"/>
      <c r="V393" s="217"/>
      <c r="AB393" s="257" t="e">
        <f>VLOOKUP($B$6,Lookup_Source,386,0)</f>
        <v>#N/A</v>
      </c>
      <c r="AC393" s="241" t="str">
        <f t="shared" si="344"/>
        <v/>
      </c>
      <c r="AD393" s="242">
        <f t="shared" si="345"/>
        <v>7</v>
      </c>
      <c r="AE393" s="261" t="e">
        <f t="shared" ref="AE393:AE456" si="376">SUM(VLOOKUP($B393,Totals,8,0)-1)</f>
        <v>#N/A</v>
      </c>
      <c r="AF393" s="264" t="e">
        <f t="shared" si="346"/>
        <v>#N/A</v>
      </c>
      <c r="AG393" s="264" t="e">
        <f t="shared" si="347"/>
        <v>#N/A</v>
      </c>
      <c r="AH393" s="263" t="e">
        <f t="shared" ref="AH393:AH456" si="377">VLOOKUP($BT393,Stock_By_LA,2,0)</f>
        <v>#N/A</v>
      </c>
      <c r="AI393" s="226">
        <f t="shared" si="348"/>
        <v>7</v>
      </c>
      <c r="AJ393" s="264" t="e">
        <f t="shared" ref="AJ393:AJ456" si="378">IF(AK393&gt;0,AK393,"-")</f>
        <v>#N/A</v>
      </c>
      <c r="AK393" s="264" t="e">
        <f t="shared" si="349"/>
        <v>#N/A</v>
      </c>
      <c r="AL393" s="226" t="e">
        <f t="shared" ref="AL393:AL456" si="379">VLOOKUP($B393,Totals,7,0)</f>
        <v>#N/A</v>
      </c>
      <c r="AM393" s="265" t="e">
        <f t="shared" si="350"/>
        <v>#N/A</v>
      </c>
      <c r="AN393" s="266" t="e">
        <f t="shared" ref="AN393:AN456" si="380">$AO393/$AO$8</f>
        <v>#N/A</v>
      </c>
      <c r="AO393" s="227" t="e">
        <f t="shared" ref="AO393:AO456" si="381">VLOOKUP($BT393,Stock_By_LA,3,0)</f>
        <v>#N/A</v>
      </c>
      <c r="AP393" s="284">
        <f t="shared" si="351"/>
        <v>7</v>
      </c>
      <c r="AQ393" s="285" t="e">
        <f t="shared" ref="AQ393:AQ456" si="382">IF(AR393&gt;0,AR393,"-")</f>
        <v>#N/A</v>
      </c>
      <c r="AR393" s="266" t="e">
        <f t="shared" si="352"/>
        <v>#N/A</v>
      </c>
      <c r="AS393" s="270" t="e">
        <f t="shared" ref="AS393:AS456" si="383">VLOOKUP($B393,Totals,2,0)</f>
        <v>#N/A</v>
      </c>
      <c r="AT393" s="271">
        <f t="shared" si="353"/>
        <v>7</v>
      </c>
      <c r="AU393" s="272" t="e">
        <f t="shared" si="354"/>
        <v>#N/A</v>
      </c>
      <c r="AV393" s="273" t="e">
        <f t="shared" si="355"/>
        <v>#N/A</v>
      </c>
      <c r="AW393" s="274" t="e">
        <f t="shared" ref="AW393:AW456" si="384">VLOOKUP($BT393,Stock_By_LA,4,0)</f>
        <v>#N/A</v>
      </c>
      <c r="AX393" s="232">
        <f t="shared" si="356"/>
        <v>7</v>
      </c>
      <c r="AY393" s="273" t="e">
        <f t="shared" ref="AY393:AY456" si="385">IF(AZ393&gt;0,AZ393,"-")</f>
        <v>#N/A</v>
      </c>
      <c r="AZ393" s="232" t="e">
        <f t="shared" si="357"/>
        <v>#N/A</v>
      </c>
      <c r="BA393" s="232" t="e">
        <f t="shared" ref="BA393:BA456" si="386">VLOOKUP($B393,Totals,3,0)</f>
        <v>#N/A</v>
      </c>
      <c r="BB393" s="275">
        <f t="shared" si="358"/>
        <v>7</v>
      </c>
      <c r="BC393" s="276" t="e">
        <f t="shared" si="359"/>
        <v>#N/A</v>
      </c>
      <c r="BD393" s="277" t="e">
        <f t="shared" si="360"/>
        <v>#N/A</v>
      </c>
      <c r="BE393" s="250" t="e">
        <f t="shared" ref="BE393:BE456" si="387">VLOOKUP($BT393,Stock_By_LA,5,0)</f>
        <v>#N/A</v>
      </c>
      <c r="BF393" s="247">
        <f t="shared" si="361"/>
        <v>7</v>
      </c>
      <c r="BG393" s="276" t="e">
        <f t="shared" si="362"/>
        <v>#N/A</v>
      </c>
      <c r="BH393" s="277" t="e">
        <f t="shared" si="363"/>
        <v>#N/A</v>
      </c>
      <c r="BI393" s="250" t="e">
        <f t="shared" ref="BI393:BI456" si="388">VLOOKUP($B393,Totals,4,0)</f>
        <v>#N/A</v>
      </c>
      <c r="BJ393" s="251">
        <f t="shared" si="364"/>
        <v>7</v>
      </c>
      <c r="BK393" s="278" t="e">
        <f t="shared" si="365"/>
        <v>#N/A</v>
      </c>
      <c r="BL393" s="278" t="e">
        <f t="shared" si="366"/>
        <v>#N/A</v>
      </c>
      <c r="BM393" s="279" t="e">
        <f t="shared" ref="BM393:BM456" si="389">VLOOKUP($BT393,Stock_By_LA,6,0)</f>
        <v>#N/A</v>
      </c>
      <c r="BN393" s="280">
        <f t="shared" si="367"/>
        <v>7</v>
      </c>
      <c r="BO393" s="281" t="e">
        <f t="shared" si="368"/>
        <v>#N/A</v>
      </c>
      <c r="BP393" s="281" t="e">
        <f t="shared" si="369"/>
        <v>#N/A</v>
      </c>
      <c r="BQ393" s="279" t="e">
        <f t="shared" ref="BQ393:BQ456" si="390">VLOOKUP($B393,Totals,5,0)</f>
        <v>#N/A</v>
      </c>
      <c r="BR393" s="282" t="e">
        <f t="shared" ref="BR393:BR456" si="391">VLOOKUP($BT393,Stock_By_LA,8,0)</f>
        <v>#N/A</v>
      </c>
      <c r="BS393" s="217" t="e">
        <f>VLOOKUP($B393,SDR24_STOCK_BY_LA!$A$2:$C$11878,3,0)</f>
        <v>#N/A</v>
      </c>
      <c r="BT393" s="217" t="str">
        <f t="shared" si="370"/>
        <v/>
      </c>
    </row>
    <row r="394" spans="1:72" x14ac:dyDescent="0.2">
      <c r="A394" s="217" t="str">
        <f t="shared" si="371"/>
        <v/>
      </c>
      <c r="B394" s="217" t="str">
        <f t="shared" si="372"/>
        <v/>
      </c>
      <c r="C394" s="283" t="str">
        <f t="shared" ref="C394:C457" si="392">IFERROR(BS394,"")</f>
        <v/>
      </c>
      <c r="D394" s="256" t="str">
        <f>IF(B394="","",IF(totals!$Q$3=0,IFERROR(IF(AD394=2,"0",AE394),""),"-"))</f>
        <v/>
      </c>
      <c r="E394" s="258" t="str">
        <f t="shared" ref="E394:E457" si="393">IFERROR(AH394,"")</f>
        <v/>
      </c>
      <c r="F394" s="259" t="str">
        <f t="shared" ref="F394:F457" si="394">IFERROR(AF394,"")</f>
        <v/>
      </c>
      <c r="G394" s="259" t="str">
        <f t="shared" ref="G394:G457" si="395">IFERROR(IF(AI394=2,"-",AJ394),"")</f>
        <v/>
      </c>
      <c r="H394" s="256" t="str">
        <f t="shared" si="373"/>
        <v/>
      </c>
      <c r="I394" s="259" t="str">
        <f t="shared" ref="I394:I457" si="396">IFERROR(AM394,"")</f>
        <v/>
      </c>
      <c r="J394" s="259" t="str">
        <f t="shared" ref="J394:J457" si="397">IFERROR(IF(AP394=2,"-",AQ394),"")</f>
        <v/>
      </c>
      <c r="K394" s="256" t="str">
        <f t="shared" si="374"/>
        <v/>
      </c>
      <c r="L394" s="259" t="str">
        <f t="shared" si="375"/>
        <v/>
      </c>
      <c r="M394" s="259" t="str">
        <f t="shared" ref="M394:M457" si="398">IFERROR(IF(AX394=2,"-",AY394),"")</f>
        <v/>
      </c>
      <c r="N394" s="256" t="str">
        <f t="shared" ref="N394:N457" si="399">IFERROR(BE394,"")</f>
        <v/>
      </c>
      <c r="O394" s="259" t="str">
        <f t="shared" ref="O394:O457" si="400">IFERROR(IF(BB394=2,"-",BC394),"")</f>
        <v/>
      </c>
      <c r="P394" s="259" t="str">
        <f t="shared" ref="P394:P457" si="401">IFERROR(IF(BF394=2,"-",BG394),"")</f>
        <v/>
      </c>
      <c r="Q394" s="256" t="str">
        <f t="shared" ref="Q394:Q457" si="402">IFERROR(BM394,"")</f>
        <v/>
      </c>
      <c r="R394" s="259" t="str">
        <f t="shared" ref="R394:R457" si="403">IFERROR(IF(BJ394=2,"-",BK394),"")</f>
        <v/>
      </c>
      <c r="S394" s="259" t="str">
        <f t="shared" ref="S394:S457" si="404">IFERROR(IF(BN394=2,"-",BO394),"")</f>
        <v/>
      </c>
      <c r="T394" s="256" t="str">
        <f t="shared" ref="T394:T457" si="405">IFERROR(BR394,"")</f>
        <v/>
      </c>
      <c r="U394" s="217"/>
      <c r="V394" s="217"/>
      <c r="AB394" s="217" t="e">
        <f>VLOOKUP($B$6,Lookup_Source,387,0)</f>
        <v>#N/A</v>
      </c>
      <c r="AC394" s="241" t="str">
        <f t="shared" ref="AC394:AC457" si="406">IF(ISNUMBER(SEARCH("*",B394)),1,"")</f>
        <v/>
      </c>
      <c r="AD394" s="242">
        <f t="shared" ref="AD394:AD457" si="407">IFERROR(ERROR.TYPE(AE394),0)</f>
        <v>7</v>
      </c>
      <c r="AE394" s="261" t="e">
        <f t="shared" si="376"/>
        <v>#N/A</v>
      </c>
      <c r="AF394" s="264" t="e">
        <f t="shared" ref="AF394:AF457" si="408">IF(AG394&gt;0,AG394,"-")</f>
        <v>#N/A</v>
      </c>
      <c r="AG394" s="264" t="e">
        <f t="shared" ref="AG394:AG457" si="409">$AH394/$AH$8</f>
        <v>#N/A</v>
      </c>
      <c r="AH394" s="263" t="e">
        <f t="shared" si="377"/>
        <v>#N/A</v>
      </c>
      <c r="AI394" s="226">
        <f t="shared" ref="AI394:AI457" si="410">IFERROR(ERROR.TYPE(AJ394),0)</f>
        <v>7</v>
      </c>
      <c r="AJ394" s="264" t="e">
        <f t="shared" si="378"/>
        <v>#N/A</v>
      </c>
      <c r="AK394" s="264" t="e">
        <f t="shared" ref="AK394:AK457" si="411">$AH394/$AL394</f>
        <v>#N/A</v>
      </c>
      <c r="AL394" s="226" t="e">
        <f t="shared" si="379"/>
        <v>#N/A</v>
      </c>
      <c r="AM394" s="265" t="e">
        <f t="shared" ref="AM394:AM457" si="412">IF(AN394&gt;0,AN394,"-")</f>
        <v>#N/A</v>
      </c>
      <c r="AN394" s="266" t="e">
        <f t="shared" si="380"/>
        <v>#N/A</v>
      </c>
      <c r="AO394" s="227" t="e">
        <f t="shared" si="381"/>
        <v>#N/A</v>
      </c>
      <c r="AP394" s="284">
        <f t="shared" ref="AP394:AP457" si="413">IFERROR(ERROR.TYPE(AQ394),0)</f>
        <v>7</v>
      </c>
      <c r="AQ394" s="285" t="e">
        <f t="shared" si="382"/>
        <v>#N/A</v>
      </c>
      <c r="AR394" s="266" t="e">
        <f t="shared" ref="AR394:AR457" si="414">$AO394/$AS394</f>
        <v>#N/A</v>
      </c>
      <c r="AS394" s="270" t="e">
        <f t="shared" si="383"/>
        <v>#N/A</v>
      </c>
      <c r="AT394" s="271">
        <f t="shared" ref="AT394:AT457" si="415">IFERROR(ERROR.TYPE(AU394),0)</f>
        <v>7</v>
      </c>
      <c r="AU394" s="272" t="e">
        <f t="shared" ref="AU394:AU457" si="416">IF(AV394&gt;0,AV394,"-")</f>
        <v>#N/A</v>
      </c>
      <c r="AV394" s="273" t="e">
        <f t="shared" ref="AV394:AV457" si="417">AW394/$AW$8</f>
        <v>#N/A</v>
      </c>
      <c r="AW394" s="274" t="e">
        <f t="shared" si="384"/>
        <v>#N/A</v>
      </c>
      <c r="AX394" s="232">
        <f t="shared" ref="AX394:AX457" si="418">IFERROR(ERROR.TYPE(AY394),0)</f>
        <v>7</v>
      </c>
      <c r="AY394" s="273" t="e">
        <f t="shared" si="385"/>
        <v>#N/A</v>
      </c>
      <c r="AZ394" s="232" t="e">
        <f t="shared" ref="AZ394:AZ457" si="419">$AW394/$BA394</f>
        <v>#N/A</v>
      </c>
      <c r="BA394" s="232" t="e">
        <f t="shared" si="386"/>
        <v>#N/A</v>
      </c>
      <c r="BB394" s="275">
        <f t="shared" ref="BB394:BB457" si="420">IFERROR(ERROR.TYPE(BC394),0)</f>
        <v>7</v>
      </c>
      <c r="BC394" s="276" t="e">
        <f t="shared" ref="BC394:BC457" si="421">IF(BD394&gt;0,BD394,"-")</f>
        <v>#N/A</v>
      </c>
      <c r="BD394" s="277" t="e">
        <f t="shared" ref="BD394:BD457" si="422">$BE394/$BE$8</f>
        <v>#N/A</v>
      </c>
      <c r="BE394" s="250" t="e">
        <f t="shared" si="387"/>
        <v>#N/A</v>
      </c>
      <c r="BF394" s="247">
        <f t="shared" ref="BF394:BF457" si="423">IFERROR(ERROR.TYPE(BG394),0)</f>
        <v>7</v>
      </c>
      <c r="BG394" s="276" t="e">
        <f t="shared" ref="BG394:BG457" si="424">IF(BH394&gt;0,BH394,"-")</f>
        <v>#N/A</v>
      </c>
      <c r="BH394" s="277" t="e">
        <f t="shared" ref="BH394:BH457" si="425">$BE394/$BI394</f>
        <v>#N/A</v>
      </c>
      <c r="BI394" s="250" t="e">
        <f t="shared" si="388"/>
        <v>#N/A</v>
      </c>
      <c r="BJ394" s="251">
        <f t="shared" ref="BJ394:BJ457" si="426">IFERROR(ERROR.TYPE(BK394),0)</f>
        <v>7</v>
      </c>
      <c r="BK394" s="278" t="e">
        <f t="shared" ref="BK394:BK457" si="427">IF(BL394&gt;0,BL394,"-")</f>
        <v>#N/A</v>
      </c>
      <c r="BL394" s="278" t="e">
        <f t="shared" ref="BL394:BL457" si="428">$BM394/$BM$8</f>
        <v>#N/A</v>
      </c>
      <c r="BM394" s="279" t="e">
        <f t="shared" si="389"/>
        <v>#N/A</v>
      </c>
      <c r="BN394" s="280">
        <f t="shared" ref="BN394:BN457" si="429">IFERROR(ERROR.TYPE(BO394),0)</f>
        <v>7</v>
      </c>
      <c r="BO394" s="281" t="e">
        <f t="shared" ref="BO394:BO457" si="430">IF(BP394&gt;0,BP394,"-")</f>
        <v>#N/A</v>
      </c>
      <c r="BP394" s="281" t="e">
        <f t="shared" ref="BP394:BP457" si="431">$BM394/$BQ394</f>
        <v>#N/A</v>
      </c>
      <c r="BQ394" s="279" t="e">
        <f t="shared" si="390"/>
        <v>#N/A</v>
      </c>
      <c r="BR394" s="282" t="e">
        <f t="shared" si="391"/>
        <v>#N/A</v>
      </c>
      <c r="BS394" s="217" t="e">
        <f>VLOOKUP($B394,SDR24_STOCK_BY_LA!$A$2:$C$11878,3,0)</f>
        <v>#N/A</v>
      </c>
      <c r="BT394" s="217" t="str">
        <f t="shared" ref="BT394:BT457" si="432">$B$6&amp;$B394</f>
        <v/>
      </c>
    </row>
    <row r="395" spans="1:72" x14ac:dyDescent="0.2">
      <c r="A395" s="256" t="str">
        <f t="shared" ref="A395:A458" si="433">IF(AC395=1,A394+1,"")</f>
        <v/>
      </c>
      <c r="B395" s="217" t="str">
        <f t="shared" si="372"/>
        <v/>
      </c>
      <c r="C395" s="257" t="str">
        <f t="shared" si="392"/>
        <v/>
      </c>
      <c r="D395" s="256" t="str">
        <f>IF(B395="","",IF(totals!$Q$3=0,IFERROR(IF(AD395=2,"0",AE395),""),"-"))</f>
        <v/>
      </c>
      <c r="E395" s="258" t="str">
        <f t="shared" si="393"/>
        <v/>
      </c>
      <c r="F395" s="259" t="str">
        <f t="shared" si="394"/>
        <v/>
      </c>
      <c r="G395" s="259" t="str">
        <f t="shared" si="395"/>
        <v/>
      </c>
      <c r="H395" s="256" t="str">
        <f t="shared" si="373"/>
        <v/>
      </c>
      <c r="I395" s="259" t="str">
        <f t="shared" si="396"/>
        <v/>
      </c>
      <c r="J395" s="259" t="str">
        <f t="shared" si="397"/>
        <v/>
      </c>
      <c r="K395" s="256" t="str">
        <f t="shared" si="374"/>
        <v/>
      </c>
      <c r="L395" s="259" t="str">
        <f t="shared" si="375"/>
        <v/>
      </c>
      <c r="M395" s="259" t="str">
        <f t="shared" si="398"/>
        <v/>
      </c>
      <c r="N395" s="256" t="str">
        <f t="shared" si="399"/>
        <v/>
      </c>
      <c r="O395" s="259" t="str">
        <f t="shared" si="400"/>
        <v/>
      </c>
      <c r="P395" s="259" t="str">
        <f t="shared" si="401"/>
        <v/>
      </c>
      <c r="Q395" s="256" t="str">
        <f t="shared" si="402"/>
        <v/>
      </c>
      <c r="R395" s="259" t="str">
        <f t="shared" si="403"/>
        <v/>
      </c>
      <c r="S395" s="259" t="str">
        <f t="shared" si="404"/>
        <v/>
      </c>
      <c r="T395" s="256" t="str">
        <f t="shared" si="405"/>
        <v/>
      </c>
      <c r="U395" s="217"/>
      <c r="V395" s="217"/>
      <c r="AB395" s="257" t="e">
        <f>VLOOKUP($B$6,Lookup_Source,388,0)</f>
        <v>#N/A</v>
      </c>
      <c r="AC395" s="241" t="str">
        <f t="shared" si="406"/>
        <v/>
      </c>
      <c r="AD395" s="242">
        <f t="shared" si="407"/>
        <v>7</v>
      </c>
      <c r="AE395" s="261" t="e">
        <f t="shared" si="376"/>
        <v>#N/A</v>
      </c>
      <c r="AF395" s="264" t="e">
        <f t="shared" si="408"/>
        <v>#N/A</v>
      </c>
      <c r="AG395" s="264" t="e">
        <f t="shared" si="409"/>
        <v>#N/A</v>
      </c>
      <c r="AH395" s="263" t="e">
        <f t="shared" si="377"/>
        <v>#N/A</v>
      </c>
      <c r="AI395" s="226">
        <f t="shared" si="410"/>
        <v>7</v>
      </c>
      <c r="AJ395" s="264" t="e">
        <f t="shared" si="378"/>
        <v>#N/A</v>
      </c>
      <c r="AK395" s="264" t="e">
        <f t="shared" si="411"/>
        <v>#N/A</v>
      </c>
      <c r="AL395" s="226" t="e">
        <f t="shared" si="379"/>
        <v>#N/A</v>
      </c>
      <c r="AM395" s="265" t="e">
        <f t="shared" si="412"/>
        <v>#N/A</v>
      </c>
      <c r="AN395" s="266" t="e">
        <f t="shared" si="380"/>
        <v>#N/A</v>
      </c>
      <c r="AO395" s="227" t="e">
        <f t="shared" si="381"/>
        <v>#N/A</v>
      </c>
      <c r="AP395" s="284">
        <f t="shared" si="413"/>
        <v>7</v>
      </c>
      <c r="AQ395" s="285" t="e">
        <f t="shared" si="382"/>
        <v>#N/A</v>
      </c>
      <c r="AR395" s="266" t="e">
        <f t="shared" si="414"/>
        <v>#N/A</v>
      </c>
      <c r="AS395" s="270" t="e">
        <f t="shared" si="383"/>
        <v>#N/A</v>
      </c>
      <c r="AT395" s="271">
        <f t="shared" si="415"/>
        <v>7</v>
      </c>
      <c r="AU395" s="272" t="e">
        <f t="shared" si="416"/>
        <v>#N/A</v>
      </c>
      <c r="AV395" s="273" t="e">
        <f t="shared" si="417"/>
        <v>#N/A</v>
      </c>
      <c r="AW395" s="274" t="e">
        <f t="shared" si="384"/>
        <v>#N/A</v>
      </c>
      <c r="AX395" s="232">
        <f t="shared" si="418"/>
        <v>7</v>
      </c>
      <c r="AY395" s="273" t="e">
        <f t="shared" si="385"/>
        <v>#N/A</v>
      </c>
      <c r="AZ395" s="232" t="e">
        <f t="shared" si="419"/>
        <v>#N/A</v>
      </c>
      <c r="BA395" s="232" t="e">
        <f t="shared" si="386"/>
        <v>#N/A</v>
      </c>
      <c r="BB395" s="275">
        <f t="shared" si="420"/>
        <v>7</v>
      </c>
      <c r="BC395" s="276" t="e">
        <f t="shared" si="421"/>
        <v>#N/A</v>
      </c>
      <c r="BD395" s="277" t="e">
        <f t="shared" si="422"/>
        <v>#N/A</v>
      </c>
      <c r="BE395" s="250" t="e">
        <f t="shared" si="387"/>
        <v>#N/A</v>
      </c>
      <c r="BF395" s="247">
        <f t="shared" si="423"/>
        <v>7</v>
      </c>
      <c r="BG395" s="276" t="e">
        <f t="shared" si="424"/>
        <v>#N/A</v>
      </c>
      <c r="BH395" s="277" t="e">
        <f t="shared" si="425"/>
        <v>#N/A</v>
      </c>
      <c r="BI395" s="250" t="e">
        <f t="shared" si="388"/>
        <v>#N/A</v>
      </c>
      <c r="BJ395" s="251">
        <f t="shared" si="426"/>
        <v>7</v>
      </c>
      <c r="BK395" s="278" t="e">
        <f t="shared" si="427"/>
        <v>#N/A</v>
      </c>
      <c r="BL395" s="278" t="e">
        <f t="shared" si="428"/>
        <v>#N/A</v>
      </c>
      <c r="BM395" s="279" t="e">
        <f t="shared" si="389"/>
        <v>#N/A</v>
      </c>
      <c r="BN395" s="280">
        <f t="shared" si="429"/>
        <v>7</v>
      </c>
      <c r="BO395" s="281" t="e">
        <f t="shared" si="430"/>
        <v>#N/A</v>
      </c>
      <c r="BP395" s="281" t="e">
        <f t="shared" si="431"/>
        <v>#N/A</v>
      </c>
      <c r="BQ395" s="279" t="e">
        <f t="shared" si="390"/>
        <v>#N/A</v>
      </c>
      <c r="BR395" s="282" t="e">
        <f t="shared" si="391"/>
        <v>#N/A</v>
      </c>
      <c r="BS395" s="217" t="e">
        <f>VLOOKUP($B395,SDR24_STOCK_BY_LA!$A$2:$C$11878,3,0)</f>
        <v>#N/A</v>
      </c>
      <c r="BT395" s="217" t="str">
        <f t="shared" si="432"/>
        <v/>
      </c>
    </row>
    <row r="396" spans="1:72" x14ac:dyDescent="0.2">
      <c r="A396" s="217" t="str">
        <f t="shared" si="433"/>
        <v/>
      </c>
      <c r="B396" s="217" t="str">
        <f t="shared" si="372"/>
        <v/>
      </c>
      <c r="C396" s="283" t="str">
        <f t="shared" si="392"/>
        <v/>
      </c>
      <c r="D396" s="256" t="str">
        <f>IF(B396="","",IF(totals!$Q$3=0,IFERROR(IF(AD396=2,"0",AE396),""),"-"))</f>
        <v/>
      </c>
      <c r="E396" s="258" t="str">
        <f t="shared" si="393"/>
        <v/>
      </c>
      <c r="F396" s="259" t="str">
        <f t="shared" si="394"/>
        <v/>
      </c>
      <c r="G396" s="259" t="str">
        <f t="shared" si="395"/>
        <v/>
      </c>
      <c r="H396" s="256" t="str">
        <f t="shared" si="373"/>
        <v/>
      </c>
      <c r="I396" s="259" t="str">
        <f t="shared" si="396"/>
        <v/>
      </c>
      <c r="J396" s="259" t="str">
        <f t="shared" si="397"/>
        <v/>
      </c>
      <c r="K396" s="256" t="str">
        <f t="shared" si="374"/>
        <v/>
      </c>
      <c r="L396" s="259" t="str">
        <f t="shared" si="375"/>
        <v/>
      </c>
      <c r="M396" s="259" t="str">
        <f t="shared" si="398"/>
        <v/>
      </c>
      <c r="N396" s="256" t="str">
        <f t="shared" si="399"/>
        <v/>
      </c>
      <c r="O396" s="259" t="str">
        <f t="shared" si="400"/>
        <v/>
      </c>
      <c r="P396" s="259" t="str">
        <f t="shared" si="401"/>
        <v/>
      </c>
      <c r="Q396" s="256" t="str">
        <f t="shared" si="402"/>
        <v/>
      </c>
      <c r="R396" s="259" t="str">
        <f t="shared" si="403"/>
        <v/>
      </c>
      <c r="S396" s="259" t="str">
        <f t="shared" si="404"/>
        <v/>
      </c>
      <c r="T396" s="256" t="str">
        <f t="shared" si="405"/>
        <v/>
      </c>
      <c r="U396" s="217"/>
      <c r="V396" s="217"/>
      <c r="AB396" s="217" t="e">
        <f>VLOOKUP($B$6,Lookup_Source,389,0)</f>
        <v>#N/A</v>
      </c>
      <c r="AC396" s="241" t="str">
        <f t="shared" si="406"/>
        <v/>
      </c>
      <c r="AD396" s="242">
        <f t="shared" si="407"/>
        <v>7</v>
      </c>
      <c r="AE396" s="261" t="e">
        <f t="shared" si="376"/>
        <v>#N/A</v>
      </c>
      <c r="AF396" s="264" t="e">
        <f t="shared" si="408"/>
        <v>#N/A</v>
      </c>
      <c r="AG396" s="264" t="e">
        <f t="shared" si="409"/>
        <v>#N/A</v>
      </c>
      <c r="AH396" s="263" t="e">
        <f t="shared" si="377"/>
        <v>#N/A</v>
      </c>
      <c r="AI396" s="226">
        <f t="shared" si="410"/>
        <v>7</v>
      </c>
      <c r="AJ396" s="264" t="e">
        <f t="shared" si="378"/>
        <v>#N/A</v>
      </c>
      <c r="AK396" s="264" t="e">
        <f t="shared" si="411"/>
        <v>#N/A</v>
      </c>
      <c r="AL396" s="226" t="e">
        <f t="shared" si="379"/>
        <v>#N/A</v>
      </c>
      <c r="AM396" s="265" t="e">
        <f t="shared" si="412"/>
        <v>#N/A</v>
      </c>
      <c r="AN396" s="266" t="e">
        <f t="shared" si="380"/>
        <v>#N/A</v>
      </c>
      <c r="AO396" s="227" t="e">
        <f t="shared" si="381"/>
        <v>#N/A</v>
      </c>
      <c r="AP396" s="284">
        <f t="shared" si="413"/>
        <v>7</v>
      </c>
      <c r="AQ396" s="285" t="e">
        <f t="shared" si="382"/>
        <v>#N/A</v>
      </c>
      <c r="AR396" s="266" t="e">
        <f t="shared" si="414"/>
        <v>#N/A</v>
      </c>
      <c r="AS396" s="270" t="e">
        <f t="shared" si="383"/>
        <v>#N/A</v>
      </c>
      <c r="AT396" s="271">
        <f t="shared" si="415"/>
        <v>7</v>
      </c>
      <c r="AU396" s="272" t="e">
        <f t="shared" si="416"/>
        <v>#N/A</v>
      </c>
      <c r="AV396" s="273" t="e">
        <f t="shared" si="417"/>
        <v>#N/A</v>
      </c>
      <c r="AW396" s="274" t="e">
        <f t="shared" si="384"/>
        <v>#N/A</v>
      </c>
      <c r="AX396" s="232">
        <f t="shared" si="418"/>
        <v>7</v>
      </c>
      <c r="AY396" s="273" t="e">
        <f t="shared" si="385"/>
        <v>#N/A</v>
      </c>
      <c r="AZ396" s="232" t="e">
        <f t="shared" si="419"/>
        <v>#N/A</v>
      </c>
      <c r="BA396" s="232" t="e">
        <f t="shared" si="386"/>
        <v>#N/A</v>
      </c>
      <c r="BB396" s="275">
        <f t="shared" si="420"/>
        <v>7</v>
      </c>
      <c r="BC396" s="276" t="e">
        <f t="shared" si="421"/>
        <v>#N/A</v>
      </c>
      <c r="BD396" s="277" t="e">
        <f t="shared" si="422"/>
        <v>#N/A</v>
      </c>
      <c r="BE396" s="250" t="e">
        <f t="shared" si="387"/>
        <v>#N/A</v>
      </c>
      <c r="BF396" s="247">
        <f t="shared" si="423"/>
        <v>7</v>
      </c>
      <c r="BG396" s="276" t="e">
        <f t="shared" si="424"/>
        <v>#N/A</v>
      </c>
      <c r="BH396" s="277" t="e">
        <f t="shared" si="425"/>
        <v>#N/A</v>
      </c>
      <c r="BI396" s="250" t="e">
        <f t="shared" si="388"/>
        <v>#N/A</v>
      </c>
      <c r="BJ396" s="251">
        <f t="shared" si="426"/>
        <v>7</v>
      </c>
      <c r="BK396" s="278" t="e">
        <f t="shared" si="427"/>
        <v>#N/A</v>
      </c>
      <c r="BL396" s="278" t="e">
        <f t="shared" si="428"/>
        <v>#N/A</v>
      </c>
      <c r="BM396" s="279" t="e">
        <f t="shared" si="389"/>
        <v>#N/A</v>
      </c>
      <c r="BN396" s="280">
        <f t="shared" si="429"/>
        <v>7</v>
      </c>
      <c r="BO396" s="281" t="e">
        <f t="shared" si="430"/>
        <v>#N/A</v>
      </c>
      <c r="BP396" s="281" t="e">
        <f t="shared" si="431"/>
        <v>#N/A</v>
      </c>
      <c r="BQ396" s="279" t="e">
        <f t="shared" si="390"/>
        <v>#N/A</v>
      </c>
      <c r="BR396" s="282" t="e">
        <f t="shared" si="391"/>
        <v>#N/A</v>
      </c>
      <c r="BS396" s="217" t="e">
        <f>VLOOKUP($B396,SDR24_STOCK_BY_LA!$A$2:$C$11878,3,0)</f>
        <v>#N/A</v>
      </c>
      <c r="BT396" s="217" t="str">
        <f t="shared" si="432"/>
        <v/>
      </c>
    </row>
    <row r="397" spans="1:72" x14ac:dyDescent="0.2">
      <c r="A397" s="256" t="str">
        <f t="shared" si="433"/>
        <v/>
      </c>
      <c r="B397" s="217" t="str">
        <f t="shared" ref="B397:B460" si="434">IFERROR(IF(AB397=0,"",AB397),"")</f>
        <v/>
      </c>
      <c r="C397" s="257" t="str">
        <f t="shared" si="392"/>
        <v/>
      </c>
      <c r="D397" s="256" t="str">
        <f>IF(B397="","",IF(totals!$Q$3=0,IFERROR(IF(AD397=2,"0",AE397),""),"-"))</f>
        <v/>
      </c>
      <c r="E397" s="258" t="str">
        <f t="shared" si="393"/>
        <v/>
      </c>
      <c r="F397" s="259" t="str">
        <f t="shared" si="394"/>
        <v/>
      </c>
      <c r="G397" s="259" t="str">
        <f t="shared" si="395"/>
        <v/>
      </c>
      <c r="H397" s="256" t="str">
        <f t="shared" si="373"/>
        <v/>
      </c>
      <c r="I397" s="259" t="str">
        <f t="shared" si="396"/>
        <v/>
      </c>
      <c r="J397" s="259" t="str">
        <f t="shared" si="397"/>
        <v/>
      </c>
      <c r="K397" s="256" t="str">
        <f t="shared" si="374"/>
        <v/>
      </c>
      <c r="L397" s="259" t="str">
        <f t="shared" si="375"/>
        <v/>
      </c>
      <c r="M397" s="259" t="str">
        <f t="shared" si="398"/>
        <v/>
      </c>
      <c r="N397" s="256" t="str">
        <f t="shared" si="399"/>
        <v/>
      </c>
      <c r="O397" s="259" t="str">
        <f t="shared" si="400"/>
        <v/>
      </c>
      <c r="P397" s="259" t="str">
        <f t="shared" si="401"/>
        <v/>
      </c>
      <c r="Q397" s="256" t="str">
        <f t="shared" si="402"/>
        <v/>
      </c>
      <c r="R397" s="259" t="str">
        <f t="shared" si="403"/>
        <v/>
      </c>
      <c r="S397" s="259" t="str">
        <f t="shared" si="404"/>
        <v/>
      </c>
      <c r="T397" s="256" t="str">
        <f t="shared" si="405"/>
        <v/>
      </c>
      <c r="U397" s="217"/>
      <c r="V397" s="217"/>
      <c r="AB397" s="257" t="e">
        <f>VLOOKUP($B$6,Lookup_Source,390,0)</f>
        <v>#N/A</v>
      </c>
      <c r="AC397" s="241" t="str">
        <f t="shared" si="406"/>
        <v/>
      </c>
      <c r="AD397" s="242">
        <f t="shared" si="407"/>
        <v>7</v>
      </c>
      <c r="AE397" s="261" t="e">
        <f t="shared" si="376"/>
        <v>#N/A</v>
      </c>
      <c r="AF397" s="264" t="e">
        <f t="shared" si="408"/>
        <v>#N/A</v>
      </c>
      <c r="AG397" s="264" t="e">
        <f t="shared" si="409"/>
        <v>#N/A</v>
      </c>
      <c r="AH397" s="263" t="e">
        <f t="shared" si="377"/>
        <v>#N/A</v>
      </c>
      <c r="AI397" s="226">
        <f t="shared" si="410"/>
        <v>7</v>
      </c>
      <c r="AJ397" s="264" t="e">
        <f t="shared" si="378"/>
        <v>#N/A</v>
      </c>
      <c r="AK397" s="264" t="e">
        <f t="shared" si="411"/>
        <v>#N/A</v>
      </c>
      <c r="AL397" s="226" t="e">
        <f t="shared" si="379"/>
        <v>#N/A</v>
      </c>
      <c r="AM397" s="265" t="e">
        <f t="shared" si="412"/>
        <v>#N/A</v>
      </c>
      <c r="AN397" s="266" t="e">
        <f t="shared" si="380"/>
        <v>#N/A</v>
      </c>
      <c r="AO397" s="227" t="e">
        <f t="shared" si="381"/>
        <v>#N/A</v>
      </c>
      <c r="AP397" s="284">
        <f t="shared" si="413"/>
        <v>7</v>
      </c>
      <c r="AQ397" s="285" t="e">
        <f t="shared" si="382"/>
        <v>#N/A</v>
      </c>
      <c r="AR397" s="266" t="e">
        <f t="shared" si="414"/>
        <v>#N/A</v>
      </c>
      <c r="AS397" s="270" t="e">
        <f t="shared" si="383"/>
        <v>#N/A</v>
      </c>
      <c r="AT397" s="271">
        <f t="shared" si="415"/>
        <v>7</v>
      </c>
      <c r="AU397" s="272" t="e">
        <f t="shared" si="416"/>
        <v>#N/A</v>
      </c>
      <c r="AV397" s="273" t="e">
        <f t="shared" si="417"/>
        <v>#N/A</v>
      </c>
      <c r="AW397" s="274" t="e">
        <f t="shared" si="384"/>
        <v>#N/A</v>
      </c>
      <c r="AX397" s="232">
        <f t="shared" si="418"/>
        <v>7</v>
      </c>
      <c r="AY397" s="273" t="e">
        <f t="shared" si="385"/>
        <v>#N/A</v>
      </c>
      <c r="AZ397" s="232" t="e">
        <f t="shared" si="419"/>
        <v>#N/A</v>
      </c>
      <c r="BA397" s="232" t="e">
        <f t="shared" si="386"/>
        <v>#N/A</v>
      </c>
      <c r="BB397" s="275">
        <f t="shared" si="420"/>
        <v>7</v>
      </c>
      <c r="BC397" s="276" t="e">
        <f t="shared" si="421"/>
        <v>#N/A</v>
      </c>
      <c r="BD397" s="277" t="e">
        <f t="shared" si="422"/>
        <v>#N/A</v>
      </c>
      <c r="BE397" s="250" t="e">
        <f t="shared" si="387"/>
        <v>#N/A</v>
      </c>
      <c r="BF397" s="247">
        <f t="shared" si="423"/>
        <v>7</v>
      </c>
      <c r="BG397" s="276" t="e">
        <f t="shared" si="424"/>
        <v>#N/A</v>
      </c>
      <c r="BH397" s="277" t="e">
        <f t="shared" si="425"/>
        <v>#N/A</v>
      </c>
      <c r="BI397" s="250" t="e">
        <f t="shared" si="388"/>
        <v>#N/A</v>
      </c>
      <c r="BJ397" s="251">
        <f t="shared" si="426"/>
        <v>7</v>
      </c>
      <c r="BK397" s="278" t="e">
        <f t="shared" si="427"/>
        <v>#N/A</v>
      </c>
      <c r="BL397" s="278" t="e">
        <f t="shared" si="428"/>
        <v>#N/A</v>
      </c>
      <c r="BM397" s="279" t="e">
        <f t="shared" si="389"/>
        <v>#N/A</v>
      </c>
      <c r="BN397" s="280">
        <f t="shared" si="429"/>
        <v>7</v>
      </c>
      <c r="BO397" s="281" t="e">
        <f t="shared" si="430"/>
        <v>#N/A</v>
      </c>
      <c r="BP397" s="281" t="e">
        <f t="shared" si="431"/>
        <v>#N/A</v>
      </c>
      <c r="BQ397" s="279" t="e">
        <f t="shared" si="390"/>
        <v>#N/A</v>
      </c>
      <c r="BR397" s="282" t="e">
        <f t="shared" si="391"/>
        <v>#N/A</v>
      </c>
      <c r="BS397" s="217" t="e">
        <f>VLOOKUP($B397,SDR24_STOCK_BY_LA!$A$2:$C$11878,3,0)</f>
        <v>#N/A</v>
      </c>
      <c r="BT397" s="217" t="str">
        <f t="shared" si="432"/>
        <v/>
      </c>
    </row>
    <row r="398" spans="1:72" x14ac:dyDescent="0.2">
      <c r="A398" s="217" t="str">
        <f t="shared" si="433"/>
        <v/>
      </c>
      <c r="B398" s="217" t="str">
        <f t="shared" si="434"/>
        <v/>
      </c>
      <c r="C398" s="283" t="str">
        <f t="shared" si="392"/>
        <v/>
      </c>
      <c r="D398" s="256" t="str">
        <f>IF(B398="","",IF(totals!$Q$3=0,IFERROR(IF(AD398=2,"0",AE398),""),"-"))</f>
        <v/>
      </c>
      <c r="E398" s="258" t="str">
        <f t="shared" si="393"/>
        <v/>
      </c>
      <c r="F398" s="259" t="str">
        <f t="shared" si="394"/>
        <v/>
      </c>
      <c r="G398" s="259" t="str">
        <f t="shared" si="395"/>
        <v/>
      </c>
      <c r="H398" s="256" t="str">
        <f t="shared" si="373"/>
        <v/>
      </c>
      <c r="I398" s="259" t="str">
        <f t="shared" si="396"/>
        <v/>
      </c>
      <c r="J398" s="259" t="str">
        <f t="shared" si="397"/>
        <v/>
      </c>
      <c r="K398" s="256" t="str">
        <f t="shared" si="374"/>
        <v/>
      </c>
      <c r="L398" s="259" t="str">
        <f t="shared" si="375"/>
        <v/>
      </c>
      <c r="M398" s="259" t="str">
        <f t="shared" si="398"/>
        <v/>
      </c>
      <c r="N398" s="256" t="str">
        <f t="shared" si="399"/>
        <v/>
      </c>
      <c r="O398" s="259" t="str">
        <f t="shared" si="400"/>
        <v/>
      </c>
      <c r="P398" s="259" t="str">
        <f t="shared" si="401"/>
        <v/>
      </c>
      <c r="Q398" s="256" t="str">
        <f t="shared" si="402"/>
        <v/>
      </c>
      <c r="R398" s="259" t="str">
        <f t="shared" si="403"/>
        <v/>
      </c>
      <c r="S398" s="259" t="str">
        <f t="shared" si="404"/>
        <v/>
      </c>
      <c r="T398" s="256" t="str">
        <f t="shared" si="405"/>
        <v/>
      </c>
      <c r="U398" s="217"/>
      <c r="V398" s="217"/>
      <c r="AB398" s="217" t="e">
        <f>VLOOKUP($B$6,Lookup_Source,391,0)</f>
        <v>#N/A</v>
      </c>
      <c r="AC398" s="241" t="str">
        <f t="shared" si="406"/>
        <v/>
      </c>
      <c r="AD398" s="242">
        <f t="shared" si="407"/>
        <v>7</v>
      </c>
      <c r="AE398" s="261" t="e">
        <f t="shared" si="376"/>
        <v>#N/A</v>
      </c>
      <c r="AF398" s="264" t="e">
        <f t="shared" si="408"/>
        <v>#N/A</v>
      </c>
      <c r="AG398" s="264" t="e">
        <f t="shared" si="409"/>
        <v>#N/A</v>
      </c>
      <c r="AH398" s="263" t="e">
        <f t="shared" si="377"/>
        <v>#N/A</v>
      </c>
      <c r="AI398" s="226">
        <f t="shared" si="410"/>
        <v>7</v>
      </c>
      <c r="AJ398" s="264" t="e">
        <f t="shared" si="378"/>
        <v>#N/A</v>
      </c>
      <c r="AK398" s="264" t="e">
        <f t="shared" si="411"/>
        <v>#N/A</v>
      </c>
      <c r="AL398" s="226" t="e">
        <f t="shared" si="379"/>
        <v>#N/A</v>
      </c>
      <c r="AM398" s="265" t="e">
        <f t="shared" si="412"/>
        <v>#N/A</v>
      </c>
      <c r="AN398" s="266" t="e">
        <f t="shared" si="380"/>
        <v>#N/A</v>
      </c>
      <c r="AO398" s="227" t="e">
        <f t="shared" si="381"/>
        <v>#N/A</v>
      </c>
      <c r="AP398" s="284">
        <f t="shared" si="413"/>
        <v>7</v>
      </c>
      <c r="AQ398" s="285" t="e">
        <f t="shared" si="382"/>
        <v>#N/A</v>
      </c>
      <c r="AR398" s="266" t="e">
        <f t="shared" si="414"/>
        <v>#N/A</v>
      </c>
      <c r="AS398" s="270" t="e">
        <f t="shared" si="383"/>
        <v>#N/A</v>
      </c>
      <c r="AT398" s="271">
        <f t="shared" si="415"/>
        <v>7</v>
      </c>
      <c r="AU398" s="272" t="e">
        <f t="shared" si="416"/>
        <v>#N/A</v>
      </c>
      <c r="AV398" s="273" t="e">
        <f t="shared" si="417"/>
        <v>#N/A</v>
      </c>
      <c r="AW398" s="274" t="e">
        <f t="shared" si="384"/>
        <v>#N/A</v>
      </c>
      <c r="AX398" s="232">
        <f t="shared" si="418"/>
        <v>7</v>
      </c>
      <c r="AY398" s="273" t="e">
        <f t="shared" si="385"/>
        <v>#N/A</v>
      </c>
      <c r="AZ398" s="232" t="e">
        <f t="shared" si="419"/>
        <v>#N/A</v>
      </c>
      <c r="BA398" s="232" t="e">
        <f t="shared" si="386"/>
        <v>#N/A</v>
      </c>
      <c r="BB398" s="275">
        <f t="shared" si="420"/>
        <v>7</v>
      </c>
      <c r="BC398" s="276" t="e">
        <f t="shared" si="421"/>
        <v>#N/A</v>
      </c>
      <c r="BD398" s="277" t="e">
        <f t="shared" si="422"/>
        <v>#N/A</v>
      </c>
      <c r="BE398" s="250" t="e">
        <f t="shared" si="387"/>
        <v>#N/A</v>
      </c>
      <c r="BF398" s="247">
        <f t="shared" si="423"/>
        <v>7</v>
      </c>
      <c r="BG398" s="276" t="e">
        <f t="shared" si="424"/>
        <v>#N/A</v>
      </c>
      <c r="BH398" s="277" t="e">
        <f t="shared" si="425"/>
        <v>#N/A</v>
      </c>
      <c r="BI398" s="250" t="e">
        <f t="shared" si="388"/>
        <v>#N/A</v>
      </c>
      <c r="BJ398" s="251">
        <f t="shared" si="426"/>
        <v>7</v>
      </c>
      <c r="BK398" s="278" t="e">
        <f t="shared" si="427"/>
        <v>#N/A</v>
      </c>
      <c r="BL398" s="278" t="e">
        <f t="shared" si="428"/>
        <v>#N/A</v>
      </c>
      <c r="BM398" s="279" t="e">
        <f t="shared" si="389"/>
        <v>#N/A</v>
      </c>
      <c r="BN398" s="280">
        <f t="shared" si="429"/>
        <v>7</v>
      </c>
      <c r="BO398" s="281" t="e">
        <f t="shared" si="430"/>
        <v>#N/A</v>
      </c>
      <c r="BP398" s="281" t="e">
        <f t="shared" si="431"/>
        <v>#N/A</v>
      </c>
      <c r="BQ398" s="279" t="e">
        <f t="shared" si="390"/>
        <v>#N/A</v>
      </c>
      <c r="BR398" s="282" t="e">
        <f t="shared" si="391"/>
        <v>#N/A</v>
      </c>
      <c r="BS398" s="217" t="e">
        <f>VLOOKUP($B398,SDR24_STOCK_BY_LA!$A$2:$C$11878,3,0)</f>
        <v>#N/A</v>
      </c>
      <c r="BT398" s="217" t="str">
        <f t="shared" si="432"/>
        <v/>
      </c>
    </row>
    <row r="399" spans="1:72" x14ac:dyDescent="0.2">
      <c r="A399" s="256" t="str">
        <f t="shared" si="433"/>
        <v/>
      </c>
      <c r="B399" s="217" t="str">
        <f t="shared" si="434"/>
        <v/>
      </c>
      <c r="C399" s="257" t="str">
        <f t="shared" si="392"/>
        <v/>
      </c>
      <c r="D399" s="256" t="str">
        <f>IF(B399="","",IF(totals!$Q$3=0,IFERROR(IF(AD399=2,"0",AE399),""),"-"))</f>
        <v/>
      </c>
      <c r="E399" s="258" t="str">
        <f t="shared" si="393"/>
        <v/>
      </c>
      <c r="F399" s="259" t="str">
        <f t="shared" si="394"/>
        <v/>
      </c>
      <c r="G399" s="259" t="str">
        <f t="shared" si="395"/>
        <v/>
      </c>
      <c r="H399" s="256" t="str">
        <f t="shared" si="373"/>
        <v/>
      </c>
      <c r="I399" s="259" t="str">
        <f t="shared" si="396"/>
        <v/>
      </c>
      <c r="J399" s="259" t="str">
        <f t="shared" si="397"/>
        <v/>
      </c>
      <c r="K399" s="256" t="str">
        <f t="shared" si="374"/>
        <v/>
      </c>
      <c r="L399" s="259" t="str">
        <f t="shared" si="375"/>
        <v/>
      </c>
      <c r="M399" s="259" t="str">
        <f t="shared" si="398"/>
        <v/>
      </c>
      <c r="N399" s="256" t="str">
        <f t="shared" si="399"/>
        <v/>
      </c>
      <c r="O399" s="259" t="str">
        <f t="shared" si="400"/>
        <v/>
      </c>
      <c r="P399" s="259" t="str">
        <f t="shared" si="401"/>
        <v/>
      </c>
      <c r="Q399" s="256" t="str">
        <f t="shared" si="402"/>
        <v/>
      </c>
      <c r="R399" s="259" t="str">
        <f t="shared" si="403"/>
        <v/>
      </c>
      <c r="S399" s="259" t="str">
        <f t="shared" si="404"/>
        <v/>
      </c>
      <c r="T399" s="256" t="str">
        <f t="shared" si="405"/>
        <v/>
      </c>
      <c r="U399" s="217"/>
      <c r="V399" s="217"/>
      <c r="AB399" s="257" t="e">
        <f>VLOOKUP($B$6,Lookup_Source,392,0)</f>
        <v>#N/A</v>
      </c>
      <c r="AC399" s="241" t="str">
        <f t="shared" si="406"/>
        <v/>
      </c>
      <c r="AD399" s="242">
        <f t="shared" si="407"/>
        <v>7</v>
      </c>
      <c r="AE399" s="261" t="e">
        <f t="shared" si="376"/>
        <v>#N/A</v>
      </c>
      <c r="AF399" s="264" t="e">
        <f t="shared" si="408"/>
        <v>#N/A</v>
      </c>
      <c r="AG399" s="264" t="e">
        <f t="shared" si="409"/>
        <v>#N/A</v>
      </c>
      <c r="AH399" s="263" t="e">
        <f t="shared" si="377"/>
        <v>#N/A</v>
      </c>
      <c r="AI399" s="226">
        <f t="shared" si="410"/>
        <v>7</v>
      </c>
      <c r="AJ399" s="264" t="e">
        <f t="shared" si="378"/>
        <v>#N/A</v>
      </c>
      <c r="AK399" s="264" t="e">
        <f t="shared" si="411"/>
        <v>#N/A</v>
      </c>
      <c r="AL399" s="226" t="e">
        <f t="shared" si="379"/>
        <v>#N/A</v>
      </c>
      <c r="AM399" s="265" t="e">
        <f t="shared" si="412"/>
        <v>#N/A</v>
      </c>
      <c r="AN399" s="266" t="e">
        <f t="shared" si="380"/>
        <v>#N/A</v>
      </c>
      <c r="AO399" s="227" t="e">
        <f t="shared" si="381"/>
        <v>#N/A</v>
      </c>
      <c r="AP399" s="284">
        <f t="shared" si="413"/>
        <v>7</v>
      </c>
      <c r="AQ399" s="285" t="e">
        <f t="shared" si="382"/>
        <v>#N/A</v>
      </c>
      <c r="AR399" s="266" t="e">
        <f t="shared" si="414"/>
        <v>#N/A</v>
      </c>
      <c r="AS399" s="270" t="e">
        <f t="shared" si="383"/>
        <v>#N/A</v>
      </c>
      <c r="AT399" s="271">
        <f t="shared" si="415"/>
        <v>7</v>
      </c>
      <c r="AU399" s="272" t="e">
        <f t="shared" si="416"/>
        <v>#N/A</v>
      </c>
      <c r="AV399" s="273" t="e">
        <f t="shared" si="417"/>
        <v>#N/A</v>
      </c>
      <c r="AW399" s="274" t="e">
        <f t="shared" si="384"/>
        <v>#N/A</v>
      </c>
      <c r="AX399" s="232">
        <f t="shared" si="418"/>
        <v>7</v>
      </c>
      <c r="AY399" s="273" t="e">
        <f t="shared" si="385"/>
        <v>#N/A</v>
      </c>
      <c r="AZ399" s="232" t="e">
        <f t="shared" si="419"/>
        <v>#N/A</v>
      </c>
      <c r="BA399" s="232" t="e">
        <f t="shared" si="386"/>
        <v>#N/A</v>
      </c>
      <c r="BB399" s="275">
        <f t="shared" si="420"/>
        <v>7</v>
      </c>
      <c r="BC399" s="276" t="e">
        <f t="shared" si="421"/>
        <v>#N/A</v>
      </c>
      <c r="BD399" s="277" t="e">
        <f t="shared" si="422"/>
        <v>#N/A</v>
      </c>
      <c r="BE399" s="250" t="e">
        <f t="shared" si="387"/>
        <v>#N/A</v>
      </c>
      <c r="BF399" s="247">
        <f t="shared" si="423"/>
        <v>7</v>
      </c>
      <c r="BG399" s="276" t="e">
        <f t="shared" si="424"/>
        <v>#N/A</v>
      </c>
      <c r="BH399" s="277" t="e">
        <f t="shared" si="425"/>
        <v>#N/A</v>
      </c>
      <c r="BI399" s="250" t="e">
        <f t="shared" si="388"/>
        <v>#N/A</v>
      </c>
      <c r="BJ399" s="251">
        <f t="shared" si="426"/>
        <v>7</v>
      </c>
      <c r="BK399" s="278" t="e">
        <f t="shared" si="427"/>
        <v>#N/A</v>
      </c>
      <c r="BL399" s="278" t="e">
        <f t="shared" si="428"/>
        <v>#N/A</v>
      </c>
      <c r="BM399" s="279" t="e">
        <f t="shared" si="389"/>
        <v>#N/A</v>
      </c>
      <c r="BN399" s="280">
        <f t="shared" si="429"/>
        <v>7</v>
      </c>
      <c r="BO399" s="281" t="e">
        <f t="shared" si="430"/>
        <v>#N/A</v>
      </c>
      <c r="BP399" s="281" t="e">
        <f t="shared" si="431"/>
        <v>#N/A</v>
      </c>
      <c r="BQ399" s="279" t="e">
        <f t="shared" si="390"/>
        <v>#N/A</v>
      </c>
      <c r="BR399" s="282" t="e">
        <f t="shared" si="391"/>
        <v>#N/A</v>
      </c>
      <c r="BS399" s="217" t="e">
        <f>VLOOKUP($B399,SDR24_STOCK_BY_LA!$A$2:$C$11878,3,0)</f>
        <v>#N/A</v>
      </c>
      <c r="BT399" s="217" t="str">
        <f t="shared" si="432"/>
        <v/>
      </c>
    </row>
    <row r="400" spans="1:72" x14ac:dyDescent="0.2">
      <c r="A400" s="217" t="str">
        <f t="shared" si="433"/>
        <v/>
      </c>
      <c r="B400" s="217" t="str">
        <f t="shared" si="434"/>
        <v/>
      </c>
      <c r="C400" s="283" t="str">
        <f t="shared" si="392"/>
        <v/>
      </c>
      <c r="D400" s="256" t="str">
        <f>IF(B400="","",IF(totals!$Q$3=0,IFERROR(IF(AD400=2,"0",AE400),""),"-"))</f>
        <v/>
      </c>
      <c r="E400" s="258" t="str">
        <f t="shared" si="393"/>
        <v/>
      </c>
      <c r="F400" s="259" t="str">
        <f t="shared" si="394"/>
        <v/>
      </c>
      <c r="G400" s="259" t="str">
        <f t="shared" si="395"/>
        <v/>
      </c>
      <c r="H400" s="256" t="str">
        <f t="shared" si="373"/>
        <v/>
      </c>
      <c r="I400" s="259" t="str">
        <f t="shared" si="396"/>
        <v/>
      </c>
      <c r="J400" s="259" t="str">
        <f t="shared" si="397"/>
        <v/>
      </c>
      <c r="K400" s="256" t="str">
        <f t="shared" si="374"/>
        <v/>
      </c>
      <c r="L400" s="259" t="str">
        <f t="shared" si="375"/>
        <v/>
      </c>
      <c r="M400" s="259" t="str">
        <f t="shared" si="398"/>
        <v/>
      </c>
      <c r="N400" s="256" t="str">
        <f t="shared" si="399"/>
        <v/>
      </c>
      <c r="O400" s="259" t="str">
        <f t="shared" si="400"/>
        <v/>
      </c>
      <c r="P400" s="259" t="str">
        <f t="shared" si="401"/>
        <v/>
      </c>
      <c r="Q400" s="256" t="str">
        <f t="shared" si="402"/>
        <v/>
      </c>
      <c r="R400" s="259" t="str">
        <f t="shared" si="403"/>
        <v/>
      </c>
      <c r="S400" s="259" t="str">
        <f t="shared" si="404"/>
        <v/>
      </c>
      <c r="T400" s="256" t="str">
        <f t="shared" si="405"/>
        <v/>
      </c>
      <c r="U400" s="217"/>
      <c r="V400" s="217"/>
      <c r="AB400" s="217" t="e">
        <f>VLOOKUP($B$6,Lookup_Source,393,0)</f>
        <v>#N/A</v>
      </c>
      <c r="AC400" s="241" t="str">
        <f t="shared" si="406"/>
        <v/>
      </c>
      <c r="AD400" s="242">
        <f t="shared" si="407"/>
        <v>7</v>
      </c>
      <c r="AE400" s="261" t="e">
        <f t="shared" si="376"/>
        <v>#N/A</v>
      </c>
      <c r="AF400" s="264" t="e">
        <f t="shared" si="408"/>
        <v>#N/A</v>
      </c>
      <c r="AG400" s="264" t="e">
        <f t="shared" si="409"/>
        <v>#N/A</v>
      </c>
      <c r="AH400" s="263" t="e">
        <f t="shared" si="377"/>
        <v>#N/A</v>
      </c>
      <c r="AI400" s="226">
        <f t="shared" si="410"/>
        <v>7</v>
      </c>
      <c r="AJ400" s="264" t="e">
        <f t="shared" si="378"/>
        <v>#N/A</v>
      </c>
      <c r="AK400" s="264" t="e">
        <f t="shared" si="411"/>
        <v>#N/A</v>
      </c>
      <c r="AL400" s="226" t="e">
        <f t="shared" si="379"/>
        <v>#N/A</v>
      </c>
      <c r="AM400" s="265" t="e">
        <f t="shared" si="412"/>
        <v>#N/A</v>
      </c>
      <c r="AN400" s="266" t="e">
        <f t="shared" si="380"/>
        <v>#N/A</v>
      </c>
      <c r="AO400" s="227" t="e">
        <f t="shared" si="381"/>
        <v>#N/A</v>
      </c>
      <c r="AP400" s="284">
        <f t="shared" si="413"/>
        <v>7</v>
      </c>
      <c r="AQ400" s="285" t="e">
        <f t="shared" si="382"/>
        <v>#N/A</v>
      </c>
      <c r="AR400" s="266" t="e">
        <f t="shared" si="414"/>
        <v>#N/A</v>
      </c>
      <c r="AS400" s="270" t="e">
        <f t="shared" si="383"/>
        <v>#N/A</v>
      </c>
      <c r="AT400" s="271">
        <f t="shared" si="415"/>
        <v>7</v>
      </c>
      <c r="AU400" s="272" t="e">
        <f t="shared" si="416"/>
        <v>#N/A</v>
      </c>
      <c r="AV400" s="273" t="e">
        <f t="shared" si="417"/>
        <v>#N/A</v>
      </c>
      <c r="AW400" s="274" t="e">
        <f t="shared" si="384"/>
        <v>#N/A</v>
      </c>
      <c r="AX400" s="232">
        <f t="shared" si="418"/>
        <v>7</v>
      </c>
      <c r="AY400" s="273" t="e">
        <f t="shared" si="385"/>
        <v>#N/A</v>
      </c>
      <c r="AZ400" s="232" t="e">
        <f t="shared" si="419"/>
        <v>#N/A</v>
      </c>
      <c r="BA400" s="232" t="e">
        <f t="shared" si="386"/>
        <v>#N/A</v>
      </c>
      <c r="BB400" s="275">
        <f t="shared" si="420"/>
        <v>7</v>
      </c>
      <c r="BC400" s="276" t="e">
        <f t="shared" si="421"/>
        <v>#N/A</v>
      </c>
      <c r="BD400" s="277" t="e">
        <f t="shared" si="422"/>
        <v>#N/A</v>
      </c>
      <c r="BE400" s="250" t="e">
        <f t="shared" si="387"/>
        <v>#N/A</v>
      </c>
      <c r="BF400" s="247">
        <f t="shared" si="423"/>
        <v>7</v>
      </c>
      <c r="BG400" s="276" t="e">
        <f t="shared" si="424"/>
        <v>#N/A</v>
      </c>
      <c r="BH400" s="277" t="e">
        <f t="shared" si="425"/>
        <v>#N/A</v>
      </c>
      <c r="BI400" s="250" t="e">
        <f t="shared" si="388"/>
        <v>#N/A</v>
      </c>
      <c r="BJ400" s="251">
        <f t="shared" si="426"/>
        <v>7</v>
      </c>
      <c r="BK400" s="278" t="e">
        <f t="shared" si="427"/>
        <v>#N/A</v>
      </c>
      <c r="BL400" s="278" t="e">
        <f t="shared" si="428"/>
        <v>#N/A</v>
      </c>
      <c r="BM400" s="279" t="e">
        <f t="shared" si="389"/>
        <v>#N/A</v>
      </c>
      <c r="BN400" s="280">
        <f t="shared" si="429"/>
        <v>7</v>
      </c>
      <c r="BO400" s="281" t="e">
        <f t="shared" si="430"/>
        <v>#N/A</v>
      </c>
      <c r="BP400" s="281" t="e">
        <f t="shared" si="431"/>
        <v>#N/A</v>
      </c>
      <c r="BQ400" s="279" t="e">
        <f t="shared" si="390"/>
        <v>#N/A</v>
      </c>
      <c r="BR400" s="282" t="e">
        <f t="shared" si="391"/>
        <v>#N/A</v>
      </c>
      <c r="BS400" s="217" t="e">
        <f>VLOOKUP($B400,SDR24_STOCK_BY_LA!$A$2:$C$11878,3,0)</f>
        <v>#N/A</v>
      </c>
      <c r="BT400" s="217" t="str">
        <f t="shared" si="432"/>
        <v/>
      </c>
    </row>
    <row r="401" spans="1:72" x14ac:dyDescent="0.2">
      <c r="A401" s="256" t="str">
        <f t="shared" si="433"/>
        <v/>
      </c>
      <c r="B401" s="217" t="str">
        <f t="shared" si="434"/>
        <v/>
      </c>
      <c r="C401" s="257" t="str">
        <f t="shared" si="392"/>
        <v/>
      </c>
      <c r="D401" s="256" t="str">
        <f>IF(B401="","",IF(totals!$Q$3=0,IFERROR(IF(AD401=2,"0",AE401),""),"-"))</f>
        <v/>
      </c>
      <c r="E401" s="258" t="str">
        <f t="shared" si="393"/>
        <v/>
      </c>
      <c r="F401" s="259" t="str">
        <f t="shared" si="394"/>
        <v/>
      </c>
      <c r="G401" s="259" t="str">
        <f t="shared" si="395"/>
        <v/>
      </c>
      <c r="H401" s="256" t="str">
        <f t="shared" si="373"/>
        <v/>
      </c>
      <c r="I401" s="259" t="str">
        <f t="shared" si="396"/>
        <v/>
      </c>
      <c r="J401" s="259" t="str">
        <f t="shared" si="397"/>
        <v/>
      </c>
      <c r="K401" s="256" t="str">
        <f t="shared" si="374"/>
        <v/>
      </c>
      <c r="L401" s="259" t="str">
        <f t="shared" si="375"/>
        <v/>
      </c>
      <c r="M401" s="259" t="str">
        <f t="shared" si="398"/>
        <v/>
      </c>
      <c r="N401" s="256" t="str">
        <f t="shared" si="399"/>
        <v/>
      </c>
      <c r="O401" s="259" t="str">
        <f t="shared" si="400"/>
        <v/>
      </c>
      <c r="P401" s="259" t="str">
        <f t="shared" si="401"/>
        <v/>
      </c>
      <c r="Q401" s="256" t="str">
        <f t="shared" si="402"/>
        <v/>
      </c>
      <c r="R401" s="259" t="str">
        <f t="shared" si="403"/>
        <v/>
      </c>
      <c r="S401" s="259" t="str">
        <f t="shared" si="404"/>
        <v/>
      </c>
      <c r="T401" s="256" t="str">
        <f t="shared" si="405"/>
        <v/>
      </c>
      <c r="U401" s="217"/>
      <c r="V401" s="217"/>
      <c r="AB401" s="257" t="e">
        <f>VLOOKUP($B$6,Lookup_Source,394,0)</f>
        <v>#N/A</v>
      </c>
      <c r="AC401" s="241" t="str">
        <f t="shared" si="406"/>
        <v/>
      </c>
      <c r="AD401" s="242">
        <f t="shared" si="407"/>
        <v>7</v>
      </c>
      <c r="AE401" s="261" t="e">
        <f t="shared" si="376"/>
        <v>#N/A</v>
      </c>
      <c r="AF401" s="264" t="e">
        <f t="shared" si="408"/>
        <v>#N/A</v>
      </c>
      <c r="AG401" s="264" t="e">
        <f t="shared" si="409"/>
        <v>#N/A</v>
      </c>
      <c r="AH401" s="263" t="e">
        <f t="shared" si="377"/>
        <v>#N/A</v>
      </c>
      <c r="AI401" s="226">
        <f t="shared" si="410"/>
        <v>7</v>
      </c>
      <c r="AJ401" s="264" t="e">
        <f t="shared" si="378"/>
        <v>#N/A</v>
      </c>
      <c r="AK401" s="264" t="e">
        <f t="shared" si="411"/>
        <v>#N/A</v>
      </c>
      <c r="AL401" s="226" t="e">
        <f t="shared" si="379"/>
        <v>#N/A</v>
      </c>
      <c r="AM401" s="265" t="e">
        <f t="shared" si="412"/>
        <v>#N/A</v>
      </c>
      <c r="AN401" s="266" t="e">
        <f t="shared" si="380"/>
        <v>#N/A</v>
      </c>
      <c r="AO401" s="227" t="e">
        <f t="shared" si="381"/>
        <v>#N/A</v>
      </c>
      <c r="AP401" s="284">
        <f t="shared" si="413"/>
        <v>7</v>
      </c>
      <c r="AQ401" s="285" t="e">
        <f t="shared" si="382"/>
        <v>#N/A</v>
      </c>
      <c r="AR401" s="266" t="e">
        <f t="shared" si="414"/>
        <v>#N/A</v>
      </c>
      <c r="AS401" s="270" t="e">
        <f t="shared" si="383"/>
        <v>#N/A</v>
      </c>
      <c r="AT401" s="271">
        <f t="shared" si="415"/>
        <v>7</v>
      </c>
      <c r="AU401" s="272" t="e">
        <f t="shared" si="416"/>
        <v>#N/A</v>
      </c>
      <c r="AV401" s="273" t="e">
        <f t="shared" si="417"/>
        <v>#N/A</v>
      </c>
      <c r="AW401" s="274" t="e">
        <f t="shared" si="384"/>
        <v>#N/A</v>
      </c>
      <c r="AX401" s="232">
        <f t="shared" si="418"/>
        <v>7</v>
      </c>
      <c r="AY401" s="273" t="e">
        <f t="shared" si="385"/>
        <v>#N/A</v>
      </c>
      <c r="AZ401" s="232" t="e">
        <f t="shared" si="419"/>
        <v>#N/A</v>
      </c>
      <c r="BA401" s="232" t="e">
        <f t="shared" si="386"/>
        <v>#N/A</v>
      </c>
      <c r="BB401" s="275">
        <f t="shared" si="420"/>
        <v>7</v>
      </c>
      <c r="BC401" s="276" t="e">
        <f t="shared" si="421"/>
        <v>#N/A</v>
      </c>
      <c r="BD401" s="277" t="e">
        <f t="shared" si="422"/>
        <v>#N/A</v>
      </c>
      <c r="BE401" s="250" t="e">
        <f t="shared" si="387"/>
        <v>#N/A</v>
      </c>
      <c r="BF401" s="247">
        <f t="shared" si="423"/>
        <v>7</v>
      </c>
      <c r="BG401" s="276" t="e">
        <f t="shared" si="424"/>
        <v>#N/A</v>
      </c>
      <c r="BH401" s="277" t="e">
        <f t="shared" si="425"/>
        <v>#N/A</v>
      </c>
      <c r="BI401" s="250" t="e">
        <f t="shared" si="388"/>
        <v>#N/A</v>
      </c>
      <c r="BJ401" s="251">
        <f t="shared" si="426"/>
        <v>7</v>
      </c>
      <c r="BK401" s="278" t="e">
        <f t="shared" si="427"/>
        <v>#N/A</v>
      </c>
      <c r="BL401" s="278" t="e">
        <f t="shared" si="428"/>
        <v>#N/A</v>
      </c>
      <c r="BM401" s="279" t="e">
        <f t="shared" si="389"/>
        <v>#N/A</v>
      </c>
      <c r="BN401" s="280">
        <f t="shared" si="429"/>
        <v>7</v>
      </c>
      <c r="BO401" s="281" t="e">
        <f t="shared" si="430"/>
        <v>#N/A</v>
      </c>
      <c r="BP401" s="281" t="e">
        <f t="shared" si="431"/>
        <v>#N/A</v>
      </c>
      <c r="BQ401" s="279" t="e">
        <f t="shared" si="390"/>
        <v>#N/A</v>
      </c>
      <c r="BR401" s="282" t="e">
        <f t="shared" si="391"/>
        <v>#N/A</v>
      </c>
      <c r="BS401" s="217" t="e">
        <f>VLOOKUP($B401,SDR24_STOCK_BY_LA!$A$2:$C$11878,3,0)</f>
        <v>#N/A</v>
      </c>
      <c r="BT401" s="217" t="str">
        <f t="shared" si="432"/>
        <v/>
      </c>
    </row>
    <row r="402" spans="1:72" x14ac:dyDescent="0.2">
      <c r="A402" s="217" t="str">
        <f t="shared" si="433"/>
        <v/>
      </c>
      <c r="B402" s="217" t="str">
        <f t="shared" si="434"/>
        <v/>
      </c>
      <c r="C402" s="283" t="str">
        <f t="shared" si="392"/>
        <v/>
      </c>
      <c r="D402" s="256" t="str">
        <f>IF(B402="","",IF(totals!$Q$3=0,IFERROR(IF(AD402=2,"0",AE402),""),"-"))</f>
        <v/>
      </c>
      <c r="E402" s="258" t="str">
        <f t="shared" si="393"/>
        <v/>
      </c>
      <c r="F402" s="259" t="str">
        <f t="shared" si="394"/>
        <v/>
      </c>
      <c r="G402" s="259" t="str">
        <f t="shared" si="395"/>
        <v/>
      </c>
      <c r="H402" s="256" t="str">
        <f t="shared" si="373"/>
        <v/>
      </c>
      <c r="I402" s="259" t="str">
        <f t="shared" si="396"/>
        <v/>
      </c>
      <c r="J402" s="259" t="str">
        <f t="shared" si="397"/>
        <v/>
      </c>
      <c r="K402" s="256" t="str">
        <f t="shared" si="374"/>
        <v/>
      </c>
      <c r="L402" s="259" t="str">
        <f t="shared" si="375"/>
        <v/>
      </c>
      <c r="M402" s="259" t="str">
        <f t="shared" si="398"/>
        <v/>
      </c>
      <c r="N402" s="256" t="str">
        <f t="shared" si="399"/>
        <v/>
      </c>
      <c r="O402" s="259" t="str">
        <f t="shared" si="400"/>
        <v/>
      </c>
      <c r="P402" s="259" t="str">
        <f t="shared" si="401"/>
        <v/>
      </c>
      <c r="Q402" s="256" t="str">
        <f t="shared" si="402"/>
        <v/>
      </c>
      <c r="R402" s="259" t="str">
        <f t="shared" si="403"/>
        <v/>
      </c>
      <c r="S402" s="259" t="str">
        <f t="shared" si="404"/>
        <v/>
      </c>
      <c r="T402" s="256" t="str">
        <f t="shared" si="405"/>
        <v/>
      </c>
      <c r="U402" s="217"/>
      <c r="V402" s="217"/>
      <c r="AB402" s="217" t="e">
        <f>VLOOKUP($B$6,Lookup_Source,395,0)</f>
        <v>#N/A</v>
      </c>
      <c r="AC402" s="241" t="str">
        <f t="shared" si="406"/>
        <v/>
      </c>
      <c r="AD402" s="242">
        <f t="shared" si="407"/>
        <v>7</v>
      </c>
      <c r="AE402" s="261" t="e">
        <f t="shared" si="376"/>
        <v>#N/A</v>
      </c>
      <c r="AF402" s="264" t="e">
        <f t="shared" si="408"/>
        <v>#N/A</v>
      </c>
      <c r="AG402" s="264" t="e">
        <f t="shared" si="409"/>
        <v>#N/A</v>
      </c>
      <c r="AH402" s="263" t="e">
        <f t="shared" si="377"/>
        <v>#N/A</v>
      </c>
      <c r="AI402" s="226">
        <f t="shared" si="410"/>
        <v>7</v>
      </c>
      <c r="AJ402" s="264" t="e">
        <f t="shared" si="378"/>
        <v>#N/A</v>
      </c>
      <c r="AK402" s="264" t="e">
        <f t="shared" si="411"/>
        <v>#N/A</v>
      </c>
      <c r="AL402" s="226" t="e">
        <f t="shared" si="379"/>
        <v>#N/A</v>
      </c>
      <c r="AM402" s="265" t="e">
        <f t="shared" si="412"/>
        <v>#N/A</v>
      </c>
      <c r="AN402" s="266" t="e">
        <f t="shared" si="380"/>
        <v>#N/A</v>
      </c>
      <c r="AO402" s="227" t="e">
        <f t="shared" si="381"/>
        <v>#N/A</v>
      </c>
      <c r="AP402" s="284">
        <f t="shared" si="413"/>
        <v>7</v>
      </c>
      <c r="AQ402" s="285" t="e">
        <f t="shared" si="382"/>
        <v>#N/A</v>
      </c>
      <c r="AR402" s="266" t="e">
        <f t="shared" si="414"/>
        <v>#N/A</v>
      </c>
      <c r="AS402" s="270" t="e">
        <f t="shared" si="383"/>
        <v>#N/A</v>
      </c>
      <c r="AT402" s="271">
        <f t="shared" si="415"/>
        <v>7</v>
      </c>
      <c r="AU402" s="272" t="e">
        <f t="shared" si="416"/>
        <v>#N/A</v>
      </c>
      <c r="AV402" s="273" t="e">
        <f t="shared" si="417"/>
        <v>#N/A</v>
      </c>
      <c r="AW402" s="274" t="e">
        <f t="shared" si="384"/>
        <v>#N/A</v>
      </c>
      <c r="AX402" s="232">
        <f t="shared" si="418"/>
        <v>7</v>
      </c>
      <c r="AY402" s="273" t="e">
        <f t="shared" si="385"/>
        <v>#N/A</v>
      </c>
      <c r="AZ402" s="232" t="e">
        <f t="shared" si="419"/>
        <v>#N/A</v>
      </c>
      <c r="BA402" s="232" t="e">
        <f t="shared" si="386"/>
        <v>#N/A</v>
      </c>
      <c r="BB402" s="275">
        <f t="shared" si="420"/>
        <v>7</v>
      </c>
      <c r="BC402" s="276" t="e">
        <f t="shared" si="421"/>
        <v>#N/A</v>
      </c>
      <c r="BD402" s="277" t="e">
        <f t="shared" si="422"/>
        <v>#N/A</v>
      </c>
      <c r="BE402" s="250" t="e">
        <f t="shared" si="387"/>
        <v>#N/A</v>
      </c>
      <c r="BF402" s="247">
        <f t="shared" si="423"/>
        <v>7</v>
      </c>
      <c r="BG402" s="276" t="e">
        <f t="shared" si="424"/>
        <v>#N/A</v>
      </c>
      <c r="BH402" s="277" t="e">
        <f t="shared" si="425"/>
        <v>#N/A</v>
      </c>
      <c r="BI402" s="250" t="e">
        <f t="shared" si="388"/>
        <v>#N/A</v>
      </c>
      <c r="BJ402" s="251">
        <f t="shared" si="426"/>
        <v>7</v>
      </c>
      <c r="BK402" s="278" t="e">
        <f t="shared" si="427"/>
        <v>#N/A</v>
      </c>
      <c r="BL402" s="278" t="e">
        <f t="shared" si="428"/>
        <v>#N/A</v>
      </c>
      <c r="BM402" s="279" t="e">
        <f t="shared" si="389"/>
        <v>#N/A</v>
      </c>
      <c r="BN402" s="280">
        <f t="shared" si="429"/>
        <v>7</v>
      </c>
      <c r="BO402" s="281" t="e">
        <f t="shared" si="430"/>
        <v>#N/A</v>
      </c>
      <c r="BP402" s="281" t="e">
        <f t="shared" si="431"/>
        <v>#N/A</v>
      </c>
      <c r="BQ402" s="279" t="e">
        <f t="shared" si="390"/>
        <v>#N/A</v>
      </c>
      <c r="BR402" s="282" t="e">
        <f t="shared" si="391"/>
        <v>#N/A</v>
      </c>
      <c r="BS402" s="217" t="e">
        <f>VLOOKUP($B402,SDR24_STOCK_BY_LA!$A$2:$C$11878,3,0)</f>
        <v>#N/A</v>
      </c>
      <c r="BT402" s="217" t="str">
        <f t="shared" si="432"/>
        <v/>
      </c>
    </row>
    <row r="403" spans="1:72" x14ac:dyDescent="0.2">
      <c r="A403" s="256" t="str">
        <f t="shared" si="433"/>
        <v/>
      </c>
      <c r="B403" s="217" t="str">
        <f t="shared" si="434"/>
        <v/>
      </c>
      <c r="C403" s="257" t="str">
        <f t="shared" si="392"/>
        <v/>
      </c>
      <c r="D403" s="256" t="str">
        <f>IF(B403="","",IF(totals!$Q$3=0,IFERROR(IF(AD403=2,"0",AE403),""),"-"))</f>
        <v/>
      </c>
      <c r="E403" s="258" t="str">
        <f t="shared" si="393"/>
        <v/>
      </c>
      <c r="F403" s="259" t="str">
        <f t="shared" si="394"/>
        <v/>
      </c>
      <c r="G403" s="259" t="str">
        <f t="shared" si="395"/>
        <v/>
      </c>
      <c r="H403" s="256" t="str">
        <f t="shared" si="373"/>
        <v/>
      </c>
      <c r="I403" s="259" t="str">
        <f t="shared" si="396"/>
        <v/>
      </c>
      <c r="J403" s="259" t="str">
        <f t="shared" si="397"/>
        <v/>
      </c>
      <c r="K403" s="256" t="str">
        <f t="shared" si="374"/>
        <v/>
      </c>
      <c r="L403" s="259" t="str">
        <f t="shared" si="375"/>
        <v/>
      </c>
      <c r="M403" s="259" t="str">
        <f t="shared" si="398"/>
        <v/>
      </c>
      <c r="N403" s="256" t="str">
        <f t="shared" si="399"/>
        <v/>
      </c>
      <c r="O403" s="259" t="str">
        <f t="shared" si="400"/>
        <v/>
      </c>
      <c r="P403" s="259" t="str">
        <f t="shared" si="401"/>
        <v/>
      </c>
      <c r="Q403" s="256" t="str">
        <f t="shared" si="402"/>
        <v/>
      </c>
      <c r="R403" s="259" t="str">
        <f t="shared" si="403"/>
        <v/>
      </c>
      <c r="S403" s="259" t="str">
        <f t="shared" si="404"/>
        <v/>
      </c>
      <c r="T403" s="256" t="str">
        <f t="shared" si="405"/>
        <v/>
      </c>
      <c r="U403" s="217"/>
      <c r="V403" s="217"/>
      <c r="AB403" s="257" t="e">
        <f>VLOOKUP($B$6,Lookup_Source,396,0)</f>
        <v>#N/A</v>
      </c>
      <c r="AC403" s="241" t="str">
        <f t="shared" si="406"/>
        <v/>
      </c>
      <c r="AD403" s="242">
        <f t="shared" si="407"/>
        <v>7</v>
      </c>
      <c r="AE403" s="261" t="e">
        <f t="shared" si="376"/>
        <v>#N/A</v>
      </c>
      <c r="AF403" s="264" t="e">
        <f t="shared" si="408"/>
        <v>#N/A</v>
      </c>
      <c r="AG403" s="264" t="e">
        <f t="shared" si="409"/>
        <v>#N/A</v>
      </c>
      <c r="AH403" s="263" t="e">
        <f t="shared" si="377"/>
        <v>#N/A</v>
      </c>
      <c r="AI403" s="226">
        <f t="shared" si="410"/>
        <v>7</v>
      </c>
      <c r="AJ403" s="264" t="e">
        <f t="shared" si="378"/>
        <v>#N/A</v>
      </c>
      <c r="AK403" s="264" t="e">
        <f t="shared" si="411"/>
        <v>#N/A</v>
      </c>
      <c r="AL403" s="226" t="e">
        <f t="shared" si="379"/>
        <v>#N/A</v>
      </c>
      <c r="AM403" s="265" t="e">
        <f t="shared" si="412"/>
        <v>#N/A</v>
      </c>
      <c r="AN403" s="266" t="e">
        <f t="shared" si="380"/>
        <v>#N/A</v>
      </c>
      <c r="AO403" s="227" t="e">
        <f t="shared" si="381"/>
        <v>#N/A</v>
      </c>
      <c r="AP403" s="284">
        <f t="shared" si="413"/>
        <v>7</v>
      </c>
      <c r="AQ403" s="285" t="e">
        <f t="shared" si="382"/>
        <v>#N/A</v>
      </c>
      <c r="AR403" s="266" t="e">
        <f t="shared" si="414"/>
        <v>#N/A</v>
      </c>
      <c r="AS403" s="270" t="e">
        <f t="shared" si="383"/>
        <v>#N/A</v>
      </c>
      <c r="AT403" s="271">
        <f t="shared" si="415"/>
        <v>7</v>
      </c>
      <c r="AU403" s="272" t="e">
        <f t="shared" si="416"/>
        <v>#N/A</v>
      </c>
      <c r="AV403" s="273" t="e">
        <f t="shared" si="417"/>
        <v>#N/A</v>
      </c>
      <c r="AW403" s="274" t="e">
        <f t="shared" si="384"/>
        <v>#N/A</v>
      </c>
      <c r="AX403" s="232">
        <f t="shared" si="418"/>
        <v>7</v>
      </c>
      <c r="AY403" s="273" t="e">
        <f t="shared" si="385"/>
        <v>#N/A</v>
      </c>
      <c r="AZ403" s="232" t="e">
        <f t="shared" si="419"/>
        <v>#N/A</v>
      </c>
      <c r="BA403" s="232" t="e">
        <f t="shared" si="386"/>
        <v>#N/A</v>
      </c>
      <c r="BB403" s="275">
        <f t="shared" si="420"/>
        <v>7</v>
      </c>
      <c r="BC403" s="276" t="e">
        <f t="shared" si="421"/>
        <v>#N/A</v>
      </c>
      <c r="BD403" s="277" t="e">
        <f t="shared" si="422"/>
        <v>#N/A</v>
      </c>
      <c r="BE403" s="250" t="e">
        <f t="shared" si="387"/>
        <v>#N/A</v>
      </c>
      <c r="BF403" s="247">
        <f t="shared" si="423"/>
        <v>7</v>
      </c>
      <c r="BG403" s="276" t="e">
        <f t="shared" si="424"/>
        <v>#N/A</v>
      </c>
      <c r="BH403" s="277" t="e">
        <f t="shared" si="425"/>
        <v>#N/A</v>
      </c>
      <c r="BI403" s="250" t="e">
        <f t="shared" si="388"/>
        <v>#N/A</v>
      </c>
      <c r="BJ403" s="251">
        <f t="shared" si="426"/>
        <v>7</v>
      </c>
      <c r="BK403" s="278" t="e">
        <f t="shared" si="427"/>
        <v>#N/A</v>
      </c>
      <c r="BL403" s="278" t="e">
        <f t="shared" si="428"/>
        <v>#N/A</v>
      </c>
      <c r="BM403" s="279" t="e">
        <f t="shared" si="389"/>
        <v>#N/A</v>
      </c>
      <c r="BN403" s="280">
        <f t="shared" si="429"/>
        <v>7</v>
      </c>
      <c r="BO403" s="281" t="e">
        <f t="shared" si="430"/>
        <v>#N/A</v>
      </c>
      <c r="BP403" s="281" t="e">
        <f t="shared" si="431"/>
        <v>#N/A</v>
      </c>
      <c r="BQ403" s="279" t="e">
        <f t="shared" si="390"/>
        <v>#N/A</v>
      </c>
      <c r="BR403" s="282" t="e">
        <f t="shared" si="391"/>
        <v>#N/A</v>
      </c>
      <c r="BS403" s="217" t="e">
        <f>VLOOKUP($B403,SDR24_STOCK_BY_LA!$A$2:$C$11878,3,0)</f>
        <v>#N/A</v>
      </c>
      <c r="BT403" s="217" t="str">
        <f t="shared" si="432"/>
        <v/>
      </c>
    </row>
    <row r="404" spans="1:72" x14ac:dyDescent="0.2">
      <c r="A404" s="217" t="str">
        <f t="shared" si="433"/>
        <v/>
      </c>
      <c r="B404" s="217" t="str">
        <f t="shared" si="434"/>
        <v/>
      </c>
      <c r="C404" s="283" t="str">
        <f t="shared" si="392"/>
        <v/>
      </c>
      <c r="D404" s="256" t="str">
        <f>IF(B404="","",IF(totals!$Q$3=0,IFERROR(IF(AD404=2,"0",AE404),""),"-"))</f>
        <v/>
      </c>
      <c r="E404" s="258" t="str">
        <f t="shared" si="393"/>
        <v/>
      </c>
      <c r="F404" s="259" t="str">
        <f t="shared" si="394"/>
        <v/>
      </c>
      <c r="G404" s="259" t="str">
        <f t="shared" si="395"/>
        <v/>
      </c>
      <c r="H404" s="256" t="str">
        <f t="shared" si="373"/>
        <v/>
      </c>
      <c r="I404" s="259" t="str">
        <f t="shared" si="396"/>
        <v/>
      </c>
      <c r="J404" s="259" t="str">
        <f t="shared" si="397"/>
        <v/>
      </c>
      <c r="K404" s="256" t="str">
        <f t="shared" si="374"/>
        <v/>
      </c>
      <c r="L404" s="259" t="str">
        <f t="shared" si="375"/>
        <v/>
      </c>
      <c r="M404" s="259" t="str">
        <f t="shared" si="398"/>
        <v/>
      </c>
      <c r="N404" s="256" t="str">
        <f t="shared" si="399"/>
        <v/>
      </c>
      <c r="O404" s="259" t="str">
        <f t="shared" si="400"/>
        <v/>
      </c>
      <c r="P404" s="259" t="str">
        <f t="shared" si="401"/>
        <v/>
      </c>
      <c r="Q404" s="256" t="str">
        <f t="shared" si="402"/>
        <v/>
      </c>
      <c r="R404" s="259" t="str">
        <f t="shared" si="403"/>
        <v/>
      </c>
      <c r="S404" s="259" t="str">
        <f t="shared" si="404"/>
        <v/>
      </c>
      <c r="T404" s="256" t="str">
        <f t="shared" si="405"/>
        <v/>
      </c>
      <c r="U404" s="217"/>
      <c r="V404" s="217"/>
      <c r="AB404" s="217" t="e">
        <f>VLOOKUP($B$6,Lookup_Source,397,0)</f>
        <v>#N/A</v>
      </c>
      <c r="AC404" s="241" t="str">
        <f t="shared" si="406"/>
        <v/>
      </c>
      <c r="AD404" s="242">
        <f t="shared" si="407"/>
        <v>7</v>
      </c>
      <c r="AE404" s="261" t="e">
        <f t="shared" si="376"/>
        <v>#N/A</v>
      </c>
      <c r="AF404" s="264" t="e">
        <f t="shared" si="408"/>
        <v>#N/A</v>
      </c>
      <c r="AG404" s="264" t="e">
        <f t="shared" si="409"/>
        <v>#N/A</v>
      </c>
      <c r="AH404" s="263" t="e">
        <f t="shared" si="377"/>
        <v>#N/A</v>
      </c>
      <c r="AI404" s="226">
        <f t="shared" si="410"/>
        <v>7</v>
      </c>
      <c r="AJ404" s="264" t="e">
        <f t="shared" si="378"/>
        <v>#N/A</v>
      </c>
      <c r="AK404" s="264" t="e">
        <f t="shared" si="411"/>
        <v>#N/A</v>
      </c>
      <c r="AL404" s="226" t="e">
        <f t="shared" si="379"/>
        <v>#N/A</v>
      </c>
      <c r="AM404" s="265" t="e">
        <f t="shared" si="412"/>
        <v>#N/A</v>
      </c>
      <c r="AN404" s="266" t="e">
        <f t="shared" si="380"/>
        <v>#N/A</v>
      </c>
      <c r="AO404" s="227" t="e">
        <f t="shared" si="381"/>
        <v>#N/A</v>
      </c>
      <c r="AP404" s="284">
        <f t="shared" si="413"/>
        <v>7</v>
      </c>
      <c r="AQ404" s="285" t="e">
        <f t="shared" si="382"/>
        <v>#N/A</v>
      </c>
      <c r="AR404" s="266" t="e">
        <f t="shared" si="414"/>
        <v>#N/A</v>
      </c>
      <c r="AS404" s="270" t="e">
        <f t="shared" si="383"/>
        <v>#N/A</v>
      </c>
      <c r="AT404" s="271">
        <f t="shared" si="415"/>
        <v>7</v>
      </c>
      <c r="AU404" s="272" t="e">
        <f t="shared" si="416"/>
        <v>#N/A</v>
      </c>
      <c r="AV404" s="273" t="e">
        <f t="shared" si="417"/>
        <v>#N/A</v>
      </c>
      <c r="AW404" s="274" t="e">
        <f t="shared" si="384"/>
        <v>#N/A</v>
      </c>
      <c r="AX404" s="232">
        <f t="shared" si="418"/>
        <v>7</v>
      </c>
      <c r="AY404" s="273" t="e">
        <f t="shared" si="385"/>
        <v>#N/A</v>
      </c>
      <c r="AZ404" s="232" t="e">
        <f t="shared" si="419"/>
        <v>#N/A</v>
      </c>
      <c r="BA404" s="232" t="e">
        <f t="shared" si="386"/>
        <v>#N/A</v>
      </c>
      <c r="BB404" s="275">
        <f t="shared" si="420"/>
        <v>7</v>
      </c>
      <c r="BC404" s="276" t="e">
        <f t="shared" si="421"/>
        <v>#N/A</v>
      </c>
      <c r="BD404" s="277" t="e">
        <f t="shared" si="422"/>
        <v>#N/A</v>
      </c>
      <c r="BE404" s="250" t="e">
        <f t="shared" si="387"/>
        <v>#N/A</v>
      </c>
      <c r="BF404" s="247">
        <f t="shared" si="423"/>
        <v>7</v>
      </c>
      <c r="BG404" s="276" t="e">
        <f t="shared" si="424"/>
        <v>#N/A</v>
      </c>
      <c r="BH404" s="277" t="e">
        <f t="shared" si="425"/>
        <v>#N/A</v>
      </c>
      <c r="BI404" s="250" t="e">
        <f t="shared" si="388"/>
        <v>#N/A</v>
      </c>
      <c r="BJ404" s="251">
        <f t="shared" si="426"/>
        <v>7</v>
      </c>
      <c r="BK404" s="278" t="e">
        <f t="shared" si="427"/>
        <v>#N/A</v>
      </c>
      <c r="BL404" s="278" t="e">
        <f t="shared" si="428"/>
        <v>#N/A</v>
      </c>
      <c r="BM404" s="279" t="e">
        <f t="shared" si="389"/>
        <v>#N/A</v>
      </c>
      <c r="BN404" s="280">
        <f t="shared" si="429"/>
        <v>7</v>
      </c>
      <c r="BO404" s="281" t="e">
        <f t="shared" si="430"/>
        <v>#N/A</v>
      </c>
      <c r="BP404" s="281" t="e">
        <f t="shared" si="431"/>
        <v>#N/A</v>
      </c>
      <c r="BQ404" s="279" t="e">
        <f t="shared" si="390"/>
        <v>#N/A</v>
      </c>
      <c r="BR404" s="282" t="e">
        <f t="shared" si="391"/>
        <v>#N/A</v>
      </c>
      <c r="BS404" s="217" t="e">
        <f>VLOOKUP($B404,SDR24_STOCK_BY_LA!$A$2:$C$11878,3,0)</f>
        <v>#N/A</v>
      </c>
      <c r="BT404" s="217" t="str">
        <f t="shared" si="432"/>
        <v/>
      </c>
    </row>
    <row r="405" spans="1:72" x14ac:dyDescent="0.2">
      <c r="A405" s="256" t="str">
        <f t="shared" si="433"/>
        <v/>
      </c>
      <c r="B405" s="217" t="str">
        <f t="shared" si="434"/>
        <v/>
      </c>
      <c r="C405" s="257" t="str">
        <f t="shared" si="392"/>
        <v/>
      </c>
      <c r="D405" s="256" t="str">
        <f>IF(B405="","",IF(totals!$Q$3=0,IFERROR(IF(AD405=2,"0",AE405),""),"-"))</f>
        <v/>
      </c>
      <c r="E405" s="258" t="str">
        <f t="shared" si="393"/>
        <v/>
      </c>
      <c r="F405" s="259" t="str">
        <f t="shared" si="394"/>
        <v/>
      </c>
      <c r="G405" s="259" t="str">
        <f t="shared" si="395"/>
        <v/>
      </c>
      <c r="H405" s="256" t="str">
        <f t="shared" si="373"/>
        <v/>
      </c>
      <c r="I405" s="259" t="str">
        <f t="shared" si="396"/>
        <v/>
      </c>
      <c r="J405" s="259" t="str">
        <f t="shared" si="397"/>
        <v/>
      </c>
      <c r="K405" s="256" t="str">
        <f t="shared" si="374"/>
        <v/>
      </c>
      <c r="L405" s="259" t="str">
        <f t="shared" si="375"/>
        <v/>
      </c>
      <c r="M405" s="259" t="str">
        <f t="shared" si="398"/>
        <v/>
      </c>
      <c r="N405" s="256" t="str">
        <f t="shared" si="399"/>
        <v/>
      </c>
      <c r="O405" s="259" t="str">
        <f t="shared" si="400"/>
        <v/>
      </c>
      <c r="P405" s="259" t="str">
        <f t="shared" si="401"/>
        <v/>
      </c>
      <c r="Q405" s="256" t="str">
        <f t="shared" si="402"/>
        <v/>
      </c>
      <c r="R405" s="259" t="str">
        <f t="shared" si="403"/>
        <v/>
      </c>
      <c r="S405" s="259" t="str">
        <f t="shared" si="404"/>
        <v/>
      </c>
      <c r="T405" s="256" t="str">
        <f t="shared" si="405"/>
        <v/>
      </c>
      <c r="U405" s="217"/>
      <c r="V405" s="217"/>
      <c r="AB405" s="257" t="e">
        <f>VLOOKUP($B$6,Lookup_Source,398,0)</f>
        <v>#N/A</v>
      </c>
      <c r="AC405" s="241" t="str">
        <f t="shared" si="406"/>
        <v/>
      </c>
      <c r="AD405" s="242">
        <f t="shared" si="407"/>
        <v>7</v>
      </c>
      <c r="AE405" s="261" t="e">
        <f t="shared" si="376"/>
        <v>#N/A</v>
      </c>
      <c r="AF405" s="264" t="e">
        <f t="shared" si="408"/>
        <v>#N/A</v>
      </c>
      <c r="AG405" s="264" t="e">
        <f t="shared" si="409"/>
        <v>#N/A</v>
      </c>
      <c r="AH405" s="263" t="e">
        <f t="shared" si="377"/>
        <v>#N/A</v>
      </c>
      <c r="AI405" s="226">
        <f t="shared" si="410"/>
        <v>7</v>
      </c>
      <c r="AJ405" s="264" t="e">
        <f t="shared" si="378"/>
        <v>#N/A</v>
      </c>
      <c r="AK405" s="264" t="e">
        <f t="shared" si="411"/>
        <v>#N/A</v>
      </c>
      <c r="AL405" s="226" t="e">
        <f t="shared" si="379"/>
        <v>#N/A</v>
      </c>
      <c r="AM405" s="265" t="e">
        <f t="shared" si="412"/>
        <v>#N/A</v>
      </c>
      <c r="AN405" s="266" t="e">
        <f t="shared" si="380"/>
        <v>#N/A</v>
      </c>
      <c r="AO405" s="227" t="e">
        <f t="shared" si="381"/>
        <v>#N/A</v>
      </c>
      <c r="AP405" s="284">
        <f t="shared" si="413"/>
        <v>7</v>
      </c>
      <c r="AQ405" s="285" t="e">
        <f t="shared" si="382"/>
        <v>#N/A</v>
      </c>
      <c r="AR405" s="266" t="e">
        <f t="shared" si="414"/>
        <v>#N/A</v>
      </c>
      <c r="AS405" s="270" t="e">
        <f t="shared" si="383"/>
        <v>#N/A</v>
      </c>
      <c r="AT405" s="271">
        <f t="shared" si="415"/>
        <v>7</v>
      </c>
      <c r="AU405" s="272" t="e">
        <f t="shared" si="416"/>
        <v>#N/A</v>
      </c>
      <c r="AV405" s="273" t="e">
        <f t="shared" si="417"/>
        <v>#N/A</v>
      </c>
      <c r="AW405" s="274" t="e">
        <f t="shared" si="384"/>
        <v>#N/A</v>
      </c>
      <c r="AX405" s="232">
        <f t="shared" si="418"/>
        <v>7</v>
      </c>
      <c r="AY405" s="273" t="e">
        <f t="shared" si="385"/>
        <v>#N/A</v>
      </c>
      <c r="AZ405" s="232" t="e">
        <f t="shared" si="419"/>
        <v>#N/A</v>
      </c>
      <c r="BA405" s="232" t="e">
        <f t="shared" si="386"/>
        <v>#N/A</v>
      </c>
      <c r="BB405" s="275">
        <f t="shared" si="420"/>
        <v>7</v>
      </c>
      <c r="BC405" s="276" t="e">
        <f t="shared" si="421"/>
        <v>#N/A</v>
      </c>
      <c r="BD405" s="277" t="e">
        <f t="shared" si="422"/>
        <v>#N/A</v>
      </c>
      <c r="BE405" s="250" t="e">
        <f t="shared" si="387"/>
        <v>#N/A</v>
      </c>
      <c r="BF405" s="247">
        <f t="shared" si="423"/>
        <v>7</v>
      </c>
      <c r="BG405" s="276" t="e">
        <f t="shared" si="424"/>
        <v>#N/A</v>
      </c>
      <c r="BH405" s="277" t="e">
        <f t="shared" si="425"/>
        <v>#N/A</v>
      </c>
      <c r="BI405" s="250" t="e">
        <f t="shared" si="388"/>
        <v>#N/A</v>
      </c>
      <c r="BJ405" s="251">
        <f t="shared" si="426"/>
        <v>7</v>
      </c>
      <c r="BK405" s="278" t="e">
        <f t="shared" si="427"/>
        <v>#N/A</v>
      </c>
      <c r="BL405" s="278" t="e">
        <f t="shared" si="428"/>
        <v>#N/A</v>
      </c>
      <c r="BM405" s="279" t="e">
        <f t="shared" si="389"/>
        <v>#N/A</v>
      </c>
      <c r="BN405" s="280">
        <f t="shared" si="429"/>
        <v>7</v>
      </c>
      <c r="BO405" s="281" t="e">
        <f t="shared" si="430"/>
        <v>#N/A</v>
      </c>
      <c r="BP405" s="281" t="e">
        <f t="shared" si="431"/>
        <v>#N/A</v>
      </c>
      <c r="BQ405" s="279" t="e">
        <f t="shared" si="390"/>
        <v>#N/A</v>
      </c>
      <c r="BR405" s="282" t="e">
        <f t="shared" si="391"/>
        <v>#N/A</v>
      </c>
      <c r="BS405" s="217" t="e">
        <f>VLOOKUP($B405,SDR24_STOCK_BY_LA!$A$2:$C$11878,3,0)</f>
        <v>#N/A</v>
      </c>
      <c r="BT405" s="217" t="str">
        <f t="shared" si="432"/>
        <v/>
      </c>
    </row>
    <row r="406" spans="1:72" x14ac:dyDescent="0.2">
      <c r="A406" s="217" t="str">
        <f t="shared" si="433"/>
        <v/>
      </c>
      <c r="B406" s="217" t="str">
        <f t="shared" si="434"/>
        <v/>
      </c>
      <c r="C406" s="283" t="str">
        <f t="shared" si="392"/>
        <v/>
      </c>
      <c r="D406" s="256" t="str">
        <f>IF(B406="","",IF(totals!$Q$3=0,IFERROR(IF(AD406=2,"0",AE406),""),"-"))</f>
        <v/>
      </c>
      <c r="E406" s="258" t="str">
        <f t="shared" si="393"/>
        <v/>
      </c>
      <c r="F406" s="259" t="str">
        <f t="shared" si="394"/>
        <v/>
      </c>
      <c r="G406" s="259" t="str">
        <f t="shared" si="395"/>
        <v/>
      </c>
      <c r="H406" s="256" t="str">
        <f t="shared" si="373"/>
        <v/>
      </c>
      <c r="I406" s="259" t="str">
        <f t="shared" si="396"/>
        <v/>
      </c>
      <c r="J406" s="259" t="str">
        <f t="shared" si="397"/>
        <v/>
      </c>
      <c r="K406" s="256" t="str">
        <f t="shared" si="374"/>
        <v/>
      </c>
      <c r="L406" s="259" t="str">
        <f t="shared" si="375"/>
        <v/>
      </c>
      <c r="M406" s="259" t="str">
        <f t="shared" si="398"/>
        <v/>
      </c>
      <c r="N406" s="256" t="str">
        <f t="shared" si="399"/>
        <v/>
      </c>
      <c r="O406" s="259" t="str">
        <f t="shared" si="400"/>
        <v/>
      </c>
      <c r="P406" s="259" t="str">
        <f t="shared" si="401"/>
        <v/>
      </c>
      <c r="Q406" s="256" t="str">
        <f t="shared" si="402"/>
        <v/>
      </c>
      <c r="R406" s="259" t="str">
        <f t="shared" si="403"/>
        <v/>
      </c>
      <c r="S406" s="259" t="str">
        <f t="shared" si="404"/>
        <v/>
      </c>
      <c r="T406" s="256" t="str">
        <f t="shared" si="405"/>
        <v/>
      </c>
      <c r="U406" s="217"/>
      <c r="V406" s="217"/>
      <c r="AB406" s="217" t="e">
        <f>VLOOKUP($B$6,Lookup_Source,399,0)</f>
        <v>#N/A</v>
      </c>
      <c r="AC406" s="241" t="str">
        <f t="shared" si="406"/>
        <v/>
      </c>
      <c r="AD406" s="242">
        <f t="shared" si="407"/>
        <v>7</v>
      </c>
      <c r="AE406" s="261" t="e">
        <f t="shared" si="376"/>
        <v>#N/A</v>
      </c>
      <c r="AF406" s="264" t="e">
        <f t="shared" si="408"/>
        <v>#N/A</v>
      </c>
      <c r="AG406" s="264" t="e">
        <f t="shared" si="409"/>
        <v>#N/A</v>
      </c>
      <c r="AH406" s="263" t="e">
        <f t="shared" si="377"/>
        <v>#N/A</v>
      </c>
      <c r="AI406" s="226">
        <f t="shared" si="410"/>
        <v>7</v>
      </c>
      <c r="AJ406" s="264" t="e">
        <f t="shared" si="378"/>
        <v>#N/A</v>
      </c>
      <c r="AK406" s="264" t="e">
        <f t="shared" si="411"/>
        <v>#N/A</v>
      </c>
      <c r="AL406" s="226" t="e">
        <f t="shared" si="379"/>
        <v>#N/A</v>
      </c>
      <c r="AM406" s="265" t="e">
        <f t="shared" si="412"/>
        <v>#N/A</v>
      </c>
      <c r="AN406" s="266" t="e">
        <f t="shared" si="380"/>
        <v>#N/A</v>
      </c>
      <c r="AO406" s="227" t="e">
        <f t="shared" si="381"/>
        <v>#N/A</v>
      </c>
      <c r="AP406" s="284">
        <f t="shared" si="413"/>
        <v>7</v>
      </c>
      <c r="AQ406" s="285" t="e">
        <f t="shared" si="382"/>
        <v>#N/A</v>
      </c>
      <c r="AR406" s="266" t="e">
        <f t="shared" si="414"/>
        <v>#N/A</v>
      </c>
      <c r="AS406" s="270" t="e">
        <f t="shared" si="383"/>
        <v>#N/A</v>
      </c>
      <c r="AT406" s="271">
        <f t="shared" si="415"/>
        <v>7</v>
      </c>
      <c r="AU406" s="272" t="e">
        <f t="shared" si="416"/>
        <v>#N/A</v>
      </c>
      <c r="AV406" s="273" t="e">
        <f t="shared" si="417"/>
        <v>#N/A</v>
      </c>
      <c r="AW406" s="274" t="e">
        <f t="shared" si="384"/>
        <v>#N/A</v>
      </c>
      <c r="AX406" s="232">
        <f t="shared" si="418"/>
        <v>7</v>
      </c>
      <c r="AY406" s="273" t="e">
        <f t="shared" si="385"/>
        <v>#N/A</v>
      </c>
      <c r="AZ406" s="232" t="e">
        <f t="shared" si="419"/>
        <v>#N/A</v>
      </c>
      <c r="BA406" s="232" t="e">
        <f t="shared" si="386"/>
        <v>#N/A</v>
      </c>
      <c r="BB406" s="275">
        <f t="shared" si="420"/>
        <v>7</v>
      </c>
      <c r="BC406" s="276" t="e">
        <f t="shared" si="421"/>
        <v>#N/A</v>
      </c>
      <c r="BD406" s="277" t="e">
        <f t="shared" si="422"/>
        <v>#N/A</v>
      </c>
      <c r="BE406" s="250" t="e">
        <f t="shared" si="387"/>
        <v>#N/A</v>
      </c>
      <c r="BF406" s="247">
        <f t="shared" si="423"/>
        <v>7</v>
      </c>
      <c r="BG406" s="276" t="e">
        <f t="shared" si="424"/>
        <v>#N/A</v>
      </c>
      <c r="BH406" s="277" t="e">
        <f t="shared" si="425"/>
        <v>#N/A</v>
      </c>
      <c r="BI406" s="250" t="e">
        <f t="shared" si="388"/>
        <v>#N/A</v>
      </c>
      <c r="BJ406" s="251">
        <f t="shared" si="426"/>
        <v>7</v>
      </c>
      <c r="BK406" s="278" t="e">
        <f t="shared" si="427"/>
        <v>#N/A</v>
      </c>
      <c r="BL406" s="278" t="e">
        <f t="shared" si="428"/>
        <v>#N/A</v>
      </c>
      <c r="BM406" s="279" t="e">
        <f t="shared" si="389"/>
        <v>#N/A</v>
      </c>
      <c r="BN406" s="280">
        <f t="shared" si="429"/>
        <v>7</v>
      </c>
      <c r="BO406" s="281" t="e">
        <f t="shared" si="430"/>
        <v>#N/A</v>
      </c>
      <c r="BP406" s="281" t="e">
        <f t="shared" si="431"/>
        <v>#N/A</v>
      </c>
      <c r="BQ406" s="279" t="e">
        <f t="shared" si="390"/>
        <v>#N/A</v>
      </c>
      <c r="BR406" s="282" t="e">
        <f t="shared" si="391"/>
        <v>#N/A</v>
      </c>
      <c r="BS406" s="217" t="e">
        <f>VLOOKUP($B406,SDR24_STOCK_BY_LA!$A$2:$C$11878,3,0)</f>
        <v>#N/A</v>
      </c>
      <c r="BT406" s="217" t="str">
        <f t="shared" si="432"/>
        <v/>
      </c>
    </row>
    <row r="407" spans="1:72" x14ac:dyDescent="0.2">
      <c r="A407" s="256" t="str">
        <f t="shared" si="433"/>
        <v/>
      </c>
      <c r="B407" s="217" t="str">
        <f t="shared" si="434"/>
        <v/>
      </c>
      <c r="C407" s="257" t="str">
        <f t="shared" si="392"/>
        <v/>
      </c>
      <c r="D407" s="256" t="str">
        <f>IF(B407="","",IF(totals!$Q$3=0,IFERROR(IF(AD407=2,"0",AE407),""),"-"))</f>
        <v/>
      </c>
      <c r="E407" s="258" t="str">
        <f t="shared" si="393"/>
        <v/>
      </c>
      <c r="F407" s="259" t="str">
        <f t="shared" si="394"/>
        <v/>
      </c>
      <c r="G407" s="259" t="str">
        <f t="shared" si="395"/>
        <v/>
      </c>
      <c r="H407" s="256" t="str">
        <f t="shared" si="373"/>
        <v/>
      </c>
      <c r="I407" s="259" t="str">
        <f t="shared" si="396"/>
        <v/>
      </c>
      <c r="J407" s="259" t="str">
        <f t="shared" si="397"/>
        <v/>
      </c>
      <c r="K407" s="256" t="str">
        <f t="shared" si="374"/>
        <v/>
      </c>
      <c r="L407" s="259" t="str">
        <f t="shared" si="375"/>
        <v/>
      </c>
      <c r="M407" s="259" t="str">
        <f t="shared" si="398"/>
        <v/>
      </c>
      <c r="N407" s="256" t="str">
        <f t="shared" si="399"/>
        <v/>
      </c>
      <c r="O407" s="259" t="str">
        <f t="shared" si="400"/>
        <v/>
      </c>
      <c r="P407" s="259" t="str">
        <f t="shared" si="401"/>
        <v/>
      </c>
      <c r="Q407" s="256" t="str">
        <f t="shared" si="402"/>
        <v/>
      </c>
      <c r="R407" s="259" t="str">
        <f t="shared" si="403"/>
        <v/>
      </c>
      <c r="S407" s="259" t="str">
        <f t="shared" si="404"/>
        <v/>
      </c>
      <c r="T407" s="256" t="str">
        <f t="shared" si="405"/>
        <v/>
      </c>
      <c r="U407" s="217"/>
      <c r="V407" s="217"/>
      <c r="AB407" s="257" t="e">
        <f>VLOOKUP($B$6,Lookup_Source,400,0)</f>
        <v>#N/A</v>
      </c>
      <c r="AC407" s="241" t="str">
        <f t="shared" si="406"/>
        <v/>
      </c>
      <c r="AD407" s="242">
        <f t="shared" si="407"/>
        <v>7</v>
      </c>
      <c r="AE407" s="261" t="e">
        <f t="shared" si="376"/>
        <v>#N/A</v>
      </c>
      <c r="AF407" s="264" t="e">
        <f t="shared" si="408"/>
        <v>#N/A</v>
      </c>
      <c r="AG407" s="264" t="e">
        <f t="shared" si="409"/>
        <v>#N/A</v>
      </c>
      <c r="AH407" s="263" t="e">
        <f t="shared" si="377"/>
        <v>#N/A</v>
      </c>
      <c r="AI407" s="226">
        <f t="shared" si="410"/>
        <v>7</v>
      </c>
      <c r="AJ407" s="264" t="e">
        <f t="shared" si="378"/>
        <v>#N/A</v>
      </c>
      <c r="AK407" s="264" t="e">
        <f t="shared" si="411"/>
        <v>#N/A</v>
      </c>
      <c r="AL407" s="226" t="e">
        <f t="shared" si="379"/>
        <v>#N/A</v>
      </c>
      <c r="AM407" s="265" t="e">
        <f t="shared" si="412"/>
        <v>#N/A</v>
      </c>
      <c r="AN407" s="266" t="e">
        <f t="shared" si="380"/>
        <v>#N/A</v>
      </c>
      <c r="AO407" s="227" t="e">
        <f t="shared" si="381"/>
        <v>#N/A</v>
      </c>
      <c r="AP407" s="284">
        <f t="shared" si="413"/>
        <v>7</v>
      </c>
      <c r="AQ407" s="285" t="e">
        <f t="shared" si="382"/>
        <v>#N/A</v>
      </c>
      <c r="AR407" s="266" t="e">
        <f t="shared" si="414"/>
        <v>#N/A</v>
      </c>
      <c r="AS407" s="270" t="e">
        <f t="shared" si="383"/>
        <v>#N/A</v>
      </c>
      <c r="AT407" s="271">
        <f t="shared" si="415"/>
        <v>7</v>
      </c>
      <c r="AU407" s="272" t="e">
        <f t="shared" si="416"/>
        <v>#N/A</v>
      </c>
      <c r="AV407" s="273" t="e">
        <f t="shared" si="417"/>
        <v>#N/A</v>
      </c>
      <c r="AW407" s="274" t="e">
        <f t="shared" si="384"/>
        <v>#N/A</v>
      </c>
      <c r="AX407" s="232">
        <f t="shared" si="418"/>
        <v>7</v>
      </c>
      <c r="AY407" s="273" t="e">
        <f t="shared" si="385"/>
        <v>#N/A</v>
      </c>
      <c r="AZ407" s="232" t="e">
        <f t="shared" si="419"/>
        <v>#N/A</v>
      </c>
      <c r="BA407" s="232" t="e">
        <f t="shared" si="386"/>
        <v>#N/A</v>
      </c>
      <c r="BB407" s="275">
        <f t="shared" si="420"/>
        <v>7</v>
      </c>
      <c r="BC407" s="276" t="e">
        <f t="shared" si="421"/>
        <v>#N/A</v>
      </c>
      <c r="BD407" s="277" t="e">
        <f t="shared" si="422"/>
        <v>#N/A</v>
      </c>
      <c r="BE407" s="250" t="e">
        <f t="shared" si="387"/>
        <v>#N/A</v>
      </c>
      <c r="BF407" s="247">
        <f t="shared" si="423"/>
        <v>7</v>
      </c>
      <c r="BG407" s="276" t="e">
        <f t="shared" si="424"/>
        <v>#N/A</v>
      </c>
      <c r="BH407" s="277" t="e">
        <f t="shared" si="425"/>
        <v>#N/A</v>
      </c>
      <c r="BI407" s="250" t="e">
        <f t="shared" si="388"/>
        <v>#N/A</v>
      </c>
      <c r="BJ407" s="251">
        <f t="shared" si="426"/>
        <v>7</v>
      </c>
      <c r="BK407" s="278" t="e">
        <f t="shared" si="427"/>
        <v>#N/A</v>
      </c>
      <c r="BL407" s="278" t="e">
        <f t="shared" si="428"/>
        <v>#N/A</v>
      </c>
      <c r="BM407" s="279" t="e">
        <f t="shared" si="389"/>
        <v>#N/A</v>
      </c>
      <c r="BN407" s="280">
        <f t="shared" si="429"/>
        <v>7</v>
      </c>
      <c r="BO407" s="281" t="e">
        <f t="shared" si="430"/>
        <v>#N/A</v>
      </c>
      <c r="BP407" s="281" t="e">
        <f t="shared" si="431"/>
        <v>#N/A</v>
      </c>
      <c r="BQ407" s="279" t="e">
        <f t="shared" si="390"/>
        <v>#N/A</v>
      </c>
      <c r="BR407" s="282" t="e">
        <f t="shared" si="391"/>
        <v>#N/A</v>
      </c>
      <c r="BS407" s="217" t="e">
        <f>VLOOKUP($B407,SDR24_STOCK_BY_LA!$A$2:$C$11878,3,0)</f>
        <v>#N/A</v>
      </c>
      <c r="BT407" s="217" t="str">
        <f t="shared" si="432"/>
        <v/>
      </c>
    </row>
    <row r="408" spans="1:72" x14ac:dyDescent="0.2">
      <c r="A408" s="217" t="str">
        <f t="shared" si="433"/>
        <v/>
      </c>
      <c r="B408" s="217" t="str">
        <f t="shared" si="434"/>
        <v/>
      </c>
      <c r="C408" s="283" t="str">
        <f t="shared" si="392"/>
        <v/>
      </c>
      <c r="D408" s="256" t="str">
        <f>IF(B408="","",IF(totals!$Q$3=0,IFERROR(IF(AD408=2,"0",AE408),""),"-"))</f>
        <v/>
      </c>
      <c r="E408" s="258" t="str">
        <f t="shared" si="393"/>
        <v/>
      </c>
      <c r="F408" s="259" t="str">
        <f t="shared" si="394"/>
        <v/>
      </c>
      <c r="G408" s="259" t="str">
        <f t="shared" si="395"/>
        <v/>
      </c>
      <c r="H408" s="256" t="str">
        <f t="shared" si="373"/>
        <v/>
      </c>
      <c r="I408" s="259" t="str">
        <f t="shared" si="396"/>
        <v/>
      </c>
      <c r="J408" s="259" t="str">
        <f t="shared" si="397"/>
        <v/>
      </c>
      <c r="K408" s="256" t="str">
        <f t="shared" si="374"/>
        <v/>
      </c>
      <c r="L408" s="259" t="str">
        <f t="shared" si="375"/>
        <v/>
      </c>
      <c r="M408" s="259" t="str">
        <f t="shared" si="398"/>
        <v/>
      </c>
      <c r="N408" s="256" t="str">
        <f t="shared" si="399"/>
        <v/>
      </c>
      <c r="O408" s="259" t="str">
        <f t="shared" si="400"/>
        <v/>
      </c>
      <c r="P408" s="259" t="str">
        <f t="shared" si="401"/>
        <v/>
      </c>
      <c r="Q408" s="256" t="str">
        <f t="shared" si="402"/>
        <v/>
      </c>
      <c r="R408" s="259" t="str">
        <f t="shared" si="403"/>
        <v/>
      </c>
      <c r="S408" s="259" t="str">
        <f t="shared" si="404"/>
        <v/>
      </c>
      <c r="T408" s="256" t="str">
        <f t="shared" si="405"/>
        <v/>
      </c>
      <c r="U408" s="217"/>
      <c r="V408" s="217"/>
      <c r="AB408" s="217" t="e">
        <f>VLOOKUP($B$6,Lookup_Source,401,0)</f>
        <v>#N/A</v>
      </c>
      <c r="AC408" s="241" t="str">
        <f t="shared" si="406"/>
        <v/>
      </c>
      <c r="AD408" s="242">
        <f t="shared" si="407"/>
        <v>7</v>
      </c>
      <c r="AE408" s="261" t="e">
        <f t="shared" si="376"/>
        <v>#N/A</v>
      </c>
      <c r="AF408" s="264" t="e">
        <f t="shared" si="408"/>
        <v>#N/A</v>
      </c>
      <c r="AG408" s="264" t="e">
        <f t="shared" si="409"/>
        <v>#N/A</v>
      </c>
      <c r="AH408" s="263" t="e">
        <f t="shared" si="377"/>
        <v>#N/A</v>
      </c>
      <c r="AI408" s="226">
        <f t="shared" si="410"/>
        <v>7</v>
      </c>
      <c r="AJ408" s="264" t="e">
        <f t="shared" si="378"/>
        <v>#N/A</v>
      </c>
      <c r="AK408" s="264" t="e">
        <f t="shared" si="411"/>
        <v>#N/A</v>
      </c>
      <c r="AL408" s="226" t="e">
        <f t="shared" si="379"/>
        <v>#N/A</v>
      </c>
      <c r="AM408" s="265" t="e">
        <f t="shared" si="412"/>
        <v>#N/A</v>
      </c>
      <c r="AN408" s="266" t="e">
        <f t="shared" si="380"/>
        <v>#N/A</v>
      </c>
      <c r="AO408" s="227" t="e">
        <f t="shared" si="381"/>
        <v>#N/A</v>
      </c>
      <c r="AP408" s="284">
        <f t="shared" si="413"/>
        <v>7</v>
      </c>
      <c r="AQ408" s="285" t="e">
        <f t="shared" si="382"/>
        <v>#N/A</v>
      </c>
      <c r="AR408" s="266" t="e">
        <f t="shared" si="414"/>
        <v>#N/A</v>
      </c>
      <c r="AS408" s="270" t="e">
        <f t="shared" si="383"/>
        <v>#N/A</v>
      </c>
      <c r="AT408" s="271">
        <f t="shared" si="415"/>
        <v>7</v>
      </c>
      <c r="AU408" s="272" t="e">
        <f t="shared" si="416"/>
        <v>#N/A</v>
      </c>
      <c r="AV408" s="273" t="e">
        <f t="shared" si="417"/>
        <v>#N/A</v>
      </c>
      <c r="AW408" s="274" t="e">
        <f t="shared" si="384"/>
        <v>#N/A</v>
      </c>
      <c r="AX408" s="232">
        <f t="shared" si="418"/>
        <v>7</v>
      </c>
      <c r="AY408" s="273" t="e">
        <f t="shared" si="385"/>
        <v>#N/A</v>
      </c>
      <c r="AZ408" s="232" t="e">
        <f t="shared" si="419"/>
        <v>#N/A</v>
      </c>
      <c r="BA408" s="232" t="e">
        <f t="shared" si="386"/>
        <v>#N/A</v>
      </c>
      <c r="BB408" s="275">
        <f t="shared" si="420"/>
        <v>7</v>
      </c>
      <c r="BC408" s="276" t="e">
        <f t="shared" si="421"/>
        <v>#N/A</v>
      </c>
      <c r="BD408" s="277" t="e">
        <f t="shared" si="422"/>
        <v>#N/A</v>
      </c>
      <c r="BE408" s="250" t="e">
        <f t="shared" si="387"/>
        <v>#N/A</v>
      </c>
      <c r="BF408" s="247">
        <f t="shared" si="423"/>
        <v>7</v>
      </c>
      <c r="BG408" s="276" t="e">
        <f t="shared" si="424"/>
        <v>#N/A</v>
      </c>
      <c r="BH408" s="277" t="e">
        <f t="shared" si="425"/>
        <v>#N/A</v>
      </c>
      <c r="BI408" s="250" t="e">
        <f t="shared" si="388"/>
        <v>#N/A</v>
      </c>
      <c r="BJ408" s="251">
        <f t="shared" si="426"/>
        <v>7</v>
      </c>
      <c r="BK408" s="278" t="e">
        <f t="shared" si="427"/>
        <v>#N/A</v>
      </c>
      <c r="BL408" s="278" t="e">
        <f t="shared" si="428"/>
        <v>#N/A</v>
      </c>
      <c r="BM408" s="279" t="e">
        <f t="shared" si="389"/>
        <v>#N/A</v>
      </c>
      <c r="BN408" s="280">
        <f t="shared" si="429"/>
        <v>7</v>
      </c>
      <c r="BO408" s="281" t="e">
        <f t="shared" si="430"/>
        <v>#N/A</v>
      </c>
      <c r="BP408" s="281" t="e">
        <f t="shared" si="431"/>
        <v>#N/A</v>
      </c>
      <c r="BQ408" s="279" t="e">
        <f t="shared" si="390"/>
        <v>#N/A</v>
      </c>
      <c r="BR408" s="282" t="e">
        <f t="shared" si="391"/>
        <v>#N/A</v>
      </c>
      <c r="BS408" s="217" t="e">
        <f>VLOOKUP($B408,SDR24_STOCK_BY_LA!$A$2:$C$11878,3,0)</f>
        <v>#N/A</v>
      </c>
      <c r="BT408" s="217" t="str">
        <f t="shared" si="432"/>
        <v/>
      </c>
    </row>
    <row r="409" spans="1:72" x14ac:dyDescent="0.2">
      <c r="A409" s="256" t="str">
        <f t="shared" si="433"/>
        <v/>
      </c>
      <c r="B409" s="217" t="str">
        <f t="shared" si="434"/>
        <v/>
      </c>
      <c r="C409" s="257" t="str">
        <f t="shared" si="392"/>
        <v/>
      </c>
      <c r="D409" s="256" t="str">
        <f>IF(B409="","",IF(totals!$Q$3=0,IFERROR(IF(AD409=2,"0",AE409),""),"-"))</f>
        <v/>
      </c>
      <c r="E409" s="258" t="str">
        <f t="shared" si="393"/>
        <v/>
      </c>
      <c r="F409" s="259" t="str">
        <f t="shared" si="394"/>
        <v/>
      </c>
      <c r="G409" s="259" t="str">
        <f t="shared" si="395"/>
        <v/>
      </c>
      <c r="H409" s="256" t="str">
        <f t="shared" si="373"/>
        <v/>
      </c>
      <c r="I409" s="259" t="str">
        <f t="shared" si="396"/>
        <v/>
      </c>
      <c r="J409" s="259" t="str">
        <f t="shared" si="397"/>
        <v/>
      </c>
      <c r="K409" s="256" t="str">
        <f t="shared" si="374"/>
        <v/>
      </c>
      <c r="L409" s="259" t="str">
        <f t="shared" si="375"/>
        <v/>
      </c>
      <c r="M409" s="259" t="str">
        <f t="shared" si="398"/>
        <v/>
      </c>
      <c r="N409" s="256" t="str">
        <f t="shared" si="399"/>
        <v/>
      </c>
      <c r="O409" s="259" t="str">
        <f t="shared" si="400"/>
        <v/>
      </c>
      <c r="P409" s="259" t="str">
        <f t="shared" si="401"/>
        <v/>
      </c>
      <c r="Q409" s="256" t="str">
        <f t="shared" si="402"/>
        <v/>
      </c>
      <c r="R409" s="259" t="str">
        <f t="shared" si="403"/>
        <v/>
      </c>
      <c r="S409" s="259" t="str">
        <f t="shared" si="404"/>
        <v/>
      </c>
      <c r="T409" s="256" t="str">
        <f t="shared" si="405"/>
        <v/>
      </c>
      <c r="U409" s="217"/>
      <c r="V409" s="217"/>
      <c r="AB409" s="257" t="e">
        <f>VLOOKUP($B$6,Lookup_Source,402,0)</f>
        <v>#N/A</v>
      </c>
      <c r="AC409" s="241" t="str">
        <f t="shared" si="406"/>
        <v/>
      </c>
      <c r="AD409" s="242">
        <f t="shared" si="407"/>
        <v>7</v>
      </c>
      <c r="AE409" s="261" t="e">
        <f t="shared" si="376"/>
        <v>#N/A</v>
      </c>
      <c r="AF409" s="264" t="e">
        <f t="shared" si="408"/>
        <v>#N/A</v>
      </c>
      <c r="AG409" s="264" t="e">
        <f t="shared" si="409"/>
        <v>#N/A</v>
      </c>
      <c r="AH409" s="263" t="e">
        <f t="shared" si="377"/>
        <v>#N/A</v>
      </c>
      <c r="AI409" s="226">
        <f t="shared" si="410"/>
        <v>7</v>
      </c>
      <c r="AJ409" s="264" t="e">
        <f t="shared" si="378"/>
        <v>#N/A</v>
      </c>
      <c r="AK409" s="264" t="e">
        <f t="shared" si="411"/>
        <v>#N/A</v>
      </c>
      <c r="AL409" s="226" t="e">
        <f t="shared" si="379"/>
        <v>#N/A</v>
      </c>
      <c r="AM409" s="265" t="e">
        <f t="shared" si="412"/>
        <v>#N/A</v>
      </c>
      <c r="AN409" s="266" t="e">
        <f t="shared" si="380"/>
        <v>#N/A</v>
      </c>
      <c r="AO409" s="227" t="e">
        <f t="shared" si="381"/>
        <v>#N/A</v>
      </c>
      <c r="AP409" s="284">
        <f t="shared" si="413"/>
        <v>7</v>
      </c>
      <c r="AQ409" s="285" t="e">
        <f t="shared" si="382"/>
        <v>#N/A</v>
      </c>
      <c r="AR409" s="266" t="e">
        <f t="shared" si="414"/>
        <v>#N/A</v>
      </c>
      <c r="AS409" s="270" t="e">
        <f t="shared" si="383"/>
        <v>#N/A</v>
      </c>
      <c r="AT409" s="271">
        <f t="shared" si="415"/>
        <v>7</v>
      </c>
      <c r="AU409" s="272" t="e">
        <f t="shared" si="416"/>
        <v>#N/A</v>
      </c>
      <c r="AV409" s="273" t="e">
        <f t="shared" si="417"/>
        <v>#N/A</v>
      </c>
      <c r="AW409" s="274" t="e">
        <f t="shared" si="384"/>
        <v>#N/A</v>
      </c>
      <c r="AX409" s="232">
        <f t="shared" si="418"/>
        <v>7</v>
      </c>
      <c r="AY409" s="273" t="e">
        <f t="shared" si="385"/>
        <v>#N/A</v>
      </c>
      <c r="AZ409" s="232" t="e">
        <f t="shared" si="419"/>
        <v>#N/A</v>
      </c>
      <c r="BA409" s="232" t="e">
        <f t="shared" si="386"/>
        <v>#N/A</v>
      </c>
      <c r="BB409" s="275">
        <f t="shared" si="420"/>
        <v>7</v>
      </c>
      <c r="BC409" s="276" t="e">
        <f t="shared" si="421"/>
        <v>#N/A</v>
      </c>
      <c r="BD409" s="277" t="e">
        <f t="shared" si="422"/>
        <v>#N/A</v>
      </c>
      <c r="BE409" s="250" t="e">
        <f t="shared" si="387"/>
        <v>#N/A</v>
      </c>
      <c r="BF409" s="247">
        <f t="shared" si="423"/>
        <v>7</v>
      </c>
      <c r="BG409" s="276" t="e">
        <f t="shared" si="424"/>
        <v>#N/A</v>
      </c>
      <c r="BH409" s="277" t="e">
        <f t="shared" si="425"/>
        <v>#N/A</v>
      </c>
      <c r="BI409" s="250" t="e">
        <f t="shared" si="388"/>
        <v>#N/A</v>
      </c>
      <c r="BJ409" s="251">
        <f t="shared" si="426"/>
        <v>7</v>
      </c>
      <c r="BK409" s="278" t="e">
        <f t="shared" si="427"/>
        <v>#N/A</v>
      </c>
      <c r="BL409" s="278" t="e">
        <f t="shared" si="428"/>
        <v>#N/A</v>
      </c>
      <c r="BM409" s="279" t="e">
        <f t="shared" si="389"/>
        <v>#N/A</v>
      </c>
      <c r="BN409" s="280">
        <f t="shared" si="429"/>
        <v>7</v>
      </c>
      <c r="BO409" s="281" t="e">
        <f t="shared" si="430"/>
        <v>#N/A</v>
      </c>
      <c r="BP409" s="281" t="e">
        <f t="shared" si="431"/>
        <v>#N/A</v>
      </c>
      <c r="BQ409" s="279" t="e">
        <f t="shared" si="390"/>
        <v>#N/A</v>
      </c>
      <c r="BR409" s="282" t="e">
        <f t="shared" si="391"/>
        <v>#N/A</v>
      </c>
      <c r="BS409" s="217" t="e">
        <f>VLOOKUP($B409,SDR24_STOCK_BY_LA!$A$2:$C$11878,3,0)</f>
        <v>#N/A</v>
      </c>
      <c r="BT409" s="217" t="str">
        <f t="shared" si="432"/>
        <v/>
      </c>
    </row>
    <row r="410" spans="1:72" x14ac:dyDescent="0.2">
      <c r="A410" s="217" t="str">
        <f t="shared" si="433"/>
        <v/>
      </c>
      <c r="B410" s="217" t="str">
        <f t="shared" si="434"/>
        <v/>
      </c>
      <c r="C410" s="283" t="str">
        <f t="shared" si="392"/>
        <v/>
      </c>
      <c r="D410" s="256" t="str">
        <f>IF(B410="","",IF(totals!$Q$3=0,IFERROR(IF(AD410=2,"0",AE410),""),"-"))</f>
        <v/>
      </c>
      <c r="E410" s="258" t="str">
        <f t="shared" si="393"/>
        <v/>
      </c>
      <c r="F410" s="259" t="str">
        <f t="shared" si="394"/>
        <v/>
      </c>
      <c r="G410" s="259" t="str">
        <f t="shared" si="395"/>
        <v/>
      </c>
      <c r="H410" s="256" t="str">
        <f t="shared" si="373"/>
        <v/>
      </c>
      <c r="I410" s="259" t="str">
        <f t="shared" si="396"/>
        <v/>
      </c>
      <c r="J410" s="259" t="str">
        <f t="shared" si="397"/>
        <v/>
      </c>
      <c r="K410" s="256" t="str">
        <f t="shared" si="374"/>
        <v/>
      </c>
      <c r="L410" s="259" t="str">
        <f t="shared" si="375"/>
        <v/>
      </c>
      <c r="M410" s="259" t="str">
        <f t="shared" si="398"/>
        <v/>
      </c>
      <c r="N410" s="256" t="str">
        <f t="shared" si="399"/>
        <v/>
      </c>
      <c r="O410" s="259" t="str">
        <f t="shared" si="400"/>
        <v/>
      </c>
      <c r="P410" s="259" t="str">
        <f t="shared" si="401"/>
        <v/>
      </c>
      <c r="Q410" s="256" t="str">
        <f t="shared" si="402"/>
        <v/>
      </c>
      <c r="R410" s="259" t="str">
        <f t="shared" si="403"/>
        <v/>
      </c>
      <c r="S410" s="259" t="str">
        <f t="shared" si="404"/>
        <v/>
      </c>
      <c r="T410" s="256" t="str">
        <f t="shared" si="405"/>
        <v/>
      </c>
      <c r="U410" s="217"/>
      <c r="V410" s="217"/>
      <c r="AB410" s="217" t="e">
        <f>VLOOKUP($B$6,Lookup_Source,403,0)</f>
        <v>#N/A</v>
      </c>
      <c r="AC410" s="241" t="str">
        <f t="shared" si="406"/>
        <v/>
      </c>
      <c r="AD410" s="242">
        <f t="shared" si="407"/>
        <v>7</v>
      </c>
      <c r="AE410" s="261" t="e">
        <f t="shared" si="376"/>
        <v>#N/A</v>
      </c>
      <c r="AF410" s="264" t="e">
        <f t="shared" si="408"/>
        <v>#N/A</v>
      </c>
      <c r="AG410" s="264" t="e">
        <f t="shared" si="409"/>
        <v>#N/A</v>
      </c>
      <c r="AH410" s="263" t="e">
        <f t="shared" si="377"/>
        <v>#N/A</v>
      </c>
      <c r="AI410" s="226">
        <f t="shared" si="410"/>
        <v>7</v>
      </c>
      <c r="AJ410" s="264" t="e">
        <f t="shared" si="378"/>
        <v>#N/A</v>
      </c>
      <c r="AK410" s="264" t="e">
        <f t="shared" si="411"/>
        <v>#N/A</v>
      </c>
      <c r="AL410" s="226" t="e">
        <f t="shared" si="379"/>
        <v>#N/A</v>
      </c>
      <c r="AM410" s="265" t="e">
        <f t="shared" si="412"/>
        <v>#N/A</v>
      </c>
      <c r="AN410" s="266" t="e">
        <f t="shared" si="380"/>
        <v>#N/A</v>
      </c>
      <c r="AO410" s="227" t="e">
        <f t="shared" si="381"/>
        <v>#N/A</v>
      </c>
      <c r="AP410" s="284">
        <f t="shared" si="413"/>
        <v>7</v>
      </c>
      <c r="AQ410" s="285" t="e">
        <f t="shared" si="382"/>
        <v>#N/A</v>
      </c>
      <c r="AR410" s="266" t="e">
        <f t="shared" si="414"/>
        <v>#N/A</v>
      </c>
      <c r="AS410" s="270" t="e">
        <f t="shared" si="383"/>
        <v>#N/A</v>
      </c>
      <c r="AT410" s="271">
        <f t="shared" si="415"/>
        <v>7</v>
      </c>
      <c r="AU410" s="272" t="e">
        <f t="shared" si="416"/>
        <v>#N/A</v>
      </c>
      <c r="AV410" s="273" t="e">
        <f t="shared" si="417"/>
        <v>#N/A</v>
      </c>
      <c r="AW410" s="274" t="e">
        <f t="shared" si="384"/>
        <v>#N/A</v>
      </c>
      <c r="AX410" s="232">
        <f t="shared" si="418"/>
        <v>7</v>
      </c>
      <c r="AY410" s="273" t="e">
        <f t="shared" si="385"/>
        <v>#N/A</v>
      </c>
      <c r="AZ410" s="232" t="e">
        <f t="shared" si="419"/>
        <v>#N/A</v>
      </c>
      <c r="BA410" s="232" t="e">
        <f t="shared" si="386"/>
        <v>#N/A</v>
      </c>
      <c r="BB410" s="275">
        <f t="shared" si="420"/>
        <v>7</v>
      </c>
      <c r="BC410" s="276" t="e">
        <f t="shared" si="421"/>
        <v>#N/A</v>
      </c>
      <c r="BD410" s="277" t="e">
        <f t="shared" si="422"/>
        <v>#N/A</v>
      </c>
      <c r="BE410" s="250" t="e">
        <f t="shared" si="387"/>
        <v>#N/A</v>
      </c>
      <c r="BF410" s="247">
        <f t="shared" si="423"/>
        <v>7</v>
      </c>
      <c r="BG410" s="276" t="e">
        <f t="shared" si="424"/>
        <v>#N/A</v>
      </c>
      <c r="BH410" s="277" t="e">
        <f t="shared" si="425"/>
        <v>#N/A</v>
      </c>
      <c r="BI410" s="250" t="e">
        <f t="shared" si="388"/>
        <v>#N/A</v>
      </c>
      <c r="BJ410" s="251">
        <f t="shared" si="426"/>
        <v>7</v>
      </c>
      <c r="BK410" s="278" t="e">
        <f t="shared" si="427"/>
        <v>#N/A</v>
      </c>
      <c r="BL410" s="278" t="e">
        <f t="shared" si="428"/>
        <v>#N/A</v>
      </c>
      <c r="BM410" s="279" t="e">
        <f t="shared" si="389"/>
        <v>#N/A</v>
      </c>
      <c r="BN410" s="280">
        <f t="shared" si="429"/>
        <v>7</v>
      </c>
      <c r="BO410" s="281" t="e">
        <f t="shared" si="430"/>
        <v>#N/A</v>
      </c>
      <c r="BP410" s="281" t="e">
        <f t="shared" si="431"/>
        <v>#N/A</v>
      </c>
      <c r="BQ410" s="279" t="e">
        <f t="shared" si="390"/>
        <v>#N/A</v>
      </c>
      <c r="BR410" s="282" t="e">
        <f t="shared" si="391"/>
        <v>#N/A</v>
      </c>
      <c r="BS410" s="217" t="e">
        <f>VLOOKUP($B410,SDR24_STOCK_BY_LA!$A$2:$C$11878,3,0)</f>
        <v>#N/A</v>
      </c>
      <c r="BT410" s="217" t="str">
        <f t="shared" si="432"/>
        <v/>
      </c>
    </row>
    <row r="411" spans="1:72" x14ac:dyDescent="0.2">
      <c r="A411" s="256" t="str">
        <f t="shared" si="433"/>
        <v/>
      </c>
      <c r="B411" s="217" t="str">
        <f t="shared" si="434"/>
        <v/>
      </c>
      <c r="C411" s="257" t="str">
        <f t="shared" si="392"/>
        <v/>
      </c>
      <c r="D411" s="256" t="str">
        <f>IF(B411="","",IF(totals!$Q$3=0,IFERROR(IF(AD411=2,"0",AE411),""),"-"))</f>
        <v/>
      </c>
      <c r="E411" s="258" t="str">
        <f t="shared" si="393"/>
        <v/>
      </c>
      <c r="F411" s="259" t="str">
        <f t="shared" si="394"/>
        <v/>
      </c>
      <c r="G411" s="259" t="str">
        <f t="shared" si="395"/>
        <v/>
      </c>
      <c r="H411" s="256" t="str">
        <f t="shared" si="373"/>
        <v/>
      </c>
      <c r="I411" s="259" t="str">
        <f t="shared" si="396"/>
        <v/>
      </c>
      <c r="J411" s="259" t="str">
        <f t="shared" si="397"/>
        <v/>
      </c>
      <c r="K411" s="256" t="str">
        <f t="shared" si="374"/>
        <v/>
      </c>
      <c r="L411" s="259" t="str">
        <f t="shared" si="375"/>
        <v/>
      </c>
      <c r="M411" s="259" t="str">
        <f t="shared" si="398"/>
        <v/>
      </c>
      <c r="N411" s="256" t="str">
        <f t="shared" si="399"/>
        <v/>
      </c>
      <c r="O411" s="259" t="str">
        <f t="shared" si="400"/>
        <v/>
      </c>
      <c r="P411" s="259" t="str">
        <f t="shared" si="401"/>
        <v/>
      </c>
      <c r="Q411" s="256" t="str">
        <f t="shared" si="402"/>
        <v/>
      </c>
      <c r="R411" s="259" t="str">
        <f t="shared" si="403"/>
        <v/>
      </c>
      <c r="S411" s="259" t="str">
        <f t="shared" si="404"/>
        <v/>
      </c>
      <c r="T411" s="256" t="str">
        <f t="shared" si="405"/>
        <v/>
      </c>
      <c r="U411" s="217"/>
      <c r="V411" s="217"/>
      <c r="AB411" s="257" t="e">
        <f>VLOOKUP($B$6,Lookup_Source,404,0)</f>
        <v>#N/A</v>
      </c>
      <c r="AC411" s="241" t="str">
        <f t="shared" si="406"/>
        <v/>
      </c>
      <c r="AD411" s="242">
        <f t="shared" si="407"/>
        <v>7</v>
      </c>
      <c r="AE411" s="261" t="e">
        <f t="shared" si="376"/>
        <v>#N/A</v>
      </c>
      <c r="AF411" s="264" t="e">
        <f t="shared" si="408"/>
        <v>#N/A</v>
      </c>
      <c r="AG411" s="264" t="e">
        <f t="shared" si="409"/>
        <v>#N/A</v>
      </c>
      <c r="AH411" s="263" t="e">
        <f t="shared" si="377"/>
        <v>#N/A</v>
      </c>
      <c r="AI411" s="226">
        <f t="shared" si="410"/>
        <v>7</v>
      </c>
      <c r="AJ411" s="264" t="e">
        <f t="shared" si="378"/>
        <v>#N/A</v>
      </c>
      <c r="AK411" s="264" t="e">
        <f t="shared" si="411"/>
        <v>#N/A</v>
      </c>
      <c r="AL411" s="226" t="e">
        <f t="shared" si="379"/>
        <v>#N/A</v>
      </c>
      <c r="AM411" s="265" t="e">
        <f t="shared" si="412"/>
        <v>#N/A</v>
      </c>
      <c r="AN411" s="266" t="e">
        <f t="shared" si="380"/>
        <v>#N/A</v>
      </c>
      <c r="AO411" s="227" t="e">
        <f t="shared" si="381"/>
        <v>#N/A</v>
      </c>
      <c r="AP411" s="284">
        <f t="shared" si="413"/>
        <v>7</v>
      </c>
      <c r="AQ411" s="285" t="e">
        <f t="shared" si="382"/>
        <v>#N/A</v>
      </c>
      <c r="AR411" s="266" t="e">
        <f t="shared" si="414"/>
        <v>#N/A</v>
      </c>
      <c r="AS411" s="270" t="e">
        <f t="shared" si="383"/>
        <v>#N/A</v>
      </c>
      <c r="AT411" s="271">
        <f t="shared" si="415"/>
        <v>7</v>
      </c>
      <c r="AU411" s="272" t="e">
        <f t="shared" si="416"/>
        <v>#N/A</v>
      </c>
      <c r="AV411" s="273" t="e">
        <f t="shared" si="417"/>
        <v>#N/A</v>
      </c>
      <c r="AW411" s="274" t="e">
        <f t="shared" si="384"/>
        <v>#N/A</v>
      </c>
      <c r="AX411" s="232">
        <f t="shared" si="418"/>
        <v>7</v>
      </c>
      <c r="AY411" s="273" t="e">
        <f t="shared" si="385"/>
        <v>#N/A</v>
      </c>
      <c r="AZ411" s="232" t="e">
        <f t="shared" si="419"/>
        <v>#N/A</v>
      </c>
      <c r="BA411" s="232" t="e">
        <f t="shared" si="386"/>
        <v>#N/A</v>
      </c>
      <c r="BB411" s="275">
        <f t="shared" si="420"/>
        <v>7</v>
      </c>
      <c r="BC411" s="276" t="e">
        <f t="shared" si="421"/>
        <v>#N/A</v>
      </c>
      <c r="BD411" s="277" t="e">
        <f t="shared" si="422"/>
        <v>#N/A</v>
      </c>
      <c r="BE411" s="250" t="e">
        <f t="shared" si="387"/>
        <v>#N/A</v>
      </c>
      <c r="BF411" s="247">
        <f t="shared" si="423"/>
        <v>7</v>
      </c>
      <c r="BG411" s="276" t="e">
        <f t="shared" si="424"/>
        <v>#N/A</v>
      </c>
      <c r="BH411" s="277" t="e">
        <f t="shared" si="425"/>
        <v>#N/A</v>
      </c>
      <c r="BI411" s="250" t="e">
        <f t="shared" si="388"/>
        <v>#N/A</v>
      </c>
      <c r="BJ411" s="251">
        <f t="shared" si="426"/>
        <v>7</v>
      </c>
      <c r="BK411" s="278" t="e">
        <f t="shared" si="427"/>
        <v>#N/A</v>
      </c>
      <c r="BL411" s="278" t="e">
        <f t="shared" si="428"/>
        <v>#N/A</v>
      </c>
      <c r="BM411" s="279" t="e">
        <f t="shared" si="389"/>
        <v>#N/A</v>
      </c>
      <c r="BN411" s="280">
        <f t="shared" si="429"/>
        <v>7</v>
      </c>
      <c r="BO411" s="281" t="e">
        <f t="shared" si="430"/>
        <v>#N/A</v>
      </c>
      <c r="BP411" s="281" t="e">
        <f t="shared" si="431"/>
        <v>#N/A</v>
      </c>
      <c r="BQ411" s="279" t="e">
        <f t="shared" si="390"/>
        <v>#N/A</v>
      </c>
      <c r="BR411" s="282" t="e">
        <f t="shared" si="391"/>
        <v>#N/A</v>
      </c>
      <c r="BS411" s="217" t="e">
        <f>VLOOKUP($B411,SDR24_STOCK_BY_LA!$A$2:$C$11878,3,0)</f>
        <v>#N/A</v>
      </c>
      <c r="BT411" s="217" t="str">
        <f t="shared" si="432"/>
        <v/>
      </c>
    </row>
    <row r="412" spans="1:72" x14ac:dyDescent="0.2">
      <c r="A412" s="217" t="str">
        <f t="shared" si="433"/>
        <v/>
      </c>
      <c r="B412" s="217" t="str">
        <f t="shared" si="434"/>
        <v/>
      </c>
      <c r="C412" s="283" t="str">
        <f t="shared" si="392"/>
        <v/>
      </c>
      <c r="D412" s="256" t="str">
        <f>IF(B412="","",IF(totals!$Q$3=0,IFERROR(IF(AD412=2,"0",AE412),""),"-"))</f>
        <v/>
      </c>
      <c r="E412" s="258" t="str">
        <f t="shared" si="393"/>
        <v/>
      </c>
      <c r="F412" s="259" t="str">
        <f t="shared" si="394"/>
        <v/>
      </c>
      <c r="G412" s="259" t="str">
        <f t="shared" si="395"/>
        <v/>
      </c>
      <c r="H412" s="256" t="str">
        <f t="shared" si="373"/>
        <v/>
      </c>
      <c r="I412" s="259" t="str">
        <f t="shared" si="396"/>
        <v/>
      </c>
      <c r="J412" s="259" t="str">
        <f t="shared" si="397"/>
        <v/>
      </c>
      <c r="K412" s="256" t="str">
        <f t="shared" si="374"/>
        <v/>
      </c>
      <c r="L412" s="259" t="str">
        <f t="shared" si="375"/>
        <v/>
      </c>
      <c r="M412" s="259" t="str">
        <f t="shared" si="398"/>
        <v/>
      </c>
      <c r="N412" s="256" t="str">
        <f t="shared" si="399"/>
        <v/>
      </c>
      <c r="O412" s="259" t="str">
        <f t="shared" si="400"/>
        <v/>
      </c>
      <c r="P412" s="259" t="str">
        <f t="shared" si="401"/>
        <v/>
      </c>
      <c r="Q412" s="256" t="str">
        <f t="shared" si="402"/>
        <v/>
      </c>
      <c r="R412" s="259" t="str">
        <f t="shared" si="403"/>
        <v/>
      </c>
      <c r="S412" s="259" t="str">
        <f t="shared" si="404"/>
        <v/>
      </c>
      <c r="T412" s="256" t="str">
        <f t="shared" si="405"/>
        <v/>
      </c>
      <c r="U412" s="217"/>
      <c r="V412" s="217"/>
      <c r="AB412" s="217" t="e">
        <f>VLOOKUP($B$6,Lookup_Source,405,0)</f>
        <v>#N/A</v>
      </c>
      <c r="AC412" s="241" t="str">
        <f t="shared" si="406"/>
        <v/>
      </c>
      <c r="AD412" s="242">
        <f t="shared" si="407"/>
        <v>7</v>
      </c>
      <c r="AE412" s="261" t="e">
        <f t="shared" si="376"/>
        <v>#N/A</v>
      </c>
      <c r="AF412" s="264" t="e">
        <f t="shared" si="408"/>
        <v>#N/A</v>
      </c>
      <c r="AG412" s="264" t="e">
        <f t="shared" si="409"/>
        <v>#N/A</v>
      </c>
      <c r="AH412" s="263" t="e">
        <f t="shared" si="377"/>
        <v>#N/A</v>
      </c>
      <c r="AI412" s="226">
        <f t="shared" si="410"/>
        <v>7</v>
      </c>
      <c r="AJ412" s="264" t="e">
        <f t="shared" si="378"/>
        <v>#N/A</v>
      </c>
      <c r="AK412" s="264" t="e">
        <f t="shared" si="411"/>
        <v>#N/A</v>
      </c>
      <c r="AL412" s="226" t="e">
        <f t="shared" si="379"/>
        <v>#N/A</v>
      </c>
      <c r="AM412" s="265" t="e">
        <f t="shared" si="412"/>
        <v>#N/A</v>
      </c>
      <c r="AN412" s="266" t="e">
        <f t="shared" si="380"/>
        <v>#N/A</v>
      </c>
      <c r="AO412" s="227" t="e">
        <f t="shared" si="381"/>
        <v>#N/A</v>
      </c>
      <c r="AP412" s="284">
        <f t="shared" si="413"/>
        <v>7</v>
      </c>
      <c r="AQ412" s="285" t="e">
        <f t="shared" si="382"/>
        <v>#N/A</v>
      </c>
      <c r="AR412" s="266" t="e">
        <f t="shared" si="414"/>
        <v>#N/A</v>
      </c>
      <c r="AS412" s="270" t="e">
        <f t="shared" si="383"/>
        <v>#N/A</v>
      </c>
      <c r="AT412" s="271">
        <f t="shared" si="415"/>
        <v>7</v>
      </c>
      <c r="AU412" s="272" t="e">
        <f t="shared" si="416"/>
        <v>#N/A</v>
      </c>
      <c r="AV412" s="273" t="e">
        <f t="shared" si="417"/>
        <v>#N/A</v>
      </c>
      <c r="AW412" s="274" t="e">
        <f t="shared" si="384"/>
        <v>#N/A</v>
      </c>
      <c r="AX412" s="232">
        <f t="shared" si="418"/>
        <v>7</v>
      </c>
      <c r="AY412" s="273" t="e">
        <f t="shared" si="385"/>
        <v>#N/A</v>
      </c>
      <c r="AZ412" s="232" t="e">
        <f t="shared" si="419"/>
        <v>#N/A</v>
      </c>
      <c r="BA412" s="232" t="e">
        <f t="shared" si="386"/>
        <v>#N/A</v>
      </c>
      <c r="BB412" s="275">
        <f t="shared" si="420"/>
        <v>7</v>
      </c>
      <c r="BC412" s="276" t="e">
        <f t="shared" si="421"/>
        <v>#N/A</v>
      </c>
      <c r="BD412" s="277" t="e">
        <f t="shared" si="422"/>
        <v>#N/A</v>
      </c>
      <c r="BE412" s="250" t="e">
        <f t="shared" si="387"/>
        <v>#N/A</v>
      </c>
      <c r="BF412" s="247">
        <f t="shared" si="423"/>
        <v>7</v>
      </c>
      <c r="BG412" s="276" t="e">
        <f t="shared" si="424"/>
        <v>#N/A</v>
      </c>
      <c r="BH412" s="277" t="e">
        <f t="shared" si="425"/>
        <v>#N/A</v>
      </c>
      <c r="BI412" s="250" t="e">
        <f t="shared" si="388"/>
        <v>#N/A</v>
      </c>
      <c r="BJ412" s="251">
        <f t="shared" si="426"/>
        <v>7</v>
      </c>
      <c r="BK412" s="278" t="e">
        <f t="shared" si="427"/>
        <v>#N/A</v>
      </c>
      <c r="BL412" s="278" t="e">
        <f t="shared" si="428"/>
        <v>#N/A</v>
      </c>
      <c r="BM412" s="279" t="e">
        <f t="shared" si="389"/>
        <v>#N/A</v>
      </c>
      <c r="BN412" s="280">
        <f t="shared" si="429"/>
        <v>7</v>
      </c>
      <c r="BO412" s="281" t="e">
        <f t="shared" si="430"/>
        <v>#N/A</v>
      </c>
      <c r="BP412" s="281" t="e">
        <f t="shared" si="431"/>
        <v>#N/A</v>
      </c>
      <c r="BQ412" s="279" t="e">
        <f t="shared" si="390"/>
        <v>#N/A</v>
      </c>
      <c r="BR412" s="282" t="e">
        <f t="shared" si="391"/>
        <v>#N/A</v>
      </c>
      <c r="BS412" s="217" t="e">
        <f>VLOOKUP($B412,SDR24_STOCK_BY_LA!$A$2:$C$11878,3,0)</f>
        <v>#N/A</v>
      </c>
      <c r="BT412" s="217" t="str">
        <f t="shared" si="432"/>
        <v/>
      </c>
    </row>
    <row r="413" spans="1:72" x14ac:dyDescent="0.2">
      <c r="A413" s="256" t="str">
        <f t="shared" si="433"/>
        <v/>
      </c>
      <c r="B413" s="217" t="str">
        <f t="shared" si="434"/>
        <v/>
      </c>
      <c r="C413" s="257" t="str">
        <f t="shared" si="392"/>
        <v/>
      </c>
      <c r="D413" s="256" t="str">
        <f>IF(B413="","",IF(totals!$Q$3=0,IFERROR(IF(AD413=2,"0",AE413),""),"-"))</f>
        <v/>
      </c>
      <c r="E413" s="258" t="str">
        <f t="shared" si="393"/>
        <v/>
      </c>
      <c r="F413" s="259" t="str">
        <f t="shared" si="394"/>
        <v/>
      </c>
      <c r="G413" s="259" t="str">
        <f t="shared" si="395"/>
        <v/>
      </c>
      <c r="H413" s="256" t="str">
        <f t="shared" si="373"/>
        <v/>
      </c>
      <c r="I413" s="259" t="str">
        <f t="shared" si="396"/>
        <v/>
      </c>
      <c r="J413" s="259" t="str">
        <f t="shared" si="397"/>
        <v/>
      </c>
      <c r="K413" s="256" t="str">
        <f t="shared" si="374"/>
        <v/>
      </c>
      <c r="L413" s="259" t="str">
        <f t="shared" si="375"/>
        <v/>
      </c>
      <c r="M413" s="259" t="str">
        <f t="shared" si="398"/>
        <v/>
      </c>
      <c r="N413" s="256" t="str">
        <f t="shared" si="399"/>
        <v/>
      </c>
      <c r="O413" s="259" t="str">
        <f t="shared" si="400"/>
        <v/>
      </c>
      <c r="P413" s="259" t="str">
        <f t="shared" si="401"/>
        <v/>
      </c>
      <c r="Q413" s="256" t="str">
        <f t="shared" si="402"/>
        <v/>
      </c>
      <c r="R413" s="259" t="str">
        <f t="shared" si="403"/>
        <v/>
      </c>
      <c r="S413" s="259" t="str">
        <f t="shared" si="404"/>
        <v/>
      </c>
      <c r="T413" s="256" t="str">
        <f t="shared" si="405"/>
        <v/>
      </c>
      <c r="U413" s="217"/>
      <c r="V413" s="217"/>
      <c r="AB413" s="257" t="e">
        <f>VLOOKUP($B$6,Lookup_Source,406,0)</f>
        <v>#N/A</v>
      </c>
      <c r="AC413" s="241" t="str">
        <f t="shared" si="406"/>
        <v/>
      </c>
      <c r="AD413" s="242">
        <f t="shared" si="407"/>
        <v>7</v>
      </c>
      <c r="AE413" s="261" t="e">
        <f t="shared" si="376"/>
        <v>#N/A</v>
      </c>
      <c r="AF413" s="264" t="e">
        <f t="shared" si="408"/>
        <v>#N/A</v>
      </c>
      <c r="AG413" s="264" t="e">
        <f t="shared" si="409"/>
        <v>#N/A</v>
      </c>
      <c r="AH413" s="263" t="e">
        <f t="shared" si="377"/>
        <v>#N/A</v>
      </c>
      <c r="AI413" s="226">
        <f t="shared" si="410"/>
        <v>7</v>
      </c>
      <c r="AJ413" s="264" t="e">
        <f t="shared" si="378"/>
        <v>#N/A</v>
      </c>
      <c r="AK413" s="264" t="e">
        <f t="shared" si="411"/>
        <v>#N/A</v>
      </c>
      <c r="AL413" s="226" t="e">
        <f t="shared" si="379"/>
        <v>#N/A</v>
      </c>
      <c r="AM413" s="265" t="e">
        <f t="shared" si="412"/>
        <v>#N/A</v>
      </c>
      <c r="AN413" s="266" t="e">
        <f t="shared" si="380"/>
        <v>#N/A</v>
      </c>
      <c r="AO413" s="227" t="e">
        <f t="shared" si="381"/>
        <v>#N/A</v>
      </c>
      <c r="AP413" s="284">
        <f t="shared" si="413"/>
        <v>7</v>
      </c>
      <c r="AQ413" s="285" t="e">
        <f t="shared" si="382"/>
        <v>#N/A</v>
      </c>
      <c r="AR413" s="266" t="e">
        <f t="shared" si="414"/>
        <v>#N/A</v>
      </c>
      <c r="AS413" s="270" t="e">
        <f t="shared" si="383"/>
        <v>#N/A</v>
      </c>
      <c r="AT413" s="271">
        <f t="shared" si="415"/>
        <v>7</v>
      </c>
      <c r="AU413" s="272" t="e">
        <f t="shared" si="416"/>
        <v>#N/A</v>
      </c>
      <c r="AV413" s="273" t="e">
        <f t="shared" si="417"/>
        <v>#N/A</v>
      </c>
      <c r="AW413" s="274" t="e">
        <f t="shared" si="384"/>
        <v>#N/A</v>
      </c>
      <c r="AX413" s="232">
        <f t="shared" si="418"/>
        <v>7</v>
      </c>
      <c r="AY413" s="273" t="e">
        <f t="shared" si="385"/>
        <v>#N/A</v>
      </c>
      <c r="AZ413" s="232" t="e">
        <f t="shared" si="419"/>
        <v>#N/A</v>
      </c>
      <c r="BA413" s="232" t="e">
        <f t="shared" si="386"/>
        <v>#N/A</v>
      </c>
      <c r="BB413" s="275">
        <f t="shared" si="420"/>
        <v>7</v>
      </c>
      <c r="BC413" s="276" t="e">
        <f t="shared" si="421"/>
        <v>#N/A</v>
      </c>
      <c r="BD413" s="277" t="e">
        <f t="shared" si="422"/>
        <v>#N/A</v>
      </c>
      <c r="BE413" s="250" t="e">
        <f t="shared" si="387"/>
        <v>#N/A</v>
      </c>
      <c r="BF413" s="247">
        <f t="shared" si="423"/>
        <v>7</v>
      </c>
      <c r="BG413" s="276" t="e">
        <f t="shared" si="424"/>
        <v>#N/A</v>
      </c>
      <c r="BH413" s="277" t="e">
        <f t="shared" si="425"/>
        <v>#N/A</v>
      </c>
      <c r="BI413" s="250" t="e">
        <f t="shared" si="388"/>
        <v>#N/A</v>
      </c>
      <c r="BJ413" s="251">
        <f t="shared" si="426"/>
        <v>7</v>
      </c>
      <c r="BK413" s="278" t="e">
        <f t="shared" si="427"/>
        <v>#N/A</v>
      </c>
      <c r="BL413" s="278" t="e">
        <f t="shared" si="428"/>
        <v>#N/A</v>
      </c>
      <c r="BM413" s="279" t="e">
        <f t="shared" si="389"/>
        <v>#N/A</v>
      </c>
      <c r="BN413" s="280">
        <f t="shared" si="429"/>
        <v>7</v>
      </c>
      <c r="BO413" s="281" t="e">
        <f t="shared" si="430"/>
        <v>#N/A</v>
      </c>
      <c r="BP413" s="281" t="e">
        <f t="shared" si="431"/>
        <v>#N/A</v>
      </c>
      <c r="BQ413" s="279" t="e">
        <f t="shared" si="390"/>
        <v>#N/A</v>
      </c>
      <c r="BR413" s="282" t="e">
        <f t="shared" si="391"/>
        <v>#N/A</v>
      </c>
      <c r="BS413" s="217" t="e">
        <f>VLOOKUP($B413,SDR24_STOCK_BY_LA!$A$2:$C$11878,3,0)</f>
        <v>#N/A</v>
      </c>
      <c r="BT413" s="217" t="str">
        <f t="shared" si="432"/>
        <v/>
      </c>
    </row>
    <row r="414" spans="1:72" x14ac:dyDescent="0.2">
      <c r="A414" s="217" t="str">
        <f t="shared" si="433"/>
        <v/>
      </c>
      <c r="B414" s="217" t="str">
        <f t="shared" si="434"/>
        <v/>
      </c>
      <c r="C414" s="283" t="str">
        <f t="shared" si="392"/>
        <v/>
      </c>
      <c r="D414" s="256" t="str">
        <f>IF(B414="","",IF(totals!$Q$3=0,IFERROR(IF(AD414=2,"0",AE414),""),"-"))</f>
        <v/>
      </c>
      <c r="E414" s="258" t="str">
        <f t="shared" si="393"/>
        <v/>
      </c>
      <c r="F414" s="259" t="str">
        <f t="shared" si="394"/>
        <v/>
      </c>
      <c r="G414" s="259" t="str">
        <f t="shared" si="395"/>
        <v/>
      </c>
      <c r="H414" s="256" t="str">
        <f t="shared" si="373"/>
        <v/>
      </c>
      <c r="I414" s="259" t="str">
        <f t="shared" si="396"/>
        <v/>
      </c>
      <c r="J414" s="259" t="str">
        <f t="shared" si="397"/>
        <v/>
      </c>
      <c r="K414" s="256" t="str">
        <f t="shared" si="374"/>
        <v/>
      </c>
      <c r="L414" s="259" t="str">
        <f t="shared" si="375"/>
        <v/>
      </c>
      <c r="M414" s="259" t="str">
        <f t="shared" si="398"/>
        <v/>
      </c>
      <c r="N414" s="256" t="str">
        <f t="shared" si="399"/>
        <v/>
      </c>
      <c r="O414" s="259" t="str">
        <f t="shared" si="400"/>
        <v/>
      </c>
      <c r="P414" s="259" t="str">
        <f t="shared" si="401"/>
        <v/>
      </c>
      <c r="Q414" s="256" t="str">
        <f t="shared" si="402"/>
        <v/>
      </c>
      <c r="R414" s="259" t="str">
        <f t="shared" si="403"/>
        <v/>
      </c>
      <c r="S414" s="259" t="str">
        <f t="shared" si="404"/>
        <v/>
      </c>
      <c r="T414" s="256" t="str">
        <f t="shared" si="405"/>
        <v/>
      </c>
      <c r="U414" s="217"/>
      <c r="V414" s="217"/>
      <c r="AB414" s="217" t="e">
        <f>VLOOKUP($B$6,Lookup_Source,407,0)</f>
        <v>#N/A</v>
      </c>
      <c r="AC414" s="241" t="str">
        <f t="shared" si="406"/>
        <v/>
      </c>
      <c r="AD414" s="242">
        <f t="shared" si="407"/>
        <v>7</v>
      </c>
      <c r="AE414" s="261" t="e">
        <f t="shared" si="376"/>
        <v>#N/A</v>
      </c>
      <c r="AF414" s="264" t="e">
        <f t="shared" si="408"/>
        <v>#N/A</v>
      </c>
      <c r="AG414" s="264" t="e">
        <f t="shared" si="409"/>
        <v>#N/A</v>
      </c>
      <c r="AH414" s="263" t="e">
        <f t="shared" si="377"/>
        <v>#N/A</v>
      </c>
      <c r="AI414" s="226">
        <f t="shared" si="410"/>
        <v>7</v>
      </c>
      <c r="AJ414" s="264" t="e">
        <f t="shared" si="378"/>
        <v>#N/A</v>
      </c>
      <c r="AK414" s="264" t="e">
        <f t="shared" si="411"/>
        <v>#N/A</v>
      </c>
      <c r="AL414" s="226" t="e">
        <f t="shared" si="379"/>
        <v>#N/A</v>
      </c>
      <c r="AM414" s="265" t="e">
        <f t="shared" si="412"/>
        <v>#N/A</v>
      </c>
      <c r="AN414" s="266" t="e">
        <f t="shared" si="380"/>
        <v>#N/A</v>
      </c>
      <c r="AO414" s="227" t="e">
        <f t="shared" si="381"/>
        <v>#N/A</v>
      </c>
      <c r="AP414" s="284">
        <f t="shared" si="413"/>
        <v>7</v>
      </c>
      <c r="AQ414" s="285" t="e">
        <f t="shared" si="382"/>
        <v>#N/A</v>
      </c>
      <c r="AR414" s="266" t="e">
        <f t="shared" si="414"/>
        <v>#N/A</v>
      </c>
      <c r="AS414" s="270" t="e">
        <f t="shared" si="383"/>
        <v>#N/A</v>
      </c>
      <c r="AT414" s="271">
        <f t="shared" si="415"/>
        <v>7</v>
      </c>
      <c r="AU414" s="272" t="e">
        <f t="shared" si="416"/>
        <v>#N/A</v>
      </c>
      <c r="AV414" s="273" t="e">
        <f t="shared" si="417"/>
        <v>#N/A</v>
      </c>
      <c r="AW414" s="274" t="e">
        <f t="shared" si="384"/>
        <v>#N/A</v>
      </c>
      <c r="AX414" s="232">
        <f t="shared" si="418"/>
        <v>7</v>
      </c>
      <c r="AY414" s="273" t="e">
        <f t="shared" si="385"/>
        <v>#N/A</v>
      </c>
      <c r="AZ414" s="232" t="e">
        <f t="shared" si="419"/>
        <v>#N/A</v>
      </c>
      <c r="BA414" s="232" t="e">
        <f t="shared" si="386"/>
        <v>#N/A</v>
      </c>
      <c r="BB414" s="275">
        <f t="shared" si="420"/>
        <v>7</v>
      </c>
      <c r="BC414" s="276" t="e">
        <f t="shared" si="421"/>
        <v>#N/A</v>
      </c>
      <c r="BD414" s="277" t="e">
        <f t="shared" si="422"/>
        <v>#N/A</v>
      </c>
      <c r="BE414" s="250" t="e">
        <f t="shared" si="387"/>
        <v>#N/A</v>
      </c>
      <c r="BF414" s="247">
        <f t="shared" si="423"/>
        <v>7</v>
      </c>
      <c r="BG414" s="276" t="e">
        <f t="shared" si="424"/>
        <v>#N/A</v>
      </c>
      <c r="BH414" s="277" t="e">
        <f t="shared" si="425"/>
        <v>#N/A</v>
      </c>
      <c r="BI414" s="250" t="e">
        <f t="shared" si="388"/>
        <v>#N/A</v>
      </c>
      <c r="BJ414" s="251">
        <f t="shared" si="426"/>
        <v>7</v>
      </c>
      <c r="BK414" s="278" t="e">
        <f t="shared" si="427"/>
        <v>#N/A</v>
      </c>
      <c r="BL414" s="278" t="e">
        <f t="shared" si="428"/>
        <v>#N/A</v>
      </c>
      <c r="BM414" s="279" t="e">
        <f t="shared" si="389"/>
        <v>#N/A</v>
      </c>
      <c r="BN414" s="280">
        <f t="shared" si="429"/>
        <v>7</v>
      </c>
      <c r="BO414" s="281" t="e">
        <f t="shared" si="430"/>
        <v>#N/A</v>
      </c>
      <c r="BP414" s="281" t="e">
        <f t="shared" si="431"/>
        <v>#N/A</v>
      </c>
      <c r="BQ414" s="279" t="e">
        <f t="shared" si="390"/>
        <v>#N/A</v>
      </c>
      <c r="BR414" s="282" t="e">
        <f t="shared" si="391"/>
        <v>#N/A</v>
      </c>
      <c r="BS414" s="217" t="e">
        <f>VLOOKUP($B414,SDR24_STOCK_BY_LA!$A$2:$C$11878,3,0)</f>
        <v>#N/A</v>
      </c>
      <c r="BT414" s="217" t="str">
        <f t="shared" si="432"/>
        <v/>
      </c>
    </row>
    <row r="415" spans="1:72" x14ac:dyDescent="0.2">
      <c r="A415" s="256" t="str">
        <f t="shared" si="433"/>
        <v/>
      </c>
      <c r="B415" s="217" t="str">
        <f t="shared" si="434"/>
        <v/>
      </c>
      <c r="C415" s="257" t="str">
        <f t="shared" si="392"/>
        <v/>
      </c>
      <c r="D415" s="256" t="str">
        <f>IF(B415="","",IF(totals!$Q$3=0,IFERROR(IF(AD415=2,"0",AE415),""),"-"))</f>
        <v/>
      </c>
      <c r="E415" s="258" t="str">
        <f t="shared" si="393"/>
        <v/>
      </c>
      <c r="F415" s="259" t="str">
        <f t="shared" si="394"/>
        <v/>
      </c>
      <c r="G415" s="259" t="str">
        <f t="shared" si="395"/>
        <v/>
      </c>
      <c r="H415" s="256" t="str">
        <f t="shared" si="373"/>
        <v/>
      </c>
      <c r="I415" s="259" t="str">
        <f t="shared" si="396"/>
        <v/>
      </c>
      <c r="J415" s="259" t="str">
        <f t="shared" si="397"/>
        <v/>
      </c>
      <c r="K415" s="256" t="str">
        <f t="shared" si="374"/>
        <v/>
      </c>
      <c r="L415" s="259" t="str">
        <f t="shared" si="375"/>
        <v/>
      </c>
      <c r="M415" s="259" t="str">
        <f t="shared" si="398"/>
        <v/>
      </c>
      <c r="N415" s="256" t="str">
        <f t="shared" si="399"/>
        <v/>
      </c>
      <c r="O415" s="259" t="str">
        <f t="shared" si="400"/>
        <v/>
      </c>
      <c r="P415" s="259" t="str">
        <f t="shared" si="401"/>
        <v/>
      </c>
      <c r="Q415" s="256" t="str">
        <f t="shared" si="402"/>
        <v/>
      </c>
      <c r="R415" s="259" t="str">
        <f t="shared" si="403"/>
        <v/>
      </c>
      <c r="S415" s="259" t="str">
        <f t="shared" si="404"/>
        <v/>
      </c>
      <c r="T415" s="256" t="str">
        <f t="shared" si="405"/>
        <v/>
      </c>
      <c r="U415" s="217"/>
      <c r="V415" s="217"/>
      <c r="AB415" s="257" t="e">
        <f>VLOOKUP($B$6,Lookup_Source,408,0)</f>
        <v>#N/A</v>
      </c>
      <c r="AC415" s="241" t="str">
        <f t="shared" si="406"/>
        <v/>
      </c>
      <c r="AD415" s="242">
        <f t="shared" si="407"/>
        <v>7</v>
      </c>
      <c r="AE415" s="261" t="e">
        <f t="shared" si="376"/>
        <v>#N/A</v>
      </c>
      <c r="AF415" s="264" t="e">
        <f t="shared" si="408"/>
        <v>#N/A</v>
      </c>
      <c r="AG415" s="264" t="e">
        <f t="shared" si="409"/>
        <v>#N/A</v>
      </c>
      <c r="AH415" s="263" t="e">
        <f t="shared" si="377"/>
        <v>#N/A</v>
      </c>
      <c r="AI415" s="226">
        <f t="shared" si="410"/>
        <v>7</v>
      </c>
      <c r="AJ415" s="264" t="e">
        <f t="shared" si="378"/>
        <v>#N/A</v>
      </c>
      <c r="AK415" s="264" t="e">
        <f t="shared" si="411"/>
        <v>#N/A</v>
      </c>
      <c r="AL415" s="226" t="e">
        <f t="shared" si="379"/>
        <v>#N/A</v>
      </c>
      <c r="AM415" s="265" t="e">
        <f t="shared" si="412"/>
        <v>#N/A</v>
      </c>
      <c r="AN415" s="266" t="e">
        <f t="shared" si="380"/>
        <v>#N/A</v>
      </c>
      <c r="AO415" s="227" t="e">
        <f t="shared" si="381"/>
        <v>#N/A</v>
      </c>
      <c r="AP415" s="284">
        <f t="shared" si="413"/>
        <v>7</v>
      </c>
      <c r="AQ415" s="285" t="e">
        <f t="shared" si="382"/>
        <v>#N/A</v>
      </c>
      <c r="AR415" s="266" t="e">
        <f t="shared" si="414"/>
        <v>#N/A</v>
      </c>
      <c r="AS415" s="270" t="e">
        <f t="shared" si="383"/>
        <v>#N/A</v>
      </c>
      <c r="AT415" s="271">
        <f t="shared" si="415"/>
        <v>7</v>
      </c>
      <c r="AU415" s="272" t="e">
        <f t="shared" si="416"/>
        <v>#N/A</v>
      </c>
      <c r="AV415" s="273" t="e">
        <f t="shared" si="417"/>
        <v>#N/A</v>
      </c>
      <c r="AW415" s="274" t="e">
        <f t="shared" si="384"/>
        <v>#N/A</v>
      </c>
      <c r="AX415" s="232">
        <f t="shared" si="418"/>
        <v>7</v>
      </c>
      <c r="AY415" s="273" t="e">
        <f t="shared" si="385"/>
        <v>#N/A</v>
      </c>
      <c r="AZ415" s="232" t="e">
        <f t="shared" si="419"/>
        <v>#N/A</v>
      </c>
      <c r="BA415" s="232" t="e">
        <f t="shared" si="386"/>
        <v>#N/A</v>
      </c>
      <c r="BB415" s="275">
        <f t="shared" si="420"/>
        <v>7</v>
      </c>
      <c r="BC415" s="276" t="e">
        <f t="shared" si="421"/>
        <v>#N/A</v>
      </c>
      <c r="BD415" s="277" t="e">
        <f t="shared" si="422"/>
        <v>#N/A</v>
      </c>
      <c r="BE415" s="250" t="e">
        <f t="shared" si="387"/>
        <v>#N/A</v>
      </c>
      <c r="BF415" s="247">
        <f t="shared" si="423"/>
        <v>7</v>
      </c>
      <c r="BG415" s="276" t="e">
        <f t="shared" si="424"/>
        <v>#N/A</v>
      </c>
      <c r="BH415" s="277" t="e">
        <f t="shared" si="425"/>
        <v>#N/A</v>
      </c>
      <c r="BI415" s="250" t="e">
        <f t="shared" si="388"/>
        <v>#N/A</v>
      </c>
      <c r="BJ415" s="251">
        <f t="shared" si="426"/>
        <v>7</v>
      </c>
      <c r="BK415" s="278" t="e">
        <f t="shared" si="427"/>
        <v>#N/A</v>
      </c>
      <c r="BL415" s="278" t="e">
        <f t="shared" si="428"/>
        <v>#N/A</v>
      </c>
      <c r="BM415" s="279" t="e">
        <f t="shared" si="389"/>
        <v>#N/A</v>
      </c>
      <c r="BN415" s="280">
        <f t="shared" si="429"/>
        <v>7</v>
      </c>
      <c r="BO415" s="281" t="e">
        <f t="shared" si="430"/>
        <v>#N/A</v>
      </c>
      <c r="BP415" s="281" t="e">
        <f t="shared" si="431"/>
        <v>#N/A</v>
      </c>
      <c r="BQ415" s="279" t="e">
        <f t="shared" si="390"/>
        <v>#N/A</v>
      </c>
      <c r="BR415" s="282" t="e">
        <f t="shared" si="391"/>
        <v>#N/A</v>
      </c>
      <c r="BS415" s="217" t="e">
        <f>VLOOKUP($B415,SDR24_STOCK_BY_LA!$A$2:$C$11878,3,0)</f>
        <v>#N/A</v>
      </c>
      <c r="BT415" s="217" t="str">
        <f t="shared" si="432"/>
        <v/>
      </c>
    </row>
    <row r="416" spans="1:72" x14ac:dyDescent="0.2">
      <c r="A416" s="217" t="str">
        <f t="shared" si="433"/>
        <v/>
      </c>
      <c r="B416" s="217" t="str">
        <f t="shared" si="434"/>
        <v/>
      </c>
      <c r="C416" s="283" t="str">
        <f t="shared" si="392"/>
        <v/>
      </c>
      <c r="D416" s="256" t="str">
        <f>IF(B416="","",IF(totals!$Q$3=0,IFERROR(IF(AD416=2,"0",AE416),""),"-"))</f>
        <v/>
      </c>
      <c r="E416" s="258" t="str">
        <f t="shared" si="393"/>
        <v/>
      </c>
      <c r="F416" s="259" t="str">
        <f t="shared" si="394"/>
        <v/>
      </c>
      <c r="G416" s="259" t="str">
        <f t="shared" si="395"/>
        <v/>
      </c>
      <c r="H416" s="256" t="str">
        <f t="shared" si="373"/>
        <v/>
      </c>
      <c r="I416" s="259" t="str">
        <f t="shared" si="396"/>
        <v/>
      </c>
      <c r="J416" s="259" t="str">
        <f t="shared" si="397"/>
        <v/>
      </c>
      <c r="K416" s="256" t="str">
        <f t="shared" si="374"/>
        <v/>
      </c>
      <c r="L416" s="259" t="str">
        <f t="shared" si="375"/>
        <v/>
      </c>
      <c r="M416" s="259" t="str">
        <f t="shared" si="398"/>
        <v/>
      </c>
      <c r="N416" s="256" t="str">
        <f t="shared" si="399"/>
        <v/>
      </c>
      <c r="O416" s="259" t="str">
        <f t="shared" si="400"/>
        <v/>
      </c>
      <c r="P416" s="259" t="str">
        <f t="shared" si="401"/>
        <v/>
      </c>
      <c r="Q416" s="256" t="str">
        <f t="shared" si="402"/>
        <v/>
      </c>
      <c r="R416" s="259" t="str">
        <f t="shared" si="403"/>
        <v/>
      </c>
      <c r="S416" s="259" t="str">
        <f t="shared" si="404"/>
        <v/>
      </c>
      <c r="T416" s="256" t="str">
        <f t="shared" si="405"/>
        <v/>
      </c>
      <c r="U416" s="217"/>
      <c r="V416" s="217"/>
      <c r="AB416" s="217" t="e">
        <f>VLOOKUP($B$6,Lookup_Source,409,0)</f>
        <v>#N/A</v>
      </c>
      <c r="AC416" s="241" t="str">
        <f t="shared" si="406"/>
        <v/>
      </c>
      <c r="AD416" s="242">
        <f t="shared" si="407"/>
        <v>7</v>
      </c>
      <c r="AE416" s="261" t="e">
        <f t="shared" si="376"/>
        <v>#N/A</v>
      </c>
      <c r="AF416" s="264" t="e">
        <f t="shared" si="408"/>
        <v>#N/A</v>
      </c>
      <c r="AG416" s="264" t="e">
        <f t="shared" si="409"/>
        <v>#N/A</v>
      </c>
      <c r="AH416" s="263" t="e">
        <f t="shared" si="377"/>
        <v>#N/A</v>
      </c>
      <c r="AI416" s="226">
        <f t="shared" si="410"/>
        <v>7</v>
      </c>
      <c r="AJ416" s="264" t="e">
        <f t="shared" si="378"/>
        <v>#N/A</v>
      </c>
      <c r="AK416" s="264" t="e">
        <f t="shared" si="411"/>
        <v>#N/A</v>
      </c>
      <c r="AL416" s="226" t="e">
        <f t="shared" si="379"/>
        <v>#N/A</v>
      </c>
      <c r="AM416" s="265" t="e">
        <f t="shared" si="412"/>
        <v>#N/A</v>
      </c>
      <c r="AN416" s="266" t="e">
        <f t="shared" si="380"/>
        <v>#N/A</v>
      </c>
      <c r="AO416" s="227" t="e">
        <f t="shared" si="381"/>
        <v>#N/A</v>
      </c>
      <c r="AP416" s="284">
        <f t="shared" si="413"/>
        <v>7</v>
      </c>
      <c r="AQ416" s="285" t="e">
        <f t="shared" si="382"/>
        <v>#N/A</v>
      </c>
      <c r="AR416" s="266" t="e">
        <f t="shared" si="414"/>
        <v>#N/A</v>
      </c>
      <c r="AS416" s="270" t="e">
        <f t="shared" si="383"/>
        <v>#N/A</v>
      </c>
      <c r="AT416" s="271">
        <f t="shared" si="415"/>
        <v>7</v>
      </c>
      <c r="AU416" s="272" t="e">
        <f t="shared" si="416"/>
        <v>#N/A</v>
      </c>
      <c r="AV416" s="273" t="e">
        <f t="shared" si="417"/>
        <v>#N/A</v>
      </c>
      <c r="AW416" s="274" t="e">
        <f t="shared" si="384"/>
        <v>#N/A</v>
      </c>
      <c r="AX416" s="232">
        <f t="shared" si="418"/>
        <v>7</v>
      </c>
      <c r="AY416" s="273" t="e">
        <f t="shared" si="385"/>
        <v>#N/A</v>
      </c>
      <c r="AZ416" s="232" t="e">
        <f t="shared" si="419"/>
        <v>#N/A</v>
      </c>
      <c r="BA416" s="232" t="e">
        <f t="shared" si="386"/>
        <v>#N/A</v>
      </c>
      <c r="BB416" s="275">
        <f t="shared" si="420"/>
        <v>7</v>
      </c>
      <c r="BC416" s="276" t="e">
        <f t="shared" si="421"/>
        <v>#N/A</v>
      </c>
      <c r="BD416" s="277" t="e">
        <f t="shared" si="422"/>
        <v>#N/A</v>
      </c>
      <c r="BE416" s="250" t="e">
        <f t="shared" si="387"/>
        <v>#N/A</v>
      </c>
      <c r="BF416" s="247">
        <f t="shared" si="423"/>
        <v>7</v>
      </c>
      <c r="BG416" s="276" t="e">
        <f t="shared" si="424"/>
        <v>#N/A</v>
      </c>
      <c r="BH416" s="277" t="e">
        <f t="shared" si="425"/>
        <v>#N/A</v>
      </c>
      <c r="BI416" s="250" t="e">
        <f t="shared" si="388"/>
        <v>#N/A</v>
      </c>
      <c r="BJ416" s="251">
        <f t="shared" si="426"/>
        <v>7</v>
      </c>
      <c r="BK416" s="278" t="e">
        <f t="shared" si="427"/>
        <v>#N/A</v>
      </c>
      <c r="BL416" s="278" t="e">
        <f t="shared" si="428"/>
        <v>#N/A</v>
      </c>
      <c r="BM416" s="279" t="e">
        <f t="shared" si="389"/>
        <v>#N/A</v>
      </c>
      <c r="BN416" s="280">
        <f t="shared" si="429"/>
        <v>7</v>
      </c>
      <c r="BO416" s="281" t="e">
        <f t="shared" si="430"/>
        <v>#N/A</v>
      </c>
      <c r="BP416" s="281" t="e">
        <f t="shared" si="431"/>
        <v>#N/A</v>
      </c>
      <c r="BQ416" s="279" t="e">
        <f t="shared" si="390"/>
        <v>#N/A</v>
      </c>
      <c r="BR416" s="282" t="e">
        <f t="shared" si="391"/>
        <v>#N/A</v>
      </c>
      <c r="BS416" s="217" t="e">
        <f>VLOOKUP($B416,SDR24_STOCK_BY_LA!$A$2:$C$11878,3,0)</f>
        <v>#N/A</v>
      </c>
      <c r="BT416" s="217" t="str">
        <f t="shared" si="432"/>
        <v/>
      </c>
    </row>
    <row r="417" spans="1:72" x14ac:dyDescent="0.2">
      <c r="A417" s="256" t="str">
        <f t="shared" si="433"/>
        <v/>
      </c>
      <c r="B417" s="217" t="str">
        <f t="shared" si="434"/>
        <v/>
      </c>
      <c r="C417" s="257" t="str">
        <f t="shared" si="392"/>
        <v/>
      </c>
      <c r="D417" s="256" t="str">
        <f>IF(B417="","",IF(totals!$Q$3=0,IFERROR(IF(AD417=2,"0",AE417),""),"-"))</f>
        <v/>
      </c>
      <c r="E417" s="258" t="str">
        <f t="shared" si="393"/>
        <v/>
      </c>
      <c r="F417" s="259" t="str">
        <f t="shared" si="394"/>
        <v/>
      </c>
      <c r="G417" s="259" t="str">
        <f t="shared" si="395"/>
        <v/>
      </c>
      <c r="H417" s="256" t="str">
        <f t="shared" si="373"/>
        <v/>
      </c>
      <c r="I417" s="259" t="str">
        <f t="shared" si="396"/>
        <v/>
      </c>
      <c r="J417" s="259" t="str">
        <f t="shared" si="397"/>
        <v/>
      </c>
      <c r="K417" s="256" t="str">
        <f t="shared" si="374"/>
        <v/>
      </c>
      <c r="L417" s="259" t="str">
        <f t="shared" si="375"/>
        <v/>
      </c>
      <c r="M417" s="259" t="str">
        <f t="shared" si="398"/>
        <v/>
      </c>
      <c r="N417" s="256" t="str">
        <f t="shared" si="399"/>
        <v/>
      </c>
      <c r="O417" s="259" t="str">
        <f t="shared" si="400"/>
        <v/>
      </c>
      <c r="P417" s="259" t="str">
        <f t="shared" si="401"/>
        <v/>
      </c>
      <c r="Q417" s="256" t="str">
        <f t="shared" si="402"/>
        <v/>
      </c>
      <c r="R417" s="259" t="str">
        <f t="shared" si="403"/>
        <v/>
      </c>
      <c r="S417" s="259" t="str">
        <f t="shared" si="404"/>
        <v/>
      </c>
      <c r="T417" s="256" t="str">
        <f t="shared" si="405"/>
        <v/>
      </c>
      <c r="U417" s="217"/>
      <c r="V417" s="217"/>
      <c r="AB417" s="257" t="e">
        <f>VLOOKUP($B$6,Lookup_Source,410,0)</f>
        <v>#N/A</v>
      </c>
      <c r="AC417" s="241" t="str">
        <f t="shared" si="406"/>
        <v/>
      </c>
      <c r="AD417" s="242">
        <f t="shared" si="407"/>
        <v>7</v>
      </c>
      <c r="AE417" s="261" t="e">
        <f t="shared" si="376"/>
        <v>#N/A</v>
      </c>
      <c r="AF417" s="264" t="e">
        <f t="shared" si="408"/>
        <v>#N/A</v>
      </c>
      <c r="AG417" s="264" t="e">
        <f t="shared" si="409"/>
        <v>#N/A</v>
      </c>
      <c r="AH417" s="263" t="e">
        <f t="shared" si="377"/>
        <v>#N/A</v>
      </c>
      <c r="AI417" s="226">
        <f t="shared" si="410"/>
        <v>7</v>
      </c>
      <c r="AJ417" s="264" t="e">
        <f t="shared" si="378"/>
        <v>#N/A</v>
      </c>
      <c r="AK417" s="264" t="e">
        <f t="shared" si="411"/>
        <v>#N/A</v>
      </c>
      <c r="AL417" s="226" t="e">
        <f t="shared" si="379"/>
        <v>#N/A</v>
      </c>
      <c r="AM417" s="265" t="e">
        <f t="shared" si="412"/>
        <v>#N/A</v>
      </c>
      <c r="AN417" s="266" t="e">
        <f t="shared" si="380"/>
        <v>#N/A</v>
      </c>
      <c r="AO417" s="227" t="e">
        <f t="shared" si="381"/>
        <v>#N/A</v>
      </c>
      <c r="AP417" s="284">
        <f t="shared" si="413"/>
        <v>7</v>
      </c>
      <c r="AQ417" s="285" t="e">
        <f t="shared" si="382"/>
        <v>#N/A</v>
      </c>
      <c r="AR417" s="266" t="e">
        <f t="shared" si="414"/>
        <v>#N/A</v>
      </c>
      <c r="AS417" s="270" t="e">
        <f t="shared" si="383"/>
        <v>#N/A</v>
      </c>
      <c r="AT417" s="271">
        <f t="shared" si="415"/>
        <v>7</v>
      </c>
      <c r="AU417" s="272" t="e">
        <f t="shared" si="416"/>
        <v>#N/A</v>
      </c>
      <c r="AV417" s="273" t="e">
        <f t="shared" si="417"/>
        <v>#N/A</v>
      </c>
      <c r="AW417" s="274" t="e">
        <f t="shared" si="384"/>
        <v>#N/A</v>
      </c>
      <c r="AX417" s="232">
        <f t="shared" si="418"/>
        <v>7</v>
      </c>
      <c r="AY417" s="273" t="e">
        <f t="shared" si="385"/>
        <v>#N/A</v>
      </c>
      <c r="AZ417" s="232" t="e">
        <f t="shared" si="419"/>
        <v>#N/A</v>
      </c>
      <c r="BA417" s="232" t="e">
        <f t="shared" si="386"/>
        <v>#N/A</v>
      </c>
      <c r="BB417" s="275">
        <f t="shared" si="420"/>
        <v>7</v>
      </c>
      <c r="BC417" s="276" t="e">
        <f t="shared" si="421"/>
        <v>#N/A</v>
      </c>
      <c r="BD417" s="277" t="e">
        <f t="shared" si="422"/>
        <v>#N/A</v>
      </c>
      <c r="BE417" s="250" t="e">
        <f t="shared" si="387"/>
        <v>#N/A</v>
      </c>
      <c r="BF417" s="247">
        <f t="shared" si="423"/>
        <v>7</v>
      </c>
      <c r="BG417" s="276" t="e">
        <f t="shared" si="424"/>
        <v>#N/A</v>
      </c>
      <c r="BH417" s="277" t="e">
        <f t="shared" si="425"/>
        <v>#N/A</v>
      </c>
      <c r="BI417" s="250" t="e">
        <f t="shared" si="388"/>
        <v>#N/A</v>
      </c>
      <c r="BJ417" s="251">
        <f t="shared" si="426"/>
        <v>7</v>
      </c>
      <c r="BK417" s="278" t="e">
        <f t="shared" si="427"/>
        <v>#N/A</v>
      </c>
      <c r="BL417" s="278" t="e">
        <f t="shared" si="428"/>
        <v>#N/A</v>
      </c>
      <c r="BM417" s="279" t="e">
        <f t="shared" si="389"/>
        <v>#N/A</v>
      </c>
      <c r="BN417" s="280">
        <f t="shared" si="429"/>
        <v>7</v>
      </c>
      <c r="BO417" s="281" t="e">
        <f t="shared" si="430"/>
        <v>#N/A</v>
      </c>
      <c r="BP417" s="281" t="e">
        <f t="shared" si="431"/>
        <v>#N/A</v>
      </c>
      <c r="BQ417" s="279" t="e">
        <f t="shared" si="390"/>
        <v>#N/A</v>
      </c>
      <c r="BR417" s="282" t="e">
        <f t="shared" si="391"/>
        <v>#N/A</v>
      </c>
      <c r="BS417" s="217" t="e">
        <f>VLOOKUP($B417,SDR24_STOCK_BY_LA!$A$2:$C$11878,3,0)</f>
        <v>#N/A</v>
      </c>
      <c r="BT417" s="217" t="str">
        <f t="shared" si="432"/>
        <v/>
      </c>
    </row>
    <row r="418" spans="1:72" x14ac:dyDescent="0.2">
      <c r="A418" s="217" t="str">
        <f t="shared" si="433"/>
        <v/>
      </c>
      <c r="B418" s="217" t="str">
        <f t="shared" si="434"/>
        <v/>
      </c>
      <c r="C418" s="283" t="str">
        <f t="shared" si="392"/>
        <v/>
      </c>
      <c r="D418" s="256" t="str">
        <f>IF(B418="","",IF(totals!$Q$3=0,IFERROR(IF(AD418=2,"0",AE418),""),"-"))</f>
        <v/>
      </c>
      <c r="E418" s="258" t="str">
        <f t="shared" si="393"/>
        <v/>
      </c>
      <c r="F418" s="259" t="str">
        <f t="shared" si="394"/>
        <v/>
      </c>
      <c r="G418" s="259" t="str">
        <f t="shared" si="395"/>
        <v/>
      </c>
      <c r="H418" s="256" t="str">
        <f t="shared" si="373"/>
        <v/>
      </c>
      <c r="I418" s="259" t="str">
        <f t="shared" si="396"/>
        <v/>
      </c>
      <c r="J418" s="259" t="str">
        <f t="shared" si="397"/>
        <v/>
      </c>
      <c r="K418" s="256" t="str">
        <f t="shared" si="374"/>
        <v/>
      </c>
      <c r="L418" s="259" t="str">
        <f t="shared" si="375"/>
        <v/>
      </c>
      <c r="M418" s="259" t="str">
        <f t="shared" si="398"/>
        <v/>
      </c>
      <c r="N418" s="256" t="str">
        <f t="shared" si="399"/>
        <v/>
      </c>
      <c r="O418" s="259" t="str">
        <f t="shared" si="400"/>
        <v/>
      </c>
      <c r="P418" s="259" t="str">
        <f t="shared" si="401"/>
        <v/>
      </c>
      <c r="Q418" s="256" t="str">
        <f t="shared" si="402"/>
        <v/>
      </c>
      <c r="R418" s="259" t="str">
        <f t="shared" si="403"/>
        <v/>
      </c>
      <c r="S418" s="259" t="str">
        <f t="shared" si="404"/>
        <v/>
      </c>
      <c r="T418" s="256" t="str">
        <f t="shared" si="405"/>
        <v/>
      </c>
      <c r="U418" s="217"/>
      <c r="V418" s="217"/>
      <c r="AB418" s="217" t="e">
        <f>VLOOKUP($B$6,Lookup_Source,411,0)</f>
        <v>#N/A</v>
      </c>
      <c r="AC418" s="241" t="str">
        <f t="shared" si="406"/>
        <v/>
      </c>
      <c r="AD418" s="242">
        <f t="shared" si="407"/>
        <v>7</v>
      </c>
      <c r="AE418" s="261" t="e">
        <f t="shared" si="376"/>
        <v>#N/A</v>
      </c>
      <c r="AF418" s="264" t="e">
        <f t="shared" si="408"/>
        <v>#N/A</v>
      </c>
      <c r="AG418" s="264" t="e">
        <f t="shared" si="409"/>
        <v>#N/A</v>
      </c>
      <c r="AH418" s="263" t="e">
        <f t="shared" si="377"/>
        <v>#N/A</v>
      </c>
      <c r="AI418" s="226">
        <f t="shared" si="410"/>
        <v>7</v>
      </c>
      <c r="AJ418" s="264" t="e">
        <f t="shared" si="378"/>
        <v>#N/A</v>
      </c>
      <c r="AK418" s="264" t="e">
        <f t="shared" si="411"/>
        <v>#N/A</v>
      </c>
      <c r="AL418" s="226" t="e">
        <f t="shared" si="379"/>
        <v>#N/A</v>
      </c>
      <c r="AM418" s="265" t="e">
        <f t="shared" si="412"/>
        <v>#N/A</v>
      </c>
      <c r="AN418" s="266" t="e">
        <f t="shared" si="380"/>
        <v>#N/A</v>
      </c>
      <c r="AO418" s="227" t="e">
        <f t="shared" si="381"/>
        <v>#N/A</v>
      </c>
      <c r="AP418" s="284">
        <f t="shared" si="413"/>
        <v>7</v>
      </c>
      <c r="AQ418" s="285" t="e">
        <f t="shared" si="382"/>
        <v>#N/A</v>
      </c>
      <c r="AR418" s="266" t="e">
        <f t="shared" si="414"/>
        <v>#N/A</v>
      </c>
      <c r="AS418" s="270" t="e">
        <f t="shared" si="383"/>
        <v>#N/A</v>
      </c>
      <c r="AT418" s="271">
        <f t="shared" si="415"/>
        <v>7</v>
      </c>
      <c r="AU418" s="272" t="e">
        <f t="shared" si="416"/>
        <v>#N/A</v>
      </c>
      <c r="AV418" s="273" t="e">
        <f t="shared" si="417"/>
        <v>#N/A</v>
      </c>
      <c r="AW418" s="274" t="e">
        <f t="shared" si="384"/>
        <v>#N/A</v>
      </c>
      <c r="AX418" s="232">
        <f t="shared" si="418"/>
        <v>7</v>
      </c>
      <c r="AY418" s="273" t="e">
        <f t="shared" si="385"/>
        <v>#N/A</v>
      </c>
      <c r="AZ418" s="232" t="e">
        <f t="shared" si="419"/>
        <v>#N/A</v>
      </c>
      <c r="BA418" s="232" t="e">
        <f t="shared" si="386"/>
        <v>#N/A</v>
      </c>
      <c r="BB418" s="275">
        <f t="shared" si="420"/>
        <v>7</v>
      </c>
      <c r="BC418" s="276" t="e">
        <f t="shared" si="421"/>
        <v>#N/A</v>
      </c>
      <c r="BD418" s="277" t="e">
        <f t="shared" si="422"/>
        <v>#N/A</v>
      </c>
      <c r="BE418" s="250" t="e">
        <f t="shared" si="387"/>
        <v>#N/A</v>
      </c>
      <c r="BF418" s="247">
        <f t="shared" si="423"/>
        <v>7</v>
      </c>
      <c r="BG418" s="276" t="e">
        <f t="shared" si="424"/>
        <v>#N/A</v>
      </c>
      <c r="BH418" s="277" t="e">
        <f t="shared" si="425"/>
        <v>#N/A</v>
      </c>
      <c r="BI418" s="250" t="e">
        <f t="shared" si="388"/>
        <v>#N/A</v>
      </c>
      <c r="BJ418" s="251">
        <f t="shared" si="426"/>
        <v>7</v>
      </c>
      <c r="BK418" s="278" t="e">
        <f t="shared" si="427"/>
        <v>#N/A</v>
      </c>
      <c r="BL418" s="278" t="e">
        <f t="shared" si="428"/>
        <v>#N/A</v>
      </c>
      <c r="BM418" s="279" t="e">
        <f t="shared" si="389"/>
        <v>#N/A</v>
      </c>
      <c r="BN418" s="280">
        <f t="shared" si="429"/>
        <v>7</v>
      </c>
      <c r="BO418" s="281" t="e">
        <f t="shared" si="430"/>
        <v>#N/A</v>
      </c>
      <c r="BP418" s="281" t="e">
        <f t="shared" si="431"/>
        <v>#N/A</v>
      </c>
      <c r="BQ418" s="279" t="e">
        <f t="shared" si="390"/>
        <v>#N/A</v>
      </c>
      <c r="BR418" s="282" t="e">
        <f t="shared" si="391"/>
        <v>#N/A</v>
      </c>
      <c r="BS418" s="217" t="e">
        <f>VLOOKUP($B418,SDR24_STOCK_BY_LA!$A$2:$C$11878,3,0)</f>
        <v>#N/A</v>
      </c>
      <c r="BT418" s="217" t="str">
        <f t="shared" si="432"/>
        <v/>
      </c>
    </row>
    <row r="419" spans="1:72" x14ac:dyDescent="0.2">
      <c r="A419" s="256" t="str">
        <f t="shared" si="433"/>
        <v/>
      </c>
      <c r="B419" s="217" t="str">
        <f t="shared" si="434"/>
        <v/>
      </c>
      <c r="C419" s="257" t="str">
        <f t="shared" si="392"/>
        <v/>
      </c>
      <c r="D419" s="256" t="str">
        <f>IF(B419="","",IF(totals!$Q$3=0,IFERROR(IF(AD419=2,"0",AE419),""),"-"))</f>
        <v/>
      </c>
      <c r="E419" s="258" t="str">
        <f t="shared" si="393"/>
        <v/>
      </c>
      <c r="F419" s="259" t="str">
        <f t="shared" si="394"/>
        <v/>
      </c>
      <c r="G419" s="259" t="str">
        <f t="shared" si="395"/>
        <v/>
      </c>
      <c r="H419" s="256" t="str">
        <f t="shared" si="373"/>
        <v/>
      </c>
      <c r="I419" s="259" t="str">
        <f t="shared" si="396"/>
        <v/>
      </c>
      <c r="J419" s="259" t="str">
        <f t="shared" si="397"/>
        <v/>
      </c>
      <c r="K419" s="256" t="str">
        <f t="shared" si="374"/>
        <v/>
      </c>
      <c r="L419" s="259" t="str">
        <f t="shared" si="375"/>
        <v/>
      </c>
      <c r="M419" s="259" t="str">
        <f t="shared" si="398"/>
        <v/>
      </c>
      <c r="N419" s="256" t="str">
        <f t="shared" si="399"/>
        <v/>
      </c>
      <c r="O419" s="259" t="str">
        <f t="shared" si="400"/>
        <v/>
      </c>
      <c r="P419" s="259" t="str">
        <f t="shared" si="401"/>
        <v/>
      </c>
      <c r="Q419" s="256" t="str">
        <f t="shared" si="402"/>
        <v/>
      </c>
      <c r="R419" s="259" t="str">
        <f t="shared" si="403"/>
        <v/>
      </c>
      <c r="S419" s="259" t="str">
        <f t="shared" si="404"/>
        <v/>
      </c>
      <c r="T419" s="256" t="str">
        <f t="shared" si="405"/>
        <v/>
      </c>
      <c r="U419" s="217"/>
      <c r="V419" s="217"/>
      <c r="AB419" s="257" t="e">
        <f>VLOOKUP($B$6,Lookup_Source,412,0)</f>
        <v>#N/A</v>
      </c>
      <c r="AC419" s="241" t="str">
        <f t="shared" si="406"/>
        <v/>
      </c>
      <c r="AD419" s="242">
        <f t="shared" si="407"/>
        <v>7</v>
      </c>
      <c r="AE419" s="261" t="e">
        <f t="shared" si="376"/>
        <v>#N/A</v>
      </c>
      <c r="AF419" s="264" t="e">
        <f t="shared" si="408"/>
        <v>#N/A</v>
      </c>
      <c r="AG419" s="264" t="e">
        <f t="shared" si="409"/>
        <v>#N/A</v>
      </c>
      <c r="AH419" s="263" t="e">
        <f t="shared" si="377"/>
        <v>#N/A</v>
      </c>
      <c r="AI419" s="226">
        <f t="shared" si="410"/>
        <v>7</v>
      </c>
      <c r="AJ419" s="264" t="e">
        <f t="shared" si="378"/>
        <v>#N/A</v>
      </c>
      <c r="AK419" s="264" t="e">
        <f t="shared" si="411"/>
        <v>#N/A</v>
      </c>
      <c r="AL419" s="226" t="e">
        <f t="shared" si="379"/>
        <v>#N/A</v>
      </c>
      <c r="AM419" s="265" t="e">
        <f t="shared" si="412"/>
        <v>#N/A</v>
      </c>
      <c r="AN419" s="266" t="e">
        <f t="shared" si="380"/>
        <v>#N/A</v>
      </c>
      <c r="AO419" s="227" t="e">
        <f t="shared" si="381"/>
        <v>#N/A</v>
      </c>
      <c r="AP419" s="284">
        <f t="shared" si="413"/>
        <v>7</v>
      </c>
      <c r="AQ419" s="285" t="e">
        <f t="shared" si="382"/>
        <v>#N/A</v>
      </c>
      <c r="AR419" s="266" t="e">
        <f t="shared" si="414"/>
        <v>#N/A</v>
      </c>
      <c r="AS419" s="270" t="e">
        <f t="shared" si="383"/>
        <v>#N/A</v>
      </c>
      <c r="AT419" s="271">
        <f t="shared" si="415"/>
        <v>7</v>
      </c>
      <c r="AU419" s="272" t="e">
        <f t="shared" si="416"/>
        <v>#N/A</v>
      </c>
      <c r="AV419" s="273" t="e">
        <f t="shared" si="417"/>
        <v>#N/A</v>
      </c>
      <c r="AW419" s="274" t="e">
        <f t="shared" si="384"/>
        <v>#N/A</v>
      </c>
      <c r="AX419" s="232">
        <f t="shared" si="418"/>
        <v>7</v>
      </c>
      <c r="AY419" s="273" t="e">
        <f t="shared" si="385"/>
        <v>#N/A</v>
      </c>
      <c r="AZ419" s="232" t="e">
        <f t="shared" si="419"/>
        <v>#N/A</v>
      </c>
      <c r="BA419" s="232" t="e">
        <f t="shared" si="386"/>
        <v>#N/A</v>
      </c>
      <c r="BB419" s="275">
        <f t="shared" si="420"/>
        <v>7</v>
      </c>
      <c r="BC419" s="276" t="e">
        <f t="shared" si="421"/>
        <v>#N/A</v>
      </c>
      <c r="BD419" s="277" t="e">
        <f t="shared" si="422"/>
        <v>#N/A</v>
      </c>
      <c r="BE419" s="250" t="e">
        <f t="shared" si="387"/>
        <v>#N/A</v>
      </c>
      <c r="BF419" s="247">
        <f t="shared" si="423"/>
        <v>7</v>
      </c>
      <c r="BG419" s="276" t="e">
        <f t="shared" si="424"/>
        <v>#N/A</v>
      </c>
      <c r="BH419" s="277" t="e">
        <f t="shared" si="425"/>
        <v>#N/A</v>
      </c>
      <c r="BI419" s="250" t="e">
        <f t="shared" si="388"/>
        <v>#N/A</v>
      </c>
      <c r="BJ419" s="251">
        <f t="shared" si="426"/>
        <v>7</v>
      </c>
      <c r="BK419" s="278" t="e">
        <f t="shared" si="427"/>
        <v>#N/A</v>
      </c>
      <c r="BL419" s="278" t="e">
        <f t="shared" si="428"/>
        <v>#N/A</v>
      </c>
      <c r="BM419" s="279" t="e">
        <f t="shared" si="389"/>
        <v>#N/A</v>
      </c>
      <c r="BN419" s="280">
        <f t="shared" si="429"/>
        <v>7</v>
      </c>
      <c r="BO419" s="281" t="e">
        <f t="shared" si="430"/>
        <v>#N/A</v>
      </c>
      <c r="BP419" s="281" t="e">
        <f t="shared" si="431"/>
        <v>#N/A</v>
      </c>
      <c r="BQ419" s="279" t="e">
        <f t="shared" si="390"/>
        <v>#N/A</v>
      </c>
      <c r="BR419" s="282" t="e">
        <f t="shared" si="391"/>
        <v>#N/A</v>
      </c>
      <c r="BS419" s="217" t="e">
        <f>VLOOKUP($B419,SDR24_STOCK_BY_LA!$A$2:$C$11878,3,0)</f>
        <v>#N/A</v>
      </c>
      <c r="BT419" s="217" t="str">
        <f t="shared" si="432"/>
        <v/>
      </c>
    </row>
    <row r="420" spans="1:72" x14ac:dyDescent="0.2">
      <c r="A420" s="217" t="str">
        <f t="shared" si="433"/>
        <v/>
      </c>
      <c r="B420" s="217" t="str">
        <f t="shared" si="434"/>
        <v/>
      </c>
      <c r="C420" s="283" t="str">
        <f t="shared" si="392"/>
        <v/>
      </c>
      <c r="D420" s="256" t="str">
        <f>IF(B420="","",IF(totals!$Q$3=0,IFERROR(IF(AD420=2,"0",AE420),""),"-"))</f>
        <v/>
      </c>
      <c r="E420" s="258" t="str">
        <f t="shared" si="393"/>
        <v/>
      </c>
      <c r="F420" s="259" t="str">
        <f t="shared" si="394"/>
        <v/>
      </c>
      <c r="G420" s="259" t="str">
        <f t="shared" si="395"/>
        <v/>
      </c>
      <c r="H420" s="256" t="str">
        <f t="shared" si="373"/>
        <v/>
      </c>
      <c r="I420" s="259" t="str">
        <f t="shared" si="396"/>
        <v/>
      </c>
      <c r="J420" s="259" t="str">
        <f t="shared" si="397"/>
        <v/>
      </c>
      <c r="K420" s="256" t="str">
        <f t="shared" si="374"/>
        <v/>
      </c>
      <c r="L420" s="259" t="str">
        <f t="shared" si="375"/>
        <v/>
      </c>
      <c r="M420" s="259" t="str">
        <f t="shared" si="398"/>
        <v/>
      </c>
      <c r="N420" s="256" t="str">
        <f t="shared" si="399"/>
        <v/>
      </c>
      <c r="O420" s="259" t="str">
        <f t="shared" si="400"/>
        <v/>
      </c>
      <c r="P420" s="259" t="str">
        <f t="shared" si="401"/>
        <v/>
      </c>
      <c r="Q420" s="256" t="str">
        <f t="shared" si="402"/>
        <v/>
      </c>
      <c r="R420" s="259" t="str">
        <f t="shared" si="403"/>
        <v/>
      </c>
      <c r="S420" s="259" t="str">
        <f t="shared" si="404"/>
        <v/>
      </c>
      <c r="T420" s="256" t="str">
        <f t="shared" si="405"/>
        <v/>
      </c>
      <c r="U420" s="217"/>
      <c r="V420" s="217"/>
      <c r="AB420" s="217" t="e">
        <f>VLOOKUP($B$6,Lookup_Source,413,0)</f>
        <v>#N/A</v>
      </c>
      <c r="AC420" s="241" t="str">
        <f t="shared" si="406"/>
        <v/>
      </c>
      <c r="AD420" s="242">
        <f t="shared" si="407"/>
        <v>7</v>
      </c>
      <c r="AE420" s="261" t="e">
        <f t="shared" si="376"/>
        <v>#N/A</v>
      </c>
      <c r="AF420" s="264" t="e">
        <f t="shared" si="408"/>
        <v>#N/A</v>
      </c>
      <c r="AG420" s="264" t="e">
        <f t="shared" si="409"/>
        <v>#N/A</v>
      </c>
      <c r="AH420" s="263" t="e">
        <f t="shared" si="377"/>
        <v>#N/A</v>
      </c>
      <c r="AI420" s="226">
        <f t="shared" si="410"/>
        <v>7</v>
      </c>
      <c r="AJ420" s="264" t="e">
        <f t="shared" si="378"/>
        <v>#N/A</v>
      </c>
      <c r="AK420" s="264" t="e">
        <f t="shared" si="411"/>
        <v>#N/A</v>
      </c>
      <c r="AL420" s="226" t="e">
        <f t="shared" si="379"/>
        <v>#N/A</v>
      </c>
      <c r="AM420" s="265" t="e">
        <f t="shared" si="412"/>
        <v>#N/A</v>
      </c>
      <c r="AN420" s="266" t="e">
        <f t="shared" si="380"/>
        <v>#N/A</v>
      </c>
      <c r="AO420" s="227" t="e">
        <f t="shared" si="381"/>
        <v>#N/A</v>
      </c>
      <c r="AP420" s="284">
        <f t="shared" si="413"/>
        <v>7</v>
      </c>
      <c r="AQ420" s="285" t="e">
        <f t="shared" si="382"/>
        <v>#N/A</v>
      </c>
      <c r="AR420" s="266" t="e">
        <f t="shared" si="414"/>
        <v>#N/A</v>
      </c>
      <c r="AS420" s="270" t="e">
        <f t="shared" si="383"/>
        <v>#N/A</v>
      </c>
      <c r="AT420" s="271">
        <f t="shared" si="415"/>
        <v>7</v>
      </c>
      <c r="AU420" s="272" t="e">
        <f t="shared" si="416"/>
        <v>#N/A</v>
      </c>
      <c r="AV420" s="273" t="e">
        <f t="shared" si="417"/>
        <v>#N/A</v>
      </c>
      <c r="AW420" s="274" t="e">
        <f t="shared" si="384"/>
        <v>#N/A</v>
      </c>
      <c r="AX420" s="232">
        <f t="shared" si="418"/>
        <v>7</v>
      </c>
      <c r="AY420" s="273" t="e">
        <f t="shared" si="385"/>
        <v>#N/A</v>
      </c>
      <c r="AZ420" s="232" t="e">
        <f t="shared" si="419"/>
        <v>#N/A</v>
      </c>
      <c r="BA420" s="232" t="e">
        <f t="shared" si="386"/>
        <v>#N/A</v>
      </c>
      <c r="BB420" s="275">
        <f t="shared" si="420"/>
        <v>7</v>
      </c>
      <c r="BC420" s="276" t="e">
        <f t="shared" si="421"/>
        <v>#N/A</v>
      </c>
      <c r="BD420" s="277" t="e">
        <f t="shared" si="422"/>
        <v>#N/A</v>
      </c>
      <c r="BE420" s="250" t="e">
        <f t="shared" si="387"/>
        <v>#N/A</v>
      </c>
      <c r="BF420" s="247">
        <f t="shared" si="423"/>
        <v>7</v>
      </c>
      <c r="BG420" s="276" t="e">
        <f t="shared" si="424"/>
        <v>#N/A</v>
      </c>
      <c r="BH420" s="277" t="e">
        <f t="shared" si="425"/>
        <v>#N/A</v>
      </c>
      <c r="BI420" s="250" t="e">
        <f t="shared" si="388"/>
        <v>#N/A</v>
      </c>
      <c r="BJ420" s="251">
        <f t="shared" si="426"/>
        <v>7</v>
      </c>
      <c r="BK420" s="278" t="e">
        <f t="shared" si="427"/>
        <v>#N/A</v>
      </c>
      <c r="BL420" s="278" t="e">
        <f t="shared" si="428"/>
        <v>#N/A</v>
      </c>
      <c r="BM420" s="279" t="e">
        <f t="shared" si="389"/>
        <v>#N/A</v>
      </c>
      <c r="BN420" s="280">
        <f t="shared" si="429"/>
        <v>7</v>
      </c>
      <c r="BO420" s="281" t="e">
        <f t="shared" si="430"/>
        <v>#N/A</v>
      </c>
      <c r="BP420" s="281" t="e">
        <f t="shared" si="431"/>
        <v>#N/A</v>
      </c>
      <c r="BQ420" s="279" t="e">
        <f t="shared" si="390"/>
        <v>#N/A</v>
      </c>
      <c r="BR420" s="282" t="e">
        <f t="shared" si="391"/>
        <v>#N/A</v>
      </c>
      <c r="BS420" s="217" t="e">
        <f>VLOOKUP($B420,SDR24_STOCK_BY_LA!$A$2:$C$11878,3,0)</f>
        <v>#N/A</v>
      </c>
      <c r="BT420" s="217" t="str">
        <f t="shared" si="432"/>
        <v/>
      </c>
    </row>
    <row r="421" spans="1:72" x14ac:dyDescent="0.2">
      <c r="A421" s="256" t="str">
        <f t="shared" si="433"/>
        <v/>
      </c>
      <c r="B421" s="217" t="str">
        <f t="shared" si="434"/>
        <v/>
      </c>
      <c r="C421" s="257" t="str">
        <f t="shared" si="392"/>
        <v/>
      </c>
      <c r="D421" s="256" t="str">
        <f>IF(B421="","",IF(totals!$Q$3=0,IFERROR(IF(AD421=2,"0",AE421),""),"-"))</f>
        <v/>
      </c>
      <c r="E421" s="258" t="str">
        <f t="shared" si="393"/>
        <v/>
      </c>
      <c r="F421" s="259" t="str">
        <f t="shared" si="394"/>
        <v/>
      </c>
      <c r="G421" s="259" t="str">
        <f t="shared" si="395"/>
        <v/>
      </c>
      <c r="H421" s="256" t="str">
        <f t="shared" si="373"/>
        <v/>
      </c>
      <c r="I421" s="259" t="str">
        <f t="shared" si="396"/>
        <v/>
      </c>
      <c r="J421" s="259" t="str">
        <f t="shared" si="397"/>
        <v/>
      </c>
      <c r="K421" s="256" t="str">
        <f t="shared" si="374"/>
        <v/>
      </c>
      <c r="L421" s="259" t="str">
        <f t="shared" si="375"/>
        <v/>
      </c>
      <c r="M421" s="259" t="str">
        <f t="shared" si="398"/>
        <v/>
      </c>
      <c r="N421" s="256" t="str">
        <f t="shared" si="399"/>
        <v/>
      </c>
      <c r="O421" s="259" t="str">
        <f t="shared" si="400"/>
        <v/>
      </c>
      <c r="P421" s="259" t="str">
        <f t="shared" si="401"/>
        <v/>
      </c>
      <c r="Q421" s="256" t="str">
        <f t="shared" si="402"/>
        <v/>
      </c>
      <c r="R421" s="259" t="str">
        <f t="shared" si="403"/>
        <v/>
      </c>
      <c r="S421" s="259" t="str">
        <f t="shared" si="404"/>
        <v/>
      </c>
      <c r="T421" s="256" t="str">
        <f t="shared" si="405"/>
        <v/>
      </c>
      <c r="U421" s="217"/>
      <c r="V421" s="217"/>
      <c r="AB421" s="257" t="e">
        <f>VLOOKUP($B$6,Lookup_Source,414,0)</f>
        <v>#N/A</v>
      </c>
      <c r="AC421" s="241" t="str">
        <f t="shared" si="406"/>
        <v/>
      </c>
      <c r="AD421" s="242">
        <f t="shared" si="407"/>
        <v>7</v>
      </c>
      <c r="AE421" s="261" t="e">
        <f t="shared" si="376"/>
        <v>#N/A</v>
      </c>
      <c r="AF421" s="264" t="e">
        <f t="shared" si="408"/>
        <v>#N/A</v>
      </c>
      <c r="AG421" s="264" t="e">
        <f t="shared" si="409"/>
        <v>#N/A</v>
      </c>
      <c r="AH421" s="263" t="e">
        <f t="shared" si="377"/>
        <v>#N/A</v>
      </c>
      <c r="AI421" s="226">
        <f t="shared" si="410"/>
        <v>7</v>
      </c>
      <c r="AJ421" s="264" t="e">
        <f t="shared" si="378"/>
        <v>#N/A</v>
      </c>
      <c r="AK421" s="264" t="e">
        <f t="shared" si="411"/>
        <v>#N/A</v>
      </c>
      <c r="AL421" s="226" t="e">
        <f t="shared" si="379"/>
        <v>#N/A</v>
      </c>
      <c r="AM421" s="265" t="e">
        <f t="shared" si="412"/>
        <v>#N/A</v>
      </c>
      <c r="AN421" s="266" t="e">
        <f t="shared" si="380"/>
        <v>#N/A</v>
      </c>
      <c r="AO421" s="227" t="e">
        <f t="shared" si="381"/>
        <v>#N/A</v>
      </c>
      <c r="AP421" s="284">
        <f t="shared" si="413"/>
        <v>7</v>
      </c>
      <c r="AQ421" s="285" t="e">
        <f t="shared" si="382"/>
        <v>#N/A</v>
      </c>
      <c r="AR421" s="266" t="e">
        <f t="shared" si="414"/>
        <v>#N/A</v>
      </c>
      <c r="AS421" s="270" t="e">
        <f t="shared" si="383"/>
        <v>#N/A</v>
      </c>
      <c r="AT421" s="271">
        <f t="shared" si="415"/>
        <v>7</v>
      </c>
      <c r="AU421" s="272" t="e">
        <f t="shared" si="416"/>
        <v>#N/A</v>
      </c>
      <c r="AV421" s="273" t="e">
        <f t="shared" si="417"/>
        <v>#N/A</v>
      </c>
      <c r="AW421" s="274" t="e">
        <f t="shared" si="384"/>
        <v>#N/A</v>
      </c>
      <c r="AX421" s="232">
        <f t="shared" si="418"/>
        <v>7</v>
      </c>
      <c r="AY421" s="273" t="e">
        <f t="shared" si="385"/>
        <v>#N/A</v>
      </c>
      <c r="AZ421" s="232" t="e">
        <f t="shared" si="419"/>
        <v>#N/A</v>
      </c>
      <c r="BA421" s="232" t="e">
        <f t="shared" si="386"/>
        <v>#N/A</v>
      </c>
      <c r="BB421" s="275">
        <f t="shared" si="420"/>
        <v>7</v>
      </c>
      <c r="BC421" s="276" t="e">
        <f t="shared" si="421"/>
        <v>#N/A</v>
      </c>
      <c r="BD421" s="277" t="e">
        <f t="shared" si="422"/>
        <v>#N/A</v>
      </c>
      <c r="BE421" s="250" t="e">
        <f t="shared" si="387"/>
        <v>#N/A</v>
      </c>
      <c r="BF421" s="247">
        <f t="shared" si="423"/>
        <v>7</v>
      </c>
      <c r="BG421" s="276" t="e">
        <f t="shared" si="424"/>
        <v>#N/A</v>
      </c>
      <c r="BH421" s="277" t="e">
        <f t="shared" si="425"/>
        <v>#N/A</v>
      </c>
      <c r="BI421" s="250" t="e">
        <f t="shared" si="388"/>
        <v>#N/A</v>
      </c>
      <c r="BJ421" s="251">
        <f t="shared" si="426"/>
        <v>7</v>
      </c>
      <c r="BK421" s="278" t="e">
        <f t="shared" si="427"/>
        <v>#N/A</v>
      </c>
      <c r="BL421" s="278" t="e">
        <f t="shared" si="428"/>
        <v>#N/A</v>
      </c>
      <c r="BM421" s="279" t="e">
        <f t="shared" si="389"/>
        <v>#N/A</v>
      </c>
      <c r="BN421" s="280">
        <f t="shared" si="429"/>
        <v>7</v>
      </c>
      <c r="BO421" s="281" t="e">
        <f t="shared" si="430"/>
        <v>#N/A</v>
      </c>
      <c r="BP421" s="281" t="e">
        <f t="shared" si="431"/>
        <v>#N/A</v>
      </c>
      <c r="BQ421" s="279" t="e">
        <f t="shared" si="390"/>
        <v>#N/A</v>
      </c>
      <c r="BR421" s="282" t="e">
        <f t="shared" si="391"/>
        <v>#N/A</v>
      </c>
      <c r="BS421" s="217" t="e">
        <f>VLOOKUP($B421,SDR24_STOCK_BY_LA!$A$2:$C$11878,3,0)</f>
        <v>#N/A</v>
      </c>
      <c r="BT421" s="217" t="str">
        <f t="shared" si="432"/>
        <v/>
      </c>
    </row>
    <row r="422" spans="1:72" x14ac:dyDescent="0.2">
      <c r="A422" s="217" t="str">
        <f t="shared" si="433"/>
        <v/>
      </c>
      <c r="B422" s="217" t="str">
        <f t="shared" si="434"/>
        <v/>
      </c>
      <c r="C422" s="283" t="str">
        <f t="shared" si="392"/>
        <v/>
      </c>
      <c r="D422" s="256" t="str">
        <f>IF(B422="","",IF(totals!$Q$3=0,IFERROR(IF(AD422=2,"0",AE422),""),"-"))</f>
        <v/>
      </c>
      <c r="E422" s="258" t="str">
        <f t="shared" si="393"/>
        <v/>
      </c>
      <c r="F422" s="259" t="str">
        <f t="shared" si="394"/>
        <v/>
      </c>
      <c r="G422" s="259" t="str">
        <f t="shared" si="395"/>
        <v/>
      </c>
      <c r="H422" s="256" t="str">
        <f t="shared" si="373"/>
        <v/>
      </c>
      <c r="I422" s="259" t="str">
        <f t="shared" si="396"/>
        <v/>
      </c>
      <c r="J422" s="259" t="str">
        <f t="shared" si="397"/>
        <v/>
      </c>
      <c r="K422" s="256" t="str">
        <f t="shared" si="374"/>
        <v/>
      </c>
      <c r="L422" s="259" t="str">
        <f t="shared" si="375"/>
        <v/>
      </c>
      <c r="M422" s="259" t="str">
        <f t="shared" si="398"/>
        <v/>
      </c>
      <c r="N422" s="256" t="str">
        <f t="shared" si="399"/>
        <v/>
      </c>
      <c r="O422" s="259" t="str">
        <f t="shared" si="400"/>
        <v/>
      </c>
      <c r="P422" s="259" t="str">
        <f t="shared" si="401"/>
        <v/>
      </c>
      <c r="Q422" s="256" t="str">
        <f t="shared" si="402"/>
        <v/>
      </c>
      <c r="R422" s="259" t="str">
        <f t="shared" si="403"/>
        <v/>
      </c>
      <c r="S422" s="259" t="str">
        <f t="shared" si="404"/>
        <v/>
      </c>
      <c r="T422" s="256" t="str">
        <f t="shared" si="405"/>
        <v/>
      </c>
      <c r="U422" s="217"/>
      <c r="V422" s="217"/>
      <c r="AB422" s="217" t="e">
        <f>VLOOKUP($B$6,Lookup_Source,415,0)</f>
        <v>#N/A</v>
      </c>
      <c r="AC422" s="241" t="str">
        <f t="shared" si="406"/>
        <v/>
      </c>
      <c r="AD422" s="242">
        <f t="shared" si="407"/>
        <v>7</v>
      </c>
      <c r="AE422" s="261" t="e">
        <f t="shared" si="376"/>
        <v>#N/A</v>
      </c>
      <c r="AF422" s="264" t="e">
        <f t="shared" si="408"/>
        <v>#N/A</v>
      </c>
      <c r="AG422" s="264" t="e">
        <f t="shared" si="409"/>
        <v>#N/A</v>
      </c>
      <c r="AH422" s="263" t="e">
        <f t="shared" si="377"/>
        <v>#N/A</v>
      </c>
      <c r="AI422" s="226">
        <f t="shared" si="410"/>
        <v>7</v>
      </c>
      <c r="AJ422" s="264" t="e">
        <f t="shared" si="378"/>
        <v>#N/A</v>
      </c>
      <c r="AK422" s="264" t="e">
        <f t="shared" si="411"/>
        <v>#N/A</v>
      </c>
      <c r="AL422" s="226" t="e">
        <f t="shared" si="379"/>
        <v>#N/A</v>
      </c>
      <c r="AM422" s="265" t="e">
        <f t="shared" si="412"/>
        <v>#N/A</v>
      </c>
      <c r="AN422" s="266" t="e">
        <f t="shared" si="380"/>
        <v>#N/A</v>
      </c>
      <c r="AO422" s="227" t="e">
        <f t="shared" si="381"/>
        <v>#N/A</v>
      </c>
      <c r="AP422" s="284">
        <f t="shared" si="413"/>
        <v>7</v>
      </c>
      <c r="AQ422" s="285" t="e">
        <f t="shared" si="382"/>
        <v>#N/A</v>
      </c>
      <c r="AR422" s="266" t="e">
        <f t="shared" si="414"/>
        <v>#N/A</v>
      </c>
      <c r="AS422" s="270" t="e">
        <f t="shared" si="383"/>
        <v>#N/A</v>
      </c>
      <c r="AT422" s="271">
        <f t="shared" si="415"/>
        <v>7</v>
      </c>
      <c r="AU422" s="272" t="e">
        <f t="shared" si="416"/>
        <v>#N/A</v>
      </c>
      <c r="AV422" s="273" t="e">
        <f t="shared" si="417"/>
        <v>#N/A</v>
      </c>
      <c r="AW422" s="274" t="e">
        <f t="shared" si="384"/>
        <v>#N/A</v>
      </c>
      <c r="AX422" s="232">
        <f t="shared" si="418"/>
        <v>7</v>
      </c>
      <c r="AY422" s="273" t="e">
        <f t="shared" si="385"/>
        <v>#N/A</v>
      </c>
      <c r="AZ422" s="232" t="e">
        <f t="shared" si="419"/>
        <v>#N/A</v>
      </c>
      <c r="BA422" s="232" t="e">
        <f t="shared" si="386"/>
        <v>#N/A</v>
      </c>
      <c r="BB422" s="275">
        <f t="shared" si="420"/>
        <v>7</v>
      </c>
      <c r="BC422" s="276" t="e">
        <f t="shared" si="421"/>
        <v>#N/A</v>
      </c>
      <c r="BD422" s="277" t="e">
        <f t="shared" si="422"/>
        <v>#N/A</v>
      </c>
      <c r="BE422" s="250" t="e">
        <f t="shared" si="387"/>
        <v>#N/A</v>
      </c>
      <c r="BF422" s="247">
        <f t="shared" si="423"/>
        <v>7</v>
      </c>
      <c r="BG422" s="276" t="e">
        <f t="shared" si="424"/>
        <v>#N/A</v>
      </c>
      <c r="BH422" s="277" t="e">
        <f t="shared" si="425"/>
        <v>#N/A</v>
      </c>
      <c r="BI422" s="250" t="e">
        <f t="shared" si="388"/>
        <v>#N/A</v>
      </c>
      <c r="BJ422" s="251">
        <f t="shared" si="426"/>
        <v>7</v>
      </c>
      <c r="BK422" s="278" t="e">
        <f t="shared" si="427"/>
        <v>#N/A</v>
      </c>
      <c r="BL422" s="278" t="e">
        <f t="shared" si="428"/>
        <v>#N/A</v>
      </c>
      <c r="BM422" s="279" t="e">
        <f t="shared" si="389"/>
        <v>#N/A</v>
      </c>
      <c r="BN422" s="280">
        <f t="shared" si="429"/>
        <v>7</v>
      </c>
      <c r="BO422" s="281" t="e">
        <f t="shared" si="430"/>
        <v>#N/A</v>
      </c>
      <c r="BP422" s="281" t="e">
        <f t="shared" si="431"/>
        <v>#N/A</v>
      </c>
      <c r="BQ422" s="279" t="e">
        <f t="shared" si="390"/>
        <v>#N/A</v>
      </c>
      <c r="BR422" s="282" t="e">
        <f t="shared" si="391"/>
        <v>#N/A</v>
      </c>
      <c r="BS422" s="217" t="e">
        <f>VLOOKUP($B422,SDR24_STOCK_BY_LA!$A$2:$C$11878,3,0)</f>
        <v>#N/A</v>
      </c>
      <c r="BT422" s="217" t="str">
        <f t="shared" si="432"/>
        <v/>
      </c>
    </row>
    <row r="423" spans="1:72" x14ac:dyDescent="0.2">
      <c r="A423" s="256" t="str">
        <f t="shared" si="433"/>
        <v/>
      </c>
      <c r="B423" s="217" t="str">
        <f t="shared" si="434"/>
        <v/>
      </c>
      <c r="C423" s="257" t="str">
        <f t="shared" si="392"/>
        <v/>
      </c>
      <c r="D423" s="256" t="str">
        <f>IF(B423="","",IF(totals!$Q$3=0,IFERROR(IF(AD423=2,"0",AE423),""),"-"))</f>
        <v/>
      </c>
      <c r="E423" s="258" t="str">
        <f t="shared" si="393"/>
        <v/>
      </c>
      <c r="F423" s="259" t="str">
        <f t="shared" si="394"/>
        <v/>
      </c>
      <c r="G423" s="259" t="str">
        <f t="shared" si="395"/>
        <v/>
      </c>
      <c r="H423" s="256" t="str">
        <f t="shared" si="373"/>
        <v/>
      </c>
      <c r="I423" s="259" t="str">
        <f t="shared" si="396"/>
        <v/>
      </c>
      <c r="J423" s="259" t="str">
        <f t="shared" si="397"/>
        <v/>
      </c>
      <c r="K423" s="256" t="str">
        <f t="shared" si="374"/>
        <v/>
      </c>
      <c r="L423" s="259" t="str">
        <f t="shared" si="375"/>
        <v/>
      </c>
      <c r="M423" s="259" t="str">
        <f t="shared" si="398"/>
        <v/>
      </c>
      <c r="N423" s="256" t="str">
        <f t="shared" si="399"/>
        <v/>
      </c>
      <c r="O423" s="259" t="str">
        <f t="shared" si="400"/>
        <v/>
      </c>
      <c r="P423" s="259" t="str">
        <f t="shared" si="401"/>
        <v/>
      </c>
      <c r="Q423" s="256" t="str">
        <f t="shared" si="402"/>
        <v/>
      </c>
      <c r="R423" s="259" t="str">
        <f t="shared" si="403"/>
        <v/>
      </c>
      <c r="S423" s="259" t="str">
        <f t="shared" si="404"/>
        <v/>
      </c>
      <c r="T423" s="256" t="str">
        <f t="shared" si="405"/>
        <v/>
      </c>
      <c r="U423" s="217"/>
      <c r="V423" s="217"/>
      <c r="AB423" s="257" t="e">
        <f>VLOOKUP($B$6,Lookup_Source,416,0)</f>
        <v>#N/A</v>
      </c>
      <c r="AC423" s="241" t="str">
        <f t="shared" si="406"/>
        <v/>
      </c>
      <c r="AD423" s="242">
        <f t="shared" si="407"/>
        <v>7</v>
      </c>
      <c r="AE423" s="261" t="e">
        <f t="shared" si="376"/>
        <v>#N/A</v>
      </c>
      <c r="AF423" s="264" t="e">
        <f t="shared" si="408"/>
        <v>#N/A</v>
      </c>
      <c r="AG423" s="264" t="e">
        <f t="shared" si="409"/>
        <v>#N/A</v>
      </c>
      <c r="AH423" s="263" t="e">
        <f t="shared" si="377"/>
        <v>#N/A</v>
      </c>
      <c r="AI423" s="226">
        <f t="shared" si="410"/>
        <v>7</v>
      </c>
      <c r="AJ423" s="264" t="e">
        <f t="shared" si="378"/>
        <v>#N/A</v>
      </c>
      <c r="AK423" s="264" t="e">
        <f t="shared" si="411"/>
        <v>#N/A</v>
      </c>
      <c r="AL423" s="226" t="e">
        <f t="shared" si="379"/>
        <v>#N/A</v>
      </c>
      <c r="AM423" s="265" t="e">
        <f t="shared" si="412"/>
        <v>#N/A</v>
      </c>
      <c r="AN423" s="266" t="e">
        <f t="shared" si="380"/>
        <v>#N/A</v>
      </c>
      <c r="AO423" s="227" t="e">
        <f t="shared" si="381"/>
        <v>#N/A</v>
      </c>
      <c r="AP423" s="284">
        <f t="shared" si="413"/>
        <v>7</v>
      </c>
      <c r="AQ423" s="285" t="e">
        <f t="shared" si="382"/>
        <v>#N/A</v>
      </c>
      <c r="AR423" s="266" t="e">
        <f t="shared" si="414"/>
        <v>#N/A</v>
      </c>
      <c r="AS423" s="270" t="e">
        <f t="shared" si="383"/>
        <v>#N/A</v>
      </c>
      <c r="AT423" s="271">
        <f t="shared" si="415"/>
        <v>7</v>
      </c>
      <c r="AU423" s="272" t="e">
        <f t="shared" si="416"/>
        <v>#N/A</v>
      </c>
      <c r="AV423" s="273" t="e">
        <f t="shared" si="417"/>
        <v>#N/A</v>
      </c>
      <c r="AW423" s="274" t="e">
        <f t="shared" si="384"/>
        <v>#N/A</v>
      </c>
      <c r="AX423" s="232">
        <f t="shared" si="418"/>
        <v>7</v>
      </c>
      <c r="AY423" s="273" t="e">
        <f t="shared" si="385"/>
        <v>#N/A</v>
      </c>
      <c r="AZ423" s="232" t="e">
        <f t="shared" si="419"/>
        <v>#N/A</v>
      </c>
      <c r="BA423" s="232" t="e">
        <f t="shared" si="386"/>
        <v>#N/A</v>
      </c>
      <c r="BB423" s="275">
        <f t="shared" si="420"/>
        <v>7</v>
      </c>
      <c r="BC423" s="276" t="e">
        <f t="shared" si="421"/>
        <v>#N/A</v>
      </c>
      <c r="BD423" s="277" t="e">
        <f t="shared" si="422"/>
        <v>#N/A</v>
      </c>
      <c r="BE423" s="250" t="e">
        <f t="shared" si="387"/>
        <v>#N/A</v>
      </c>
      <c r="BF423" s="247">
        <f t="shared" si="423"/>
        <v>7</v>
      </c>
      <c r="BG423" s="276" t="e">
        <f t="shared" si="424"/>
        <v>#N/A</v>
      </c>
      <c r="BH423" s="277" t="e">
        <f t="shared" si="425"/>
        <v>#N/A</v>
      </c>
      <c r="BI423" s="250" t="e">
        <f t="shared" si="388"/>
        <v>#N/A</v>
      </c>
      <c r="BJ423" s="251">
        <f t="shared" si="426"/>
        <v>7</v>
      </c>
      <c r="BK423" s="278" t="e">
        <f t="shared" si="427"/>
        <v>#N/A</v>
      </c>
      <c r="BL423" s="278" t="e">
        <f t="shared" si="428"/>
        <v>#N/A</v>
      </c>
      <c r="BM423" s="279" t="e">
        <f t="shared" si="389"/>
        <v>#N/A</v>
      </c>
      <c r="BN423" s="280">
        <f t="shared" si="429"/>
        <v>7</v>
      </c>
      <c r="BO423" s="281" t="e">
        <f t="shared" si="430"/>
        <v>#N/A</v>
      </c>
      <c r="BP423" s="281" t="e">
        <f t="shared" si="431"/>
        <v>#N/A</v>
      </c>
      <c r="BQ423" s="279" t="e">
        <f t="shared" si="390"/>
        <v>#N/A</v>
      </c>
      <c r="BR423" s="282" t="e">
        <f t="shared" si="391"/>
        <v>#N/A</v>
      </c>
      <c r="BS423" s="217" t="e">
        <f>VLOOKUP($B423,SDR24_STOCK_BY_LA!$A$2:$C$11878,3,0)</f>
        <v>#N/A</v>
      </c>
      <c r="BT423" s="217" t="str">
        <f t="shared" si="432"/>
        <v/>
      </c>
    </row>
    <row r="424" spans="1:72" x14ac:dyDescent="0.2">
      <c r="A424" s="217" t="str">
        <f t="shared" si="433"/>
        <v/>
      </c>
      <c r="B424" s="217" t="str">
        <f t="shared" si="434"/>
        <v/>
      </c>
      <c r="C424" s="283" t="str">
        <f t="shared" si="392"/>
        <v/>
      </c>
      <c r="D424" s="256" t="str">
        <f>IF(B424="","",IF(totals!$Q$3=0,IFERROR(IF(AD424=2,"0",AE424),""),"-"))</f>
        <v/>
      </c>
      <c r="E424" s="258" t="str">
        <f t="shared" si="393"/>
        <v/>
      </c>
      <c r="F424" s="259" t="str">
        <f t="shared" si="394"/>
        <v/>
      </c>
      <c r="G424" s="259" t="str">
        <f t="shared" si="395"/>
        <v/>
      </c>
      <c r="H424" s="256" t="str">
        <f t="shared" si="373"/>
        <v/>
      </c>
      <c r="I424" s="259" t="str">
        <f t="shared" si="396"/>
        <v/>
      </c>
      <c r="J424" s="259" t="str">
        <f t="shared" si="397"/>
        <v/>
      </c>
      <c r="K424" s="256" t="str">
        <f t="shared" si="374"/>
        <v/>
      </c>
      <c r="L424" s="259" t="str">
        <f t="shared" si="375"/>
        <v/>
      </c>
      <c r="M424" s="259" t="str">
        <f t="shared" si="398"/>
        <v/>
      </c>
      <c r="N424" s="256" t="str">
        <f t="shared" si="399"/>
        <v/>
      </c>
      <c r="O424" s="259" t="str">
        <f t="shared" si="400"/>
        <v/>
      </c>
      <c r="P424" s="259" t="str">
        <f t="shared" si="401"/>
        <v/>
      </c>
      <c r="Q424" s="256" t="str">
        <f t="shared" si="402"/>
        <v/>
      </c>
      <c r="R424" s="259" t="str">
        <f t="shared" si="403"/>
        <v/>
      </c>
      <c r="S424" s="259" t="str">
        <f t="shared" si="404"/>
        <v/>
      </c>
      <c r="T424" s="256" t="str">
        <f t="shared" si="405"/>
        <v/>
      </c>
      <c r="U424" s="217"/>
      <c r="V424" s="217"/>
      <c r="AB424" s="217" t="e">
        <f>VLOOKUP($B$6,Lookup_Source,417,0)</f>
        <v>#N/A</v>
      </c>
      <c r="AC424" s="241" t="str">
        <f t="shared" si="406"/>
        <v/>
      </c>
      <c r="AD424" s="242">
        <f t="shared" si="407"/>
        <v>7</v>
      </c>
      <c r="AE424" s="261" t="e">
        <f t="shared" si="376"/>
        <v>#N/A</v>
      </c>
      <c r="AF424" s="264" t="e">
        <f t="shared" si="408"/>
        <v>#N/A</v>
      </c>
      <c r="AG424" s="264" t="e">
        <f t="shared" si="409"/>
        <v>#N/A</v>
      </c>
      <c r="AH424" s="263" t="e">
        <f t="shared" si="377"/>
        <v>#N/A</v>
      </c>
      <c r="AI424" s="226">
        <f t="shared" si="410"/>
        <v>7</v>
      </c>
      <c r="AJ424" s="264" t="e">
        <f t="shared" si="378"/>
        <v>#N/A</v>
      </c>
      <c r="AK424" s="264" t="e">
        <f t="shared" si="411"/>
        <v>#N/A</v>
      </c>
      <c r="AL424" s="226" t="e">
        <f t="shared" si="379"/>
        <v>#N/A</v>
      </c>
      <c r="AM424" s="265" t="e">
        <f t="shared" si="412"/>
        <v>#N/A</v>
      </c>
      <c r="AN424" s="266" t="e">
        <f t="shared" si="380"/>
        <v>#N/A</v>
      </c>
      <c r="AO424" s="227" t="e">
        <f t="shared" si="381"/>
        <v>#N/A</v>
      </c>
      <c r="AP424" s="284">
        <f t="shared" si="413"/>
        <v>7</v>
      </c>
      <c r="AQ424" s="285" t="e">
        <f t="shared" si="382"/>
        <v>#N/A</v>
      </c>
      <c r="AR424" s="266" t="e">
        <f t="shared" si="414"/>
        <v>#N/A</v>
      </c>
      <c r="AS424" s="270" t="e">
        <f t="shared" si="383"/>
        <v>#N/A</v>
      </c>
      <c r="AT424" s="271">
        <f t="shared" si="415"/>
        <v>7</v>
      </c>
      <c r="AU424" s="272" t="e">
        <f t="shared" si="416"/>
        <v>#N/A</v>
      </c>
      <c r="AV424" s="273" t="e">
        <f t="shared" si="417"/>
        <v>#N/A</v>
      </c>
      <c r="AW424" s="274" t="e">
        <f t="shared" si="384"/>
        <v>#N/A</v>
      </c>
      <c r="AX424" s="232">
        <f t="shared" si="418"/>
        <v>7</v>
      </c>
      <c r="AY424" s="273" t="e">
        <f t="shared" si="385"/>
        <v>#N/A</v>
      </c>
      <c r="AZ424" s="232" t="e">
        <f t="shared" si="419"/>
        <v>#N/A</v>
      </c>
      <c r="BA424" s="232" t="e">
        <f t="shared" si="386"/>
        <v>#N/A</v>
      </c>
      <c r="BB424" s="275">
        <f t="shared" si="420"/>
        <v>7</v>
      </c>
      <c r="BC424" s="276" t="e">
        <f t="shared" si="421"/>
        <v>#N/A</v>
      </c>
      <c r="BD424" s="277" t="e">
        <f t="shared" si="422"/>
        <v>#N/A</v>
      </c>
      <c r="BE424" s="250" t="e">
        <f t="shared" si="387"/>
        <v>#N/A</v>
      </c>
      <c r="BF424" s="247">
        <f t="shared" si="423"/>
        <v>7</v>
      </c>
      <c r="BG424" s="276" t="e">
        <f t="shared" si="424"/>
        <v>#N/A</v>
      </c>
      <c r="BH424" s="277" t="e">
        <f t="shared" si="425"/>
        <v>#N/A</v>
      </c>
      <c r="BI424" s="250" t="e">
        <f t="shared" si="388"/>
        <v>#N/A</v>
      </c>
      <c r="BJ424" s="251">
        <f t="shared" si="426"/>
        <v>7</v>
      </c>
      <c r="BK424" s="278" t="e">
        <f t="shared" si="427"/>
        <v>#N/A</v>
      </c>
      <c r="BL424" s="278" t="e">
        <f t="shared" si="428"/>
        <v>#N/A</v>
      </c>
      <c r="BM424" s="279" t="e">
        <f t="shared" si="389"/>
        <v>#N/A</v>
      </c>
      <c r="BN424" s="280">
        <f t="shared" si="429"/>
        <v>7</v>
      </c>
      <c r="BO424" s="281" t="e">
        <f t="shared" si="430"/>
        <v>#N/A</v>
      </c>
      <c r="BP424" s="281" t="e">
        <f t="shared" si="431"/>
        <v>#N/A</v>
      </c>
      <c r="BQ424" s="279" t="e">
        <f t="shared" si="390"/>
        <v>#N/A</v>
      </c>
      <c r="BR424" s="282" t="e">
        <f t="shared" si="391"/>
        <v>#N/A</v>
      </c>
      <c r="BS424" s="217" t="e">
        <f>VLOOKUP($B424,SDR24_STOCK_BY_LA!$A$2:$C$11878,3,0)</f>
        <v>#N/A</v>
      </c>
      <c r="BT424" s="217" t="str">
        <f t="shared" si="432"/>
        <v/>
      </c>
    </row>
    <row r="425" spans="1:72" x14ac:dyDescent="0.2">
      <c r="A425" s="256" t="str">
        <f t="shared" si="433"/>
        <v/>
      </c>
      <c r="B425" s="217" t="str">
        <f t="shared" si="434"/>
        <v/>
      </c>
      <c r="C425" s="257" t="str">
        <f t="shared" si="392"/>
        <v/>
      </c>
      <c r="D425" s="256" t="str">
        <f>IF(B425="","",IF(totals!$Q$3=0,IFERROR(IF(AD425=2,"0",AE425),""),"-"))</f>
        <v/>
      </c>
      <c r="E425" s="258" t="str">
        <f t="shared" si="393"/>
        <v/>
      </c>
      <c r="F425" s="259" t="str">
        <f t="shared" si="394"/>
        <v/>
      </c>
      <c r="G425" s="259" t="str">
        <f t="shared" si="395"/>
        <v/>
      </c>
      <c r="H425" s="256" t="str">
        <f t="shared" si="373"/>
        <v/>
      </c>
      <c r="I425" s="259" t="str">
        <f t="shared" si="396"/>
        <v/>
      </c>
      <c r="J425" s="259" t="str">
        <f t="shared" si="397"/>
        <v/>
      </c>
      <c r="K425" s="256" t="str">
        <f t="shared" si="374"/>
        <v/>
      </c>
      <c r="L425" s="259" t="str">
        <f t="shared" si="375"/>
        <v/>
      </c>
      <c r="M425" s="259" t="str">
        <f t="shared" si="398"/>
        <v/>
      </c>
      <c r="N425" s="256" t="str">
        <f t="shared" si="399"/>
        <v/>
      </c>
      <c r="O425" s="259" t="str">
        <f t="shared" si="400"/>
        <v/>
      </c>
      <c r="P425" s="259" t="str">
        <f t="shared" si="401"/>
        <v/>
      </c>
      <c r="Q425" s="256" t="str">
        <f t="shared" si="402"/>
        <v/>
      </c>
      <c r="R425" s="259" t="str">
        <f t="shared" si="403"/>
        <v/>
      </c>
      <c r="S425" s="259" t="str">
        <f t="shared" si="404"/>
        <v/>
      </c>
      <c r="T425" s="256" t="str">
        <f t="shared" si="405"/>
        <v/>
      </c>
      <c r="U425" s="217"/>
      <c r="V425" s="217"/>
      <c r="AB425" s="257" t="e">
        <f>VLOOKUP($B$6,Lookup_Source,418,0)</f>
        <v>#N/A</v>
      </c>
      <c r="AC425" s="241" t="str">
        <f t="shared" si="406"/>
        <v/>
      </c>
      <c r="AD425" s="242">
        <f t="shared" si="407"/>
        <v>7</v>
      </c>
      <c r="AE425" s="261" t="e">
        <f t="shared" si="376"/>
        <v>#N/A</v>
      </c>
      <c r="AF425" s="264" t="e">
        <f t="shared" si="408"/>
        <v>#N/A</v>
      </c>
      <c r="AG425" s="264" t="e">
        <f t="shared" si="409"/>
        <v>#N/A</v>
      </c>
      <c r="AH425" s="263" t="e">
        <f t="shared" si="377"/>
        <v>#N/A</v>
      </c>
      <c r="AI425" s="226">
        <f t="shared" si="410"/>
        <v>7</v>
      </c>
      <c r="AJ425" s="264" t="e">
        <f t="shared" si="378"/>
        <v>#N/A</v>
      </c>
      <c r="AK425" s="264" t="e">
        <f t="shared" si="411"/>
        <v>#N/A</v>
      </c>
      <c r="AL425" s="226" t="e">
        <f t="shared" si="379"/>
        <v>#N/A</v>
      </c>
      <c r="AM425" s="265" t="e">
        <f t="shared" si="412"/>
        <v>#N/A</v>
      </c>
      <c r="AN425" s="266" t="e">
        <f t="shared" si="380"/>
        <v>#N/A</v>
      </c>
      <c r="AO425" s="227" t="e">
        <f t="shared" si="381"/>
        <v>#N/A</v>
      </c>
      <c r="AP425" s="284">
        <f t="shared" si="413"/>
        <v>7</v>
      </c>
      <c r="AQ425" s="285" t="e">
        <f t="shared" si="382"/>
        <v>#N/A</v>
      </c>
      <c r="AR425" s="266" t="e">
        <f t="shared" si="414"/>
        <v>#N/A</v>
      </c>
      <c r="AS425" s="270" t="e">
        <f t="shared" si="383"/>
        <v>#N/A</v>
      </c>
      <c r="AT425" s="271">
        <f t="shared" si="415"/>
        <v>7</v>
      </c>
      <c r="AU425" s="272" t="e">
        <f t="shared" si="416"/>
        <v>#N/A</v>
      </c>
      <c r="AV425" s="273" t="e">
        <f t="shared" si="417"/>
        <v>#N/A</v>
      </c>
      <c r="AW425" s="274" t="e">
        <f t="shared" si="384"/>
        <v>#N/A</v>
      </c>
      <c r="AX425" s="232">
        <f t="shared" si="418"/>
        <v>7</v>
      </c>
      <c r="AY425" s="273" t="e">
        <f t="shared" si="385"/>
        <v>#N/A</v>
      </c>
      <c r="AZ425" s="232" t="e">
        <f t="shared" si="419"/>
        <v>#N/A</v>
      </c>
      <c r="BA425" s="232" t="e">
        <f t="shared" si="386"/>
        <v>#N/A</v>
      </c>
      <c r="BB425" s="275">
        <f t="shared" si="420"/>
        <v>7</v>
      </c>
      <c r="BC425" s="276" t="e">
        <f t="shared" si="421"/>
        <v>#N/A</v>
      </c>
      <c r="BD425" s="277" t="e">
        <f t="shared" si="422"/>
        <v>#N/A</v>
      </c>
      <c r="BE425" s="250" t="e">
        <f t="shared" si="387"/>
        <v>#N/A</v>
      </c>
      <c r="BF425" s="247">
        <f t="shared" si="423"/>
        <v>7</v>
      </c>
      <c r="BG425" s="276" t="e">
        <f t="shared" si="424"/>
        <v>#N/A</v>
      </c>
      <c r="BH425" s="277" t="e">
        <f t="shared" si="425"/>
        <v>#N/A</v>
      </c>
      <c r="BI425" s="250" t="e">
        <f t="shared" si="388"/>
        <v>#N/A</v>
      </c>
      <c r="BJ425" s="251">
        <f t="shared" si="426"/>
        <v>7</v>
      </c>
      <c r="BK425" s="278" t="e">
        <f t="shared" si="427"/>
        <v>#N/A</v>
      </c>
      <c r="BL425" s="278" t="e">
        <f t="shared" si="428"/>
        <v>#N/A</v>
      </c>
      <c r="BM425" s="279" t="e">
        <f t="shared" si="389"/>
        <v>#N/A</v>
      </c>
      <c r="BN425" s="280">
        <f t="shared" si="429"/>
        <v>7</v>
      </c>
      <c r="BO425" s="281" t="e">
        <f t="shared" si="430"/>
        <v>#N/A</v>
      </c>
      <c r="BP425" s="281" t="e">
        <f t="shared" si="431"/>
        <v>#N/A</v>
      </c>
      <c r="BQ425" s="279" t="e">
        <f t="shared" si="390"/>
        <v>#N/A</v>
      </c>
      <c r="BR425" s="282" t="e">
        <f t="shared" si="391"/>
        <v>#N/A</v>
      </c>
      <c r="BS425" s="217" t="e">
        <f>VLOOKUP($B425,SDR24_STOCK_BY_LA!$A$2:$C$11878,3,0)</f>
        <v>#N/A</v>
      </c>
      <c r="BT425" s="217" t="str">
        <f t="shared" si="432"/>
        <v/>
      </c>
    </row>
    <row r="426" spans="1:72" x14ac:dyDescent="0.2">
      <c r="A426" s="217" t="str">
        <f t="shared" si="433"/>
        <v/>
      </c>
      <c r="B426" s="217" t="str">
        <f t="shared" si="434"/>
        <v/>
      </c>
      <c r="C426" s="283" t="str">
        <f t="shared" si="392"/>
        <v/>
      </c>
      <c r="D426" s="256" t="str">
        <f>IF(B426="","",IF(totals!$Q$3=0,IFERROR(IF(AD426=2,"0",AE426),""),"-"))</f>
        <v/>
      </c>
      <c r="E426" s="258" t="str">
        <f t="shared" si="393"/>
        <v/>
      </c>
      <c r="F426" s="259" t="str">
        <f t="shared" si="394"/>
        <v/>
      </c>
      <c r="G426" s="259" t="str">
        <f t="shared" si="395"/>
        <v/>
      </c>
      <c r="H426" s="256" t="str">
        <f t="shared" si="373"/>
        <v/>
      </c>
      <c r="I426" s="259" t="str">
        <f t="shared" si="396"/>
        <v/>
      </c>
      <c r="J426" s="259" t="str">
        <f t="shared" si="397"/>
        <v/>
      </c>
      <c r="K426" s="256" t="str">
        <f t="shared" si="374"/>
        <v/>
      </c>
      <c r="L426" s="259" t="str">
        <f t="shared" si="375"/>
        <v/>
      </c>
      <c r="M426" s="259" t="str">
        <f t="shared" si="398"/>
        <v/>
      </c>
      <c r="N426" s="256" t="str">
        <f t="shared" si="399"/>
        <v/>
      </c>
      <c r="O426" s="259" t="str">
        <f t="shared" si="400"/>
        <v/>
      </c>
      <c r="P426" s="259" t="str">
        <f t="shared" si="401"/>
        <v/>
      </c>
      <c r="Q426" s="256" t="str">
        <f t="shared" si="402"/>
        <v/>
      </c>
      <c r="R426" s="259" t="str">
        <f t="shared" si="403"/>
        <v/>
      </c>
      <c r="S426" s="259" t="str">
        <f t="shared" si="404"/>
        <v/>
      </c>
      <c r="T426" s="256" t="str">
        <f t="shared" si="405"/>
        <v/>
      </c>
      <c r="U426" s="217"/>
      <c r="V426" s="217"/>
      <c r="AB426" s="217" t="e">
        <f>VLOOKUP($B$6,Lookup_Source,419,0)</f>
        <v>#N/A</v>
      </c>
      <c r="AC426" s="241" t="str">
        <f t="shared" si="406"/>
        <v/>
      </c>
      <c r="AD426" s="242">
        <f t="shared" si="407"/>
        <v>7</v>
      </c>
      <c r="AE426" s="261" t="e">
        <f t="shared" si="376"/>
        <v>#N/A</v>
      </c>
      <c r="AF426" s="264" t="e">
        <f t="shared" si="408"/>
        <v>#N/A</v>
      </c>
      <c r="AG426" s="264" t="e">
        <f t="shared" si="409"/>
        <v>#N/A</v>
      </c>
      <c r="AH426" s="263" t="e">
        <f t="shared" si="377"/>
        <v>#N/A</v>
      </c>
      <c r="AI426" s="226">
        <f t="shared" si="410"/>
        <v>7</v>
      </c>
      <c r="AJ426" s="264" t="e">
        <f t="shared" si="378"/>
        <v>#N/A</v>
      </c>
      <c r="AK426" s="264" t="e">
        <f t="shared" si="411"/>
        <v>#N/A</v>
      </c>
      <c r="AL426" s="226" t="e">
        <f t="shared" si="379"/>
        <v>#N/A</v>
      </c>
      <c r="AM426" s="265" t="e">
        <f t="shared" si="412"/>
        <v>#N/A</v>
      </c>
      <c r="AN426" s="266" t="e">
        <f t="shared" si="380"/>
        <v>#N/A</v>
      </c>
      <c r="AO426" s="227" t="e">
        <f t="shared" si="381"/>
        <v>#N/A</v>
      </c>
      <c r="AP426" s="284">
        <f t="shared" si="413"/>
        <v>7</v>
      </c>
      <c r="AQ426" s="285" t="e">
        <f t="shared" si="382"/>
        <v>#N/A</v>
      </c>
      <c r="AR426" s="266" t="e">
        <f t="shared" si="414"/>
        <v>#N/A</v>
      </c>
      <c r="AS426" s="270" t="e">
        <f t="shared" si="383"/>
        <v>#N/A</v>
      </c>
      <c r="AT426" s="271">
        <f t="shared" si="415"/>
        <v>7</v>
      </c>
      <c r="AU426" s="272" t="e">
        <f t="shared" si="416"/>
        <v>#N/A</v>
      </c>
      <c r="AV426" s="273" t="e">
        <f t="shared" si="417"/>
        <v>#N/A</v>
      </c>
      <c r="AW426" s="274" t="e">
        <f t="shared" si="384"/>
        <v>#N/A</v>
      </c>
      <c r="AX426" s="232">
        <f t="shared" si="418"/>
        <v>7</v>
      </c>
      <c r="AY426" s="273" t="e">
        <f t="shared" si="385"/>
        <v>#N/A</v>
      </c>
      <c r="AZ426" s="232" t="e">
        <f t="shared" si="419"/>
        <v>#N/A</v>
      </c>
      <c r="BA426" s="232" t="e">
        <f t="shared" si="386"/>
        <v>#N/A</v>
      </c>
      <c r="BB426" s="275">
        <f t="shared" si="420"/>
        <v>7</v>
      </c>
      <c r="BC426" s="276" t="e">
        <f t="shared" si="421"/>
        <v>#N/A</v>
      </c>
      <c r="BD426" s="277" t="e">
        <f t="shared" si="422"/>
        <v>#N/A</v>
      </c>
      <c r="BE426" s="250" t="e">
        <f t="shared" si="387"/>
        <v>#N/A</v>
      </c>
      <c r="BF426" s="247">
        <f t="shared" si="423"/>
        <v>7</v>
      </c>
      <c r="BG426" s="276" t="e">
        <f t="shared" si="424"/>
        <v>#N/A</v>
      </c>
      <c r="BH426" s="277" t="e">
        <f t="shared" si="425"/>
        <v>#N/A</v>
      </c>
      <c r="BI426" s="250" t="e">
        <f t="shared" si="388"/>
        <v>#N/A</v>
      </c>
      <c r="BJ426" s="251">
        <f t="shared" si="426"/>
        <v>7</v>
      </c>
      <c r="BK426" s="278" t="e">
        <f t="shared" si="427"/>
        <v>#N/A</v>
      </c>
      <c r="BL426" s="278" t="e">
        <f t="shared" si="428"/>
        <v>#N/A</v>
      </c>
      <c r="BM426" s="279" t="e">
        <f t="shared" si="389"/>
        <v>#N/A</v>
      </c>
      <c r="BN426" s="280">
        <f t="shared" si="429"/>
        <v>7</v>
      </c>
      <c r="BO426" s="281" t="e">
        <f t="shared" si="430"/>
        <v>#N/A</v>
      </c>
      <c r="BP426" s="281" t="e">
        <f t="shared" si="431"/>
        <v>#N/A</v>
      </c>
      <c r="BQ426" s="279" t="e">
        <f t="shared" si="390"/>
        <v>#N/A</v>
      </c>
      <c r="BR426" s="282" t="e">
        <f t="shared" si="391"/>
        <v>#N/A</v>
      </c>
      <c r="BS426" s="217" t="e">
        <f>VLOOKUP($B426,SDR24_STOCK_BY_LA!$A$2:$C$11878,3,0)</f>
        <v>#N/A</v>
      </c>
      <c r="BT426" s="217" t="str">
        <f t="shared" si="432"/>
        <v/>
      </c>
    </row>
    <row r="427" spans="1:72" x14ac:dyDescent="0.2">
      <c r="A427" s="256" t="str">
        <f t="shared" si="433"/>
        <v/>
      </c>
      <c r="B427" s="217" t="str">
        <f t="shared" si="434"/>
        <v/>
      </c>
      <c r="C427" s="257" t="str">
        <f t="shared" si="392"/>
        <v/>
      </c>
      <c r="D427" s="256" t="str">
        <f>IF(B427="","",IF(totals!$Q$3=0,IFERROR(IF(AD427=2,"0",AE427),""),"-"))</f>
        <v/>
      </c>
      <c r="E427" s="258" t="str">
        <f t="shared" si="393"/>
        <v/>
      </c>
      <c r="F427" s="259" t="str">
        <f t="shared" si="394"/>
        <v/>
      </c>
      <c r="G427" s="259" t="str">
        <f t="shared" si="395"/>
        <v/>
      </c>
      <c r="H427" s="256" t="str">
        <f t="shared" si="373"/>
        <v/>
      </c>
      <c r="I427" s="259" t="str">
        <f t="shared" si="396"/>
        <v/>
      </c>
      <c r="J427" s="259" t="str">
        <f t="shared" si="397"/>
        <v/>
      </c>
      <c r="K427" s="256" t="str">
        <f t="shared" si="374"/>
        <v/>
      </c>
      <c r="L427" s="259" t="str">
        <f t="shared" si="375"/>
        <v/>
      </c>
      <c r="M427" s="259" t="str">
        <f t="shared" si="398"/>
        <v/>
      </c>
      <c r="N427" s="256" t="str">
        <f t="shared" si="399"/>
        <v/>
      </c>
      <c r="O427" s="259" t="str">
        <f t="shared" si="400"/>
        <v/>
      </c>
      <c r="P427" s="259" t="str">
        <f t="shared" si="401"/>
        <v/>
      </c>
      <c r="Q427" s="256" t="str">
        <f t="shared" si="402"/>
        <v/>
      </c>
      <c r="R427" s="259" t="str">
        <f t="shared" si="403"/>
        <v/>
      </c>
      <c r="S427" s="259" t="str">
        <f t="shared" si="404"/>
        <v/>
      </c>
      <c r="T427" s="256" t="str">
        <f t="shared" si="405"/>
        <v/>
      </c>
      <c r="U427" s="217"/>
      <c r="V427" s="217"/>
      <c r="AB427" s="257" t="e">
        <f>VLOOKUP($B$6,Lookup_Source,420,0)</f>
        <v>#N/A</v>
      </c>
      <c r="AC427" s="241" t="str">
        <f t="shared" si="406"/>
        <v/>
      </c>
      <c r="AD427" s="242">
        <f t="shared" si="407"/>
        <v>7</v>
      </c>
      <c r="AE427" s="261" t="e">
        <f t="shared" si="376"/>
        <v>#N/A</v>
      </c>
      <c r="AF427" s="264" t="e">
        <f t="shared" si="408"/>
        <v>#N/A</v>
      </c>
      <c r="AG427" s="264" t="e">
        <f t="shared" si="409"/>
        <v>#N/A</v>
      </c>
      <c r="AH427" s="263" t="e">
        <f t="shared" si="377"/>
        <v>#N/A</v>
      </c>
      <c r="AI427" s="226">
        <f t="shared" si="410"/>
        <v>7</v>
      </c>
      <c r="AJ427" s="264" t="e">
        <f t="shared" si="378"/>
        <v>#N/A</v>
      </c>
      <c r="AK427" s="264" t="e">
        <f t="shared" si="411"/>
        <v>#N/A</v>
      </c>
      <c r="AL427" s="226" t="e">
        <f t="shared" si="379"/>
        <v>#N/A</v>
      </c>
      <c r="AM427" s="265" t="e">
        <f t="shared" si="412"/>
        <v>#N/A</v>
      </c>
      <c r="AN427" s="266" t="e">
        <f t="shared" si="380"/>
        <v>#N/A</v>
      </c>
      <c r="AO427" s="227" t="e">
        <f t="shared" si="381"/>
        <v>#N/A</v>
      </c>
      <c r="AP427" s="284">
        <f t="shared" si="413"/>
        <v>7</v>
      </c>
      <c r="AQ427" s="285" t="e">
        <f t="shared" si="382"/>
        <v>#N/A</v>
      </c>
      <c r="AR427" s="266" t="e">
        <f t="shared" si="414"/>
        <v>#N/A</v>
      </c>
      <c r="AS427" s="270" t="e">
        <f t="shared" si="383"/>
        <v>#N/A</v>
      </c>
      <c r="AT427" s="271">
        <f t="shared" si="415"/>
        <v>7</v>
      </c>
      <c r="AU427" s="272" t="e">
        <f t="shared" si="416"/>
        <v>#N/A</v>
      </c>
      <c r="AV427" s="273" t="e">
        <f t="shared" si="417"/>
        <v>#N/A</v>
      </c>
      <c r="AW427" s="274" t="e">
        <f t="shared" si="384"/>
        <v>#N/A</v>
      </c>
      <c r="AX427" s="232">
        <f t="shared" si="418"/>
        <v>7</v>
      </c>
      <c r="AY427" s="273" t="e">
        <f t="shared" si="385"/>
        <v>#N/A</v>
      </c>
      <c r="AZ427" s="232" t="e">
        <f t="shared" si="419"/>
        <v>#N/A</v>
      </c>
      <c r="BA427" s="232" t="e">
        <f t="shared" si="386"/>
        <v>#N/A</v>
      </c>
      <c r="BB427" s="275">
        <f t="shared" si="420"/>
        <v>7</v>
      </c>
      <c r="BC427" s="276" t="e">
        <f t="shared" si="421"/>
        <v>#N/A</v>
      </c>
      <c r="BD427" s="277" t="e">
        <f t="shared" si="422"/>
        <v>#N/A</v>
      </c>
      <c r="BE427" s="250" t="e">
        <f t="shared" si="387"/>
        <v>#N/A</v>
      </c>
      <c r="BF427" s="247">
        <f t="shared" si="423"/>
        <v>7</v>
      </c>
      <c r="BG427" s="276" t="e">
        <f t="shared" si="424"/>
        <v>#N/A</v>
      </c>
      <c r="BH427" s="277" t="e">
        <f t="shared" si="425"/>
        <v>#N/A</v>
      </c>
      <c r="BI427" s="250" t="e">
        <f t="shared" si="388"/>
        <v>#N/A</v>
      </c>
      <c r="BJ427" s="251">
        <f t="shared" si="426"/>
        <v>7</v>
      </c>
      <c r="BK427" s="278" t="e">
        <f t="shared" si="427"/>
        <v>#N/A</v>
      </c>
      <c r="BL427" s="278" t="e">
        <f t="shared" si="428"/>
        <v>#N/A</v>
      </c>
      <c r="BM427" s="279" t="e">
        <f t="shared" si="389"/>
        <v>#N/A</v>
      </c>
      <c r="BN427" s="280">
        <f t="shared" si="429"/>
        <v>7</v>
      </c>
      <c r="BO427" s="281" t="e">
        <f t="shared" si="430"/>
        <v>#N/A</v>
      </c>
      <c r="BP427" s="281" t="e">
        <f t="shared" si="431"/>
        <v>#N/A</v>
      </c>
      <c r="BQ427" s="279" t="e">
        <f t="shared" si="390"/>
        <v>#N/A</v>
      </c>
      <c r="BR427" s="282" t="e">
        <f t="shared" si="391"/>
        <v>#N/A</v>
      </c>
      <c r="BS427" s="217" t="e">
        <f>VLOOKUP($B427,SDR24_STOCK_BY_LA!$A$2:$C$11878,3,0)</f>
        <v>#N/A</v>
      </c>
      <c r="BT427" s="217" t="str">
        <f t="shared" si="432"/>
        <v/>
      </c>
    </row>
    <row r="428" spans="1:72" x14ac:dyDescent="0.2">
      <c r="A428" s="217" t="str">
        <f t="shared" si="433"/>
        <v/>
      </c>
      <c r="B428" s="217" t="str">
        <f t="shared" si="434"/>
        <v/>
      </c>
      <c r="C428" s="283" t="str">
        <f t="shared" si="392"/>
        <v/>
      </c>
      <c r="D428" s="256" t="str">
        <f>IF(B428="","",IF(totals!$Q$3=0,IFERROR(IF(AD428=2,"0",AE428),""),"-"))</f>
        <v/>
      </c>
      <c r="E428" s="258" t="str">
        <f t="shared" si="393"/>
        <v/>
      </c>
      <c r="F428" s="259" t="str">
        <f t="shared" si="394"/>
        <v/>
      </c>
      <c r="G428" s="259" t="str">
        <f t="shared" si="395"/>
        <v/>
      </c>
      <c r="H428" s="256" t="str">
        <f t="shared" si="373"/>
        <v/>
      </c>
      <c r="I428" s="259" t="str">
        <f t="shared" si="396"/>
        <v/>
      </c>
      <c r="J428" s="259" t="str">
        <f t="shared" si="397"/>
        <v/>
      </c>
      <c r="K428" s="256" t="str">
        <f t="shared" si="374"/>
        <v/>
      </c>
      <c r="L428" s="259" t="str">
        <f t="shared" si="375"/>
        <v/>
      </c>
      <c r="M428" s="259" t="str">
        <f t="shared" si="398"/>
        <v/>
      </c>
      <c r="N428" s="256" t="str">
        <f t="shared" si="399"/>
        <v/>
      </c>
      <c r="O428" s="259" t="str">
        <f t="shared" si="400"/>
        <v/>
      </c>
      <c r="P428" s="259" t="str">
        <f t="shared" si="401"/>
        <v/>
      </c>
      <c r="Q428" s="256" t="str">
        <f t="shared" si="402"/>
        <v/>
      </c>
      <c r="R428" s="259" t="str">
        <f t="shared" si="403"/>
        <v/>
      </c>
      <c r="S428" s="259" t="str">
        <f t="shared" si="404"/>
        <v/>
      </c>
      <c r="T428" s="256" t="str">
        <f t="shared" si="405"/>
        <v/>
      </c>
      <c r="U428" s="217"/>
      <c r="V428" s="217"/>
      <c r="AB428" s="217" t="e">
        <f>VLOOKUP($B$6,Lookup_Source,421,0)</f>
        <v>#N/A</v>
      </c>
      <c r="AC428" s="241" t="str">
        <f t="shared" si="406"/>
        <v/>
      </c>
      <c r="AD428" s="242">
        <f t="shared" si="407"/>
        <v>7</v>
      </c>
      <c r="AE428" s="261" t="e">
        <f t="shared" si="376"/>
        <v>#N/A</v>
      </c>
      <c r="AF428" s="264" t="e">
        <f t="shared" si="408"/>
        <v>#N/A</v>
      </c>
      <c r="AG428" s="264" t="e">
        <f t="shared" si="409"/>
        <v>#N/A</v>
      </c>
      <c r="AH428" s="263" t="e">
        <f t="shared" si="377"/>
        <v>#N/A</v>
      </c>
      <c r="AI428" s="226">
        <f t="shared" si="410"/>
        <v>7</v>
      </c>
      <c r="AJ428" s="264" t="e">
        <f t="shared" si="378"/>
        <v>#N/A</v>
      </c>
      <c r="AK428" s="264" t="e">
        <f t="shared" si="411"/>
        <v>#N/A</v>
      </c>
      <c r="AL428" s="226" t="e">
        <f t="shared" si="379"/>
        <v>#N/A</v>
      </c>
      <c r="AM428" s="265" t="e">
        <f t="shared" si="412"/>
        <v>#N/A</v>
      </c>
      <c r="AN428" s="266" t="e">
        <f t="shared" si="380"/>
        <v>#N/A</v>
      </c>
      <c r="AO428" s="227" t="e">
        <f t="shared" si="381"/>
        <v>#N/A</v>
      </c>
      <c r="AP428" s="284">
        <f t="shared" si="413"/>
        <v>7</v>
      </c>
      <c r="AQ428" s="285" t="e">
        <f t="shared" si="382"/>
        <v>#N/A</v>
      </c>
      <c r="AR428" s="266" t="e">
        <f t="shared" si="414"/>
        <v>#N/A</v>
      </c>
      <c r="AS428" s="270" t="e">
        <f t="shared" si="383"/>
        <v>#N/A</v>
      </c>
      <c r="AT428" s="271">
        <f t="shared" si="415"/>
        <v>7</v>
      </c>
      <c r="AU428" s="272" t="e">
        <f t="shared" si="416"/>
        <v>#N/A</v>
      </c>
      <c r="AV428" s="273" t="e">
        <f t="shared" si="417"/>
        <v>#N/A</v>
      </c>
      <c r="AW428" s="274" t="e">
        <f t="shared" si="384"/>
        <v>#N/A</v>
      </c>
      <c r="AX428" s="232">
        <f t="shared" si="418"/>
        <v>7</v>
      </c>
      <c r="AY428" s="273" t="e">
        <f t="shared" si="385"/>
        <v>#N/A</v>
      </c>
      <c r="AZ428" s="232" t="e">
        <f t="shared" si="419"/>
        <v>#N/A</v>
      </c>
      <c r="BA428" s="232" t="e">
        <f t="shared" si="386"/>
        <v>#N/A</v>
      </c>
      <c r="BB428" s="275">
        <f t="shared" si="420"/>
        <v>7</v>
      </c>
      <c r="BC428" s="276" t="e">
        <f t="shared" si="421"/>
        <v>#N/A</v>
      </c>
      <c r="BD428" s="277" t="e">
        <f t="shared" si="422"/>
        <v>#N/A</v>
      </c>
      <c r="BE428" s="250" t="e">
        <f t="shared" si="387"/>
        <v>#N/A</v>
      </c>
      <c r="BF428" s="247">
        <f t="shared" si="423"/>
        <v>7</v>
      </c>
      <c r="BG428" s="276" t="e">
        <f t="shared" si="424"/>
        <v>#N/A</v>
      </c>
      <c r="BH428" s="277" t="e">
        <f t="shared" si="425"/>
        <v>#N/A</v>
      </c>
      <c r="BI428" s="250" t="e">
        <f t="shared" si="388"/>
        <v>#N/A</v>
      </c>
      <c r="BJ428" s="251">
        <f t="shared" si="426"/>
        <v>7</v>
      </c>
      <c r="BK428" s="278" t="e">
        <f t="shared" si="427"/>
        <v>#N/A</v>
      </c>
      <c r="BL428" s="278" t="e">
        <f t="shared" si="428"/>
        <v>#N/A</v>
      </c>
      <c r="BM428" s="279" t="e">
        <f t="shared" si="389"/>
        <v>#N/A</v>
      </c>
      <c r="BN428" s="280">
        <f t="shared" si="429"/>
        <v>7</v>
      </c>
      <c r="BO428" s="281" t="e">
        <f t="shared" si="430"/>
        <v>#N/A</v>
      </c>
      <c r="BP428" s="281" t="e">
        <f t="shared" si="431"/>
        <v>#N/A</v>
      </c>
      <c r="BQ428" s="279" t="e">
        <f t="shared" si="390"/>
        <v>#N/A</v>
      </c>
      <c r="BR428" s="282" t="e">
        <f t="shared" si="391"/>
        <v>#N/A</v>
      </c>
      <c r="BS428" s="217" t="e">
        <f>VLOOKUP($B428,SDR24_STOCK_BY_LA!$A$2:$C$11878,3,0)</f>
        <v>#N/A</v>
      </c>
      <c r="BT428" s="217" t="str">
        <f t="shared" si="432"/>
        <v/>
      </c>
    </row>
    <row r="429" spans="1:72" x14ac:dyDescent="0.2">
      <c r="A429" s="256" t="str">
        <f t="shared" si="433"/>
        <v/>
      </c>
      <c r="B429" s="217" t="str">
        <f t="shared" si="434"/>
        <v/>
      </c>
      <c r="C429" s="257" t="str">
        <f t="shared" si="392"/>
        <v/>
      </c>
      <c r="D429" s="256" t="str">
        <f>IF(B429="","",IF(totals!$Q$3=0,IFERROR(IF(AD429=2,"0",AE429),""),"-"))</f>
        <v/>
      </c>
      <c r="E429" s="258" t="str">
        <f t="shared" si="393"/>
        <v/>
      </c>
      <c r="F429" s="259" t="str">
        <f t="shared" si="394"/>
        <v/>
      </c>
      <c r="G429" s="259" t="str">
        <f t="shared" si="395"/>
        <v/>
      </c>
      <c r="H429" s="256" t="str">
        <f t="shared" si="373"/>
        <v/>
      </c>
      <c r="I429" s="259" t="str">
        <f t="shared" si="396"/>
        <v/>
      </c>
      <c r="J429" s="259" t="str">
        <f t="shared" si="397"/>
        <v/>
      </c>
      <c r="K429" s="256" t="str">
        <f t="shared" si="374"/>
        <v/>
      </c>
      <c r="L429" s="259" t="str">
        <f t="shared" si="375"/>
        <v/>
      </c>
      <c r="M429" s="259" t="str">
        <f t="shared" si="398"/>
        <v/>
      </c>
      <c r="N429" s="256" t="str">
        <f t="shared" si="399"/>
        <v/>
      </c>
      <c r="O429" s="259" t="str">
        <f t="shared" si="400"/>
        <v/>
      </c>
      <c r="P429" s="259" t="str">
        <f t="shared" si="401"/>
        <v/>
      </c>
      <c r="Q429" s="256" t="str">
        <f t="shared" si="402"/>
        <v/>
      </c>
      <c r="R429" s="259" t="str">
        <f t="shared" si="403"/>
        <v/>
      </c>
      <c r="S429" s="259" t="str">
        <f t="shared" si="404"/>
        <v/>
      </c>
      <c r="T429" s="256" t="str">
        <f t="shared" si="405"/>
        <v/>
      </c>
      <c r="U429" s="217"/>
      <c r="V429" s="217"/>
      <c r="AB429" s="257" t="e">
        <f>VLOOKUP($B$6,Lookup_Source,422,0)</f>
        <v>#N/A</v>
      </c>
      <c r="AC429" s="241" t="str">
        <f t="shared" si="406"/>
        <v/>
      </c>
      <c r="AD429" s="242">
        <f t="shared" si="407"/>
        <v>7</v>
      </c>
      <c r="AE429" s="261" t="e">
        <f t="shared" si="376"/>
        <v>#N/A</v>
      </c>
      <c r="AF429" s="264" t="e">
        <f t="shared" si="408"/>
        <v>#N/A</v>
      </c>
      <c r="AG429" s="264" t="e">
        <f t="shared" si="409"/>
        <v>#N/A</v>
      </c>
      <c r="AH429" s="263" t="e">
        <f t="shared" si="377"/>
        <v>#N/A</v>
      </c>
      <c r="AI429" s="226">
        <f t="shared" si="410"/>
        <v>7</v>
      </c>
      <c r="AJ429" s="264" t="e">
        <f t="shared" si="378"/>
        <v>#N/A</v>
      </c>
      <c r="AK429" s="264" t="e">
        <f t="shared" si="411"/>
        <v>#N/A</v>
      </c>
      <c r="AL429" s="226" t="e">
        <f t="shared" si="379"/>
        <v>#N/A</v>
      </c>
      <c r="AM429" s="265" t="e">
        <f t="shared" si="412"/>
        <v>#N/A</v>
      </c>
      <c r="AN429" s="266" t="e">
        <f t="shared" si="380"/>
        <v>#N/A</v>
      </c>
      <c r="AO429" s="227" t="e">
        <f t="shared" si="381"/>
        <v>#N/A</v>
      </c>
      <c r="AP429" s="284">
        <f t="shared" si="413"/>
        <v>7</v>
      </c>
      <c r="AQ429" s="285" t="e">
        <f t="shared" si="382"/>
        <v>#N/A</v>
      </c>
      <c r="AR429" s="266" t="e">
        <f t="shared" si="414"/>
        <v>#N/A</v>
      </c>
      <c r="AS429" s="270" t="e">
        <f t="shared" si="383"/>
        <v>#N/A</v>
      </c>
      <c r="AT429" s="271">
        <f t="shared" si="415"/>
        <v>7</v>
      </c>
      <c r="AU429" s="272" t="e">
        <f t="shared" si="416"/>
        <v>#N/A</v>
      </c>
      <c r="AV429" s="273" t="e">
        <f t="shared" si="417"/>
        <v>#N/A</v>
      </c>
      <c r="AW429" s="274" t="e">
        <f t="shared" si="384"/>
        <v>#N/A</v>
      </c>
      <c r="AX429" s="232">
        <f t="shared" si="418"/>
        <v>7</v>
      </c>
      <c r="AY429" s="273" t="e">
        <f t="shared" si="385"/>
        <v>#N/A</v>
      </c>
      <c r="AZ429" s="232" t="e">
        <f t="shared" si="419"/>
        <v>#N/A</v>
      </c>
      <c r="BA429" s="232" t="e">
        <f t="shared" si="386"/>
        <v>#N/A</v>
      </c>
      <c r="BB429" s="275">
        <f t="shared" si="420"/>
        <v>7</v>
      </c>
      <c r="BC429" s="276" t="e">
        <f t="shared" si="421"/>
        <v>#N/A</v>
      </c>
      <c r="BD429" s="277" t="e">
        <f t="shared" si="422"/>
        <v>#N/A</v>
      </c>
      <c r="BE429" s="250" t="e">
        <f t="shared" si="387"/>
        <v>#N/A</v>
      </c>
      <c r="BF429" s="247">
        <f t="shared" si="423"/>
        <v>7</v>
      </c>
      <c r="BG429" s="276" t="e">
        <f t="shared" si="424"/>
        <v>#N/A</v>
      </c>
      <c r="BH429" s="277" t="e">
        <f t="shared" si="425"/>
        <v>#N/A</v>
      </c>
      <c r="BI429" s="250" t="e">
        <f t="shared" si="388"/>
        <v>#N/A</v>
      </c>
      <c r="BJ429" s="251">
        <f t="shared" si="426"/>
        <v>7</v>
      </c>
      <c r="BK429" s="278" t="e">
        <f t="shared" si="427"/>
        <v>#N/A</v>
      </c>
      <c r="BL429" s="278" t="e">
        <f t="shared" si="428"/>
        <v>#N/A</v>
      </c>
      <c r="BM429" s="279" t="e">
        <f t="shared" si="389"/>
        <v>#N/A</v>
      </c>
      <c r="BN429" s="280">
        <f t="shared" si="429"/>
        <v>7</v>
      </c>
      <c r="BO429" s="281" t="e">
        <f t="shared" si="430"/>
        <v>#N/A</v>
      </c>
      <c r="BP429" s="281" t="e">
        <f t="shared" si="431"/>
        <v>#N/A</v>
      </c>
      <c r="BQ429" s="279" t="e">
        <f t="shared" si="390"/>
        <v>#N/A</v>
      </c>
      <c r="BR429" s="282" t="e">
        <f t="shared" si="391"/>
        <v>#N/A</v>
      </c>
      <c r="BS429" s="217" t="e">
        <f>VLOOKUP($B429,SDR24_STOCK_BY_LA!$A$2:$C$11878,3,0)</f>
        <v>#N/A</v>
      </c>
      <c r="BT429" s="217" t="str">
        <f t="shared" si="432"/>
        <v/>
      </c>
    </row>
    <row r="430" spans="1:72" x14ac:dyDescent="0.2">
      <c r="A430" s="217" t="str">
        <f t="shared" si="433"/>
        <v/>
      </c>
      <c r="B430" s="217" t="str">
        <f t="shared" si="434"/>
        <v/>
      </c>
      <c r="C430" s="283" t="str">
        <f t="shared" si="392"/>
        <v/>
      </c>
      <c r="D430" s="256" t="str">
        <f>IF(B430="","",IF(totals!$Q$3=0,IFERROR(IF(AD430=2,"0",AE430),""),"-"))</f>
        <v/>
      </c>
      <c r="E430" s="258" t="str">
        <f t="shared" si="393"/>
        <v/>
      </c>
      <c r="F430" s="259" t="str">
        <f t="shared" si="394"/>
        <v/>
      </c>
      <c r="G430" s="259" t="str">
        <f t="shared" si="395"/>
        <v/>
      </c>
      <c r="H430" s="256" t="str">
        <f t="shared" si="373"/>
        <v/>
      </c>
      <c r="I430" s="259" t="str">
        <f t="shared" si="396"/>
        <v/>
      </c>
      <c r="J430" s="259" t="str">
        <f t="shared" si="397"/>
        <v/>
      </c>
      <c r="K430" s="256" t="str">
        <f t="shared" si="374"/>
        <v/>
      </c>
      <c r="L430" s="259" t="str">
        <f t="shared" si="375"/>
        <v/>
      </c>
      <c r="M430" s="259" t="str">
        <f t="shared" si="398"/>
        <v/>
      </c>
      <c r="N430" s="256" t="str">
        <f t="shared" si="399"/>
        <v/>
      </c>
      <c r="O430" s="259" t="str">
        <f t="shared" si="400"/>
        <v/>
      </c>
      <c r="P430" s="259" t="str">
        <f t="shared" si="401"/>
        <v/>
      </c>
      <c r="Q430" s="256" t="str">
        <f t="shared" si="402"/>
        <v/>
      </c>
      <c r="R430" s="259" t="str">
        <f t="shared" si="403"/>
        <v/>
      </c>
      <c r="S430" s="259" t="str">
        <f t="shared" si="404"/>
        <v/>
      </c>
      <c r="T430" s="256" t="str">
        <f t="shared" si="405"/>
        <v/>
      </c>
      <c r="U430" s="217"/>
      <c r="V430" s="217"/>
      <c r="AB430" s="217" t="e">
        <f>VLOOKUP($B$6,Lookup_Source,423,0)</f>
        <v>#N/A</v>
      </c>
      <c r="AC430" s="241" t="str">
        <f t="shared" si="406"/>
        <v/>
      </c>
      <c r="AD430" s="242">
        <f t="shared" si="407"/>
        <v>7</v>
      </c>
      <c r="AE430" s="261" t="e">
        <f t="shared" si="376"/>
        <v>#N/A</v>
      </c>
      <c r="AF430" s="264" t="e">
        <f t="shared" si="408"/>
        <v>#N/A</v>
      </c>
      <c r="AG430" s="264" t="e">
        <f t="shared" si="409"/>
        <v>#N/A</v>
      </c>
      <c r="AH430" s="263" t="e">
        <f t="shared" si="377"/>
        <v>#N/A</v>
      </c>
      <c r="AI430" s="226">
        <f t="shared" si="410"/>
        <v>7</v>
      </c>
      <c r="AJ430" s="264" t="e">
        <f t="shared" si="378"/>
        <v>#N/A</v>
      </c>
      <c r="AK430" s="264" t="e">
        <f t="shared" si="411"/>
        <v>#N/A</v>
      </c>
      <c r="AL430" s="226" t="e">
        <f t="shared" si="379"/>
        <v>#N/A</v>
      </c>
      <c r="AM430" s="265" t="e">
        <f t="shared" si="412"/>
        <v>#N/A</v>
      </c>
      <c r="AN430" s="266" t="e">
        <f t="shared" si="380"/>
        <v>#N/A</v>
      </c>
      <c r="AO430" s="227" t="e">
        <f t="shared" si="381"/>
        <v>#N/A</v>
      </c>
      <c r="AP430" s="284">
        <f t="shared" si="413"/>
        <v>7</v>
      </c>
      <c r="AQ430" s="285" t="e">
        <f t="shared" si="382"/>
        <v>#N/A</v>
      </c>
      <c r="AR430" s="266" t="e">
        <f t="shared" si="414"/>
        <v>#N/A</v>
      </c>
      <c r="AS430" s="270" t="e">
        <f t="shared" si="383"/>
        <v>#N/A</v>
      </c>
      <c r="AT430" s="271">
        <f t="shared" si="415"/>
        <v>7</v>
      </c>
      <c r="AU430" s="272" t="e">
        <f t="shared" si="416"/>
        <v>#N/A</v>
      </c>
      <c r="AV430" s="273" t="e">
        <f t="shared" si="417"/>
        <v>#N/A</v>
      </c>
      <c r="AW430" s="274" t="e">
        <f t="shared" si="384"/>
        <v>#N/A</v>
      </c>
      <c r="AX430" s="232">
        <f t="shared" si="418"/>
        <v>7</v>
      </c>
      <c r="AY430" s="273" t="e">
        <f t="shared" si="385"/>
        <v>#N/A</v>
      </c>
      <c r="AZ430" s="232" t="e">
        <f t="shared" si="419"/>
        <v>#N/A</v>
      </c>
      <c r="BA430" s="232" t="e">
        <f t="shared" si="386"/>
        <v>#N/A</v>
      </c>
      <c r="BB430" s="275">
        <f t="shared" si="420"/>
        <v>7</v>
      </c>
      <c r="BC430" s="276" t="e">
        <f t="shared" si="421"/>
        <v>#N/A</v>
      </c>
      <c r="BD430" s="277" t="e">
        <f t="shared" si="422"/>
        <v>#N/A</v>
      </c>
      <c r="BE430" s="250" t="e">
        <f t="shared" si="387"/>
        <v>#N/A</v>
      </c>
      <c r="BF430" s="247">
        <f t="shared" si="423"/>
        <v>7</v>
      </c>
      <c r="BG430" s="276" t="e">
        <f t="shared" si="424"/>
        <v>#N/A</v>
      </c>
      <c r="BH430" s="277" t="e">
        <f t="shared" si="425"/>
        <v>#N/A</v>
      </c>
      <c r="BI430" s="250" t="e">
        <f t="shared" si="388"/>
        <v>#N/A</v>
      </c>
      <c r="BJ430" s="251">
        <f t="shared" si="426"/>
        <v>7</v>
      </c>
      <c r="BK430" s="278" t="e">
        <f t="shared" si="427"/>
        <v>#N/A</v>
      </c>
      <c r="BL430" s="278" t="e">
        <f t="shared" si="428"/>
        <v>#N/A</v>
      </c>
      <c r="BM430" s="279" t="e">
        <f t="shared" si="389"/>
        <v>#N/A</v>
      </c>
      <c r="BN430" s="280">
        <f t="shared" si="429"/>
        <v>7</v>
      </c>
      <c r="BO430" s="281" t="e">
        <f t="shared" si="430"/>
        <v>#N/A</v>
      </c>
      <c r="BP430" s="281" t="e">
        <f t="shared" si="431"/>
        <v>#N/A</v>
      </c>
      <c r="BQ430" s="279" t="e">
        <f t="shared" si="390"/>
        <v>#N/A</v>
      </c>
      <c r="BR430" s="282" t="e">
        <f t="shared" si="391"/>
        <v>#N/A</v>
      </c>
      <c r="BS430" s="217" t="e">
        <f>VLOOKUP($B430,SDR24_STOCK_BY_LA!$A$2:$C$11878,3,0)</f>
        <v>#N/A</v>
      </c>
      <c r="BT430" s="217" t="str">
        <f t="shared" si="432"/>
        <v/>
      </c>
    </row>
    <row r="431" spans="1:72" x14ac:dyDescent="0.2">
      <c r="A431" s="256" t="str">
        <f t="shared" si="433"/>
        <v/>
      </c>
      <c r="B431" s="217" t="str">
        <f t="shared" si="434"/>
        <v/>
      </c>
      <c r="C431" s="257" t="str">
        <f t="shared" si="392"/>
        <v/>
      </c>
      <c r="D431" s="256" t="str">
        <f>IF(B431="","",IF(totals!$Q$3=0,IFERROR(IF(AD431=2,"0",AE431),""),"-"))</f>
        <v/>
      </c>
      <c r="E431" s="258" t="str">
        <f t="shared" si="393"/>
        <v/>
      </c>
      <c r="F431" s="259" t="str">
        <f t="shared" si="394"/>
        <v/>
      </c>
      <c r="G431" s="259" t="str">
        <f t="shared" si="395"/>
        <v/>
      </c>
      <c r="H431" s="256" t="str">
        <f t="shared" si="373"/>
        <v/>
      </c>
      <c r="I431" s="259" t="str">
        <f t="shared" si="396"/>
        <v/>
      </c>
      <c r="J431" s="259" t="str">
        <f t="shared" si="397"/>
        <v/>
      </c>
      <c r="K431" s="256" t="str">
        <f t="shared" si="374"/>
        <v/>
      </c>
      <c r="L431" s="259" t="str">
        <f t="shared" si="375"/>
        <v/>
      </c>
      <c r="M431" s="259" t="str">
        <f t="shared" si="398"/>
        <v/>
      </c>
      <c r="N431" s="256" t="str">
        <f t="shared" si="399"/>
        <v/>
      </c>
      <c r="O431" s="259" t="str">
        <f t="shared" si="400"/>
        <v/>
      </c>
      <c r="P431" s="259" t="str">
        <f t="shared" si="401"/>
        <v/>
      </c>
      <c r="Q431" s="256" t="str">
        <f t="shared" si="402"/>
        <v/>
      </c>
      <c r="R431" s="259" t="str">
        <f t="shared" si="403"/>
        <v/>
      </c>
      <c r="S431" s="259" t="str">
        <f t="shared" si="404"/>
        <v/>
      </c>
      <c r="T431" s="256" t="str">
        <f t="shared" si="405"/>
        <v/>
      </c>
      <c r="U431" s="217"/>
      <c r="V431" s="217"/>
      <c r="AB431" s="257" t="e">
        <f>VLOOKUP($B$6,Lookup_Source,424,0)</f>
        <v>#N/A</v>
      </c>
      <c r="AC431" s="241" t="str">
        <f t="shared" si="406"/>
        <v/>
      </c>
      <c r="AD431" s="242">
        <f t="shared" si="407"/>
        <v>7</v>
      </c>
      <c r="AE431" s="261" t="e">
        <f t="shared" si="376"/>
        <v>#N/A</v>
      </c>
      <c r="AF431" s="264" t="e">
        <f t="shared" si="408"/>
        <v>#N/A</v>
      </c>
      <c r="AG431" s="264" t="e">
        <f t="shared" si="409"/>
        <v>#N/A</v>
      </c>
      <c r="AH431" s="263" t="e">
        <f t="shared" si="377"/>
        <v>#N/A</v>
      </c>
      <c r="AI431" s="226">
        <f t="shared" si="410"/>
        <v>7</v>
      </c>
      <c r="AJ431" s="264" t="e">
        <f t="shared" si="378"/>
        <v>#N/A</v>
      </c>
      <c r="AK431" s="264" t="e">
        <f t="shared" si="411"/>
        <v>#N/A</v>
      </c>
      <c r="AL431" s="226" t="e">
        <f t="shared" si="379"/>
        <v>#N/A</v>
      </c>
      <c r="AM431" s="265" t="e">
        <f t="shared" si="412"/>
        <v>#N/A</v>
      </c>
      <c r="AN431" s="266" t="e">
        <f t="shared" si="380"/>
        <v>#N/A</v>
      </c>
      <c r="AO431" s="227" t="e">
        <f t="shared" si="381"/>
        <v>#N/A</v>
      </c>
      <c r="AP431" s="284">
        <f t="shared" si="413"/>
        <v>7</v>
      </c>
      <c r="AQ431" s="285" t="e">
        <f t="shared" si="382"/>
        <v>#N/A</v>
      </c>
      <c r="AR431" s="266" t="e">
        <f t="shared" si="414"/>
        <v>#N/A</v>
      </c>
      <c r="AS431" s="270" t="e">
        <f t="shared" si="383"/>
        <v>#N/A</v>
      </c>
      <c r="AT431" s="271">
        <f t="shared" si="415"/>
        <v>7</v>
      </c>
      <c r="AU431" s="272" t="e">
        <f t="shared" si="416"/>
        <v>#N/A</v>
      </c>
      <c r="AV431" s="273" t="e">
        <f t="shared" si="417"/>
        <v>#N/A</v>
      </c>
      <c r="AW431" s="274" t="e">
        <f t="shared" si="384"/>
        <v>#N/A</v>
      </c>
      <c r="AX431" s="232">
        <f t="shared" si="418"/>
        <v>7</v>
      </c>
      <c r="AY431" s="273" t="e">
        <f t="shared" si="385"/>
        <v>#N/A</v>
      </c>
      <c r="AZ431" s="232" t="e">
        <f t="shared" si="419"/>
        <v>#N/A</v>
      </c>
      <c r="BA431" s="232" t="e">
        <f t="shared" si="386"/>
        <v>#N/A</v>
      </c>
      <c r="BB431" s="275">
        <f t="shared" si="420"/>
        <v>7</v>
      </c>
      <c r="BC431" s="276" t="e">
        <f t="shared" si="421"/>
        <v>#N/A</v>
      </c>
      <c r="BD431" s="277" t="e">
        <f t="shared" si="422"/>
        <v>#N/A</v>
      </c>
      <c r="BE431" s="250" t="e">
        <f t="shared" si="387"/>
        <v>#N/A</v>
      </c>
      <c r="BF431" s="247">
        <f t="shared" si="423"/>
        <v>7</v>
      </c>
      <c r="BG431" s="276" t="e">
        <f t="shared" si="424"/>
        <v>#N/A</v>
      </c>
      <c r="BH431" s="277" t="e">
        <f t="shared" si="425"/>
        <v>#N/A</v>
      </c>
      <c r="BI431" s="250" t="e">
        <f t="shared" si="388"/>
        <v>#N/A</v>
      </c>
      <c r="BJ431" s="251">
        <f t="shared" si="426"/>
        <v>7</v>
      </c>
      <c r="BK431" s="278" t="e">
        <f t="shared" si="427"/>
        <v>#N/A</v>
      </c>
      <c r="BL431" s="278" t="e">
        <f t="shared" si="428"/>
        <v>#N/A</v>
      </c>
      <c r="BM431" s="279" t="e">
        <f t="shared" si="389"/>
        <v>#N/A</v>
      </c>
      <c r="BN431" s="280">
        <f t="shared" si="429"/>
        <v>7</v>
      </c>
      <c r="BO431" s="281" t="e">
        <f t="shared" si="430"/>
        <v>#N/A</v>
      </c>
      <c r="BP431" s="281" t="e">
        <f t="shared" si="431"/>
        <v>#N/A</v>
      </c>
      <c r="BQ431" s="279" t="e">
        <f t="shared" si="390"/>
        <v>#N/A</v>
      </c>
      <c r="BR431" s="282" t="e">
        <f t="shared" si="391"/>
        <v>#N/A</v>
      </c>
      <c r="BS431" s="217" t="e">
        <f>VLOOKUP($B431,SDR24_STOCK_BY_LA!$A$2:$C$11878,3,0)</f>
        <v>#N/A</v>
      </c>
      <c r="BT431" s="217" t="str">
        <f t="shared" si="432"/>
        <v/>
      </c>
    </row>
    <row r="432" spans="1:72" x14ac:dyDescent="0.2">
      <c r="A432" s="217" t="str">
        <f t="shared" si="433"/>
        <v/>
      </c>
      <c r="B432" s="217" t="str">
        <f t="shared" si="434"/>
        <v/>
      </c>
      <c r="C432" s="283" t="str">
        <f t="shared" si="392"/>
        <v/>
      </c>
      <c r="D432" s="256" t="str">
        <f>IF(B432="","",IF(totals!$Q$3=0,IFERROR(IF(AD432=2,"0",AE432),""),"-"))</f>
        <v/>
      </c>
      <c r="E432" s="258" t="str">
        <f t="shared" si="393"/>
        <v/>
      </c>
      <c r="F432" s="259" t="str">
        <f t="shared" si="394"/>
        <v/>
      </c>
      <c r="G432" s="259" t="str">
        <f t="shared" si="395"/>
        <v/>
      </c>
      <c r="H432" s="256" t="str">
        <f t="shared" si="373"/>
        <v/>
      </c>
      <c r="I432" s="259" t="str">
        <f t="shared" si="396"/>
        <v/>
      </c>
      <c r="J432" s="259" t="str">
        <f t="shared" si="397"/>
        <v/>
      </c>
      <c r="K432" s="256" t="str">
        <f t="shared" si="374"/>
        <v/>
      </c>
      <c r="L432" s="259" t="str">
        <f t="shared" si="375"/>
        <v/>
      </c>
      <c r="M432" s="259" t="str">
        <f t="shared" si="398"/>
        <v/>
      </c>
      <c r="N432" s="256" t="str">
        <f t="shared" si="399"/>
        <v/>
      </c>
      <c r="O432" s="259" t="str">
        <f t="shared" si="400"/>
        <v/>
      </c>
      <c r="P432" s="259" t="str">
        <f t="shared" si="401"/>
        <v/>
      </c>
      <c r="Q432" s="256" t="str">
        <f t="shared" si="402"/>
        <v/>
      </c>
      <c r="R432" s="259" t="str">
        <f t="shared" si="403"/>
        <v/>
      </c>
      <c r="S432" s="259" t="str">
        <f t="shared" si="404"/>
        <v/>
      </c>
      <c r="T432" s="256" t="str">
        <f t="shared" si="405"/>
        <v/>
      </c>
      <c r="U432" s="217"/>
      <c r="V432" s="217"/>
      <c r="AB432" s="217" t="e">
        <f>VLOOKUP($B$6,Lookup_Source,425,0)</f>
        <v>#N/A</v>
      </c>
      <c r="AC432" s="241" t="str">
        <f t="shared" si="406"/>
        <v/>
      </c>
      <c r="AD432" s="242">
        <f t="shared" si="407"/>
        <v>7</v>
      </c>
      <c r="AE432" s="261" t="e">
        <f t="shared" si="376"/>
        <v>#N/A</v>
      </c>
      <c r="AF432" s="264" t="e">
        <f t="shared" si="408"/>
        <v>#N/A</v>
      </c>
      <c r="AG432" s="264" t="e">
        <f t="shared" si="409"/>
        <v>#N/A</v>
      </c>
      <c r="AH432" s="263" t="e">
        <f t="shared" si="377"/>
        <v>#N/A</v>
      </c>
      <c r="AI432" s="226">
        <f t="shared" si="410"/>
        <v>7</v>
      </c>
      <c r="AJ432" s="264" t="e">
        <f t="shared" si="378"/>
        <v>#N/A</v>
      </c>
      <c r="AK432" s="264" t="e">
        <f t="shared" si="411"/>
        <v>#N/A</v>
      </c>
      <c r="AL432" s="226" t="e">
        <f t="shared" si="379"/>
        <v>#N/A</v>
      </c>
      <c r="AM432" s="265" t="e">
        <f t="shared" si="412"/>
        <v>#N/A</v>
      </c>
      <c r="AN432" s="266" t="e">
        <f t="shared" si="380"/>
        <v>#N/A</v>
      </c>
      <c r="AO432" s="227" t="e">
        <f t="shared" si="381"/>
        <v>#N/A</v>
      </c>
      <c r="AP432" s="284">
        <f t="shared" si="413"/>
        <v>7</v>
      </c>
      <c r="AQ432" s="285" t="e">
        <f t="shared" si="382"/>
        <v>#N/A</v>
      </c>
      <c r="AR432" s="266" t="e">
        <f t="shared" si="414"/>
        <v>#N/A</v>
      </c>
      <c r="AS432" s="270" t="e">
        <f t="shared" si="383"/>
        <v>#N/A</v>
      </c>
      <c r="AT432" s="271">
        <f t="shared" si="415"/>
        <v>7</v>
      </c>
      <c r="AU432" s="272" t="e">
        <f t="shared" si="416"/>
        <v>#N/A</v>
      </c>
      <c r="AV432" s="273" t="e">
        <f t="shared" si="417"/>
        <v>#N/A</v>
      </c>
      <c r="AW432" s="274" t="e">
        <f t="shared" si="384"/>
        <v>#N/A</v>
      </c>
      <c r="AX432" s="232">
        <f t="shared" si="418"/>
        <v>7</v>
      </c>
      <c r="AY432" s="273" t="e">
        <f t="shared" si="385"/>
        <v>#N/A</v>
      </c>
      <c r="AZ432" s="232" t="e">
        <f t="shared" si="419"/>
        <v>#N/A</v>
      </c>
      <c r="BA432" s="232" t="e">
        <f t="shared" si="386"/>
        <v>#N/A</v>
      </c>
      <c r="BB432" s="275">
        <f t="shared" si="420"/>
        <v>7</v>
      </c>
      <c r="BC432" s="276" t="e">
        <f t="shared" si="421"/>
        <v>#N/A</v>
      </c>
      <c r="BD432" s="277" t="e">
        <f t="shared" si="422"/>
        <v>#N/A</v>
      </c>
      <c r="BE432" s="250" t="e">
        <f t="shared" si="387"/>
        <v>#N/A</v>
      </c>
      <c r="BF432" s="247">
        <f t="shared" si="423"/>
        <v>7</v>
      </c>
      <c r="BG432" s="276" t="e">
        <f t="shared" si="424"/>
        <v>#N/A</v>
      </c>
      <c r="BH432" s="277" t="e">
        <f t="shared" si="425"/>
        <v>#N/A</v>
      </c>
      <c r="BI432" s="250" t="e">
        <f t="shared" si="388"/>
        <v>#N/A</v>
      </c>
      <c r="BJ432" s="251">
        <f t="shared" si="426"/>
        <v>7</v>
      </c>
      <c r="BK432" s="278" t="e">
        <f t="shared" si="427"/>
        <v>#N/A</v>
      </c>
      <c r="BL432" s="278" t="e">
        <f t="shared" si="428"/>
        <v>#N/A</v>
      </c>
      <c r="BM432" s="279" t="e">
        <f t="shared" si="389"/>
        <v>#N/A</v>
      </c>
      <c r="BN432" s="280">
        <f t="shared" si="429"/>
        <v>7</v>
      </c>
      <c r="BO432" s="281" t="e">
        <f t="shared" si="430"/>
        <v>#N/A</v>
      </c>
      <c r="BP432" s="281" t="e">
        <f t="shared" si="431"/>
        <v>#N/A</v>
      </c>
      <c r="BQ432" s="279" t="e">
        <f t="shared" si="390"/>
        <v>#N/A</v>
      </c>
      <c r="BR432" s="282" t="e">
        <f t="shared" si="391"/>
        <v>#N/A</v>
      </c>
      <c r="BS432" s="217" t="e">
        <f>VLOOKUP($B432,SDR24_STOCK_BY_LA!$A$2:$C$11878,3,0)</f>
        <v>#N/A</v>
      </c>
      <c r="BT432" s="217" t="str">
        <f t="shared" si="432"/>
        <v/>
      </c>
    </row>
    <row r="433" spans="1:72" x14ac:dyDescent="0.2">
      <c r="A433" s="256" t="str">
        <f t="shared" si="433"/>
        <v/>
      </c>
      <c r="B433" s="217" t="str">
        <f t="shared" si="434"/>
        <v/>
      </c>
      <c r="C433" s="257" t="str">
        <f t="shared" si="392"/>
        <v/>
      </c>
      <c r="D433" s="256" t="str">
        <f>IF(B433="","",IF(totals!$Q$3=0,IFERROR(IF(AD433=2,"0",AE433),""),"-"))</f>
        <v/>
      </c>
      <c r="E433" s="258" t="str">
        <f t="shared" si="393"/>
        <v/>
      </c>
      <c r="F433" s="259" t="str">
        <f t="shared" si="394"/>
        <v/>
      </c>
      <c r="G433" s="259" t="str">
        <f t="shared" si="395"/>
        <v/>
      </c>
      <c r="H433" s="256" t="str">
        <f t="shared" si="373"/>
        <v/>
      </c>
      <c r="I433" s="259" t="str">
        <f t="shared" si="396"/>
        <v/>
      </c>
      <c r="J433" s="259" t="str">
        <f t="shared" si="397"/>
        <v/>
      </c>
      <c r="K433" s="256" t="str">
        <f t="shared" si="374"/>
        <v/>
      </c>
      <c r="L433" s="259" t="str">
        <f t="shared" si="375"/>
        <v/>
      </c>
      <c r="M433" s="259" t="str">
        <f t="shared" si="398"/>
        <v/>
      </c>
      <c r="N433" s="256" t="str">
        <f t="shared" si="399"/>
        <v/>
      </c>
      <c r="O433" s="259" t="str">
        <f t="shared" si="400"/>
        <v/>
      </c>
      <c r="P433" s="259" t="str">
        <f t="shared" si="401"/>
        <v/>
      </c>
      <c r="Q433" s="256" t="str">
        <f t="shared" si="402"/>
        <v/>
      </c>
      <c r="R433" s="259" t="str">
        <f t="shared" si="403"/>
        <v/>
      </c>
      <c r="S433" s="259" t="str">
        <f t="shared" si="404"/>
        <v/>
      </c>
      <c r="T433" s="256" t="str">
        <f t="shared" si="405"/>
        <v/>
      </c>
      <c r="U433" s="217"/>
      <c r="V433" s="217"/>
      <c r="AB433" s="257" t="e">
        <f>VLOOKUP($B$6,Lookup_Source,426,0)</f>
        <v>#N/A</v>
      </c>
      <c r="AC433" s="241" t="str">
        <f t="shared" si="406"/>
        <v/>
      </c>
      <c r="AD433" s="242">
        <f t="shared" si="407"/>
        <v>7</v>
      </c>
      <c r="AE433" s="261" t="e">
        <f t="shared" si="376"/>
        <v>#N/A</v>
      </c>
      <c r="AF433" s="264" t="e">
        <f t="shared" si="408"/>
        <v>#N/A</v>
      </c>
      <c r="AG433" s="264" t="e">
        <f t="shared" si="409"/>
        <v>#N/A</v>
      </c>
      <c r="AH433" s="263" t="e">
        <f t="shared" si="377"/>
        <v>#N/A</v>
      </c>
      <c r="AI433" s="226">
        <f t="shared" si="410"/>
        <v>7</v>
      </c>
      <c r="AJ433" s="264" t="e">
        <f t="shared" si="378"/>
        <v>#N/A</v>
      </c>
      <c r="AK433" s="264" t="e">
        <f t="shared" si="411"/>
        <v>#N/A</v>
      </c>
      <c r="AL433" s="226" t="e">
        <f t="shared" si="379"/>
        <v>#N/A</v>
      </c>
      <c r="AM433" s="265" t="e">
        <f t="shared" si="412"/>
        <v>#N/A</v>
      </c>
      <c r="AN433" s="266" t="e">
        <f t="shared" si="380"/>
        <v>#N/A</v>
      </c>
      <c r="AO433" s="227" t="e">
        <f t="shared" si="381"/>
        <v>#N/A</v>
      </c>
      <c r="AP433" s="284">
        <f t="shared" si="413"/>
        <v>7</v>
      </c>
      <c r="AQ433" s="285" t="e">
        <f t="shared" si="382"/>
        <v>#N/A</v>
      </c>
      <c r="AR433" s="266" t="e">
        <f t="shared" si="414"/>
        <v>#N/A</v>
      </c>
      <c r="AS433" s="270" t="e">
        <f t="shared" si="383"/>
        <v>#N/A</v>
      </c>
      <c r="AT433" s="271">
        <f t="shared" si="415"/>
        <v>7</v>
      </c>
      <c r="AU433" s="272" t="e">
        <f t="shared" si="416"/>
        <v>#N/A</v>
      </c>
      <c r="AV433" s="273" t="e">
        <f t="shared" si="417"/>
        <v>#N/A</v>
      </c>
      <c r="AW433" s="274" t="e">
        <f t="shared" si="384"/>
        <v>#N/A</v>
      </c>
      <c r="AX433" s="232">
        <f t="shared" si="418"/>
        <v>7</v>
      </c>
      <c r="AY433" s="273" t="e">
        <f t="shared" si="385"/>
        <v>#N/A</v>
      </c>
      <c r="AZ433" s="232" t="e">
        <f t="shared" si="419"/>
        <v>#N/A</v>
      </c>
      <c r="BA433" s="232" t="e">
        <f t="shared" si="386"/>
        <v>#N/A</v>
      </c>
      <c r="BB433" s="275">
        <f t="shared" si="420"/>
        <v>7</v>
      </c>
      <c r="BC433" s="276" t="e">
        <f t="shared" si="421"/>
        <v>#N/A</v>
      </c>
      <c r="BD433" s="277" t="e">
        <f t="shared" si="422"/>
        <v>#N/A</v>
      </c>
      <c r="BE433" s="250" t="e">
        <f t="shared" si="387"/>
        <v>#N/A</v>
      </c>
      <c r="BF433" s="247">
        <f t="shared" si="423"/>
        <v>7</v>
      </c>
      <c r="BG433" s="276" t="e">
        <f t="shared" si="424"/>
        <v>#N/A</v>
      </c>
      <c r="BH433" s="277" t="e">
        <f t="shared" si="425"/>
        <v>#N/A</v>
      </c>
      <c r="BI433" s="250" t="e">
        <f t="shared" si="388"/>
        <v>#N/A</v>
      </c>
      <c r="BJ433" s="251">
        <f t="shared" si="426"/>
        <v>7</v>
      </c>
      <c r="BK433" s="278" t="e">
        <f t="shared" si="427"/>
        <v>#N/A</v>
      </c>
      <c r="BL433" s="278" t="e">
        <f t="shared" si="428"/>
        <v>#N/A</v>
      </c>
      <c r="BM433" s="279" t="e">
        <f t="shared" si="389"/>
        <v>#N/A</v>
      </c>
      <c r="BN433" s="280">
        <f t="shared" si="429"/>
        <v>7</v>
      </c>
      <c r="BO433" s="281" t="e">
        <f t="shared" si="430"/>
        <v>#N/A</v>
      </c>
      <c r="BP433" s="281" t="e">
        <f t="shared" si="431"/>
        <v>#N/A</v>
      </c>
      <c r="BQ433" s="279" t="e">
        <f t="shared" si="390"/>
        <v>#N/A</v>
      </c>
      <c r="BR433" s="282" t="e">
        <f t="shared" si="391"/>
        <v>#N/A</v>
      </c>
      <c r="BS433" s="217" t="e">
        <f>VLOOKUP($B433,SDR24_STOCK_BY_LA!$A$2:$C$11878,3,0)</f>
        <v>#N/A</v>
      </c>
      <c r="BT433" s="217" t="str">
        <f t="shared" si="432"/>
        <v/>
      </c>
    </row>
    <row r="434" spans="1:72" x14ac:dyDescent="0.2">
      <c r="A434" s="217" t="str">
        <f t="shared" si="433"/>
        <v/>
      </c>
      <c r="B434" s="217" t="str">
        <f t="shared" si="434"/>
        <v/>
      </c>
      <c r="C434" s="283" t="str">
        <f t="shared" si="392"/>
        <v/>
      </c>
      <c r="D434" s="256" t="str">
        <f>IF(B434="","",IF(totals!$Q$3=0,IFERROR(IF(AD434=2,"0",AE434),""),"-"))</f>
        <v/>
      </c>
      <c r="E434" s="258" t="str">
        <f t="shared" si="393"/>
        <v/>
      </c>
      <c r="F434" s="259" t="str">
        <f t="shared" si="394"/>
        <v/>
      </c>
      <c r="G434" s="259" t="str">
        <f t="shared" si="395"/>
        <v/>
      </c>
      <c r="H434" s="256" t="str">
        <f t="shared" si="373"/>
        <v/>
      </c>
      <c r="I434" s="259" t="str">
        <f t="shared" si="396"/>
        <v/>
      </c>
      <c r="J434" s="259" t="str">
        <f t="shared" si="397"/>
        <v/>
      </c>
      <c r="K434" s="256" t="str">
        <f t="shared" si="374"/>
        <v/>
      </c>
      <c r="L434" s="259" t="str">
        <f t="shared" si="375"/>
        <v/>
      </c>
      <c r="M434" s="259" t="str">
        <f t="shared" si="398"/>
        <v/>
      </c>
      <c r="N434" s="256" t="str">
        <f t="shared" si="399"/>
        <v/>
      </c>
      <c r="O434" s="259" t="str">
        <f t="shared" si="400"/>
        <v/>
      </c>
      <c r="P434" s="259" t="str">
        <f t="shared" si="401"/>
        <v/>
      </c>
      <c r="Q434" s="256" t="str">
        <f t="shared" si="402"/>
        <v/>
      </c>
      <c r="R434" s="259" t="str">
        <f t="shared" si="403"/>
        <v/>
      </c>
      <c r="S434" s="259" t="str">
        <f t="shared" si="404"/>
        <v/>
      </c>
      <c r="T434" s="256" t="str">
        <f t="shared" si="405"/>
        <v/>
      </c>
      <c r="U434" s="217"/>
      <c r="V434" s="217"/>
      <c r="AB434" s="217" t="e">
        <f>VLOOKUP($B$6,Lookup_Source,427,0)</f>
        <v>#N/A</v>
      </c>
      <c r="AC434" s="241" t="str">
        <f t="shared" si="406"/>
        <v/>
      </c>
      <c r="AD434" s="242">
        <f t="shared" si="407"/>
        <v>7</v>
      </c>
      <c r="AE434" s="261" t="e">
        <f t="shared" si="376"/>
        <v>#N/A</v>
      </c>
      <c r="AF434" s="264" t="e">
        <f t="shared" si="408"/>
        <v>#N/A</v>
      </c>
      <c r="AG434" s="264" t="e">
        <f t="shared" si="409"/>
        <v>#N/A</v>
      </c>
      <c r="AH434" s="263" t="e">
        <f t="shared" si="377"/>
        <v>#N/A</v>
      </c>
      <c r="AI434" s="226">
        <f t="shared" si="410"/>
        <v>7</v>
      </c>
      <c r="AJ434" s="264" t="e">
        <f t="shared" si="378"/>
        <v>#N/A</v>
      </c>
      <c r="AK434" s="264" t="e">
        <f t="shared" si="411"/>
        <v>#N/A</v>
      </c>
      <c r="AL434" s="226" t="e">
        <f t="shared" si="379"/>
        <v>#N/A</v>
      </c>
      <c r="AM434" s="265" t="e">
        <f t="shared" si="412"/>
        <v>#N/A</v>
      </c>
      <c r="AN434" s="266" t="e">
        <f t="shared" si="380"/>
        <v>#N/A</v>
      </c>
      <c r="AO434" s="227" t="e">
        <f t="shared" si="381"/>
        <v>#N/A</v>
      </c>
      <c r="AP434" s="284">
        <f t="shared" si="413"/>
        <v>7</v>
      </c>
      <c r="AQ434" s="285" t="e">
        <f t="shared" si="382"/>
        <v>#N/A</v>
      </c>
      <c r="AR434" s="266" t="e">
        <f t="shared" si="414"/>
        <v>#N/A</v>
      </c>
      <c r="AS434" s="270" t="e">
        <f t="shared" si="383"/>
        <v>#N/A</v>
      </c>
      <c r="AT434" s="271">
        <f t="shared" si="415"/>
        <v>7</v>
      </c>
      <c r="AU434" s="272" t="e">
        <f t="shared" si="416"/>
        <v>#N/A</v>
      </c>
      <c r="AV434" s="273" t="e">
        <f t="shared" si="417"/>
        <v>#N/A</v>
      </c>
      <c r="AW434" s="274" t="e">
        <f t="shared" si="384"/>
        <v>#N/A</v>
      </c>
      <c r="AX434" s="232">
        <f t="shared" si="418"/>
        <v>7</v>
      </c>
      <c r="AY434" s="273" t="e">
        <f t="shared" si="385"/>
        <v>#N/A</v>
      </c>
      <c r="AZ434" s="232" t="e">
        <f t="shared" si="419"/>
        <v>#N/A</v>
      </c>
      <c r="BA434" s="232" t="e">
        <f t="shared" si="386"/>
        <v>#N/A</v>
      </c>
      <c r="BB434" s="275">
        <f t="shared" si="420"/>
        <v>7</v>
      </c>
      <c r="BC434" s="276" t="e">
        <f t="shared" si="421"/>
        <v>#N/A</v>
      </c>
      <c r="BD434" s="277" t="e">
        <f t="shared" si="422"/>
        <v>#N/A</v>
      </c>
      <c r="BE434" s="250" t="e">
        <f t="shared" si="387"/>
        <v>#N/A</v>
      </c>
      <c r="BF434" s="247">
        <f t="shared" si="423"/>
        <v>7</v>
      </c>
      <c r="BG434" s="276" t="e">
        <f t="shared" si="424"/>
        <v>#N/A</v>
      </c>
      <c r="BH434" s="277" t="e">
        <f t="shared" si="425"/>
        <v>#N/A</v>
      </c>
      <c r="BI434" s="250" t="e">
        <f t="shared" si="388"/>
        <v>#N/A</v>
      </c>
      <c r="BJ434" s="251">
        <f t="shared" si="426"/>
        <v>7</v>
      </c>
      <c r="BK434" s="278" t="e">
        <f t="shared" si="427"/>
        <v>#N/A</v>
      </c>
      <c r="BL434" s="278" t="e">
        <f t="shared" si="428"/>
        <v>#N/A</v>
      </c>
      <c r="BM434" s="279" t="e">
        <f t="shared" si="389"/>
        <v>#N/A</v>
      </c>
      <c r="BN434" s="280">
        <f t="shared" si="429"/>
        <v>7</v>
      </c>
      <c r="BO434" s="281" t="e">
        <f t="shared" si="430"/>
        <v>#N/A</v>
      </c>
      <c r="BP434" s="281" t="e">
        <f t="shared" si="431"/>
        <v>#N/A</v>
      </c>
      <c r="BQ434" s="279" t="e">
        <f t="shared" si="390"/>
        <v>#N/A</v>
      </c>
      <c r="BR434" s="282" t="e">
        <f t="shared" si="391"/>
        <v>#N/A</v>
      </c>
      <c r="BS434" s="217" t="e">
        <f>VLOOKUP($B434,SDR24_STOCK_BY_LA!$A$2:$C$11878,3,0)</f>
        <v>#N/A</v>
      </c>
      <c r="BT434" s="217" t="str">
        <f t="shared" si="432"/>
        <v/>
      </c>
    </row>
    <row r="435" spans="1:72" x14ac:dyDescent="0.2">
      <c r="A435" s="256" t="str">
        <f t="shared" si="433"/>
        <v/>
      </c>
      <c r="B435" s="217" t="str">
        <f t="shared" si="434"/>
        <v/>
      </c>
      <c r="C435" s="257" t="str">
        <f t="shared" si="392"/>
        <v/>
      </c>
      <c r="D435" s="256" t="str">
        <f>IF(B435="","",IF(totals!$Q$3=0,IFERROR(IF(AD435=2,"0",AE435),""),"-"))</f>
        <v/>
      </c>
      <c r="E435" s="258" t="str">
        <f t="shared" si="393"/>
        <v/>
      </c>
      <c r="F435" s="259" t="str">
        <f t="shared" si="394"/>
        <v/>
      </c>
      <c r="G435" s="259" t="str">
        <f t="shared" si="395"/>
        <v/>
      </c>
      <c r="H435" s="256" t="str">
        <f t="shared" si="373"/>
        <v/>
      </c>
      <c r="I435" s="259" t="str">
        <f t="shared" si="396"/>
        <v/>
      </c>
      <c r="J435" s="259" t="str">
        <f t="shared" si="397"/>
        <v/>
      </c>
      <c r="K435" s="256" t="str">
        <f t="shared" si="374"/>
        <v/>
      </c>
      <c r="L435" s="259" t="str">
        <f t="shared" si="375"/>
        <v/>
      </c>
      <c r="M435" s="259" t="str">
        <f t="shared" si="398"/>
        <v/>
      </c>
      <c r="N435" s="256" t="str">
        <f t="shared" si="399"/>
        <v/>
      </c>
      <c r="O435" s="259" t="str">
        <f t="shared" si="400"/>
        <v/>
      </c>
      <c r="P435" s="259" t="str">
        <f t="shared" si="401"/>
        <v/>
      </c>
      <c r="Q435" s="256" t="str">
        <f t="shared" si="402"/>
        <v/>
      </c>
      <c r="R435" s="259" t="str">
        <f t="shared" si="403"/>
        <v/>
      </c>
      <c r="S435" s="259" t="str">
        <f t="shared" si="404"/>
        <v/>
      </c>
      <c r="T435" s="256" t="str">
        <f t="shared" si="405"/>
        <v/>
      </c>
      <c r="U435" s="217"/>
      <c r="V435" s="217"/>
      <c r="AB435" s="257" t="e">
        <f>VLOOKUP($B$6,Lookup_Source,428,0)</f>
        <v>#N/A</v>
      </c>
      <c r="AC435" s="241" t="str">
        <f t="shared" si="406"/>
        <v/>
      </c>
      <c r="AD435" s="242">
        <f t="shared" si="407"/>
        <v>7</v>
      </c>
      <c r="AE435" s="261" t="e">
        <f t="shared" si="376"/>
        <v>#N/A</v>
      </c>
      <c r="AF435" s="264" t="e">
        <f t="shared" si="408"/>
        <v>#N/A</v>
      </c>
      <c r="AG435" s="264" t="e">
        <f t="shared" si="409"/>
        <v>#N/A</v>
      </c>
      <c r="AH435" s="263" t="e">
        <f t="shared" si="377"/>
        <v>#N/A</v>
      </c>
      <c r="AI435" s="226">
        <f t="shared" si="410"/>
        <v>7</v>
      </c>
      <c r="AJ435" s="264" t="e">
        <f t="shared" si="378"/>
        <v>#N/A</v>
      </c>
      <c r="AK435" s="264" t="e">
        <f t="shared" si="411"/>
        <v>#N/A</v>
      </c>
      <c r="AL435" s="226" t="e">
        <f t="shared" si="379"/>
        <v>#N/A</v>
      </c>
      <c r="AM435" s="265" t="e">
        <f t="shared" si="412"/>
        <v>#N/A</v>
      </c>
      <c r="AN435" s="266" t="e">
        <f t="shared" si="380"/>
        <v>#N/A</v>
      </c>
      <c r="AO435" s="227" t="e">
        <f t="shared" si="381"/>
        <v>#N/A</v>
      </c>
      <c r="AP435" s="284">
        <f t="shared" si="413"/>
        <v>7</v>
      </c>
      <c r="AQ435" s="285" t="e">
        <f t="shared" si="382"/>
        <v>#N/A</v>
      </c>
      <c r="AR435" s="266" t="e">
        <f t="shared" si="414"/>
        <v>#N/A</v>
      </c>
      <c r="AS435" s="270" t="e">
        <f t="shared" si="383"/>
        <v>#N/A</v>
      </c>
      <c r="AT435" s="271">
        <f t="shared" si="415"/>
        <v>7</v>
      </c>
      <c r="AU435" s="272" t="e">
        <f t="shared" si="416"/>
        <v>#N/A</v>
      </c>
      <c r="AV435" s="273" t="e">
        <f t="shared" si="417"/>
        <v>#N/A</v>
      </c>
      <c r="AW435" s="274" t="e">
        <f t="shared" si="384"/>
        <v>#N/A</v>
      </c>
      <c r="AX435" s="232">
        <f t="shared" si="418"/>
        <v>7</v>
      </c>
      <c r="AY435" s="273" t="e">
        <f t="shared" si="385"/>
        <v>#N/A</v>
      </c>
      <c r="AZ435" s="232" t="e">
        <f t="shared" si="419"/>
        <v>#N/A</v>
      </c>
      <c r="BA435" s="232" t="e">
        <f t="shared" si="386"/>
        <v>#N/A</v>
      </c>
      <c r="BB435" s="275">
        <f t="shared" si="420"/>
        <v>7</v>
      </c>
      <c r="BC435" s="276" t="e">
        <f t="shared" si="421"/>
        <v>#N/A</v>
      </c>
      <c r="BD435" s="277" t="e">
        <f t="shared" si="422"/>
        <v>#N/A</v>
      </c>
      <c r="BE435" s="250" t="e">
        <f t="shared" si="387"/>
        <v>#N/A</v>
      </c>
      <c r="BF435" s="247">
        <f t="shared" si="423"/>
        <v>7</v>
      </c>
      <c r="BG435" s="276" t="e">
        <f t="shared" si="424"/>
        <v>#N/A</v>
      </c>
      <c r="BH435" s="277" t="e">
        <f t="shared" si="425"/>
        <v>#N/A</v>
      </c>
      <c r="BI435" s="250" t="e">
        <f t="shared" si="388"/>
        <v>#N/A</v>
      </c>
      <c r="BJ435" s="251">
        <f t="shared" si="426"/>
        <v>7</v>
      </c>
      <c r="BK435" s="278" t="e">
        <f t="shared" si="427"/>
        <v>#N/A</v>
      </c>
      <c r="BL435" s="278" t="e">
        <f t="shared" si="428"/>
        <v>#N/A</v>
      </c>
      <c r="BM435" s="279" t="e">
        <f t="shared" si="389"/>
        <v>#N/A</v>
      </c>
      <c r="BN435" s="280">
        <f t="shared" si="429"/>
        <v>7</v>
      </c>
      <c r="BO435" s="281" t="e">
        <f t="shared" si="430"/>
        <v>#N/A</v>
      </c>
      <c r="BP435" s="281" t="e">
        <f t="shared" si="431"/>
        <v>#N/A</v>
      </c>
      <c r="BQ435" s="279" t="e">
        <f t="shared" si="390"/>
        <v>#N/A</v>
      </c>
      <c r="BR435" s="282" t="e">
        <f t="shared" si="391"/>
        <v>#N/A</v>
      </c>
      <c r="BS435" s="217" t="e">
        <f>VLOOKUP($B435,SDR24_STOCK_BY_LA!$A$2:$C$11878,3,0)</f>
        <v>#N/A</v>
      </c>
      <c r="BT435" s="217" t="str">
        <f t="shared" si="432"/>
        <v/>
      </c>
    </row>
    <row r="436" spans="1:72" x14ac:dyDescent="0.2">
      <c r="A436" s="217" t="str">
        <f t="shared" si="433"/>
        <v/>
      </c>
      <c r="B436" s="217" t="str">
        <f t="shared" si="434"/>
        <v/>
      </c>
      <c r="C436" s="283" t="str">
        <f t="shared" si="392"/>
        <v/>
      </c>
      <c r="D436" s="256" t="str">
        <f>IF(B436="","",IF(totals!$Q$3=0,IFERROR(IF(AD436=2,"0",AE436),""),"-"))</f>
        <v/>
      </c>
      <c r="E436" s="258" t="str">
        <f t="shared" si="393"/>
        <v/>
      </c>
      <c r="F436" s="259" t="str">
        <f t="shared" si="394"/>
        <v/>
      </c>
      <c r="G436" s="259" t="str">
        <f t="shared" si="395"/>
        <v/>
      </c>
      <c r="H436" s="256" t="str">
        <f t="shared" si="373"/>
        <v/>
      </c>
      <c r="I436" s="259" t="str">
        <f t="shared" si="396"/>
        <v/>
      </c>
      <c r="J436" s="259" t="str">
        <f t="shared" si="397"/>
        <v/>
      </c>
      <c r="K436" s="256" t="str">
        <f t="shared" si="374"/>
        <v/>
      </c>
      <c r="L436" s="259" t="str">
        <f t="shared" si="375"/>
        <v/>
      </c>
      <c r="M436" s="259" t="str">
        <f t="shared" si="398"/>
        <v/>
      </c>
      <c r="N436" s="256" t="str">
        <f t="shared" si="399"/>
        <v/>
      </c>
      <c r="O436" s="259" t="str">
        <f t="shared" si="400"/>
        <v/>
      </c>
      <c r="P436" s="259" t="str">
        <f t="shared" si="401"/>
        <v/>
      </c>
      <c r="Q436" s="256" t="str">
        <f t="shared" si="402"/>
        <v/>
      </c>
      <c r="R436" s="259" t="str">
        <f t="shared" si="403"/>
        <v/>
      </c>
      <c r="S436" s="259" t="str">
        <f t="shared" si="404"/>
        <v/>
      </c>
      <c r="T436" s="256" t="str">
        <f t="shared" si="405"/>
        <v/>
      </c>
      <c r="U436" s="217"/>
      <c r="V436" s="217"/>
      <c r="AB436" s="217" t="e">
        <f>VLOOKUP($B$6,Lookup_Source,429,0)</f>
        <v>#N/A</v>
      </c>
      <c r="AC436" s="241" t="str">
        <f t="shared" si="406"/>
        <v/>
      </c>
      <c r="AD436" s="242">
        <f t="shared" si="407"/>
        <v>7</v>
      </c>
      <c r="AE436" s="261" t="e">
        <f t="shared" si="376"/>
        <v>#N/A</v>
      </c>
      <c r="AF436" s="264" t="e">
        <f t="shared" si="408"/>
        <v>#N/A</v>
      </c>
      <c r="AG436" s="264" t="e">
        <f t="shared" si="409"/>
        <v>#N/A</v>
      </c>
      <c r="AH436" s="263" t="e">
        <f t="shared" si="377"/>
        <v>#N/A</v>
      </c>
      <c r="AI436" s="226">
        <f t="shared" si="410"/>
        <v>7</v>
      </c>
      <c r="AJ436" s="264" t="e">
        <f t="shared" si="378"/>
        <v>#N/A</v>
      </c>
      <c r="AK436" s="264" t="e">
        <f t="shared" si="411"/>
        <v>#N/A</v>
      </c>
      <c r="AL436" s="226" t="e">
        <f t="shared" si="379"/>
        <v>#N/A</v>
      </c>
      <c r="AM436" s="265" t="e">
        <f t="shared" si="412"/>
        <v>#N/A</v>
      </c>
      <c r="AN436" s="266" t="e">
        <f t="shared" si="380"/>
        <v>#N/A</v>
      </c>
      <c r="AO436" s="227" t="e">
        <f t="shared" si="381"/>
        <v>#N/A</v>
      </c>
      <c r="AP436" s="284">
        <f t="shared" si="413"/>
        <v>7</v>
      </c>
      <c r="AQ436" s="285" t="e">
        <f t="shared" si="382"/>
        <v>#N/A</v>
      </c>
      <c r="AR436" s="266" t="e">
        <f t="shared" si="414"/>
        <v>#N/A</v>
      </c>
      <c r="AS436" s="270" t="e">
        <f t="shared" si="383"/>
        <v>#N/A</v>
      </c>
      <c r="AT436" s="271">
        <f t="shared" si="415"/>
        <v>7</v>
      </c>
      <c r="AU436" s="272" t="e">
        <f t="shared" si="416"/>
        <v>#N/A</v>
      </c>
      <c r="AV436" s="273" t="e">
        <f t="shared" si="417"/>
        <v>#N/A</v>
      </c>
      <c r="AW436" s="274" t="e">
        <f t="shared" si="384"/>
        <v>#N/A</v>
      </c>
      <c r="AX436" s="232">
        <f t="shared" si="418"/>
        <v>7</v>
      </c>
      <c r="AY436" s="273" t="e">
        <f t="shared" si="385"/>
        <v>#N/A</v>
      </c>
      <c r="AZ436" s="232" t="e">
        <f t="shared" si="419"/>
        <v>#N/A</v>
      </c>
      <c r="BA436" s="232" t="e">
        <f t="shared" si="386"/>
        <v>#N/A</v>
      </c>
      <c r="BB436" s="275">
        <f t="shared" si="420"/>
        <v>7</v>
      </c>
      <c r="BC436" s="276" t="e">
        <f t="shared" si="421"/>
        <v>#N/A</v>
      </c>
      <c r="BD436" s="277" t="e">
        <f t="shared" si="422"/>
        <v>#N/A</v>
      </c>
      <c r="BE436" s="250" t="e">
        <f t="shared" si="387"/>
        <v>#N/A</v>
      </c>
      <c r="BF436" s="247">
        <f t="shared" si="423"/>
        <v>7</v>
      </c>
      <c r="BG436" s="276" t="e">
        <f t="shared" si="424"/>
        <v>#N/A</v>
      </c>
      <c r="BH436" s="277" t="e">
        <f t="shared" si="425"/>
        <v>#N/A</v>
      </c>
      <c r="BI436" s="250" t="e">
        <f t="shared" si="388"/>
        <v>#N/A</v>
      </c>
      <c r="BJ436" s="251">
        <f t="shared" si="426"/>
        <v>7</v>
      </c>
      <c r="BK436" s="278" t="e">
        <f t="shared" si="427"/>
        <v>#N/A</v>
      </c>
      <c r="BL436" s="278" t="e">
        <f t="shared" si="428"/>
        <v>#N/A</v>
      </c>
      <c r="BM436" s="279" t="e">
        <f t="shared" si="389"/>
        <v>#N/A</v>
      </c>
      <c r="BN436" s="280">
        <f t="shared" si="429"/>
        <v>7</v>
      </c>
      <c r="BO436" s="281" t="e">
        <f t="shared" si="430"/>
        <v>#N/A</v>
      </c>
      <c r="BP436" s="281" t="e">
        <f t="shared" si="431"/>
        <v>#N/A</v>
      </c>
      <c r="BQ436" s="279" t="e">
        <f t="shared" si="390"/>
        <v>#N/A</v>
      </c>
      <c r="BR436" s="282" t="e">
        <f t="shared" si="391"/>
        <v>#N/A</v>
      </c>
      <c r="BS436" s="217" t="e">
        <f>VLOOKUP($B436,SDR24_STOCK_BY_LA!$A$2:$C$11878,3,0)</f>
        <v>#N/A</v>
      </c>
      <c r="BT436" s="217" t="str">
        <f t="shared" si="432"/>
        <v/>
      </c>
    </row>
    <row r="437" spans="1:72" x14ac:dyDescent="0.2">
      <c r="A437" s="256" t="str">
        <f t="shared" si="433"/>
        <v/>
      </c>
      <c r="B437" s="217" t="str">
        <f t="shared" si="434"/>
        <v/>
      </c>
      <c r="C437" s="257" t="str">
        <f t="shared" si="392"/>
        <v/>
      </c>
      <c r="D437" s="256" t="str">
        <f>IF(B437="","",IF(totals!$Q$3=0,IFERROR(IF(AD437=2,"0",AE437),""),"-"))</f>
        <v/>
      </c>
      <c r="E437" s="258" t="str">
        <f t="shared" si="393"/>
        <v/>
      </c>
      <c r="F437" s="259" t="str">
        <f t="shared" si="394"/>
        <v/>
      </c>
      <c r="G437" s="259" t="str">
        <f t="shared" si="395"/>
        <v/>
      </c>
      <c r="H437" s="256" t="str">
        <f t="shared" si="373"/>
        <v/>
      </c>
      <c r="I437" s="259" t="str">
        <f t="shared" si="396"/>
        <v/>
      </c>
      <c r="J437" s="259" t="str">
        <f t="shared" si="397"/>
        <v/>
      </c>
      <c r="K437" s="256" t="str">
        <f t="shared" si="374"/>
        <v/>
      </c>
      <c r="L437" s="259" t="str">
        <f t="shared" si="375"/>
        <v/>
      </c>
      <c r="M437" s="259" t="str">
        <f t="shared" si="398"/>
        <v/>
      </c>
      <c r="N437" s="256" t="str">
        <f t="shared" si="399"/>
        <v/>
      </c>
      <c r="O437" s="259" t="str">
        <f t="shared" si="400"/>
        <v/>
      </c>
      <c r="P437" s="259" t="str">
        <f t="shared" si="401"/>
        <v/>
      </c>
      <c r="Q437" s="256" t="str">
        <f t="shared" si="402"/>
        <v/>
      </c>
      <c r="R437" s="259" t="str">
        <f t="shared" si="403"/>
        <v/>
      </c>
      <c r="S437" s="259" t="str">
        <f t="shared" si="404"/>
        <v/>
      </c>
      <c r="T437" s="256" t="str">
        <f t="shared" si="405"/>
        <v/>
      </c>
      <c r="U437" s="217"/>
      <c r="V437" s="217"/>
      <c r="AB437" s="257" t="e">
        <f>VLOOKUP($B$6,Lookup_Source,430,0)</f>
        <v>#N/A</v>
      </c>
      <c r="AC437" s="241" t="str">
        <f t="shared" si="406"/>
        <v/>
      </c>
      <c r="AD437" s="242">
        <f t="shared" si="407"/>
        <v>7</v>
      </c>
      <c r="AE437" s="261" t="e">
        <f t="shared" si="376"/>
        <v>#N/A</v>
      </c>
      <c r="AF437" s="264" t="e">
        <f t="shared" si="408"/>
        <v>#N/A</v>
      </c>
      <c r="AG437" s="264" t="e">
        <f t="shared" si="409"/>
        <v>#N/A</v>
      </c>
      <c r="AH437" s="263" t="e">
        <f t="shared" si="377"/>
        <v>#N/A</v>
      </c>
      <c r="AI437" s="226">
        <f t="shared" si="410"/>
        <v>7</v>
      </c>
      <c r="AJ437" s="264" t="e">
        <f t="shared" si="378"/>
        <v>#N/A</v>
      </c>
      <c r="AK437" s="264" t="e">
        <f t="shared" si="411"/>
        <v>#N/A</v>
      </c>
      <c r="AL437" s="226" t="e">
        <f t="shared" si="379"/>
        <v>#N/A</v>
      </c>
      <c r="AM437" s="265" t="e">
        <f t="shared" si="412"/>
        <v>#N/A</v>
      </c>
      <c r="AN437" s="266" t="e">
        <f t="shared" si="380"/>
        <v>#N/A</v>
      </c>
      <c r="AO437" s="227" t="e">
        <f t="shared" si="381"/>
        <v>#N/A</v>
      </c>
      <c r="AP437" s="284">
        <f t="shared" si="413"/>
        <v>7</v>
      </c>
      <c r="AQ437" s="285" t="e">
        <f t="shared" si="382"/>
        <v>#N/A</v>
      </c>
      <c r="AR437" s="266" t="e">
        <f t="shared" si="414"/>
        <v>#N/A</v>
      </c>
      <c r="AS437" s="270" t="e">
        <f t="shared" si="383"/>
        <v>#N/A</v>
      </c>
      <c r="AT437" s="271">
        <f t="shared" si="415"/>
        <v>7</v>
      </c>
      <c r="AU437" s="272" t="e">
        <f t="shared" si="416"/>
        <v>#N/A</v>
      </c>
      <c r="AV437" s="273" t="e">
        <f t="shared" si="417"/>
        <v>#N/A</v>
      </c>
      <c r="AW437" s="274" t="e">
        <f t="shared" si="384"/>
        <v>#N/A</v>
      </c>
      <c r="AX437" s="232">
        <f t="shared" si="418"/>
        <v>7</v>
      </c>
      <c r="AY437" s="273" t="e">
        <f t="shared" si="385"/>
        <v>#N/A</v>
      </c>
      <c r="AZ437" s="232" t="e">
        <f t="shared" si="419"/>
        <v>#N/A</v>
      </c>
      <c r="BA437" s="232" t="e">
        <f t="shared" si="386"/>
        <v>#N/A</v>
      </c>
      <c r="BB437" s="275">
        <f t="shared" si="420"/>
        <v>7</v>
      </c>
      <c r="BC437" s="276" t="e">
        <f t="shared" si="421"/>
        <v>#N/A</v>
      </c>
      <c r="BD437" s="277" t="e">
        <f t="shared" si="422"/>
        <v>#N/A</v>
      </c>
      <c r="BE437" s="250" t="e">
        <f t="shared" si="387"/>
        <v>#N/A</v>
      </c>
      <c r="BF437" s="247">
        <f t="shared" si="423"/>
        <v>7</v>
      </c>
      <c r="BG437" s="276" t="e">
        <f t="shared" si="424"/>
        <v>#N/A</v>
      </c>
      <c r="BH437" s="277" t="e">
        <f t="shared" si="425"/>
        <v>#N/A</v>
      </c>
      <c r="BI437" s="250" t="e">
        <f t="shared" si="388"/>
        <v>#N/A</v>
      </c>
      <c r="BJ437" s="251">
        <f t="shared" si="426"/>
        <v>7</v>
      </c>
      <c r="BK437" s="278" t="e">
        <f t="shared" si="427"/>
        <v>#N/A</v>
      </c>
      <c r="BL437" s="278" t="e">
        <f t="shared" si="428"/>
        <v>#N/A</v>
      </c>
      <c r="BM437" s="279" t="e">
        <f t="shared" si="389"/>
        <v>#N/A</v>
      </c>
      <c r="BN437" s="280">
        <f t="shared" si="429"/>
        <v>7</v>
      </c>
      <c r="BO437" s="281" t="e">
        <f t="shared" si="430"/>
        <v>#N/A</v>
      </c>
      <c r="BP437" s="281" t="e">
        <f t="shared" si="431"/>
        <v>#N/A</v>
      </c>
      <c r="BQ437" s="279" t="e">
        <f t="shared" si="390"/>
        <v>#N/A</v>
      </c>
      <c r="BR437" s="282" t="e">
        <f t="shared" si="391"/>
        <v>#N/A</v>
      </c>
      <c r="BS437" s="217" t="e">
        <f>VLOOKUP($B437,SDR24_STOCK_BY_LA!$A$2:$C$11878,3,0)</f>
        <v>#N/A</v>
      </c>
      <c r="BT437" s="217" t="str">
        <f t="shared" si="432"/>
        <v/>
      </c>
    </row>
    <row r="438" spans="1:72" x14ac:dyDescent="0.2">
      <c r="A438" s="217" t="str">
        <f t="shared" si="433"/>
        <v/>
      </c>
      <c r="B438" s="217" t="str">
        <f t="shared" si="434"/>
        <v/>
      </c>
      <c r="C438" s="283" t="str">
        <f t="shared" si="392"/>
        <v/>
      </c>
      <c r="D438" s="256" t="str">
        <f>IF(B438="","",IF(totals!$Q$3=0,IFERROR(IF(AD438=2,"0",AE438),""),"-"))</f>
        <v/>
      </c>
      <c r="E438" s="258" t="str">
        <f t="shared" si="393"/>
        <v/>
      </c>
      <c r="F438" s="259" t="str">
        <f t="shared" si="394"/>
        <v/>
      </c>
      <c r="G438" s="259" t="str">
        <f t="shared" si="395"/>
        <v/>
      </c>
      <c r="H438" s="256" t="str">
        <f t="shared" si="373"/>
        <v/>
      </c>
      <c r="I438" s="259" t="str">
        <f t="shared" si="396"/>
        <v/>
      </c>
      <c r="J438" s="259" t="str">
        <f t="shared" si="397"/>
        <v/>
      </c>
      <c r="K438" s="256" t="str">
        <f t="shared" si="374"/>
        <v/>
      </c>
      <c r="L438" s="259" t="str">
        <f t="shared" si="375"/>
        <v/>
      </c>
      <c r="M438" s="259" t="str">
        <f t="shared" si="398"/>
        <v/>
      </c>
      <c r="N438" s="256" t="str">
        <f t="shared" si="399"/>
        <v/>
      </c>
      <c r="O438" s="259" t="str">
        <f t="shared" si="400"/>
        <v/>
      </c>
      <c r="P438" s="259" t="str">
        <f t="shared" si="401"/>
        <v/>
      </c>
      <c r="Q438" s="256" t="str">
        <f t="shared" si="402"/>
        <v/>
      </c>
      <c r="R438" s="259" t="str">
        <f t="shared" si="403"/>
        <v/>
      </c>
      <c r="S438" s="259" t="str">
        <f t="shared" si="404"/>
        <v/>
      </c>
      <c r="T438" s="256" t="str">
        <f t="shared" si="405"/>
        <v/>
      </c>
      <c r="U438" s="217"/>
      <c r="V438" s="217"/>
      <c r="AB438" s="217" t="e">
        <f>VLOOKUP($B$6,Lookup_Source,431,0)</f>
        <v>#N/A</v>
      </c>
      <c r="AC438" s="241" t="str">
        <f t="shared" si="406"/>
        <v/>
      </c>
      <c r="AD438" s="242">
        <f t="shared" si="407"/>
        <v>7</v>
      </c>
      <c r="AE438" s="261" t="e">
        <f t="shared" si="376"/>
        <v>#N/A</v>
      </c>
      <c r="AF438" s="264" t="e">
        <f t="shared" si="408"/>
        <v>#N/A</v>
      </c>
      <c r="AG438" s="264" t="e">
        <f t="shared" si="409"/>
        <v>#N/A</v>
      </c>
      <c r="AH438" s="263" t="e">
        <f t="shared" si="377"/>
        <v>#N/A</v>
      </c>
      <c r="AI438" s="226">
        <f t="shared" si="410"/>
        <v>7</v>
      </c>
      <c r="AJ438" s="264" t="e">
        <f t="shared" si="378"/>
        <v>#N/A</v>
      </c>
      <c r="AK438" s="264" t="e">
        <f t="shared" si="411"/>
        <v>#N/A</v>
      </c>
      <c r="AL438" s="226" t="e">
        <f t="shared" si="379"/>
        <v>#N/A</v>
      </c>
      <c r="AM438" s="265" t="e">
        <f t="shared" si="412"/>
        <v>#N/A</v>
      </c>
      <c r="AN438" s="266" t="e">
        <f t="shared" si="380"/>
        <v>#N/A</v>
      </c>
      <c r="AO438" s="227" t="e">
        <f t="shared" si="381"/>
        <v>#N/A</v>
      </c>
      <c r="AP438" s="284">
        <f t="shared" si="413"/>
        <v>7</v>
      </c>
      <c r="AQ438" s="285" t="e">
        <f t="shared" si="382"/>
        <v>#N/A</v>
      </c>
      <c r="AR438" s="266" t="e">
        <f t="shared" si="414"/>
        <v>#N/A</v>
      </c>
      <c r="AS438" s="270" t="e">
        <f t="shared" si="383"/>
        <v>#N/A</v>
      </c>
      <c r="AT438" s="271">
        <f t="shared" si="415"/>
        <v>7</v>
      </c>
      <c r="AU438" s="272" t="e">
        <f t="shared" si="416"/>
        <v>#N/A</v>
      </c>
      <c r="AV438" s="273" t="e">
        <f t="shared" si="417"/>
        <v>#N/A</v>
      </c>
      <c r="AW438" s="274" t="e">
        <f t="shared" si="384"/>
        <v>#N/A</v>
      </c>
      <c r="AX438" s="232">
        <f t="shared" si="418"/>
        <v>7</v>
      </c>
      <c r="AY438" s="273" t="e">
        <f t="shared" si="385"/>
        <v>#N/A</v>
      </c>
      <c r="AZ438" s="232" t="e">
        <f t="shared" si="419"/>
        <v>#N/A</v>
      </c>
      <c r="BA438" s="232" t="e">
        <f t="shared" si="386"/>
        <v>#N/A</v>
      </c>
      <c r="BB438" s="275">
        <f t="shared" si="420"/>
        <v>7</v>
      </c>
      <c r="BC438" s="276" t="e">
        <f t="shared" si="421"/>
        <v>#N/A</v>
      </c>
      <c r="BD438" s="277" t="e">
        <f t="shared" si="422"/>
        <v>#N/A</v>
      </c>
      <c r="BE438" s="250" t="e">
        <f t="shared" si="387"/>
        <v>#N/A</v>
      </c>
      <c r="BF438" s="247">
        <f t="shared" si="423"/>
        <v>7</v>
      </c>
      <c r="BG438" s="276" t="e">
        <f t="shared" si="424"/>
        <v>#N/A</v>
      </c>
      <c r="BH438" s="277" t="e">
        <f t="shared" si="425"/>
        <v>#N/A</v>
      </c>
      <c r="BI438" s="250" t="e">
        <f t="shared" si="388"/>
        <v>#N/A</v>
      </c>
      <c r="BJ438" s="251">
        <f t="shared" si="426"/>
        <v>7</v>
      </c>
      <c r="BK438" s="278" t="e">
        <f t="shared" si="427"/>
        <v>#N/A</v>
      </c>
      <c r="BL438" s="278" t="e">
        <f t="shared" si="428"/>
        <v>#N/A</v>
      </c>
      <c r="BM438" s="279" t="e">
        <f t="shared" si="389"/>
        <v>#N/A</v>
      </c>
      <c r="BN438" s="280">
        <f t="shared" si="429"/>
        <v>7</v>
      </c>
      <c r="BO438" s="281" t="e">
        <f t="shared" si="430"/>
        <v>#N/A</v>
      </c>
      <c r="BP438" s="281" t="e">
        <f t="shared" si="431"/>
        <v>#N/A</v>
      </c>
      <c r="BQ438" s="279" t="e">
        <f t="shared" si="390"/>
        <v>#N/A</v>
      </c>
      <c r="BR438" s="282" t="e">
        <f t="shared" si="391"/>
        <v>#N/A</v>
      </c>
      <c r="BS438" s="217" t="e">
        <f>VLOOKUP($B438,SDR24_STOCK_BY_LA!$A$2:$C$11878,3,0)</f>
        <v>#N/A</v>
      </c>
      <c r="BT438" s="217" t="str">
        <f t="shared" si="432"/>
        <v/>
      </c>
    </row>
    <row r="439" spans="1:72" x14ac:dyDescent="0.2">
      <c r="A439" s="256" t="str">
        <f t="shared" si="433"/>
        <v/>
      </c>
      <c r="B439" s="217" t="str">
        <f t="shared" si="434"/>
        <v/>
      </c>
      <c r="C439" s="257" t="str">
        <f t="shared" si="392"/>
        <v/>
      </c>
      <c r="D439" s="256" t="str">
        <f>IF(B439="","",IF(totals!$Q$3=0,IFERROR(IF(AD439=2,"0",AE439),""),"-"))</f>
        <v/>
      </c>
      <c r="E439" s="258" t="str">
        <f t="shared" si="393"/>
        <v/>
      </c>
      <c r="F439" s="259" t="str">
        <f t="shared" si="394"/>
        <v/>
      </c>
      <c r="G439" s="259" t="str">
        <f t="shared" si="395"/>
        <v/>
      </c>
      <c r="H439" s="256" t="str">
        <f t="shared" si="373"/>
        <v/>
      </c>
      <c r="I439" s="259" t="str">
        <f t="shared" si="396"/>
        <v/>
      </c>
      <c r="J439" s="259" t="str">
        <f t="shared" si="397"/>
        <v/>
      </c>
      <c r="K439" s="256" t="str">
        <f t="shared" si="374"/>
        <v/>
      </c>
      <c r="L439" s="259" t="str">
        <f t="shared" si="375"/>
        <v/>
      </c>
      <c r="M439" s="259" t="str">
        <f t="shared" si="398"/>
        <v/>
      </c>
      <c r="N439" s="256" t="str">
        <f t="shared" si="399"/>
        <v/>
      </c>
      <c r="O439" s="259" t="str">
        <f t="shared" si="400"/>
        <v/>
      </c>
      <c r="P439" s="259" t="str">
        <f t="shared" si="401"/>
        <v/>
      </c>
      <c r="Q439" s="256" t="str">
        <f t="shared" si="402"/>
        <v/>
      </c>
      <c r="R439" s="259" t="str">
        <f t="shared" si="403"/>
        <v/>
      </c>
      <c r="S439" s="259" t="str">
        <f t="shared" si="404"/>
        <v/>
      </c>
      <c r="T439" s="256" t="str">
        <f t="shared" si="405"/>
        <v/>
      </c>
      <c r="U439" s="217"/>
      <c r="V439" s="217"/>
      <c r="AB439" s="257" t="e">
        <f>VLOOKUP($B$6,Lookup_Source,432,0)</f>
        <v>#N/A</v>
      </c>
      <c r="AC439" s="241" t="str">
        <f t="shared" si="406"/>
        <v/>
      </c>
      <c r="AD439" s="242">
        <f t="shared" si="407"/>
        <v>7</v>
      </c>
      <c r="AE439" s="261" t="e">
        <f t="shared" si="376"/>
        <v>#N/A</v>
      </c>
      <c r="AF439" s="264" t="e">
        <f t="shared" si="408"/>
        <v>#N/A</v>
      </c>
      <c r="AG439" s="264" t="e">
        <f t="shared" si="409"/>
        <v>#N/A</v>
      </c>
      <c r="AH439" s="263" t="e">
        <f t="shared" si="377"/>
        <v>#N/A</v>
      </c>
      <c r="AI439" s="226">
        <f t="shared" si="410"/>
        <v>7</v>
      </c>
      <c r="AJ439" s="264" t="e">
        <f t="shared" si="378"/>
        <v>#N/A</v>
      </c>
      <c r="AK439" s="264" t="e">
        <f t="shared" si="411"/>
        <v>#N/A</v>
      </c>
      <c r="AL439" s="226" t="e">
        <f t="shared" si="379"/>
        <v>#N/A</v>
      </c>
      <c r="AM439" s="265" t="e">
        <f t="shared" si="412"/>
        <v>#N/A</v>
      </c>
      <c r="AN439" s="266" t="e">
        <f t="shared" si="380"/>
        <v>#N/A</v>
      </c>
      <c r="AO439" s="227" t="e">
        <f t="shared" si="381"/>
        <v>#N/A</v>
      </c>
      <c r="AP439" s="284">
        <f t="shared" si="413"/>
        <v>7</v>
      </c>
      <c r="AQ439" s="285" t="e">
        <f t="shared" si="382"/>
        <v>#N/A</v>
      </c>
      <c r="AR439" s="266" t="e">
        <f t="shared" si="414"/>
        <v>#N/A</v>
      </c>
      <c r="AS439" s="270" t="e">
        <f t="shared" si="383"/>
        <v>#N/A</v>
      </c>
      <c r="AT439" s="271">
        <f t="shared" si="415"/>
        <v>7</v>
      </c>
      <c r="AU439" s="272" t="e">
        <f t="shared" si="416"/>
        <v>#N/A</v>
      </c>
      <c r="AV439" s="273" t="e">
        <f t="shared" si="417"/>
        <v>#N/A</v>
      </c>
      <c r="AW439" s="274" t="e">
        <f t="shared" si="384"/>
        <v>#N/A</v>
      </c>
      <c r="AX439" s="232">
        <f t="shared" si="418"/>
        <v>7</v>
      </c>
      <c r="AY439" s="273" t="e">
        <f t="shared" si="385"/>
        <v>#N/A</v>
      </c>
      <c r="AZ439" s="232" t="e">
        <f t="shared" si="419"/>
        <v>#N/A</v>
      </c>
      <c r="BA439" s="232" t="e">
        <f t="shared" si="386"/>
        <v>#N/A</v>
      </c>
      <c r="BB439" s="275">
        <f t="shared" si="420"/>
        <v>7</v>
      </c>
      <c r="BC439" s="276" t="e">
        <f t="shared" si="421"/>
        <v>#N/A</v>
      </c>
      <c r="BD439" s="277" t="e">
        <f t="shared" si="422"/>
        <v>#N/A</v>
      </c>
      <c r="BE439" s="250" t="e">
        <f t="shared" si="387"/>
        <v>#N/A</v>
      </c>
      <c r="BF439" s="247">
        <f t="shared" si="423"/>
        <v>7</v>
      </c>
      <c r="BG439" s="276" t="e">
        <f t="shared" si="424"/>
        <v>#N/A</v>
      </c>
      <c r="BH439" s="277" t="e">
        <f t="shared" si="425"/>
        <v>#N/A</v>
      </c>
      <c r="BI439" s="250" t="e">
        <f t="shared" si="388"/>
        <v>#N/A</v>
      </c>
      <c r="BJ439" s="251">
        <f t="shared" si="426"/>
        <v>7</v>
      </c>
      <c r="BK439" s="278" t="e">
        <f t="shared" si="427"/>
        <v>#N/A</v>
      </c>
      <c r="BL439" s="278" t="e">
        <f t="shared" si="428"/>
        <v>#N/A</v>
      </c>
      <c r="BM439" s="279" t="e">
        <f t="shared" si="389"/>
        <v>#N/A</v>
      </c>
      <c r="BN439" s="280">
        <f t="shared" si="429"/>
        <v>7</v>
      </c>
      <c r="BO439" s="281" t="e">
        <f t="shared" si="430"/>
        <v>#N/A</v>
      </c>
      <c r="BP439" s="281" t="e">
        <f t="shared" si="431"/>
        <v>#N/A</v>
      </c>
      <c r="BQ439" s="279" t="e">
        <f t="shared" si="390"/>
        <v>#N/A</v>
      </c>
      <c r="BR439" s="282" t="e">
        <f t="shared" si="391"/>
        <v>#N/A</v>
      </c>
      <c r="BS439" s="217" t="e">
        <f>VLOOKUP($B439,SDR24_STOCK_BY_LA!$A$2:$C$11878,3,0)</f>
        <v>#N/A</v>
      </c>
      <c r="BT439" s="217" t="str">
        <f t="shared" si="432"/>
        <v/>
      </c>
    </row>
    <row r="440" spans="1:72" x14ac:dyDescent="0.2">
      <c r="A440" s="217" t="str">
        <f t="shared" si="433"/>
        <v/>
      </c>
      <c r="B440" s="217" t="str">
        <f t="shared" si="434"/>
        <v/>
      </c>
      <c r="C440" s="283" t="str">
        <f t="shared" si="392"/>
        <v/>
      </c>
      <c r="D440" s="256" t="str">
        <f>IF(B440="","",IF(totals!$Q$3=0,IFERROR(IF(AD440=2,"0",AE440),""),"-"))</f>
        <v/>
      </c>
      <c r="E440" s="258" t="str">
        <f t="shared" si="393"/>
        <v/>
      </c>
      <c r="F440" s="259" t="str">
        <f t="shared" si="394"/>
        <v/>
      </c>
      <c r="G440" s="259" t="str">
        <f t="shared" si="395"/>
        <v/>
      </c>
      <c r="H440" s="256" t="str">
        <f t="shared" si="373"/>
        <v/>
      </c>
      <c r="I440" s="259" t="str">
        <f t="shared" si="396"/>
        <v/>
      </c>
      <c r="J440" s="259" t="str">
        <f t="shared" si="397"/>
        <v/>
      </c>
      <c r="K440" s="256" t="str">
        <f t="shared" si="374"/>
        <v/>
      </c>
      <c r="L440" s="259" t="str">
        <f t="shared" si="375"/>
        <v/>
      </c>
      <c r="M440" s="259" t="str">
        <f t="shared" si="398"/>
        <v/>
      </c>
      <c r="N440" s="256" t="str">
        <f t="shared" si="399"/>
        <v/>
      </c>
      <c r="O440" s="259" t="str">
        <f t="shared" si="400"/>
        <v/>
      </c>
      <c r="P440" s="259" t="str">
        <f t="shared" si="401"/>
        <v/>
      </c>
      <c r="Q440" s="256" t="str">
        <f t="shared" si="402"/>
        <v/>
      </c>
      <c r="R440" s="259" t="str">
        <f t="shared" si="403"/>
        <v/>
      </c>
      <c r="S440" s="259" t="str">
        <f t="shared" si="404"/>
        <v/>
      </c>
      <c r="T440" s="256" t="str">
        <f t="shared" si="405"/>
        <v/>
      </c>
      <c r="U440" s="217"/>
      <c r="V440" s="217"/>
      <c r="AB440" s="217" t="e">
        <f>VLOOKUP($B$6,Lookup_Source,433,0)</f>
        <v>#N/A</v>
      </c>
      <c r="AC440" s="241" t="str">
        <f t="shared" si="406"/>
        <v/>
      </c>
      <c r="AD440" s="242">
        <f t="shared" si="407"/>
        <v>7</v>
      </c>
      <c r="AE440" s="261" t="e">
        <f t="shared" si="376"/>
        <v>#N/A</v>
      </c>
      <c r="AF440" s="264" t="e">
        <f t="shared" si="408"/>
        <v>#N/A</v>
      </c>
      <c r="AG440" s="264" t="e">
        <f t="shared" si="409"/>
        <v>#N/A</v>
      </c>
      <c r="AH440" s="263" t="e">
        <f t="shared" si="377"/>
        <v>#N/A</v>
      </c>
      <c r="AI440" s="226">
        <f t="shared" si="410"/>
        <v>7</v>
      </c>
      <c r="AJ440" s="264" t="e">
        <f t="shared" si="378"/>
        <v>#N/A</v>
      </c>
      <c r="AK440" s="264" t="e">
        <f t="shared" si="411"/>
        <v>#N/A</v>
      </c>
      <c r="AL440" s="226" t="e">
        <f t="shared" si="379"/>
        <v>#N/A</v>
      </c>
      <c r="AM440" s="265" t="e">
        <f t="shared" si="412"/>
        <v>#N/A</v>
      </c>
      <c r="AN440" s="266" t="e">
        <f t="shared" si="380"/>
        <v>#N/A</v>
      </c>
      <c r="AO440" s="227" t="e">
        <f t="shared" si="381"/>
        <v>#N/A</v>
      </c>
      <c r="AP440" s="284">
        <f t="shared" si="413"/>
        <v>7</v>
      </c>
      <c r="AQ440" s="285" t="e">
        <f t="shared" si="382"/>
        <v>#N/A</v>
      </c>
      <c r="AR440" s="266" t="e">
        <f t="shared" si="414"/>
        <v>#N/A</v>
      </c>
      <c r="AS440" s="270" t="e">
        <f t="shared" si="383"/>
        <v>#N/A</v>
      </c>
      <c r="AT440" s="271">
        <f t="shared" si="415"/>
        <v>7</v>
      </c>
      <c r="AU440" s="272" t="e">
        <f t="shared" si="416"/>
        <v>#N/A</v>
      </c>
      <c r="AV440" s="273" t="e">
        <f t="shared" si="417"/>
        <v>#N/A</v>
      </c>
      <c r="AW440" s="274" t="e">
        <f t="shared" si="384"/>
        <v>#N/A</v>
      </c>
      <c r="AX440" s="232">
        <f t="shared" si="418"/>
        <v>7</v>
      </c>
      <c r="AY440" s="273" t="e">
        <f t="shared" si="385"/>
        <v>#N/A</v>
      </c>
      <c r="AZ440" s="232" t="e">
        <f t="shared" si="419"/>
        <v>#N/A</v>
      </c>
      <c r="BA440" s="232" t="e">
        <f t="shared" si="386"/>
        <v>#N/A</v>
      </c>
      <c r="BB440" s="275">
        <f t="shared" si="420"/>
        <v>7</v>
      </c>
      <c r="BC440" s="276" t="e">
        <f t="shared" si="421"/>
        <v>#N/A</v>
      </c>
      <c r="BD440" s="277" t="e">
        <f t="shared" si="422"/>
        <v>#N/A</v>
      </c>
      <c r="BE440" s="250" t="e">
        <f t="shared" si="387"/>
        <v>#N/A</v>
      </c>
      <c r="BF440" s="247">
        <f t="shared" si="423"/>
        <v>7</v>
      </c>
      <c r="BG440" s="276" t="e">
        <f t="shared" si="424"/>
        <v>#N/A</v>
      </c>
      <c r="BH440" s="277" t="e">
        <f t="shared" si="425"/>
        <v>#N/A</v>
      </c>
      <c r="BI440" s="250" t="e">
        <f t="shared" si="388"/>
        <v>#N/A</v>
      </c>
      <c r="BJ440" s="251">
        <f t="shared" si="426"/>
        <v>7</v>
      </c>
      <c r="BK440" s="278" t="e">
        <f t="shared" si="427"/>
        <v>#N/A</v>
      </c>
      <c r="BL440" s="278" t="e">
        <f t="shared" si="428"/>
        <v>#N/A</v>
      </c>
      <c r="BM440" s="279" t="e">
        <f t="shared" si="389"/>
        <v>#N/A</v>
      </c>
      <c r="BN440" s="280">
        <f t="shared" si="429"/>
        <v>7</v>
      </c>
      <c r="BO440" s="281" t="e">
        <f t="shared" si="430"/>
        <v>#N/A</v>
      </c>
      <c r="BP440" s="281" t="e">
        <f t="shared" si="431"/>
        <v>#N/A</v>
      </c>
      <c r="BQ440" s="279" t="e">
        <f t="shared" si="390"/>
        <v>#N/A</v>
      </c>
      <c r="BR440" s="282" t="e">
        <f t="shared" si="391"/>
        <v>#N/A</v>
      </c>
      <c r="BS440" s="217" t="e">
        <f>VLOOKUP($B440,SDR24_STOCK_BY_LA!$A$2:$C$11878,3,0)</f>
        <v>#N/A</v>
      </c>
      <c r="BT440" s="217" t="str">
        <f t="shared" si="432"/>
        <v/>
      </c>
    </row>
    <row r="441" spans="1:72" x14ac:dyDescent="0.2">
      <c r="A441" s="256" t="str">
        <f t="shared" si="433"/>
        <v/>
      </c>
      <c r="B441" s="217" t="str">
        <f t="shared" si="434"/>
        <v/>
      </c>
      <c r="C441" s="257" t="str">
        <f t="shared" si="392"/>
        <v/>
      </c>
      <c r="D441" s="256" t="str">
        <f>IF(B441="","",IF(totals!$Q$3=0,IFERROR(IF(AD441=2,"0",AE441),""),"-"))</f>
        <v/>
      </c>
      <c r="E441" s="258" t="str">
        <f t="shared" si="393"/>
        <v/>
      </c>
      <c r="F441" s="259" t="str">
        <f t="shared" si="394"/>
        <v/>
      </c>
      <c r="G441" s="259" t="str">
        <f t="shared" si="395"/>
        <v/>
      </c>
      <c r="H441" s="256" t="str">
        <f t="shared" si="373"/>
        <v/>
      </c>
      <c r="I441" s="259" t="str">
        <f t="shared" si="396"/>
        <v/>
      </c>
      <c r="J441" s="259" t="str">
        <f t="shared" si="397"/>
        <v/>
      </c>
      <c r="K441" s="256" t="str">
        <f t="shared" si="374"/>
        <v/>
      </c>
      <c r="L441" s="259" t="str">
        <f t="shared" si="375"/>
        <v/>
      </c>
      <c r="M441" s="259" t="str">
        <f t="shared" si="398"/>
        <v/>
      </c>
      <c r="N441" s="256" t="str">
        <f t="shared" si="399"/>
        <v/>
      </c>
      <c r="O441" s="259" t="str">
        <f t="shared" si="400"/>
        <v/>
      </c>
      <c r="P441" s="259" t="str">
        <f t="shared" si="401"/>
        <v/>
      </c>
      <c r="Q441" s="256" t="str">
        <f t="shared" si="402"/>
        <v/>
      </c>
      <c r="R441" s="259" t="str">
        <f t="shared" si="403"/>
        <v/>
      </c>
      <c r="S441" s="259" t="str">
        <f t="shared" si="404"/>
        <v/>
      </c>
      <c r="T441" s="256" t="str">
        <f t="shared" si="405"/>
        <v/>
      </c>
      <c r="U441" s="217"/>
      <c r="V441" s="217"/>
      <c r="AB441" s="257" t="e">
        <f>VLOOKUP($B$6,Lookup_Source,434,0)</f>
        <v>#N/A</v>
      </c>
      <c r="AC441" s="241" t="str">
        <f t="shared" si="406"/>
        <v/>
      </c>
      <c r="AD441" s="242">
        <f t="shared" si="407"/>
        <v>7</v>
      </c>
      <c r="AE441" s="261" t="e">
        <f t="shared" si="376"/>
        <v>#N/A</v>
      </c>
      <c r="AF441" s="264" t="e">
        <f t="shared" si="408"/>
        <v>#N/A</v>
      </c>
      <c r="AG441" s="264" t="e">
        <f t="shared" si="409"/>
        <v>#N/A</v>
      </c>
      <c r="AH441" s="263" t="e">
        <f t="shared" si="377"/>
        <v>#N/A</v>
      </c>
      <c r="AI441" s="226">
        <f t="shared" si="410"/>
        <v>7</v>
      </c>
      <c r="AJ441" s="264" t="e">
        <f t="shared" si="378"/>
        <v>#N/A</v>
      </c>
      <c r="AK441" s="264" t="e">
        <f t="shared" si="411"/>
        <v>#N/A</v>
      </c>
      <c r="AL441" s="226" t="e">
        <f t="shared" si="379"/>
        <v>#N/A</v>
      </c>
      <c r="AM441" s="265" t="e">
        <f t="shared" si="412"/>
        <v>#N/A</v>
      </c>
      <c r="AN441" s="266" t="e">
        <f t="shared" si="380"/>
        <v>#N/A</v>
      </c>
      <c r="AO441" s="227" t="e">
        <f t="shared" si="381"/>
        <v>#N/A</v>
      </c>
      <c r="AP441" s="284">
        <f t="shared" si="413"/>
        <v>7</v>
      </c>
      <c r="AQ441" s="285" t="e">
        <f t="shared" si="382"/>
        <v>#N/A</v>
      </c>
      <c r="AR441" s="266" t="e">
        <f t="shared" si="414"/>
        <v>#N/A</v>
      </c>
      <c r="AS441" s="270" t="e">
        <f t="shared" si="383"/>
        <v>#N/A</v>
      </c>
      <c r="AT441" s="271">
        <f t="shared" si="415"/>
        <v>7</v>
      </c>
      <c r="AU441" s="272" t="e">
        <f t="shared" si="416"/>
        <v>#N/A</v>
      </c>
      <c r="AV441" s="273" t="e">
        <f t="shared" si="417"/>
        <v>#N/A</v>
      </c>
      <c r="AW441" s="274" t="e">
        <f t="shared" si="384"/>
        <v>#N/A</v>
      </c>
      <c r="AX441" s="232">
        <f t="shared" si="418"/>
        <v>7</v>
      </c>
      <c r="AY441" s="273" t="e">
        <f t="shared" si="385"/>
        <v>#N/A</v>
      </c>
      <c r="AZ441" s="232" t="e">
        <f t="shared" si="419"/>
        <v>#N/A</v>
      </c>
      <c r="BA441" s="232" t="e">
        <f t="shared" si="386"/>
        <v>#N/A</v>
      </c>
      <c r="BB441" s="275">
        <f t="shared" si="420"/>
        <v>7</v>
      </c>
      <c r="BC441" s="276" t="e">
        <f t="shared" si="421"/>
        <v>#N/A</v>
      </c>
      <c r="BD441" s="277" t="e">
        <f t="shared" si="422"/>
        <v>#N/A</v>
      </c>
      <c r="BE441" s="250" t="e">
        <f t="shared" si="387"/>
        <v>#N/A</v>
      </c>
      <c r="BF441" s="247">
        <f t="shared" si="423"/>
        <v>7</v>
      </c>
      <c r="BG441" s="276" t="e">
        <f t="shared" si="424"/>
        <v>#N/A</v>
      </c>
      <c r="BH441" s="277" t="e">
        <f t="shared" si="425"/>
        <v>#N/A</v>
      </c>
      <c r="BI441" s="250" t="e">
        <f t="shared" si="388"/>
        <v>#N/A</v>
      </c>
      <c r="BJ441" s="251">
        <f t="shared" si="426"/>
        <v>7</v>
      </c>
      <c r="BK441" s="278" t="e">
        <f t="shared" si="427"/>
        <v>#N/A</v>
      </c>
      <c r="BL441" s="278" t="e">
        <f t="shared" si="428"/>
        <v>#N/A</v>
      </c>
      <c r="BM441" s="279" t="e">
        <f t="shared" si="389"/>
        <v>#N/A</v>
      </c>
      <c r="BN441" s="280">
        <f t="shared" si="429"/>
        <v>7</v>
      </c>
      <c r="BO441" s="281" t="e">
        <f t="shared" si="430"/>
        <v>#N/A</v>
      </c>
      <c r="BP441" s="281" t="e">
        <f t="shared" si="431"/>
        <v>#N/A</v>
      </c>
      <c r="BQ441" s="279" t="e">
        <f t="shared" si="390"/>
        <v>#N/A</v>
      </c>
      <c r="BR441" s="282" t="e">
        <f t="shared" si="391"/>
        <v>#N/A</v>
      </c>
      <c r="BS441" s="217" t="e">
        <f>VLOOKUP($B441,SDR24_STOCK_BY_LA!$A$2:$C$11878,3,0)</f>
        <v>#N/A</v>
      </c>
      <c r="BT441" s="217" t="str">
        <f t="shared" si="432"/>
        <v/>
      </c>
    </row>
    <row r="442" spans="1:72" x14ac:dyDescent="0.2">
      <c r="A442" s="217" t="str">
        <f t="shared" si="433"/>
        <v/>
      </c>
      <c r="B442" s="217" t="str">
        <f t="shared" si="434"/>
        <v/>
      </c>
      <c r="C442" s="283" t="str">
        <f t="shared" si="392"/>
        <v/>
      </c>
      <c r="D442" s="256" t="str">
        <f>IF(B442="","",IF(totals!$Q$3=0,IFERROR(IF(AD442=2,"0",AE442),""),"-"))</f>
        <v/>
      </c>
      <c r="E442" s="258" t="str">
        <f t="shared" si="393"/>
        <v/>
      </c>
      <c r="F442" s="259" t="str">
        <f t="shared" si="394"/>
        <v/>
      </c>
      <c r="G442" s="259" t="str">
        <f t="shared" si="395"/>
        <v/>
      </c>
      <c r="H442" s="256" t="str">
        <f t="shared" si="373"/>
        <v/>
      </c>
      <c r="I442" s="259" t="str">
        <f t="shared" si="396"/>
        <v/>
      </c>
      <c r="J442" s="259" t="str">
        <f t="shared" si="397"/>
        <v/>
      </c>
      <c r="K442" s="256" t="str">
        <f t="shared" si="374"/>
        <v/>
      </c>
      <c r="L442" s="259" t="str">
        <f t="shared" si="375"/>
        <v/>
      </c>
      <c r="M442" s="259" t="str">
        <f t="shared" si="398"/>
        <v/>
      </c>
      <c r="N442" s="256" t="str">
        <f t="shared" si="399"/>
        <v/>
      </c>
      <c r="O442" s="259" t="str">
        <f t="shared" si="400"/>
        <v/>
      </c>
      <c r="P442" s="259" t="str">
        <f t="shared" si="401"/>
        <v/>
      </c>
      <c r="Q442" s="256" t="str">
        <f t="shared" si="402"/>
        <v/>
      </c>
      <c r="R442" s="259" t="str">
        <f t="shared" si="403"/>
        <v/>
      </c>
      <c r="S442" s="259" t="str">
        <f t="shared" si="404"/>
        <v/>
      </c>
      <c r="T442" s="256" t="str">
        <f t="shared" si="405"/>
        <v/>
      </c>
      <c r="U442" s="217"/>
      <c r="V442" s="217"/>
      <c r="AB442" s="217" t="e">
        <f>VLOOKUP($B$6,Lookup_Source,435,0)</f>
        <v>#N/A</v>
      </c>
      <c r="AC442" s="241" t="str">
        <f t="shared" si="406"/>
        <v/>
      </c>
      <c r="AD442" s="242">
        <f t="shared" si="407"/>
        <v>7</v>
      </c>
      <c r="AE442" s="261" t="e">
        <f t="shared" si="376"/>
        <v>#N/A</v>
      </c>
      <c r="AF442" s="264" t="e">
        <f t="shared" si="408"/>
        <v>#N/A</v>
      </c>
      <c r="AG442" s="264" t="e">
        <f t="shared" si="409"/>
        <v>#N/A</v>
      </c>
      <c r="AH442" s="263" t="e">
        <f t="shared" si="377"/>
        <v>#N/A</v>
      </c>
      <c r="AI442" s="226">
        <f t="shared" si="410"/>
        <v>7</v>
      </c>
      <c r="AJ442" s="264" t="e">
        <f t="shared" si="378"/>
        <v>#N/A</v>
      </c>
      <c r="AK442" s="264" t="e">
        <f t="shared" si="411"/>
        <v>#N/A</v>
      </c>
      <c r="AL442" s="226" t="e">
        <f t="shared" si="379"/>
        <v>#N/A</v>
      </c>
      <c r="AM442" s="265" t="e">
        <f t="shared" si="412"/>
        <v>#N/A</v>
      </c>
      <c r="AN442" s="266" t="e">
        <f t="shared" si="380"/>
        <v>#N/A</v>
      </c>
      <c r="AO442" s="227" t="e">
        <f t="shared" si="381"/>
        <v>#N/A</v>
      </c>
      <c r="AP442" s="284">
        <f t="shared" si="413"/>
        <v>7</v>
      </c>
      <c r="AQ442" s="285" t="e">
        <f t="shared" si="382"/>
        <v>#N/A</v>
      </c>
      <c r="AR442" s="266" t="e">
        <f t="shared" si="414"/>
        <v>#N/A</v>
      </c>
      <c r="AS442" s="270" t="e">
        <f t="shared" si="383"/>
        <v>#N/A</v>
      </c>
      <c r="AT442" s="271">
        <f t="shared" si="415"/>
        <v>7</v>
      </c>
      <c r="AU442" s="272" t="e">
        <f t="shared" si="416"/>
        <v>#N/A</v>
      </c>
      <c r="AV442" s="273" t="e">
        <f t="shared" si="417"/>
        <v>#N/A</v>
      </c>
      <c r="AW442" s="274" t="e">
        <f t="shared" si="384"/>
        <v>#N/A</v>
      </c>
      <c r="AX442" s="232">
        <f t="shared" si="418"/>
        <v>7</v>
      </c>
      <c r="AY442" s="273" t="e">
        <f t="shared" si="385"/>
        <v>#N/A</v>
      </c>
      <c r="AZ442" s="232" t="e">
        <f t="shared" si="419"/>
        <v>#N/A</v>
      </c>
      <c r="BA442" s="232" t="e">
        <f t="shared" si="386"/>
        <v>#N/A</v>
      </c>
      <c r="BB442" s="275">
        <f t="shared" si="420"/>
        <v>7</v>
      </c>
      <c r="BC442" s="276" t="e">
        <f t="shared" si="421"/>
        <v>#N/A</v>
      </c>
      <c r="BD442" s="277" t="e">
        <f t="shared" si="422"/>
        <v>#N/A</v>
      </c>
      <c r="BE442" s="250" t="e">
        <f t="shared" si="387"/>
        <v>#N/A</v>
      </c>
      <c r="BF442" s="247">
        <f t="shared" si="423"/>
        <v>7</v>
      </c>
      <c r="BG442" s="276" t="e">
        <f t="shared" si="424"/>
        <v>#N/A</v>
      </c>
      <c r="BH442" s="277" t="e">
        <f t="shared" si="425"/>
        <v>#N/A</v>
      </c>
      <c r="BI442" s="250" t="e">
        <f t="shared" si="388"/>
        <v>#N/A</v>
      </c>
      <c r="BJ442" s="251">
        <f t="shared" si="426"/>
        <v>7</v>
      </c>
      <c r="BK442" s="278" t="e">
        <f t="shared" si="427"/>
        <v>#N/A</v>
      </c>
      <c r="BL442" s="278" t="e">
        <f t="shared" si="428"/>
        <v>#N/A</v>
      </c>
      <c r="BM442" s="279" t="e">
        <f t="shared" si="389"/>
        <v>#N/A</v>
      </c>
      <c r="BN442" s="280">
        <f t="shared" si="429"/>
        <v>7</v>
      </c>
      <c r="BO442" s="281" t="e">
        <f t="shared" si="430"/>
        <v>#N/A</v>
      </c>
      <c r="BP442" s="281" t="e">
        <f t="shared" si="431"/>
        <v>#N/A</v>
      </c>
      <c r="BQ442" s="279" t="e">
        <f t="shared" si="390"/>
        <v>#N/A</v>
      </c>
      <c r="BR442" s="282" t="e">
        <f t="shared" si="391"/>
        <v>#N/A</v>
      </c>
      <c r="BS442" s="217" t="e">
        <f>VLOOKUP($B442,SDR24_STOCK_BY_LA!$A$2:$C$11878,3,0)</f>
        <v>#N/A</v>
      </c>
      <c r="BT442" s="217" t="str">
        <f t="shared" si="432"/>
        <v/>
      </c>
    </row>
    <row r="443" spans="1:72" x14ac:dyDescent="0.2">
      <c r="A443" s="256" t="str">
        <f t="shared" si="433"/>
        <v/>
      </c>
      <c r="B443" s="217" t="str">
        <f t="shared" si="434"/>
        <v/>
      </c>
      <c r="C443" s="257" t="str">
        <f t="shared" si="392"/>
        <v/>
      </c>
      <c r="D443" s="256" t="str">
        <f>IF(B443="","",IF(totals!$Q$3=0,IFERROR(IF(AD443=2,"0",AE443),""),"-"))</f>
        <v/>
      </c>
      <c r="E443" s="258" t="str">
        <f t="shared" si="393"/>
        <v/>
      </c>
      <c r="F443" s="259" t="str">
        <f t="shared" si="394"/>
        <v/>
      </c>
      <c r="G443" s="259" t="str">
        <f t="shared" si="395"/>
        <v/>
      </c>
      <c r="H443" s="256" t="str">
        <f t="shared" si="373"/>
        <v/>
      </c>
      <c r="I443" s="259" t="str">
        <f t="shared" si="396"/>
        <v/>
      </c>
      <c r="J443" s="259" t="str">
        <f t="shared" si="397"/>
        <v/>
      </c>
      <c r="K443" s="256" t="str">
        <f t="shared" si="374"/>
        <v/>
      </c>
      <c r="L443" s="259" t="str">
        <f t="shared" si="375"/>
        <v/>
      </c>
      <c r="M443" s="259" t="str">
        <f t="shared" si="398"/>
        <v/>
      </c>
      <c r="N443" s="256" t="str">
        <f t="shared" si="399"/>
        <v/>
      </c>
      <c r="O443" s="259" t="str">
        <f t="shared" si="400"/>
        <v/>
      </c>
      <c r="P443" s="259" t="str">
        <f t="shared" si="401"/>
        <v/>
      </c>
      <c r="Q443" s="256" t="str">
        <f t="shared" si="402"/>
        <v/>
      </c>
      <c r="R443" s="259" t="str">
        <f t="shared" si="403"/>
        <v/>
      </c>
      <c r="S443" s="259" t="str">
        <f t="shared" si="404"/>
        <v/>
      </c>
      <c r="T443" s="256" t="str">
        <f t="shared" si="405"/>
        <v/>
      </c>
      <c r="U443" s="217"/>
      <c r="V443" s="217"/>
      <c r="AB443" s="257" t="e">
        <f>VLOOKUP($B$6,Lookup_Source,436,0)</f>
        <v>#N/A</v>
      </c>
      <c r="AC443" s="241" t="str">
        <f t="shared" si="406"/>
        <v/>
      </c>
      <c r="AD443" s="242">
        <f t="shared" si="407"/>
        <v>7</v>
      </c>
      <c r="AE443" s="261" t="e">
        <f t="shared" si="376"/>
        <v>#N/A</v>
      </c>
      <c r="AF443" s="264" t="e">
        <f t="shared" si="408"/>
        <v>#N/A</v>
      </c>
      <c r="AG443" s="264" t="e">
        <f t="shared" si="409"/>
        <v>#N/A</v>
      </c>
      <c r="AH443" s="263" t="e">
        <f t="shared" si="377"/>
        <v>#N/A</v>
      </c>
      <c r="AI443" s="226">
        <f t="shared" si="410"/>
        <v>7</v>
      </c>
      <c r="AJ443" s="264" t="e">
        <f t="shared" si="378"/>
        <v>#N/A</v>
      </c>
      <c r="AK443" s="264" t="e">
        <f t="shared" si="411"/>
        <v>#N/A</v>
      </c>
      <c r="AL443" s="226" t="e">
        <f t="shared" si="379"/>
        <v>#N/A</v>
      </c>
      <c r="AM443" s="265" t="e">
        <f t="shared" si="412"/>
        <v>#N/A</v>
      </c>
      <c r="AN443" s="266" t="e">
        <f t="shared" si="380"/>
        <v>#N/A</v>
      </c>
      <c r="AO443" s="227" t="e">
        <f t="shared" si="381"/>
        <v>#N/A</v>
      </c>
      <c r="AP443" s="284">
        <f t="shared" si="413"/>
        <v>7</v>
      </c>
      <c r="AQ443" s="285" t="e">
        <f t="shared" si="382"/>
        <v>#N/A</v>
      </c>
      <c r="AR443" s="266" t="e">
        <f t="shared" si="414"/>
        <v>#N/A</v>
      </c>
      <c r="AS443" s="270" t="e">
        <f t="shared" si="383"/>
        <v>#N/A</v>
      </c>
      <c r="AT443" s="271">
        <f t="shared" si="415"/>
        <v>7</v>
      </c>
      <c r="AU443" s="272" t="e">
        <f t="shared" si="416"/>
        <v>#N/A</v>
      </c>
      <c r="AV443" s="273" t="e">
        <f t="shared" si="417"/>
        <v>#N/A</v>
      </c>
      <c r="AW443" s="274" t="e">
        <f t="shared" si="384"/>
        <v>#N/A</v>
      </c>
      <c r="AX443" s="232">
        <f t="shared" si="418"/>
        <v>7</v>
      </c>
      <c r="AY443" s="273" t="e">
        <f t="shared" si="385"/>
        <v>#N/A</v>
      </c>
      <c r="AZ443" s="232" t="e">
        <f t="shared" si="419"/>
        <v>#N/A</v>
      </c>
      <c r="BA443" s="232" t="e">
        <f t="shared" si="386"/>
        <v>#N/A</v>
      </c>
      <c r="BB443" s="275">
        <f t="shared" si="420"/>
        <v>7</v>
      </c>
      <c r="BC443" s="276" t="e">
        <f t="shared" si="421"/>
        <v>#N/A</v>
      </c>
      <c r="BD443" s="277" t="e">
        <f t="shared" si="422"/>
        <v>#N/A</v>
      </c>
      <c r="BE443" s="250" t="e">
        <f t="shared" si="387"/>
        <v>#N/A</v>
      </c>
      <c r="BF443" s="247">
        <f t="shared" si="423"/>
        <v>7</v>
      </c>
      <c r="BG443" s="276" t="e">
        <f t="shared" si="424"/>
        <v>#N/A</v>
      </c>
      <c r="BH443" s="277" t="e">
        <f t="shared" si="425"/>
        <v>#N/A</v>
      </c>
      <c r="BI443" s="250" t="e">
        <f t="shared" si="388"/>
        <v>#N/A</v>
      </c>
      <c r="BJ443" s="251">
        <f t="shared" si="426"/>
        <v>7</v>
      </c>
      <c r="BK443" s="278" t="e">
        <f t="shared" si="427"/>
        <v>#N/A</v>
      </c>
      <c r="BL443" s="278" t="e">
        <f t="shared" si="428"/>
        <v>#N/A</v>
      </c>
      <c r="BM443" s="279" t="e">
        <f t="shared" si="389"/>
        <v>#N/A</v>
      </c>
      <c r="BN443" s="280">
        <f t="shared" si="429"/>
        <v>7</v>
      </c>
      <c r="BO443" s="281" t="e">
        <f t="shared" si="430"/>
        <v>#N/A</v>
      </c>
      <c r="BP443" s="281" t="e">
        <f t="shared" si="431"/>
        <v>#N/A</v>
      </c>
      <c r="BQ443" s="279" t="e">
        <f t="shared" si="390"/>
        <v>#N/A</v>
      </c>
      <c r="BR443" s="282" t="e">
        <f t="shared" si="391"/>
        <v>#N/A</v>
      </c>
      <c r="BS443" s="217" t="e">
        <f>VLOOKUP($B443,SDR24_STOCK_BY_LA!$A$2:$C$11878,3,0)</f>
        <v>#N/A</v>
      </c>
      <c r="BT443" s="217" t="str">
        <f t="shared" si="432"/>
        <v/>
      </c>
    </row>
    <row r="444" spans="1:72" x14ac:dyDescent="0.2">
      <c r="A444" s="217" t="str">
        <f t="shared" si="433"/>
        <v/>
      </c>
      <c r="B444" s="217" t="str">
        <f t="shared" si="434"/>
        <v/>
      </c>
      <c r="C444" s="283" t="str">
        <f t="shared" si="392"/>
        <v/>
      </c>
      <c r="D444" s="256" t="str">
        <f>IF(B444="","",IF(totals!$Q$3=0,IFERROR(IF(AD444=2,"0",AE444),""),"-"))</f>
        <v/>
      </c>
      <c r="E444" s="258" t="str">
        <f t="shared" si="393"/>
        <v/>
      </c>
      <c r="F444" s="259" t="str">
        <f t="shared" si="394"/>
        <v/>
      </c>
      <c r="G444" s="259" t="str">
        <f t="shared" si="395"/>
        <v/>
      </c>
      <c r="H444" s="256" t="str">
        <f t="shared" si="373"/>
        <v/>
      </c>
      <c r="I444" s="259" t="str">
        <f t="shared" si="396"/>
        <v/>
      </c>
      <c r="J444" s="259" t="str">
        <f t="shared" si="397"/>
        <v/>
      </c>
      <c r="K444" s="256" t="str">
        <f t="shared" si="374"/>
        <v/>
      </c>
      <c r="L444" s="259" t="str">
        <f t="shared" si="375"/>
        <v/>
      </c>
      <c r="M444" s="259" t="str">
        <f t="shared" si="398"/>
        <v/>
      </c>
      <c r="N444" s="256" t="str">
        <f t="shared" si="399"/>
        <v/>
      </c>
      <c r="O444" s="259" t="str">
        <f t="shared" si="400"/>
        <v/>
      </c>
      <c r="P444" s="259" t="str">
        <f t="shared" si="401"/>
        <v/>
      </c>
      <c r="Q444" s="256" t="str">
        <f t="shared" si="402"/>
        <v/>
      </c>
      <c r="R444" s="259" t="str">
        <f t="shared" si="403"/>
        <v/>
      </c>
      <c r="S444" s="259" t="str">
        <f t="shared" si="404"/>
        <v/>
      </c>
      <c r="T444" s="256" t="str">
        <f t="shared" si="405"/>
        <v/>
      </c>
      <c r="U444" s="217"/>
      <c r="V444" s="217"/>
      <c r="AB444" s="217" t="e">
        <f>VLOOKUP($B$6,Lookup_Source,437,0)</f>
        <v>#N/A</v>
      </c>
      <c r="AC444" s="241" t="str">
        <f t="shared" si="406"/>
        <v/>
      </c>
      <c r="AD444" s="242">
        <f t="shared" si="407"/>
        <v>7</v>
      </c>
      <c r="AE444" s="261" t="e">
        <f t="shared" si="376"/>
        <v>#N/A</v>
      </c>
      <c r="AF444" s="264" t="e">
        <f t="shared" si="408"/>
        <v>#N/A</v>
      </c>
      <c r="AG444" s="264" t="e">
        <f t="shared" si="409"/>
        <v>#N/A</v>
      </c>
      <c r="AH444" s="263" t="e">
        <f t="shared" si="377"/>
        <v>#N/A</v>
      </c>
      <c r="AI444" s="226">
        <f t="shared" si="410"/>
        <v>7</v>
      </c>
      <c r="AJ444" s="264" t="e">
        <f t="shared" si="378"/>
        <v>#N/A</v>
      </c>
      <c r="AK444" s="264" t="e">
        <f t="shared" si="411"/>
        <v>#N/A</v>
      </c>
      <c r="AL444" s="226" t="e">
        <f t="shared" si="379"/>
        <v>#N/A</v>
      </c>
      <c r="AM444" s="265" t="e">
        <f t="shared" si="412"/>
        <v>#N/A</v>
      </c>
      <c r="AN444" s="266" t="e">
        <f t="shared" si="380"/>
        <v>#N/A</v>
      </c>
      <c r="AO444" s="227" t="e">
        <f t="shared" si="381"/>
        <v>#N/A</v>
      </c>
      <c r="AP444" s="284">
        <f t="shared" si="413"/>
        <v>7</v>
      </c>
      <c r="AQ444" s="285" t="e">
        <f t="shared" si="382"/>
        <v>#N/A</v>
      </c>
      <c r="AR444" s="266" t="e">
        <f t="shared" si="414"/>
        <v>#N/A</v>
      </c>
      <c r="AS444" s="270" t="e">
        <f t="shared" si="383"/>
        <v>#N/A</v>
      </c>
      <c r="AT444" s="271">
        <f t="shared" si="415"/>
        <v>7</v>
      </c>
      <c r="AU444" s="272" t="e">
        <f t="shared" si="416"/>
        <v>#N/A</v>
      </c>
      <c r="AV444" s="273" t="e">
        <f t="shared" si="417"/>
        <v>#N/A</v>
      </c>
      <c r="AW444" s="274" t="e">
        <f t="shared" si="384"/>
        <v>#N/A</v>
      </c>
      <c r="AX444" s="232">
        <f t="shared" si="418"/>
        <v>7</v>
      </c>
      <c r="AY444" s="273" t="e">
        <f t="shared" si="385"/>
        <v>#N/A</v>
      </c>
      <c r="AZ444" s="232" t="e">
        <f t="shared" si="419"/>
        <v>#N/A</v>
      </c>
      <c r="BA444" s="232" t="e">
        <f t="shared" si="386"/>
        <v>#N/A</v>
      </c>
      <c r="BB444" s="275">
        <f t="shared" si="420"/>
        <v>7</v>
      </c>
      <c r="BC444" s="276" t="e">
        <f t="shared" si="421"/>
        <v>#N/A</v>
      </c>
      <c r="BD444" s="277" t="e">
        <f t="shared" si="422"/>
        <v>#N/A</v>
      </c>
      <c r="BE444" s="250" t="e">
        <f t="shared" si="387"/>
        <v>#N/A</v>
      </c>
      <c r="BF444" s="247">
        <f t="shared" si="423"/>
        <v>7</v>
      </c>
      <c r="BG444" s="276" t="e">
        <f t="shared" si="424"/>
        <v>#N/A</v>
      </c>
      <c r="BH444" s="277" t="e">
        <f t="shared" si="425"/>
        <v>#N/A</v>
      </c>
      <c r="BI444" s="250" t="e">
        <f t="shared" si="388"/>
        <v>#N/A</v>
      </c>
      <c r="BJ444" s="251">
        <f t="shared" si="426"/>
        <v>7</v>
      </c>
      <c r="BK444" s="278" t="e">
        <f t="shared" si="427"/>
        <v>#N/A</v>
      </c>
      <c r="BL444" s="278" t="e">
        <f t="shared" si="428"/>
        <v>#N/A</v>
      </c>
      <c r="BM444" s="279" t="e">
        <f t="shared" si="389"/>
        <v>#N/A</v>
      </c>
      <c r="BN444" s="280">
        <f t="shared" si="429"/>
        <v>7</v>
      </c>
      <c r="BO444" s="281" t="e">
        <f t="shared" si="430"/>
        <v>#N/A</v>
      </c>
      <c r="BP444" s="281" t="e">
        <f t="shared" si="431"/>
        <v>#N/A</v>
      </c>
      <c r="BQ444" s="279" t="e">
        <f t="shared" si="390"/>
        <v>#N/A</v>
      </c>
      <c r="BR444" s="282" t="e">
        <f t="shared" si="391"/>
        <v>#N/A</v>
      </c>
      <c r="BS444" s="217" t="e">
        <f>VLOOKUP($B444,SDR24_STOCK_BY_LA!$A$2:$C$11878,3,0)</f>
        <v>#N/A</v>
      </c>
      <c r="BT444" s="217" t="str">
        <f t="shared" si="432"/>
        <v/>
      </c>
    </row>
    <row r="445" spans="1:72" x14ac:dyDescent="0.2">
      <c r="A445" s="256" t="str">
        <f t="shared" si="433"/>
        <v/>
      </c>
      <c r="B445" s="217" t="str">
        <f t="shared" si="434"/>
        <v/>
      </c>
      <c r="C445" s="257" t="str">
        <f t="shared" si="392"/>
        <v/>
      </c>
      <c r="D445" s="256" t="str">
        <f>IF(B445="","",IF(totals!$Q$3=0,IFERROR(IF(AD445=2,"0",AE445),""),"-"))</f>
        <v/>
      </c>
      <c r="E445" s="258" t="str">
        <f t="shared" si="393"/>
        <v/>
      </c>
      <c r="F445" s="259" t="str">
        <f t="shared" si="394"/>
        <v/>
      </c>
      <c r="G445" s="259" t="str">
        <f t="shared" si="395"/>
        <v/>
      </c>
      <c r="H445" s="256" t="str">
        <f t="shared" si="373"/>
        <v/>
      </c>
      <c r="I445" s="259" t="str">
        <f t="shared" si="396"/>
        <v/>
      </c>
      <c r="J445" s="259" t="str">
        <f t="shared" si="397"/>
        <v/>
      </c>
      <c r="K445" s="256" t="str">
        <f t="shared" si="374"/>
        <v/>
      </c>
      <c r="L445" s="259" t="str">
        <f t="shared" si="375"/>
        <v/>
      </c>
      <c r="M445" s="259" t="str">
        <f t="shared" si="398"/>
        <v/>
      </c>
      <c r="N445" s="256" t="str">
        <f t="shared" si="399"/>
        <v/>
      </c>
      <c r="O445" s="259" t="str">
        <f t="shared" si="400"/>
        <v/>
      </c>
      <c r="P445" s="259" t="str">
        <f t="shared" si="401"/>
        <v/>
      </c>
      <c r="Q445" s="256" t="str">
        <f t="shared" si="402"/>
        <v/>
      </c>
      <c r="R445" s="259" t="str">
        <f t="shared" si="403"/>
        <v/>
      </c>
      <c r="S445" s="259" t="str">
        <f t="shared" si="404"/>
        <v/>
      </c>
      <c r="T445" s="256" t="str">
        <f t="shared" si="405"/>
        <v/>
      </c>
      <c r="U445" s="217"/>
      <c r="V445" s="217"/>
      <c r="AB445" s="257" t="e">
        <f>VLOOKUP($B$6,Lookup_Source,438,0)</f>
        <v>#N/A</v>
      </c>
      <c r="AC445" s="241" t="str">
        <f t="shared" si="406"/>
        <v/>
      </c>
      <c r="AD445" s="242">
        <f t="shared" si="407"/>
        <v>7</v>
      </c>
      <c r="AE445" s="261" t="e">
        <f t="shared" si="376"/>
        <v>#N/A</v>
      </c>
      <c r="AF445" s="264" t="e">
        <f t="shared" si="408"/>
        <v>#N/A</v>
      </c>
      <c r="AG445" s="264" t="e">
        <f t="shared" si="409"/>
        <v>#N/A</v>
      </c>
      <c r="AH445" s="263" t="e">
        <f t="shared" si="377"/>
        <v>#N/A</v>
      </c>
      <c r="AI445" s="226">
        <f t="shared" si="410"/>
        <v>7</v>
      </c>
      <c r="AJ445" s="264" t="e">
        <f t="shared" si="378"/>
        <v>#N/A</v>
      </c>
      <c r="AK445" s="264" t="e">
        <f t="shared" si="411"/>
        <v>#N/A</v>
      </c>
      <c r="AL445" s="226" t="e">
        <f t="shared" si="379"/>
        <v>#N/A</v>
      </c>
      <c r="AM445" s="265" t="e">
        <f t="shared" si="412"/>
        <v>#N/A</v>
      </c>
      <c r="AN445" s="266" t="e">
        <f t="shared" si="380"/>
        <v>#N/A</v>
      </c>
      <c r="AO445" s="227" t="e">
        <f t="shared" si="381"/>
        <v>#N/A</v>
      </c>
      <c r="AP445" s="284">
        <f t="shared" si="413"/>
        <v>7</v>
      </c>
      <c r="AQ445" s="285" t="e">
        <f t="shared" si="382"/>
        <v>#N/A</v>
      </c>
      <c r="AR445" s="266" t="e">
        <f t="shared" si="414"/>
        <v>#N/A</v>
      </c>
      <c r="AS445" s="270" t="e">
        <f t="shared" si="383"/>
        <v>#N/A</v>
      </c>
      <c r="AT445" s="271">
        <f t="shared" si="415"/>
        <v>7</v>
      </c>
      <c r="AU445" s="272" t="e">
        <f t="shared" si="416"/>
        <v>#N/A</v>
      </c>
      <c r="AV445" s="273" t="e">
        <f t="shared" si="417"/>
        <v>#N/A</v>
      </c>
      <c r="AW445" s="274" t="e">
        <f t="shared" si="384"/>
        <v>#N/A</v>
      </c>
      <c r="AX445" s="232">
        <f t="shared" si="418"/>
        <v>7</v>
      </c>
      <c r="AY445" s="273" t="e">
        <f t="shared" si="385"/>
        <v>#N/A</v>
      </c>
      <c r="AZ445" s="232" t="e">
        <f t="shared" si="419"/>
        <v>#N/A</v>
      </c>
      <c r="BA445" s="232" t="e">
        <f t="shared" si="386"/>
        <v>#N/A</v>
      </c>
      <c r="BB445" s="275">
        <f t="shared" si="420"/>
        <v>7</v>
      </c>
      <c r="BC445" s="276" t="e">
        <f t="shared" si="421"/>
        <v>#N/A</v>
      </c>
      <c r="BD445" s="277" t="e">
        <f t="shared" si="422"/>
        <v>#N/A</v>
      </c>
      <c r="BE445" s="250" t="e">
        <f t="shared" si="387"/>
        <v>#N/A</v>
      </c>
      <c r="BF445" s="247">
        <f t="shared" si="423"/>
        <v>7</v>
      </c>
      <c r="BG445" s="276" t="e">
        <f t="shared" si="424"/>
        <v>#N/A</v>
      </c>
      <c r="BH445" s="277" t="e">
        <f t="shared" si="425"/>
        <v>#N/A</v>
      </c>
      <c r="BI445" s="250" t="e">
        <f t="shared" si="388"/>
        <v>#N/A</v>
      </c>
      <c r="BJ445" s="251">
        <f t="shared" si="426"/>
        <v>7</v>
      </c>
      <c r="BK445" s="278" t="e">
        <f t="shared" si="427"/>
        <v>#N/A</v>
      </c>
      <c r="BL445" s="278" t="e">
        <f t="shared" si="428"/>
        <v>#N/A</v>
      </c>
      <c r="BM445" s="279" t="e">
        <f t="shared" si="389"/>
        <v>#N/A</v>
      </c>
      <c r="BN445" s="280">
        <f t="shared" si="429"/>
        <v>7</v>
      </c>
      <c r="BO445" s="281" t="e">
        <f t="shared" si="430"/>
        <v>#N/A</v>
      </c>
      <c r="BP445" s="281" t="e">
        <f t="shared" si="431"/>
        <v>#N/A</v>
      </c>
      <c r="BQ445" s="279" t="e">
        <f t="shared" si="390"/>
        <v>#N/A</v>
      </c>
      <c r="BR445" s="282" t="e">
        <f t="shared" si="391"/>
        <v>#N/A</v>
      </c>
      <c r="BS445" s="217" t="e">
        <f>VLOOKUP($B445,SDR24_STOCK_BY_LA!$A$2:$C$11878,3,0)</f>
        <v>#N/A</v>
      </c>
      <c r="BT445" s="217" t="str">
        <f t="shared" si="432"/>
        <v/>
      </c>
    </row>
    <row r="446" spans="1:72" x14ac:dyDescent="0.2">
      <c r="A446" s="217" t="str">
        <f t="shared" si="433"/>
        <v/>
      </c>
      <c r="B446" s="217" t="str">
        <f t="shared" si="434"/>
        <v/>
      </c>
      <c r="C446" s="283" t="str">
        <f t="shared" si="392"/>
        <v/>
      </c>
      <c r="D446" s="256" t="str">
        <f>IF(B446="","",IF(totals!$Q$3=0,IFERROR(IF(AD446=2,"0",AE446),""),"-"))</f>
        <v/>
      </c>
      <c r="E446" s="258" t="str">
        <f t="shared" si="393"/>
        <v/>
      </c>
      <c r="F446" s="259" t="str">
        <f t="shared" si="394"/>
        <v/>
      </c>
      <c r="G446" s="259" t="str">
        <f t="shared" si="395"/>
        <v/>
      </c>
      <c r="H446" s="256" t="str">
        <f t="shared" si="373"/>
        <v/>
      </c>
      <c r="I446" s="259" t="str">
        <f t="shared" si="396"/>
        <v/>
      </c>
      <c r="J446" s="259" t="str">
        <f t="shared" si="397"/>
        <v/>
      </c>
      <c r="K446" s="256" t="str">
        <f t="shared" si="374"/>
        <v/>
      </c>
      <c r="L446" s="259" t="str">
        <f t="shared" si="375"/>
        <v/>
      </c>
      <c r="M446" s="259" t="str">
        <f t="shared" si="398"/>
        <v/>
      </c>
      <c r="N446" s="256" t="str">
        <f t="shared" si="399"/>
        <v/>
      </c>
      <c r="O446" s="259" t="str">
        <f t="shared" si="400"/>
        <v/>
      </c>
      <c r="P446" s="259" t="str">
        <f t="shared" si="401"/>
        <v/>
      </c>
      <c r="Q446" s="256" t="str">
        <f t="shared" si="402"/>
        <v/>
      </c>
      <c r="R446" s="259" t="str">
        <f t="shared" si="403"/>
        <v/>
      </c>
      <c r="S446" s="259" t="str">
        <f t="shared" si="404"/>
        <v/>
      </c>
      <c r="T446" s="256" t="str">
        <f t="shared" si="405"/>
        <v/>
      </c>
      <c r="U446" s="217"/>
      <c r="V446" s="217"/>
      <c r="AB446" s="217" t="e">
        <f>VLOOKUP($B$6,Lookup_Source,439,0)</f>
        <v>#N/A</v>
      </c>
      <c r="AC446" s="241" t="str">
        <f t="shared" si="406"/>
        <v/>
      </c>
      <c r="AD446" s="242">
        <f t="shared" si="407"/>
        <v>7</v>
      </c>
      <c r="AE446" s="261" t="e">
        <f t="shared" si="376"/>
        <v>#N/A</v>
      </c>
      <c r="AF446" s="264" t="e">
        <f t="shared" si="408"/>
        <v>#N/A</v>
      </c>
      <c r="AG446" s="264" t="e">
        <f t="shared" si="409"/>
        <v>#N/A</v>
      </c>
      <c r="AH446" s="263" t="e">
        <f t="shared" si="377"/>
        <v>#N/A</v>
      </c>
      <c r="AI446" s="226">
        <f t="shared" si="410"/>
        <v>7</v>
      </c>
      <c r="AJ446" s="264" t="e">
        <f t="shared" si="378"/>
        <v>#N/A</v>
      </c>
      <c r="AK446" s="264" t="e">
        <f t="shared" si="411"/>
        <v>#N/A</v>
      </c>
      <c r="AL446" s="226" t="e">
        <f t="shared" si="379"/>
        <v>#N/A</v>
      </c>
      <c r="AM446" s="265" t="e">
        <f t="shared" si="412"/>
        <v>#N/A</v>
      </c>
      <c r="AN446" s="266" t="e">
        <f t="shared" si="380"/>
        <v>#N/A</v>
      </c>
      <c r="AO446" s="227" t="e">
        <f t="shared" si="381"/>
        <v>#N/A</v>
      </c>
      <c r="AP446" s="284">
        <f t="shared" si="413"/>
        <v>7</v>
      </c>
      <c r="AQ446" s="285" t="e">
        <f t="shared" si="382"/>
        <v>#N/A</v>
      </c>
      <c r="AR446" s="266" t="e">
        <f t="shared" si="414"/>
        <v>#N/A</v>
      </c>
      <c r="AS446" s="270" t="e">
        <f t="shared" si="383"/>
        <v>#N/A</v>
      </c>
      <c r="AT446" s="271">
        <f t="shared" si="415"/>
        <v>7</v>
      </c>
      <c r="AU446" s="272" t="e">
        <f t="shared" si="416"/>
        <v>#N/A</v>
      </c>
      <c r="AV446" s="273" t="e">
        <f t="shared" si="417"/>
        <v>#N/A</v>
      </c>
      <c r="AW446" s="274" t="e">
        <f t="shared" si="384"/>
        <v>#N/A</v>
      </c>
      <c r="AX446" s="232">
        <f t="shared" si="418"/>
        <v>7</v>
      </c>
      <c r="AY446" s="273" t="e">
        <f t="shared" si="385"/>
        <v>#N/A</v>
      </c>
      <c r="AZ446" s="232" t="e">
        <f t="shared" si="419"/>
        <v>#N/A</v>
      </c>
      <c r="BA446" s="232" t="e">
        <f t="shared" si="386"/>
        <v>#N/A</v>
      </c>
      <c r="BB446" s="275">
        <f t="shared" si="420"/>
        <v>7</v>
      </c>
      <c r="BC446" s="276" t="e">
        <f t="shared" si="421"/>
        <v>#N/A</v>
      </c>
      <c r="BD446" s="277" t="e">
        <f t="shared" si="422"/>
        <v>#N/A</v>
      </c>
      <c r="BE446" s="250" t="e">
        <f t="shared" si="387"/>
        <v>#N/A</v>
      </c>
      <c r="BF446" s="247">
        <f t="shared" si="423"/>
        <v>7</v>
      </c>
      <c r="BG446" s="276" t="e">
        <f t="shared" si="424"/>
        <v>#N/A</v>
      </c>
      <c r="BH446" s="277" t="e">
        <f t="shared" si="425"/>
        <v>#N/A</v>
      </c>
      <c r="BI446" s="250" t="e">
        <f t="shared" si="388"/>
        <v>#N/A</v>
      </c>
      <c r="BJ446" s="251">
        <f t="shared" si="426"/>
        <v>7</v>
      </c>
      <c r="BK446" s="278" t="e">
        <f t="shared" si="427"/>
        <v>#N/A</v>
      </c>
      <c r="BL446" s="278" t="e">
        <f t="shared" si="428"/>
        <v>#N/A</v>
      </c>
      <c r="BM446" s="279" t="e">
        <f t="shared" si="389"/>
        <v>#N/A</v>
      </c>
      <c r="BN446" s="280">
        <f t="shared" si="429"/>
        <v>7</v>
      </c>
      <c r="BO446" s="281" t="e">
        <f t="shared" si="430"/>
        <v>#N/A</v>
      </c>
      <c r="BP446" s="281" t="e">
        <f t="shared" si="431"/>
        <v>#N/A</v>
      </c>
      <c r="BQ446" s="279" t="e">
        <f t="shared" si="390"/>
        <v>#N/A</v>
      </c>
      <c r="BR446" s="282" t="e">
        <f t="shared" si="391"/>
        <v>#N/A</v>
      </c>
      <c r="BS446" s="217" t="e">
        <f>VLOOKUP($B446,SDR24_STOCK_BY_LA!$A$2:$C$11878,3,0)</f>
        <v>#N/A</v>
      </c>
      <c r="BT446" s="217" t="str">
        <f t="shared" si="432"/>
        <v/>
      </c>
    </row>
    <row r="447" spans="1:72" x14ac:dyDescent="0.2">
      <c r="A447" s="256" t="str">
        <f t="shared" si="433"/>
        <v/>
      </c>
      <c r="B447" s="217" t="str">
        <f t="shared" si="434"/>
        <v/>
      </c>
      <c r="C447" s="257" t="str">
        <f t="shared" si="392"/>
        <v/>
      </c>
      <c r="D447" s="256" t="str">
        <f>IF(B447="","",IF(totals!$Q$3=0,IFERROR(IF(AD447=2,"0",AE447),""),"-"))</f>
        <v/>
      </c>
      <c r="E447" s="258" t="str">
        <f t="shared" si="393"/>
        <v/>
      </c>
      <c r="F447" s="259" t="str">
        <f t="shared" si="394"/>
        <v/>
      </c>
      <c r="G447" s="259" t="str">
        <f t="shared" si="395"/>
        <v/>
      </c>
      <c r="H447" s="256" t="str">
        <f t="shared" si="373"/>
        <v/>
      </c>
      <c r="I447" s="259" t="str">
        <f t="shared" si="396"/>
        <v/>
      </c>
      <c r="J447" s="259" t="str">
        <f t="shared" si="397"/>
        <v/>
      </c>
      <c r="K447" s="256" t="str">
        <f t="shared" si="374"/>
        <v/>
      </c>
      <c r="L447" s="259" t="str">
        <f t="shared" si="375"/>
        <v/>
      </c>
      <c r="M447" s="259" t="str">
        <f t="shared" si="398"/>
        <v/>
      </c>
      <c r="N447" s="256" t="str">
        <f t="shared" si="399"/>
        <v/>
      </c>
      <c r="O447" s="259" t="str">
        <f t="shared" si="400"/>
        <v/>
      </c>
      <c r="P447" s="259" t="str">
        <f t="shared" si="401"/>
        <v/>
      </c>
      <c r="Q447" s="256" t="str">
        <f t="shared" si="402"/>
        <v/>
      </c>
      <c r="R447" s="259" t="str">
        <f t="shared" si="403"/>
        <v/>
      </c>
      <c r="S447" s="259" t="str">
        <f t="shared" si="404"/>
        <v/>
      </c>
      <c r="T447" s="256" t="str">
        <f t="shared" si="405"/>
        <v/>
      </c>
      <c r="U447" s="217"/>
      <c r="V447" s="217"/>
      <c r="AB447" s="257" t="e">
        <f>VLOOKUP($B$6,Lookup_Source,440,0)</f>
        <v>#N/A</v>
      </c>
      <c r="AC447" s="241" t="str">
        <f t="shared" si="406"/>
        <v/>
      </c>
      <c r="AD447" s="242">
        <f t="shared" si="407"/>
        <v>7</v>
      </c>
      <c r="AE447" s="261" t="e">
        <f t="shared" si="376"/>
        <v>#N/A</v>
      </c>
      <c r="AF447" s="264" t="e">
        <f t="shared" si="408"/>
        <v>#N/A</v>
      </c>
      <c r="AG447" s="264" t="e">
        <f t="shared" si="409"/>
        <v>#N/A</v>
      </c>
      <c r="AH447" s="263" t="e">
        <f t="shared" si="377"/>
        <v>#N/A</v>
      </c>
      <c r="AI447" s="226">
        <f t="shared" si="410"/>
        <v>7</v>
      </c>
      <c r="AJ447" s="264" t="e">
        <f t="shared" si="378"/>
        <v>#N/A</v>
      </c>
      <c r="AK447" s="264" t="e">
        <f t="shared" si="411"/>
        <v>#N/A</v>
      </c>
      <c r="AL447" s="226" t="e">
        <f t="shared" si="379"/>
        <v>#N/A</v>
      </c>
      <c r="AM447" s="265" t="e">
        <f t="shared" si="412"/>
        <v>#N/A</v>
      </c>
      <c r="AN447" s="266" t="e">
        <f t="shared" si="380"/>
        <v>#N/A</v>
      </c>
      <c r="AO447" s="227" t="e">
        <f t="shared" si="381"/>
        <v>#N/A</v>
      </c>
      <c r="AP447" s="284">
        <f t="shared" si="413"/>
        <v>7</v>
      </c>
      <c r="AQ447" s="285" t="e">
        <f t="shared" si="382"/>
        <v>#N/A</v>
      </c>
      <c r="AR447" s="266" t="e">
        <f t="shared" si="414"/>
        <v>#N/A</v>
      </c>
      <c r="AS447" s="270" t="e">
        <f t="shared" si="383"/>
        <v>#N/A</v>
      </c>
      <c r="AT447" s="271">
        <f t="shared" si="415"/>
        <v>7</v>
      </c>
      <c r="AU447" s="272" t="e">
        <f t="shared" si="416"/>
        <v>#N/A</v>
      </c>
      <c r="AV447" s="273" t="e">
        <f t="shared" si="417"/>
        <v>#N/A</v>
      </c>
      <c r="AW447" s="274" t="e">
        <f t="shared" si="384"/>
        <v>#N/A</v>
      </c>
      <c r="AX447" s="232">
        <f t="shared" si="418"/>
        <v>7</v>
      </c>
      <c r="AY447" s="273" t="e">
        <f t="shared" si="385"/>
        <v>#N/A</v>
      </c>
      <c r="AZ447" s="232" t="e">
        <f t="shared" si="419"/>
        <v>#N/A</v>
      </c>
      <c r="BA447" s="232" t="e">
        <f t="shared" si="386"/>
        <v>#N/A</v>
      </c>
      <c r="BB447" s="275">
        <f t="shared" si="420"/>
        <v>7</v>
      </c>
      <c r="BC447" s="276" t="e">
        <f t="shared" si="421"/>
        <v>#N/A</v>
      </c>
      <c r="BD447" s="277" t="e">
        <f t="shared" si="422"/>
        <v>#N/A</v>
      </c>
      <c r="BE447" s="250" t="e">
        <f t="shared" si="387"/>
        <v>#N/A</v>
      </c>
      <c r="BF447" s="247">
        <f t="shared" si="423"/>
        <v>7</v>
      </c>
      <c r="BG447" s="276" t="e">
        <f t="shared" si="424"/>
        <v>#N/A</v>
      </c>
      <c r="BH447" s="277" t="e">
        <f t="shared" si="425"/>
        <v>#N/A</v>
      </c>
      <c r="BI447" s="250" t="e">
        <f t="shared" si="388"/>
        <v>#N/A</v>
      </c>
      <c r="BJ447" s="251">
        <f t="shared" si="426"/>
        <v>7</v>
      </c>
      <c r="BK447" s="278" t="e">
        <f t="shared" si="427"/>
        <v>#N/A</v>
      </c>
      <c r="BL447" s="278" t="e">
        <f t="shared" si="428"/>
        <v>#N/A</v>
      </c>
      <c r="BM447" s="279" t="e">
        <f t="shared" si="389"/>
        <v>#N/A</v>
      </c>
      <c r="BN447" s="280">
        <f t="shared" si="429"/>
        <v>7</v>
      </c>
      <c r="BO447" s="281" t="e">
        <f t="shared" si="430"/>
        <v>#N/A</v>
      </c>
      <c r="BP447" s="281" t="e">
        <f t="shared" si="431"/>
        <v>#N/A</v>
      </c>
      <c r="BQ447" s="279" t="e">
        <f t="shared" si="390"/>
        <v>#N/A</v>
      </c>
      <c r="BR447" s="282" t="e">
        <f t="shared" si="391"/>
        <v>#N/A</v>
      </c>
      <c r="BS447" s="217" t="e">
        <f>VLOOKUP($B447,SDR24_STOCK_BY_LA!$A$2:$C$11878,3,0)</f>
        <v>#N/A</v>
      </c>
      <c r="BT447" s="217" t="str">
        <f t="shared" si="432"/>
        <v/>
      </c>
    </row>
    <row r="448" spans="1:72" x14ac:dyDescent="0.2">
      <c r="A448" s="217" t="str">
        <f t="shared" si="433"/>
        <v/>
      </c>
      <c r="B448" s="217" t="str">
        <f t="shared" si="434"/>
        <v/>
      </c>
      <c r="C448" s="283" t="str">
        <f t="shared" si="392"/>
        <v/>
      </c>
      <c r="D448" s="256" t="str">
        <f>IF(B448="","",IF(totals!$Q$3=0,IFERROR(IF(AD448=2,"0",AE448),""),"-"))</f>
        <v/>
      </c>
      <c r="E448" s="258" t="str">
        <f t="shared" si="393"/>
        <v/>
      </c>
      <c r="F448" s="259" t="str">
        <f t="shared" si="394"/>
        <v/>
      </c>
      <c r="G448" s="259" t="str">
        <f t="shared" si="395"/>
        <v/>
      </c>
      <c r="H448" s="256" t="str">
        <f t="shared" si="373"/>
        <v/>
      </c>
      <c r="I448" s="259" t="str">
        <f t="shared" si="396"/>
        <v/>
      </c>
      <c r="J448" s="259" t="str">
        <f t="shared" si="397"/>
        <v/>
      </c>
      <c r="K448" s="256" t="str">
        <f t="shared" si="374"/>
        <v/>
      </c>
      <c r="L448" s="259" t="str">
        <f t="shared" si="375"/>
        <v/>
      </c>
      <c r="M448" s="259" t="str">
        <f t="shared" si="398"/>
        <v/>
      </c>
      <c r="N448" s="256" t="str">
        <f t="shared" si="399"/>
        <v/>
      </c>
      <c r="O448" s="259" t="str">
        <f t="shared" si="400"/>
        <v/>
      </c>
      <c r="P448" s="259" t="str">
        <f t="shared" si="401"/>
        <v/>
      </c>
      <c r="Q448" s="256" t="str">
        <f t="shared" si="402"/>
        <v/>
      </c>
      <c r="R448" s="259" t="str">
        <f t="shared" si="403"/>
        <v/>
      </c>
      <c r="S448" s="259" t="str">
        <f t="shared" si="404"/>
        <v/>
      </c>
      <c r="T448" s="256" t="str">
        <f t="shared" si="405"/>
        <v/>
      </c>
      <c r="U448" s="217"/>
      <c r="V448" s="217"/>
      <c r="AB448" s="217" t="e">
        <f>VLOOKUP($B$6,Lookup_Source,441,0)</f>
        <v>#N/A</v>
      </c>
      <c r="AC448" s="241" t="str">
        <f t="shared" si="406"/>
        <v/>
      </c>
      <c r="AD448" s="242">
        <f t="shared" si="407"/>
        <v>7</v>
      </c>
      <c r="AE448" s="261" t="e">
        <f t="shared" si="376"/>
        <v>#N/A</v>
      </c>
      <c r="AF448" s="264" t="e">
        <f t="shared" si="408"/>
        <v>#N/A</v>
      </c>
      <c r="AG448" s="264" t="e">
        <f t="shared" si="409"/>
        <v>#N/A</v>
      </c>
      <c r="AH448" s="263" t="e">
        <f t="shared" si="377"/>
        <v>#N/A</v>
      </c>
      <c r="AI448" s="226">
        <f t="shared" si="410"/>
        <v>7</v>
      </c>
      <c r="AJ448" s="264" t="e">
        <f t="shared" si="378"/>
        <v>#N/A</v>
      </c>
      <c r="AK448" s="264" t="e">
        <f t="shared" si="411"/>
        <v>#N/A</v>
      </c>
      <c r="AL448" s="226" t="e">
        <f t="shared" si="379"/>
        <v>#N/A</v>
      </c>
      <c r="AM448" s="265" t="e">
        <f t="shared" si="412"/>
        <v>#N/A</v>
      </c>
      <c r="AN448" s="266" t="e">
        <f t="shared" si="380"/>
        <v>#N/A</v>
      </c>
      <c r="AO448" s="227" t="e">
        <f t="shared" si="381"/>
        <v>#N/A</v>
      </c>
      <c r="AP448" s="284">
        <f t="shared" si="413"/>
        <v>7</v>
      </c>
      <c r="AQ448" s="285" t="e">
        <f t="shared" si="382"/>
        <v>#N/A</v>
      </c>
      <c r="AR448" s="266" t="e">
        <f t="shared" si="414"/>
        <v>#N/A</v>
      </c>
      <c r="AS448" s="270" t="e">
        <f t="shared" si="383"/>
        <v>#N/A</v>
      </c>
      <c r="AT448" s="271">
        <f t="shared" si="415"/>
        <v>7</v>
      </c>
      <c r="AU448" s="272" t="e">
        <f t="shared" si="416"/>
        <v>#N/A</v>
      </c>
      <c r="AV448" s="273" t="e">
        <f t="shared" si="417"/>
        <v>#N/A</v>
      </c>
      <c r="AW448" s="274" t="e">
        <f t="shared" si="384"/>
        <v>#N/A</v>
      </c>
      <c r="AX448" s="232">
        <f t="shared" si="418"/>
        <v>7</v>
      </c>
      <c r="AY448" s="273" t="e">
        <f t="shared" si="385"/>
        <v>#N/A</v>
      </c>
      <c r="AZ448" s="232" t="e">
        <f t="shared" si="419"/>
        <v>#N/A</v>
      </c>
      <c r="BA448" s="232" t="e">
        <f t="shared" si="386"/>
        <v>#N/A</v>
      </c>
      <c r="BB448" s="275">
        <f t="shared" si="420"/>
        <v>7</v>
      </c>
      <c r="BC448" s="276" t="e">
        <f t="shared" si="421"/>
        <v>#N/A</v>
      </c>
      <c r="BD448" s="277" t="e">
        <f t="shared" si="422"/>
        <v>#N/A</v>
      </c>
      <c r="BE448" s="250" t="e">
        <f t="shared" si="387"/>
        <v>#N/A</v>
      </c>
      <c r="BF448" s="247">
        <f t="shared" si="423"/>
        <v>7</v>
      </c>
      <c r="BG448" s="276" t="e">
        <f t="shared" si="424"/>
        <v>#N/A</v>
      </c>
      <c r="BH448" s="277" t="e">
        <f t="shared" si="425"/>
        <v>#N/A</v>
      </c>
      <c r="BI448" s="250" t="e">
        <f t="shared" si="388"/>
        <v>#N/A</v>
      </c>
      <c r="BJ448" s="251">
        <f t="shared" si="426"/>
        <v>7</v>
      </c>
      <c r="BK448" s="278" t="e">
        <f t="shared" si="427"/>
        <v>#N/A</v>
      </c>
      <c r="BL448" s="278" t="e">
        <f t="shared" si="428"/>
        <v>#N/A</v>
      </c>
      <c r="BM448" s="279" t="e">
        <f t="shared" si="389"/>
        <v>#N/A</v>
      </c>
      <c r="BN448" s="280">
        <f t="shared" si="429"/>
        <v>7</v>
      </c>
      <c r="BO448" s="281" t="e">
        <f t="shared" si="430"/>
        <v>#N/A</v>
      </c>
      <c r="BP448" s="281" t="e">
        <f t="shared" si="431"/>
        <v>#N/A</v>
      </c>
      <c r="BQ448" s="279" t="e">
        <f t="shared" si="390"/>
        <v>#N/A</v>
      </c>
      <c r="BR448" s="282" t="e">
        <f t="shared" si="391"/>
        <v>#N/A</v>
      </c>
      <c r="BS448" s="217" t="e">
        <f>VLOOKUP($B448,SDR24_STOCK_BY_LA!$A$2:$C$11878,3,0)</f>
        <v>#N/A</v>
      </c>
      <c r="BT448" s="217" t="str">
        <f t="shared" si="432"/>
        <v/>
      </c>
    </row>
    <row r="449" spans="1:72" x14ac:dyDescent="0.2">
      <c r="A449" s="256" t="str">
        <f t="shared" si="433"/>
        <v/>
      </c>
      <c r="B449" s="217" t="str">
        <f t="shared" si="434"/>
        <v/>
      </c>
      <c r="C449" s="257" t="str">
        <f t="shared" si="392"/>
        <v/>
      </c>
      <c r="D449" s="256" t="str">
        <f>IF(B449="","",IF(totals!$Q$3=0,IFERROR(IF(AD449=2,"0",AE449),""),"-"))</f>
        <v/>
      </c>
      <c r="E449" s="258" t="str">
        <f t="shared" si="393"/>
        <v/>
      </c>
      <c r="F449" s="259" t="str">
        <f t="shared" si="394"/>
        <v/>
      </c>
      <c r="G449" s="259" t="str">
        <f t="shared" si="395"/>
        <v/>
      </c>
      <c r="H449" s="256" t="str">
        <f t="shared" si="373"/>
        <v/>
      </c>
      <c r="I449" s="259" t="str">
        <f t="shared" si="396"/>
        <v/>
      </c>
      <c r="J449" s="259" t="str">
        <f t="shared" si="397"/>
        <v/>
      </c>
      <c r="K449" s="256" t="str">
        <f t="shared" si="374"/>
        <v/>
      </c>
      <c r="L449" s="259" t="str">
        <f t="shared" si="375"/>
        <v/>
      </c>
      <c r="M449" s="259" t="str">
        <f t="shared" si="398"/>
        <v/>
      </c>
      <c r="N449" s="256" t="str">
        <f t="shared" si="399"/>
        <v/>
      </c>
      <c r="O449" s="259" t="str">
        <f t="shared" si="400"/>
        <v/>
      </c>
      <c r="P449" s="259" t="str">
        <f t="shared" si="401"/>
        <v/>
      </c>
      <c r="Q449" s="256" t="str">
        <f t="shared" si="402"/>
        <v/>
      </c>
      <c r="R449" s="259" t="str">
        <f t="shared" si="403"/>
        <v/>
      </c>
      <c r="S449" s="259" t="str">
        <f t="shared" si="404"/>
        <v/>
      </c>
      <c r="T449" s="256" t="str">
        <f t="shared" si="405"/>
        <v/>
      </c>
      <c r="U449" s="217"/>
      <c r="V449" s="217"/>
      <c r="AB449" s="257" t="e">
        <f>VLOOKUP($B$6,Lookup_Source,442,0)</f>
        <v>#N/A</v>
      </c>
      <c r="AC449" s="241" t="str">
        <f t="shared" si="406"/>
        <v/>
      </c>
      <c r="AD449" s="242">
        <f t="shared" si="407"/>
        <v>7</v>
      </c>
      <c r="AE449" s="261" t="e">
        <f t="shared" si="376"/>
        <v>#N/A</v>
      </c>
      <c r="AF449" s="264" t="e">
        <f t="shared" si="408"/>
        <v>#N/A</v>
      </c>
      <c r="AG449" s="264" t="e">
        <f t="shared" si="409"/>
        <v>#N/A</v>
      </c>
      <c r="AH449" s="263" t="e">
        <f t="shared" si="377"/>
        <v>#N/A</v>
      </c>
      <c r="AI449" s="226">
        <f t="shared" si="410"/>
        <v>7</v>
      </c>
      <c r="AJ449" s="264" t="e">
        <f t="shared" si="378"/>
        <v>#N/A</v>
      </c>
      <c r="AK449" s="264" t="e">
        <f t="shared" si="411"/>
        <v>#N/A</v>
      </c>
      <c r="AL449" s="226" t="e">
        <f t="shared" si="379"/>
        <v>#N/A</v>
      </c>
      <c r="AM449" s="265" t="e">
        <f t="shared" si="412"/>
        <v>#N/A</v>
      </c>
      <c r="AN449" s="266" t="e">
        <f t="shared" si="380"/>
        <v>#N/A</v>
      </c>
      <c r="AO449" s="227" t="e">
        <f t="shared" si="381"/>
        <v>#N/A</v>
      </c>
      <c r="AP449" s="284">
        <f t="shared" si="413"/>
        <v>7</v>
      </c>
      <c r="AQ449" s="285" t="e">
        <f t="shared" si="382"/>
        <v>#N/A</v>
      </c>
      <c r="AR449" s="266" t="e">
        <f t="shared" si="414"/>
        <v>#N/A</v>
      </c>
      <c r="AS449" s="270" t="e">
        <f t="shared" si="383"/>
        <v>#N/A</v>
      </c>
      <c r="AT449" s="271">
        <f t="shared" si="415"/>
        <v>7</v>
      </c>
      <c r="AU449" s="272" t="e">
        <f t="shared" si="416"/>
        <v>#N/A</v>
      </c>
      <c r="AV449" s="273" t="e">
        <f t="shared" si="417"/>
        <v>#N/A</v>
      </c>
      <c r="AW449" s="274" t="e">
        <f t="shared" si="384"/>
        <v>#N/A</v>
      </c>
      <c r="AX449" s="232">
        <f t="shared" si="418"/>
        <v>7</v>
      </c>
      <c r="AY449" s="273" t="e">
        <f t="shared" si="385"/>
        <v>#N/A</v>
      </c>
      <c r="AZ449" s="232" t="e">
        <f t="shared" si="419"/>
        <v>#N/A</v>
      </c>
      <c r="BA449" s="232" t="e">
        <f t="shared" si="386"/>
        <v>#N/A</v>
      </c>
      <c r="BB449" s="275">
        <f t="shared" si="420"/>
        <v>7</v>
      </c>
      <c r="BC449" s="276" t="e">
        <f t="shared" si="421"/>
        <v>#N/A</v>
      </c>
      <c r="BD449" s="277" t="e">
        <f t="shared" si="422"/>
        <v>#N/A</v>
      </c>
      <c r="BE449" s="250" t="e">
        <f t="shared" si="387"/>
        <v>#N/A</v>
      </c>
      <c r="BF449" s="247">
        <f t="shared" si="423"/>
        <v>7</v>
      </c>
      <c r="BG449" s="276" t="e">
        <f t="shared" si="424"/>
        <v>#N/A</v>
      </c>
      <c r="BH449" s="277" t="e">
        <f t="shared" si="425"/>
        <v>#N/A</v>
      </c>
      <c r="BI449" s="250" t="e">
        <f t="shared" si="388"/>
        <v>#N/A</v>
      </c>
      <c r="BJ449" s="251">
        <f t="shared" si="426"/>
        <v>7</v>
      </c>
      <c r="BK449" s="278" t="e">
        <f t="shared" si="427"/>
        <v>#N/A</v>
      </c>
      <c r="BL449" s="278" t="e">
        <f t="shared" si="428"/>
        <v>#N/A</v>
      </c>
      <c r="BM449" s="279" t="e">
        <f t="shared" si="389"/>
        <v>#N/A</v>
      </c>
      <c r="BN449" s="280">
        <f t="shared" si="429"/>
        <v>7</v>
      </c>
      <c r="BO449" s="281" t="e">
        <f t="shared" si="430"/>
        <v>#N/A</v>
      </c>
      <c r="BP449" s="281" t="e">
        <f t="shared" si="431"/>
        <v>#N/A</v>
      </c>
      <c r="BQ449" s="279" t="e">
        <f t="shared" si="390"/>
        <v>#N/A</v>
      </c>
      <c r="BR449" s="282" t="e">
        <f t="shared" si="391"/>
        <v>#N/A</v>
      </c>
      <c r="BS449" s="217" t="e">
        <f>VLOOKUP($B449,SDR24_STOCK_BY_LA!$A$2:$C$11878,3,0)</f>
        <v>#N/A</v>
      </c>
      <c r="BT449" s="217" t="str">
        <f t="shared" si="432"/>
        <v/>
      </c>
    </row>
    <row r="450" spans="1:72" x14ac:dyDescent="0.2">
      <c r="A450" s="217" t="str">
        <f t="shared" si="433"/>
        <v/>
      </c>
      <c r="B450" s="217" t="str">
        <f t="shared" si="434"/>
        <v/>
      </c>
      <c r="C450" s="283" t="str">
        <f t="shared" si="392"/>
        <v/>
      </c>
      <c r="D450" s="256" t="str">
        <f>IF(B450="","",IF(totals!$Q$3=0,IFERROR(IF(AD450=2,"0",AE450),""),"-"))</f>
        <v/>
      </c>
      <c r="E450" s="258" t="str">
        <f t="shared" si="393"/>
        <v/>
      </c>
      <c r="F450" s="259" t="str">
        <f t="shared" si="394"/>
        <v/>
      </c>
      <c r="G450" s="259" t="str">
        <f t="shared" si="395"/>
        <v/>
      </c>
      <c r="H450" s="256" t="str">
        <f t="shared" si="373"/>
        <v/>
      </c>
      <c r="I450" s="259" t="str">
        <f t="shared" si="396"/>
        <v/>
      </c>
      <c r="J450" s="259" t="str">
        <f t="shared" si="397"/>
        <v/>
      </c>
      <c r="K450" s="256" t="str">
        <f t="shared" si="374"/>
        <v/>
      </c>
      <c r="L450" s="259" t="str">
        <f t="shared" si="375"/>
        <v/>
      </c>
      <c r="M450" s="259" t="str">
        <f t="shared" si="398"/>
        <v/>
      </c>
      <c r="N450" s="256" t="str">
        <f t="shared" si="399"/>
        <v/>
      </c>
      <c r="O450" s="259" t="str">
        <f t="shared" si="400"/>
        <v/>
      </c>
      <c r="P450" s="259" t="str">
        <f t="shared" si="401"/>
        <v/>
      </c>
      <c r="Q450" s="256" t="str">
        <f t="shared" si="402"/>
        <v/>
      </c>
      <c r="R450" s="259" t="str">
        <f t="shared" si="403"/>
        <v/>
      </c>
      <c r="S450" s="259" t="str">
        <f t="shared" si="404"/>
        <v/>
      </c>
      <c r="T450" s="256" t="str">
        <f t="shared" si="405"/>
        <v/>
      </c>
      <c r="U450" s="217"/>
      <c r="V450" s="217"/>
      <c r="AB450" s="217" t="e">
        <f>VLOOKUP($B$6,Lookup_Source,443,0)</f>
        <v>#N/A</v>
      </c>
      <c r="AC450" s="241" t="str">
        <f t="shared" si="406"/>
        <v/>
      </c>
      <c r="AD450" s="242">
        <f t="shared" si="407"/>
        <v>7</v>
      </c>
      <c r="AE450" s="261" t="e">
        <f t="shared" si="376"/>
        <v>#N/A</v>
      </c>
      <c r="AF450" s="264" t="e">
        <f t="shared" si="408"/>
        <v>#N/A</v>
      </c>
      <c r="AG450" s="264" t="e">
        <f t="shared" si="409"/>
        <v>#N/A</v>
      </c>
      <c r="AH450" s="263" t="e">
        <f t="shared" si="377"/>
        <v>#N/A</v>
      </c>
      <c r="AI450" s="226">
        <f t="shared" si="410"/>
        <v>7</v>
      </c>
      <c r="AJ450" s="264" t="e">
        <f t="shared" si="378"/>
        <v>#N/A</v>
      </c>
      <c r="AK450" s="264" t="e">
        <f t="shared" si="411"/>
        <v>#N/A</v>
      </c>
      <c r="AL450" s="226" t="e">
        <f t="shared" si="379"/>
        <v>#N/A</v>
      </c>
      <c r="AM450" s="265" t="e">
        <f t="shared" si="412"/>
        <v>#N/A</v>
      </c>
      <c r="AN450" s="266" t="e">
        <f t="shared" si="380"/>
        <v>#N/A</v>
      </c>
      <c r="AO450" s="227" t="e">
        <f t="shared" si="381"/>
        <v>#N/A</v>
      </c>
      <c r="AP450" s="284">
        <f t="shared" si="413"/>
        <v>7</v>
      </c>
      <c r="AQ450" s="285" t="e">
        <f t="shared" si="382"/>
        <v>#N/A</v>
      </c>
      <c r="AR450" s="266" t="e">
        <f t="shared" si="414"/>
        <v>#N/A</v>
      </c>
      <c r="AS450" s="270" t="e">
        <f t="shared" si="383"/>
        <v>#N/A</v>
      </c>
      <c r="AT450" s="271">
        <f t="shared" si="415"/>
        <v>7</v>
      </c>
      <c r="AU450" s="272" t="e">
        <f t="shared" si="416"/>
        <v>#N/A</v>
      </c>
      <c r="AV450" s="273" t="e">
        <f t="shared" si="417"/>
        <v>#N/A</v>
      </c>
      <c r="AW450" s="274" t="e">
        <f t="shared" si="384"/>
        <v>#N/A</v>
      </c>
      <c r="AX450" s="232">
        <f t="shared" si="418"/>
        <v>7</v>
      </c>
      <c r="AY450" s="273" t="e">
        <f t="shared" si="385"/>
        <v>#N/A</v>
      </c>
      <c r="AZ450" s="232" t="e">
        <f t="shared" si="419"/>
        <v>#N/A</v>
      </c>
      <c r="BA450" s="232" t="e">
        <f t="shared" si="386"/>
        <v>#N/A</v>
      </c>
      <c r="BB450" s="275">
        <f t="shared" si="420"/>
        <v>7</v>
      </c>
      <c r="BC450" s="276" t="e">
        <f t="shared" si="421"/>
        <v>#N/A</v>
      </c>
      <c r="BD450" s="277" t="e">
        <f t="shared" si="422"/>
        <v>#N/A</v>
      </c>
      <c r="BE450" s="250" t="e">
        <f t="shared" si="387"/>
        <v>#N/A</v>
      </c>
      <c r="BF450" s="247">
        <f t="shared" si="423"/>
        <v>7</v>
      </c>
      <c r="BG450" s="276" t="e">
        <f t="shared" si="424"/>
        <v>#N/A</v>
      </c>
      <c r="BH450" s="277" t="e">
        <f t="shared" si="425"/>
        <v>#N/A</v>
      </c>
      <c r="BI450" s="250" t="e">
        <f t="shared" si="388"/>
        <v>#N/A</v>
      </c>
      <c r="BJ450" s="251">
        <f t="shared" si="426"/>
        <v>7</v>
      </c>
      <c r="BK450" s="278" t="e">
        <f t="shared" si="427"/>
        <v>#N/A</v>
      </c>
      <c r="BL450" s="278" t="e">
        <f t="shared" si="428"/>
        <v>#N/A</v>
      </c>
      <c r="BM450" s="279" t="e">
        <f t="shared" si="389"/>
        <v>#N/A</v>
      </c>
      <c r="BN450" s="280">
        <f t="shared" si="429"/>
        <v>7</v>
      </c>
      <c r="BO450" s="281" t="e">
        <f t="shared" si="430"/>
        <v>#N/A</v>
      </c>
      <c r="BP450" s="281" t="e">
        <f t="shared" si="431"/>
        <v>#N/A</v>
      </c>
      <c r="BQ450" s="279" t="e">
        <f t="shared" si="390"/>
        <v>#N/A</v>
      </c>
      <c r="BR450" s="282" t="e">
        <f t="shared" si="391"/>
        <v>#N/A</v>
      </c>
      <c r="BS450" s="217" t="e">
        <f>VLOOKUP($B450,SDR24_STOCK_BY_LA!$A$2:$C$11878,3,0)</f>
        <v>#N/A</v>
      </c>
      <c r="BT450" s="217" t="str">
        <f t="shared" si="432"/>
        <v/>
      </c>
    </row>
    <row r="451" spans="1:72" x14ac:dyDescent="0.2">
      <c r="A451" s="256" t="str">
        <f t="shared" si="433"/>
        <v/>
      </c>
      <c r="B451" s="217" t="str">
        <f t="shared" si="434"/>
        <v/>
      </c>
      <c r="C451" s="257" t="str">
        <f t="shared" si="392"/>
        <v/>
      </c>
      <c r="D451" s="256" t="str">
        <f>IF(B451="","",IF(totals!$Q$3=0,IFERROR(IF(AD451=2,"0",AE451),""),"-"))</f>
        <v/>
      </c>
      <c r="E451" s="258" t="str">
        <f t="shared" si="393"/>
        <v/>
      </c>
      <c r="F451" s="259" t="str">
        <f t="shared" si="394"/>
        <v/>
      </c>
      <c r="G451" s="259" t="str">
        <f t="shared" si="395"/>
        <v/>
      </c>
      <c r="H451" s="256" t="str">
        <f t="shared" si="373"/>
        <v/>
      </c>
      <c r="I451" s="259" t="str">
        <f t="shared" si="396"/>
        <v/>
      </c>
      <c r="J451" s="259" t="str">
        <f t="shared" si="397"/>
        <v/>
      </c>
      <c r="K451" s="256" t="str">
        <f t="shared" si="374"/>
        <v/>
      </c>
      <c r="L451" s="259" t="str">
        <f t="shared" si="375"/>
        <v/>
      </c>
      <c r="M451" s="259" t="str">
        <f t="shared" si="398"/>
        <v/>
      </c>
      <c r="N451" s="256" t="str">
        <f t="shared" si="399"/>
        <v/>
      </c>
      <c r="O451" s="259" t="str">
        <f t="shared" si="400"/>
        <v/>
      </c>
      <c r="P451" s="259" t="str">
        <f t="shared" si="401"/>
        <v/>
      </c>
      <c r="Q451" s="256" t="str">
        <f t="shared" si="402"/>
        <v/>
      </c>
      <c r="R451" s="259" t="str">
        <f t="shared" si="403"/>
        <v/>
      </c>
      <c r="S451" s="259" t="str">
        <f t="shared" si="404"/>
        <v/>
      </c>
      <c r="T451" s="256" t="str">
        <f t="shared" si="405"/>
        <v/>
      </c>
      <c r="U451" s="217"/>
      <c r="V451" s="217"/>
      <c r="AB451" s="257" t="e">
        <f>VLOOKUP($B$6,Lookup_Source,444,0)</f>
        <v>#N/A</v>
      </c>
      <c r="AC451" s="241" t="str">
        <f t="shared" si="406"/>
        <v/>
      </c>
      <c r="AD451" s="242">
        <f t="shared" si="407"/>
        <v>7</v>
      </c>
      <c r="AE451" s="261" t="e">
        <f t="shared" si="376"/>
        <v>#N/A</v>
      </c>
      <c r="AF451" s="264" t="e">
        <f t="shared" si="408"/>
        <v>#N/A</v>
      </c>
      <c r="AG451" s="264" t="e">
        <f t="shared" si="409"/>
        <v>#N/A</v>
      </c>
      <c r="AH451" s="263" t="e">
        <f t="shared" si="377"/>
        <v>#N/A</v>
      </c>
      <c r="AI451" s="226">
        <f t="shared" si="410"/>
        <v>7</v>
      </c>
      <c r="AJ451" s="264" t="e">
        <f t="shared" si="378"/>
        <v>#N/A</v>
      </c>
      <c r="AK451" s="264" t="e">
        <f t="shared" si="411"/>
        <v>#N/A</v>
      </c>
      <c r="AL451" s="226" t="e">
        <f t="shared" si="379"/>
        <v>#N/A</v>
      </c>
      <c r="AM451" s="265" t="e">
        <f t="shared" si="412"/>
        <v>#N/A</v>
      </c>
      <c r="AN451" s="266" t="e">
        <f t="shared" si="380"/>
        <v>#N/A</v>
      </c>
      <c r="AO451" s="227" t="e">
        <f t="shared" si="381"/>
        <v>#N/A</v>
      </c>
      <c r="AP451" s="284">
        <f t="shared" si="413"/>
        <v>7</v>
      </c>
      <c r="AQ451" s="285" t="e">
        <f t="shared" si="382"/>
        <v>#N/A</v>
      </c>
      <c r="AR451" s="266" t="e">
        <f t="shared" si="414"/>
        <v>#N/A</v>
      </c>
      <c r="AS451" s="270" t="e">
        <f t="shared" si="383"/>
        <v>#N/A</v>
      </c>
      <c r="AT451" s="271">
        <f t="shared" si="415"/>
        <v>7</v>
      </c>
      <c r="AU451" s="272" t="e">
        <f t="shared" si="416"/>
        <v>#N/A</v>
      </c>
      <c r="AV451" s="273" t="e">
        <f t="shared" si="417"/>
        <v>#N/A</v>
      </c>
      <c r="AW451" s="274" t="e">
        <f t="shared" si="384"/>
        <v>#N/A</v>
      </c>
      <c r="AX451" s="232">
        <f t="shared" si="418"/>
        <v>7</v>
      </c>
      <c r="AY451" s="273" t="e">
        <f t="shared" si="385"/>
        <v>#N/A</v>
      </c>
      <c r="AZ451" s="232" t="e">
        <f t="shared" si="419"/>
        <v>#N/A</v>
      </c>
      <c r="BA451" s="232" t="e">
        <f t="shared" si="386"/>
        <v>#N/A</v>
      </c>
      <c r="BB451" s="275">
        <f t="shared" si="420"/>
        <v>7</v>
      </c>
      <c r="BC451" s="276" t="e">
        <f t="shared" si="421"/>
        <v>#N/A</v>
      </c>
      <c r="BD451" s="277" t="e">
        <f t="shared" si="422"/>
        <v>#N/A</v>
      </c>
      <c r="BE451" s="250" t="e">
        <f t="shared" si="387"/>
        <v>#N/A</v>
      </c>
      <c r="BF451" s="247">
        <f t="shared" si="423"/>
        <v>7</v>
      </c>
      <c r="BG451" s="276" t="e">
        <f t="shared" si="424"/>
        <v>#N/A</v>
      </c>
      <c r="BH451" s="277" t="e">
        <f t="shared" si="425"/>
        <v>#N/A</v>
      </c>
      <c r="BI451" s="250" t="e">
        <f t="shared" si="388"/>
        <v>#N/A</v>
      </c>
      <c r="BJ451" s="251">
        <f t="shared" si="426"/>
        <v>7</v>
      </c>
      <c r="BK451" s="278" t="e">
        <f t="shared" si="427"/>
        <v>#N/A</v>
      </c>
      <c r="BL451" s="278" t="e">
        <f t="shared" si="428"/>
        <v>#N/A</v>
      </c>
      <c r="BM451" s="279" t="e">
        <f t="shared" si="389"/>
        <v>#N/A</v>
      </c>
      <c r="BN451" s="280">
        <f t="shared" si="429"/>
        <v>7</v>
      </c>
      <c r="BO451" s="281" t="e">
        <f t="shared" si="430"/>
        <v>#N/A</v>
      </c>
      <c r="BP451" s="281" t="e">
        <f t="shared" si="431"/>
        <v>#N/A</v>
      </c>
      <c r="BQ451" s="279" t="e">
        <f t="shared" si="390"/>
        <v>#N/A</v>
      </c>
      <c r="BR451" s="282" t="e">
        <f t="shared" si="391"/>
        <v>#N/A</v>
      </c>
      <c r="BS451" s="217" t="e">
        <f>VLOOKUP($B451,SDR24_STOCK_BY_LA!$A$2:$C$11878,3,0)</f>
        <v>#N/A</v>
      </c>
      <c r="BT451" s="217" t="str">
        <f t="shared" si="432"/>
        <v/>
      </c>
    </row>
    <row r="452" spans="1:72" x14ac:dyDescent="0.2">
      <c r="A452" s="217" t="str">
        <f t="shared" si="433"/>
        <v/>
      </c>
      <c r="B452" s="217" t="str">
        <f t="shared" si="434"/>
        <v/>
      </c>
      <c r="C452" s="283" t="str">
        <f t="shared" si="392"/>
        <v/>
      </c>
      <c r="D452" s="256" t="str">
        <f>IF(B452="","",IF(totals!$Q$3=0,IFERROR(IF(AD452=2,"0",AE452),""),"-"))</f>
        <v/>
      </c>
      <c r="E452" s="258" t="str">
        <f t="shared" si="393"/>
        <v/>
      </c>
      <c r="F452" s="259" t="str">
        <f t="shared" si="394"/>
        <v/>
      </c>
      <c r="G452" s="259" t="str">
        <f t="shared" si="395"/>
        <v/>
      </c>
      <c r="H452" s="256" t="str">
        <f t="shared" si="373"/>
        <v/>
      </c>
      <c r="I452" s="259" t="str">
        <f t="shared" si="396"/>
        <v/>
      </c>
      <c r="J452" s="259" t="str">
        <f t="shared" si="397"/>
        <v/>
      </c>
      <c r="K452" s="256" t="str">
        <f t="shared" si="374"/>
        <v/>
      </c>
      <c r="L452" s="259" t="str">
        <f t="shared" si="375"/>
        <v/>
      </c>
      <c r="M452" s="259" t="str">
        <f t="shared" si="398"/>
        <v/>
      </c>
      <c r="N452" s="256" t="str">
        <f t="shared" si="399"/>
        <v/>
      </c>
      <c r="O452" s="259" t="str">
        <f t="shared" si="400"/>
        <v/>
      </c>
      <c r="P452" s="259" t="str">
        <f t="shared" si="401"/>
        <v/>
      </c>
      <c r="Q452" s="256" t="str">
        <f t="shared" si="402"/>
        <v/>
      </c>
      <c r="R452" s="259" t="str">
        <f t="shared" si="403"/>
        <v/>
      </c>
      <c r="S452" s="259" t="str">
        <f t="shared" si="404"/>
        <v/>
      </c>
      <c r="T452" s="256" t="str">
        <f t="shared" si="405"/>
        <v/>
      </c>
      <c r="U452" s="217"/>
      <c r="V452" s="217"/>
      <c r="AB452" s="217" t="e">
        <f>VLOOKUP($B$6,Lookup_Source,445,0)</f>
        <v>#N/A</v>
      </c>
      <c r="AC452" s="241" t="str">
        <f t="shared" si="406"/>
        <v/>
      </c>
      <c r="AD452" s="242">
        <f t="shared" si="407"/>
        <v>7</v>
      </c>
      <c r="AE452" s="261" t="e">
        <f t="shared" si="376"/>
        <v>#N/A</v>
      </c>
      <c r="AF452" s="264" t="e">
        <f t="shared" si="408"/>
        <v>#N/A</v>
      </c>
      <c r="AG452" s="264" t="e">
        <f t="shared" si="409"/>
        <v>#N/A</v>
      </c>
      <c r="AH452" s="263" t="e">
        <f t="shared" si="377"/>
        <v>#N/A</v>
      </c>
      <c r="AI452" s="226">
        <f t="shared" si="410"/>
        <v>7</v>
      </c>
      <c r="AJ452" s="264" t="e">
        <f t="shared" si="378"/>
        <v>#N/A</v>
      </c>
      <c r="AK452" s="264" t="e">
        <f t="shared" si="411"/>
        <v>#N/A</v>
      </c>
      <c r="AL452" s="226" t="e">
        <f t="shared" si="379"/>
        <v>#N/A</v>
      </c>
      <c r="AM452" s="265" t="e">
        <f t="shared" si="412"/>
        <v>#N/A</v>
      </c>
      <c r="AN452" s="266" t="e">
        <f t="shared" si="380"/>
        <v>#N/A</v>
      </c>
      <c r="AO452" s="227" t="e">
        <f t="shared" si="381"/>
        <v>#N/A</v>
      </c>
      <c r="AP452" s="284">
        <f t="shared" si="413"/>
        <v>7</v>
      </c>
      <c r="AQ452" s="285" t="e">
        <f t="shared" si="382"/>
        <v>#N/A</v>
      </c>
      <c r="AR452" s="266" t="e">
        <f t="shared" si="414"/>
        <v>#N/A</v>
      </c>
      <c r="AS452" s="270" t="e">
        <f t="shared" si="383"/>
        <v>#N/A</v>
      </c>
      <c r="AT452" s="271">
        <f t="shared" si="415"/>
        <v>7</v>
      </c>
      <c r="AU452" s="272" t="e">
        <f t="shared" si="416"/>
        <v>#N/A</v>
      </c>
      <c r="AV452" s="273" t="e">
        <f t="shared" si="417"/>
        <v>#N/A</v>
      </c>
      <c r="AW452" s="274" t="e">
        <f t="shared" si="384"/>
        <v>#N/A</v>
      </c>
      <c r="AX452" s="232">
        <f t="shared" si="418"/>
        <v>7</v>
      </c>
      <c r="AY452" s="273" t="e">
        <f t="shared" si="385"/>
        <v>#N/A</v>
      </c>
      <c r="AZ452" s="232" t="e">
        <f t="shared" si="419"/>
        <v>#N/A</v>
      </c>
      <c r="BA452" s="232" t="e">
        <f t="shared" si="386"/>
        <v>#N/A</v>
      </c>
      <c r="BB452" s="275">
        <f t="shared" si="420"/>
        <v>7</v>
      </c>
      <c r="BC452" s="276" t="e">
        <f t="shared" si="421"/>
        <v>#N/A</v>
      </c>
      <c r="BD452" s="277" t="e">
        <f t="shared" si="422"/>
        <v>#N/A</v>
      </c>
      <c r="BE452" s="250" t="e">
        <f t="shared" si="387"/>
        <v>#N/A</v>
      </c>
      <c r="BF452" s="247">
        <f t="shared" si="423"/>
        <v>7</v>
      </c>
      <c r="BG452" s="276" t="e">
        <f t="shared" si="424"/>
        <v>#N/A</v>
      </c>
      <c r="BH452" s="277" t="e">
        <f t="shared" si="425"/>
        <v>#N/A</v>
      </c>
      <c r="BI452" s="250" t="e">
        <f t="shared" si="388"/>
        <v>#N/A</v>
      </c>
      <c r="BJ452" s="251">
        <f t="shared" si="426"/>
        <v>7</v>
      </c>
      <c r="BK452" s="278" t="e">
        <f t="shared" si="427"/>
        <v>#N/A</v>
      </c>
      <c r="BL452" s="278" t="e">
        <f t="shared" si="428"/>
        <v>#N/A</v>
      </c>
      <c r="BM452" s="279" t="e">
        <f t="shared" si="389"/>
        <v>#N/A</v>
      </c>
      <c r="BN452" s="280">
        <f t="shared" si="429"/>
        <v>7</v>
      </c>
      <c r="BO452" s="281" t="e">
        <f t="shared" si="430"/>
        <v>#N/A</v>
      </c>
      <c r="BP452" s="281" t="e">
        <f t="shared" si="431"/>
        <v>#N/A</v>
      </c>
      <c r="BQ452" s="279" t="e">
        <f t="shared" si="390"/>
        <v>#N/A</v>
      </c>
      <c r="BR452" s="282" t="e">
        <f t="shared" si="391"/>
        <v>#N/A</v>
      </c>
      <c r="BS452" s="217" t="e">
        <f>VLOOKUP($B452,SDR24_STOCK_BY_LA!$A$2:$C$11878,3,0)</f>
        <v>#N/A</v>
      </c>
      <c r="BT452" s="217" t="str">
        <f t="shared" si="432"/>
        <v/>
      </c>
    </row>
    <row r="453" spans="1:72" x14ac:dyDescent="0.2">
      <c r="A453" s="256" t="str">
        <f t="shared" si="433"/>
        <v/>
      </c>
      <c r="B453" s="217" t="str">
        <f t="shared" si="434"/>
        <v/>
      </c>
      <c r="C453" s="257" t="str">
        <f t="shared" si="392"/>
        <v/>
      </c>
      <c r="D453" s="256" t="str">
        <f>IF(B453="","",IF(totals!$Q$3=0,IFERROR(IF(AD453=2,"0",AE453),""),"-"))</f>
        <v/>
      </c>
      <c r="E453" s="258" t="str">
        <f t="shared" si="393"/>
        <v/>
      </c>
      <c r="F453" s="259" t="str">
        <f t="shared" si="394"/>
        <v/>
      </c>
      <c r="G453" s="259" t="str">
        <f t="shared" si="395"/>
        <v/>
      </c>
      <c r="H453" s="256" t="str">
        <f t="shared" si="373"/>
        <v/>
      </c>
      <c r="I453" s="259" t="str">
        <f t="shared" si="396"/>
        <v/>
      </c>
      <c r="J453" s="259" t="str">
        <f t="shared" si="397"/>
        <v/>
      </c>
      <c r="K453" s="256" t="str">
        <f t="shared" si="374"/>
        <v/>
      </c>
      <c r="L453" s="259" t="str">
        <f t="shared" si="375"/>
        <v/>
      </c>
      <c r="M453" s="259" t="str">
        <f t="shared" si="398"/>
        <v/>
      </c>
      <c r="N453" s="256" t="str">
        <f t="shared" si="399"/>
        <v/>
      </c>
      <c r="O453" s="259" t="str">
        <f t="shared" si="400"/>
        <v/>
      </c>
      <c r="P453" s="259" t="str">
        <f t="shared" si="401"/>
        <v/>
      </c>
      <c r="Q453" s="256" t="str">
        <f t="shared" si="402"/>
        <v/>
      </c>
      <c r="R453" s="259" t="str">
        <f t="shared" si="403"/>
        <v/>
      </c>
      <c r="S453" s="259" t="str">
        <f t="shared" si="404"/>
        <v/>
      </c>
      <c r="T453" s="256" t="str">
        <f t="shared" si="405"/>
        <v/>
      </c>
      <c r="U453" s="217"/>
      <c r="V453" s="217"/>
      <c r="AB453" s="257" t="e">
        <f>VLOOKUP($B$6,Lookup_Source,446,0)</f>
        <v>#N/A</v>
      </c>
      <c r="AC453" s="241" t="str">
        <f t="shared" si="406"/>
        <v/>
      </c>
      <c r="AD453" s="242">
        <f t="shared" si="407"/>
        <v>7</v>
      </c>
      <c r="AE453" s="261" t="e">
        <f t="shared" si="376"/>
        <v>#N/A</v>
      </c>
      <c r="AF453" s="264" t="e">
        <f t="shared" si="408"/>
        <v>#N/A</v>
      </c>
      <c r="AG453" s="264" t="e">
        <f t="shared" si="409"/>
        <v>#N/A</v>
      </c>
      <c r="AH453" s="263" t="e">
        <f t="shared" si="377"/>
        <v>#N/A</v>
      </c>
      <c r="AI453" s="226">
        <f t="shared" si="410"/>
        <v>7</v>
      </c>
      <c r="AJ453" s="264" t="e">
        <f t="shared" si="378"/>
        <v>#N/A</v>
      </c>
      <c r="AK453" s="264" t="e">
        <f t="shared" si="411"/>
        <v>#N/A</v>
      </c>
      <c r="AL453" s="226" t="e">
        <f t="shared" si="379"/>
        <v>#N/A</v>
      </c>
      <c r="AM453" s="265" t="e">
        <f t="shared" si="412"/>
        <v>#N/A</v>
      </c>
      <c r="AN453" s="266" t="e">
        <f t="shared" si="380"/>
        <v>#N/A</v>
      </c>
      <c r="AO453" s="227" t="e">
        <f t="shared" si="381"/>
        <v>#N/A</v>
      </c>
      <c r="AP453" s="284">
        <f t="shared" si="413"/>
        <v>7</v>
      </c>
      <c r="AQ453" s="285" t="e">
        <f t="shared" si="382"/>
        <v>#N/A</v>
      </c>
      <c r="AR453" s="266" t="e">
        <f t="shared" si="414"/>
        <v>#N/A</v>
      </c>
      <c r="AS453" s="270" t="e">
        <f t="shared" si="383"/>
        <v>#N/A</v>
      </c>
      <c r="AT453" s="271">
        <f t="shared" si="415"/>
        <v>7</v>
      </c>
      <c r="AU453" s="272" t="e">
        <f t="shared" si="416"/>
        <v>#N/A</v>
      </c>
      <c r="AV453" s="273" t="e">
        <f t="shared" si="417"/>
        <v>#N/A</v>
      </c>
      <c r="AW453" s="274" t="e">
        <f t="shared" si="384"/>
        <v>#N/A</v>
      </c>
      <c r="AX453" s="232">
        <f t="shared" si="418"/>
        <v>7</v>
      </c>
      <c r="AY453" s="273" t="e">
        <f t="shared" si="385"/>
        <v>#N/A</v>
      </c>
      <c r="AZ453" s="232" t="e">
        <f t="shared" si="419"/>
        <v>#N/A</v>
      </c>
      <c r="BA453" s="232" t="e">
        <f t="shared" si="386"/>
        <v>#N/A</v>
      </c>
      <c r="BB453" s="275">
        <f t="shared" si="420"/>
        <v>7</v>
      </c>
      <c r="BC453" s="276" t="e">
        <f t="shared" si="421"/>
        <v>#N/A</v>
      </c>
      <c r="BD453" s="277" t="e">
        <f t="shared" si="422"/>
        <v>#N/A</v>
      </c>
      <c r="BE453" s="250" t="e">
        <f t="shared" si="387"/>
        <v>#N/A</v>
      </c>
      <c r="BF453" s="247">
        <f t="shared" si="423"/>
        <v>7</v>
      </c>
      <c r="BG453" s="276" t="e">
        <f t="shared" si="424"/>
        <v>#N/A</v>
      </c>
      <c r="BH453" s="277" t="e">
        <f t="shared" si="425"/>
        <v>#N/A</v>
      </c>
      <c r="BI453" s="250" t="e">
        <f t="shared" si="388"/>
        <v>#N/A</v>
      </c>
      <c r="BJ453" s="251">
        <f t="shared" si="426"/>
        <v>7</v>
      </c>
      <c r="BK453" s="278" t="e">
        <f t="shared" si="427"/>
        <v>#N/A</v>
      </c>
      <c r="BL453" s="278" t="e">
        <f t="shared" si="428"/>
        <v>#N/A</v>
      </c>
      <c r="BM453" s="279" t="e">
        <f t="shared" si="389"/>
        <v>#N/A</v>
      </c>
      <c r="BN453" s="280">
        <f t="shared" si="429"/>
        <v>7</v>
      </c>
      <c r="BO453" s="281" t="e">
        <f t="shared" si="430"/>
        <v>#N/A</v>
      </c>
      <c r="BP453" s="281" t="e">
        <f t="shared" si="431"/>
        <v>#N/A</v>
      </c>
      <c r="BQ453" s="279" t="e">
        <f t="shared" si="390"/>
        <v>#N/A</v>
      </c>
      <c r="BR453" s="282" t="e">
        <f t="shared" si="391"/>
        <v>#N/A</v>
      </c>
      <c r="BS453" s="217" t="e">
        <f>VLOOKUP($B453,SDR24_STOCK_BY_LA!$A$2:$C$11878,3,0)</f>
        <v>#N/A</v>
      </c>
      <c r="BT453" s="217" t="str">
        <f t="shared" si="432"/>
        <v/>
      </c>
    </row>
    <row r="454" spans="1:72" x14ac:dyDescent="0.2">
      <c r="A454" s="217" t="str">
        <f t="shared" si="433"/>
        <v/>
      </c>
      <c r="B454" s="217" t="str">
        <f t="shared" si="434"/>
        <v/>
      </c>
      <c r="C454" s="283" t="str">
        <f t="shared" si="392"/>
        <v/>
      </c>
      <c r="D454" s="256" t="str">
        <f>IF(B454="","",IF(totals!$Q$3=0,IFERROR(IF(AD454=2,"0",AE454),""),"-"))</f>
        <v/>
      </c>
      <c r="E454" s="258" t="str">
        <f t="shared" si="393"/>
        <v/>
      </c>
      <c r="F454" s="259" t="str">
        <f t="shared" si="394"/>
        <v/>
      </c>
      <c r="G454" s="259" t="str">
        <f t="shared" si="395"/>
        <v/>
      </c>
      <c r="H454" s="256" t="str">
        <f t="shared" si="373"/>
        <v/>
      </c>
      <c r="I454" s="259" t="str">
        <f t="shared" si="396"/>
        <v/>
      </c>
      <c r="J454" s="259" t="str">
        <f t="shared" si="397"/>
        <v/>
      </c>
      <c r="K454" s="256" t="str">
        <f t="shared" si="374"/>
        <v/>
      </c>
      <c r="L454" s="259" t="str">
        <f t="shared" si="375"/>
        <v/>
      </c>
      <c r="M454" s="259" t="str">
        <f t="shared" si="398"/>
        <v/>
      </c>
      <c r="N454" s="256" t="str">
        <f t="shared" si="399"/>
        <v/>
      </c>
      <c r="O454" s="259" t="str">
        <f t="shared" si="400"/>
        <v/>
      </c>
      <c r="P454" s="259" t="str">
        <f t="shared" si="401"/>
        <v/>
      </c>
      <c r="Q454" s="256" t="str">
        <f t="shared" si="402"/>
        <v/>
      </c>
      <c r="R454" s="259" t="str">
        <f t="shared" si="403"/>
        <v/>
      </c>
      <c r="S454" s="259" t="str">
        <f t="shared" si="404"/>
        <v/>
      </c>
      <c r="T454" s="256" t="str">
        <f t="shared" si="405"/>
        <v/>
      </c>
      <c r="U454" s="217"/>
      <c r="V454" s="217"/>
      <c r="AB454" s="217" t="e">
        <f>VLOOKUP($B$6,Lookup_Source,447,0)</f>
        <v>#N/A</v>
      </c>
      <c r="AC454" s="241" t="str">
        <f t="shared" si="406"/>
        <v/>
      </c>
      <c r="AD454" s="242">
        <f t="shared" si="407"/>
        <v>7</v>
      </c>
      <c r="AE454" s="261" t="e">
        <f t="shared" si="376"/>
        <v>#N/A</v>
      </c>
      <c r="AF454" s="264" t="e">
        <f t="shared" si="408"/>
        <v>#N/A</v>
      </c>
      <c r="AG454" s="264" t="e">
        <f t="shared" si="409"/>
        <v>#N/A</v>
      </c>
      <c r="AH454" s="263" t="e">
        <f t="shared" si="377"/>
        <v>#N/A</v>
      </c>
      <c r="AI454" s="226">
        <f t="shared" si="410"/>
        <v>7</v>
      </c>
      <c r="AJ454" s="264" t="e">
        <f t="shared" si="378"/>
        <v>#N/A</v>
      </c>
      <c r="AK454" s="264" t="e">
        <f t="shared" si="411"/>
        <v>#N/A</v>
      </c>
      <c r="AL454" s="226" t="e">
        <f t="shared" si="379"/>
        <v>#N/A</v>
      </c>
      <c r="AM454" s="265" t="e">
        <f t="shared" si="412"/>
        <v>#N/A</v>
      </c>
      <c r="AN454" s="266" t="e">
        <f t="shared" si="380"/>
        <v>#N/A</v>
      </c>
      <c r="AO454" s="227" t="e">
        <f t="shared" si="381"/>
        <v>#N/A</v>
      </c>
      <c r="AP454" s="284">
        <f t="shared" si="413"/>
        <v>7</v>
      </c>
      <c r="AQ454" s="285" t="e">
        <f t="shared" si="382"/>
        <v>#N/A</v>
      </c>
      <c r="AR454" s="266" t="e">
        <f t="shared" si="414"/>
        <v>#N/A</v>
      </c>
      <c r="AS454" s="270" t="e">
        <f t="shared" si="383"/>
        <v>#N/A</v>
      </c>
      <c r="AT454" s="271">
        <f t="shared" si="415"/>
        <v>7</v>
      </c>
      <c r="AU454" s="272" t="e">
        <f t="shared" si="416"/>
        <v>#N/A</v>
      </c>
      <c r="AV454" s="273" t="e">
        <f t="shared" si="417"/>
        <v>#N/A</v>
      </c>
      <c r="AW454" s="274" t="e">
        <f t="shared" si="384"/>
        <v>#N/A</v>
      </c>
      <c r="AX454" s="232">
        <f t="shared" si="418"/>
        <v>7</v>
      </c>
      <c r="AY454" s="273" t="e">
        <f t="shared" si="385"/>
        <v>#N/A</v>
      </c>
      <c r="AZ454" s="232" t="e">
        <f t="shared" si="419"/>
        <v>#N/A</v>
      </c>
      <c r="BA454" s="232" t="e">
        <f t="shared" si="386"/>
        <v>#N/A</v>
      </c>
      <c r="BB454" s="275">
        <f t="shared" si="420"/>
        <v>7</v>
      </c>
      <c r="BC454" s="276" t="e">
        <f t="shared" si="421"/>
        <v>#N/A</v>
      </c>
      <c r="BD454" s="277" t="e">
        <f t="shared" si="422"/>
        <v>#N/A</v>
      </c>
      <c r="BE454" s="250" t="e">
        <f t="shared" si="387"/>
        <v>#N/A</v>
      </c>
      <c r="BF454" s="247">
        <f t="shared" si="423"/>
        <v>7</v>
      </c>
      <c r="BG454" s="276" t="e">
        <f t="shared" si="424"/>
        <v>#N/A</v>
      </c>
      <c r="BH454" s="277" t="e">
        <f t="shared" si="425"/>
        <v>#N/A</v>
      </c>
      <c r="BI454" s="250" t="e">
        <f t="shared" si="388"/>
        <v>#N/A</v>
      </c>
      <c r="BJ454" s="251">
        <f t="shared" si="426"/>
        <v>7</v>
      </c>
      <c r="BK454" s="278" t="e">
        <f t="shared" si="427"/>
        <v>#N/A</v>
      </c>
      <c r="BL454" s="278" t="e">
        <f t="shared" si="428"/>
        <v>#N/A</v>
      </c>
      <c r="BM454" s="279" t="e">
        <f t="shared" si="389"/>
        <v>#N/A</v>
      </c>
      <c r="BN454" s="280">
        <f t="shared" si="429"/>
        <v>7</v>
      </c>
      <c r="BO454" s="281" t="e">
        <f t="shared" si="430"/>
        <v>#N/A</v>
      </c>
      <c r="BP454" s="281" t="e">
        <f t="shared" si="431"/>
        <v>#N/A</v>
      </c>
      <c r="BQ454" s="279" t="e">
        <f t="shared" si="390"/>
        <v>#N/A</v>
      </c>
      <c r="BR454" s="282" t="e">
        <f t="shared" si="391"/>
        <v>#N/A</v>
      </c>
      <c r="BS454" s="217" t="e">
        <f>VLOOKUP($B454,SDR24_STOCK_BY_LA!$A$2:$C$11878,3,0)</f>
        <v>#N/A</v>
      </c>
      <c r="BT454" s="217" t="str">
        <f t="shared" si="432"/>
        <v/>
      </c>
    </row>
    <row r="455" spans="1:72" x14ac:dyDescent="0.2">
      <c r="A455" s="256" t="str">
        <f t="shared" si="433"/>
        <v/>
      </c>
      <c r="B455" s="217" t="str">
        <f t="shared" si="434"/>
        <v/>
      </c>
      <c r="C455" s="257" t="str">
        <f t="shared" si="392"/>
        <v/>
      </c>
      <c r="D455" s="256" t="str">
        <f>IF(B455="","",IF(totals!$Q$3=0,IFERROR(IF(AD455=2,"0",AE455),""),"-"))</f>
        <v/>
      </c>
      <c r="E455" s="258" t="str">
        <f t="shared" si="393"/>
        <v/>
      </c>
      <c r="F455" s="259" t="str">
        <f t="shared" si="394"/>
        <v/>
      </c>
      <c r="G455" s="259" t="str">
        <f t="shared" si="395"/>
        <v/>
      </c>
      <c r="H455" s="256" t="str">
        <f t="shared" si="373"/>
        <v/>
      </c>
      <c r="I455" s="259" t="str">
        <f t="shared" si="396"/>
        <v/>
      </c>
      <c r="J455" s="259" t="str">
        <f t="shared" si="397"/>
        <v/>
      </c>
      <c r="K455" s="256" t="str">
        <f t="shared" si="374"/>
        <v/>
      </c>
      <c r="L455" s="259" t="str">
        <f t="shared" si="375"/>
        <v/>
      </c>
      <c r="M455" s="259" t="str">
        <f t="shared" si="398"/>
        <v/>
      </c>
      <c r="N455" s="256" t="str">
        <f t="shared" si="399"/>
        <v/>
      </c>
      <c r="O455" s="259" t="str">
        <f t="shared" si="400"/>
        <v/>
      </c>
      <c r="P455" s="259" t="str">
        <f t="shared" si="401"/>
        <v/>
      </c>
      <c r="Q455" s="256" t="str">
        <f t="shared" si="402"/>
        <v/>
      </c>
      <c r="R455" s="259" t="str">
        <f t="shared" si="403"/>
        <v/>
      </c>
      <c r="S455" s="259" t="str">
        <f t="shared" si="404"/>
        <v/>
      </c>
      <c r="T455" s="256" t="str">
        <f t="shared" si="405"/>
        <v/>
      </c>
      <c r="U455" s="217"/>
      <c r="V455" s="217"/>
      <c r="AB455" s="257" t="e">
        <f>VLOOKUP($B$6,Lookup_Source,448,0)</f>
        <v>#N/A</v>
      </c>
      <c r="AC455" s="241" t="str">
        <f t="shared" si="406"/>
        <v/>
      </c>
      <c r="AD455" s="242">
        <f t="shared" si="407"/>
        <v>7</v>
      </c>
      <c r="AE455" s="261" t="e">
        <f t="shared" si="376"/>
        <v>#N/A</v>
      </c>
      <c r="AF455" s="264" t="e">
        <f t="shared" si="408"/>
        <v>#N/A</v>
      </c>
      <c r="AG455" s="264" t="e">
        <f t="shared" si="409"/>
        <v>#N/A</v>
      </c>
      <c r="AH455" s="263" t="e">
        <f t="shared" si="377"/>
        <v>#N/A</v>
      </c>
      <c r="AI455" s="226">
        <f t="shared" si="410"/>
        <v>7</v>
      </c>
      <c r="AJ455" s="264" t="e">
        <f t="shared" si="378"/>
        <v>#N/A</v>
      </c>
      <c r="AK455" s="264" t="e">
        <f t="shared" si="411"/>
        <v>#N/A</v>
      </c>
      <c r="AL455" s="226" t="e">
        <f t="shared" si="379"/>
        <v>#N/A</v>
      </c>
      <c r="AM455" s="265" t="e">
        <f t="shared" si="412"/>
        <v>#N/A</v>
      </c>
      <c r="AN455" s="266" t="e">
        <f t="shared" si="380"/>
        <v>#N/A</v>
      </c>
      <c r="AO455" s="227" t="e">
        <f t="shared" si="381"/>
        <v>#N/A</v>
      </c>
      <c r="AP455" s="284">
        <f t="shared" si="413"/>
        <v>7</v>
      </c>
      <c r="AQ455" s="285" t="e">
        <f t="shared" si="382"/>
        <v>#N/A</v>
      </c>
      <c r="AR455" s="266" t="e">
        <f t="shared" si="414"/>
        <v>#N/A</v>
      </c>
      <c r="AS455" s="270" t="e">
        <f t="shared" si="383"/>
        <v>#N/A</v>
      </c>
      <c r="AT455" s="271">
        <f t="shared" si="415"/>
        <v>7</v>
      </c>
      <c r="AU455" s="272" t="e">
        <f t="shared" si="416"/>
        <v>#N/A</v>
      </c>
      <c r="AV455" s="273" t="e">
        <f t="shared" si="417"/>
        <v>#N/A</v>
      </c>
      <c r="AW455" s="274" t="e">
        <f t="shared" si="384"/>
        <v>#N/A</v>
      </c>
      <c r="AX455" s="232">
        <f t="shared" si="418"/>
        <v>7</v>
      </c>
      <c r="AY455" s="273" t="e">
        <f t="shared" si="385"/>
        <v>#N/A</v>
      </c>
      <c r="AZ455" s="232" t="e">
        <f t="shared" si="419"/>
        <v>#N/A</v>
      </c>
      <c r="BA455" s="232" t="e">
        <f t="shared" si="386"/>
        <v>#N/A</v>
      </c>
      <c r="BB455" s="275">
        <f t="shared" si="420"/>
        <v>7</v>
      </c>
      <c r="BC455" s="276" t="e">
        <f t="shared" si="421"/>
        <v>#N/A</v>
      </c>
      <c r="BD455" s="277" t="e">
        <f t="shared" si="422"/>
        <v>#N/A</v>
      </c>
      <c r="BE455" s="250" t="e">
        <f t="shared" si="387"/>
        <v>#N/A</v>
      </c>
      <c r="BF455" s="247">
        <f t="shared" si="423"/>
        <v>7</v>
      </c>
      <c r="BG455" s="276" t="e">
        <f t="shared" si="424"/>
        <v>#N/A</v>
      </c>
      <c r="BH455" s="277" t="e">
        <f t="shared" si="425"/>
        <v>#N/A</v>
      </c>
      <c r="BI455" s="250" t="e">
        <f t="shared" si="388"/>
        <v>#N/A</v>
      </c>
      <c r="BJ455" s="251">
        <f t="shared" si="426"/>
        <v>7</v>
      </c>
      <c r="BK455" s="278" t="e">
        <f t="shared" si="427"/>
        <v>#N/A</v>
      </c>
      <c r="BL455" s="278" t="e">
        <f t="shared" si="428"/>
        <v>#N/A</v>
      </c>
      <c r="BM455" s="279" t="e">
        <f t="shared" si="389"/>
        <v>#N/A</v>
      </c>
      <c r="BN455" s="280">
        <f t="shared" si="429"/>
        <v>7</v>
      </c>
      <c r="BO455" s="281" t="e">
        <f t="shared" si="430"/>
        <v>#N/A</v>
      </c>
      <c r="BP455" s="281" t="e">
        <f t="shared" si="431"/>
        <v>#N/A</v>
      </c>
      <c r="BQ455" s="279" t="e">
        <f t="shared" si="390"/>
        <v>#N/A</v>
      </c>
      <c r="BR455" s="282" t="e">
        <f t="shared" si="391"/>
        <v>#N/A</v>
      </c>
      <c r="BS455" s="217" t="e">
        <f>VLOOKUP($B455,SDR24_STOCK_BY_LA!$A$2:$C$11878,3,0)</f>
        <v>#N/A</v>
      </c>
      <c r="BT455" s="217" t="str">
        <f t="shared" si="432"/>
        <v/>
      </c>
    </row>
    <row r="456" spans="1:72" x14ac:dyDescent="0.2">
      <c r="A456" s="217" t="str">
        <f t="shared" si="433"/>
        <v/>
      </c>
      <c r="B456" s="217" t="str">
        <f t="shared" si="434"/>
        <v/>
      </c>
      <c r="C456" s="283" t="str">
        <f t="shared" si="392"/>
        <v/>
      </c>
      <c r="D456" s="256" t="str">
        <f>IF(B456="","",IF(totals!$Q$3=0,IFERROR(IF(AD456=2,"0",AE456),""),"-"))</f>
        <v/>
      </c>
      <c r="E456" s="258" t="str">
        <f t="shared" si="393"/>
        <v/>
      </c>
      <c r="F456" s="259" t="str">
        <f t="shared" si="394"/>
        <v/>
      </c>
      <c r="G456" s="259" t="str">
        <f t="shared" si="395"/>
        <v/>
      </c>
      <c r="H456" s="256" t="str">
        <f t="shared" si="373"/>
        <v/>
      </c>
      <c r="I456" s="259" t="str">
        <f t="shared" si="396"/>
        <v/>
      </c>
      <c r="J456" s="259" t="str">
        <f t="shared" si="397"/>
        <v/>
      </c>
      <c r="K456" s="256" t="str">
        <f t="shared" si="374"/>
        <v/>
      </c>
      <c r="L456" s="259" t="str">
        <f t="shared" si="375"/>
        <v/>
      </c>
      <c r="M456" s="259" t="str">
        <f t="shared" si="398"/>
        <v/>
      </c>
      <c r="N456" s="256" t="str">
        <f t="shared" si="399"/>
        <v/>
      </c>
      <c r="O456" s="259" t="str">
        <f t="shared" si="400"/>
        <v/>
      </c>
      <c r="P456" s="259" t="str">
        <f t="shared" si="401"/>
        <v/>
      </c>
      <c r="Q456" s="256" t="str">
        <f t="shared" si="402"/>
        <v/>
      </c>
      <c r="R456" s="259" t="str">
        <f t="shared" si="403"/>
        <v/>
      </c>
      <c r="S456" s="259" t="str">
        <f t="shared" si="404"/>
        <v/>
      </c>
      <c r="T456" s="256" t="str">
        <f t="shared" si="405"/>
        <v/>
      </c>
      <c r="U456" s="217"/>
      <c r="V456" s="217"/>
      <c r="AB456" s="217" t="e">
        <f>VLOOKUP($B$6,Lookup_Source,449,0)</f>
        <v>#N/A</v>
      </c>
      <c r="AC456" s="241" t="str">
        <f t="shared" si="406"/>
        <v/>
      </c>
      <c r="AD456" s="242">
        <f t="shared" si="407"/>
        <v>7</v>
      </c>
      <c r="AE456" s="261" t="e">
        <f t="shared" si="376"/>
        <v>#N/A</v>
      </c>
      <c r="AF456" s="264" t="e">
        <f t="shared" si="408"/>
        <v>#N/A</v>
      </c>
      <c r="AG456" s="264" t="e">
        <f t="shared" si="409"/>
        <v>#N/A</v>
      </c>
      <c r="AH456" s="263" t="e">
        <f t="shared" si="377"/>
        <v>#N/A</v>
      </c>
      <c r="AI456" s="226">
        <f t="shared" si="410"/>
        <v>7</v>
      </c>
      <c r="AJ456" s="264" t="e">
        <f t="shared" si="378"/>
        <v>#N/A</v>
      </c>
      <c r="AK456" s="264" t="e">
        <f t="shared" si="411"/>
        <v>#N/A</v>
      </c>
      <c r="AL456" s="226" t="e">
        <f t="shared" si="379"/>
        <v>#N/A</v>
      </c>
      <c r="AM456" s="265" t="e">
        <f t="shared" si="412"/>
        <v>#N/A</v>
      </c>
      <c r="AN456" s="266" t="e">
        <f t="shared" si="380"/>
        <v>#N/A</v>
      </c>
      <c r="AO456" s="227" t="e">
        <f t="shared" si="381"/>
        <v>#N/A</v>
      </c>
      <c r="AP456" s="284">
        <f t="shared" si="413"/>
        <v>7</v>
      </c>
      <c r="AQ456" s="285" t="e">
        <f t="shared" si="382"/>
        <v>#N/A</v>
      </c>
      <c r="AR456" s="266" t="e">
        <f t="shared" si="414"/>
        <v>#N/A</v>
      </c>
      <c r="AS456" s="270" t="e">
        <f t="shared" si="383"/>
        <v>#N/A</v>
      </c>
      <c r="AT456" s="271">
        <f t="shared" si="415"/>
        <v>7</v>
      </c>
      <c r="AU456" s="272" t="e">
        <f t="shared" si="416"/>
        <v>#N/A</v>
      </c>
      <c r="AV456" s="273" t="e">
        <f t="shared" si="417"/>
        <v>#N/A</v>
      </c>
      <c r="AW456" s="274" t="e">
        <f t="shared" si="384"/>
        <v>#N/A</v>
      </c>
      <c r="AX456" s="232">
        <f t="shared" si="418"/>
        <v>7</v>
      </c>
      <c r="AY456" s="273" t="e">
        <f t="shared" si="385"/>
        <v>#N/A</v>
      </c>
      <c r="AZ456" s="232" t="e">
        <f t="shared" si="419"/>
        <v>#N/A</v>
      </c>
      <c r="BA456" s="232" t="e">
        <f t="shared" si="386"/>
        <v>#N/A</v>
      </c>
      <c r="BB456" s="275">
        <f t="shared" si="420"/>
        <v>7</v>
      </c>
      <c r="BC456" s="276" t="e">
        <f t="shared" si="421"/>
        <v>#N/A</v>
      </c>
      <c r="BD456" s="277" t="e">
        <f t="shared" si="422"/>
        <v>#N/A</v>
      </c>
      <c r="BE456" s="250" t="e">
        <f t="shared" si="387"/>
        <v>#N/A</v>
      </c>
      <c r="BF456" s="247">
        <f t="shared" si="423"/>
        <v>7</v>
      </c>
      <c r="BG456" s="276" t="e">
        <f t="shared" si="424"/>
        <v>#N/A</v>
      </c>
      <c r="BH456" s="277" t="e">
        <f t="shared" si="425"/>
        <v>#N/A</v>
      </c>
      <c r="BI456" s="250" t="e">
        <f t="shared" si="388"/>
        <v>#N/A</v>
      </c>
      <c r="BJ456" s="251">
        <f t="shared" si="426"/>
        <v>7</v>
      </c>
      <c r="BK456" s="278" t="e">
        <f t="shared" si="427"/>
        <v>#N/A</v>
      </c>
      <c r="BL456" s="278" t="e">
        <f t="shared" si="428"/>
        <v>#N/A</v>
      </c>
      <c r="BM456" s="279" t="e">
        <f t="shared" si="389"/>
        <v>#N/A</v>
      </c>
      <c r="BN456" s="280">
        <f t="shared" si="429"/>
        <v>7</v>
      </c>
      <c r="BO456" s="281" t="e">
        <f t="shared" si="430"/>
        <v>#N/A</v>
      </c>
      <c r="BP456" s="281" t="e">
        <f t="shared" si="431"/>
        <v>#N/A</v>
      </c>
      <c r="BQ456" s="279" t="e">
        <f t="shared" si="390"/>
        <v>#N/A</v>
      </c>
      <c r="BR456" s="282" t="e">
        <f t="shared" si="391"/>
        <v>#N/A</v>
      </c>
      <c r="BS456" s="217" t="e">
        <f>VLOOKUP($B456,SDR24_STOCK_BY_LA!$A$2:$C$11878,3,0)</f>
        <v>#N/A</v>
      </c>
      <c r="BT456" s="217" t="str">
        <f t="shared" si="432"/>
        <v/>
      </c>
    </row>
    <row r="457" spans="1:72" x14ac:dyDescent="0.2">
      <c r="A457" s="256" t="str">
        <f t="shared" si="433"/>
        <v/>
      </c>
      <c r="B457" s="217" t="str">
        <f t="shared" si="434"/>
        <v/>
      </c>
      <c r="C457" s="257" t="str">
        <f t="shared" si="392"/>
        <v/>
      </c>
      <c r="D457" s="256" t="str">
        <f>IF(B457="","",IF(totals!$Q$3=0,IFERROR(IF(AD457=2,"0",AE457),""),"-"))</f>
        <v/>
      </c>
      <c r="E457" s="258" t="str">
        <f t="shared" si="393"/>
        <v/>
      </c>
      <c r="F457" s="259" t="str">
        <f t="shared" si="394"/>
        <v/>
      </c>
      <c r="G457" s="259" t="str">
        <f t="shared" si="395"/>
        <v/>
      </c>
      <c r="H457" s="256" t="str">
        <f t="shared" ref="H457:H468" si="435">IFERROR(AO457,"")</f>
        <v/>
      </c>
      <c r="I457" s="259" t="str">
        <f t="shared" si="396"/>
        <v/>
      </c>
      <c r="J457" s="259" t="str">
        <f t="shared" si="397"/>
        <v/>
      </c>
      <c r="K457" s="256" t="str">
        <f t="shared" ref="K457:K468" si="436">IFERROR(AW457,"")</f>
        <v/>
      </c>
      <c r="L457" s="259" t="str">
        <f t="shared" ref="L457:L468" si="437">IFERROR(IF(AT457=2,"-",AU457),"")</f>
        <v/>
      </c>
      <c r="M457" s="259" t="str">
        <f t="shared" si="398"/>
        <v/>
      </c>
      <c r="N457" s="256" t="str">
        <f t="shared" si="399"/>
        <v/>
      </c>
      <c r="O457" s="259" t="str">
        <f t="shared" si="400"/>
        <v/>
      </c>
      <c r="P457" s="259" t="str">
        <f t="shared" si="401"/>
        <v/>
      </c>
      <c r="Q457" s="256" t="str">
        <f t="shared" si="402"/>
        <v/>
      </c>
      <c r="R457" s="259" t="str">
        <f t="shared" si="403"/>
        <v/>
      </c>
      <c r="S457" s="259" t="str">
        <f t="shared" si="404"/>
        <v/>
      </c>
      <c r="T457" s="256" t="str">
        <f t="shared" si="405"/>
        <v/>
      </c>
      <c r="U457" s="217"/>
      <c r="V457" s="217"/>
      <c r="AB457" s="257" t="e">
        <f>VLOOKUP($B$6,Lookup_Source,450,0)</f>
        <v>#N/A</v>
      </c>
      <c r="AC457" s="241" t="str">
        <f t="shared" si="406"/>
        <v/>
      </c>
      <c r="AD457" s="242">
        <f t="shared" si="407"/>
        <v>7</v>
      </c>
      <c r="AE457" s="261" t="e">
        <f t="shared" ref="AE457:AE470" si="438">SUM(VLOOKUP($B457,Totals,8,0)-1)</f>
        <v>#N/A</v>
      </c>
      <c r="AF457" s="264" t="e">
        <f t="shared" si="408"/>
        <v>#N/A</v>
      </c>
      <c r="AG457" s="264" t="e">
        <f t="shared" si="409"/>
        <v>#N/A</v>
      </c>
      <c r="AH457" s="263" t="e">
        <f t="shared" ref="AH457:AH470" si="439">VLOOKUP($BT457,Stock_By_LA,2,0)</f>
        <v>#N/A</v>
      </c>
      <c r="AI457" s="226">
        <f t="shared" si="410"/>
        <v>7</v>
      </c>
      <c r="AJ457" s="264" t="e">
        <f t="shared" ref="AJ457:AJ470" si="440">IF(AK457&gt;0,AK457,"-")</f>
        <v>#N/A</v>
      </c>
      <c r="AK457" s="264" t="e">
        <f t="shared" si="411"/>
        <v>#N/A</v>
      </c>
      <c r="AL457" s="226" t="e">
        <f t="shared" ref="AL457:AL470" si="441">VLOOKUP($B457,Totals,7,0)</f>
        <v>#N/A</v>
      </c>
      <c r="AM457" s="265" t="e">
        <f t="shared" si="412"/>
        <v>#N/A</v>
      </c>
      <c r="AN457" s="266" t="e">
        <f t="shared" ref="AN457:AN470" si="442">$AO457/$AO$8</f>
        <v>#N/A</v>
      </c>
      <c r="AO457" s="227" t="e">
        <f t="shared" ref="AO457:AO470" si="443">VLOOKUP($BT457,Stock_By_LA,3,0)</f>
        <v>#N/A</v>
      </c>
      <c r="AP457" s="284">
        <f t="shared" si="413"/>
        <v>7</v>
      </c>
      <c r="AQ457" s="285" t="e">
        <f t="shared" ref="AQ457:AQ470" si="444">IF(AR457&gt;0,AR457,"-")</f>
        <v>#N/A</v>
      </c>
      <c r="AR457" s="266" t="e">
        <f t="shared" si="414"/>
        <v>#N/A</v>
      </c>
      <c r="AS457" s="270" t="e">
        <f t="shared" ref="AS457:AS470" si="445">VLOOKUP($B457,Totals,2,0)</f>
        <v>#N/A</v>
      </c>
      <c r="AT457" s="271">
        <f t="shared" si="415"/>
        <v>7</v>
      </c>
      <c r="AU457" s="272" t="e">
        <f t="shared" si="416"/>
        <v>#N/A</v>
      </c>
      <c r="AV457" s="273" t="e">
        <f t="shared" si="417"/>
        <v>#N/A</v>
      </c>
      <c r="AW457" s="274" t="e">
        <f t="shared" ref="AW457:AW470" si="446">VLOOKUP($BT457,Stock_By_LA,4,0)</f>
        <v>#N/A</v>
      </c>
      <c r="AX457" s="232">
        <f t="shared" si="418"/>
        <v>7</v>
      </c>
      <c r="AY457" s="273" t="e">
        <f t="shared" ref="AY457:AY470" si="447">IF(AZ457&gt;0,AZ457,"-")</f>
        <v>#N/A</v>
      </c>
      <c r="AZ457" s="232" t="e">
        <f t="shared" si="419"/>
        <v>#N/A</v>
      </c>
      <c r="BA457" s="232" t="e">
        <f t="shared" ref="BA457:BA470" si="448">VLOOKUP($B457,Totals,3,0)</f>
        <v>#N/A</v>
      </c>
      <c r="BB457" s="275">
        <f t="shared" si="420"/>
        <v>7</v>
      </c>
      <c r="BC457" s="276" t="e">
        <f t="shared" si="421"/>
        <v>#N/A</v>
      </c>
      <c r="BD457" s="277" t="e">
        <f t="shared" si="422"/>
        <v>#N/A</v>
      </c>
      <c r="BE457" s="250" t="e">
        <f t="shared" ref="BE457:BE470" si="449">VLOOKUP($BT457,Stock_By_LA,5,0)</f>
        <v>#N/A</v>
      </c>
      <c r="BF457" s="247">
        <f t="shared" si="423"/>
        <v>7</v>
      </c>
      <c r="BG457" s="276" t="e">
        <f t="shared" si="424"/>
        <v>#N/A</v>
      </c>
      <c r="BH457" s="277" t="e">
        <f t="shared" si="425"/>
        <v>#N/A</v>
      </c>
      <c r="BI457" s="250" t="e">
        <f t="shared" ref="BI457:BI470" si="450">VLOOKUP($B457,Totals,4,0)</f>
        <v>#N/A</v>
      </c>
      <c r="BJ457" s="251">
        <f t="shared" si="426"/>
        <v>7</v>
      </c>
      <c r="BK457" s="278" t="e">
        <f t="shared" si="427"/>
        <v>#N/A</v>
      </c>
      <c r="BL457" s="278" t="e">
        <f t="shared" si="428"/>
        <v>#N/A</v>
      </c>
      <c r="BM457" s="279" t="e">
        <f t="shared" ref="BM457:BM470" si="451">VLOOKUP($BT457,Stock_By_LA,6,0)</f>
        <v>#N/A</v>
      </c>
      <c r="BN457" s="280">
        <f t="shared" si="429"/>
        <v>7</v>
      </c>
      <c r="BO457" s="281" t="e">
        <f t="shared" si="430"/>
        <v>#N/A</v>
      </c>
      <c r="BP457" s="281" t="e">
        <f t="shared" si="431"/>
        <v>#N/A</v>
      </c>
      <c r="BQ457" s="279" t="e">
        <f t="shared" ref="BQ457:BQ470" si="452">VLOOKUP($B457,Totals,5,0)</f>
        <v>#N/A</v>
      </c>
      <c r="BR457" s="282" t="e">
        <f t="shared" ref="BR457:BR470" si="453">VLOOKUP($BT457,Stock_By_LA,8,0)</f>
        <v>#N/A</v>
      </c>
      <c r="BS457" s="217" t="e">
        <f>VLOOKUP($B457,SDR24_STOCK_BY_LA!$A$2:$C$11878,3,0)</f>
        <v>#N/A</v>
      </c>
      <c r="BT457" s="217" t="str">
        <f t="shared" si="432"/>
        <v/>
      </c>
    </row>
    <row r="458" spans="1:72" x14ac:dyDescent="0.2">
      <c r="A458" s="217" t="str">
        <f t="shared" si="433"/>
        <v/>
      </c>
      <c r="B458" s="217" t="str">
        <f t="shared" si="434"/>
        <v/>
      </c>
      <c r="C458" s="283" t="str">
        <f t="shared" ref="C458:C468" si="454">IFERROR(BS458,"")</f>
        <v/>
      </c>
      <c r="D458" s="256" t="str">
        <f>IF(B458="","",IF(totals!$Q$3=0,IFERROR(IF(AD458=2,"0",AE458),""),"-"))</f>
        <v/>
      </c>
      <c r="E458" s="258" t="str">
        <f t="shared" ref="E458:E468" si="455">IFERROR(AH458,"")</f>
        <v/>
      </c>
      <c r="F458" s="259" t="str">
        <f t="shared" ref="F458:F468" si="456">IFERROR(AF458,"")</f>
        <v/>
      </c>
      <c r="G458" s="259" t="str">
        <f t="shared" ref="G458:G468" si="457">IFERROR(IF(AI458=2,"-",AJ458),"")</f>
        <v/>
      </c>
      <c r="H458" s="256" t="str">
        <f t="shared" si="435"/>
        <v/>
      </c>
      <c r="I458" s="259" t="str">
        <f t="shared" ref="I458:I468" si="458">IFERROR(AM458,"")</f>
        <v/>
      </c>
      <c r="J458" s="259" t="str">
        <f t="shared" ref="J458:J468" si="459">IFERROR(IF(AP458=2,"-",AQ458),"")</f>
        <v/>
      </c>
      <c r="K458" s="256" t="str">
        <f t="shared" si="436"/>
        <v/>
      </c>
      <c r="L458" s="259" t="str">
        <f t="shared" si="437"/>
        <v/>
      </c>
      <c r="M458" s="259" t="str">
        <f t="shared" ref="M458:M468" si="460">IFERROR(IF(AX458=2,"-",AY458),"")</f>
        <v/>
      </c>
      <c r="N458" s="256" t="str">
        <f t="shared" ref="N458:N468" si="461">IFERROR(BE458,"")</f>
        <v/>
      </c>
      <c r="O458" s="259" t="str">
        <f t="shared" ref="O458:O468" si="462">IFERROR(IF(BB458=2,"-",BC458),"")</f>
        <v/>
      </c>
      <c r="P458" s="259" t="str">
        <f t="shared" ref="P458:P468" si="463">IFERROR(IF(BF458=2,"-",BG458),"")</f>
        <v/>
      </c>
      <c r="Q458" s="256" t="str">
        <f t="shared" ref="Q458:Q468" si="464">IFERROR(BM458,"")</f>
        <v/>
      </c>
      <c r="R458" s="259" t="str">
        <f t="shared" ref="R458:R468" si="465">IFERROR(IF(BJ458=2,"-",BK458),"")</f>
        <v/>
      </c>
      <c r="S458" s="259" t="str">
        <f t="shared" ref="S458:S468" si="466">IFERROR(IF(BN458=2,"-",BO458),"")</f>
        <v/>
      </c>
      <c r="T458" s="256" t="str">
        <f t="shared" ref="T458:T468" si="467">IFERROR(BR458,"")</f>
        <v/>
      </c>
      <c r="U458" s="217"/>
      <c r="V458" s="217"/>
      <c r="AB458" s="217" t="e">
        <f>VLOOKUP($B$6,Lookup_Source,451,0)</f>
        <v>#N/A</v>
      </c>
      <c r="AC458" s="241" t="str">
        <f t="shared" ref="AC458:AC470" si="468">IF(ISNUMBER(SEARCH("*",B458)),1,"")</f>
        <v/>
      </c>
      <c r="AD458" s="242">
        <f t="shared" ref="AD458:AD470" si="469">IFERROR(ERROR.TYPE(AE458),0)</f>
        <v>7</v>
      </c>
      <c r="AE458" s="261" t="e">
        <f t="shared" si="438"/>
        <v>#N/A</v>
      </c>
      <c r="AF458" s="264" t="e">
        <f t="shared" ref="AF458:AF470" si="470">IF(AG458&gt;0,AG458,"-")</f>
        <v>#N/A</v>
      </c>
      <c r="AG458" s="264" t="e">
        <f t="shared" ref="AG458:AG470" si="471">$AH458/$AH$8</f>
        <v>#N/A</v>
      </c>
      <c r="AH458" s="263" t="e">
        <f t="shared" si="439"/>
        <v>#N/A</v>
      </c>
      <c r="AI458" s="226">
        <f t="shared" ref="AI458:AI470" si="472">IFERROR(ERROR.TYPE(AJ458),0)</f>
        <v>7</v>
      </c>
      <c r="AJ458" s="264" t="e">
        <f t="shared" si="440"/>
        <v>#N/A</v>
      </c>
      <c r="AK458" s="264" t="e">
        <f t="shared" ref="AK458:AK470" si="473">$AH458/$AL458</f>
        <v>#N/A</v>
      </c>
      <c r="AL458" s="226" t="e">
        <f t="shared" si="441"/>
        <v>#N/A</v>
      </c>
      <c r="AM458" s="265" t="e">
        <f t="shared" ref="AM458:AM470" si="474">IF(AN458&gt;0,AN458,"-")</f>
        <v>#N/A</v>
      </c>
      <c r="AN458" s="266" t="e">
        <f t="shared" si="442"/>
        <v>#N/A</v>
      </c>
      <c r="AO458" s="227" t="e">
        <f t="shared" si="443"/>
        <v>#N/A</v>
      </c>
      <c r="AP458" s="284">
        <f t="shared" ref="AP458:AP470" si="475">IFERROR(ERROR.TYPE(AQ458),0)</f>
        <v>7</v>
      </c>
      <c r="AQ458" s="285" t="e">
        <f t="shared" si="444"/>
        <v>#N/A</v>
      </c>
      <c r="AR458" s="266" t="e">
        <f t="shared" ref="AR458:AR470" si="476">$AO458/$AS458</f>
        <v>#N/A</v>
      </c>
      <c r="AS458" s="270" t="e">
        <f t="shared" si="445"/>
        <v>#N/A</v>
      </c>
      <c r="AT458" s="271">
        <f t="shared" ref="AT458:AT470" si="477">IFERROR(ERROR.TYPE(AU458),0)</f>
        <v>7</v>
      </c>
      <c r="AU458" s="272" t="e">
        <f t="shared" ref="AU458:AU470" si="478">IF(AV458&gt;0,AV458,"-")</f>
        <v>#N/A</v>
      </c>
      <c r="AV458" s="273" t="e">
        <f t="shared" ref="AV458:AV470" si="479">AW458/$AW$8</f>
        <v>#N/A</v>
      </c>
      <c r="AW458" s="274" t="e">
        <f t="shared" si="446"/>
        <v>#N/A</v>
      </c>
      <c r="AX458" s="232">
        <f t="shared" ref="AX458:AX470" si="480">IFERROR(ERROR.TYPE(AY458),0)</f>
        <v>7</v>
      </c>
      <c r="AY458" s="273" t="e">
        <f t="shared" si="447"/>
        <v>#N/A</v>
      </c>
      <c r="AZ458" s="232" t="e">
        <f t="shared" ref="AZ458:AZ470" si="481">$AW458/$BA458</f>
        <v>#N/A</v>
      </c>
      <c r="BA458" s="232" t="e">
        <f t="shared" si="448"/>
        <v>#N/A</v>
      </c>
      <c r="BB458" s="275">
        <f t="shared" ref="BB458:BB470" si="482">IFERROR(ERROR.TYPE(BC458),0)</f>
        <v>7</v>
      </c>
      <c r="BC458" s="276" t="e">
        <f t="shared" ref="BC458:BC470" si="483">IF(BD458&gt;0,BD458,"-")</f>
        <v>#N/A</v>
      </c>
      <c r="BD458" s="277" t="e">
        <f t="shared" ref="BD458:BD470" si="484">$BE458/$BE$8</f>
        <v>#N/A</v>
      </c>
      <c r="BE458" s="250" t="e">
        <f t="shared" si="449"/>
        <v>#N/A</v>
      </c>
      <c r="BF458" s="247">
        <f t="shared" ref="BF458:BF470" si="485">IFERROR(ERROR.TYPE(BG458),0)</f>
        <v>7</v>
      </c>
      <c r="BG458" s="276" t="e">
        <f t="shared" ref="BG458:BG470" si="486">IF(BH458&gt;0,BH458,"-")</f>
        <v>#N/A</v>
      </c>
      <c r="BH458" s="277" t="e">
        <f t="shared" ref="BH458:BH470" si="487">$BE458/$BI458</f>
        <v>#N/A</v>
      </c>
      <c r="BI458" s="250" t="e">
        <f t="shared" si="450"/>
        <v>#N/A</v>
      </c>
      <c r="BJ458" s="251">
        <f t="shared" ref="BJ458:BJ470" si="488">IFERROR(ERROR.TYPE(BK458),0)</f>
        <v>7</v>
      </c>
      <c r="BK458" s="278" t="e">
        <f t="shared" ref="BK458:BK470" si="489">IF(BL458&gt;0,BL458,"-")</f>
        <v>#N/A</v>
      </c>
      <c r="BL458" s="278" t="e">
        <f t="shared" ref="BL458:BL470" si="490">$BM458/$BM$8</f>
        <v>#N/A</v>
      </c>
      <c r="BM458" s="279" t="e">
        <f t="shared" si="451"/>
        <v>#N/A</v>
      </c>
      <c r="BN458" s="280">
        <f t="shared" ref="BN458:BN470" si="491">IFERROR(ERROR.TYPE(BO458),0)</f>
        <v>7</v>
      </c>
      <c r="BO458" s="281" t="e">
        <f t="shared" ref="BO458:BO470" si="492">IF(BP458&gt;0,BP458,"-")</f>
        <v>#N/A</v>
      </c>
      <c r="BP458" s="281" t="e">
        <f t="shared" ref="BP458:BP470" si="493">$BM458/$BQ458</f>
        <v>#N/A</v>
      </c>
      <c r="BQ458" s="279" t="e">
        <f t="shared" si="452"/>
        <v>#N/A</v>
      </c>
      <c r="BR458" s="282" t="e">
        <f t="shared" si="453"/>
        <v>#N/A</v>
      </c>
      <c r="BS458" s="217" t="e">
        <f>VLOOKUP($B458,SDR24_STOCK_BY_LA!$A$2:$C$11878,3,0)</f>
        <v>#N/A</v>
      </c>
      <c r="BT458" s="217" t="str">
        <f t="shared" ref="BT458:BT470" si="494">$B$6&amp;$B458</f>
        <v/>
      </c>
    </row>
    <row r="459" spans="1:72" x14ac:dyDescent="0.2">
      <c r="A459" s="256" t="str">
        <f t="shared" ref="A459:A468" si="495">IF(AC459=1,A458+1,"")</f>
        <v/>
      </c>
      <c r="B459" s="217" t="str">
        <f t="shared" si="434"/>
        <v/>
      </c>
      <c r="C459" s="257" t="str">
        <f t="shared" si="454"/>
        <v/>
      </c>
      <c r="D459" s="256" t="str">
        <f>IF(B459="","",IF(totals!$Q$3=0,IFERROR(IF(AD459=2,"0",AE459),""),"-"))</f>
        <v/>
      </c>
      <c r="E459" s="258" t="str">
        <f t="shared" si="455"/>
        <v/>
      </c>
      <c r="F459" s="259" t="str">
        <f t="shared" si="456"/>
        <v/>
      </c>
      <c r="G459" s="259" t="str">
        <f t="shared" si="457"/>
        <v/>
      </c>
      <c r="H459" s="256" t="str">
        <f t="shared" si="435"/>
        <v/>
      </c>
      <c r="I459" s="259" t="str">
        <f t="shared" si="458"/>
        <v/>
      </c>
      <c r="J459" s="259" t="str">
        <f t="shared" si="459"/>
        <v/>
      </c>
      <c r="K459" s="256" t="str">
        <f t="shared" si="436"/>
        <v/>
      </c>
      <c r="L459" s="259" t="str">
        <f t="shared" si="437"/>
        <v/>
      </c>
      <c r="M459" s="259" t="str">
        <f t="shared" si="460"/>
        <v/>
      </c>
      <c r="N459" s="256" t="str">
        <f t="shared" si="461"/>
        <v/>
      </c>
      <c r="O459" s="259" t="str">
        <f t="shared" si="462"/>
        <v/>
      </c>
      <c r="P459" s="259" t="str">
        <f t="shared" si="463"/>
        <v/>
      </c>
      <c r="Q459" s="256" t="str">
        <f t="shared" si="464"/>
        <v/>
      </c>
      <c r="R459" s="259" t="str">
        <f t="shared" si="465"/>
        <v/>
      </c>
      <c r="S459" s="259" t="str">
        <f t="shared" si="466"/>
        <v/>
      </c>
      <c r="T459" s="256" t="str">
        <f t="shared" si="467"/>
        <v/>
      </c>
      <c r="U459" s="217"/>
      <c r="V459" s="217"/>
      <c r="AB459" s="257" t="e">
        <f>VLOOKUP($B$6,Lookup_Source,452,0)</f>
        <v>#N/A</v>
      </c>
      <c r="AC459" s="241" t="str">
        <f t="shared" si="468"/>
        <v/>
      </c>
      <c r="AD459" s="242">
        <f t="shared" si="469"/>
        <v>7</v>
      </c>
      <c r="AE459" s="261" t="e">
        <f t="shared" si="438"/>
        <v>#N/A</v>
      </c>
      <c r="AF459" s="264" t="e">
        <f t="shared" si="470"/>
        <v>#N/A</v>
      </c>
      <c r="AG459" s="264" t="e">
        <f t="shared" si="471"/>
        <v>#N/A</v>
      </c>
      <c r="AH459" s="263" t="e">
        <f t="shared" si="439"/>
        <v>#N/A</v>
      </c>
      <c r="AI459" s="226">
        <f t="shared" si="472"/>
        <v>7</v>
      </c>
      <c r="AJ459" s="264" t="e">
        <f t="shared" si="440"/>
        <v>#N/A</v>
      </c>
      <c r="AK459" s="264" t="e">
        <f t="shared" si="473"/>
        <v>#N/A</v>
      </c>
      <c r="AL459" s="226" t="e">
        <f t="shared" si="441"/>
        <v>#N/A</v>
      </c>
      <c r="AM459" s="265" t="e">
        <f t="shared" si="474"/>
        <v>#N/A</v>
      </c>
      <c r="AN459" s="266" t="e">
        <f t="shared" si="442"/>
        <v>#N/A</v>
      </c>
      <c r="AO459" s="227" t="e">
        <f t="shared" si="443"/>
        <v>#N/A</v>
      </c>
      <c r="AP459" s="284">
        <f t="shared" si="475"/>
        <v>7</v>
      </c>
      <c r="AQ459" s="285" t="e">
        <f t="shared" si="444"/>
        <v>#N/A</v>
      </c>
      <c r="AR459" s="266" t="e">
        <f t="shared" si="476"/>
        <v>#N/A</v>
      </c>
      <c r="AS459" s="270" t="e">
        <f t="shared" si="445"/>
        <v>#N/A</v>
      </c>
      <c r="AT459" s="271">
        <f t="shared" si="477"/>
        <v>7</v>
      </c>
      <c r="AU459" s="272" t="e">
        <f t="shared" si="478"/>
        <v>#N/A</v>
      </c>
      <c r="AV459" s="273" t="e">
        <f t="shared" si="479"/>
        <v>#N/A</v>
      </c>
      <c r="AW459" s="274" t="e">
        <f t="shared" si="446"/>
        <v>#N/A</v>
      </c>
      <c r="AX459" s="232">
        <f t="shared" si="480"/>
        <v>7</v>
      </c>
      <c r="AY459" s="273" t="e">
        <f t="shared" si="447"/>
        <v>#N/A</v>
      </c>
      <c r="AZ459" s="232" t="e">
        <f t="shared" si="481"/>
        <v>#N/A</v>
      </c>
      <c r="BA459" s="232" t="e">
        <f t="shared" si="448"/>
        <v>#N/A</v>
      </c>
      <c r="BB459" s="275">
        <f t="shared" si="482"/>
        <v>7</v>
      </c>
      <c r="BC459" s="276" t="e">
        <f t="shared" si="483"/>
        <v>#N/A</v>
      </c>
      <c r="BD459" s="277" t="e">
        <f t="shared" si="484"/>
        <v>#N/A</v>
      </c>
      <c r="BE459" s="250" t="e">
        <f t="shared" si="449"/>
        <v>#N/A</v>
      </c>
      <c r="BF459" s="247">
        <f t="shared" si="485"/>
        <v>7</v>
      </c>
      <c r="BG459" s="276" t="e">
        <f t="shared" si="486"/>
        <v>#N/A</v>
      </c>
      <c r="BH459" s="277" t="e">
        <f t="shared" si="487"/>
        <v>#N/A</v>
      </c>
      <c r="BI459" s="250" t="e">
        <f t="shared" si="450"/>
        <v>#N/A</v>
      </c>
      <c r="BJ459" s="251">
        <f t="shared" si="488"/>
        <v>7</v>
      </c>
      <c r="BK459" s="278" t="e">
        <f t="shared" si="489"/>
        <v>#N/A</v>
      </c>
      <c r="BL459" s="278" t="e">
        <f t="shared" si="490"/>
        <v>#N/A</v>
      </c>
      <c r="BM459" s="279" t="e">
        <f t="shared" si="451"/>
        <v>#N/A</v>
      </c>
      <c r="BN459" s="280">
        <f t="shared" si="491"/>
        <v>7</v>
      </c>
      <c r="BO459" s="281" t="e">
        <f t="shared" si="492"/>
        <v>#N/A</v>
      </c>
      <c r="BP459" s="281" t="e">
        <f t="shared" si="493"/>
        <v>#N/A</v>
      </c>
      <c r="BQ459" s="279" t="e">
        <f t="shared" si="452"/>
        <v>#N/A</v>
      </c>
      <c r="BR459" s="282" t="e">
        <f t="shared" si="453"/>
        <v>#N/A</v>
      </c>
      <c r="BS459" s="217" t="e">
        <f>VLOOKUP($B459,SDR24_STOCK_BY_LA!$A$2:$C$11878,3,0)</f>
        <v>#N/A</v>
      </c>
      <c r="BT459" s="217" t="str">
        <f t="shared" si="494"/>
        <v/>
      </c>
    </row>
    <row r="460" spans="1:72" x14ac:dyDescent="0.2">
      <c r="A460" s="217" t="str">
        <f t="shared" si="495"/>
        <v/>
      </c>
      <c r="B460" s="217" t="str">
        <f t="shared" si="434"/>
        <v/>
      </c>
      <c r="C460" s="283" t="str">
        <f t="shared" si="454"/>
        <v/>
      </c>
      <c r="D460" s="256" t="str">
        <f>IF(B460="","",IF(totals!$Q$3=0,IFERROR(IF(AD460=2,"0",AE460),""),"-"))</f>
        <v/>
      </c>
      <c r="E460" s="258" t="str">
        <f t="shared" si="455"/>
        <v/>
      </c>
      <c r="F460" s="259" t="str">
        <f t="shared" si="456"/>
        <v/>
      </c>
      <c r="G460" s="259" t="str">
        <f t="shared" si="457"/>
        <v/>
      </c>
      <c r="H460" s="256" t="str">
        <f t="shared" si="435"/>
        <v/>
      </c>
      <c r="I460" s="259" t="str">
        <f t="shared" si="458"/>
        <v/>
      </c>
      <c r="J460" s="259" t="str">
        <f t="shared" si="459"/>
        <v/>
      </c>
      <c r="K460" s="256" t="str">
        <f t="shared" si="436"/>
        <v/>
      </c>
      <c r="L460" s="259" t="str">
        <f t="shared" si="437"/>
        <v/>
      </c>
      <c r="M460" s="259" t="str">
        <f t="shared" si="460"/>
        <v/>
      </c>
      <c r="N460" s="256" t="str">
        <f t="shared" si="461"/>
        <v/>
      </c>
      <c r="O460" s="259" t="str">
        <f t="shared" si="462"/>
        <v/>
      </c>
      <c r="P460" s="259" t="str">
        <f t="shared" si="463"/>
        <v/>
      </c>
      <c r="Q460" s="256" t="str">
        <f t="shared" si="464"/>
        <v/>
      </c>
      <c r="R460" s="259" t="str">
        <f t="shared" si="465"/>
        <v/>
      </c>
      <c r="S460" s="259" t="str">
        <f t="shared" si="466"/>
        <v/>
      </c>
      <c r="T460" s="256" t="str">
        <f t="shared" si="467"/>
        <v/>
      </c>
      <c r="U460" s="217"/>
      <c r="V460" s="217"/>
      <c r="AB460" s="217" t="e">
        <f>VLOOKUP($B$6,Lookup_Source,453,0)</f>
        <v>#N/A</v>
      </c>
      <c r="AC460" s="241" t="str">
        <f t="shared" si="468"/>
        <v/>
      </c>
      <c r="AD460" s="242">
        <f t="shared" si="469"/>
        <v>7</v>
      </c>
      <c r="AE460" s="261" t="e">
        <f t="shared" si="438"/>
        <v>#N/A</v>
      </c>
      <c r="AF460" s="264" t="e">
        <f t="shared" si="470"/>
        <v>#N/A</v>
      </c>
      <c r="AG460" s="264" t="e">
        <f t="shared" si="471"/>
        <v>#N/A</v>
      </c>
      <c r="AH460" s="263" t="e">
        <f t="shared" si="439"/>
        <v>#N/A</v>
      </c>
      <c r="AI460" s="226">
        <f t="shared" si="472"/>
        <v>7</v>
      </c>
      <c r="AJ460" s="264" t="e">
        <f t="shared" si="440"/>
        <v>#N/A</v>
      </c>
      <c r="AK460" s="264" t="e">
        <f t="shared" si="473"/>
        <v>#N/A</v>
      </c>
      <c r="AL460" s="226" t="e">
        <f t="shared" si="441"/>
        <v>#N/A</v>
      </c>
      <c r="AM460" s="265" t="e">
        <f t="shared" si="474"/>
        <v>#N/A</v>
      </c>
      <c r="AN460" s="266" t="e">
        <f t="shared" si="442"/>
        <v>#N/A</v>
      </c>
      <c r="AO460" s="227" t="e">
        <f t="shared" si="443"/>
        <v>#N/A</v>
      </c>
      <c r="AP460" s="284">
        <f t="shared" si="475"/>
        <v>7</v>
      </c>
      <c r="AQ460" s="285" t="e">
        <f t="shared" si="444"/>
        <v>#N/A</v>
      </c>
      <c r="AR460" s="266" t="e">
        <f t="shared" si="476"/>
        <v>#N/A</v>
      </c>
      <c r="AS460" s="270" t="e">
        <f t="shared" si="445"/>
        <v>#N/A</v>
      </c>
      <c r="AT460" s="271">
        <f t="shared" si="477"/>
        <v>7</v>
      </c>
      <c r="AU460" s="272" t="e">
        <f t="shared" si="478"/>
        <v>#N/A</v>
      </c>
      <c r="AV460" s="273" t="e">
        <f t="shared" si="479"/>
        <v>#N/A</v>
      </c>
      <c r="AW460" s="274" t="e">
        <f t="shared" si="446"/>
        <v>#N/A</v>
      </c>
      <c r="AX460" s="232">
        <f t="shared" si="480"/>
        <v>7</v>
      </c>
      <c r="AY460" s="273" t="e">
        <f t="shared" si="447"/>
        <v>#N/A</v>
      </c>
      <c r="AZ460" s="232" t="e">
        <f t="shared" si="481"/>
        <v>#N/A</v>
      </c>
      <c r="BA460" s="232" t="e">
        <f t="shared" si="448"/>
        <v>#N/A</v>
      </c>
      <c r="BB460" s="275">
        <f t="shared" si="482"/>
        <v>7</v>
      </c>
      <c r="BC460" s="276" t="e">
        <f t="shared" si="483"/>
        <v>#N/A</v>
      </c>
      <c r="BD460" s="277" t="e">
        <f t="shared" si="484"/>
        <v>#N/A</v>
      </c>
      <c r="BE460" s="250" t="e">
        <f t="shared" si="449"/>
        <v>#N/A</v>
      </c>
      <c r="BF460" s="247">
        <f t="shared" si="485"/>
        <v>7</v>
      </c>
      <c r="BG460" s="276" t="e">
        <f t="shared" si="486"/>
        <v>#N/A</v>
      </c>
      <c r="BH460" s="277" t="e">
        <f t="shared" si="487"/>
        <v>#N/A</v>
      </c>
      <c r="BI460" s="250" t="e">
        <f t="shared" si="450"/>
        <v>#N/A</v>
      </c>
      <c r="BJ460" s="251">
        <f t="shared" si="488"/>
        <v>7</v>
      </c>
      <c r="BK460" s="278" t="e">
        <f t="shared" si="489"/>
        <v>#N/A</v>
      </c>
      <c r="BL460" s="278" t="e">
        <f t="shared" si="490"/>
        <v>#N/A</v>
      </c>
      <c r="BM460" s="279" t="e">
        <f t="shared" si="451"/>
        <v>#N/A</v>
      </c>
      <c r="BN460" s="280">
        <f t="shared" si="491"/>
        <v>7</v>
      </c>
      <c r="BO460" s="281" t="e">
        <f t="shared" si="492"/>
        <v>#N/A</v>
      </c>
      <c r="BP460" s="281" t="e">
        <f t="shared" si="493"/>
        <v>#N/A</v>
      </c>
      <c r="BQ460" s="279" t="e">
        <f t="shared" si="452"/>
        <v>#N/A</v>
      </c>
      <c r="BR460" s="282" t="e">
        <f t="shared" si="453"/>
        <v>#N/A</v>
      </c>
      <c r="BS460" s="217" t="e">
        <f>VLOOKUP($B460,SDR24_STOCK_BY_LA!$A$2:$C$11878,3,0)</f>
        <v>#N/A</v>
      </c>
      <c r="BT460" s="217" t="str">
        <f t="shared" si="494"/>
        <v/>
      </c>
    </row>
    <row r="461" spans="1:72" x14ac:dyDescent="0.2">
      <c r="A461" s="256" t="str">
        <f t="shared" si="495"/>
        <v/>
      </c>
      <c r="B461" s="217" t="str">
        <f t="shared" ref="B461:B468" si="496">IFERROR(IF(AB461=0,"",AB461),"")</f>
        <v/>
      </c>
      <c r="C461" s="257" t="str">
        <f t="shared" si="454"/>
        <v/>
      </c>
      <c r="D461" s="256" t="str">
        <f>IF(B461="","",IF(totals!$Q$3=0,IFERROR(IF(AD461=2,"0",AE461),""),"-"))</f>
        <v/>
      </c>
      <c r="E461" s="258" t="str">
        <f t="shared" si="455"/>
        <v/>
      </c>
      <c r="F461" s="259" t="str">
        <f t="shared" si="456"/>
        <v/>
      </c>
      <c r="G461" s="259" t="str">
        <f t="shared" si="457"/>
        <v/>
      </c>
      <c r="H461" s="256" t="str">
        <f t="shared" si="435"/>
        <v/>
      </c>
      <c r="I461" s="259" t="str">
        <f t="shared" si="458"/>
        <v/>
      </c>
      <c r="J461" s="259" t="str">
        <f t="shared" si="459"/>
        <v/>
      </c>
      <c r="K461" s="256" t="str">
        <f t="shared" si="436"/>
        <v/>
      </c>
      <c r="L461" s="259" t="str">
        <f t="shared" si="437"/>
        <v/>
      </c>
      <c r="M461" s="259" t="str">
        <f t="shared" si="460"/>
        <v/>
      </c>
      <c r="N461" s="256" t="str">
        <f t="shared" si="461"/>
        <v/>
      </c>
      <c r="O461" s="259" t="str">
        <f t="shared" si="462"/>
        <v/>
      </c>
      <c r="P461" s="259" t="str">
        <f t="shared" si="463"/>
        <v/>
      </c>
      <c r="Q461" s="256" t="str">
        <f t="shared" si="464"/>
        <v/>
      </c>
      <c r="R461" s="259" t="str">
        <f t="shared" si="465"/>
        <v/>
      </c>
      <c r="S461" s="259" t="str">
        <f t="shared" si="466"/>
        <v/>
      </c>
      <c r="T461" s="256" t="str">
        <f t="shared" si="467"/>
        <v/>
      </c>
      <c r="U461" s="217"/>
      <c r="V461" s="217"/>
      <c r="AB461" s="257" t="e">
        <f>VLOOKUP($B$6,Lookup_Source,454,0)</f>
        <v>#N/A</v>
      </c>
      <c r="AC461" s="241" t="str">
        <f t="shared" si="468"/>
        <v/>
      </c>
      <c r="AD461" s="242">
        <f t="shared" si="469"/>
        <v>7</v>
      </c>
      <c r="AE461" s="261" t="e">
        <f t="shared" si="438"/>
        <v>#N/A</v>
      </c>
      <c r="AF461" s="264" t="e">
        <f t="shared" si="470"/>
        <v>#N/A</v>
      </c>
      <c r="AG461" s="264" t="e">
        <f t="shared" si="471"/>
        <v>#N/A</v>
      </c>
      <c r="AH461" s="263" t="e">
        <f t="shared" si="439"/>
        <v>#N/A</v>
      </c>
      <c r="AI461" s="226">
        <f t="shared" si="472"/>
        <v>7</v>
      </c>
      <c r="AJ461" s="264" t="e">
        <f t="shared" si="440"/>
        <v>#N/A</v>
      </c>
      <c r="AK461" s="264" t="e">
        <f t="shared" si="473"/>
        <v>#N/A</v>
      </c>
      <c r="AL461" s="226" t="e">
        <f t="shared" si="441"/>
        <v>#N/A</v>
      </c>
      <c r="AM461" s="265" t="e">
        <f t="shared" si="474"/>
        <v>#N/A</v>
      </c>
      <c r="AN461" s="266" t="e">
        <f t="shared" si="442"/>
        <v>#N/A</v>
      </c>
      <c r="AO461" s="227" t="e">
        <f t="shared" si="443"/>
        <v>#N/A</v>
      </c>
      <c r="AP461" s="284">
        <f t="shared" si="475"/>
        <v>7</v>
      </c>
      <c r="AQ461" s="285" t="e">
        <f t="shared" si="444"/>
        <v>#N/A</v>
      </c>
      <c r="AR461" s="266" t="e">
        <f t="shared" si="476"/>
        <v>#N/A</v>
      </c>
      <c r="AS461" s="270" t="e">
        <f t="shared" si="445"/>
        <v>#N/A</v>
      </c>
      <c r="AT461" s="271">
        <f t="shared" si="477"/>
        <v>7</v>
      </c>
      <c r="AU461" s="272" t="e">
        <f t="shared" si="478"/>
        <v>#N/A</v>
      </c>
      <c r="AV461" s="273" t="e">
        <f t="shared" si="479"/>
        <v>#N/A</v>
      </c>
      <c r="AW461" s="274" t="e">
        <f t="shared" si="446"/>
        <v>#N/A</v>
      </c>
      <c r="AX461" s="232">
        <f t="shared" si="480"/>
        <v>7</v>
      </c>
      <c r="AY461" s="273" t="e">
        <f t="shared" si="447"/>
        <v>#N/A</v>
      </c>
      <c r="AZ461" s="232" t="e">
        <f t="shared" si="481"/>
        <v>#N/A</v>
      </c>
      <c r="BA461" s="232" t="e">
        <f t="shared" si="448"/>
        <v>#N/A</v>
      </c>
      <c r="BB461" s="275">
        <f t="shared" si="482"/>
        <v>7</v>
      </c>
      <c r="BC461" s="276" t="e">
        <f t="shared" si="483"/>
        <v>#N/A</v>
      </c>
      <c r="BD461" s="277" t="e">
        <f t="shared" si="484"/>
        <v>#N/A</v>
      </c>
      <c r="BE461" s="250" t="e">
        <f t="shared" si="449"/>
        <v>#N/A</v>
      </c>
      <c r="BF461" s="247">
        <f t="shared" si="485"/>
        <v>7</v>
      </c>
      <c r="BG461" s="276" t="e">
        <f t="shared" si="486"/>
        <v>#N/A</v>
      </c>
      <c r="BH461" s="277" t="e">
        <f t="shared" si="487"/>
        <v>#N/A</v>
      </c>
      <c r="BI461" s="250" t="e">
        <f t="shared" si="450"/>
        <v>#N/A</v>
      </c>
      <c r="BJ461" s="251">
        <f t="shared" si="488"/>
        <v>7</v>
      </c>
      <c r="BK461" s="278" t="e">
        <f t="shared" si="489"/>
        <v>#N/A</v>
      </c>
      <c r="BL461" s="278" t="e">
        <f t="shared" si="490"/>
        <v>#N/A</v>
      </c>
      <c r="BM461" s="279" t="e">
        <f t="shared" si="451"/>
        <v>#N/A</v>
      </c>
      <c r="BN461" s="280">
        <f t="shared" si="491"/>
        <v>7</v>
      </c>
      <c r="BO461" s="281" t="e">
        <f t="shared" si="492"/>
        <v>#N/A</v>
      </c>
      <c r="BP461" s="281" t="e">
        <f t="shared" si="493"/>
        <v>#N/A</v>
      </c>
      <c r="BQ461" s="279" t="e">
        <f t="shared" si="452"/>
        <v>#N/A</v>
      </c>
      <c r="BR461" s="282" t="e">
        <f t="shared" si="453"/>
        <v>#N/A</v>
      </c>
      <c r="BS461" s="217" t="e">
        <f>VLOOKUP($B461,SDR24_STOCK_BY_LA!$A$2:$C$11878,3,0)</f>
        <v>#N/A</v>
      </c>
      <c r="BT461" s="217" t="str">
        <f t="shared" si="494"/>
        <v/>
      </c>
    </row>
    <row r="462" spans="1:72" x14ac:dyDescent="0.2">
      <c r="A462" s="217" t="str">
        <f t="shared" si="495"/>
        <v/>
      </c>
      <c r="B462" s="217" t="str">
        <f t="shared" si="496"/>
        <v/>
      </c>
      <c r="C462" s="283" t="str">
        <f t="shared" si="454"/>
        <v/>
      </c>
      <c r="D462" s="256" t="str">
        <f>IF(B462="","",IF(totals!$Q$3=0,IFERROR(IF(AD462=2,"0",AE462),""),"-"))</f>
        <v/>
      </c>
      <c r="E462" s="258" t="str">
        <f t="shared" si="455"/>
        <v/>
      </c>
      <c r="F462" s="259" t="str">
        <f t="shared" si="456"/>
        <v/>
      </c>
      <c r="G462" s="259" t="str">
        <f t="shared" si="457"/>
        <v/>
      </c>
      <c r="H462" s="256" t="str">
        <f t="shared" si="435"/>
        <v/>
      </c>
      <c r="I462" s="259" t="str">
        <f t="shared" si="458"/>
        <v/>
      </c>
      <c r="J462" s="259" t="str">
        <f t="shared" si="459"/>
        <v/>
      </c>
      <c r="K462" s="256" t="str">
        <f t="shared" si="436"/>
        <v/>
      </c>
      <c r="L462" s="259" t="str">
        <f t="shared" si="437"/>
        <v/>
      </c>
      <c r="M462" s="259" t="str">
        <f t="shared" si="460"/>
        <v/>
      </c>
      <c r="N462" s="256" t="str">
        <f t="shared" si="461"/>
        <v/>
      </c>
      <c r="O462" s="259" t="str">
        <f t="shared" si="462"/>
        <v/>
      </c>
      <c r="P462" s="259" t="str">
        <f t="shared" si="463"/>
        <v/>
      </c>
      <c r="Q462" s="256" t="str">
        <f t="shared" si="464"/>
        <v/>
      </c>
      <c r="R462" s="259" t="str">
        <f t="shared" si="465"/>
        <v/>
      </c>
      <c r="S462" s="259" t="str">
        <f t="shared" si="466"/>
        <v/>
      </c>
      <c r="T462" s="256" t="str">
        <f t="shared" si="467"/>
        <v/>
      </c>
      <c r="U462" s="217"/>
      <c r="V462" s="217"/>
      <c r="AB462" s="217" t="e">
        <f>VLOOKUP($B$6,Lookup_Source,455,0)</f>
        <v>#N/A</v>
      </c>
      <c r="AC462" s="241" t="str">
        <f t="shared" si="468"/>
        <v/>
      </c>
      <c r="AD462" s="242">
        <f t="shared" si="469"/>
        <v>7</v>
      </c>
      <c r="AE462" s="261" t="e">
        <f t="shared" si="438"/>
        <v>#N/A</v>
      </c>
      <c r="AF462" s="264" t="e">
        <f t="shared" si="470"/>
        <v>#N/A</v>
      </c>
      <c r="AG462" s="264" t="e">
        <f t="shared" si="471"/>
        <v>#N/A</v>
      </c>
      <c r="AH462" s="263" t="e">
        <f t="shared" si="439"/>
        <v>#N/A</v>
      </c>
      <c r="AI462" s="226">
        <f t="shared" si="472"/>
        <v>7</v>
      </c>
      <c r="AJ462" s="264" t="e">
        <f t="shared" si="440"/>
        <v>#N/A</v>
      </c>
      <c r="AK462" s="264" t="e">
        <f t="shared" si="473"/>
        <v>#N/A</v>
      </c>
      <c r="AL462" s="226" t="e">
        <f t="shared" si="441"/>
        <v>#N/A</v>
      </c>
      <c r="AM462" s="265" t="e">
        <f t="shared" si="474"/>
        <v>#N/A</v>
      </c>
      <c r="AN462" s="266" t="e">
        <f t="shared" si="442"/>
        <v>#N/A</v>
      </c>
      <c r="AO462" s="227" t="e">
        <f t="shared" si="443"/>
        <v>#N/A</v>
      </c>
      <c r="AP462" s="284">
        <f t="shared" si="475"/>
        <v>7</v>
      </c>
      <c r="AQ462" s="285" t="e">
        <f t="shared" si="444"/>
        <v>#N/A</v>
      </c>
      <c r="AR462" s="266" t="e">
        <f t="shared" si="476"/>
        <v>#N/A</v>
      </c>
      <c r="AS462" s="270" t="e">
        <f t="shared" si="445"/>
        <v>#N/A</v>
      </c>
      <c r="AT462" s="271">
        <f t="shared" si="477"/>
        <v>7</v>
      </c>
      <c r="AU462" s="272" t="e">
        <f t="shared" si="478"/>
        <v>#N/A</v>
      </c>
      <c r="AV462" s="273" t="e">
        <f t="shared" si="479"/>
        <v>#N/A</v>
      </c>
      <c r="AW462" s="274" t="e">
        <f t="shared" si="446"/>
        <v>#N/A</v>
      </c>
      <c r="AX462" s="232">
        <f t="shared" si="480"/>
        <v>7</v>
      </c>
      <c r="AY462" s="273" t="e">
        <f t="shared" si="447"/>
        <v>#N/A</v>
      </c>
      <c r="AZ462" s="232" t="e">
        <f t="shared" si="481"/>
        <v>#N/A</v>
      </c>
      <c r="BA462" s="232" t="e">
        <f t="shared" si="448"/>
        <v>#N/A</v>
      </c>
      <c r="BB462" s="275">
        <f t="shared" si="482"/>
        <v>7</v>
      </c>
      <c r="BC462" s="276" t="e">
        <f t="shared" si="483"/>
        <v>#N/A</v>
      </c>
      <c r="BD462" s="277" t="e">
        <f t="shared" si="484"/>
        <v>#N/A</v>
      </c>
      <c r="BE462" s="250" t="e">
        <f t="shared" si="449"/>
        <v>#N/A</v>
      </c>
      <c r="BF462" s="247">
        <f t="shared" si="485"/>
        <v>7</v>
      </c>
      <c r="BG462" s="276" t="e">
        <f t="shared" si="486"/>
        <v>#N/A</v>
      </c>
      <c r="BH462" s="277" t="e">
        <f t="shared" si="487"/>
        <v>#N/A</v>
      </c>
      <c r="BI462" s="250" t="e">
        <f t="shared" si="450"/>
        <v>#N/A</v>
      </c>
      <c r="BJ462" s="251">
        <f t="shared" si="488"/>
        <v>7</v>
      </c>
      <c r="BK462" s="278" t="e">
        <f t="shared" si="489"/>
        <v>#N/A</v>
      </c>
      <c r="BL462" s="278" t="e">
        <f t="shared" si="490"/>
        <v>#N/A</v>
      </c>
      <c r="BM462" s="279" t="e">
        <f t="shared" si="451"/>
        <v>#N/A</v>
      </c>
      <c r="BN462" s="280">
        <f t="shared" si="491"/>
        <v>7</v>
      </c>
      <c r="BO462" s="281" t="e">
        <f t="shared" si="492"/>
        <v>#N/A</v>
      </c>
      <c r="BP462" s="281" t="e">
        <f t="shared" si="493"/>
        <v>#N/A</v>
      </c>
      <c r="BQ462" s="279" t="e">
        <f t="shared" si="452"/>
        <v>#N/A</v>
      </c>
      <c r="BR462" s="282" t="e">
        <f t="shared" si="453"/>
        <v>#N/A</v>
      </c>
      <c r="BS462" s="217" t="e">
        <f>VLOOKUP($B462,SDR24_STOCK_BY_LA!$A$2:$C$11878,3,0)</f>
        <v>#N/A</v>
      </c>
      <c r="BT462" s="217" t="str">
        <f t="shared" si="494"/>
        <v/>
      </c>
    </row>
    <row r="463" spans="1:72" x14ac:dyDescent="0.2">
      <c r="A463" s="256" t="str">
        <f t="shared" si="495"/>
        <v/>
      </c>
      <c r="B463" s="217" t="str">
        <f t="shared" si="496"/>
        <v/>
      </c>
      <c r="C463" s="257" t="str">
        <f t="shared" si="454"/>
        <v/>
      </c>
      <c r="D463" s="256" t="str">
        <f>IF(B463="","",IF(totals!$Q$3=0,IFERROR(IF(AD463=2,"0",AE463),""),"-"))</f>
        <v/>
      </c>
      <c r="E463" s="258" t="str">
        <f t="shared" si="455"/>
        <v/>
      </c>
      <c r="F463" s="259" t="str">
        <f t="shared" si="456"/>
        <v/>
      </c>
      <c r="G463" s="259" t="str">
        <f t="shared" si="457"/>
        <v/>
      </c>
      <c r="H463" s="256" t="str">
        <f t="shared" si="435"/>
        <v/>
      </c>
      <c r="I463" s="259" t="str">
        <f t="shared" si="458"/>
        <v/>
      </c>
      <c r="J463" s="259" t="str">
        <f t="shared" si="459"/>
        <v/>
      </c>
      <c r="K463" s="256" t="str">
        <f t="shared" si="436"/>
        <v/>
      </c>
      <c r="L463" s="259" t="str">
        <f t="shared" si="437"/>
        <v/>
      </c>
      <c r="M463" s="259" t="str">
        <f t="shared" si="460"/>
        <v/>
      </c>
      <c r="N463" s="256" t="str">
        <f t="shared" si="461"/>
        <v/>
      </c>
      <c r="O463" s="259" t="str">
        <f t="shared" si="462"/>
        <v/>
      </c>
      <c r="P463" s="259" t="str">
        <f t="shared" si="463"/>
        <v/>
      </c>
      <c r="Q463" s="256" t="str">
        <f t="shared" si="464"/>
        <v/>
      </c>
      <c r="R463" s="259" t="str">
        <f t="shared" si="465"/>
        <v/>
      </c>
      <c r="S463" s="259" t="str">
        <f t="shared" si="466"/>
        <v/>
      </c>
      <c r="T463" s="256" t="str">
        <f t="shared" si="467"/>
        <v/>
      </c>
      <c r="U463" s="217"/>
      <c r="V463" s="217"/>
      <c r="AB463" s="257" t="e">
        <f>VLOOKUP($B$6,Lookup_Source,456,0)</f>
        <v>#N/A</v>
      </c>
      <c r="AC463" s="241" t="str">
        <f t="shared" si="468"/>
        <v/>
      </c>
      <c r="AD463" s="242">
        <f t="shared" si="469"/>
        <v>7</v>
      </c>
      <c r="AE463" s="261" t="e">
        <f t="shared" si="438"/>
        <v>#N/A</v>
      </c>
      <c r="AF463" s="264" t="e">
        <f t="shared" si="470"/>
        <v>#N/A</v>
      </c>
      <c r="AG463" s="264" t="e">
        <f t="shared" si="471"/>
        <v>#N/A</v>
      </c>
      <c r="AH463" s="263" t="e">
        <f t="shared" si="439"/>
        <v>#N/A</v>
      </c>
      <c r="AI463" s="226">
        <f t="shared" si="472"/>
        <v>7</v>
      </c>
      <c r="AJ463" s="264" t="e">
        <f t="shared" si="440"/>
        <v>#N/A</v>
      </c>
      <c r="AK463" s="264" t="e">
        <f t="shared" si="473"/>
        <v>#N/A</v>
      </c>
      <c r="AL463" s="226" t="e">
        <f t="shared" si="441"/>
        <v>#N/A</v>
      </c>
      <c r="AM463" s="265" t="e">
        <f t="shared" si="474"/>
        <v>#N/A</v>
      </c>
      <c r="AN463" s="266" t="e">
        <f t="shared" si="442"/>
        <v>#N/A</v>
      </c>
      <c r="AO463" s="227" t="e">
        <f t="shared" si="443"/>
        <v>#N/A</v>
      </c>
      <c r="AP463" s="284">
        <f t="shared" si="475"/>
        <v>7</v>
      </c>
      <c r="AQ463" s="285" t="e">
        <f t="shared" si="444"/>
        <v>#N/A</v>
      </c>
      <c r="AR463" s="266" t="e">
        <f t="shared" si="476"/>
        <v>#N/A</v>
      </c>
      <c r="AS463" s="270" t="e">
        <f t="shared" si="445"/>
        <v>#N/A</v>
      </c>
      <c r="AT463" s="271">
        <f t="shared" si="477"/>
        <v>7</v>
      </c>
      <c r="AU463" s="272" t="e">
        <f t="shared" si="478"/>
        <v>#N/A</v>
      </c>
      <c r="AV463" s="273" t="e">
        <f t="shared" si="479"/>
        <v>#N/A</v>
      </c>
      <c r="AW463" s="274" t="e">
        <f t="shared" si="446"/>
        <v>#N/A</v>
      </c>
      <c r="AX463" s="232">
        <f t="shared" si="480"/>
        <v>7</v>
      </c>
      <c r="AY463" s="273" t="e">
        <f t="shared" si="447"/>
        <v>#N/A</v>
      </c>
      <c r="AZ463" s="232" t="e">
        <f t="shared" si="481"/>
        <v>#N/A</v>
      </c>
      <c r="BA463" s="232" t="e">
        <f t="shared" si="448"/>
        <v>#N/A</v>
      </c>
      <c r="BB463" s="275">
        <f t="shared" si="482"/>
        <v>7</v>
      </c>
      <c r="BC463" s="276" t="e">
        <f t="shared" si="483"/>
        <v>#N/A</v>
      </c>
      <c r="BD463" s="277" t="e">
        <f t="shared" si="484"/>
        <v>#N/A</v>
      </c>
      <c r="BE463" s="250" t="e">
        <f t="shared" si="449"/>
        <v>#N/A</v>
      </c>
      <c r="BF463" s="247">
        <f t="shared" si="485"/>
        <v>7</v>
      </c>
      <c r="BG463" s="276" t="e">
        <f t="shared" si="486"/>
        <v>#N/A</v>
      </c>
      <c r="BH463" s="277" t="e">
        <f t="shared" si="487"/>
        <v>#N/A</v>
      </c>
      <c r="BI463" s="250" t="e">
        <f t="shared" si="450"/>
        <v>#N/A</v>
      </c>
      <c r="BJ463" s="251">
        <f t="shared" si="488"/>
        <v>7</v>
      </c>
      <c r="BK463" s="278" t="e">
        <f t="shared" si="489"/>
        <v>#N/A</v>
      </c>
      <c r="BL463" s="278" t="e">
        <f t="shared" si="490"/>
        <v>#N/A</v>
      </c>
      <c r="BM463" s="279" t="e">
        <f t="shared" si="451"/>
        <v>#N/A</v>
      </c>
      <c r="BN463" s="280">
        <f t="shared" si="491"/>
        <v>7</v>
      </c>
      <c r="BO463" s="281" t="e">
        <f t="shared" si="492"/>
        <v>#N/A</v>
      </c>
      <c r="BP463" s="281" t="e">
        <f t="shared" si="493"/>
        <v>#N/A</v>
      </c>
      <c r="BQ463" s="279" t="e">
        <f t="shared" si="452"/>
        <v>#N/A</v>
      </c>
      <c r="BR463" s="282" t="e">
        <f t="shared" si="453"/>
        <v>#N/A</v>
      </c>
      <c r="BS463" s="217" t="e">
        <f>VLOOKUP($B463,SDR24_STOCK_BY_LA!$A$2:$C$11878,3,0)</f>
        <v>#N/A</v>
      </c>
      <c r="BT463" s="217" t="str">
        <f t="shared" si="494"/>
        <v/>
      </c>
    </row>
    <row r="464" spans="1:72" x14ac:dyDescent="0.2">
      <c r="A464" s="217" t="str">
        <f t="shared" si="495"/>
        <v/>
      </c>
      <c r="B464" s="217" t="str">
        <f t="shared" si="496"/>
        <v/>
      </c>
      <c r="C464" s="283" t="str">
        <f t="shared" si="454"/>
        <v/>
      </c>
      <c r="D464" s="256" t="str">
        <f>IF(B464="","",IF(totals!$Q$3=0,IFERROR(IF(AD464=2,"0",AE464),""),"-"))</f>
        <v/>
      </c>
      <c r="E464" s="258" t="str">
        <f t="shared" si="455"/>
        <v/>
      </c>
      <c r="F464" s="259" t="str">
        <f t="shared" si="456"/>
        <v/>
      </c>
      <c r="G464" s="259" t="str">
        <f t="shared" si="457"/>
        <v/>
      </c>
      <c r="H464" s="256" t="str">
        <f t="shared" si="435"/>
        <v/>
      </c>
      <c r="I464" s="259" t="str">
        <f t="shared" si="458"/>
        <v/>
      </c>
      <c r="J464" s="259" t="str">
        <f t="shared" si="459"/>
        <v/>
      </c>
      <c r="K464" s="256" t="str">
        <f t="shared" si="436"/>
        <v/>
      </c>
      <c r="L464" s="259" t="str">
        <f t="shared" si="437"/>
        <v/>
      </c>
      <c r="M464" s="259" t="str">
        <f t="shared" si="460"/>
        <v/>
      </c>
      <c r="N464" s="256" t="str">
        <f t="shared" si="461"/>
        <v/>
      </c>
      <c r="O464" s="259" t="str">
        <f t="shared" si="462"/>
        <v/>
      </c>
      <c r="P464" s="259" t="str">
        <f t="shared" si="463"/>
        <v/>
      </c>
      <c r="Q464" s="256" t="str">
        <f t="shared" si="464"/>
        <v/>
      </c>
      <c r="R464" s="259" t="str">
        <f t="shared" si="465"/>
        <v/>
      </c>
      <c r="S464" s="259" t="str">
        <f t="shared" si="466"/>
        <v/>
      </c>
      <c r="T464" s="256" t="str">
        <f t="shared" si="467"/>
        <v/>
      </c>
      <c r="U464" s="217"/>
      <c r="V464" s="217"/>
      <c r="AB464" s="217" t="e">
        <f>VLOOKUP($B$6,Lookup_Source,457,0)</f>
        <v>#N/A</v>
      </c>
      <c r="AC464" s="241" t="str">
        <f t="shared" si="468"/>
        <v/>
      </c>
      <c r="AD464" s="242">
        <f t="shared" si="469"/>
        <v>7</v>
      </c>
      <c r="AE464" s="261" t="e">
        <f t="shared" si="438"/>
        <v>#N/A</v>
      </c>
      <c r="AF464" s="264" t="e">
        <f t="shared" si="470"/>
        <v>#N/A</v>
      </c>
      <c r="AG464" s="264" t="e">
        <f t="shared" si="471"/>
        <v>#N/A</v>
      </c>
      <c r="AH464" s="263" t="e">
        <f t="shared" si="439"/>
        <v>#N/A</v>
      </c>
      <c r="AI464" s="226">
        <f t="shared" si="472"/>
        <v>7</v>
      </c>
      <c r="AJ464" s="264" t="e">
        <f t="shared" si="440"/>
        <v>#N/A</v>
      </c>
      <c r="AK464" s="264" t="e">
        <f t="shared" si="473"/>
        <v>#N/A</v>
      </c>
      <c r="AL464" s="226" t="e">
        <f t="shared" si="441"/>
        <v>#N/A</v>
      </c>
      <c r="AM464" s="265" t="e">
        <f t="shared" si="474"/>
        <v>#N/A</v>
      </c>
      <c r="AN464" s="266" t="e">
        <f t="shared" si="442"/>
        <v>#N/A</v>
      </c>
      <c r="AO464" s="227" t="e">
        <f t="shared" si="443"/>
        <v>#N/A</v>
      </c>
      <c r="AP464" s="284">
        <f t="shared" si="475"/>
        <v>7</v>
      </c>
      <c r="AQ464" s="285" t="e">
        <f t="shared" si="444"/>
        <v>#N/A</v>
      </c>
      <c r="AR464" s="266" t="e">
        <f t="shared" si="476"/>
        <v>#N/A</v>
      </c>
      <c r="AS464" s="270" t="e">
        <f t="shared" si="445"/>
        <v>#N/A</v>
      </c>
      <c r="AT464" s="271">
        <f t="shared" si="477"/>
        <v>7</v>
      </c>
      <c r="AU464" s="272" t="e">
        <f t="shared" si="478"/>
        <v>#N/A</v>
      </c>
      <c r="AV464" s="273" t="e">
        <f t="shared" si="479"/>
        <v>#N/A</v>
      </c>
      <c r="AW464" s="274" t="e">
        <f t="shared" si="446"/>
        <v>#N/A</v>
      </c>
      <c r="AX464" s="232">
        <f t="shared" si="480"/>
        <v>7</v>
      </c>
      <c r="AY464" s="273" t="e">
        <f t="shared" si="447"/>
        <v>#N/A</v>
      </c>
      <c r="AZ464" s="232" t="e">
        <f t="shared" si="481"/>
        <v>#N/A</v>
      </c>
      <c r="BA464" s="232" t="e">
        <f t="shared" si="448"/>
        <v>#N/A</v>
      </c>
      <c r="BB464" s="275">
        <f t="shared" si="482"/>
        <v>7</v>
      </c>
      <c r="BC464" s="276" t="e">
        <f t="shared" si="483"/>
        <v>#N/A</v>
      </c>
      <c r="BD464" s="277" t="e">
        <f t="shared" si="484"/>
        <v>#N/A</v>
      </c>
      <c r="BE464" s="250" t="e">
        <f t="shared" si="449"/>
        <v>#N/A</v>
      </c>
      <c r="BF464" s="247">
        <f t="shared" si="485"/>
        <v>7</v>
      </c>
      <c r="BG464" s="276" t="e">
        <f t="shared" si="486"/>
        <v>#N/A</v>
      </c>
      <c r="BH464" s="277" t="e">
        <f t="shared" si="487"/>
        <v>#N/A</v>
      </c>
      <c r="BI464" s="250" t="e">
        <f t="shared" si="450"/>
        <v>#N/A</v>
      </c>
      <c r="BJ464" s="251">
        <f t="shared" si="488"/>
        <v>7</v>
      </c>
      <c r="BK464" s="278" t="e">
        <f t="shared" si="489"/>
        <v>#N/A</v>
      </c>
      <c r="BL464" s="278" t="e">
        <f t="shared" si="490"/>
        <v>#N/A</v>
      </c>
      <c r="BM464" s="279" t="e">
        <f t="shared" si="451"/>
        <v>#N/A</v>
      </c>
      <c r="BN464" s="280">
        <f t="shared" si="491"/>
        <v>7</v>
      </c>
      <c r="BO464" s="281" t="e">
        <f t="shared" si="492"/>
        <v>#N/A</v>
      </c>
      <c r="BP464" s="281" t="e">
        <f t="shared" si="493"/>
        <v>#N/A</v>
      </c>
      <c r="BQ464" s="279" t="e">
        <f t="shared" si="452"/>
        <v>#N/A</v>
      </c>
      <c r="BR464" s="282" t="e">
        <f t="shared" si="453"/>
        <v>#N/A</v>
      </c>
      <c r="BS464" s="217" t="e">
        <f>VLOOKUP($B464,SDR24_STOCK_BY_LA!$A$2:$C$11878,3,0)</f>
        <v>#N/A</v>
      </c>
      <c r="BT464" s="217" t="str">
        <f t="shared" si="494"/>
        <v/>
      </c>
    </row>
    <row r="465" spans="1:72" x14ac:dyDescent="0.2">
      <c r="A465" s="256" t="str">
        <f t="shared" si="495"/>
        <v/>
      </c>
      <c r="B465" s="217" t="str">
        <f t="shared" si="496"/>
        <v/>
      </c>
      <c r="C465" s="257" t="str">
        <f t="shared" si="454"/>
        <v/>
      </c>
      <c r="D465" s="256" t="str">
        <f>IF(B465="","",IF(totals!$Q$3=0,IFERROR(IF(AD465=2,"0",AE465),""),"-"))</f>
        <v/>
      </c>
      <c r="E465" s="258" t="str">
        <f t="shared" si="455"/>
        <v/>
      </c>
      <c r="F465" s="259" t="str">
        <f t="shared" si="456"/>
        <v/>
      </c>
      <c r="G465" s="259" t="str">
        <f t="shared" si="457"/>
        <v/>
      </c>
      <c r="H465" s="256" t="str">
        <f t="shared" si="435"/>
        <v/>
      </c>
      <c r="I465" s="259" t="str">
        <f t="shared" si="458"/>
        <v/>
      </c>
      <c r="J465" s="259" t="str">
        <f t="shared" si="459"/>
        <v/>
      </c>
      <c r="K465" s="256" t="str">
        <f t="shared" si="436"/>
        <v/>
      </c>
      <c r="L465" s="259" t="str">
        <f t="shared" si="437"/>
        <v/>
      </c>
      <c r="M465" s="259" t="str">
        <f t="shared" si="460"/>
        <v/>
      </c>
      <c r="N465" s="256" t="str">
        <f t="shared" si="461"/>
        <v/>
      </c>
      <c r="O465" s="259" t="str">
        <f t="shared" si="462"/>
        <v/>
      </c>
      <c r="P465" s="259" t="str">
        <f t="shared" si="463"/>
        <v/>
      </c>
      <c r="Q465" s="256" t="str">
        <f t="shared" si="464"/>
        <v/>
      </c>
      <c r="R465" s="259" t="str">
        <f t="shared" si="465"/>
        <v/>
      </c>
      <c r="S465" s="259" t="str">
        <f t="shared" si="466"/>
        <v/>
      </c>
      <c r="T465" s="256" t="str">
        <f t="shared" si="467"/>
        <v/>
      </c>
      <c r="U465" s="217"/>
      <c r="V465" s="217"/>
      <c r="AB465" s="257" t="e">
        <f>VLOOKUP($B$6,Lookup_Source,458,0)</f>
        <v>#N/A</v>
      </c>
      <c r="AC465" s="241" t="str">
        <f t="shared" si="468"/>
        <v/>
      </c>
      <c r="AD465" s="242">
        <f t="shared" si="469"/>
        <v>7</v>
      </c>
      <c r="AE465" s="261" t="e">
        <f t="shared" si="438"/>
        <v>#N/A</v>
      </c>
      <c r="AF465" s="264" t="e">
        <f t="shared" si="470"/>
        <v>#N/A</v>
      </c>
      <c r="AG465" s="264" t="e">
        <f t="shared" si="471"/>
        <v>#N/A</v>
      </c>
      <c r="AH465" s="263" t="e">
        <f t="shared" si="439"/>
        <v>#N/A</v>
      </c>
      <c r="AI465" s="226">
        <f t="shared" si="472"/>
        <v>7</v>
      </c>
      <c r="AJ465" s="264" t="e">
        <f t="shared" si="440"/>
        <v>#N/A</v>
      </c>
      <c r="AK465" s="264" t="e">
        <f t="shared" si="473"/>
        <v>#N/A</v>
      </c>
      <c r="AL465" s="226" t="e">
        <f t="shared" si="441"/>
        <v>#N/A</v>
      </c>
      <c r="AM465" s="265" t="e">
        <f t="shared" si="474"/>
        <v>#N/A</v>
      </c>
      <c r="AN465" s="266" t="e">
        <f t="shared" si="442"/>
        <v>#N/A</v>
      </c>
      <c r="AO465" s="227" t="e">
        <f t="shared" si="443"/>
        <v>#N/A</v>
      </c>
      <c r="AP465" s="284">
        <f t="shared" si="475"/>
        <v>7</v>
      </c>
      <c r="AQ465" s="285" t="e">
        <f t="shared" si="444"/>
        <v>#N/A</v>
      </c>
      <c r="AR465" s="266" t="e">
        <f t="shared" si="476"/>
        <v>#N/A</v>
      </c>
      <c r="AS465" s="270" t="e">
        <f t="shared" si="445"/>
        <v>#N/A</v>
      </c>
      <c r="AT465" s="271">
        <f t="shared" si="477"/>
        <v>7</v>
      </c>
      <c r="AU465" s="272" t="e">
        <f t="shared" si="478"/>
        <v>#N/A</v>
      </c>
      <c r="AV465" s="273" t="e">
        <f t="shared" si="479"/>
        <v>#N/A</v>
      </c>
      <c r="AW465" s="274" t="e">
        <f t="shared" si="446"/>
        <v>#N/A</v>
      </c>
      <c r="AX465" s="232">
        <f t="shared" si="480"/>
        <v>7</v>
      </c>
      <c r="AY465" s="273" t="e">
        <f t="shared" si="447"/>
        <v>#N/A</v>
      </c>
      <c r="AZ465" s="232" t="e">
        <f t="shared" si="481"/>
        <v>#N/A</v>
      </c>
      <c r="BA465" s="232" t="e">
        <f t="shared" si="448"/>
        <v>#N/A</v>
      </c>
      <c r="BB465" s="275">
        <f t="shared" si="482"/>
        <v>7</v>
      </c>
      <c r="BC465" s="276" t="e">
        <f t="shared" si="483"/>
        <v>#N/A</v>
      </c>
      <c r="BD465" s="277" t="e">
        <f t="shared" si="484"/>
        <v>#N/A</v>
      </c>
      <c r="BE465" s="250" t="e">
        <f t="shared" si="449"/>
        <v>#N/A</v>
      </c>
      <c r="BF465" s="247">
        <f t="shared" si="485"/>
        <v>7</v>
      </c>
      <c r="BG465" s="276" t="e">
        <f t="shared" si="486"/>
        <v>#N/A</v>
      </c>
      <c r="BH465" s="277" t="e">
        <f t="shared" si="487"/>
        <v>#N/A</v>
      </c>
      <c r="BI465" s="250" t="e">
        <f t="shared" si="450"/>
        <v>#N/A</v>
      </c>
      <c r="BJ465" s="251">
        <f t="shared" si="488"/>
        <v>7</v>
      </c>
      <c r="BK465" s="278" t="e">
        <f t="shared" si="489"/>
        <v>#N/A</v>
      </c>
      <c r="BL465" s="278" t="e">
        <f t="shared" si="490"/>
        <v>#N/A</v>
      </c>
      <c r="BM465" s="279" t="e">
        <f t="shared" si="451"/>
        <v>#N/A</v>
      </c>
      <c r="BN465" s="280">
        <f t="shared" si="491"/>
        <v>7</v>
      </c>
      <c r="BO465" s="281" t="e">
        <f t="shared" si="492"/>
        <v>#N/A</v>
      </c>
      <c r="BP465" s="281" t="e">
        <f t="shared" si="493"/>
        <v>#N/A</v>
      </c>
      <c r="BQ465" s="279" t="e">
        <f t="shared" si="452"/>
        <v>#N/A</v>
      </c>
      <c r="BR465" s="282" t="e">
        <f t="shared" si="453"/>
        <v>#N/A</v>
      </c>
      <c r="BS465" s="217" t="e">
        <f>VLOOKUP($B465,SDR24_STOCK_BY_LA!$A$2:$C$11878,3,0)</f>
        <v>#N/A</v>
      </c>
      <c r="BT465" s="217" t="str">
        <f t="shared" si="494"/>
        <v/>
      </c>
    </row>
    <row r="466" spans="1:72" x14ac:dyDescent="0.2">
      <c r="A466" s="217" t="str">
        <f t="shared" si="495"/>
        <v/>
      </c>
      <c r="B466" s="217" t="str">
        <f t="shared" si="496"/>
        <v/>
      </c>
      <c r="C466" s="283" t="str">
        <f t="shared" si="454"/>
        <v/>
      </c>
      <c r="D466" s="256" t="str">
        <f>IF(B466="","",IF(totals!$Q$3=0,IFERROR(IF(AD466=2,"0",AE466),""),"-"))</f>
        <v/>
      </c>
      <c r="E466" s="258" t="str">
        <f t="shared" si="455"/>
        <v/>
      </c>
      <c r="F466" s="259" t="str">
        <f t="shared" si="456"/>
        <v/>
      </c>
      <c r="G466" s="259" t="str">
        <f t="shared" si="457"/>
        <v/>
      </c>
      <c r="H466" s="256" t="str">
        <f t="shared" si="435"/>
        <v/>
      </c>
      <c r="I466" s="259" t="str">
        <f t="shared" si="458"/>
        <v/>
      </c>
      <c r="J466" s="259" t="str">
        <f t="shared" si="459"/>
        <v/>
      </c>
      <c r="K466" s="256" t="str">
        <f t="shared" si="436"/>
        <v/>
      </c>
      <c r="L466" s="259" t="str">
        <f t="shared" si="437"/>
        <v/>
      </c>
      <c r="M466" s="259" t="str">
        <f t="shared" si="460"/>
        <v/>
      </c>
      <c r="N466" s="256" t="str">
        <f t="shared" si="461"/>
        <v/>
      </c>
      <c r="O466" s="259" t="str">
        <f t="shared" si="462"/>
        <v/>
      </c>
      <c r="P466" s="259" t="str">
        <f t="shared" si="463"/>
        <v/>
      </c>
      <c r="Q466" s="256" t="str">
        <f t="shared" si="464"/>
        <v/>
      </c>
      <c r="R466" s="259" t="str">
        <f t="shared" si="465"/>
        <v/>
      </c>
      <c r="S466" s="259" t="str">
        <f t="shared" si="466"/>
        <v/>
      </c>
      <c r="T466" s="256" t="str">
        <f t="shared" si="467"/>
        <v/>
      </c>
      <c r="U466" s="217"/>
      <c r="V466" s="217"/>
      <c r="AB466" s="217" t="e">
        <f>VLOOKUP($B$6,Lookup_Source,459,0)</f>
        <v>#N/A</v>
      </c>
      <c r="AC466" s="241" t="str">
        <f t="shared" si="468"/>
        <v/>
      </c>
      <c r="AD466" s="242">
        <f t="shared" si="469"/>
        <v>7</v>
      </c>
      <c r="AE466" s="261" t="e">
        <f t="shared" si="438"/>
        <v>#N/A</v>
      </c>
      <c r="AF466" s="264" t="e">
        <f t="shared" si="470"/>
        <v>#N/A</v>
      </c>
      <c r="AG466" s="264" t="e">
        <f t="shared" si="471"/>
        <v>#N/A</v>
      </c>
      <c r="AH466" s="263" t="e">
        <f t="shared" si="439"/>
        <v>#N/A</v>
      </c>
      <c r="AI466" s="226">
        <f t="shared" si="472"/>
        <v>7</v>
      </c>
      <c r="AJ466" s="264" t="e">
        <f t="shared" si="440"/>
        <v>#N/A</v>
      </c>
      <c r="AK466" s="264" t="e">
        <f t="shared" si="473"/>
        <v>#N/A</v>
      </c>
      <c r="AL466" s="226" t="e">
        <f t="shared" si="441"/>
        <v>#N/A</v>
      </c>
      <c r="AM466" s="265" t="e">
        <f t="shared" si="474"/>
        <v>#N/A</v>
      </c>
      <c r="AN466" s="266" t="e">
        <f t="shared" si="442"/>
        <v>#N/A</v>
      </c>
      <c r="AO466" s="227" t="e">
        <f t="shared" si="443"/>
        <v>#N/A</v>
      </c>
      <c r="AP466" s="284">
        <f t="shared" si="475"/>
        <v>7</v>
      </c>
      <c r="AQ466" s="285" t="e">
        <f t="shared" si="444"/>
        <v>#N/A</v>
      </c>
      <c r="AR466" s="266" t="e">
        <f t="shared" si="476"/>
        <v>#N/A</v>
      </c>
      <c r="AS466" s="270" t="e">
        <f t="shared" si="445"/>
        <v>#N/A</v>
      </c>
      <c r="AT466" s="271">
        <f t="shared" si="477"/>
        <v>7</v>
      </c>
      <c r="AU466" s="272" t="e">
        <f t="shared" si="478"/>
        <v>#N/A</v>
      </c>
      <c r="AV466" s="273" t="e">
        <f t="shared" si="479"/>
        <v>#N/A</v>
      </c>
      <c r="AW466" s="274" t="e">
        <f t="shared" si="446"/>
        <v>#N/A</v>
      </c>
      <c r="AX466" s="232">
        <f t="shared" si="480"/>
        <v>7</v>
      </c>
      <c r="AY466" s="273" t="e">
        <f t="shared" si="447"/>
        <v>#N/A</v>
      </c>
      <c r="AZ466" s="232" t="e">
        <f t="shared" si="481"/>
        <v>#N/A</v>
      </c>
      <c r="BA466" s="232" t="e">
        <f t="shared" si="448"/>
        <v>#N/A</v>
      </c>
      <c r="BB466" s="275">
        <f t="shared" si="482"/>
        <v>7</v>
      </c>
      <c r="BC466" s="276" t="e">
        <f t="shared" si="483"/>
        <v>#N/A</v>
      </c>
      <c r="BD466" s="277" t="e">
        <f t="shared" si="484"/>
        <v>#N/A</v>
      </c>
      <c r="BE466" s="250" t="e">
        <f t="shared" si="449"/>
        <v>#N/A</v>
      </c>
      <c r="BF466" s="247">
        <f t="shared" si="485"/>
        <v>7</v>
      </c>
      <c r="BG466" s="276" t="e">
        <f t="shared" si="486"/>
        <v>#N/A</v>
      </c>
      <c r="BH466" s="277" t="e">
        <f t="shared" si="487"/>
        <v>#N/A</v>
      </c>
      <c r="BI466" s="250" t="e">
        <f t="shared" si="450"/>
        <v>#N/A</v>
      </c>
      <c r="BJ466" s="251">
        <f t="shared" si="488"/>
        <v>7</v>
      </c>
      <c r="BK466" s="278" t="e">
        <f t="shared" si="489"/>
        <v>#N/A</v>
      </c>
      <c r="BL466" s="278" t="e">
        <f t="shared" si="490"/>
        <v>#N/A</v>
      </c>
      <c r="BM466" s="279" t="e">
        <f t="shared" si="451"/>
        <v>#N/A</v>
      </c>
      <c r="BN466" s="280">
        <f t="shared" si="491"/>
        <v>7</v>
      </c>
      <c r="BO466" s="281" t="e">
        <f t="shared" si="492"/>
        <v>#N/A</v>
      </c>
      <c r="BP466" s="281" t="e">
        <f t="shared" si="493"/>
        <v>#N/A</v>
      </c>
      <c r="BQ466" s="279" t="e">
        <f t="shared" si="452"/>
        <v>#N/A</v>
      </c>
      <c r="BR466" s="282" t="e">
        <f t="shared" si="453"/>
        <v>#N/A</v>
      </c>
      <c r="BS466" s="217" t="e">
        <f>VLOOKUP($B466,SDR24_STOCK_BY_LA!$A$2:$C$11878,3,0)</f>
        <v>#N/A</v>
      </c>
      <c r="BT466" s="217" t="str">
        <f t="shared" si="494"/>
        <v/>
      </c>
    </row>
    <row r="467" spans="1:72" x14ac:dyDescent="0.2">
      <c r="A467" s="256" t="str">
        <f t="shared" si="495"/>
        <v/>
      </c>
      <c r="B467" s="217" t="str">
        <f t="shared" si="496"/>
        <v/>
      </c>
      <c r="C467" s="257" t="str">
        <f t="shared" si="454"/>
        <v/>
      </c>
      <c r="D467" s="256" t="str">
        <f>IF(B467="","",IF(totals!$Q$3=0,IFERROR(IF(AD467=2,"0",AE467),""),"-"))</f>
        <v/>
      </c>
      <c r="E467" s="258" t="str">
        <f t="shared" si="455"/>
        <v/>
      </c>
      <c r="F467" s="259" t="str">
        <f t="shared" si="456"/>
        <v/>
      </c>
      <c r="G467" s="259" t="str">
        <f t="shared" si="457"/>
        <v/>
      </c>
      <c r="H467" s="256" t="str">
        <f t="shared" si="435"/>
        <v/>
      </c>
      <c r="I467" s="259" t="str">
        <f t="shared" si="458"/>
        <v/>
      </c>
      <c r="J467" s="259" t="str">
        <f t="shared" si="459"/>
        <v/>
      </c>
      <c r="K467" s="256" t="str">
        <f t="shared" si="436"/>
        <v/>
      </c>
      <c r="L467" s="259" t="str">
        <f t="shared" si="437"/>
        <v/>
      </c>
      <c r="M467" s="259" t="str">
        <f t="shared" si="460"/>
        <v/>
      </c>
      <c r="N467" s="256" t="str">
        <f t="shared" si="461"/>
        <v/>
      </c>
      <c r="O467" s="259" t="str">
        <f t="shared" si="462"/>
        <v/>
      </c>
      <c r="P467" s="259" t="str">
        <f t="shared" si="463"/>
        <v/>
      </c>
      <c r="Q467" s="256" t="str">
        <f t="shared" si="464"/>
        <v/>
      </c>
      <c r="R467" s="259" t="str">
        <f t="shared" si="465"/>
        <v/>
      </c>
      <c r="S467" s="259" t="str">
        <f t="shared" si="466"/>
        <v/>
      </c>
      <c r="T467" s="256" t="str">
        <f t="shared" si="467"/>
        <v/>
      </c>
      <c r="U467" s="217"/>
      <c r="V467" s="217"/>
      <c r="AB467" s="257" t="e">
        <f>VLOOKUP($B$6,Lookup_Source,460,0)</f>
        <v>#N/A</v>
      </c>
      <c r="AC467" s="241" t="str">
        <f t="shared" si="468"/>
        <v/>
      </c>
      <c r="AD467" s="242">
        <f t="shared" si="469"/>
        <v>7</v>
      </c>
      <c r="AE467" s="261" t="e">
        <f t="shared" si="438"/>
        <v>#N/A</v>
      </c>
      <c r="AF467" s="264" t="e">
        <f t="shared" si="470"/>
        <v>#N/A</v>
      </c>
      <c r="AG467" s="264" t="e">
        <f t="shared" si="471"/>
        <v>#N/A</v>
      </c>
      <c r="AH467" s="263" t="e">
        <f t="shared" si="439"/>
        <v>#N/A</v>
      </c>
      <c r="AI467" s="226">
        <f t="shared" si="472"/>
        <v>7</v>
      </c>
      <c r="AJ467" s="264" t="e">
        <f t="shared" si="440"/>
        <v>#N/A</v>
      </c>
      <c r="AK467" s="264" t="e">
        <f t="shared" si="473"/>
        <v>#N/A</v>
      </c>
      <c r="AL467" s="226" t="e">
        <f t="shared" si="441"/>
        <v>#N/A</v>
      </c>
      <c r="AM467" s="265" t="e">
        <f t="shared" si="474"/>
        <v>#N/A</v>
      </c>
      <c r="AN467" s="266" t="e">
        <f t="shared" si="442"/>
        <v>#N/A</v>
      </c>
      <c r="AO467" s="227" t="e">
        <f t="shared" si="443"/>
        <v>#N/A</v>
      </c>
      <c r="AP467" s="284">
        <f t="shared" si="475"/>
        <v>7</v>
      </c>
      <c r="AQ467" s="285" t="e">
        <f t="shared" si="444"/>
        <v>#N/A</v>
      </c>
      <c r="AR467" s="266" t="e">
        <f t="shared" si="476"/>
        <v>#N/A</v>
      </c>
      <c r="AS467" s="270" t="e">
        <f t="shared" si="445"/>
        <v>#N/A</v>
      </c>
      <c r="AT467" s="271">
        <f t="shared" si="477"/>
        <v>7</v>
      </c>
      <c r="AU467" s="272" t="e">
        <f t="shared" si="478"/>
        <v>#N/A</v>
      </c>
      <c r="AV467" s="273" t="e">
        <f t="shared" si="479"/>
        <v>#N/A</v>
      </c>
      <c r="AW467" s="274" t="e">
        <f t="shared" si="446"/>
        <v>#N/A</v>
      </c>
      <c r="AX467" s="232">
        <f t="shared" si="480"/>
        <v>7</v>
      </c>
      <c r="AY467" s="273" t="e">
        <f t="shared" si="447"/>
        <v>#N/A</v>
      </c>
      <c r="AZ467" s="232" t="e">
        <f t="shared" si="481"/>
        <v>#N/A</v>
      </c>
      <c r="BA467" s="232" t="e">
        <f t="shared" si="448"/>
        <v>#N/A</v>
      </c>
      <c r="BB467" s="275">
        <f t="shared" si="482"/>
        <v>7</v>
      </c>
      <c r="BC467" s="276" t="e">
        <f t="shared" si="483"/>
        <v>#N/A</v>
      </c>
      <c r="BD467" s="277" t="e">
        <f t="shared" si="484"/>
        <v>#N/A</v>
      </c>
      <c r="BE467" s="250" t="e">
        <f t="shared" si="449"/>
        <v>#N/A</v>
      </c>
      <c r="BF467" s="247">
        <f t="shared" si="485"/>
        <v>7</v>
      </c>
      <c r="BG467" s="276" t="e">
        <f t="shared" si="486"/>
        <v>#N/A</v>
      </c>
      <c r="BH467" s="277" t="e">
        <f t="shared" si="487"/>
        <v>#N/A</v>
      </c>
      <c r="BI467" s="250" t="e">
        <f t="shared" si="450"/>
        <v>#N/A</v>
      </c>
      <c r="BJ467" s="251">
        <f t="shared" si="488"/>
        <v>7</v>
      </c>
      <c r="BK467" s="278" t="e">
        <f t="shared" si="489"/>
        <v>#N/A</v>
      </c>
      <c r="BL467" s="278" t="e">
        <f t="shared" si="490"/>
        <v>#N/A</v>
      </c>
      <c r="BM467" s="279" t="e">
        <f t="shared" si="451"/>
        <v>#N/A</v>
      </c>
      <c r="BN467" s="280">
        <f t="shared" si="491"/>
        <v>7</v>
      </c>
      <c r="BO467" s="281" t="e">
        <f t="shared" si="492"/>
        <v>#N/A</v>
      </c>
      <c r="BP467" s="281" t="e">
        <f t="shared" si="493"/>
        <v>#N/A</v>
      </c>
      <c r="BQ467" s="279" t="e">
        <f t="shared" si="452"/>
        <v>#N/A</v>
      </c>
      <c r="BR467" s="282" t="e">
        <f t="shared" si="453"/>
        <v>#N/A</v>
      </c>
      <c r="BS467" s="217" t="e">
        <f>VLOOKUP($B467,SDR24_STOCK_BY_LA!$A$2:$C$11878,3,0)</f>
        <v>#N/A</v>
      </c>
      <c r="BT467" s="217" t="str">
        <f t="shared" si="494"/>
        <v/>
      </c>
    </row>
    <row r="468" spans="1:72" x14ac:dyDescent="0.2">
      <c r="A468" s="217" t="str">
        <f t="shared" si="495"/>
        <v/>
      </c>
      <c r="B468" s="217" t="str">
        <f t="shared" si="496"/>
        <v/>
      </c>
      <c r="C468" s="283" t="str">
        <f t="shared" si="454"/>
        <v/>
      </c>
      <c r="D468" s="256" t="str">
        <f>IF(B468="","",IF(totals!$Q$3=0,IFERROR(IF(AD468=2,"0",AE468),""),"-"))</f>
        <v/>
      </c>
      <c r="E468" s="258" t="str">
        <f t="shared" si="455"/>
        <v/>
      </c>
      <c r="F468" s="259" t="str">
        <f t="shared" si="456"/>
        <v/>
      </c>
      <c r="G468" s="259" t="str">
        <f t="shared" si="457"/>
        <v/>
      </c>
      <c r="H468" s="256" t="str">
        <f t="shared" si="435"/>
        <v/>
      </c>
      <c r="I468" s="259" t="str">
        <f t="shared" si="458"/>
        <v/>
      </c>
      <c r="J468" s="259" t="str">
        <f t="shared" si="459"/>
        <v/>
      </c>
      <c r="K468" s="256" t="str">
        <f t="shared" si="436"/>
        <v/>
      </c>
      <c r="L468" s="259" t="str">
        <f t="shared" si="437"/>
        <v/>
      </c>
      <c r="M468" s="259" t="str">
        <f t="shared" si="460"/>
        <v/>
      </c>
      <c r="N468" s="256" t="str">
        <f t="shared" si="461"/>
        <v/>
      </c>
      <c r="O468" s="259" t="str">
        <f t="shared" si="462"/>
        <v/>
      </c>
      <c r="P468" s="259" t="str">
        <f t="shared" si="463"/>
        <v/>
      </c>
      <c r="Q468" s="256" t="str">
        <f t="shared" si="464"/>
        <v/>
      </c>
      <c r="R468" s="259" t="str">
        <f t="shared" si="465"/>
        <v/>
      </c>
      <c r="S468" s="259" t="str">
        <f t="shared" si="466"/>
        <v/>
      </c>
      <c r="T468" s="256" t="str">
        <f t="shared" si="467"/>
        <v/>
      </c>
      <c r="U468" s="217"/>
      <c r="V468" s="217"/>
      <c r="AB468" s="217" t="e">
        <f>VLOOKUP($B$6,Lookup_Source,461,0)</f>
        <v>#N/A</v>
      </c>
      <c r="AC468" s="241" t="str">
        <f t="shared" si="468"/>
        <v/>
      </c>
      <c r="AD468" s="286">
        <f t="shared" si="469"/>
        <v>7</v>
      </c>
      <c r="AE468" s="261" t="e">
        <f t="shared" si="438"/>
        <v>#N/A</v>
      </c>
      <c r="AF468" s="287" t="e">
        <f t="shared" si="470"/>
        <v>#N/A</v>
      </c>
      <c r="AG468" s="287" t="e">
        <f t="shared" si="471"/>
        <v>#N/A</v>
      </c>
      <c r="AH468" s="263" t="e">
        <f t="shared" si="439"/>
        <v>#N/A</v>
      </c>
      <c r="AI468" s="226">
        <f t="shared" si="472"/>
        <v>7</v>
      </c>
      <c r="AJ468" s="264" t="e">
        <f t="shared" si="440"/>
        <v>#N/A</v>
      </c>
      <c r="AK468" s="264" t="e">
        <f t="shared" si="473"/>
        <v>#N/A</v>
      </c>
      <c r="AL468" s="226" t="e">
        <f t="shared" si="441"/>
        <v>#N/A</v>
      </c>
      <c r="AM468" s="265" t="e">
        <f t="shared" si="474"/>
        <v>#N/A</v>
      </c>
      <c r="AN468" s="266" t="e">
        <f t="shared" si="442"/>
        <v>#N/A</v>
      </c>
      <c r="AO468" s="227" t="e">
        <f t="shared" si="443"/>
        <v>#N/A</v>
      </c>
      <c r="AP468" s="288">
        <f t="shared" si="475"/>
        <v>7</v>
      </c>
      <c r="AQ468" s="289" t="e">
        <f t="shared" si="444"/>
        <v>#N/A</v>
      </c>
      <c r="AR468" s="290" t="e">
        <f t="shared" si="476"/>
        <v>#N/A</v>
      </c>
      <c r="AS468" s="270" t="e">
        <f t="shared" si="445"/>
        <v>#N/A</v>
      </c>
      <c r="AT468" s="271">
        <f t="shared" si="477"/>
        <v>7</v>
      </c>
      <c r="AU468" s="272" t="e">
        <f t="shared" si="478"/>
        <v>#N/A</v>
      </c>
      <c r="AV468" s="273" t="e">
        <f t="shared" si="479"/>
        <v>#N/A</v>
      </c>
      <c r="AW468" s="274" t="e">
        <f t="shared" si="446"/>
        <v>#N/A</v>
      </c>
      <c r="AX468" s="232">
        <f t="shared" si="480"/>
        <v>7</v>
      </c>
      <c r="AY468" s="273" t="e">
        <f t="shared" si="447"/>
        <v>#N/A</v>
      </c>
      <c r="AZ468" s="232" t="e">
        <f t="shared" si="481"/>
        <v>#N/A</v>
      </c>
      <c r="BA468" s="232" t="e">
        <f t="shared" si="448"/>
        <v>#N/A</v>
      </c>
      <c r="BB468" s="275">
        <f t="shared" si="482"/>
        <v>7</v>
      </c>
      <c r="BC468" s="276" t="e">
        <f t="shared" si="483"/>
        <v>#N/A</v>
      </c>
      <c r="BD468" s="277" t="e">
        <f t="shared" si="484"/>
        <v>#N/A</v>
      </c>
      <c r="BE468" s="250" t="e">
        <f t="shared" si="449"/>
        <v>#N/A</v>
      </c>
      <c r="BF468" s="247">
        <f t="shared" si="485"/>
        <v>7</v>
      </c>
      <c r="BG468" s="276" t="e">
        <f t="shared" si="486"/>
        <v>#N/A</v>
      </c>
      <c r="BH468" s="277" t="e">
        <f t="shared" si="487"/>
        <v>#N/A</v>
      </c>
      <c r="BI468" s="250" t="e">
        <f t="shared" si="450"/>
        <v>#N/A</v>
      </c>
      <c r="BJ468" s="251">
        <f t="shared" si="488"/>
        <v>7</v>
      </c>
      <c r="BK468" s="278" t="e">
        <f t="shared" si="489"/>
        <v>#N/A</v>
      </c>
      <c r="BL468" s="278" t="e">
        <f t="shared" si="490"/>
        <v>#N/A</v>
      </c>
      <c r="BM468" s="279" t="e">
        <f t="shared" si="451"/>
        <v>#N/A</v>
      </c>
      <c r="BN468" s="280">
        <f t="shared" si="491"/>
        <v>7</v>
      </c>
      <c r="BO468" s="281" t="e">
        <f t="shared" si="492"/>
        <v>#N/A</v>
      </c>
      <c r="BP468" s="281" t="e">
        <f t="shared" si="493"/>
        <v>#N/A</v>
      </c>
      <c r="BQ468" s="279" t="e">
        <f t="shared" si="452"/>
        <v>#N/A</v>
      </c>
      <c r="BR468" s="282" t="e">
        <f t="shared" si="453"/>
        <v>#N/A</v>
      </c>
      <c r="BS468" s="217" t="e">
        <f>VLOOKUP($B468,SDR24_STOCK_BY_LA!$A$2:$C$11878,3,0)</f>
        <v>#N/A</v>
      </c>
      <c r="BT468" s="217" t="str">
        <f t="shared" si="494"/>
        <v/>
      </c>
    </row>
    <row r="469" spans="1:72" x14ac:dyDescent="0.2">
      <c r="B469" s="291"/>
      <c r="C469" s="292"/>
      <c r="D469" s="293"/>
      <c r="E469" s="294"/>
      <c r="F469" s="295"/>
      <c r="G469" s="295"/>
      <c r="H469" s="293"/>
      <c r="I469" s="295"/>
      <c r="J469" s="295"/>
      <c r="K469" s="293"/>
      <c r="L469" s="295"/>
      <c r="M469" s="295"/>
      <c r="N469" s="293"/>
      <c r="O469" s="295"/>
      <c r="P469" s="295"/>
      <c r="Q469" s="293"/>
      <c r="R469" s="295"/>
      <c r="S469" s="295"/>
      <c r="T469" s="293"/>
      <c r="AB469" s="257" t="e">
        <f>VLOOKUP($B$6,'Lookup source'!$B$2:$QT$323,460,0)</f>
        <v>#N/A</v>
      </c>
      <c r="AC469" s="296" t="str">
        <f t="shared" si="468"/>
        <v/>
      </c>
      <c r="AD469" s="242">
        <f t="shared" si="469"/>
        <v>7</v>
      </c>
      <c r="AE469" s="261" t="e">
        <f t="shared" si="438"/>
        <v>#N/A</v>
      </c>
      <c r="AF469" s="264" t="e">
        <f t="shared" si="470"/>
        <v>#N/A</v>
      </c>
      <c r="AG469" s="264" t="e">
        <f t="shared" si="471"/>
        <v>#N/A</v>
      </c>
      <c r="AH469" s="263" t="e">
        <f t="shared" si="439"/>
        <v>#N/A</v>
      </c>
      <c r="AI469" s="226">
        <f t="shared" si="472"/>
        <v>7</v>
      </c>
      <c r="AJ469" s="264" t="e">
        <f t="shared" si="440"/>
        <v>#N/A</v>
      </c>
      <c r="AK469" s="264" t="e">
        <f t="shared" si="473"/>
        <v>#N/A</v>
      </c>
      <c r="AL469" s="226" t="e">
        <f t="shared" si="441"/>
        <v>#N/A</v>
      </c>
      <c r="AM469" s="265" t="e">
        <f t="shared" si="474"/>
        <v>#N/A</v>
      </c>
      <c r="AN469" s="266" t="e">
        <f t="shared" si="442"/>
        <v>#N/A</v>
      </c>
      <c r="AO469" s="227" t="e">
        <f t="shared" si="443"/>
        <v>#N/A</v>
      </c>
      <c r="AP469" s="284">
        <f t="shared" si="475"/>
        <v>7</v>
      </c>
      <c r="AQ469" s="285" t="e">
        <f t="shared" si="444"/>
        <v>#N/A</v>
      </c>
      <c r="AR469" s="266" t="e">
        <f t="shared" si="476"/>
        <v>#N/A</v>
      </c>
      <c r="AS469" s="270" t="e">
        <f t="shared" si="445"/>
        <v>#N/A</v>
      </c>
      <c r="AT469" s="297">
        <f t="shared" si="477"/>
        <v>7</v>
      </c>
      <c r="AU469" s="272" t="e">
        <f t="shared" si="478"/>
        <v>#N/A</v>
      </c>
      <c r="AV469" s="273" t="e">
        <f t="shared" si="479"/>
        <v>#N/A</v>
      </c>
      <c r="AW469" s="274" t="e">
        <f t="shared" si="446"/>
        <v>#N/A</v>
      </c>
      <c r="AX469" s="232">
        <f t="shared" si="480"/>
        <v>7</v>
      </c>
      <c r="AY469" s="273" t="e">
        <f t="shared" si="447"/>
        <v>#N/A</v>
      </c>
      <c r="AZ469" s="232" t="e">
        <f t="shared" si="481"/>
        <v>#N/A</v>
      </c>
      <c r="BA469" s="232" t="e">
        <f t="shared" si="448"/>
        <v>#N/A</v>
      </c>
      <c r="BB469" s="275">
        <f t="shared" si="482"/>
        <v>7</v>
      </c>
      <c r="BC469" s="276" t="e">
        <f t="shared" si="483"/>
        <v>#N/A</v>
      </c>
      <c r="BD469" s="277" t="e">
        <f t="shared" si="484"/>
        <v>#N/A</v>
      </c>
      <c r="BE469" s="250" t="e">
        <f t="shared" si="449"/>
        <v>#N/A</v>
      </c>
      <c r="BF469" s="247">
        <f t="shared" si="485"/>
        <v>7</v>
      </c>
      <c r="BG469" s="276" t="e">
        <f t="shared" si="486"/>
        <v>#N/A</v>
      </c>
      <c r="BH469" s="277" t="e">
        <f t="shared" si="487"/>
        <v>#N/A</v>
      </c>
      <c r="BI469" s="250" t="e">
        <f t="shared" si="450"/>
        <v>#N/A</v>
      </c>
      <c r="BJ469" s="251">
        <f t="shared" si="488"/>
        <v>7</v>
      </c>
      <c r="BK469" s="278" t="e">
        <f t="shared" si="489"/>
        <v>#N/A</v>
      </c>
      <c r="BL469" s="278" t="e">
        <f t="shared" si="490"/>
        <v>#N/A</v>
      </c>
      <c r="BM469" s="279" t="e">
        <f t="shared" si="451"/>
        <v>#N/A</v>
      </c>
      <c r="BN469" s="280">
        <f t="shared" si="491"/>
        <v>7</v>
      </c>
      <c r="BO469" s="281" t="e">
        <f t="shared" si="492"/>
        <v>#N/A</v>
      </c>
      <c r="BP469" s="281" t="e">
        <f t="shared" si="493"/>
        <v>#N/A</v>
      </c>
      <c r="BQ469" s="279" t="e">
        <f t="shared" si="452"/>
        <v>#N/A</v>
      </c>
      <c r="BR469" s="282" t="e">
        <f t="shared" si="453"/>
        <v>#N/A</v>
      </c>
      <c r="BS469" s="217" t="e">
        <f>VLOOKUP($B469,SDR24_STOCK_BY_LA!$A$2:$C$11878,3,0)</f>
        <v>#N/A</v>
      </c>
      <c r="BT469" s="217" t="str">
        <f t="shared" si="494"/>
        <v/>
      </c>
    </row>
    <row r="470" spans="1:72" x14ac:dyDescent="0.2">
      <c r="B470" s="291"/>
      <c r="C470" s="292"/>
      <c r="D470" s="293"/>
      <c r="E470" s="294"/>
      <c r="F470" s="295"/>
      <c r="G470" s="295"/>
      <c r="H470" s="293"/>
      <c r="I470" s="295"/>
      <c r="J470" s="295"/>
      <c r="K470" s="293"/>
      <c r="L470" s="295"/>
      <c r="M470" s="295"/>
      <c r="N470" s="293"/>
      <c r="O470" s="295"/>
      <c r="P470" s="295"/>
      <c r="Q470" s="293"/>
      <c r="R470" s="295"/>
      <c r="S470" s="295"/>
      <c r="T470" s="293"/>
      <c r="AB470" s="217" t="e">
        <f>VLOOKUP($B$6,'Lookup source'!$B$2:$QT$323,461,0)</f>
        <v>#N/A</v>
      </c>
      <c r="AC470" s="296" t="str">
        <f t="shared" si="468"/>
        <v/>
      </c>
      <c r="AD470" s="260">
        <f t="shared" si="469"/>
        <v>7</v>
      </c>
      <c r="AE470" s="261" t="e">
        <f t="shared" si="438"/>
        <v>#N/A</v>
      </c>
      <c r="AF470" s="262" t="e">
        <f t="shared" si="470"/>
        <v>#N/A</v>
      </c>
      <c r="AG470" s="262" t="e">
        <f t="shared" si="471"/>
        <v>#N/A</v>
      </c>
      <c r="AH470" s="263" t="e">
        <f t="shared" si="439"/>
        <v>#N/A</v>
      </c>
      <c r="AI470" s="226">
        <f t="shared" si="472"/>
        <v>7</v>
      </c>
      <c r="AJ470" s="264" t="e">
        <f t="shared" si="440"/>
        <v>#N/A</v>
      </c>
      <c r="AK470" s="264" t="e">
        <f t="shared" si="473"/>
        <v>#N/A</v>
      </c>
      <c r="AL470" s="226" t="e">
        <f t="shared" si="441"/>
        <v>#N/A</v>
      </c>
      <c r="AM470" s="265" t="e">
        <f t="shared" si="474"/>
        <v>#N/A</v>
      </c>
      <c r="AN470" s="266" t="e">
        <f t="shared" si="442"/>
        <v>#N/A</v>
      </c>
      <c r="AO470" s="227" t="e">
        <f t="shared" si="443"/>
        <v>#N/A</v>
      </c>
      <c r="AP470" s="284">
        <f t="shared" si="475"/>
        <v>7</v>
      </c>
      <c r="AQ470" s="268" t="e">
        <f t="shared" si="444"/>
        <v>#N/A</v>
      </c>
      <c r="AR470" s="266" t="e">
        <f t="shared" si="476"/>
        <v>#N/A</v>
      </c>
      <c r="AS470" s="270" t="e">
        <f t="shared" si="445"/>
        <v>#N/A</v>
      </c>
      <c r="AT470" s="297">
        <f t="shared" si="477"/>
        <v>7</v>
      </c>
      <c r="AU470" s="272" t="e">
        <f t="shared" si="478"/>
        <v>#N/A</v>
      </c>
      <c r="AV470" s="273" t="e">
        <f t="shared" si="479"/>
        <v>#N/A</v>
      </c>
      <c r="AW470" s="274" t="e">
        <f t="shared" si="446"/>
        <v>#N/A</v>
      </c>
      <c r="AX470" s="232">
        <f t="shared" si="480"/>
        <v>7</v>
      </c>
      <c r="AY470" s="273" t="e">
        <f t="shared" si="447"/>
        <v>#N/A</v>
      </c>
      <c r="AZ470" s="232" t="e">
        <f t="shared" si="481"/>
        <v>#N/A</v>
      </c>
      <c r="BA470" s="232" t="e">
        <f t="shared" si="448"/>
        <v>#N/A</v>
      </c>
      <c r="BB470" s="275">
        <f t="shared" si="482"/>
        <v>7</v>
      </c>
      <c r="BC470" s="276" t="e">
        <f t="shared" si="483"/>
        <v>#N/A</v>
      </c>
      <c r="BD470" s="277" t="e">
        <f t="shared" si="484"/>
        <v>#N/A</v>
      </c>
      <c r="BE470" s="250" t="e">
        <f t="shared" si="449"/>
        <v>#N/A</v>
      </c>
      <c r="BF470" s="247">
        <f t="shared" si="485"/>
        <v>7</v>
      </c>
      <c r="BG470" s="276" t="e">
        <f t="shared" si="486"/>
        <v>#N/A</v>
      </c>
      <c r="BH470" s="277" t="e">
        <f t="shared" si="487"/>
        <v>#N/A</v>
      </c>
      <c r="BI470" s="250" t="e">
        <f t="shared" si="450"/>
        <v>#N/A</v>
      </c>
      <c r="BJ470" s="251">
        <f t="shared" si="488"/>
        <v>7</v>
      </c>
      <c r="BK470" s="278" t="e">
        <f t="shared" si="489"/>
        <v>#N/A</v>
      </c>
      <c r="BL470" s="278" t="e">
        <f t="shared" si="490"/>
        <v>#N/A</v>
      </c>
      <c r="BM470" s="279" t="e">
        <f t="shared" si="451"/>
        <v>#N/A</v>
      </c>
      <c r="BN470" s="280">
        <f t="shared" si="491"/>
        <v>7</v>
      </c>
      <c r="BO470" s="281" t="e">
        <f t="shared" si="492"/>
        <v>#N/A</v>
      </c>
      <c r="BP470" s="281" t="e">
        <f t="shared" si="493"/>
        <v>#N/A</v>
      </c>
      <c r="BQ470" s="279" t="e">
        <f t="shared" si="452"/>
        <v>#N/A</v>
      </c>
      <c r="BR470" s="282" t="e">
        <f t="shared" si="453"/>
        <v>#N/A</v>
      </c>
      <c r="BS470" s="217" t="e">
        <f>VLOOKUP($B470,SDR24_STOCK_BY_LA!$A$2:$C$11878,3,0)</f>
        <v>#N/A</v>
      </c>
      <c r="BT470" s="217" t="str">
        <f t="shared" si="494"/>
        <v/>
      </c>
    </row>
    <row r="471" spans="1:72" x14ac:dyDescent="0.2">
      <c r="B471" s="291"/>
      <c r="C471" s="292"/>
      <c r="D471" s="293"/>
      <c r="E471" s="294"/>
      <c r="F471" s="295"/>
      <c r="G471" s="295"/>
      <c r="H471" s="293"/>
      <c r="I471" s="295"/>
      <c r="J471" s="295"/>
      <c r="K471" s="293"/>
      <c r="L471" s="295"/>
      <c r="M471" s="295"/>
      <c r="N471" s="293"/>
      <c r="O471" s="295"/>
      <c r="P471" s="295"/>
      <c r="Q471" s="293"/>
      <c r="R471" s="295"/>
      <c r="S471" s="295"/>
      <c r="T471" s="293"/>
    </row>
    <row r="472" spans="1:72" x14ac:dyDescent="0.2">
      <c r="B472" s="291"/>
      <c r="C472" s="292"/>
      <c r="D472" s="293"/>
      <c r="E472" s="294"/>
      <c r="F472" s="295"/>
      <c r="G472" s="295"/>
      <c r="H472" s="293"/>
      <c r="I472" s="295"/>
      <c r="J472" s="295"/>
      <c r="K472" s="293"/>
      <c r="L472" s="295"/>
      <c r="M472" s="295"/>
      <c r="N472" s="293"/>
      <c r="O472" s="295"/>
      <c r="P472" s="295"/>
      <c r="Q472" s="293"/>
      <c r="R472" s="295"/>
      <c r="S472" s="295"/>
      <c r="T472" s="293"/>
    </row>
    <row r="473" spans="1:72" x14ac:dyDescent="0.2">
      <c r="B473" s="291"/>
      <c r="C473" s="292"/>
      <c r="D473" s="293"/>
      <c r="E473" s="294"/>
      <c r="F473" s="295"/>
      <c r="G473" s="295"/>
      <c r="H473" s="293"/>
      <c r="I473" s="295"/>
      <c r="J473" s="295"/>
      <c r="K473" s="293"/>
      <c r="L473" s="295"/>
      <c r="M473" s="295"/>
      <c r="N473" s="293"/>
      <c r="O473" s="295"/>
      <c r="P473" s="295"/>
      <c r="Q473" s="293"/>
      <c r="R473" s="295"/>
      <c r="S473" s="295"/>
      <c r="T473" s="293"/>
    </row>
    <row r="474" spans="1:72" x14ac:dyDescent="0.2">
      <c r="B474" s="291"/>
      <c r="C474" s="292"/>
      <c r="D474" s="293"/>
      <c r="E474" s="294"/>
      <c r="F474" s="295"/>
      <c r="G474" s="295"/>
      <c r="H474" s="293"/>
      <c r="I474" s="295"/>
      <c r="J474" s="295"/>
      <c r="K474" s="293"/>
      <c r="L474" s="295"/>
      <c r="M474" s="295"/>
      <c r="N474" s="293"/>
      <c r="O474" s="295"/>
      <c r="P474" s="295"/>
      <c r="Q474" s="293"/>
      <c r="R474" s="295"/>
      <c r="S474" s="295"/>
      <c r="T474" s="293"/>
    </row>
    <row r="475" spans="1:72" x14ac:dyDescent="0.2">
      <c r="B475" s="291"/>
      <c r="C475" s="292"/>
      <c r="D475" s="293"/>
      <c r="E475" s="294"/>
      <c r="F475" s="295"/>
      <c r="G475" s="295"/>
      <c r="H475" s="293"/>
      <c r="I475" s="295"/>
      <c r="J475" s="295"/>
      <c r="K475" s="293"/>
      <c r="L475" s="295"/>
      <c r="M475" s="295"/>
      <c r="N475" s="293"/>
      <c r="O475" s="295"/>
      <c r="P475" s="295"/>
      <c r="Q475" s="293"/>
      <c r="R475" s="295"/>
      <c r="S475" s="295"/>
      <c r="T475" s="293"/>
    </row>
    <row r="476" spans="1:72" x14ac:dyDescent="0.2">
      <c r="B476" s="291"/>
      <c r="C476" s="292"/>
      <c r="D476" s="293"/>
      <c r="E476" s="294"/>
      <c r="F476" s="295"/>
      <c r="G476" s="295"/>
      <c r="H476" s="293"/>
      <c r="I476" s="295"/>
      <c r="J476" s="295"/>
      <c r="K476" s="293"/>
      <c r="L476" s="295"/>
      <c r="M476" s="295"/>
      <c r="N476" s="293"/>
      <c r="O476" s="295"/>
      <c r="P476" s="295"/>
      <c r="Q476" s="293"/>
      <c r="R476" s="295"/>
      <c r="S476" s="295"/>
      <c r="T476" s="293"/>
    </row>
    <row r="477" spans="1:72" x14ac:dyDescent="0.2">
      <c r="B477" s="291"/>
      <c r="C477" s="292"/>
      <c r="D477" s="293"/>
      <c r="E477" s="294"/>
      <c r="F477" s="295"/>
      <c r="G477" s="295"/>
      <c r="H477" s="293"/>
      <c r="I477" s="295"/>
      <c r="J477" s="295"/>
      <c r="K477" s="293"/>
      <c r="L477" s="295"/>
      <c r="M477" s="295"/>
      <c r="N477" s="293"/>
      <c r="O477" s="295"/>
      <c r="P477" s="295"/>
      <c r="Q477" s="293"/>
      <c r="R477" s="295"/>
      <c r="S477" s="295"/>
      <c r="T477" s="293"/>
    </row>
    <row r="478" spans="1:72" x14ac:dyDescent="0.2">
      <c r="B478" s="291"/>
      <c r="C478" s="292"/>
      <c r="D478" s="293"/>
      <c r="E478" s="294"/>
      <c r="F478" s="295"/>
      <c r="G478" s="295"/>
      <c r="H478" s="293"/>
      <c r="I478" s="295"/>
      <c r="J478" s="295"/>
      <c r="K478" s="293"/>
      <c r="L478" s="295"/>
      <c r="M478" s="295"/>
      <c r="N478" s="293"/>
      <c r="O478" s="295"/>
      <c r="P478" s="295"/>
      <c r="Q478" s="293"/>
      <c r="R478" s="295"/>
      <c r="S478" s="295"/>
      <c r="T478" s="293"/>
    </row>
    <row r="479" spans="1:72" x14ac:dyDescent="0.2">
      <c r="B479" s="291"/>
      <c r="C479" s="292"/>
      <c r="D479" s="293"/>
      <c r="E479" s="294"/>
      <c r="F479" s="295"/>
      <c r="G479" s="295"/>
      <c r="H479" s="293"/>
      <c r="I479" s="295"/>
      <c r="J479" s="295"/>
      <c r="K479" s="293"/>
      <c r="L479" s="295"/>
      <c r="M479" s="295"/>
      <c r="N479" s="293"/>
      <c r="O479" s="295"/>
      <c r="P479" s="295"/>
      <c r="Q479" s="293"/>
      <c r="R479" s="295"/>
      <c r="S479" s="295"/>
      <c r="T479" s="293"/>
    </row>
    <row r="480" spans="1:72" x14ac:dyDescent="0.2">
      <c r="B480" s="291"/>
      <c r="C480" s="292"/>
      <c r="D480" s="293"/>
      <c r="E480" s="294"/>
      <c r="F480" s="295"/>
      <c r="G480" s="295"/>
      <c r="H480" s="293"/>
      <c r="I480" s="295"/>
      <c r="J480" s="295"/>
      <c r="K480" s="293"/>
      <c r="L480" s="295"/>
      <c r="M480" s="295"/>
      <c r="N480" s="293"/>
      <c r="O480" s="295"/>
      <c r="P480" s="295"/>
      <c r="Q480" s="293"/>
      <c r="R480" s="295"/>
      <c r="S480" s="295"/>
      <c r="T480" s="293"/>
    </row>
    <row r="481" spans="2:20" x14ac:dyDescent="0.2">
      <c r="B481" s="291"/>
      <c r="C481" s="292"/>
      <c r="D481" s="293"/>
      <c r="E481" s="294"/>
      <c r="F481" s="295"/>
      <c r="G481" s="295"/>
      <c r="H481" s="293"/>
      <c r="I481" s="295"/>
      <c r="J481" s="295"/>
      <c r="K481" s="293"/>
      <c r="L481" s="295"/>
      <c r="M481" s="295"/>
      <c r="N481" s="293"/>
      <c r="O481" s="295"/>
      <c r="P481" s="295"/>
      <c r="Q481" s="293"/>
      <c r="R481" s="295"/>
      <c r="S481" s="295"/>
      <c r="T481" s="293"/>
    </row>
    <row r="482" spans="2:20" x14ac:dyDescent="0.2">
      <c r="B482" s="291"/>
      <c r="C482" s="292"/>
      <c r="D482" s="293"/>
      <c r="E482" s="294"/>
      <c r="F482" s="295"/>
      <c r="G482" s="295"/>
      <c r="H482" s="293"/>
      <c r="I482" s="295"/>
      <c r="J482" s="295"/>
      <c r="K482" s="293"/>
      <c r="L482" s="295"/>
      <c r="M482" s="295"/>
      <c r="N482" s="293"/>
      <c r="O482" s="295"/>
      <c r="P482" s="295"/>
      <c r="Q482" s="293"/>
      <c r="R482" s="295"/>
      <c r="S482" s="295"/>
      <c r="T482" s="293"/>
    </row>
    <row r="483" spans="2:20" x14ac:dyDescent="0.2">
      <c r="B483" s="291"/>
      <c r="C483" s="292"/>
      <c r="D483" s="293"/>
      <c r="E483" s="294"/>
      <c r="F483" s="295"/>
      <c r="G483" s="295"/>
      <c r="H483" s="293"/>
      <c r="I483" s="295"/>
      <c r="J483" s="295"/>
      <c r="K483" s="293"/>
      <c r="L483" s="295"/>
      <c r="M483" s="295"/>
      <c r="N483" s="293"/>
      <c r="O483" s="295"/>
      <c r="P483" s="295"/>
      <c r="Q483" s="293"/>
      <c r="R483" s="295"/>
      <c r="S483" s="295"/>
      <c r="T483" s="293"/>
    </row>
    <row r="484" spans="2:20" x14ac:dyDescent="0.2">
      <c r="B484" s="291"/>
      <c r="C484" s="292"/>
      <c r="D484" s="293"/>
      <c r="E484" s="294"/>
      <c r="F484" s="295"/>
      <c r="G484" s="295"/>
      <c r="H484" s="293"/>
      <c r="I484" s="295"/>
      <c r="J484" s="295"/>
      <c r="K484" s="293"/>
      <c r="L484" s="295"/>
      <c r="M484" s="295"/>
      <c r="N484" s="293"/>
      <c r="O484" s="295"/>
      <c r="P484" s="295"/>
      <c r="Q484" s="293"/>
      <c r="R484" s="295"/>
      <c r="S484" s="295"/>
      <c r="T484" s="293"/>
    </row>
    <row r="485" spans="2:20" x14ac:dyDescent="0.2">
      <c r="B485" s="291"/>
      <c r="C485" s="292"/>
      <c r="D485" s="293"/>
      <c r="E485" s="294"/>
      <c r="F485" s="295"/>
      <c r="G485" s="295"/>
      <c r="H485" s="293"/>
      <c r="I485" s="295"/>
      <c r="J485" s="295"/>
      <c r="K485" s="293"/>
      <c r="L485" s="295"/>
      <c r="M485" s="295"/>
      <c r="N485" s="293"/>
      <c r="O485" s="295"/>
      <c r="P485" s="295"/>
      <c r="Q485" s="293"/>
      <c r="R485" s="295"/>
      <c r="S485" s="295"/>
      <c r="T485" s="293"/>
    </row>
    <row r="486" spans="2:20" x14ac:dyDescent="0.2">
      <c r="B486" s="291"/>
      <c r="C486" s="292"/>
      <c r="D486" s="293"/>
      <c r="E486" s="294"/>
      <c r="F486" s="295"/>
      <c r="G486" s="295"/>
      <c r="H486" s="293"/>
      <c r="I486" s="295"/>
      <c r="J486" s="295"/>
      <c r="K486" s="293"/>
      <c r="L486" s="295"/>
      <c r="M486" s="295"/>
      <c r="N486" s="293"/>
      <c r="O486" s="295"/>
      <c r="P486" s="295"/>
      <c r="Q486" s="293"/>
      <c r="R486" s="295"/>
      <c r="S486" s="295"/>
      <c r="T486" s="293"/>
    </row>
    <row r="487" spans="2:20" x14ac:dyDescent="0.2">
      <c r="B487" s="291"/>
      <c r="C487" s="292"/>
      <c r="D487" s="293"/>
      <c r="E487" s="294"/>
      <c r="F487" s="295"/>
      <c r="G487" s="295"/>
      <c r="H487" s="293"/>
      <c r="I487" s="295"/>
      <c r="J487" s="295"/>
      <c r="K487" s="293"/>
      <c r="L487" s="295"/>
      <c r="M487" s="295"/>
      <c r="N487" s="293"/>
      <c r="O487" s="295"/>
      <c r="P487" s="295"/>
      <c r="Q487" s="293"/>
      <c r="R487" s="295"/>
      <c r="S487" s="295"/>
      <c r="T487" s="293"/>
    </row>
    <row r="488" spans="2:20" x14ac:dyDescent="0.2">
      <c r="B488" s="291"/>
      <c r="C488" s="292"/>
      <c r="D488" s="293"/>
      <c r="E488" s="294"/>
      <c r="F488" s="295"/>
      <c r="G488" s="295"/>
      <c r="H488" s="293"/>
      <c r="I488" s="295"/>
      <c r="J488" s="295"/>
      <c r="K488" s="293"/>
      <c r="L488" s="295"/>
      <c r="M488" s="295"/>
      <c r="N488" s="293"/>
      <c r="O488" s="295"/>
      <c r="P488" s="295"/>
      <c r="Q488" s="293"/>
      <c r="R488" s="295"/>
      <c r="S488" s="295"/>
      <c r="T488" s="293"/>
    </row>
    <row r="489" spans="2:20" x14ac:dyDescent="0.2">
      <c r="B489" s="291"/>
      <c r="C489" s="292"/>
      <c r="D489" s="293"/>
      <c r="E489" s="294"/>
      <c r="F489" s="295"/>
      <c r="G489" s="295"/>
      <c r="H489" s="293"/>
      <c r="I489" s="295"/>
      <c r="J489" s="295"/>
      <c r="K489" s="293"/>
      <c r="L489" s="295"/>
      <c r="M489" s="295"/>
      <c r="N489" s="293"/>
      <c r="O489" s="295"/>
      <c r="P489" s="295"/>
      <c r="Q489" s="293"/>
      <c r="R489" s="295"/>
      <c r="S489" s="295"/>
      <c r="T489" s="293"/>
    </row>
    <row r="490" spans="2:20" x14ac:dyDescent="0.2">
      <c r="B490" s="291"/>
      <c r="C490" s="292"/>
      <c r="D490" s="293"/>
      <c r="E490" s="294"/>
      <c r="F490" s="295"/>
      <c r="G490" s="295"/>
      <c r="H490" s="293"/>
      <c r="I490" s="295"/>
      <c r="J490" s="295"/>
      <c r="K490" s="293"/>
      <c r="L490" s="295"/>
      <c r="M490" s="295"/>
      <c r="N490" s="293"/>
      <c r="O490" s="295"/>
      <c r="P490" s="295"/>
      <c r="Q490" s="293"/>
      <c r="R490" s="295"/>
      <c r="S490" s="295"/>
      <c r="T490" s="293"/>
    </row>
    <row r="491" spans="2:20" x14ac:dyDescent="0.2">
      <c r="B491" s="291"/>
      <c r="C491" s="292"/>
      <c r="D491" s="293"/>
      <c r="E491" s="294"/>
      <c r="F491" s="295"/>
      <c r="G491" s="295"/>
      <c r="H491" s="293"/>
      <c r="I491" s="295"/>
      <c r="J491" s="295"/>
      <c r="K491" s="293"/>
      <c r="L491" s="295"/>
      <c r="M491" s="295"/>
      <c r="N491" s="293"/>
      <c r="O491" s="295"/>
      <c r="P491" s="295"/>
      <c r="Q491" s="293"/>
      <c r="R491" s="295"/>
      <c r="S491" s="295"/>
      <c r="T491" s="293"/>
    </row>
    <row r="492" spans="2:20" x14ac:dyDescent="0.2">
      <c r="B492" s="291"/>
      <c r="C492" s="292"/>
      <c r="D492" s="293"/>
      <c r="E492" s="294"/>
      <c r="F492" s="295"/>
      <c r="G492" s="295"/>
      <c r="H492" s="293"/>
      <c r="I492" s="295"/>
      <c r="J492" s="295"/>
      <c r="K492" s="293"/>
      <c r="L492" s="295"/>
      <c r="M492" s="295"/>
      <c r="N492" s="293"/>
      <c r="O492" s="295"/>
      <c r="P492" s="295"/>
      <c r="Q492" s="293"/>
      <c r="R492" s="295"/>
      <c r="S492" s="295"/>
      <c r="T492" s="293"/>
    </row>
    <row r="493" spans="2:20" x14ac:dyDescent="0.2">
      <c r="C493" s="292"/>
      <c r="D493" s="293"/>
      <c r="E493" s="294"/>
      <c r="F493" s="295"/>
      <c r="G493" s="295"/>
      <c r="H493" s="293"/>
      <c r="I493" s="295"/>
      <c r="J493" s="295"/>
      <c r="K493" s="293"/>
      <c r="L493" s="295"/>
      <c r="M493" s="295"/>
      <c r="N493" s="293"/>
      <c r="O493" s="295"/>
      <c r="P493" s="295"/>
      <c r="Q493" s="293"/>
      <c r="R493" s="295"/>
      <c r="S493" s="295"/>
      <c r="T493" s="293"/>
    </row>
  </sheetData>
  <sheetProtection algorithmName="SHA-512" hashValue="I80d8fxiwKrs0EpA7F71hdZH74B6sorUa44ltvT9i296vy2r7KnibbwWKpmj6T7rN/ICHLApAH5s5cICio4ctA==" saltValue="OTLx/V6uo0la7Ufg+YXUtQ==" spinCount="100000" sheet="1" objects="1" scenarios="1"/>
  <mergeCells count="24">
    <mergeCell ref="R5:R7"/>
    <mergeCell ref="B3:T3"/>
    <mergeCell ref="D5:D8"/>
    <mergeCell ref="E5:E7"/>
    <mergeCell ref="F5:F7"/>
    <mergeCell ref="G5:G8"/>
    <mergeCell ref="H5:H7"/>
    <mergeCell ref="I5:I7"/>
    <mergeCell ref="J5:J8"/>
    <mergeCell ref="K5:K7"/>
    <mergeCell ref="L5:L7"/>
    <mergeCell ref="M5:M8"/>
    <mergeCell ref="N5:N7"/>
    <mergeCell ref="O5:O7"/>
    <mergeCell ref="P5:P8"/>
    <mergeCell ref="Q5:Q7"/>
    <mergeCell ref="BB6:BI6"/>
    <mergeCell ref="BJ6:BQ6"/>
    <mergeCell ref="S5:S8"/>
    <mergeCell ref="T5:T7"/>
    <mergeCell ref="AD6:AE6"/>
    <mergeCell ref="AF6:AL6"/>
    <mergeCell ref="AM6:AS6"/>
    <mergeCell ref="AT6:BA6"/>
  </mergeCells>
  <conditionalFormatting sqref="A9">
    <cfRule type="containsText" dxfId="87" priority="425" operator="containsText" text="*">
      <formula>NOT(ISERROR(SEARCH("*",A9)))</formula>
    </cfRule>
  </conditionalFormatting>
  <conditionalFormatting sqref="A9:A450">
    <cfRule type="expression" dxfId="86" priority="19">
      <formula>AND(A9&lt;&gt;"",A10="")</formula>
    </cfRule>
  </conditionalFormatting>
  <conditionalFormatting sqref="A11 A13 A15 A17 A19 A21 A23 A25 A27 A29 A31 A33 A35 A37 A39 A41 A43 A45 A47 A49">
    <cfRule type="containsText" dxfId="85" priority="380" operator="containsText" text="*">
      <formula>NOT(ISERROR(SEARCH("*",A11)))</formula>
    </cfRule>
  </conditionalFormatting>
  <conditionalFormatting sqref="A51 A53 A55 A57 A59 A61 A63 A65 A67 A69 A71 A73 A75 A77 A79 A81 A83 A85 A87 A89 A91 A93 A95 A97 A99">
    <cfRule type="containsText" dxfId="84" priority="335" operator="containsText" text="*">
      <formula>NOT(ISERROR(SEARCH("*",A51)))</formula>
    </cfRule>
  </conditionalFormatting>
  <conditionalFormatting sqref="A101 A103 A105 A107 A109 A111 A113 A115 A117 A119 A121 A123 A125 A127 A129 A131 A133 A135 A137 A139 A141 A143 A145 A147 A149">
    <cfRule type="containsText" dxfId="83" priority="290" operator="containsText" text="*">
      <formula>NOT(ISERROR(SEARCH("*",A101)))</formula>
    </cfRule>
  </conditionalFormatting>
  <conditionalFormatting sqref="A151 A153 A155 A157 A159 A161 A163 A165 A167 A169 A171 A173 A175 A177 A179 A181 A183 A185 A187 A189 A191 A193 A195 A197 A199">
    <cfRule type="containsText" dxfId="82" priority="245" operator="containsText" text="*">
      <formula>NOT(ISERROR(SEARCH("*",A151)))</formula>
    </cfRule>
  </conditionalFormatting>
  <conditionalFormatting sqref="A201 A203 A205 A207 A209 A211 A213 A215 A217 A219 A221 A223 A225 A227 A229 A231 A233 A235 A237 A239 A241 A243 A245 A247 A249">
    <cfRule type="containsText" dxfId="81" priority="200" operator="containsText" text="*">
      <formula>NOT(ISERROR(SEARCH("*",A201)))</formula>
    </cfRule>
  </conditionalFormatting>
  <conditionalFormatting sqref="A251 A253 A255 A257 A259 A261 A263 A265 A267 A269 A271 A273 A275 A277 A279 A281 A283 A285 A287 A289 A291 A293 A295 A297 A299">
    <cfRule type="containsText" dxfId="80" priority="155" operator="containsText" text="*">
      <formula>NOT(ISERROR(SEARCH("*",A251)))</formula>
    </cfRule>
  </conditionalFormatting>
  <conditionalFormatting sqref="A301 A303 A305 A307 A309 A311 A313 A315 A317 A319 A321 A323 A325 A327 A329 A331 A333 A335 A337 A339 A341 A343 A345 A347 A349">
    <cfRule type="containsText" dxfId="79" priority="110" operator="containsText" text="*">
      <formula>NOT(ISERROR(SEARCH("*",A301)))</formula>
    </cfRule>
  </conditionalFormatting>
  <conditionalFormatting sqref="A351 A353 A355 A357 A359 A361 A363 A365 A367 A369 A371 A373 A375 A377 A379 A381 A383 A385 A387 A389 A391 A393 A395 A397 A399">
    <cfRule type="containsText" dxfId="78" priority="65" operator="containsText" text="*">
      <formula>NOT(ISERROR(SEARCH("*",A351)))</formula>
    </cfRule>
  </conditionalFormatting>
  <conditionalFormatting sqref="A401 A403 A405 A407 A409 A411 A413 A415 A417 A419 A421 A423 A425 A427 A429 A431 A433 A435 A437 A439 A441 A443 A445 A447 A449">
    <cfRule type="containsText" dxfId="77" priority="20" operator="containsText" text="*">
      <formula>NOT(ISERROR(SEARCH("*",A401)))</formula>
    </cfRule>
  </conditionalFormatting>
  <conditionalFormatting sqref="A10:T10">
    <cfRule type="containsText" dxfId="76" priority="409" operator="containsText" text="*">
      <formula>NOT(ISERROR(SEARCH("*",A10)))</formula>
    </cfRule>
  </conditionalFormatting>
  <conditionalFormatting sqref="A12:T12 A14:T14 A16:T16 A18:T18 A20:T20 A22:T22 A24:T24 A26:T26 A28:T28 A30:T30 A32:T32 A34:T34 A36:T36 A38:T38 A40:T40 A42:T42 A44:T44 A46:T46 A48:T48 A50:T50">
    <cfRule type="containsText" dxfId="75" priority="364" operator="containsText" text="*">
      <formula>NOT(ISERROR(SEARCH("*",A12)))</formula>
    </cfRule>
  </conditionalFormatting>
  <conditionalFormatting sqref="A52:T52 A54:T54 A56:T56 A58:T58 A60:T60 A62:T62 A64:T64 A66:T66 A68:T68 A70:T70 A72:T72 A74:T74 A76:T76 A78:T78 A80:T80 A82:T82 A84:T84 A86:T86 A88:T88 A90:T90 A92:T92 A94:T94 A96:T96 A98:T98 A100:T100">
    <cfRule type="containsText" dxfId="74" priority="319" operator="containsText" text="*">
      <formula>NOT(ISERROR(SEARCH("*",A52)))</formula>
    </cfRule>
  </conditionalFormatting>
  <conditionalFormatting sqref="A102:T102 A104:T104 A106:T106 A108:T108 A110:T110 A112:T112 A114:T114 A116:T116 A118:T118 A120:T120 A122:T122 A124:T124 A126:T126 A128:T128 A130:T130 A132:T132 A134:T134 A136:T136 A138:T138 A140:T140 A142:T142 A144:T144 A146:T146 A148:T148 A150:T150">
    <cfRule type="containsText" dxfId="73" priority="274" operator="containsText" text="*">
      <formula>NOT(ISERROR(SEARCH("*",A102)))</formula>
    </cfRule>
  </conditionalFormatting>
  <conditionalFormatting sqref="A152:T152 A154:T154 A156:T156 A158:T158 A160:T160 A162:T162 A164:T164 A166:T166 A168:T168 A170:T170 A172:T172 A174:T174 A176:T176 A178:T178 A180:T180 A182:T182 A184:T184 A186:T186 A188:T188 A190:T190 A192:T192 A194:T194 A196:T196 A198:T198 A200:T200">
    <cfRule type="containsText" dxfId="72" priority="229" operator="containsText" text="*">
      <formula>NOT(ISERROR(SEARCH("*",A152)))</formula>
    </cfRule>
  </conditionalFormatting>
  <conditionalFormatting sqref="A202:T202 A204:T204 A206:T206 A208:T208 A210:T210 A212:T212 A214:T214 A216:T216 A218:T218 A220:T220 A222:T222 A224:T224 A226:T226 A228:T228 A230:T230 A232:T232 A234:T234 A236:T236 A238:T238 A240:T240 A242:T242 A244:T244 A246:T246 A248:T248 A250:T250">
    <cfRule type="containsText" dxfId="71" priority="184" operator="containsText" text="*">
      <formula>NOT(ISERROR(SEARCH("*",A202)))</formula>
    </cfRule>
  </conditionalFormatting>
  <conditionalFormatting sqref="A252:T252 A254:T254 A256:T256 A258:T258 A260:T260 A262:T262 A264:T264 A266:T266 A268:T268 A270:T270 A272:T272 A274:T274 A276:T276 A278:T278 A280:T280 A282:T282 A284:T284 A286:T286 A288:T288 A290:T290 A292:T292 A294:T294 A296:T296 A298:T298 A300:T300">
    <cfRule type="containsText" dxfId="70" priority="139" operator="containsText" text="*">
      <formula>NOT(ISERROR(SEARCH("*",A252)))</formula>
    </cfRule>
  </conditionalFormatting>
  <conditionalFormatting sqref="A302:T302 A304:T304 A306:T306 A308:T308 A310:T310 A312:T312 A314:T314 A316:T316 A318:T318 A320:T320 A322:T322 A324:T324 A326:T326 A328:T328 A330:T330 A332:T332 A334:T334 A336:T336 A338:T338 A340:T340 A342:T342 A344:T344 A346:T346 A348:T348 A350:T350">
    <cfRule type="containsText" dxfId="69" priority="94" operator="containsText" text="*">
      <formula>NOT(ISERROR(SEARCH("*",A302)))</formula>
    </cfRule>
  </conditionalFormatting>
  <conditionalFormatting sqref="A352:T352 A354:T354 A356:T356 A358:T358 A360:T360 A362:T362 A364:T364 A366:T366 A368:T368 A370:T370 A372:T372 A374:T374 A376:T376 A378:T378 A380:T380 A382:T382 A384:T384 A386:T386 A388:T388 A390:T390 A392:T392 A394:T394 A396:T396 A398:T398 A400:T400">
    <cfRule type="containsText" dxfId="68" priority="49" operator="containsText" text="*">
      <formula>NOT(ISERROR(SEARCH("*",A352)))</formula>
    </cfRule>
  </conditionalFormatting>
  <conditionalFormatting sqref="A402:T402 A404:T404 A406:T406 A408:T408 A410:T410 A412:T412 A414:T414 A416:T416 A418:T418 A420:T420 A422:T422 A424:T424 A426:T426 A428:T428 A430:T430 A432:T432 A434:T434 A436:T436 A438:T438 A440:T440 A442:T442 A444:T444 A446:T446 A448:T448 A450:T450">
    <cfRule type="containsText" dxfId="67" priority="4" operator="containsText" text="*">
      <formula>NOT(ISERROR(SEARCH("*",A402)))</formula>
    </cfRule>
  </conditionalFormatting>
  <conditionalFormatting sqref="A469:T493">
    <cfRule type="expression" dxfId="66" priority="566">
      <formula>AND(A469&lt;&gt;"",A470="")</formula>
    </cfRule>
    <cfRule type="containsText" dxfId="65" priority="567" operator="containsText" text="*">
      <formula>NOT(ISERROR(SEARCH("*",A469)))</formula>
    </cfRule>
  </conditionalFormatting>
  <conditionalFormatting sqref="B6">
    <cfRule type="expression" dxfId="64" priority="451">
      <formula>$B$6=0</formula>
    </cfRule>
  </conditionalFormatting>
  <conditionalFormatting sqref="B9">
    <cfRule type="containsText" dxfId="63" priority="429" operator="containsText" text="*">
      <formula>NOT(ISERROR(SEARCH("*",B9)))</formula>
    </cfRule>
    <cfRule type="expression" dxfId="62" priority="428">
      <formula>AND(B9&lt;&gt;"",B10="")</formula>
    </cfRule>
  </conditionalFormatting>
  <conditionalFormatting sqref="B9:B10">
    <cfRule type="expression" dxfId="61" priority="447">
      <formula>AND(B9&lt;&gt;"",B10="")</formula>
    </cfRule>
    <cfRule type="containsText" dxfId="60" priority="450" operator="containsText" text="*">
      <formula>NOT(ISERROR(SEARCH("*",B9)))</formula>
    </cfRule>
  </conditionalFormatting>
  <conditionalFormatting sqref="B11 B13 B15 B17 B19 B21 B23 B25 B27 B29 B31 B33 B35 B37 B39 B41 B43 B45 B47 B49">
    <cfRule type="containsText" dxfId="59" priority="384" operator="containsText" text="*">
      <formula>NOT(ISERROR(SEARCH("*",B11)))</formula>
    </cfRule>
    <cfRule type="expression" dxfId="58" priority="383">
      <formula>AND(B11&lt;&gt;"",B12="")</formula>
    </cfRule>
  </conditionalFormatting>
  <conditionalFormatting sqref="B11:B50">
    <cfRule type="expression" dxfId="57" priority="402">
      <formula>AND(B11&lt;&gt;"",B12="")</formula>
    </cfRule>
    <cfRule type="containsText" dxfId="56" priority="405" operator="containsText" text="*">
      <formula>NOT(ISERROR(SEARCH("*",B11)))</formula>
    </cfRule>
  </conditionalFormatting>
  <conditionalFormatting sqref="B51 B53 B55 B57 B59 B61 B63 B65 B67 B69 B71 B73 B75 B77 B79 B81 B83 B85 B87 B89 B91 B93 B95 B97 B99">
    <cfRule type="containsText" dxfId="55" priority="339" operator="containsText" text="*">
      <formula>NOT(ISERROR(SEARCH("*",B51)))</formula>
    </cfRule>
    <cfRule type="expression" dxfId="54" priority="338">
      <formula>AND(B51&lt;&gt;"",B52="")</formula>
    </cfRule>
  </conditionalFormatting>
  <conditionalFormatting sqref="B51:B100">
    <cfRule type="containsText" dxfId="53" priority="360" operator="containsText" text="*">
      <formula>NOT(ISERROR(SEARCH("*",B51)))</formula>
    </cfRule>
    <cfRule type="expression" dxfId="52" priority="357">
      <formula>AND(B51&lt;&gt;"",B52="")</formula>
    </cfRule>
  </conditionalFormatting>
  <conditionalFormatting sqref="B101 B103 B105 B107 B109 B111 B113 B115 B117 B119 B121 B123 B125 B127 B129 B131 B133 B135 B137 B139 B141 B143 B145 B147 B149">
    <cfRule type="expression" dxfId="51" priority="293">
      <formula>AND(B101&lt;&gt;"",B102="")</formula>
    </cfRule>
    <cfRule type="containsText" dxfId="50" priority="294" operator="containsText" text="*">
      <formula>NOT(ISERROR(SEARCH("*",B101)))</formula>
    </cfRule>
  </conditionalFormatting>
  <conditionalFormatting sqref="B101:B150">
    <cfRule type="expression" dxfId="49" priority="312">
      <formula>AND(B101&lt;&gt;"",B102="")</formula>
    </cfRule>
    <cfRule type="containsText" dxfId="48" priority="315" operator="containsText" text="*">
      <formula>NOT(ISERROR(SEARCH("*",B101)))</formula>
    </cfRule>
  </conditionalFormatting>
  <conditionalFormatting sqref="B151 B153 B155 B157 B159 B161 B163 B165 B167 B169 B171 B173 B175 B177 B179 B181 B183 B185 B187 B189 B191 B193 B195 B197 B199">
    <cfRule type="expression" dxfId="47" priority="248">
      <formula>AND(B151&lt;&gt;"",B152="")</formula>
    </cfRule>
    <cfRule type="containsText" dxfId="46" priority="249" operator="containsText" text="*">
      <formula>NOT(ISERROR(SEARCH("*",B151)))</formula>
    </cfRule>
  </conditionalFormatting>
  <conditionalFormatting sqref="B151:B200">
    <cfRule type="expression" dxfId="45" priority="267">
      <formula>AND(B151&lt;&gt;"",B152="")</formula>
    </cfRule>
    <cfRule type="containsText" dxfId="44" priority="270" operator="containsText" text="*">
      <formula>NOT(ISERROR(SEARCH("*",B151)))</formula>
    </cfRule>
  </conditionalFormatting>
  <conditionalFormatting sqref="B201 B203 B205 B207 B209 B211 B213 B215 B217 B219 B221 B223 B225 B227 B229 B231 B233 B235 B237 B239 B241 B243 B245 B247 B249">
    <cfRule type="containsText" dxfId="43" priority="204" operator="containsText" text="*">
      <formula>NOT(ISERROR(SEARCH("*",B201)))</formula>
    </cfRule>
    <cfRule type="expression" dxfId="42" priority="203">
      <formula>AND(B201&lt;&gt;"",B202="")</formula>
    </cfRule>
  </conditionalFormatting>
  <conditionalFormatting sqref="B201:B250">
    <cfRule type="expression" dxfId="41" priority="222">
      <formula>AND(B201&lt;&gt;"",B202="")</formula>
    </cfRule>
    <cfRule type="containsText" dxfId="40" priority="225" operator="containsText" text="*">
      <formula>NOT(ISERROR(SEARCH("*",B201)))</formula>
    </cfRule>
  </conditionalFormatting>
  <conditionalFormatting sqref="B251 B253 B255 B257 B259 B261 B263 B265 B267 B269 B271 B273 B275 B277 B279 B281 B283 B285 B287 B289 B291 B293 B295 B297 B299">
    <cfRule type="expression" dxfId="39" priority="158">
      <formula>AND(B251&lt;&gt;"",B252="")</formula>
    </cfRule>
    <cfRule type="containsText" dxfId="38" priority="159" operator="containsText" text="*">
      <formula>NOT(ISERROR(SEARCH("*",B251)))</formula>
    </cfRule>
  </conditionalFormatting>
  <conditionalFormatting sqref="B251:B300">
    <cfRule type="containsText" dxfId="37" priority="180" operator="containsText" text="*">
      <formula>NOT(ISERROR(SEARCH("*",B251)))</formula>
    </cfRule>
    <cfRule type="expression" dxfId="36" priority="177">
      <formula>AND(B251&lt;&gt;"",B252="")</formula>
    </cfRule>
  </conditionalFormatting>
  <conditionalFormatting sqref="B301 B303 B305 B307 B309 B311 B313 B315 B317 B319 B321 B323 B325 B327 B329 B331 B333 B335 B337 B339 B341 B343 B345 B347 B349">
    <cfRule type="containsText" dxfId="35" priority="114" operator="containsText" text="*">
      <formula>NOT(ISERROR(SEARCH("*",B301)))</formula>
    </cfRule>
    <cfRule type="expression" dxfId="34" priority="113">
      <formula>AND(B301&lt;&gt;"",B302="")</formula>
    </cfRule>
  </conditionalFormatting>
  <conditionalFormatting sqref="B301:B350">
    <cfRule type="containsText" dxfId="33" priority="135" operator="containsText" text="*">
      <formula>NOT(ISERROR(SEARCH("*",B301)))</formula>
    </cfRule>
    <cfRule type="expression" dxfId="32" priority="132">
      <formula>AND(B301&lt;&gt;"",B302="")</formula>
    </cfRule>
  </conditionalFormatting>
  <conditionalFormatting sqref="B351 B353 B355 B357 B359 B361 B363 B365 B367 B369 B371 B373 B375 B377 B379 B381 B383 B385 B387 B389 B391 B393 B395 B397 B399">
    <cfRule type="containsText" dxfId="31" priority="69" operator="containsText" text="*">
      <formula>NOT(ISERROR(SEARCH("*",B351)))</formula>
    </cfRule>
    <cfRule type="expression" dxfId="30" priority="68">
      <formula>AND(B351&lt;&gt;"",B352="")</formula>
    </cfRule>
  </conditionalFormatting>
  <conditionalFormatting sqref="B351:B400">
    <cfRule type="containsText" dxfId="29" priority="90" operator="containsText" text="*">
      <formula>NOT(ISERROR(SEARCH("*",B351)))</formula>
    </cfRule>
    <cfRule type="expression" dxfId="28" priority="87">
      <formula>AND(B351&lt;&gt;"",B352="")</formula>
    </cfRule>
  </conditionalFormatting>
  <conditionalFormatting sqref="B401 B403 B405 B407 B409 B411 B413 B415 B417 B419 B421 B423 B425 B427 B429 B431 B433 B435 B437 B439 B441 B443 B445 B447 B449">
    <cfRule type="containsText" dxfId="27" priority="24" operator="containsText" text="*">
      <formula>NOT(ISERROR(SEARCH("*",B401)))</formula>
    </cfRule>
    <cfRule type="expression" dxfId="26" priority="23">
      <formula>AND(B401&lt;&gt;"",B402="")</formula>
    </cfRule>
  </conditionalFormatting>
  <conditionalFormatting sqref="B401:B450">
    <cfRule type="containsText" dxfId="25" priority="45" operator="containsText" text="*">
      <formula>NOT(ISERROR(SEARCH("*",B401)))</formula>
    </cfRule>
    <cfRule type="expression" dxfId="24" priority="42">
      <formula>AND(B401&lt;&gt;"",B402="")</formula>
    </cfRule>
  </conditionalFormatting>
  <conditionalFormatting sqref="B469:B493">
    <cfRule type="containsText" dxfId="23" priority="621" operator="containsText" text="*">
      <formula>NOT(ISERROR(SEARCH("*",B469)))</formula>
    </cfRule>
  </conditionalFormatting>
  <conditionalFormatting sqref="C9:T9">
    <cfRule type="containsText" dxfId="22" priority="407" operator="containsText" text="*">
      <formula>NOT(ISERROR(SEARCH("*",C9)))</formula>
    </cfRule>
  </conditionalFormatting>
  <conditionalFormatting sqref="C9:T450">
    <cfRule type="expression" dxfId="21" priority="1">
      <formula>AND(C9&lt;&gt;"",C10="")</formula>
    </cfRule>
  </conditionalFormatting>
  <conditionalFormatting sqref="C11:T11 C13:T13 C15:T15 C17:T17 C19:T19 C21:T21 C23:T23 C25:T25 C27:T27 C29:T29 C31:T31 C33:T33 C35:T35 C37:T37 C39:T39 C41:T41 C43:T43 C45:T45 C47:T47 C49:T49">
    <cfRule type="containsText" dxfId="20" priority="362" operator="containsText" text="*">
      <formula>NOT(ISERROR(SEARCH("*",C11)))</formula>
    </cfRule>
  </conditionalFormatting>
  <conditionalFormatting sqref="C51:T51 C53:T53 C55:T55 C57:T57 C59:T59 C61:T61 C63:T63 C65:T65 C67:T67 C69:T69 C71:T71 C73:T73 C75:T75 C77:T77 C79:T79 C81:T81 C83:T83 C85:T85 C87:T87 C89:T89 C91:T91 C93:T93 C95:T95 C97:T97 C99:T99">
    <cfRule type="containsText" dxfId="19" priority="317" operator="containsText" text="*">
      <formula>NOT(ISERROR(SEARCH("*",C51)))</formula>
    </cfRule>
  </conditionalFormatting>
  <conditionalFormatting sqref="C101:T101 C103:T103 C105:T105 C107:T107 C109:T109 C111:T111 C113:T113 C115:T115 C117:T117 C119:T119 C121:T121 C123:T123 C125:T125 C127:T127 C129:T129 C131:T131 C133:T133 C135:T135 C137:T137 C139:T139 C141:T141 C143:T143 C145:T145 C147:T147 C149:T149">
    <cfRule type="containsText" dxfId="18" priority="272" operator="containsText" text="*">
      <formula>NOT(ISERROR(SEARCH("*",C101)))</formula>
    </cfRule>
  </conditionalFormatting>
  <conditionalFormatting sqref="C151:T151 C153:T153 C155:T155 C157:T157 C159:T159 C161:T161 C163:T163 C165:T165 C167:T167 C169:T169 C171:T171 C173:T173 C175:T175 C177:T177 C179:T179 C181:T181 C183:T183 C185:T185 C187:T187 C189:T189 C191:T191 C193:T193 C195:T195 C197:T197 C199:T199">
    <cfRule type="containsText" dxfId="17" priority="227" operator="containsText" text="*">
      <formula>NOT(ISERROR(SEARCH("*",C151)))</formula>
    </cfRule>
  </conditionalFormatting>
  <conditionalFormatting sqref="C201:T201 C203:T203 C205:T205 C207:T207 C209:T209 C211:T211 C213:T213 C215:T215 C217:T217 C219:T219 C221:T221 C223:T223 C225:T225 C227:T227 C229:T229 C231:T231 C233:T233 C235:T235 C237:T237 C239:T239 C241:T241 C243:T243 C245:T245 C247:T247 C249:T249">
    <cfRule type="containsText" dxfId="16" priority="182" operator="containsText" text="*">
      <formula>NOT(ISERROR(SEARCH("*",C201)))</formula>
    </cfRule>
  </conditionalFormatting>
  <conditionalFormatting sqref="C251:T251 C253:T253 C255:T255 C257:T257 C259:T259 C261:T261 C263:T263 C265:T265 C267:T267 C269:T269 C271:T271 C273:T273 C275:T275 C277:T277 C279:T279 C281:T281 C283:T283 C285:T285 C287:T287 C289:T289 C291:T291 C293:T293 C295:T295 C297:T297 C299:T299">
    <cfRule type="containsText" dxfId="15" priority="137" operator="containsText" text="*">
      <formula>NOT(ISERROR(SEARCH("*",C251)))</formula>
    </cfRule>
  </conditionalFormatting>
  <conditionalFormatting sqref="C301:T301 C303:T303 C305:T305 C307:T307 C309:T309 C311:T311 C313:T313 C315:T315 C317:T317 C319:T319 C321:T321 C323:T323 C325:T325 C327:T327 C329:T329 C331:T331 C333:T333 C335:T335 C337:T337 C339:T339 C341:T341 C343:T343 C345:T345 C347:T347 C349:T349">
    <cfRule type="containsText" dxfId="14" priority="92" operator="containsText" text="*">
      <formula>NOT(ISERROR(SEARCH("*",C301)))</formula>
    </cfRule>
  </conditionalFormatting>
  <conditionalFormatting sqref="C351:T351 C353:T353 C355:T355 C357:T357 C359:T359 C361:T361 C363:T363 C365:T365 C367:T367 C369:T369 C371:T371 C373:T373 C375:T375 C377:T377 C379:T379 C381:T381 C383:T383 C385:T385 C387:T387 C389:T389 C391:T391 C393:T393 C395:T395 C397:T397 C399:T399">
    <cfRule type="containsText" dxfId="13" priority="47" operator="containsText" text="*">
      <formula>NOT(ISERROR(SEARCH("*",C351)))</formula>
    </cfRule>
  </conditionalFormatting>
  <conditionalFormatting sqref="C401:T401 C403:T403 C405:T405 C407:T407 C409:T409 C411:T411 C413:T413 C415:T415 C417:T417 C419:T419 C421:T421 C423:T423 C425:T425 C427:T427 C429:T429 C431:T431 C433:T433 C435:T435 C437:T437 C439:T439 C441:T441 C443:T443 C445:T445 C447:T447 C449:T449">
    <cfRule type="containsText" dxfId="12" priority="2" operator="containsText" text="*">
      <formula>NOT(ISERROR(SEARCH("*",C401)))</formula>
    </cfRule>
  </conditionalFormatting>
  <conditionalFormatting sqref="AB9:AB10">
    <cfRule type="containsText" dxfId="11" priority="457" operator="containsText" text="*">
      <formula>NOT(ISERROR(SEARCH("*",AB9)))</formula>
    </cfRule>
  </conditionalFormatting>
  <conditionalFormatting sqref="AB9:AB470">
    <cfRule type="expression" dxfId="10" priority="452">
      <formula>AND(AB9&lt;&gt;"",AB10="")</formula>
    </cfRule>
  </conditionalFormatting>
  <conditionalFormatting sqref="AB11">
    <cfRule type="containsText" dxfId="9" priority="473" operator="containsText" text="*">
      <formula>NOT(ISERROR(SEARCH("*",AB11)))</formula>
    </cfRule>
  </conditionalFormatting>
  <conditionalFormatting sqref="AB12 AB14 AB16 AB18 AB20 AB22 AB24 AB26 AB28 AB30 AB32 AB34 AB36 AB38 AB40 AB42 AB44 AB46 AB48 AB50 AB52 AB54 AB56 AB58 AB60 AB62 AB64 AB66 AB68 AB70 AB72 AB74 AB76 AB78 AB80 AB82 AB84 AB86 AB88">
    <cfRule type="containsText" dxfId="8" priority="475" operator="containsText" text="*">
      <formula>NOT(ISERROR(SEARCH("*",AB12)))</formula>
    </cfRule>
  </conditionalFormatting>
  <conditionalFormatting sqref="AB13">
    <cfRule type="containsText" dxfId="7" priority="471" operator="containsText" text="*">
      <formula>NOT(ISERROR(SEARCH("*",AB13)))</formula>
    </cfRule>
  </conditionalFormatting>
  <conditionalFormatting sqref="AB15 AB17 AB19 AB21 AB23">
    <cfRule type="containsText" dxfId="6" priority="469" operator="containsText" text="*">
      <formula>NOT(ISERROR(SEARCH("*",AB15)))</formula>
    </cfRule>
  </conditionalFormatting>
  <conditionalFormatting sqref="AB25 AB27 AB29 AB31 AB33 AB35 AB37 AB39 AB41 AB43 AB45 AB47 AB49 AB51">
    <cfRule type="containsText" dxfId="5" priority="467" operator="containsText" text="*">
      <formula>NOT(ISERROR(SEARCH("*",AB25)))</formula>
    </cfRule>
  </conditionalFormatting>
  <conditionalFormatting sqref="AB53 AB55 AB57 AB59 AB61 AB63 AB65 AB67 AB69 AB71 AB73 AB75 AB77 AB79 AB81 AB83 AB85 AB87">
    <cfRule type="containsText" dxfId="4" priority="465" operator="containsText" text="*">
      <formula>NOT(ISERROR(SEARCH("*",AB53)))</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containsText" dxfId="3" priority="459" operator="containsText" text="*">
      <formula>NOT(ISERROR(SEARCH("*",AB89)))</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containsText" dxfId="2" priority="461" operator="containsText" text="*">
      <formula>NOT(ISERROR(SEARCH("*",AB90)))</formula>
    </cfRule>
  </conditionalFormatting>
  <conditionalFormatting sqref="AB469">
    <cfRule type="containsText" dxfId="1" priority="453" operator="containsText" text="*">
      <formula>NOT(ISERROR(SEARCH("*",AB469)))</formula>
    </cfRule>
  </conditionalFormatting>
  <conditionalFormatting sqref="AB470">
    <cfRule type="containsText" dxfId="0" priority="455" operator="containsText" text="*">
      <formula>NOT(ISERROR(SEARCH("*",AB470)))</formula>
    </cfRule>
  </conditionalFormatting>
  <hyperlinks>
    <hyperlink ref="B5" location="'Area summary'!E3" display="'Area summary'!E3" xr:uid="{1EBE14CD-8E65-4E90-81CC-E8E6AFB4BE6A}"/>
    <hyperlink ref="B6" location="'Area summary'!I5" display="'Area summary'!I5" xr:uid="{F4A4EB2C-31B3-47CA-836B-ED0C9DFECFBE}"/>
  </hyperlinks>
  <pageMargins left="0.7" right="0.7" top="0.75" bottom="0.75" header="0.3" footer="0.3"/>
  <pageSetup paperSize="9" orientation="portrait" r:id="rId1"/>
  <headerFooter>
    <oddFooter>&amp;C&amp;1#&amp;"Calibri"&amp;12&amp;K0078D7OFFICIAL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028B-3DB7-4A5B-8BE7-BDC0B43FEA0E}">
  <sheetPr codeName="Sheet7" filterMode="1">
    <tabColor rgb="FFFFFF00"/>
  </sheetPr>
  <dimension ref="A1:FR310"/>
  <sheetViews>
    <sheetView topLeftCell="EN1" zoomScale="80" zoomScaleNormal="80" workbookViewId="0">
      <pane ySplit="3" topLeftCell="A287" activePane="bottomLeft" state="frozen"/>
      <selection activeCell="D5" sqref="D5:FN328"/>
      <selection pane="bottomLeft" activeCell="ET4" sqref="ET4:FE310"/>
    </sheetView>
  </sheetViews>
  <sheetFormatPr defaultColWidth="9.140625" defaultRowHeight="15" x14ac:dyDescent="0.25"/>
  <cols>
    <col min="1" max="1" width="19" customWidth="1"/>
    <col min="2" max="2" width="10.42578125" bestFit="1" customWidth="1"/>
    <col min="3" max="3" width="26.85546875" customWidth="1"/>
    <col min="4" max="4" width="20.85546875" bestFit="1" customWidth="1"/>
    <col min="5" max="5" width="9.5703125" bestFit="1" customWidth="1"/>
    <col min="6" max="13" width="9.28515625" bestFit="1" customWidth="1"/>
    <col min="14" max="16" width="9.5703125" bestFit="1" customWidth="1"/>
    <col min="17" max="20" width="9.28515625" bestFit="1" customWidth="1"/>
    <col min="21" max="21" width="9.5703125" bestFit="1" customWidth="1"/>
    <col min="22" max="22" width="9.5703125" style="178" bestFit="1" customWidth="1"/>
    <col min="23" max="23" width="9.28515625" bestFit="1" customWidth="1"/>
    <col min="24" max="24" width="10.85546875" style="178" bestFit="1" customWidth="1"/>
    <col min="25" max="25" width="10.85546875" style="178" customWidth="1"/>
    <col min="26" max="26" width="9.28515625" style="178" bestFit="1" customWidth="1"/>
    <col min="27" max="27" width="11" style="178" customWidth="1"/>
    <col min="28" max="29" width="9.28515625" bestFit="1" customWidth="1"/>
    <col min="30" max="30" width="12.42578125" bestFit="1" customWidth="1"/>
    <col min="31" max="34" width="9.28515625" bestFit="1" customWidth="1"/>
    <col min="35" max="35" width="11.140625" bestFit="1" customWidth="1"/>
    <col min="36" max="36" width="9.28515625" bestFit="1" customWidth="1"/>
    <col min="37" max="37" width="11.140625" bestFit="1" customWidth="1"/>
    <col min="38" max="38" width="9.28515625" bestFit="1" customWidth="1"/>
    <col min="39" max="39" width="10.140625" bestFit="1" customWidth="1"/>
    <col min="40" max="40" width="9.28515625" bestFit="1" customWidth="1"/>
    <col min="41" max="42" width="9.28515625" style="178" bestFit="1" customWidth="1"/>
    <col min="43" max="43" width="13.5703125" bestFit="1" customWidth="1"/>
    <col min="44" max="46" width="9.28515625" bestFit="1" customWidth="1"/>
    <col min="47" max="47" width="11.5703125" bestFit="1" customWidth="1"/>
    <col min="48" max="48" width="9.28515625" bestFit="1" customWidth="1"/>
    <col min="49" max="49" width="10.140625" bestFit="1" customWidth="1"/>
    <col min="50" max="52" width="9.28515625" bestFit="1" customWidth="1"/>
    <col min="53" max="53" width="12.28515625" bestFit="1" customWidth="1"/>
    <col min="54" max="54" width="11.140625" bestFit="1" customWidth="1"/>
    <col min="55" max="57" width="9.28515625" bestFit="1" customWidth="1"/>
    <col min="58" max="59" width="11.140625" bestFit="1" customWidth="1"/>
    <col min="60" max="62" width="9.28515625" bestFit="1" customWidth="1"/>
    <col min="63" max="63" width="11.140625" bestFit="1" customWidth="1"/>
    <col min="64" max="64" width="11.140625" style="204" bestFit="1" customWidth="1"/>
    <col min="65" max="65" width="9.28515625" style="204" bestFit="1" customWidth="1"/>
    <col min="66" max="66" width="9.28515625" bestFit="1" customWidth="1"/>
    <col min="67" max="67" width="9.28515625" style="180" bestFit="1" customWidth="1"/>
    <col min="68" max="68" width="9.28515625" style="204" bestFit="1" customWidth="1"/>
    <col min="69" max="69" width="10.140625" style="204" bestFit="1" customWidth="1"/>
    <col min="70" max="70" width="9.28515625" bestFit="1" customWidth="1"/>
    <col min="71" max="71" width="9.28515625" style="180" bestFit="1" customWidth="1"/>
    <col min="72" max="73" width="9.28515625" style="204" bestFit="1" customWidth="1"/>
    <col min="74" max="75" width="9.28515625" bestFit="1" customWidth="1"/>
    <col min="76" max="77" width="9.28515625" style="204" bestFit="1" customWidth="1"/>
    <col min="78" max="78" width="9.28515625" bestFit="1" customWidth="1"/>
    <col min="79" max="79" width="9.28515625" style="180" bestFit="1" customWidth="1"/>
    <col min="80" max="81" width="9.28515625" style="204" bestFit="1" customWidth="1"/>
    <col min="82" max="82" width="9.28515625" bestFit="1" customWidth="1"/>
    <col min="83" max="83" width="9.28515625" style="180" bestFit="1" customWidth="1"/>
    <col min="84" max="84" width="12.42578125" style="204" bestFit="1" customWidth="1"/>
    <col min="85" max="85" width="9.28515625" style="204" bestFit="1" customWidth="1"/>
    <col min="86" max="88" width="9.28515625" bestFit="1" customWidth="1"/>
    <col min="89" max="89" width="12.42578125" bestFit="1" customWidth="1"/>
    <col min="90" max="91" width="9.28515625" bestFit="1" customWidth="1"/>
    <col min="92" max="92" width="9.28515625" style="180" bestFit="1" customWidth="1"/>
    <col min="93" max="93" width="9.28515625" bestFit="1" customWidth="1"/>
    <col min="94" max="94" width="10.140625" bestFit="1" customWidth="1"/>
    <col min="95" max="96" width="9.28515625" bestFit="1" customWidth="1"/>
    <col min="97" max="97" width="9.28515625" style="180" bestFit="1" customWidth="1"/>
    <col min="98" max="98" width="9.28515625" bestFit="1" customWidth="1"/>
    <col min="99" max="99" width="10.140625" bestFit="1" customWidth="1"/>
    <col min="100" max="101" width="9.28515625" bestFit="1" customWidth="1"/>
    <col min="102" max="102" width="9.28515625" style="180" bestFit="1" customWidth="1"/>
    <col min="103" max="103" width="9.28515625" bestFit="1" customWidth="1"/>
    <col min="104" max="104" width="11.140625" bestFit="1" customWidth="1"/>
    <col min="105" max="106" width="9.28515625" bestFit="1" customWidth="1"/>
    <col min="107" max="107" width="9.28515625" style="180" bestFit="1" customWidth="1"/>
    <col min="108" max="108" width="9.28515625" bestFit="1" customWidth="1"/>
    <col min="109" max="109" width="10.140625" bestFit="1" customWidth="1"/>
    <col min="110" max="111" width="9.28515625" bestFit="1" customWidth="1"/>
    <col min="112" max="112" width="9.28515625" style="180" bestFit="1" customWidth="1"/>
    <col min="113" max="116" width="9.28515625" bestFit="1" customWidth="1"/>
    <col min="117" max="117" width="9.28515625" style="180" bestFit="1" customWidth="1"/>
    <col min="118" max="121" width="9.28515625" bestFit="1" customWidth="1"/>
    <col min="122" max="122" width="9.28515625" style="180" bestFit="1" customWidth="1"/>
    <col min="123" max="123" width="9.28515625" bestFit="1" customWidth="1"/>
    <col min="124" max="124" width="11.140625" bestFit="1" customWidth="1"/>
    <col min="125" max="126" width="9.28515625" bestFit="1" customWidth="1"/>
    <col min="127" max="127" width="9.28515625" style="180" bestFit="1" customWidth="1"/>
    <col min="128" max="128" width="9.28515625" bestFit="1" customWidth="1"/>
    <col min="129" max="129" width="11.140625" bestFit="1" customWidth="1"/>
    <col min="130" max="131" width="9.28515625" bestFit="1" customWidth="1"/>
    <col min="132" max="132" width="10.5703125" style="180" bestFit="1" customWidth="1"/>
    <col min="133" max="134" width="9.28515625" bestFit="1" customWidth="1"/>
    <col min="135" max="135" width="10.140625" bestFit="1" customWidth="1"/>
    <col min="136" max="136" width="9.28515625" bestFit="1" customWidth="1"/>
    <col min="137" max="137" width="11.140625" style="180" bestFit="1" customWidth="1"/>
    <col min="138" max="138" width="9.28515625" bestFit="1" customWidth="1"/>
    <col min="139" max="139" width="10.140625" bestFit="1" customWidth="1"/>
    <col min="140" max="141" width="9.28515625" bestFit="1" customWidth="1"/>
    <col min="142" max="142" width="9.28515625" style="180" bestFit="1" customWidth="1"/>
    <col min="143" max="146" width="9.28515625" bestFit="1" customWidth="1"/>
    <col min="147" max="147" width="11.140625" style="180" bestFit="1" customWidth="1"/>
    <col min="148" max="148" width="9.28515625" bestFit="1" customWidth="1"/>
    <col min="149" max="149" width="11.140625" bestFit="1" customWidth="1"/>
    <col min="150" max="151" width="9.28515625" bestFit="1" customWidth="1"/>
    <col min="152" max="152" width="9.28515625" style="180" bestFit="1" customWidth="1"/>
    <col min="153" max="156" width="9.28515625" bestFit="1" customWidth="1"/>
    <col min="157" max="157" width="9.28515625" style="180" bestFit="1" customWidth="1"/>
    <col min="158" max="161" width="9.28515625" bestFit="1" customWidth="1"/>
    <col min="162" max="162" width="9.28515625" style="180" bestFit="1" customWidth="1"/>
    <col min="163" max="163" width="10.140625" bestFit="1" customWidth="1"/>
    <col min="164" max="164" width="9.28515625" bestFit="1" customWidth="1"/>
    <col min="165" max="165" width="10.140625" bestFit="1" customWidth="1"/>
    <col min="166" max="166" width="9.28515625" bestFit="1" customWidth="1"/>
    <col min="167" max="167" width="9.28515625" style="180" bestFit="1" customWidth="1"/>
    <col min="168" max="171" width="9.28515625" style="180" customWidth="1"/>
    <col min="172" max="174" width="9.28515625" bestFit="1" customWidth="1"/>
  </cols>
  <sheetData>
    <row r="1" spans="1:174" x14ac:dyDescent="0.25">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row>
    <row r="2" spans="1:174" x14ac:dyDescent="0.25">
      <c r="A2" s="181">
        <v>1</v>
      </c>
      <c r="B2" s="181">
        <v>2</v>
      </c>
      <c r="C2" s="181">
        <v>3</v>
      </c>
      <c r="D2" s="181">
        <v>4</v>
      </c>
      <c r="E2" s="181">
        <v>5</v>
      </c>
      <c r="F2" s="181">
        <v>6</v>
      </c>
      <c r="G2" s="181">
        <v>7</v>
      </c>
      <c r="H2" s="181">
        <v>8</v>
      </c>
      <c r="I2" s="181">
        <v>9</v>
      </c>
      <c r="J2" s="181">
        <v>10</v>
      </c>
      <c r="K2" s="181">
        <v>11</v>
      </c>
      <c r="L2" s="181">
        <v>12</v>
      </c>
      <c r="M2" s="181">
        <v>13</v>
      </c>
      <c r="N2" s="181">
        <v>14</v>
      </c>
      <c r="O2" s="181">
        <v>15</v>
      </c>
      <c r="P2" s="181">
        <v>16</v>
      </c>
      <c r="Q2" s="181">
        <v>17</v>
      </c>
      <c r="R2" s="181">
        <v>18</v>
      </c>
      <c r="S2" s="181">
        <v>19</v>
      </c>
      <c r="T2" s="181">
        <v>20</v>
      </c>
      <c r="U2" s="181">
        <v>21</v>
      </c>
      <c r="V2" s="181">
        <v>22</v>
      </c>
      <c r="W2" s="181">
        <v>23</v>
      </c>
      <c r="X2" s="181">
        <v>24</v>
      </c>
      <c r="Y2" s="181">
        <v>25</v>
      </c>
      <c r="Z2" s="181">
        <v>26</v>
      </c>
      <c r="AA2" s="181">
        <v>27</v>
      </c>
      <c r="AB2" s="181">
        <v>28</v>
      </c>
      <c r="AC2" s="181">
        <v>29</v>
      </c>
      <c r="AD2" s="181">
        <v>30</v>
      </c>
      <c r="AE2" s="181">
        <v>31</v>
      </c>
      <c r="AF2" s="181">
        <v>32</v>
      </c>
      <c r="AG2" s="181">
        <v>33</v>
      </c>
      <c r="AH2" s="181">
        <v>34</v>
      </c>
      <c r="AI2" s="181">
        <v>35</v>
      </c>
      <c r="AJ2" s="181">
        <v>36</v>
      </c>
      <c r="AK2" s="181">
        <v>37</v>
      </c>
      <c r="AL2" s="181">
        <v>38</v>
      </c>
      <c r="AM2" s="181">
        <v>39</v>
      </c>
      <c r="AN2" s="181">
        <v>40</v>
      </c>
      <c r="AO2" s="181">
        <v>41</v>
      </c>
      <c r="AP2" s="181">
        <v>42</v>
      </c>
      <c r="AQ2" s="181">
        <v>43</v>
      </c>
      <c r="AR2" s="181">
        <v>44</v>
      </c>
      <c r="AS2" s="181">
        <v>45</v>
      </c>
      <c r="AT2" s="181">
        <v>46</v>
      </c>
      <c r="AU2" s="181">
        <v>47</v>
      </c>
      <c r="AV2" s="181">
        <v>48</v>
      </c>
      <c r="AW2" s="181">
        <v>49</v>
      </c>
      <c r="AX2" s="181">
        <v>50</v>
      </c>
      <c r="AY2" s="181">
        <v>51</v>
      </c>
      <c r="AZ2" s="181">
        <v>52</v>
      </c>
      <c r="BA2" s="181">
        <v>53</v>
      </c>
      <c r="BB2" s="181">
        <v>54</v>
      </c>
      <c r="BC2" s="181">
        <v>55</v>
      </c>
      <c r="BD2" s="181">
        <v>56</v>
      </c>
      <c r="BE2" s="181">
        <v>57</v>
      </c>
      <c r="BF2" s="181">
        <v>58</v>
      </c>
      <c r="BG2" s="181">
        <v>59</v>
      </c>
      <c r="BH2" s="181">
        <v>60</v>
      </c>
      <c r="BI2" s="181">
        <v>61</v>
      </c>
      <c r="BJ2" s="181">
        <v>62</v>
      </c>
      <c r="BK2" s="181">
        <v>63</v>
      </c>
      <c r="BL2" s="181">
        <v>64</v>
      </c>
      <c r="BM2" s="181">
        <v>65</v>
      </c>
      <c r="BN2" s="181">
        <v>66</v>
      </c>
      <c r="BO2" s="181">
        <v>67</v>
      </c>
      <c r="BP2" s="181">
        <v>68</v>
      </c>
      <c r="BQ2" s="181">
        <v>69</v>
      </c>
      <c r="BR2" s="181">
        <v>70</v>
      </c>
      <c r="BS2" s="181">
        <v>71</v>
      </c>
      <c r="BT2" s="181">
        <v>72</v>
      </c>
      <c r="BU2" s="181">
        <v>73</v>
      </c>
      <c r="BV2" s="181">
        <v>74</v>
      </c>
      <c r="BW2" s="181">
        <v>75</v>
      </c>
      <c r="BX2" s="181">
        <v>76</v>
      </c>
      <c r="BY2" s="181">
        <v>77</v>
      </c>
      <c r="BZ2" s="181">
        <v>78</v>
      </c>
      <c r="CA2" s="181">
        <v>79</v>
      </c>
      <c r="CB2" s="181">
        <v>80</v>
      </c>
      <c r="CC2" s="181">
        <v>81</v>
      </c>
      <c r="CD2" s="181">
        <v>82</v>
      </c>
      <c r="CE2" s="181">
        <v>83</v>
      </c>
      <c r="CF2" s="181">
        <v>84</v>
      </c>
      <c r="CG2" s="181">
        <v>85</v>
      </c>
      <c r="CH2" s="181">
        <v>86</v>
      </c>
      <c r="CI2" s="181">
        <v>87</v>
      </c>
      <c r="CJ2" s="181">
        <v>88</v>
      </c>
      <c r="CK2" s="181">
        <v>89</v>
      </c>
      <c r="CL2" s="181">
        <v>90</v>
      </c>
      <c r="CM2" s="181">
        <v>91</v>
      </c>
      <c r="CN2" s="181">
        <v>92</v>
      </c>
      <c r="CO2" s="181">
        <v>93</v>
      </c>
      <c r="CP2" s="181">
        <v>94</v>
      </c>
      <c r="CQ2" s="181">
        <v>95</v>
      </c>
      <c r="CR2" s="181">
        <v>96</v>
      </c>
      <c r="CS2" s="181">
        <v>97</v>
      </c>
      <c r="CT2" s="181">
        <v>98</v>
      </c>
      <c r="CU2" s="181">
        <v>99</v>
      </c>
      <c r="CV2" s="181">
        <v>100</v>
      </c>
      <c r="CW2" s="181">
        <v>101</v>
      </c>
      <c r="CX2" s="181">
        <v>102</v>
      </c>
      <c r="CY2" s="181">
        <v>103</v>
      </c>
      <c r="CZ2" s="181">
        <v>104</v>
      </c>
      <c r="DA2" s="181">
        <v>105</v>
      </c>
      <c r="DB2" s="181">
        <v>106</v>
      </c>
      <c r="DC2" s="181">
        <v>107</v>
      </c>
      <c r="DD2" s="181">
        <v>108</v>
      </c>
      <c r="DE2" s="181">
        <v>109</v>
      </c>
      <c r="DF2" s="181">
        <v>110</v>
      </c>
      <c r="DG2" s="181">
        <v>111</v>
      </c>
      <c r="DH2" s="181">
        <v>112</v>
      </c>
      <c r="DI2" s="181">
        <v>113</v>
      </c>
      <c r="DJ2" s="181">
        <v>114</v>
      </c>
      <c r="DK2" s="181">
        <v>115</v>
      </c>
      <c r="DL2" s="181">
        <v>116</v>
      </c>
      <c r="DM2" s="181">
        <v>117</v>
      </c>
      <c r="DN2" s="181">
        <v>118</v>
      </c>
      <c r="DO2" s="181">
        <v>119</v>
      </c>
      <c r="DP2" s="181">
        <v>120</v>
      </c>
      <c r="DQ2" s="181">
        <v>121</v>
      </c>
      <c r="DR2" s="181">
        <v>122</v>
      </c>
      <c r="DS2" s="181">
        <v>123</v>
      </c>
      <c r="DT2" s="181">
        <v>124</v>
      </c>
      <c r="DU2" s="181">
        <v>125</v>
      </c>
      <c r="DV2" s="181">
        <v>126</v>
      </c>
      <c r="DW2" s="181">
        <v>127</v>
      </c>
      <c r="DX2" s="181">
        <v>128</v>
      </c>
      <c r="DY2" s="181">
        <v>129</v>
      </c>
      <c r="DZ2" s="181">
        <v>130</v>
      </c>
      <c r="EA2" s="181">
        <v>131</v>
      </c>
      <c r="EB2" s="181">
        <v>132</v>
      </c>
      <c r="EC2" s="181">
        <v>133</v>
      </c>
      <c r="ED2" s="181">
        <v>134</v>
      </c>
      <c r="EE2" s="181">
        <v>135</v>
      </c>
      <c r="EF2" s="181">
        <v>136</v>
      </c>
      <c r="EG2" s="181">
        <v>137</v>
      </c>
      <c r="EH2" s="181">
        <v>138</v>
      </c>
      <c r="EI2" s="181">
        <v>139</v>
      </c>
      <c r="EJ2" s="181">
        <v>140</v>
      </c>
      <c r="EK2" s="181">
        <v>141</v>
      </c>
      <c r="EL2" s="181">
        <v>142</v>
      </c>
      <c r="EM2" s="181">
        <v>143</v>
      </c>
      <c r="EN2" s="181">
        <v>144</v>
      </c>
      <c r="EO2" s="181">
        <v>145</v>
      </c>
      <c r="EP2" s="181">
        <v>146</v>
      </c>
      <c r="EQ2" s="181">
        <v>147</v>
      </c>
      <c r="ER2" s="181">
        <v>148</v>
      </c>
      <c r="ES2" s="181">
        <v>149</v>
      </c>
      <c r="ET2" s="181">
        <v>150</v>
      </c>
      <c r="EU2" s="181">
        <v>151</v>
      </c>
      <c r="EV2" s="181">
        <v>152</v>
      </c>
      <c r="EW2" s="181">
        <v>153</v>
      </c>
      <c r="EX2" s="181">
        <v>154</v>
      </c>
      <c r="EY2" s="181">
        <v>155</v>
      </c>
      <c r="EZ2" s="181">
        <v>156</v>
      </c>
      <c r="FA2" s="181">
        <v>157</v>
      </c>
      <c r="FB2" s="181">
        <v>158</v>
      </c>
      <c r="FC2" s="181">
        <v>159</v>
      </c>
      <c r="FD2" s="181">
        <v>160</v>
      </c>
      <c r="FE2" s="181">
        <v>161</v>
      </c>
      <c r="FF2" s="181">
        <v>162</v>
      </c>
      <c r="FG2" s="181">
        <v>163</v>
      </c>
      <c r="FH2" s="181">
        <v>164</v>
      </c>
      <c r="FI2" s="181">
        <v>165</v>
      </c>
      <c r="FJ2" s="181">
        <v>166</v>
      </c>
      <c r="FK2" s="181">
        <v>167</v>
      </c>
      <c r="FL2" s="181">
        <v>168</v>
      </c>
      <c r="FM2" s="181">
        <v>169</v>
      </c>
      <c r="FN2" s="181">
        <v>170</v>
      </c>
      <c r="FO2" s="181">
        <v>171</v>
      </c>
      <c r="FP2" s="181">
        <v>172</v>
      </c>
      <c r="FQ2" s="181">
        <v>173</v>
      </c>
      <c r="FR2" s="181">
        <v>174</v>
      </c>
    </row>
    <row r="3" spans="1:174" s="182" customFormat="1" ht="165" x14ac:dyDescent="0.25">
      <c r="A3" s="182" t="s">
        <v>76</v>
      </c>
      <c r="B3" s="182" t="s">
        <v>77</v>
      </c>
      <c r="C3" s="182" t="s">
        <v>78</v>
      </c>
      <c r="D3" s="183" t="s">
        <v>79</v>
      </c>
      <c r="E3" s="183" t="s">
        <v>80</v>
      </c>
      <c r="F3" s="183" t="s">
        <v>81</v>
      </c>
      <c r="G3" s="183" t="s">
        <v>82</v>
      </c>
      <c r="H3" s="183" t="s">
        <v>83</v>
      </c>
      <c r="I3" s="183" t="s">
        <v>84</v>
      </c>
      <c r="J3" s="183" t="s">
        <v>85</v>
      </c>
      <c r="K3" s="183" t="s">
        <v>86</v>
      </c>
      <c r="L3" s="183" t="s">
        <v>87</v>
      </c>
      <c r="M3" s="183" t="s">
        <v>88</v>
      </c>
      <c r="N3" s="183" t="s">
        <v>89</v>
      </c>
      <c r="O3" s="183" t="s">
        <v>90</v>
      </c>
      <c r="P3" s="184" t="s">
        <v>91</v>
      </c>
      <c r="Q3" s="184" t="s">
        <v>92</v>
      </c>
      <c r="R3" s="198" t="s">
        <v>93</v>
      </c>
      <c r="S3" s="198" t="s">
        <v>94</v>
      </c>
      <c r="T3" s="185" t="s">
        <v>9855</v>
      </c>
      <c r="U3" s="185" t="s">
        <v>95</v>
      </c>
      <c r="V3" s="186" t="s">
        <v>96</v>
      </c>
      <c r="W3" s="186" t="s">
        <v>97</v>
      </c>
      <c r="X3" s="186" t="s">
        <v>98</v>
      </c>
      <c r="Y3" s="186" t="s">
        <v>99</v>
      </c>
      <c r="Z3" s="187" t="s">
        <v>100</v>
      </c>
      <c r="AA3" s="187" t="s">
        <v>101</v>
      </c>
      <c r="AB3" s="187" t="s">
        <v>102</v>
      </c>
      <c r="AC3" s="187" t="s">
        <v>103</v>
      </c>
      <c r="AD3" s="188" t="s">
        <v>104</v>
      </c>
      <c r="AE3" s="189" t="s">
        <v>105</v>
      </c>
      <c r="AF3" s="189" t="s">
        <v>106</v>
      </c>
      <c r="AG3" s="189" t="s">
        <v>107</v>
      </c>
      <c r="AH3" s="189" t="s">
        <v>108</v>
      </c>
      <c r="AI3" s="189" t="s">
        <v>109</v>
      </c>
      <c r="AJ3" s="190" t="s">
        <v>110</v>
      </c>
      <c r="AK3" s="191" t="s">
        <v>111</v>
      </c>
      <c r="AL3" s="192" t="s">
        <v>112</v>
      </c>
      <c r="AM3" s="193" t="s">
        <v>113</v>
      </c>
      <c r="AN3" s="194" t="s">
        <v>114</v>
      </c>
      <c r="AO3" s="194" t="s">
        <v>115</v>
      </c>
      <c r="AP3" s="194" t="s">
        <v>116</v>
      </c>
      <c r="AQ3" s="194" t="s">
        <v>117</v>
      </c>
      <c r="AR3" s="195" t="s">
        <v>118</v>
      </c>
      <c r="AS3" s="194" t="s">
        <v>119</v>
      </c>
      <c r="AT3" s="194" t="s">
        <v>120</v>
      </c>
      <c r="AU3" s="194" t="s">
        <v>121</v>
      </c>
      <c r="AV3" s="194" t="s">
        <v>122</v>
      </c>
      <c r="AW3" s="195" t="s">
        <v>123</v>
      </c>
      <c r="AX3" s="194" t="s">
        <v>124</v>
      </c>
      <c r="AY3" s="194" t="s">
        <v>125</v>
      </c>
      <c r="AZ3" s="194" t="s">
        <v>126</v>
      </c>
      <c r="BA3" s="194" t="s">
        <v>127</v>
      </c>
      <c r="BB3" s="195" t="s">
        <v>128</v>
      </c>
      <c r="BC3" s="194" t="s">
        <v>129</v>
      </c>
      <c r="BD3" s="194" t="s">
        <v>130</v>
      </c>
      <c r="BE3" s="194" t="s">
        <v>131</v>
      </c>
      <c r="BF3" s="194" t="s">
        <v>132</v>
      </c>
      <c r="BG3" s="195" t="s">
        <v>133</v>
      </c>
      <c r="BH3" s="194" t="s">
        <v>134</v>
      </c>
      <c r="BI3" s="194" t="s">
        <v>135</v>
      </c>
      <c r="BJ3" s="194" t="s">
        <v>136</v>
      </c>
      <c r="BK3" s="194" t="s">
        <v>137</v>
      </c>
      <c r="BL3" s="195" t="s">
        <v>138</v>
      </c>
      <c r="BM3" s="194" t="s">
        <v>139</v>
      </c>
      <c r="BN3" s="194" t="s">
        <v>140</v>
      </c>
      <c r="BO3" s="194" t="s">
        <v>141</v>
      </c>
      <c r="BP3" s="194" t="s">
        <v>142</v>
      </c>
      <c r="BQ3" s="195" t="s">
        <v>143</v>
      </c>
      <c r="BR3" s="194" t="s">
        <v>144</v>
      </c>
      <c r="BS3" s="194" t="s">
        <v>145</v>
      </c>
      <c r="BT3" s="194" t="s">
        <v>146</v>
      </c>
      <c r="BU3" s="194" t="s">
        <v>147</v>
      </c>
      <c r="BV3" s="195" t="s">
        <v>148</v>
      </c>
      <c r="BW3" s="194" t="s">
        <v>149</v>
      </c>
      <c r="BX3" s="194" t="s">
        <v>150</v>
      </c>
      <c r="BY3" s="194" t="s">
        <v>151</v>
      </c>
      <c r="BZ3" s="194" t="s">
        <v>152</v>
      </c>
      <c r="CA3" s="195" t="s">
        <v>153</v>
      </c>
      <c r="CB3" s="194" t="s">
        <v>154</v>
      </c>
      <c r="CC3" s="194" t="s">
        <v>155</v>
      </c>
      <c r="CD3" s="194" t="s">
        <v>156</v>
      </c>
      <c r="CE3" s="194" t="s">
        <v>157</v>
      </c>
      <c r="CF3" s="195" t="s">
        <v>158</v>
      </c>
      <c r="CG3" s="194" t="s">
        <v>159</v>
      </c>
      <c r="CH3" s="194" t="s">
        <v>160</v>
      </c>
      <c r="CI3" s="194" t="s">
        <v>161</v>
      </c>
      <c r="CJ3" s="194" t="s">
        <v>162</v>
      </c>
      <c r="CK3" s="195" t="s">
        <v>163</v>
      </c>
      <c r="CL3" s="196" t="s">
        <v>164</v>
      </c>
      <c r="CM3" s="196" t="s">
        <v>165</v>
      </c>
      <c r="CN3" s="196" t="s">
        <v>166</v>
      </c>
      <c r="CO3" s="196" t="s">
        <v>167</v>
      </c>
      <c r="CP3" s="197" t="s">
        <v>168</v>
      </c>
      <c r="CQ3" s="196" t="s">
        <v>169</v>
      </c>
      <c r="CR3" s="196" t="s">
        <v>170</v>
      </c>
      <c r="CS3" s="196" t="s">
        <v>171</v>
      </c>
      <c r="CT3" s="196" t="s">
        <v>172</v>
      </c>
      <c r="CU3" s="197" t="s">
        <v>173</v>
      </c>
      <c r="CV3" s="196" t="s">
        <v>174</v>
      </c>
      <c r="CW3" s="196" t="s">
        <v>175</v>
      </c>
      <c r="CX3" s="196" t="s">
        <v>176</v>
      </c>
      <c r="CY3" s="196" t="s">
        <v>177</v>
      </c>
      <c r="CZ3" s="197" t="s">
        <v>178</v>
      </c>
      <c r="DA3" s="196" t="s">
        <v>179</v>
      </c>
      <c r="DB3" s="196" t="s">
        <v>180</v>
      </c>
      <c r="DC3" s="196" t="s">
        <v>181</v>
      </c>
      <c r="DD3" s="196" t="s">
        <v>182</v>
      </c>
      <c r="DE3" s="197" t="s">
        <v>183</v>
      </c>
      <c r="DF3" s="196" t="s">
        <v>184</v>
      </c>
      <c r="DG3" s="196" t="s">
        <v>185</v>
      </c>
      <c r="DH3" s="196" t="s">
        <v>186</v>
      </c>
      <c r="DI3" s="196" t="s">
        <v>187</v>
      </c>
      <c r="DJ3" s="197" t="s">
        <v>188</v>
      </c>
      <c r="DK3" s="196" t="s">
        <v>189</v>
      </c>
      <c r="DL3" s="196" t="s">
        <v>190</v>
      </c>
      <c r="DM3" s="196" t="s">
        <v>191</v>
      </c>
      <c r="DN3" s="196" t="s">
        <v>192</v>
      </c>
      <c r="DO3" s="197" t="s">
        <v>193</v>
      </c>
      <c r="DP3" s="196" t="s">
        <v>194</v>
      </c>
      <c r="DQ3" s="196" t="s">
        <v>195</v>
      </c>
      <c r="DR3" s="196" t="s">
        <v>196</v>
      </c>
      <c r="DS3" s="196" t="s">
        <v>197</v>
      </c>
      <c r="DT3" s="197" t="s">
        <v>198</v>
      </c>
      <c r="DU3" s="196" t="s">
        <v>199</v>
      </c>
      <c r="DV3" s="196" t="s">
        <v>200</v>
      </c>
      <c r="DW3" s="196" t="s">
        <v>201</v>
      </c>
      <c r="DX3" s="196" t="s">
        <v>202</v>
      </c>
      <c r="DY3" s="197" t="s">
        <v>203</v>
      </c>
      <c r="DZ3" s="198" t="s">
        <v>204</v>
      </c>
      <c r="EA3" s="199" t="s">
        <v>205</v>
      </c>
      <c r="EB3" s="198" t="s">
        <v>206</v>
      </c>
      <c r="EC3" s="199" t="s">
        <v>207</v>
      </c>
      <c r="ED3" s="198" t="s">
        <v>208</v>
      </c>
      <c r="EE3" s="199" t="s">
        <v>209</v>
      </c>
      <c r="EF3" s="198" t="s">
        <v>210</v>
      </c>
      <c r="EG3" s="199" t="s">
        <v>211</v>
      </c>
      <c r="EH3" s="198" t="s">
        <v>212</v>
      </c>
      <c r="EI3" s="199" t="s">
        <v>213</v>
      </c>
      <c r="EJ3" s="198" t="s">
        <v>214</v>
      </c>
      <c r="EK3" s="199" t="s">
        <v>215</v>
      </c>
      <c r="EL3" s="198" t="s">
        <v>216</v>
      </c>
      <c r="EM3" s="199" t="s">
        <v>217</v>
      </c>
      <c r="EN3" s="198" t="s">
        <v>218</v>
      </c>
      <c r="EO3" s="199" t="s">
        <v>219</v>
      </c>
      <c r="EP3" s="198" t="s">
        <v>220</v>
      </c>
      <c r="EQ3" s="199" t="s">
        <v>221</v>
      </c>
      <c r="ER3" s="198" t="s">
        <v>222</v>
      </c>
      <c r="ES3" s="199" t="s">
        <v>223</v>
      </c>
      <c r="ET3" s="200" t="s">
        <v>224</v>
      </c>
      <c r="EU3" s="201" t="s">
        <v>225</v>
      </c>
      <c r="EV3" s="200" t="s">
        <v>226</v>
      </c>
      <c r="EW3" s="201" t="s">
        <v>227</v>
      </c>
      <c r="EX3" s="200" t="s">
        <v>228</v>
      </c>
      <c r="EY3" s="201" t="s">
        <v>229</v>
      </c>
      <c r="EZ3" s="200" t="s">
        <v>230</v>
      </c>
      <c r="FA3" s="201" t="s">
        <v>231</v>
      </c>
      <c r="FB3" s="200" t="s">
        <v>232</v>
      </c>
      <c r="FC3" s="201" t="s">
        <v>233</v>
      </c>
      <c r="FD3" s="200" t="s">
        <v>234</v>
      </c>
      <c r="FE3" s="201" t="s">
        <v>235</v>
      </c>
      <c r="FF3" s="200" t="s">
        <v>236</v>
      </c>
      <c r="FG3" s="201" t="s">
        <v>237</v>
      </c>
      <c r="FH3" s="200" t="s">
        <v>238</v>
      </c>
      <c r="FI3" s="201" t="s">
        <v>239</v>
      </c>
      <c r="FJ3" s="202" t="s">
        <v>240</v>
      </c>
      <c r="FK3" s="203" t="s">
        <v>241</v>
      </c>
      <c r="FL3" s="203" t="s">
        <v>11655</v>
      </c>
      <c r="FM3" s="203" t="s">
        <v>11656</v>
      </c>
      <c r="FN3" s="203" t="s">
        <v>11657</v>
      </c>
      <c r="FO3" s="203" t="s">
        <v>11658</v>
      </c>
      <c r="FP3" s="203" t="s">
        <v>242</v>
      </c>
      <c r="FQ3" s="203" t="s">
        <v>243</v>
      </c>
      <c r="FR3" s="203" t="s">
        <v>244</v>
      </c>
    </row>
    <row r="4" spans="1:174" s="182" customFormat="1" x14ac:dyDescent="0.25">
      <c r="A4" s="521" t="s">
        <v>6</v>
      </c>
      <c r="B4" s="521" t="s">
        <v>6</v>
      </c>
      <c r="C4" s="521" t="s">
        <v>281</v>
      </c>
      <c r="D4" s="522">
        <v>2261147</v>
      </c>
      <c r="E4" s="522">
        <v>2219247</v>
      </c>
      <c r="F4" s="522">
        <v>9834</v>
      </c>
      <c r="G4" s="522">
        <v>7425</v>
      </c>
      <c r="H4" s="522">
        <v>139428</v>
      </c>
      <c r="I4" s="522">
        <v>83822</v>
      </c>
      <c r="J4" s="522">
        <v>261266</v>
      </c>
      <c r="K4" s="522">
        <v>243521</v>
      </c>
      <c r="L4" s="522">
        <v>253791</v>
      </c>
      <c r="M4" s="522">
        <v>15025</v>
      </c>
      <c r="N4" s="522">
        <v>2925466</v>
      </c>
      <c r="O4" s="522">
        <v>2569040</v>
      </c>
      <c r="P4" s="522">
        <v>2671675</v>
      </c>
      <c r="Q4" s="522">
        <v>13224</v>
      </c>
      <c r="R4" s="523">
        <v>1087</v>
      </c>
      <c r="S4" s="522">
        <v>231</v>
      </c>
      <c r="T4" s="522">
        <v>112134</v>
      </c>
      <c r="U4" s="522">
        <v>2813332</v>
      </c>
      <c r="V4" s="522">
        <v>2206507</v>
      </c>
      <c r="W4" s="522">
        <v>16699</v>
      </c>
      <c r="X4" s="522">
        <v>19870</v>
      </c>
      <c r="Y4" s="522">
        <v>36569</v>
      </c>
      <c r="Z4" s="524">
        <v>109.44</v>
      </c>
      <c r="AA4" s="524">
        <v>112.11</v>
      </c>
      <c r="AB4" s="524">
        <v>9.0299999999999994</v>
      </c>
      <c r="AC4" s="524">
        <v>115.05</v>
      </c>
      <c r="AD4" s="524">
        <v>1832433</v>
      </c>
      <c r="AE4" s="525">
        <v>109.83</v>
      </c>
      <c r="AF4" s="525">
        <v>99.66</v>
      </c>
      <c r="AG4" s="525">
        <v>56.69</v>
      </c>
      <c r="AH4" s="525">
        <v>163.87</v>
      </c>
      <c r="AI4" s="525">
        <v>331761</v>
      </c>
      <c r="AJ4" s="525">
        <v>154.41</v>
      </c>
      <c r="AK4" s="525">
        <v>336167</v>
      </c>
      <c r="AL4" s="525">
        <v>215.76</v>
      </c>
      <c r="AM4" s="525">
        <v>16031</v>
      </c>
      <c r="AN4" s="526">
        <v>94.01</v>
      </c>
      <c r="AO4" s="526">
        <v>94.42</v>
      </c>
      <c r="AP4" s="526">
        <v>46.82</v>
      </c>
      <c r="AQ4" s="526">
        <v>134.53</v>
      </c>
      <c r="AR4" s="522">
        <v>937</v>
      </c>
      <c r="AS4" s="526">
        <v>84.91</v>
      </c>
      <c r="AT4" s="526">
        <v>85.38</v>
      </c>
      <c r="AU4" s="526">
        <v>15.04</v>
      </c>
      <c r="AV4" s="526">
        <v>98.6</v>
      </c>
      <c r="AW4" s="522">
        <v>17088</v>
      </c>
      <c r="AX4" s="526">
        <v>94.09</v>
      </c>
      <c r="AY4" s="526">
        <v>95.66</v>
      </c>
      <c r="AZ4" s="526">
        <v>11.07</v>
      </c>
      <c r="BA4" s="526">
        <v>103.17</v>
      </c>
      <c r="BB4" s="522">
        <v>423321</v>
      </c>
      <c r="BC4" s="526">
        <v>107.62</v>
      </c>
      <c r="BD4" s="526">
        <v>109.79</v>
      </c>
      <c r="BE4" s="526">
        <v>9.66</v>
      </c>
      <c r="BF4" s="526">
        <v>113.92</v>
      </c>
      <c r="BG4" s="522">
        <v>690910</v>
      </c>
      <c r="BH4" s="526">
        <v>118.87</v>
      </c>
      <c r="BI4" s="526">
        <v>122.43</v>
      </c>
      <c r="BJ4" s="526">
        <v>5.38</v>
      </c>
      <c r="BK4" s="526">
        <v>121.31</v>
      </c>
      <c r="BL4" s="522">
        <v>627644</v>
      </c>
      <c r="BM4" s="526">
        <v>139.04</v>
      </c>
      <c r="BN4" s="526">
        <v>145.19</v>
      </c>
      <c r="BO4" s="526">
        <v>6.94</v>
      </c>
      <c r="BP4" s="526">
        <v>142.82</v>
      </c>
      <c r="BQ4" s="522">
        <v>65579</v>
      </c>
      <c r="BR4" s="526">
        <v>154.26</v>
      </c>
      <c r="BS4" s="526">
        <v>165.45</v>
      </c>
      <c r="BT4" s="526">
        <v>8.42</v>
      </c>
      <c r="BU4" s="526">
        <v>158.87</v>
      </c>
      <c r="BV4" s="522">
        <v>5723</v>
      </c>
      <c r="BW4" s="526">
        <v>164.58</v>
      </c>
      <c r="BX4" s="526">
        <v>178.85</v>
      </c>
      <c r="BY4" s="526">
        <v>7.56</v>
      </c>
      <c r="BZ4" s="526">
        <v>168.65</v>
      </c>
      <c r="CA4" s="522">
        <v>1231</v>
      </c>
      <c r="CB4" s="526">
        <v>109.44</v>
      </c>
      <c r="CC4" s="526">
        <v>112.11</v>
      </c>
      <c r="CD4" s="526">
        <v>9.01</v>
      </c>
      <c r="CE4" s="526">
        <v>115.04</v>
      </c>
      <c r="CF4" s="522">
        <v>1831496</v>
      </c>
      <c r="CG4" s="526">
        <v>109.44</v>
      </c>
      <c r="CH4" s="526">
        <v>112.11</v>
      </c>
      <c r="CI4" s="526">
        <v>9.0299999999999994</v>
      </c>
      <c r="CJ4" s="526">
        <v>115.05</v>
      </c>
      <c r="CK4" s="522">
        <v>1832433</v>
      </c>
      <c r="CL4" s="526">
        <v>126.83</v>
      </c>
      <c r="CM4" s="526">
        <v>95.72</v>
      </c>
      <c r="CN4" s="526">
        <v>119.46</v>
      </c>
      <c r="CO4" s="526">
        <v>233.87</v>
      </c>
      <c r="CP4" s="522">
        <v>41507</v>
      </c>
      <c r="CQ4" s="526">
        <v>91.87</v>
      </c>
      <c r="CR4" s="526">
        <v>86.66</v>
      </c>
      <c r="CS4" s="526">
        <v>63.51</v>
      </c>
      <c r="CT4" s="526">
        <v>152.53</v>
      </c>
      <c r="CU4" s="522">
        <v>26114</v>
      </c>
      <c r="CV4" s="526">
        <v>106.89</v>
      </c>
      <c r="CW4" s="526">
        <v>98.69</v>
      </c>
      <c r="CX4" s="526">
        <v>48.23</v>
      </c>
      <c r="CY4" s="526">
        <v>153.65</v>
      </c>
      <c r="CZ4" s="522">
        <v>213292</v>
      </c>
      <c r="DA4" s="526">
        <v>116.52</v>
      </c>
      <c r="DB4" s="526">
        <v>112.26</v>
      </c>
      <c r="DC4" s="526">
        <v>40.090000000000003</v>
      </c>
      <c r="DD4" s="526">
        <v>154.01</v>
      </c>
      <c r="DE4" s="522">
        <v>48269</v>
      </c>
      <c r="DF4" s="526">
        <v>133.04</v>
      </c>
      <c r="DG4" s="526">
        <v>121.98</v>
      </c>
      <c r="DH4" s="526">
        <v>54.35</v>
      </c>
      <c r="DI4" s="526">
        <v>179.56</v>
      </c>
      <c r="DJ4" s="522">
        <v>2357</v>
      </c>
      <c r="DK4" s="526">
        <v>172.39</v>
      </c>
      <c r="DL4" s="526">
        <v>132.44999999999999</v>
      </c>
      <c r="DM4" s="526">
        <v>53.08</v>
      </c>
      <c r="DN4" s="526">
        <v>211.36</v>
      </c>
      <c r="DO4" s="522">
        <v>222</v>
      </c>
      <c r="DP4" s="526">
        <v>107.4</v>
      </c>
      <c r="DQ4" s="526">
        <v>100.07</v>
      </c>
      <c r="DR4" s="526">
        <v>48.32</v>
      </c>
      <c r="DS4" s="526">
        <v>153.86000000000001</v>
      </c>
      <c r="DT4" s="522">
        <v>290254</v>
      </c>
      <c r="DU4" s="526">
        <v>109.83</v>
      </c>
      <c r="DV4" s="526">
        <v>99.66</v>
      </c>
      <c r="DW4" s="526">
        <v>56.69</v>
      </c>
      <c r="DX4" s="526">
        <v>163.87</v>
      </c>
      <c r="DY4" s="522">
        <v>331761</v>
      </c>
      <c r="DZ4" s="526">
        <v>116.94</v>
      </c>
      <c r="EA4" s="526">
        <v>125</v>
      </c>
      <c r="EB4" s="526">
        <v>154.9</v>
      </c>
      <c r="EC4" s="522">
        <v>931</v>
      </c>
      <c r="ED4" s="526">
        <v>139.82</v>
      </c>
      <c r="EE4" s="522">
        <v>66678</v>
      </c>
      <c r="EF4" s="526">
        <v>151.5</v>
      </c>
      <c r="EG4" s="522">
        <v>164407</v>
      </c>
      <c r="EH4" s="526">
        <v>163.54</v>
      </c>
      <c r="EI4" s="522">
        <v>92372</v>
      </c>
      <c r="EJ4" s="526">
        <v>207.12</v>
      </c>
      <c r="EK4" s="522">
        <v>11210</v>
      </c>
      <c r="EL4" s="526">
        <v>197.58</v>
      </c>
      <c r="EM4" s="522">
        <v>393</v>
      </c>
      <c r="EN4" s="526">
        <v>222.65</v>
      </c>
      <c r="EO4" s="522">
        <v>51</v>
      </c>
      <c r="EP4" s="526">
        <v>154.41999999999999</v>
      </c>
      <c r="EQ4" s="522">
        <v>336042</v>
      </c>
      <c r="ER4" s="526">
        <v>154.41</v>
      </c>
      <c r="ES4" s="522">
        <v>336167</v>
      </c>
      <c r="ET4" s="526">
        <v>268.17</v>
      </c>
      <c r="EU4" s="526">
        <v>695</v>
      </c>
      <c r="EV4" s="526">
        <v>219.36</v>
      </c>
      <c r="EW4" s="522">
        <v>809</v>
      </c>
      <c r="EX4" s="526">
        <v>211.84</v>
      </c>
      <c r="EY4" s="522">
        <v>8607</v>
      </c>
      <c r="EZ4" s="526">
        <v>214.75</v>
      </c>
      <c r="FA4" s="522">
        <v>5783</v>
      </c>
      <c r="FB4" s="526">
        <v>215.91</v>
      </c>
      <c r="FC4" s="522">
        <v>120</v>
      </c>
      <c r="FD4" s="526">
        <v>230.76</v>
      </c>
      <c r="FE4" s="522">
        <v>17</v>
      </c>
      <c r="FF4" s="526">
        <v>213.38</v>
      </c>
      <c r="FG4" s="522">
        <v>15336</v>
      </c>
      <c r="FH4" s="526">
        <v>215.76</v>
      </c>
      <c r="FI4" s="522">
        <v>16031</v>
      </c>
      <c r="FJ4" s="522">
        <v>4534</v>
      </c>
      <c r="FK4" s="522">
        <v>2393</v>
      </c>
      <c r="FL4" s="522">
        <v>1541</v>
      </c>
      <c r="FM4" s="522">
        <v>50</v>
      </c>
      <c r="FN4" s="522">
        <v>773</v>
      </c>
      <c r="FO4" s="522">
        <v>29</v>
      </c>
      <c r="FP4" s="522">
        <v>4292</v>
      </c>
      <c r="FQ4" s="522">
        <v>17795</v>
      </c>
      <c r="FR4" s="522">
        <v>3503</v>
      </c>
    </row>
    <row r="5" spans="1:174" x14ac:dyDescent="0.25">
      <c r="A5" s="523" t="s">
        <v>282</v>
      </c>
      <c r="B5" s="523" t="s">
        <v>282</v>
      </c>
      <c r="C5" s="523" t="s">
        <v>282</v>
      </c>
      <c r="D5" s="522">
        <v>123112</v>
      </c>
      <c r="E5" s="522">
        <v>121166</v>
      </c>
      <c r="F5" s="522">
        <v>483</v>
      </c>
      <c r="G5" s="522">
        <v>225</v>
      </c>
      <c r="H5" s="522">
        <v>9425</v>
      </c>
      <c r="I5" s="522">
        <v>6528</v>
      </c>
      <c r="J5" s="522">
        <v>22298</v>
      </c>
      <c r="K5" s="522">
        <v>21273</v>
      </c>
      <c r="L5" s="522">
        <v>19105</v>
      </c>
      <c r="M5" s="522">
        <v>1018</v>
      </c>
      <c r="N5" s="522">
        <v>174423</v>
      </c>
      <c r="O5" s="522">
        <v>150210</v>
      </c>
      <c r="P5" s="522">
        <v>155318</v>
      </c>
      <c r="Q5" s="522">
        <v>296</v>
      </c>
      <c r="R5" s="523">
        <v>83</v>
      </c>
      <c r="S5" s="523">
        <v>79</v>
      </c>
      <c r="T5" s="523">
        <v>5564</v>
      </c>
      <c r="U5" s="523">
        <v>168859</v>
      </c>
      <c r="V5" s="522">
        <v>120603</v>
      </c>
      <c r="W5" s="522">
        <v>814</v>
      </c>
      <c r="X5" s="522">
        <v>779</v>
      </c>
      <c r="Y5" s="522">
        <v>1593</v>
      </c>
      <c r="Z5" s="524">
        <v>101.12</v>
      </c>
      <c r="AA5" s="524">
        <v>102.99</v>
      </c>
      <c r="AB5" s="524">
        <v>6.62</v>
      </c>
      <c r="AC5" s="524">
        <v>105.54</v>
      </c>
      <c r="AD5" s="524">
        <v>95321</v>
      </c>
      <c r="AE5" s="525">
        <v>106.92</v>
      </c>
      <c r="AF5" s="525">
        <v>93.46</v>
      </c>
      <c r="AG5" s="525">
        <v>52.64</v>
      </c>
      <c r="AH5" s="525">
        <v>157.11000000000001</v>
      </c>
      <c r="AI5" s="525">
        <v>27993</v>
      </c>
      <c r="AJ5" s="525">
        <v>128.36000000000001</v>
      </c>
      <c r="AK5" s="525">
        <v>23371</v>
      </c>
      <c r="AL5" s="525">
        <v>219.24</v>
      </c>
      <c r="AM5" s="525">
        <v>711</v>
      </c>
      <c r="AN5" s="526">
        <v>95.85</v>
      </c>
      <c r="AO5" s="526">
        <v>99.36</v>
      </c>
      <c r="AP5" s="526">
        <v>156.19</v>
      </c>
      <c r="AQ5" s="526">
        <v>243.81</v>
      </c>
      <c r="AR5" s="522">
        <v>19</v>
      </c>
      <c r="AS5" s="526">
        <v>72.55</v>
      </c>
      <c r="AT5" s="526">
        <v>73.47</v>
      </c>
      <c r="AU5" s="526">
        <v>18.22</v>
      </c>
      <c r="AV5" s="526">
        <v>89.47</v>
      </c>
      <c r="AW5" s="522">
        <v>771</v>
      </c>
      <c r="AX5" s="526">
        <v>85.67</v>
      </c>
      <c r="AY5" s="526">
        <v>86.21</v>
      </c>
      <c r="AZ5" s="526">
        <v>10.92</v>
      </c>
      <c r="BA5" s="526">
        <v>95.74</v>
      </c>
      <c r="BB5" s="522">
        <v>18343</v>
      </c>
      <c r="BC5" s="526">
        <v>99.99</v>
      </c>
      <c r="BD5" s="526">
        <v>101.11</v>
      </c>
      <c r="BE5" s="526">
        <v>6.37</v>
      </c>
      <c r="BF5" s="526">
        <v>104.31</v>
      </c>
      <c r="BG5" s="522">
        <v>38537</v>
      </c>
      <c r="BH5" s="526">
        <v>109.22</v>
      </c>
      <c r="BI5" s="526">
        <v>112.57</v>
      </c>
      <c r="BJ5" s="526">
        <v>2.67</v>
      </c>
      <c r="BK5" s="526">
        <v>110.62</v>
      </c>
      <c r="BL5" s="522">
        <v>34795</v>
      </c>
      <c r="BM5" s="526">
        <v>124</v>
      </c>
      <c r="BN5" s="526">
        <v>127.36</v>
      </c>
      <c r="BO5" s="526">
        <v>3.3</v>
      </c>
      <c r="BP5" s="526">
        <v>125.92</v>
      </c>
      <c r="BQ5" s="522">
        <v>2637</v>
      </c>
      <c r="BR5" s="526">
        <v>130.41999999999999</v>
      </c>
      <c r="BS5" s="526">
        <v>134.76</v>
      </c>
      <c r="BT5" s="526">
        <v>2.9</v>
      </c>
      <c r="BU5" s="526">
        <v>131.9</v>
      </c>
      <c r="BV5" s="522">
        <v>178</v>
      </c>
      <c r="BW5" s="526">
        <v>145.54</v>
      </c>
      <c r="BX5" s="526">
        <v>149.08000000000001</v>
      </c>
      <c r="BY5" s="526">
        <v>3.93</v>
      </c>
      <c r="BZ5" s="526">
        <v>147.46</v>
      </c>
      <c r="CA5" s="522">
        <v>41</v>
      </c>
      <c r="CB5" s="526">
        <v>101.12</v>
      </c>
      <c r="CC5" s="526">
        <v>102.99</v>
      </c>
      <c r="CD5" s="526">
        <v>6.57</v>
      </c>
      <c r="CE5" s="526">
        <v>105.51</v>
      </c>
      <c r="CF5" s="522">
        <v>95302</v>
      </c>
      <c r="CG5" s="526">
        <v>101.12</v>
      </c>
      <c r="CH5" s="526">
        <v>102.99</v>
      </c>
      <c r="CI5" s="526">
        <v>6.62</v>
      </c>
      <c r="CJ5" s="526">
        <v>105.54</v>
      </c>
      <c r="CK5" s="522">
        <v>95321</v>
      </c>
      <c r="CL5" s="526">
        <v>149.47999999999999</v>
      </c>
      <c r="CM5" s="526">
        <v>81.62</v>
      </c>
      <c r="CN5" s="526">
        <v>128.63999999999999</v>
      </c>
      <c r="CO5" s="526">
        <v>264.63</v>
      </c>
      <c r="CP5" s="522">
        <v>2698</v>
      </c>
      <c r="CQ5" s="526">
        <v>81.400000000000006</v>
      </c>
      <c r="CR5" s="526">
        <v>75.81</v>
      </c>
      <c r="CS5" s="526">
        <v>79.63</v>
      </c>
      <c r="CT5" s="526">
        <v>156.61000000000001</v>
      </c>
      <c r="CU5" s="522">
        <v>1695</v>
      </c>
      <c r="CV5" s="526">
        <v>101.67</v>
      </c>
      <c r="CW5" s="526">
        <v>90.45</v>
      </c>
      <c r="CX5" s="526">
        <v>51.19</v>
      </c>
      <c r="CY5" s="526">
        <v>151.69999999999999</v>
      </c>
      <c r="CZ5" s="522">
        <v>16476</v>
      </c>
      <c r="DA5" s="526">
        <v>108.62</v>
      </c>
      <c r="DB5" s="526">
        <v>105.37</v>
      </c>
      <c r="DC5" s="526">
        <v>21.02</v>
      </c>
      <c r="DD5" s="526">
        <v>128.08000000000001</v>
      </c>
      <c r="DE5" s="522">
        <v>6906</v>
      </c>
      <c r="DF5" s="526">
        <v>115.93</v>
      </c>
      <c r="DG5" s="526">
        <v>115.57</v>
      </c>
      <c r="DH5" s="526">
        <v>44.79</v>
      </c>
      <c r="DI5" s="526">
        <v>153.15</v>
      </c>
      <c r="DJ5" s="522">
        <v>201</v>
      </c>
      <c r="DK5" s="526">
        <v>180.4</v>
      </c>
      <c r="DL5" s="526">
        <v>148.71</v>
      </c>
      <c r="DM5" s="526">
        <v>70.42</v>
      </c>
      <c r="DN5" s="526">
        <v>238.4</v>
      </c>
      <c r="DO5" s="522">
        <v>17</v>
      </c>
      <c r="DP5" s="526">
        <v>102.38</v>
      </c>
      <c r="DQ5" s="526">
        <v>94.06</v>
      </c>
      <c r="DR5" s="526">
        <v>45.08</v>
      </c>
      <c r="DS5" s="526">
        <v>145.65</v>
      </c>
      <c r="DT5" s="522">
        <v>25295</v>
      </c>
      <c r="DU5" s="526">
        <v>106.92</v>
      </c>
      <c r="DV5" s="526">
        <v>93.46</v>
      </c>
      <c r="DW5" s="526">
        <v>52.64</v>
      </c>
      <c r="DX5" s="526">
        <v>157.11000000000001</v>
      </c>
      <c r="DY5" s="522">
        <v>27993</v>
      </c>
      <c r="DZ5" s="526">
        <v>0</v>
      </c>
      <c r="EA5" s="526">
        <v>0</v>
      </c>
      <c r="EB5" s="526">
        <v>94.74</v>
      </c>
      <c r="EC5" s="522">
        <v>8</v>
      </c>
      <c r="ED5" s="526">
        <v>105.32</v>
      </c>
      <c r="EE5" s="522">
        <v>4162</v>
      </c>
      <c r="EF5" s="526">
        <v>126.25</v>
      </c>
      <c r="EG5" s="522">
        <v>12281</v>
      </c>
      <c r="EH5" s="526">
        <v>142.5</v>
      </c>
      <c r="EI5" s="522">
        <v>6216</v>
      </c>
      <c r="EJ5" s="526">
        <v>177.11</v>
      </c>
      <c r="EK5" s="522">
        <v>693</v>
      </c>
      <c r="EL5" s="526">
        <v>174.86</v>
      </c>
      <c r="EM5" s="522">
        <v>10</v>
      </c>
      <c r="EN5" s="526">
        <v>151.9</v>
      </c>
      <c r="EO5" s="522">
        <v>1</v>
      </c>
      <c r="EP5" s="526">
        <v>128.36000000000001</v>
      </c>
      <c r="EQ5" s="522">
        <v>23371</v>
      </c>
      <c r="ER5" s="526">
        <v>128.36000000000001</v>
      </c>
      <c r="ES5" s="522">
        <v>23371</v>
      </c>
      <c r="ET5" s="526">
        <v>295.27999999999997</v>
      </c>
      <c r="EU5" s="526">
        <v>13</v>
      </c>
      <c r="EV5" s="526">
        <v>240.67</v>
      </c>
      <c r="EW5" s="522">
        <v>18</v>
      </c>
      <c r="EX5" s="526">
        <v>228.75</v>
      </c>
      <c r="EY5" s="522">
        <v>546</v>
      </c>
      <c r="EZ5" s="526">
        <v>162.44999999999999</v>
      </c>
      <c r="FA5" s="522">
        <v>119</v>
      </c>
      <c r="FB5" s="526">
        <v>242.2</v>
      </c>
      <c r="FC5" s="522">
        <v>14</v>
      </c>
      <c r="FD5" s="526">
        <v>87.34</v>
      </c>
      <c r="FE5" s="522">
        <v>1</v>
      </c>
      <c r="FF5" s="526">
        <v>217.82</v>
      </c>
      <c r="FG5" s="522">
        <v>698</v>
      </c>
      <c r="FH5" s="526">
        <v>219.24</v>
      </c>
      <c r="FI5" s="522">
        <v>711</v>
      </c>
      <c r="FJ5" s="522">
        <v>182</v>
      </c>
      <c r="FK5" s="522">
        <v>93</v>
      </c>
      <c r="FL5" s="522">
        <v>69</v>
      </c>
      <c r="FM5" s="522">
        <v>0</v>
      </c>
      <c r="FN5" s="522">
        <v>22</v>
      </c>
      <c r="FO5" s="522">
        <v>2</v>
      </c>
      <c r="FP5" s="522">
        <v>138</v>
      </c>
      <c r="FQ5" s="522">
        <v>1580</v>
      </c>
      <c r="FR5" s="522">
        <v>210</v>
      </c>
    </row>
    <row r="6" spans="1:174" x14ac:dyDescent="0.25">
      <c r="A6" s="523" t="s">
        <v>283</v>
      </c>
      <c r="B6" s="523" t="s">
        <v>283</v>
      </c>
      <c r="C6" s="523" t="s">
        <v>283</v>
      </c>
      <c r="D6" s="522">
        <v>236415</v>
      </c>
      <c r="E6" s="522">
        <v>235145</v>
      </c>
      <c r="F6" s="522">
        <v>1799</v>
      </c>
      <c r="G6" s="522">
        <v>1618</v>
      </c>
      <c r="H6" s="522">
        <v>11918</v>
      </c>
      <c r="I6" s="522">
        <v>8314</v>
      </c>
      <c r="J6" s="522">
        <v>26090</v>
      </c>
      <c r="K6" s="522">
        <v>24400</v>
      </c>
      <c r="L6" s="522">
        <v>30225</v>
      </c>
      <c r="M6" s="522">
        <v>2396</v>
      </c>
      <c r="N6" s="522">
        <v>306447</v>
      </c>
      <c r="O6" s="522">
        <v>271873</v>
      </c>
      <c r="P6" s="522">
        <v>276222</v>
      </c>
      <c r="Q6" s="522">
        <v>1452</v>
      </c>
      <c r="R6" s="523">
        <v>123</v>
      </c>
      <c r="S6" s="523">
        <v>84</v>
      </c>
      <c r="T6" s="523">
        <v>7041</v>
      </c>
      <c r="U6" s="523">
        <v>299406</v>
      </c>
      <c r="V6" s="522">
        <v>234502</v>
      </c>
      <c r="W6" s="522">
        <v>1520</v>
      </c>
      <c r="X6" s="522">
        <v>2056</v>
      </c>
      <c r="Y6" s="522">
        <v>3576</v>
      </c>
      <c r="Z6" s="524">
        <v>113.69</v>
      </c>
      <c r="AA6" s="524">
        <v>116.61</v>
      </c>
      <c r="AB6" s="524">
        <v>7.91</v>
      </c>
      <c r="AC6" s="524">
        <v>118.13</v>
      </c>
      <c r="AD6" s="524">
        <v>185979</v>
      </c>
      <c r="AE6" s="525">
        <v>111.9</v>
      </c>
      <c r="AF6" s="525">
        <v>102.73</v>
      </c>
      <c r="AG6" s="525">
        <v>55.23</v>
      </c>
      <c r="AH6" s="525">
        <v>164.88</v>
      </c>
      <c r="AI6" s="525">
        <v>32422</v>
      </c>
      <c r="AJ6" s="525">
        <v>163.71</v>
      </c>
      <c r="AK6" s="525">
        <v>44217</v>
      </c>
      <c r="AL6" s="525">
        <v>174.58</v>
      </c>
      <c r="AM6" s="525">
        <v>786</v>
      </c>
      <c r="AN6" s="526">
        <v>73.5</v>
      </c>
      <c r="AO6" s="526">
        <v>76.180000000000007</v>
      </c>
      <c r="AP6" s="526">
        <v>91.52</v>
      </c>
      <c r="AQ6" s="526">
        <v>156.02000000000001</v>
      </c>
      <c r="AR6" s="522">
        <v>61</v>
      </c>
      <c r="AS6" s="526">
        <v>84.44</v>
      </c>
      <c r="AT6" s="526">
        <v>85.6</v>
      </c>
      <c r="AU6" s="526">
        <v>13.35</v>
      </c>
      <c r="AV6" s="526">
        <v>96.27</v>
      </c>
      <c r="AW6" s="522">
        <v>2375</v>
      </c>
      <c r="AX6" s="526">
        <v>96.43</v>
      </c>
      <c r="AY6" s="526">
        <v>97.61</v>
      </c>
      <c r="AZ6" s="526">
        <v>10.97</v>
      </c>
      <c r="BA6" s="526">
        <v>105.21</v>
      </c>
      <c r="BB6" s="522">
        <v>39493</v>
      </c>
      <c r="BC6" s="526">
        <v>111.26</v>
      </c>
      <c r="BD6" s="526">
        <v>113.26</v>
      </c>
      <c r="BE6" s="526">
        <v>7.95</v>
      </c>
      <c r="BF6" s="526">
        <v>116.16</v>
      </c>
      <c r="BG6" s="522">
        <v>71328</v>
      </c>
      <c r="BH6" s="526">
        <v>125.08</v>
      </c>
      <c r="BI6" s="526">
        <v>129.82</v>
      </c>
      <c r="BJ6" s="526">
        <v>3.57</v>
      </c>
      <c r="BK6" s="526">
        <v>126.34</v>
      </c>
      <c r="BL6" s="522">
        <v>66290</v>
      </c>
      <c r="BM6" s="526">
        <v>139.91999999999999</v>
      </c>
      <c r="BN6" s="526">
        <v>145.21</v>
      </c>
      <c r="BO6" s="526">
        <v>3.89</v>
      </c>
      <c r="BP6" s="526">
        <v>141.76</v>
      </c>
      <c r="BQ6" s="522">
        <v>5917</v>
      </c>
      <c r="BR6" s="526">
        <v>146.99</v>
      </c>
      <c r="BS6" s="526">
        <v>153.80000000000001</v>
      </c>
      <c r="BT6" s="526">
        <v>4.62</v>
      </c>
      <c r="BU6" s="526">
        <v>149.1</v>
      </c>
      <c r="BV6" s="522">
        <v>434</v>
      </c>
      <c r="BW6" s="526">
        <v>149.29</v>
      </c>
      <c r="BX6" s="526">
        <v>155.68</v>
      </c>
      <c r="BY6" s="526">
        <v>3.75</v>
      </c>
      <c r="BZ6" s="526">
        <v>150.4</v>
      </c>
      <c r="CA6" s="522">
        <v>81</v>
      </c>
      <c r="CB6" s="526">
        <v>113.71</v>
      </c>
      <c r="CC6" s="526">
        <v>116.62</v>
      </c>
      <c r="CD6" s="526">
        <v>7.87</v>
      </c>
      <c r="CE6" s="526">
        <v>118.12</v>
      </c>
      <c r="CF6" s="522">
        <v>185918</v>
      </c>
      <c r="CG6" s="526">
        <v>113.69</v>
      </c>
      <c r="CH6" s="526">
        <v>116.61</v>
      </c>
      <c r="CI6" s="526">
        <v>7.91</v>
      </c>
      <c r="CJ6" s="526">
        <v>118.13</v>
      </c>
      <c r="CK6" s="522">
        <v>185979</v>
      </c>
      <c r="CL6" s="526">
        <v>121.77</v>
      </c>
      <c r="CM6" s="526">
        <v>92.8</v>
      </c>
      <c r="CN6" s="526">
        <v>114.54</v>
      </c>
      <c r="CO6" s="526">
        <v>220.41</v>
      </c>
      <c r="CP6" s="522">
        <v>4250</v>
      </c>
      <c r="CQ6" s="526">
        <v>95.09</v>
      </c>
      <c r="CR6" s="526">
        <v>87.31</v>
      </c>
      <c r="CS6" s="526">
        <v>59.62</v>
      </c>
      <c r="CT6" s="526">
        <v>152.47999999999999</v>
      </c>
      <c r="CU6" s="522">
        <v>2786</v>
      </c>
      <c r="CV6" s="526">
        <v>108.97</v>
      </c>
      <c r="CW6" s="526">
        <v>102.57</v>
      </c>
      <c r="CX6" s="526">
        <v>46.89</v>
      </c>
      <c r="CY6" s="526">
        <v>154.86000000000001</v>
      </c>
      <c r="CZ6" s="522">
        <v>21557</v>
      </c>
      <c r="DA6" s="526">
        <v>127.83</v>
      </c>
      <c r="DB6" s="526">
        <v>122.81</v>
      </c>
      <c r="DC6" s="526">
        <v>40.549999999999997</v>
      </c>
      <c r="DD6" s="526">
        <v>166.93</v>
      </c>
      <c r="DE6" s="522">
        <v>3581</v>
      </c>
      <c r="DF6" s="526">
        <v>152.26</v>
      </c>
      <c r="DG6" s="526">
        <v>131.66</v>
      </c>
      <c r="DH6" s="526">
        <v>47.97</v>
      </c>
      <c r="DI6" s="526">
        <v>192.51</v>
      </c>
      <c r="DJ6" s="522">
        <v>199</v>
      </c>
      <c r="DK6" s="526">
        <v>170.85</v>
      </c>
      <c r="DL6" s="526">
        <v>93.08</v>
      </c>
      <c r="DM6" s="526">
        <v>30</v>
      </c>
      <c r="DN6" s="526">
        <v>196.57</v>
      </c>
      <c r="DO6" s="522">
        <v>49</v>
      </c>
      <c r="DP6" s="526">
        <v>110.41</v>
      </c>
      <c r="DQ6" s="526">
        <v>103.81</v>
      </c>
      <c r="DR6" s="526">
        <v>47.32</v>
      </c>
      <c r="DS6" s="526">
        <v>156.5</v>
      </c>
      <c r="DT6" s="522">
        <v>28172</v>
      </c>
      <c r="DU6" s="526">
        <v>111.9</v>
      </c>
      <c r="DV6" s="526">
        <v>102.73</v>
      </c>
      <c r="DW6" s="526">
        <v>55.23</v>
      </c>
      <c r="DX6" s="526">
        <v>164.88</v>
      </c>
      <c r="DY6" s="522">
        <v>32422</v>
      </c>
      <c r="DZ6" s="526">
        <v>110.18</v>
      </c>
      <c r="EA6" s="526">
        <v>9</v>
      </c>
      <c r="EB6" s="526">
        <v>125.53</v>
      </c>
      <c r="EC6" s="522">
        <v>76</v>
      </c>
      <c r="ED6" s="526">
        <v>133.9</v>
      </c>
      <c r="EE6" s="522">
        <v>11308</v>
      </c>
      <c r="EF6" s="526">
        <v>164.14</v>
      </c>
      <c r="EG6" s="522">
        <v>21648</v>
      </c>
      <c r="EH6" s="526">
        <v>188.24</v>
      </c>
      <c r="EI6" s="522">
        <v>9789</v>
      </c>
      <c r="EJ6" s="526">
        <v>229.9</v>
      </c>
      <c r="EK6" s="522">
        <v>1348</v>
      </c>
      <c r="EL6" s="526">
        <v>210.25</v>
      </c>
      <c r="EM6" s="522">
        <v>38</v>
      </c>
      <c r="EN6" s="526">
        <v>151.87</v>
      </c>
      <c r="EO6" s="522">
        <v>1</v>
      </c>
      <c r="EP6" s="526">
        <v>163.72</v>
      </c>
      <c r="EQ6" s="522">
        <v>44208</v>
      </c>
      <c r="ER6" s="526">
        <v>163.71</v>
      </c>
      <c r="ES6" s="522">
        <v>44217</v>
      </c>
      <c r="ET6" s="526">
        <v>93.94</v>
      </c>
      <c r="EU6" s="526">
        <v>5</v>
      </c>
      <c r="EV6" s="526">
        <v>114.31</v>
      </c>
      <c r="EW6" s="522">
        <v>188</v>
      </c>
      <c r="EX6" s="526">
        <v>183.28</v>
      </c>
      <c r="EY6" s="522">
        <v>455</v>
      </c>
      <c r="EZ6" s="526">
        <v>233.4</v>
      </c>
      <c r="FA6" s="522">
        <v>131</v>
      </c>
      <c r="FB6" s="526">
        <v>167.84</v>
      </c>
      <c r="FC6" s="522">
        <v>4</v>
      </c>
      <c r="FD6" s="526">
        <v>207.13</v>
      </c>
      <c r="FE6" s="522">
        <v>3</v>
      </c>
      <c r="FF6" s="526">
        <v>175.1</v>
      </c>
      <c r="FG6" s="522">
        <v>781</v>
      </c>
      <c r="FH6" s="526">
        <v>174.58</v>
      </c>
      <c r="FI6" s="522">
        <v>786</v>
      </c>
      <c r="FJ6" s="522">
        <v>984</v>
      </c>
      <c r="FK6" s="522">
        <v>119</v>
      </c>
      <c r="FL6" s="522">
        <v>84</v>
      </c>
      <c r="FM6" s="522">
        <v>0</v>
      </c>
      <c r="FN6" s="522">
        <v>33</v>
      </c>
      <c r="FO6" s="522">
        <v>2</v>
      </c>
      <c r="FP6" s="522">
        <v>432</v>
      </c>
      <c r="FQ6" s="522">
        <v>2726</v>
      </c>
      <c r="FR6" s="522">
        <v>330</v>
      </c>
    </row>
    <row r="7" spans="1:174" x14ac:dyDescent="0.25">
      <c r="A7" s="523" t="s">
        <v>284</v>
      </c>
      <c r="B7" s="523" t="s">
        <v>284</v>
      </c>
      <c r="C7" s="523" t="s">
        <v>284</v>
      </c>
      <c r="D7" s="522">
        <v>368022</v>
      </c>
      <c r="E7" s="522">
        <v>347459</v>
      </c>
      <c r="F7" s="522">
        <v>4844</v>
      </c>
      <c r="G7" s="522">
        <v>3374</v>
      </c>
      <c r="H7" s="522">
        <v>26480</v>
      </c>
      <c r="I7" s="522">
        <v>15333</v>
      </c>
      <c r="J7" s="522">
        <v>29258</v>
      </c>
      <c r="K7" s="522">
        <v>24237</v>
      </c>
      <c r="L7" s="522">
        <v>55955</v>
      </c>
      <c r="M7" s="522">
        <v>3458</v>
      </c>
      <c r="N7" s="522">
        <v>484559</v>
      </c>
      <c r="O7" s="522">
        <v>393861</v>
      </c>
      <c r="P7" s="522">
        <v>428604</v>
      </c>
      <c r="Q7" s="522">
        <v>4540</v>
      </c>
      <c r="R7" s="523">
        <v>273</v>
      </c>
      <c r="S7" s="523">
        <v>80</v>
      </c>
      <c r="T7" s="523">
        <v>34559</v>
      </c>
      <c r="U7" s="523">
        <v>450000</v>
      </c>
      <c r="V7" s="522">
        <v>344610</v>
      </c>
      <c r="W7" s="522">
        <v>3051</v>
      </c>
      <c r="X7" s="522">
        <v>2892</v>
      </c>
      <c r="Y7" s="522">
        <v>5943</v>
      </c>
      <c r="Z7" s="524">
        <v>139.44999999999999</v>
      </c>
      <c r="AA7" s="524">
        <v>147.80000000000001</v>
      </c>
      <c r="AB7" s="524">
        <v>16.41</v>
      </c>
      <c r="AC7" s="524">
        <v>152.01</v>
      </c>
      <c r="AD7" s="524">
        <v>284789</v>
      </c>
      <c r="AE7" s="525">
        <v>130.81</v>
      </c>
      <c r="AF7" s="525">
        <v>124.16</v>
      </c>
      <c r="AG7" s="525">
        <v>75.17</v>
      </c>
      <c r="AH7" s="525">
        <v>200.98</v>
      </c>
      <c r="AI7" s="525">
        <v>43833</v>
      </c>
      <c r="AJ7" s="525">
        <v>221.65</v>
      </c>
      <c r="AK7" s="525">
        <v>43492</v>
      </c>
      <c r="AL7" s="525">
        <v>262.81</v>
      </c>
      <c r="AM7" s="525">
        <v>1886</v>
      </c>
      <c r="AN7" s="526">
        <v>99.38</v>
      </c>
      <c r="AO7" s="526">
        <v>106.32</v>
      </c>
      <c r="AP7" s="526">
        <v>44.42</v>
      </c>
      <c r="AQ7" s="526">
        <v>136.83000000000001</v>
      </c>
      <c r="AR7" s="522">
        <v>631</v>
      </c>
      <c r="AS7" s="526">
        <v>104.93</v>
      </c>
      <c r="AT7" s="526">
        <v>107.14</v>
      </c>
      <c r="AU7" s="526">
        <v>16.82</v>
      </c>
      <c r="AV7" s="526">
        <v>119.9</v>
      </c>
      <c r="AW7" s="522">
        <v>3992</v>
      </c>
      <c r="AX7" s="526">
        <v>121.61</v>
      </c>
      <c r="AY7" s="526">
        <v>127.12</v>
      </c>
      <c r="AZ7" s="526">
        <v>15.88</v>
      </c>
      <c r="BA7" s="526">
        <v>135.11000000000001</v>
      </c>
      <c r="BB7" s="522">
        <v>74534</v>
      </c>
      <c r="BC7" s="526">
        <v>137.21</v>
      </c>
      <c r="BD7" s="526">
        <v>144.72</v>
      </c>
      <c r="BE7" s="526">
        <v>17.690000000000001</v>
      </c>
      <c r="BF7" s="526">
        <v>151.36000000000001</v>
      </c>
      <c r="BG7" s="522">
        <v>105139</v>
      </c>
      <c r="BH7" s="526">
        <v>152.88999999999999</v>
      </c>
      <c r="BI7" s="526">
        <v>163.27000000000001</v>
      </c>
      <c r="BJ7" s="526">
        <v>15.32</v>
      </c>
      <c r="BK7" s="526">
        <v>162.88999999999999</v>
      </c>
      <c r="BL7" s="522">
        <v>80056</v>
      </c>
      <c r="BM7" s="526">
        <v>169.38</v>
      </c>
      <c r="BN7" s="526">
        <v>183.91</v>
      </c>
      <c r="BO7" s="526">
        <v>14.1</v>
      </c>
      <c r="BP7" s="526">
        <v>179.16</v>
      </c>
      <c r="BQ7" s="522">
        <v>17575</v>
      </c>
      <c r="BR7" s="526">
        <v>181.82</v>
      </c>
      <c r="BS7" s="526">
        <v>202.49</v>
      </c>
      <c r="BT7" s="526">
        <v>14.12</v>
      </c>
      <c r="BU7" s="526">
        <v>191.02</v>
      </c>
      <c r="BV7" s="522">
        <v>2337</v>
      </c>
      <c r="BW7" s="526">
        <v>192.12</v>
      </c>
      <c r="BX7" s="526">
        <v>217.66</v>
      </c>
      <c r="BY7" s="526">
        <v>12.5</v>
      </c>
      <c r="BZ7" s="526">
        <v>199.55</v>
      </c>
      <c r="CA7" s="522">
        <v>525</v>
      </c>
      <c r="CB7" s="526">
        <v>139.54</v>
      </c>
      <c r="CC7" s="526">
        <v>147.84</v>
      </c>
      <c r="CD7" s="526">
        <v>16.34</v>
      </c>
      <c r="CE7" s="526">
        <v>152.04</v>
      </c>
      <c r="CF7" s="522">
        <v>284158</v>
      </c>
      <c r="CG7" s="526">
        <v>139.44999999999999</v>
      </c>
      <c r="CH7" s="526">
        <v>147.80000000000001</v>
      </c>
      <c r="CI7" s="526">
        <v>16.41</v>
      </c>
      <c r="CJ7" s="526">
        <v>152.01</v>
      </c>
      <c r="CK7" s="522">
        <v>284789</v>
      </c>
      <c r="CL7" s="526">
        <v>126.05</v>
      </c>
      <c r="CM7" s="526">
        <v>115.55</v>
      </c>
      <c r="CN7" s="526">
        <v>123</v>
      </c>
      <c r="CO7" s="526">
        <v>229.53</v>
      </c>
      <c r="CP7" s="522">
        <v>9078</v>
      </c>
      <c r="CQ7" s="526">
        <v>116.38</v>
      </c>
      <c r="CR7" s="526">
        <v>110.39</v>
      </c>
      <c r="CS7" s="526">
        <v>75.930000000000007</v>
      </c>
      <c r="CT7" s="526">
        <v>186.51</v>
      </c>
      <c r="CU7" s="522">
        <v>4926</v>
      </c>
      <c r="CV7" s="526">
        <v>133.05000000000001</v>
      </c>
      <c r="CW7" s="526">
        <v>127.01</v>
      </c>
      <c r="CX7" s="526">
        <v>61.99</v>
      </c>
      <c r="CY7" s="526">
        <v>192.84</v>
      </c>
      <c r="CZ7" s="522">
        <v>27343</v>
      </c>
      <c r="DA7" s="526">
        <v>151.4</v>
      </c>
      <c r="DB7" s="526">
        <v>148.83000000000001</v>
      </c>
      <c r="DC7" s="526">
        <v>68.349999999999994</v>
      </c>
      <c r="DD7" s="526">
        <v>216.94</v>
      </c>
      <c r="DE7" s="522">
        <v>2268</v>
      </c>
      <c r="DF7" s="526">
        <v>158.36000000000001</v>
      </c>
      <c r="DG7" s="526">
        <v>160.41999999999999</v>
      </c>
      <c r="DH7" s="526">
        <v>42.39</v>
      </c>
      <c r="DI7" s="526">
        <v>195.21</v>
      </c>
      <c r="DJ7" s="522">
        <v>199</v>
      </c>
      <c r="DK7" s="526">
        <v>181.98</v>
      </c>
      <c r="DL7" s="526">
        <v>183.62</v>
      </c>
      <c r="DM7" s="526">
        <v>20.75</v>
      </c>
      <c r="DN7" s="526">
        <v>195.08</v>
      </c>
      <c r="DO7" s="522">
        <v>19</v>
      </c>
      <c r="DP7" s="526">
        <v>132.05000000000001</v>
      </c>
      <c r="DQ7" s="526">
        <v>126.33</v>
      </c>
      <c r="DR7" s="526">
        <v>64.2</v>
      </c>
      <c r="DS7" s="526">
        <v>193.53</v>
      </c>
      <c r="DT7" s="522">
        <v>34755</v>
      </c>
      <c r="DU7" s="526">
        <v>130.81</v>
      </c>
      <c r="DV7" s="526">
        <v>124.16</v>
      </c>
      <c r="DW7" s="526">
        <v>75.17</v>
      </c>
      <c r="DX7" s="526">
        <v>200.98</v>
      </c>
      <c r="DY7" s="522">
        <v>43833</v>
      </c>
      <c r="DZ7" s="526">
        <v>114.07</v>
      </c>
      <c r="EA7" s="526">
        <v>54</v>
      </c>
      <c r="EB7" s="526">
        <v>171.27</v>
      </c>
      <c r="EC7" s="522">
        <v>605</v>
      </c>
      <c r="ED7" s="526">
        <v>196.19</v>
      </c>
      <c r="EE7" s="522">
        <v>14435</v>
      </c>
      <c r="EF7" s="526">
        <v>228.14</v>
      </c>
      <c r="EG7" s="522">
        <v>18326</v>
      </c>
      <c r="EH7" s="526">
        <v>246.46</v>
      </c>
      <c r="EI7" s="522">
        <v>8403</v>
      </c>
      <c r="EJ7" s="526">
        <v>266.94</v>
      </c>
      <c r="EK7" s="522">
        <v>1578</v>
      </c>
      <c r="EL7" s="526">
        <v>269.81</v>
      </c>
      <c r="EM7" s="522">
        <v>79</v>
      </c>
      <c r="EN7" s="526">
        <v>309.97000000000003</v>
      </c>
      <c r="EO7" s="522">
        <v>12</v>
      </c>
      <c r="EP7" s="526">
        <v>221.78</v>
      </c>
      <c r="EQ7" s="522">
        <v>43438</v>
      </c>
      <c r="ER7" s="526">
        <v>221.65</v>
      </c>
      <c r="ES7" s="522">
        <v>43492</v>
      </c>
      <c r="ET7" s="526">
        <v>309.20999999999998</v>
      </c>
      <c r="EU7" s="526">
        <v>152</v>
      </c>
      <c r="EV7" s="526">
        <v>294.16000000000003</v>
      </c>
      <c r="EW7" s="522">
        <v>137</v>
      </c>
      <c r="EX7" s="526">
        <v>248.33</v>
      </c>
      <c r="EY7" s="522">
        <v>1393</v>
      </c>
      <c r="EZ7" s="526">
        <v>302.26</v>
      </c>
      <c r="FA7" s="522">
        <v>186</v>
      </c>
      <c r="FB7" s="526">
        <v>345.37</v>
      </c>
      <c r="FC7" s="522">
        <v>18</v>
      </c>
      <c r="FD7" s="526">
        <v>0</v>
      </c>
      <c r="FE7" s="522">
        <v>0</v>
      </c>
      <c r="FF7" s="526">
        <v>258.75</v>
      </c>
      <c r="FG7" s="522">
        <v>1734</v>
      </c>
      <c r="FH7" s="526">
        <v>262.81</v>
      </c>
      <c r="FI7" s="522">
        <v>1886</v>
      </c>
      <c r="FJ7" s="522">
        <v>1281</v>
      </c>
      <c r="FK7" s="522">
        <v>117</v>
      </c>
      <c r="FL7" s="522">
        <v>65</v>
      </c>
      <c r="FM7" s="522">
        <v>0</v>
      </c>
      <c r="FN7" s="522">
        <v>45</v>
      </c>
      <c r="FO7" s="522">
        <v>7</v>
      </c>
      <c r="FP7" s="522">
        <v>913</v>
      </c>
      <c r="FQ7" s="522">
        <v>2726</v>
      </c>
      <c r="FR7" s="522">
        <v>1193</v>
      </c>
    </row>
    <row r="8" spans="1:174" x14ac:dyDescent="0.25">
      <c r="A8" s="523" t="s">
        <v>285</v>
      </c>
      <c r="B8" s="523" t="s">
        <v>285</v>
      </c>
      <c r="C8" s="523" t="s">
        <v>285</v>
      </c>
      <c r="D8" s="522">
        <v>160323</v>
      </c>
      <c r="E8" s="522">
        <v>158485</v>
      </c>
      <c r="F8" s="522">
        <v>131</v>
      </c>
      <c r="G8" s="522">
        <v>5</v>
      </c>
      <c r="H8" s="522">
        <v>7310</v>
      </c>
      <c r="I8" s="522">
        <v>4517</v>
      </c>
      <c r="J8" s="522">
        <v>17134</v>
      </c>
      <c r="K8" s="522">
        <v>16748</v>
      </c>
      <c r="L8" s="522">
        <v>5083</v>
      </c>
      <c r="M8" s="522">
        <v>2</v>
      </c>
      <c r="N8" s="522">
        <v>189981</v>
      </c>
      <c r="O8" s="522">
        <v>179757</v>
      </c>
      <c r="P8" s="522">
        <v>184898</v>
      </c>
      <c r="Q8" s="522">
        <v>668</v>
      </c>
      <c r="R8" s="523">
        <v>68</v>
      </c>
      <c r="S8" s="523">
        <v>42</v>
      </c>
      <c r="T8" s="523">
        <v>4546</v>
      </c>
      <c r="U8" s="523">
        <v>185435</v>
      </c>
      <c r="V8" s="522">
        <v>158299</v>
      </c>
      <c r="W8" s="522">
        <v>1050</v>
      </c>
      <c r="X8" s="522">
        <v>2072</v>
      </c>
      <c r="Y8" s="522">
        <v>3122</v>
      </c>
      <c r="Z8" s="524">
        <v>90.05</v>
      </c>
      <c r="AA8" s="524">
        <v>92.06</v>
      </c>
      <c r="AB8" s="524">
        <v>7.33</v>
      </c>
      <c r="AC8" s="524">
        <v>92.4</v>
      </c>
      <c r="AD8" s="524">
        <v>137640</v>
      </c>
      <c r="AE8" s="525">
        <v>102.72</v>
      </c>
      <c r="AF8" s="525">
        <v>89.36</v>
      </c>
      <c r="AG8" s="525">
        <v>64.239999999999995</v>
      </c>
      <c r="AH8" s="525">
        <v>161.33000000000001</v>
      </c>
      <c r="AI8" s="525">
        <v>20540</v>
      </c>
      <c r="AJ8" s="525">
        <v>113.96</v>
      </c>
      <c r="AK8" s="525">
        <v>19648</v>
      </c>
      <c r="AL8" s="525">
        <v>196.93</v>
      </c>
      <c r="AM8" s="525">
        <v>1837</v>
      </c>
      <c r="AN8" s="526">
        <v>84.47</v>
      </c>
      <c r="AO8" s="526">
        <v>0</v>
      </c>
      <c r="AP8" s="526">
        <v>20.100000000000001</v>
      </c>
      <c r="AQ8" s="526">
        <v>97.87</v>
      </c>
      <c r="AR8" s="522">
        <v>3</v>
      </c>
      <c r="AS8" s="526">
        <v>71.84</v>
      </c>
      <c r="AT8" s="526">
        <v>71.430000000000007</v>
      </c>
      <c r="AU8" s="526">
        <v>14.7</v>
      </c>
      <c r="AV8" s="526">
        <v>83.83</v>
      </c>
      <c r="AW8" s="522">
        <v>494</v>
      </c>
      <c r="AX8" s="526">
        <v>79.41</v>
      </c>
      <c r="AY8" s="526">
        <v>80.989999999999995</v>
      </c>
      <c r="AZ8" s="526">
        <v>9.75</v>
      </c>
      <c r="BA8" s="526">
        <v>84.35</v>
      </c>
      <c r="BB8" s="522">
        <v>32499</v>
      </c>
      <c r="BC8" s="526">
        <v>88.77</v>
      </c>
      <c r="BD8" s="526">
        <v>90.7</v>
      </c>
      <c r="BE8" s="526">
        <v>6.91</v>
      </c>
      <c r="BF8" s="526">
        <v>91.01</v>
      </c>
      <c r="BG8" s="522">
        <v>55349</v>
      </c>
      <c r="BH8" s="526">
        <v>98</v>
      </c>
      <c r="BI8" s="526">
        <v>100.37</v>
      </c>
      <c r="BJ8" s="526">
        <v>3.55</v>
      </c>
      <c r="BK8" s="526">
        <v>98.67</v>
      </c>
      <c r="BL8" s="522">
        <v>46114</v>
      </c>
      <c r="BM8" s="526">
        <v>107.68</v>
      </c>
      <c r="BN8" s="526">
        <v>110.48</v>
      </c>
      <c r="BO8" s="526">
        <v>3.03</v>
      </c>
      <c r="BP8" s="526">
        <v>108.24</v>
      </c>
      <c r="BQ8" s="522">
        <v>2941</v>
      </c>
      <c r="BR8" s="526">
        <v>118.5</v>
      </c>
      <c r="BS8" s="526">
        <v>122.52</v>
      </c>
      <c r="BT8" s="526">
        <v>4.2</v>
      </c>
      <c r="BU8" s="526">
        <v>118.83</v>
      </c>
      <c r="BV8" s="522">
        <v>220</v>
      </c>
      <c r="BW8" s="526">
        <v>133.97999999999999</v>
      </c>
      <c r="BX8" s="526">
        <v>136.66999999999999</v>
      </c>
      <c r="BY8" s="526">
        <v>3.73</v>
      </c>
      <c r="BZ8" s="526">
        <v>134.91</v>
      </c>
      <c r="CA8" s="522">
        <v>20</v>
      </c>
      <c r="CB8" s="526">
        <v>90.05</v>
      </c>
      <c r="CC8" s="526">
        <v>92.06</v>
      </c>
      <c r="CD8" s="526">
        <v>7.33</v>
      </c>
      <c r="CE8" s="526">
        <v>92.4</v>
      </c>
      <c r="CF8" s="522">
        <v>137637</v>
      </c>
      <c r="CG8" s="526">
        <v>90.05</v>
      </c>
      <c r="CH8" s="526">
        <v>92.06</v>
      </c>
      <c r="CI8" s="526">
        <v>7.33</v>
      </c>
      <c r="CJ8" s="526">
        <v>92.4</v>
      </c>
      <c r="CK8" s="522">
        <v>137640</v>
      </c>
      <c r="CL8" s="526">
        <v>143.91999999999999</v>
      </c>
      <c r="CM8" s="526">
        <v>85.63</v>
      </c>
      <c r="CN8" s="526">
        <v>118.71</v>
      </c>
      <c r="CO8" s="526">
        <v>258.38</v>
      </c>
      <c r="CP8" s="522">
        <v>2235</v>
      </c>
      <c r="CQ8" s="526">
        <v>78.27</v>
      </c>
      <c r="CR8" s="526">
        <v>73.099999999999994</v>
      </c>
      <c r="CS8" s="526">
        <v>66.8</v>
      </c>
      <c r="CT8" s="526">
        <v>145.07</v>
      </c>
      <c r="CU8" s="522">
        <v>1704</v>
      </c>
      <c r="CV8" s="526">
        <v>95.93</v>
      </c>
      <c r="CW8" s="526">
        <v>86.07</v>
      </c>
      <c r="CX8" s="526">
        <v>57.32</v>
      </c>
      <c r="CY8" s="526">
        <v>148.53</v>
      </c>
      <c r="CZ8" s="522">
        <v>11099</v>
      </c>
      <c r="DA8" s="526">
        <v>106.2</v>
      </c>
      <c r="DB8" s="526">
        <v>101.39</v>
      </c>
      <c r="DC8" s="526">
        <v>52.28</v>
      </c>
      <c r="DD8" s="526">
        <v>150.88</v>
      </c>
      <c r="DE8" s="522">
        <v>5198</v>
      </c>
      <c r="DF8" s="526">
        <v>124.24</v>
      </c>
      <c r="DG8" s="526">
        <v>108.83</v>
      </c>
      <c r="DH8" s="526">
        <v>71.17</v>
      </c>
      <c r="DI8" s="526">
        <v>185.13</v>
      </c>
      <c r="DJ8" s="522">
        <v>291</v>
      </c>
      <c r="DK8" s="526">
        <v>144.76</v>
      </c>
      <c r="DL8" s="526">
        <v>119.3</v>
      </c>
      <c r="DM8" s="526">
        <v>70.23</v>
      </c>
      <c r="DN8" s="526">
        <v>177.18</v>
      </c>
      <c r="DO8" s="522">
        <v>13</v>
      </c>
      <c r="DP8" s="526">
        <v>97.69</v>
      </c>
      <c r="DQ8" s="526">
        <v>89.62</v>
      </c>
      <c r="DR8" s="526">
        <v>57.16</v>
      </c>
      <c r="DS8" s="526">
        <v>149.47999999999999</v>
      </c>
      <c r="DT8" s="522">
        <v>18305</v>
      </c>
      <c r="DU8" s="526">
        <v>102.72</v>
      </c>
      <c r="DV8" s="526">
        <v>89.36</v>
      </c>
      <c r="DW8" s="526">
        <v>64.239999999999995</v>
      </c>
      <c r="DX8" s="526">
        <v>161.33000000000001</v>
      </c>
      <c r="DY8" s="522">
        <v>20540</v>
      </c>
      <c r="DZ8" s="526">
        <v>97.91</v>
      </c>
      <c r="EA8" s="526">
        <v>3</v>
      </c>
      <c r="EB8" s="526">
        <v>102.07</v>
      </c>
      <c r="EC8" s="522">
        <v>5</v>
      </c>
      <c r="ED8" s="526">
        <v>96.08</v>
      </c>
      <c r="EE8" s="522">
        <v>1105</v>
      </c>
      <c r="EF8" s="526">
        <v>110.47</v>
      </c>
      <c r="EG8" s="522">
        <v>11932</v>
      </c>
      <c r="EH8" s="526">
        <v>122.07</v>
      </c>
      <c r="EI8" s="522">
        <v>6141</v>
      </c>
      <c r="EJ8" s="526">
        <v>138.34</v>
      </c>
      <c r="EK8" s="522">
        <v>436</v>
      </c>
      <c r="EL8" s="526">
        <v>159.76</v>
      </c>
      <c r="EM8" s="522">
        <v>25</v>
      </c>
      <c r="EN8" s="526">
        <v>143.5</v>
      </c>
      <c r="EO8" s="522">
        <v>1</v>
      </c>
      <c r="EP8" s="526">
        <v>113.97</v>
      </c>
      <c r="EQ8" s="522">
        <v>19645</v>
      </c>
      <c r="ER8" s="526">
        <v>113.96</v>
      </c>
      <c r="ES8" s="522">
        <v>19648</v>
      </c>
      <c r="ET8" s="526">
        <v>181.45</v>
      </c>
      <c r="EU8" s="526">
        <v>22</v>
      </c>
      <c r="EV8" s="526">
        <v>283.52</v>
      </c>
      <c r="EW8" s="522">
        <v>26</v>
      </c>
      <c r="EX8" s="526">
        <v>229.35</v>
      </c>
      <c r="EY8" s="522">
        <v>547</v>
      </c>
      <c r="EZ8" s="526">
        <v>181.84</v>
      </c>
      <c r="FA8" s="522">
        <v>1206</v>
      </c>
      <c r="FB8" s="526">
        <v>156.6</v>
      </c>
      <c r="FC8" s="522">
        <v>36</v>
      </c>
      <c r="FD8" s="526">
        <v>0</v>
      </c>
      <c r="FE8" s="522">
        <v>0</v>
      </c>
      <c r="FF8" s="526">
        <v>197.11</v>
      </c>
      <c r="FG8" s="522">
        <v>1815</v>
      </c>
      <c r="FH8" s="526">
        <v>196.93</v>
      </c>
      <c r="FI8" s="522">
        <v>1837</v>
      </c>
      <c r="FJ8" s="522">
        <v>28</v>
      </c>
      <c r="FK8" s="522">
        <v>326</v>
      </c>
      <c r="FL8" s="522">
        <v>235</v>
      </c>
      <c r="FM8" s="522">
        <v>0</v>
      </c>
      <c r="FN8" s="522">
        <v>89</v>
      </c>
      <c r="FO8" s="522">
        <v>2</v>
      </c>
      <c r="FP8" s="522">
        <v>106</v>
      </c>
      <c r="FQ8" s="522">
        <v>386</v>
      </c>
      <c r="FR8" s="522">
        <v>51</v>
      </c>
    </row>
    <row r="9" spans="1:174" x14ac:dyDescent="0.25">
      <c r="A9" s="523" t="s">
        <v>286</v>
      </c>
      <c r="B9" s="523" t="s">
        <v>286</v>
      </c>
      <c r="C9" s="523" t="s">
        <v>286</v>
      </c>
      <c r="D9" s="522">
        <v>438362</v>
      </c>
      <c r="E9" s="522">
        <v>437529</v>
      </c>
      <c r="F9" s="522">
        <v>656</v>
      </c>
      <c r="G9" s="522">
        <v>1072</v>
      </c>
      <c r="H9" s="522">
        <v>23809</v>
      </c>
      <c r="I9" s="522">
        <v>13487</v>
      </c>
      <c r="J9" s="522">
        <v>52156</v>
      </c>
      <c r="K9" s="522">
        <v>52145</v>
      </c>
      <c r="L9" s="522">
        <v>23034</v>
      </c>
      <c r="M9" s="522">
        <v>415</v>
      </c>
      <c r="N9" s="522">
        <v>538017</v>
      </c>
      <c r="O9" s="522">
        <v>504648</v>
      </c>
      <c r="P9" s="522">
        <v>514983</v>
      </c>
      <c r="Q9" s="522">
        <v>1705</v>
      </c>
      <c r="R9" s="523">
        <v>147</v>
      </c>
      <c r="S9" s="523">
        <v>77</v>
      </c>
      <c r="T9" s="523">
        <v>16177</v>
      </c>
      <c r="U9" s="523">
        <v>521840</v>
      </c>
      <c r="V9" s="522">
        <v>429741</v>
      </c>
      <c r="W9" s="522">
        <v>2927</v>
      </c>
      <c r="X9" s="522">
        <v>4327</v>
      </c>
      <c r="Y9" s="522">
        <v>7254</v>
      </c>
      <c r="Z9" s="524">
        <v>94.67</v>
      </c>
      <c r="AA9" s="524">
        <v>96.74</v>
      </c>
      <c r="AB9" s="524">
        <v>6.69</v>
      </c>
      <c r="AC9" s="524">
        <v>98.48</v>
      </c>
      <c r="AD9" s="524">
        <v>365753</v>
      </c>
      <c r="AE9" s="525">
        <v>100.41</v>
      </c>
      <c r="AF9" s="525">
        <v>90.06</v>
      </c>
      <c r="AG9" s="525">
        <v>50.24</v>
      </c>
      <c r="AH9" s="525">
        <v>147.76</v>
      </c>
      <c r="AI9" s="525">
        <v>65557</v>
      </c>
      <c r="AJ9" s="525">
        <v>121.42</v>
      </c>
      <c r="AK9" s="525">
        <v>61192</v>
      </c>
      <c r="AL9" s="525">
        <v>192.69</v>
      </c>
      <c r="AM9" s="525">
        <v>3296</v>
      </c>
      <c r="AN9" s="526">
        <v>65.95</v>
      </c>
      <c r="AO9" s="526">
        <v>72.959999999999994</v>
      </c>
      <c r="AP9" s="526">
        <v>11.54</v>
      </c>
      <c r="AQ9" s="526">
        <v>75.73</v>
      </c>
      <c r="AR9" s="522">
        <v>59</v>
      </c>
      <c r="AS9" s="526">
        <v>71.06</v>
      </c>
      <c r="AT9" s="526">
        <v>72.989999999999995</v>
      </c>
      <c r="AU9" s="526">
        <v>16.48</v>
      </c>
      <c r="AV9" s="526">
        <v>85.75</v>
      </c>
      <c r="AW9" s="522">
        <v>1725</v>
      </c>
      <c r="AX9" s="526">
        <v>81.22</v>
      </c>
      <c r="AY9" s="526">
        <v>82.54</v>
      </c>
      <c r="AZ9" s="526">
        <v>8.82</v>
      </c>
      <c r="BA9" s="526">
        <v>88.47</v>
      </c>
      <c r="BB9" s="522">
        <v>84883</v>
      </c>
      <c r="BC9" s="526">
        <v>92.78</v>
      </c>
      <c r="BD9" s="526">
        <v>94.55</v>
      </c>
      <c r="BE9" s="526">
        <v>7.63</v>
      </c>
      <c r="BF9" s="526">
        <v>97.29</v>
      </c>
      <c r="BG9" s="522">
        <v>126766</v>
      </c>
      <c r="BH9" s="526">
        <v>103.19</v>
      </c>
      <c r="BI9" s="526">
        <v>105.87</v>
      </c>
      <c r="BJ9" s="526">
        <v>2.9</v>
      </c>
      <c r="BK9" s="526">
        <v>104.36</v>
      </c>
      <c r="BL9" s="522">
        <v>139351</v>
      </c>
      <c r="BM9" s="526">
        <v>112.22</v>
      </c>
      <c r="BN9" s="526">
        <v>115.32</v>
      </c>
      <c r="BO9" s="526">
        <v>3.04</v>
      </c>
      <c r="BP9" s="526">
        <v>113.43</v>
      </c>
      <c r="BQ9" s="522">
        <v>11986</v>
      </c>
      <c r="BR9" s="526">
        <v>121.02</v>
      </c>
      <c r="BS9" s="526">
        <v>125.87</v>
      </c>
      <c r="BT9" s="526">
        <v>3.16</v>
      </c>
      <c r="BU9" s="526">
        <v>122.36</v>
      </c>
      <c r="BV9" s="522">
        <v>784</v>
      </c>
      <c r="BW9" s="526">
        <v>131.09</v>
      </c>
      <c r="BX9" s="526">
        <v>138.88999999999999</v>
      </c>
      <c r="BY9" s="526">
        <v>3.56</v>
      </c>
      <c r="BZ9" s="526">
        <v>132.93</v>
      </c>
      <c r="CA9" s="522">
        <v>199</v>
      </c>
      <c r="CB9" s="526">
        <v>94.68</v>
      </c>
      <c r="CC9" s="526">
        <v>96.74</v>
      </c>
      <c r="CD9" s="526">
        <v>6.69</v>
      </c>
      <c r="CE9" s="526">
        <v>98.49</v>
      </c>
      <c r="CF9" s="522">
        <v>365694</v>
      </c>
      <c r="CG9" s="526">
        <v>94.67</v>
      </c>
      <c r="CH9" s="526">
        <v>96.74</v>
      </c>
      <c r="CI9" s="526">
        <v>6.69</v>
      </c>
      <c r="CJ9" s="526">
        <v>98.48</v>
      </c>
      <c r="CK9" s="522">
        <v>365753</v>
      </c>
      <c r="CL9" s="526">
        <v>130.58000000000001</v>
      </c>
      <c r="CM9" s="526">
        <v>85.62</v>
      </c>
      <c r="CN9" s="526">
        <v>104.07</v>
      </c>
      <c r="CO9" s="526">
        <v>224.5</v>
      </c>
      <c r="CP9" s="522">
        <v>6574</v>
      </c>
      <c r="CQ9" s="526">
        <v>80.599999999999994</v>
      </c>
      <c r="CR9" s="526">
        <v>76.41</v>
      </c>
      <c r="CS9" s="526">
        <v>54.6</v>
      </c>
      <c r="CT9" s="526">
        <v>132.54</v>
      </c>
      <c r="CU9" s="522">
        <v>4920</v>
      </c>
      <c r="CV9" s="526">
        <v>96.66</v>
      </c>
      <c r="CW9" s="526">
        <v>88.74</v>
      </c>
      <c r="CX9" s="526">
        <v>44.46</v>
      </c>
      <c r="CY9" s="526">
        <v>139.19999999999999</v>
      </c>
      <c r="CZ9" s="522">
        <v>45195</v>
      </c>
      <c r="DA9" s="526">
        <v>106.75</v>
      </c>
      <c r="DB9" s="526">
        <v>106.14</v>
      </c>
      <c r="DC9" s="526">
        <v>37.83</v>
      </c>
      <c r="DD9" s="526">
        <v>140.87</v>
      </c>
      <c r="DE9" s="522">
        <v>8209</v>
      </c>
      <c r="DF9" s="526">
        <v>121.17</v>
      </c>
      <c r="DG9" s="526">
        <v>111.63</v>
      </c>
      <c r="DH9" s="526">
        <v>50.94</v>
      </c>
      <c r="DI9" s="526">
        <v>162.86000000000001</v>
      </c>
      <c r="DJ9" s="522">
        <v>595</v>
      </c>
      <c r="DK9" s="526">
        <v>162.08000000000001</v>
      </c>
      <c r="DL9" s="526">
        <v>135.07</v>
      </c>
      <c r="DM9" s="526">
        <v>76.94</v>
      </c>
      <c r="DN9" s="526">
        <v>225.8</v>
      </c>
      <c r="DO9" s="522">
        <v>64</v>
      </c>
      <c r="DP9" s="526">
        <v>97.04</v>
      </c>
      <c r="DQ9" s="526">
        <v>90.32</v>
      </c>
      <c r="DR9" s="526">
        <v>44.52</v>
      </c>
      <c r="DS9" s="526">
        <v>139.21</v>
      </c>
      <c r="DT9" s="522">
        <v>58983</v>
      </c>
      <c r="DU9" s="526">
        <v>100.41</v>
      </c>
      <c r="DV9" s="526">
        <v>90.06</v>
      </c>
      <c r="DW9" s="526">
        <v>50.24</v>
      </c>
      <c r="DX9" s="526">
        <v>147.76</v>
      </c>
      <c r="DY9" s="522">
        <v>65557</v>
      </c>
      <c r="DZ9" s="526">
        <v>67.900000000000006</v>
      </c>
      <c r="EA9" s="526">
        <v>18</v>
      </c>
      <c r="EB9" s="526">
        <v>91.14</v>
      </c>
      <c r="EC9" s="522">
        <v>5</v>
      </c>
      <c r="ED9" s="526">
        <v>102.37</v>
      </c>
      <c r="EE9" s="522">
        <v>7982</v>
      </c>
      <c r="EF9" s="526">
        <v>118.8</v>
      </c>
      <c r="EG9" s="522">
        <v>29120</v>
      </c>
      <c r="EH9" s="526">
        <v>129.21</v>
      </c>
      <c r="EI9" s="522">
        <v>22039</v>
      </c>
      <c r="EJ9" s="526">
        <v>149.12</v>
      </c>
      <c r="EK9" s="522">
        <v>1916</v>
      </c>
      <c r="EL9" s="526">
        <v>155.5</v>
      </c>
      <c r="EM9" s="522">
        <v>100</v>
      </c>
      <c r="EN9" s="526">
        <v>218.69</v>
      </c>
      <c r="EO9" s="522">
        <v>12</v>
      </c>
      <c r="EP9" s="526">
        <v>121.43</v>
      </c>
      <c r="EQ9" s="522">
        <v>61174</v>
      </c>
      <c r="ER9" s="526">
        <v>121.42</v>
      </c>
      <c r="ES9" s="522">
        <v>61192</v>
      </c>
      <c r="ET9" s="526">
        <v>238.58</v>
      </c>
      <c r="EU9" s="526">
        <v>105</v>
      </c>
      <c r="EV9" s="526">
        <v>289.3</v>
      </c>
      <c r="EW9" s="522">
        <v>80</v>
      </c>
      <c r="EX9" s="526">
        <v>189.12</v>
      </c>
      <c r="EY9" s="522">
        <v>1686</v>
      </c>
      <c r="EZ9" s="526">
        <v>187.82</v>
      </c>
      <c r="FA9" s="522">
        <v>1412</v>
      </c>
      <c r="FB9" s="526">
        <v>205.65</v>
      </c>
      <c r="FC9" s="522">
        <v>8</v>
      </c>
      <c r="FD9" s="526">
        <v>241.01</v>
      </c>
      <c r="FE9" s="522">
        <v>5</v>
      </c>
      <c r="FF9" s="526">
        <v>191.18</v>
      </c>
      <c r="FG9" s="522">
        <v>3191</v>
      </c>
      <c r="FH9" s="526">
        <v>192.69</v>
      </c>
      <c r="FI9" s="522">
        <v>3296</v>
      </c>
      <c r="FJ9" s="522">
        <v>27</v>
      </c>
      <c r="FK9" s="522">
        <v>1011</v>
      </c>
      <c r="FL9" s="522">
        <v>661</v>
      </c>
      <c r="FM9" s="522">
        <v>46</v>
      </c>
      <c r="FN9" s="522">
        <v>300</v>
      </c>
      <c r="FO9" s="522">
        <v>4</v>
      </c>
      <c r="FP9" s="522">
        <v>236</v>
      </c>
      <c r="FQ9" s="522">
        <v>1934</v>
      </c>
      <c r="FR9" s="522">
        <v>303</v>
      </c>
    </row>
    <row r="10" spans="1:174" x14ac:dyDescent="0.25">
      <c r="A10" s="523" t="s">
        <v>2</v>
      </c>
      <c r="B10" s="523" t="s">
        <v>2</v>
      </c>
      <c r="C10" s="523" t="s">
        <v>2</v>
      </c>
      <c r="D10" s="522">
        <v>318525</v>
      </c>
      <c r="E10" s="522">
        <v>311581</v>
      </c>
      <c r="F10" s="522">
        <v>1011</v>
      </c>
      <c r="G10" s="522">
        <v>718</v>
      </c>
      <c r="H10" s="522">
        <v>15661</v>
      </c>
      <c r="I10" s="522">
        <v>8267</v>
      </c>
      <c r="J10" s="522">
        <v>38992</v>
      </c>
      <c r="K10" s="522">
        <v>35428</v>
      </c>
      <c r="L10" s="522">
        <v>58251</v>
      </c>
      <c r="M10" s="522">
        <v>4055</v>
      </c>
      <c r="N10" s="522">
        <v>432440</v>
      </c>
      <c r="O10" s="522">
        <v>360049</v>
      </c>
      <c r="P10" s="522">
        <v>374189</v>
      </c>
      <c r="Q10" s="522">
        <v>1176</v>
      </c>
      <c r="R10" s="523">
        <v>214</v>
      </c>
      <c r="S10" s="523">
        <v>98</v>
      </c>
      <c r="T10" s="523">
        <v>16430</v>
      </c>
      <c r="U10" s="523">
        <v>416010</v>
      </c>
      <c r="V10" s="522">
        <v>312226</v>
      </c>
      <c r="W10" s="522">
        <v>2928</v>
      </c>
      <c r="X10" s="522">
        <v>2053</v>
      </c>
      <c r="Y10" s="522">
        <v>4981</v>
      </c>
      <c r="Z10" s="524">
        <v>124.13</v>
      </c>
      <c r="AA10" s="524">
        <v>125.77</v>
      </c>
      <c r="AB10" s="524">
        <v>8.6300000000000008</v>
      </c>
      <c r="AC10" s="524">
        <v>129.66999999999999</v>
      </c>
      <c r="AD10" s="524">
        <v>248779</v>
      </c>
      <c r="AE10" s="525">
        <v>116.61</v>
      </c>
      <c r="AF10" s="525">
        <v>106.29</v>
      </c>
      <c r="AG10" s="525">
        <v>53.72</v>
      </c>
      <c r="AH10" s="525">
        <v>168.6</v>
      </c>
      <c r="AI10" s="525">
        <v>43083</v>
      </c>
      <c r="AJ10" s="525">
        <v>184.94</v>
      </c>
      <c r="AK10" s="525">
        <v>59267</v>
      </c>
      <c r="AL10" s="525">
        <v>227.14</v>
      </c>
      <c r="AM10" s="525">
        <v>2300</v>
      </c>
      <c r="AN10" s="526">
        <v>102.84</v>
      </c>
      <c r="AO10" s="526">
        <v>92.67</v>
      </c>
      <c r="AP10" s="526">
        <v>39.799999999999997</v>
      </c>
      <c r="AQ10" s="526">
        <v>139.88</v>
      </c>
      <c r="AR10" s="522">
        <v>101</v>
      </c>
      <c r="AS10" s="526">
        <v>88.89</v>
      </c>
      <c r="AT10" s="526">
        <v>87.28</v>
      </c>
      <c r="AU10" s="526">
        <v>14.32</v>
      </c>
      <c r="AV10" s="526">
        <v>101.84</v>
      </c>
      <c r="AW10" s="522">
        <v>2970</v>
      </c>
      <c r="AX10" s="526">
        <v>104.11</v>
      </c>
      <c r="AY10" s="526">
        <v>104.76</v>
      </c>
      <c r="AZ10" s="526">
        <v>11.56</v>
      </c>
      <c r="BA10" s="526">
        <v>113.93</v>
      </c>
      <c r="BB10" s="522">
        <v>53878</v>
      </c>
      <c r="BC10" s="526">
        <v>121.41</v>
      </c>
      <c r="BD10" s="526">
        <v>122.48</v>
      </c>
      <c r="BE10" s="526">
        <v>9.64</v>
      </c>
      <c r="BF10" s="526">
        <v>128.1</v>
      </c>
      <c r="BG10" s="522">
        <v>93688</v>
      </c>
      <c r="BH10" s="526">
        <v>137.38999999999999</v>
      </c>
      <c r="BI10" s="526">
        <v>140.07</v>
      </c>
      <c r="BJ10" s="526">
        <v>3.89</v>
      </c>
      <c r="BK10" s="526">
        <v>139.18</v>
      </c>
      <c r="BL10" s="522">
        <v>89922</v>
      </c>
      <c r="BM10" s="526">
        <v>153.65</v>
      </c>
      <c r="BN10" s="526">
        <v>157.55000000000001</v>
      </c>
      <c r="BO10" s="526">
        <v>3.93</v>
      </c>
      <c r="BP10" s="526">
        <v>155.84</v>
      </c>
      <c r="BQ10" s="522">
        <v>7821</v>
      </c>
      <c r="BR10" s="526">
        <v>167.3</v>
      </c>
      <c r="BS10" s="526">
        <v>175.25</v>
      </c>
      <c r="BT10" s="526">
        <v>3.45</v>
      </c>
      <c r="BU10" s="526">
        <v>169.07</v>
      </c>
      <c r="BV10" s="522">
        <v>348</v>
      </c>
      <c r="BW10" s="526">
        <v>176.42</v>
      </c>
      <c r="BX10" s="526">
        <v>185.66</v>
      </c>
      <c r="BY10" s="526">
        <v>4.5199999999999996</v>
      </c>
      <c r="BZ10" s="526">
        <v>178.37</v>
      </c>
      <c r="CA10" s="522">
        <v>51</v>
      </c>
      <c r="CB10" s="526">
        <v>124.14</v>
      </c>
      <c r="CC10" s="526">
        <v>125.78</v>
      </c>
      <c r="CD10" s="526">
        <v>8.61</v>
      </c>
      <c r="CE10" s="526">
        <v>129.66</v>
      </c>
      <c r="CF10" s="522">
        <v>248678</v>
      </c>
      <c r="CG10" s="526">
        <v>124.13</v>
      </c>
      <c r="CH10" s="526">
        <v>125.77</v>
      </c>
      <c r="CI10" s="526">
        <v>8.6300000000000008</v>
      </c>
      <c r="CJ10" s="526">
        <v>129.66999999999999</v>
      </c>
      <c r="CK10" s="522">
        <v>248779</v>
      </c>
      <c r="CL10" s="526">
        <v>132.19</v>
      </c>
      <c r="CM10" s="526">
        <v>95.55</v>
      </c>
      <c r="CN10" s="526">
        <v>120.36</v>
      </c>
      <c r="CO10" s="526">
        <v>240.56</v>
      </c>
      <c r="CP10" s="522">
        <v>4949</v>
      </c>
      <c r="CQ10" s="526">
        <v>92.09</v>
      </c>
      <c r="CR10" s="526">
        <v>88.55</v>
      </c>
      <c r="CS10" s="526">
        <v>52.16</v>
      </c>
      <c r="CT10" s="526">
        <v>143.1</v>
      </c>
      <c r="CU10" s="522">
        <v>4544</v>
      </c>
      <c r="CV10" s="526">
        <v>114.43</v>
      </c>
      <c r="CW10" s="526">
        <v>106.81</v>
      </c>
      <c r="CX10" s="526">
        <v>45.13</v>
      </c>
      <c r="CY10" s="526">
        <v>158.69</v>
      </c>
      <c r="CZ10" s="522">
        <v>28298</v>
      </c>
      <c r="DA10" s="526">
        <v>133.81</v>
      </c>
      <c r="DB10" s="526">
        <v>126.72</v>
      </c>
      <c r="DC10" s="526">
        <v>43.47</v>
      </c>
      <c r="DD10" s="526">
        <v>175.41</v>
      </c>
      <c r="DE10" s="522">
        <v>5046</v>
      </c>
      <c r="DF10" s="526">
        <v>152.74</v>
      </c>
      <c r="DG10" s="526">
        <v>137.16999999999999</v>
      </c>
      <c r="DH10" s="526">
        <v>42.56</v>
      </c>
      <c r="DI10" s="526">
        <v>189.78</v>
      </c>
      <c r="DJ10" s="522">
        <v>231</v>
      </c>
      <c r="DK10" s="526">
        <v>185.68</v>
      </c>
      <c r="DL10" s="526">
        <v>162.76</v>
      </c>
      <c r="DM10" s="526">
        <v>75.86</v>
      </c>
      <c r="DN10" s="526">
        <v>221.08</v>
      </c>
      <c r="DO10" s="522">
        <v>15</v>
      </c>
      <c r="DP10" s="526">
        <v>114.59</v>
      </c>
      <c r="DQ10" s="526">
        <v>107.35</v>
      </c>
      <c r="DR10" s="526">
        <v>45.74</v>
      </c>
      <c r="DS10" s="526">
        <v>159.26</v>
      </c>
      <c r="DT10" s="522">
        <v>38134</v>
      </c>
      <c r="DU10" s="526">
        <v>116.61</v>
      </c>
      <c r="DV10" s="526">
        <v>106.29</v>
      </c>
      <c r="DW10" s="526">
        <v>53.72</v>
      </c>
      <c r="DX10" s="526">
        <v>168.6</v>
      </c>
      <c r="DY10" s="522">
        <v>43083</v>
      </c>
      <c r="DZ10" s="526">
        <v>0</v>
      </c>
      <c r="EA10" s="526">
        <v>0</v>
      </c>
      <c r="EB10" s="526">
        <v>136.28</v>
      </c>
      <c r="EC10" s="522">
        <v>107</v>
      </c>
      <c r="ED10" s="526">
        <v>149.24</v>
      </c>
      <c r="EE10" s="522">
        <v>13892</v>
      </c>
      <c r="EF10" s="526">
        <v>183.44</v>
      </c>
      <c r="EG10" s="522">
        <v>29455</v>
      </c>
      <c r="EH10" s="526">
        <v>212.48</v>
      </c>
      <c r="EI10" s="522">
        <v>13580</v>
      </c>
      <c r="EJ10" s="526">
        <v>261.91000000000003</v>
      </c>
      <c r="EK10" s="522">
        <v>2201</v>
      </c>
      <c r="EL10" s="526">
        <v>247.61</v>
      </c>
      <c r="EM10" s="522">
        <v>30</v>
      </c>
      <c r="EN10" s="526">
        <v>268.27</v>
      </c>
      <c r="EO10" s="522">
        <v>2</v>
      </c>
      <c r="EP10" s="526">
        <v>184.94</v>
      </c>
      <c r="EQ10" s="522">
        <v>59267</v>
      </c>
      <c r="ER10" s="526">
        <v>184.94</v>
      </c>
      <c r="ES10" s="522">
        <v>59267</v>
      </c>
      <c r="ET10" s="526">
        <v>279.35000000000002</v>
      </c>
      <c r="EU10" s="526">
        <v>164</v>
      </c>
      <c r="EV10" s="526">
        <v>212.1</v>
      </c>
      <c r="EW10" s="522">
        <v>212</v>
      </c>
      <c r="EX10" s="526">
        <v>208.21</v>
      </c>
      <c r="EY10" s="522">
        <v>1358</v>
      </c>
      <c r="EZ10" s="526">
        <v>263.27999999999997</v>
      </c>
      <c r="FA10" s="522">
        <v>564</v>
      </c>
      <c r="FB10" s="526">
        <v>202.93</v>
      </c>
      <c r="FC10" s="522">
        <v>2</v>
      </c>
      <c r="FD10" s="526">
        <v>0</v>
      </c>
      <c r="FE10" s="522">
        <v>0</v>
      </c>
      <c r="FF10" s="526">
        <v>223.13</v>
      </c>
      <c r="FG10" s="522">
        <v>2136</v>
      </c>
      <c r="FH10" s="526">
        <v>227.14</v>
      </c>
      <c r="FI10" s="522">
        <v>2300</v>
      </c>
      <c r="FJ10" s="522">
        <v>1150</v>
      </c>
      <c r="FK10" s="522">
        <v>73</v>
      </c>
      <c r="FL10" s="522">
        <v>44</v>
      </c>
      <c r="FM10" s="522">
        <v>0</v>
      </c>
      <c r="FN10" s="522">
        <v>26</v>
      </c>
      <c r="FO10" s="522">
        <v>3</v>
      </c>
      <c r="FP10" s="522">
        <v>789</v>
      </c>
      <c r="FQ10" s="522">
        <v>3739</v>
      </c>
      <c r="FR10" s="522">
        <v>677</v>
      </c>
    </row>
    <row r="11" spans="1:174" x14ac:dyDescent="0.25">
      <c r="A11" s="523" t="s">
        <v>287</v>
      </c>
      <c r="B11" s="523" t="s">
        <v>287</v>
      </c>
      <c r="C11" s="523" t="s">
        <v>287</v>
      </c>
      <c r="D11" s="522">
        <v>209733</v>
      </c>
      <c r="E11" s="522">
        <v>205610</v>
      </c>
      <c r="F11" s="522">
        <v>196</v>
      </c>
      <c r="G11" s="522">
        <v>150</v>
      </c>
      <c r="H11" s="522">
        <v>15275</v>
      </c>
      <c r="I11" s="522">
        <v>10578</v>
      </c>
      <c r="J11" s="522">
        <v>29582</v>
      </c>
      <c r="K11" s="522">
        <v>27540</v>
      </c>
      <c r="L11" s="522">
        <v>28466</v>
      </c>
      <c r="M11" s="522">
        <v>1603</v>
      </c>
      <c r="N11" s="522">
        <v>283252</v>
      </c>
      <c r="O11" s="522">
        <v>245481</v>
      </c>
      <c r="P11" s="522">
        <v>254786</v>
      </c>
      <c r="Q11" s="522">
        <v>1271</v>
      </c>
      <c r="R11" s="523">
        <v>126</v>
      </c>
      <c r="S11" s="523">
        <v>77</v>
      </c>
      <c r="T11" s="523">
        <v>9825</v>
      </c>
      <c r="U11" s="523">
        <v>273427</v>
      </c>
      <c r="V11" s="522">
        <v>205321</v>
      </c>
      <c r="W11" s="522">
        <v>2028</v>
      </c>
      <c r="X11" s="522">
        <v>1796</v>
      </c>
      <c r="Y11" s="522">
        <v>3824</v>
      </c>
      <c r="Z11" s="524">
        <v>106.59</v>
      </c>
      <c r="AA11" s="524">
        <v>107.05</v>
      </c>
      <c r="AB11" s="524">
        <v>7.03</v>
      </c>
      <c r="AC11" s="524">
        <v>111.52</v>
      </c>
      <c r="AD11" s="524">
        <v>172446</v>
      </c>
      <c r="AE11" s="525">
        <v>103.74</v>
      </c>
      <c r="AF11" s="525">
        <v>94.99</v>
      </c>
      <c r="AG11" s="525">
        <v>44.24</v>
      </c>
      <c r="AH11" s="525">
        <v>146.71</v>
      </c>
      <c r="AI11" s="525">
        <v>38457</v>
      </c>
      <c r="AJ11" s="525">
        <v>148.46</v>
      </c>
      <c r="AK11" s="525">
        <v>30447</v>
      </c>
      <c r="AL11" s="525">
        <v>184.12</v>
      </c>
      <c r="AM11" s="525">
        <v>1191</v>
      </c>
      <c r="AN11" s="526">
        <v>73.28</v>
      </c>
      <c r="AO11" s="526">
        <v>71.989999999999995</v>
      </c>
      <c r="AP11" s="526">
        <v>49.94</v>
      </c>
      <c r="AQ11" s="526">
        <v>123.21</v>
      </c>
      <c r="AR11" s="522">
        <v>27</v>
      </c>
      <c r="AS11" s="526">
        <v>75.150000000000006</v>
      </c>
      <c r="AT11" s="526">
        <v>74.8</v>
      </c>
      <c r="AU11" s="526">
        <v>16.22</v>
      </c>
      <c r="AV11" s="526">
        <v>90.79</v>
      </c>
      <c r="AW11" s="522">
        <v>1534</v>
      </c>
      <c r="AX11" s="526">
        <v>89.6</v>
      </c>
      <c r="AY11" s="526">
        <v>89.66</v>
      </c>
      <c r="AZ11" s="526">
        <v>10.72</v>
      </c>
      <c r="BA11" s="526">
        <v>98.97</v>
      </c>
      <c r="BB11" s="522">
        <v>35496</v>
      </c>
      <c r="BC11" s="526">
        <v>104.63</v>
      </c>
      <c r="BD11" s="526">
        <v>104.81</v>
      </c>
      <c r="BE11" s="526">
        <v>7.31</v>
      </c>
      <c r="BF11" s="526">
        <v>110.08</v>
      </c>
      <c r="BG11" s="522">
        <v>70412</v>
      </c>
      <c r="BH11" s="526">
        <v>117.09</v>
      </c>
      <c r="BI11" s="526">
        <v>118.05</v>
      </c>
      <c r="BJ11" s="526">
        <v>3.02</v>
      </c>
      <c r="BK11" s="526">
        <v>118.73</v>
      </c>
      <c r="BL11" s="522">
        <v>59211</v>
      </c>
      <c r="BM11" s="526">
        <v>135.26</v>
      </c>
      <c r="BN11" s="526">
        <v>136.41</v>
      </c>
      <c r="BO11" s="526">
        <v>3.03</v>
      </c>
      <c r="BP11" s="526">
        <v>137.19999999999999</v>
      </c>
      <c r="BQ11" s="522">
        <v>5452</v>
      </c>
      <c r="BR11" s="526">
        <v>144.56</v>
      </c>
      <c r="BS11" s="526">
        <v>147.06</v>
      </c>
      <c r="BT11" s="526">
        <v>2.5099999999999998</v>
      </c>
      <c r="BU11" s="526">
        <v>145.74</v>
      </c>
      <c r="BV11" s="522">
        <v>260</v>
      </c>
      <c r="BW11" s="526">
        <v>152.24</v>
      </c>
      <c r="BX11" s="526">
        <v>154.66</v>
      </c>
      <c r="BY11" s="526">
        <v>3.51</v>
      </c>
      <c r="BZ11" s="526">
        <v>153.61000000000001</v>
      </c>
      <c r="CA11" s="522">
        <v>54</v>
      </c>
      <c r="CB11" s="526">
        <v>106.6</v>
      </c>
      <c r="CC11" s="526">
        <v>107.05</v>
      </c>
      <c r="CD11" s="526">
        <v>7.02</v>
      </c>
      <c r="CE11" s="526">
        <v>111.52</v>
      </c>
      <c r="CF11" s="522">
        <v>172419</v>
      </c>
      <c r="CG11" s="526">
        <v>106.59</v>
      </c>
      <c r="CH11" s="526">
        <v>107.05</v>
      </c>
      <c r="CI11" s="526">
        <v>7.03</v>
      </c>
      <c r="CJ11" s="526">
        <v>111.52</v>
      </c>
      <c r="CK11" s="522">
        <v>172446</v>
      </c>
      <c r="CL11" s="526">
        <v>109.82</v>
      </c>
      <c r="CM11" s="526">
        <v>81.99</v>
      </c>
      <c r="CN11" s="526">
        <v>121.48</v>
      </c>
      <c r="CO11" s="526">
        <v>220.6</v>
      </c>
      <c r="CP11" s="522">
        <v>4350</v>
      </c>
      <c r="CQ11" s="526">
        <v>92.31</v>
      </c>
      <c r="CR11" s="526">
        <v>83.35</v>
      </c>
      <c r="CS11" s="526">
        <v>60.1</v>
      </c>
      <c r="CT11" s="526">
        <v>151.16</v>
      </c>
      <c r="CU11" s="522">
        <v>1925</v>
      </c>
      <c r="CV11" s="526">
        <v>100.26</v>
      </c>
      <c r="CW11" s="526">
        <v>93.23</v>
      </c>
      <c r="CX11" s="526">
        <v>34.700000000000003</v>
      </c>
      <c r="CY11" s="526">
        <v>134.28</v>
      </c>
      <c r="CZ11" s="522">
        <v>25617</v>
      </c>
      <c r="DA11" s="526">
        <v>115.81</v>
      </c>
      <c r="DB11" s="526">
        <v>110.7</v>
      </c>
      <c r="DC11" s="526">
        <v>28.77</v>
      </c>
      <c r="DD11" s="526">
        <v>143.93</v>
      </c>
      <c r="DE11" s="522">
        <v>6353</v>
      </c>
      <c r="DF11" s="526">
        <v>138.28</v>
      </c>
      <c r="DG11" s="526">
        <v>118.64</v>
      </c>
      <c r="DH11" s="526">
        <v>40.21</v>
      </c>
      <c r="DI11" s="526">
        <v>172.87</v>
      </c>
      <c r="DJ11" s="522">
        <v>193</v>
      </c>
      <c r="DK11" s="526">
        <v>181.33</v>
      </c>
      <c r="DL11" s="526">
        <v>140.09</v>
      </c>
      <c r="DM11" s="526">
        <v>29.42</v>
      </c>
      <c r="DN11" s="526">
        <v>198.36</v>
      </c>
      <c r="DO11" s="522">
        <v>19</v>
      </c>
      <c r="DP11" s="526">
        <v>102.97</v>
      </c>
      <c r="DQ11" s="526">
        <v>96.13</v>
      </c>
      <c r="DR11" s="526">
        <v>35.06</v>
      </c>
      <c r="DS11" s="526">
        <v>137.28</v>
      </c>
      <c r="DT11" s="522">
        <v>34107</v>
      </c>
      <c r="DU11" s="526">
        <v>103.74</v>
      </c>
      <c r="DV11" s="526">
        <v>94.99</v>
      </c>
      <c r="DW11" s="526">
        <v>44.24</v>
      </c>
      <c r="DX11" s="526">
        <v>146.71</v>
      </c>
      <c r="DY11" s="522">
        <v>38457</v>
      </c>
      <c r="DZ11" s="526">
        <v>155.01</v>
      </c>
      <c r="EA11" s="526">
        <v>12</v>
      </c>
      <c r="EB11" s="526">
        <v>116.42</v>
      </c>
      <c r="EC11" s="522">
        <v>55</v>
      </c>
      <c r="ED11" s="526">
        <v>119.82</v>
      </c>
      <c r="EE11" s="522">
        <v>6516</v>
      </c>
      <c r="EF11" s="526">
        <v>144.97</v>
      </c>
      <c r="EG11" s="522">
        <v>14464</v>
      </c>
      <c r="EH11" s="526">
        <v>169.19</v>
      </c>
      <c r="EI11" s="522">
        <v>8178</v>
      </c>
      <c r="EJ11" s="526">
        <v>204.96</v>
      </c>
      <c r="EK11" s="522">
        <v>1186</v>
      </c>
      <c r="EL11" s="526">
        <v>208.28</v>
      </c>
      <c r="EM11" s="522">
        <v>33</v>
      </c>
      <c r="EN11" s="526">
        <v>234.31</v>
      </c>
      <c r="EO11" s="522">
        <v>3</v>
      </c>
      <c r="EP11" s="526">
        <v>148.46</v>
      </c>
      <c r="EQ11" s="522">
        <v>30435</v>
      </c>
      <c r="ER11" s="526">
        <v>148.46</v>
      </c>
      <c r="ES11" s="522">
        <v>30447</v>
      </c>
      <c r="ET11" s="526">
        <v>284.64999999999998</v>
      </c>
      <c r="EU11" s="526">
        <v>100</v>
      </c>
      <c r="EV11" s="526">
        <v>206.31</v>
      </c>
      <c r="EW11" s="522">
        <v>22</v>
      </c>
      <c r="EX11" s="526">
        <v>166.84</v>
      </c>
      <c r="EY11" s="522">
        <v>698</v>
      </c>
      <c r="EZ11" s="526">
        <v>184.27</v>
      </c>
      <c r="FA11" s="522">
        <v>356</v>
      </c>
      <c r="FB11" s="526">
        <v>265.87</v>
      </c>
      <c r="FC11" s="522">
        <v>12</v>
      </c>
      <c r="FD11" s="526">
        <v>346.49</v>
      </c>
      <c r="FE11" s="522">
        <v>3</v>
      </c>
      <c r="FF11" s="526">
        <v>174.91</v>
      </c>
      <c r="FG11" s="522">
        <v>1091</v>
      </c>
      <c r="FH11" s="526">
        <v>184.12</v>
      </c>
      <c r="FI11" s="522">
        <v>1191</v>
      </c>
      <c r="FJ11" s="522">
        <v>80</v>
      </c>
      <c r="FK11" s="522">
        <v>118</v>
      </c>
      <c r="FL11" s="522">
        <v>97</v>
      </c>
      <c r="FM11" s="522">
        <v>0</v>
      </c>
      <c r="FN11" s="522">
        <v>21</v>
      </c>
      <c r="FO11" s="522">
        <v>0</v>
      </c>
      <c r="FP11" s="522">
        <v>629</v>
      </c>
      <c r="FQ11" s="522">
        <v>2129</v>
      </c>
      <c r="FR11" s="522">
        <v>293</v>
      </c>
    </row>
    <row r="12" spans="1:174" x14ac:dyDescent="0.25">
      <c r="A12" s="523" t="s">
        <v>288</v>
      </c>
      <c r="B12" s="523" t="s">
        <v>288</v>
      </c>
      <c r="C12" s="523" t="s">
        <v>288</v>
      </c>
      <c r="D12" s="522">
        <v>233113</v>
      </c>
      <c r="E12" s="522">
        <v>230350</v>
      </c>
      <c r="F12" s="522">
        <v>682</v>
      </c>
      <c r="G12" s="522">
        <v>241</v>
      </c>
      <c r="H12" s="522">
        <v>17402</v>
      </c>
      <c r="I12" s="522">
        <v>8510</v>
      </c>
      <c r="J12" s="522">
        <v>27314</v>
      </c>
      <c r="K12" s="522">
        <v>24672</v>
      </c>
      <c r="L12" s="522">
        <v>21291</v>
      </c>
      <c r="M12" s="522">
        <v>1815</v>
      </c>
      <c r="N12" s="522">
        <v>299802</v>
      </c>
      <c r="O12" s="522">
        <v>265588</v>
      </c>
      <c r="P12" s="522">
        <v>278511</v>
      </c>
      <c r="Q12" s="522">
        <v>1032</v>
      </c>
      <c r="R12" s="523">
        <v>126</v>
      </c>
      <c r="S12" s="523">
        <v>76</v>
      </c>
      <c r="T12" s="523">
        <v>12087</v>
      </c>
      <c r="U12" s="523">
        <v>287715</v>
      </c>
      <c r="V12" s="522">
        <v>229216</v>
      </c>
      <c r="W12" s="522">
        <v>1115</v>
      </c>
      <c r="X12" s="522">
        <v>2423</v>
      </c>
      <c r="Y12" s="522">
        <v>3538</v>
      </c>
      <c r="Z12" s="524">
        <v>102.15</v>
      </c>
      <c r="AA12" s="524">
        <v>103.79</v>
      </c>
      <c r="AB12" s="524">
        <v>7.52</v>
      </c>
      <c r="AC12" s="524">
        <v>107.22</v>
      </c>
      <c r="AD12" s="524">
        <v>197208</v>
      </c>
      <c r="AE12" s="525">
        <v>106.18</v>
      </c>
      <c r="AF12" s="525">
        <v>97.14</v>
      </c>
      <c r="AG12" s="525">
        <v>63.58</v>
      </c>
      <c r="AH12" s="525">
        <v>167.53</v>
      </c>
      <c r="AI12" s="525">
        <v>34538</v>
      </c>
      <c r="AJ12" s="525">
        <v>132.03</v>
      </c>
      <c r="AK12" s="525">
        <v>29131</v>
      </c>
      <c r="AL12" s="525">
        <v>226.94</v>
      </c>
      <c r="AM12" s="525">
        <v>2733</v>
      </c>
      <c r="AN12" s="526">
        <v>71.22</v>
      </c>
      <c r="AO12" s="526">
        <v>73.06</v>
      </c>
      <c r="AP12" s="526">
        <v>26.96</v>
      </c>
      <c r="AQ12" s="526">
        <v>94.81</v>
      </c>
      <c r="AR12" s="522">
        <v>16</v>
      </c>
      <c r="AS12" s="526">
        <v>74.78</v>
      </c>
      <c r="AT12" s="526">
        <v>74.72</v>
      </c>
      <c r="AU12" s="526">
        <v>13.52</v>
      </c>
      <c r="AV12" s="526">
        <v>87.78</v>
      </c>
      <c r="AW12" s="522">
        <v>2450</v>
      </c>
      <c r="AX12" s="526">
        <v>87.46</v>
      </c>
      <c r="AY12" s="526">
        <v>88.09</v>
      </c>
      <c r="AZ12" s="526">
        <v>10.42</v>
      </c>
      <c r="BA12" s="526">
        <v>96.62</v>
      </c>
      <c r="BB12" s="522">
        <v>44961</v>
      </c>
      <c r="BC12" s="526">
        <v>100.87</v>
      </c>
      <c r="BD12" s="526">
        <v>102.18</v>
      </c>
      <c r="BE12" s="526">
        <v>8.14</v>
      </c>
      <c r="BF12" s="526">
        <v>106.75</v>
      </c>
      <c r="BG12" s="522">
        <v>76515</v>
      </c>
      <c r="BH12" s="526">
        <v>111.59</v>
      </c>
      <c r="BI12" s="526">
        <v>114.21</v>
      </c>
      <c r="BJ12" s="526">
        <v>2.97</v>
      </c>
      <c r="BK12" s="526">
        <v>113.01</v>
      </c>
      <c r="BL12" s="522">
        <v>65825</v>
      </c>
      <c r="BM12" s="526">
        <v>128.5</v>
      </c>
      <c r="BN12" s="526">
        <v>131.43</v>
      </c>
      <c r="BO12" s="526">
        <v>2.82</v>
      </c>
      <c r="BP12" s="526">
        <v>130.13999999999999</v>
      </c>
      <c r="BQ12" s="522">
        <v>6647</v>
      </c>
      <c r="BR12" s="526">
        <v>136.28</v>
      </c>
      <c r="BS12" s="526">
        <v>140.80000000000001</v>
      </c>
      <c r="BT12" s="526">
        <v>2.66</v>
      </c>
      <c r="BU12" s="526">
        <v>137.86000000000001</v>
      </c>
      <c r="BV12" s="522">
        <v>624</v>
      </c>
      <c r="BW12" s="526">
        <v>149.28</v>
      </c>
      <c r="BX12" s="526">
        <v>154.15</v>
      </c>
      <c r="BY12" s="526">
        <v>2.4700000000000002</v>
      </c>
      <c r="BZ12" s="526">
        <v>150.91</v>
      </c>
      <c r="CA12" s="522">
        <v>170</v>
      </c>
      <c r="CB12" s="526">
        <v>102.15</v>
      </c>
      <c r="CC12" s="526">
        <v>103.79</v>
      </c>
      <c r="CD12" s="526">
        <v>7.51</v>
      </c>
      <c r="CE12" s="526">
        <v>107.22</v>
      </c>
      <c r="CF12" s="522">
        <v>197192</v>
      </c>
      <c r="CG12" s="526">
        <v>102.15</v>
      </c>
      <c r="CH12" s="526">
        <v>103.79</v>
      </c>
      <c r="CI12" s="526">
        <v>7.52</v>
      </c>
      <c r="CJ12" s="526">
        <v>107.22</v>
      </c>
      <c r="CK12" s="522">
        <v>197208</v>
      </c>
      <c r="CL12" s="526">
        <v>98.79</v>
      </c>
      <c r="CM12" s="526">
        <v>85.57</v>
      </c>
      <c r="CN12" s="526">
        <v>155.82</v>
      </c>
      <c r="CO12" s="526">
        <v>244.29</v>
      </c>
      <c r="CP12" s="522">
        <v>4017</v>
      </c>
      <c r="CQ12" s="526">
        <v>85.89</v>
      </c>
      <c r="CR12" s="526">
        <v>83.72</v>
      </c>
      <c r="CS12" s="526">
        <v>73.819999999999993</v>
      </c>
      <c r="CT12" s="526">
        <v>154</v>
      </c>
      <c r="CU12" s="522">
        <v>1863</v>
      </c>
      <c r="CV12" s="526">
        <v>105.44</v>
      </c>
      <c r="CW12" s="526">
        <v>95.45</v>
      </c>
      <c r="CX12" s="526">
        <v>51.86</v>
      </c>
      <c r="CY12" s="526">
        <v>155.99</v>
      </c>
      <c r="CZ12" s="522">
        <v>22616</v>
      </c>
      <c r="DA12" s="526">
        <v>119.6</v>
      </c>
      <c r="DB12" s="526">
        <v>114.41</v>
      </c>
      <c r="DC12" s="526">
        <v>45.01</v>
      </c>
      <c r="DD12" s="526">
        <v>163.09</v>
      </c>
      <c r="DE12" s="522">
        <v>5821</v>
      </c>
      <c r="DF12" s="526">
        <v>128.1</v>
      </c>
      <c r="DG12" s="526">
        <v>122.04</v>
      </c>
      <c r="DH12" s="526">
        <v>59.78</v>
      </c>
      <c r="DI12" s="526">
        <v>180.99</v>
      </c>
      <c r="DJ12" s="522">
        <v>208</v>
      </c>
      <c r="DK12" s="526">
        <v>217.06</v>
      </c>
      <c r="DL12" s="526">
        <v>163.53</v>
      </c>
      <c r="DM12" s="526">
        <v>50.95</v>
      </c>
      <c r="DN12" s="526">
        <v>240.57</v>
      </c>
      <c r="DO12" s="522">
        <v>13</v>
      </c>
      <c r="DP12" s="526">
        <v>107.15</v>
      </c>
      <c r="DQ12" s="526">
        <v>98.5</v>
      </c>
      <c r="DR12" s="526">
        <v>51.88</v>
      </c>
      <c r="DS12" s="526">
        <v>157.43</v>
      </c>
      <c r="DT12" s="522">
        <v>30521</v>
      </c>
      <c r="DU12" s="526">
        <v>106.18</v>
      </c>
      <c r="DV12" s="526">
        <v>97.14</v>
      </c>
      <c r="DW12" s="526">
        <v>63.58</v>
      </c>
      <c r="DX12" s="526">
        <v>167.53</v>
      </c>
      <c r="DY12" s="522">
        <v>34538</v>
      </c>
      <c r="DZ12" s="526">
        <v>141.02000000000001</v>
      </c>
      <c r="EA12" s="526">
        <v>29</v>
      </c>
      <c r="EB12" s="526">
        <v>122.03</v>
      </c>
      <c r="EC12" s="522">
        <v>53</v>
      </c>
      <c r="ED12" s="526">
        <v>107.25</v>
      </c>
      <c r="EE12" s="522">
        <v>4290</v>
      </c>
      <c r="EF12" s="526">
        <v>128.82</v>
      </c>
      <c r="EG12" s="522">
        <v>14494</v>
      </c>
      <c r="EH12" s="526">
        <v>143.56</v>
      </c>
      <c r="EI12" s="522">
        <v>9062</v>
      </c>
      <c r="EJ12" s="526">
        <v>172.37</v>
      </c>
      <c r="EK12" s="522">
        <v>1150</v>
      </c>
      <c r="EL12" s="526">
        <v>174.87</v>
      </c>
      <c r="EM12" s="522">
        <v>41</v>
      </c>
      <c r="EN12" s="526">
        <v>189.41</v>
      </c>
      <c r="EO12" s="522">
        <v>12</v>
      </c>
      <c r="EP12" s="526">
        <v>132.03</v>
      </c>
      <c r="EQ12" s="522">
        <v>29102</v>
      </c>
      <c r="ER12" s="526">
        <v>132.03</v>
      </c>
      <c r="ES12" s="522">
        <v>29131</v>
      </c>
      <c r="ET12" s="526">
        <v>241.41</v>
      </c>
      <c r="EU12" s="526">
        <v>36</v>
      </c>
      <c r="EV12" s="526">
        <v>253.78</v>
      </c>
      <c r="EW12" s="522">
        <v>96</v>
      </c>
      <c r="EX12" s="526">
        <v>212.33</v>
      </c>
      <c r="EY12" s="522">
        <v>1247</v>
      </c>
      <c r="EZ12" s="526">
        <v>239.15</v>
      </c>
      <c r="FA12" s="522">
        <v>1327</v>
      </c>
      <c r="FB12" s="526">
        <v>183.94</v>
      </c>
      <c r="FC12" s="522">
        <v>23</v>
      </c>
      <c r="FD12" s="526">
        <v>202.53</v>
      </c>
      <c r="FE12" s="522">
        <v>4</v>
      </c>
      <c r="FF12" s="526">
        <v>226.74</v>
      </c>
      <c r="FG12" s="522">
        <v>2697</v>
      </c>
      <c r="FH12" s="526">
        <v>226.94</v>
      </c>
      <c r="FI12" s="522">
        <v>2733</v>
      </c>
      <c r="FJ12" s="522">
        <v>62</v>
      </c>
      <c r="FK12" s="522">
        <v>252</v>
      </c>
      <c r="FL12" s="522">
        <v>142</v>
      </c>
      <c r="FM12" s="522">
        <v>0</v>
      </c>
      <c r="FN12" s="522">
        <v>101</v>
      </c>
      <c r="FO12" s="522">
        <v>9</v>
      </c>
      <c r="FP12" s="522">
        <v>679</v>
      </c>
      <c r="FQ12" s="522">
        <v>1406</v>
      </c>
      <c r="FR12" s="522">
        <v>280</v>
      </c>
    </row>
    <row r="13" spans="1:174" x14ac:dyDescent="0.25">
      <c r="A13" s="523" t="s">
        <v>289</v>
      </c>
      <c r="B13" s="523" t="s">
        <v>289</v>
      </c>
      <c r="C13" s="523" t="s">
        <v>289</v>
      </c>
      <c r="D13" s="522">
        <v>173542</v>
      </c>
      <c r="E13" s="522">
        <v>171922</v>
      </c>
      <c r="F13" s="522">
        <v>32</v>
      </c>
      <c r="G13" s="522">
        <v>22</v>
      </c>
      <c r="H13" s="522">
        <v>12148</v>
      </c>
      <c r="I13" s="522">
        <v>8288</v>
      </c>
      <c r="J13" s="522">
        <v>18442</v>
      </c>
      <c r="K13" s="522">
        <v>17078</v>
      </c>
      <c r="L13" s="522">
        <v>12381</v>
      </c>
      <c r="M13" s="522">
        <v>263</v>
      </c>
      <c r="N13" s="522">
        <v>216545</v>
      </c>
      <c r="O13" s="522">
        <v>197573</v>
      </c>
      <c r="P13" s="522">
        <v>204164</v>
      </c>
      <c r="Q13" s="522">
        <v>1084</v>
      </c>
      <c r="R13" s="523">
        <v>97</v>
      </c>
      <c r="S13" s="523">
        <v>69</v>
      </c>
      <c r="T13" s="523">
        <v>5905</v>
      </c>
      <c r="U13" s="523">
        <v>210640</v>
      </c>
      <c r="V13" s="522">
        <v>171989</v>
      </c>
      <c r="W13" s="522">
        <v>1266</v>
      </c>
      <c r="X13" s="522">
        <v>1472</v>
      </c>
      <c r="Y13" s="522">
        <v>2738</v>
      </c>
      <c r="Z13" s="524">
        <v>94.16</v>
      </c>
      <c r="AA13" s="524">
        <v>94.38</v>
      </c>
      <c r="AB13" s="524">
        <v>5.94</v>
      </c>
      <c r="AC13" s="524">
        <v>97.74</v>
      </c>
      <c r="AD13" s="524">
        <v>144518</v>
      </c>
      <c r="AE13" s="525">
        <v>107.01</v>
      </c>
      <c r="AF13" s="525">
        <v>90.26</v>
      </c>
      <c r="AG13" s="525">
        <v>57.28</v>
      </c>
      <c r="AH13" s="525">
        <v>162.61000000000001</v>
      </c>
      <c r="AI13" s="525">
        <v>25338</v>
      </c>
      <c r="AJ13" s="525">
        <v>119.35</v>
      </c>
      <c r="AK13" s="525">
        <v>25402</v>
      </c>
      <c r="AL13" s="525">
        <v>241.13</v>
      </c>
      <c r="AM13" s="525">
        <v>1291</v>
      </c>
      <c r="AN13" s="526">
        <v>71.150000000000006</v>
      </c>
      <c r="AO13" s="526">
        <v>78.760000000000005</v>
      </c>
      <c r="AP13" s="526">
        <v>21.56</v>
      </c>
      <c r="AQ13" s="526">
        <v>91.63</v>
      </c>
      <c r="AR13" s="522">
        <v>20</v>
      </c>
      <c r="AS13" s="526">
        <v>70.739999999999995</v>
      </c>
      <c r="AT13" s="526">
        <v>70.040000000000006</v>
      </c>
      <c r="AU13" s="526">
        <v>10.37</v>
      </c>
      <c r="AV13" s="526">
        <v>80.5</v>
      </c>
      <c r="AW13" s="522">
        <v>777</v>
      </c>
      <c r="AX13" s="526">
        <v>81.3</v>
      </c>
      <c r="AY13" s="526">
        <v>80.83</v>
      </c>
      <c r="AZ13" s="526">
        <v>7.82</v>
      </c>
      <c r="BA13" s="526">
        <v>87.82</v>
      </c>
      <c r="BB13" s="522">
        <v>39234</v>
      </c>
      <c r="BC13" s="526">
        <v>94.08</v>
      </c>
      <c r="BD13" s="526">
        <v>94.16</v>
      </c>
      <c r="BE13" s="526">
        <v>6.36</v>
      </c>
      <c r="BF13" s="526">
        <v>97.78</v>
      </c>
      <c r="BG13" s="522">
        <v>53176</v>
      </c>
      <c r="BH13" s="526">
        <v>103</v>
      </c>
      <c r="BI13" s="526">
        <v>103.83</v>
      </c>
      <c r="BJ13" s="526">
        <v>2.52</v>
      </c>
      <c r="BK13" s="526">
        <v>104.1</v>
      </c>
      <c r="BL13" s="522">
        <v>46080</v>
      </c>
      <c r="BM13" s="526">
        <v>115.39</v>
      </c>
      <c r="BN13" s="526">
        <v>116.82</v>
      </c>
      <c r="BO13" s="526">
        <v>2.5</v>
      </c>
      <c r="BP13" s="526">
        <v>116.59</v>
      </c>
      <c r="BQ13" s="522">
        <v>4603</v>
      </c>
      <c r="BR13" s="526">
        <v>128.44</v>
      </c>
      <c r="BS13" s="526">
        <v>130.59</v>
      </c>
      <c r="BT13" s="526">
        <v>2.19</v>
      </c>
      <c r="BU13" s="526">
        <v>129.68</v>
      </c>
      <c r="BV13" s="522">
        <v>538</v>
      </c>
      <c r="BW13" s="526">
        <v>136.83000000000001</v>
      </c>
      <c r="BX13" s="526">
        <v>141.86000000000001</v>
      </c>
      <c r="BY13" s="526">
        <v>2.48</v>
      </c>
      <c r="BZ13" s="526">
        <v>138.04</v>
      </c>
      <c r="CA13" s="522">
        <v>90</v>
      </c>
      <c r="CB13" s="526">
        <v>94.16</v>
      </c>
      <c r="CC13" s="526">
        <v>94.38</v>
      </c>
      <c r="CD13" s="526">
        <v>5.94</v>
      </c>
      <c r="CE13" s="526">
        <v>97.74</v>
      </c>
      <c r="CF13" s="522">
        <v>144498</v>
      </c>
      <c r="CG13" s="526">
        <v>94.16</v>
      </c>
      <c r="CH13" s="526">
        <v>94.38</v>
      </c>
      <c r="CI13" s="526">
        <v>5.94</v>
      </c>
      <c r="CJ13" s="526">
        <v>97.74</v>
      </c>
      <c r="CK13" s="522">
        <v>144518</v>
      </c>
      <c r="CL13" s="526">
        <v>146.15</v>
      </c>
      <c r="CM13" s="526">
        <v>84.12</v>
      </c>
      <c r="CN13" s="526">
        <v>92.49</v>
      </c>
      <c r="CO13" s="526">
        <v>234.84</v>
      </c>
      <c r="CP13" s="522">
        <v>3356</v>
      </c>
      <c r="CQ13" s="526">
        <v>78.12</v>
      </c>
      <c r="CR13" s="526">
        <v>74.569999999999993</v>
      </c>
      <c r="CS13" s="526">
        <v>65.53</v>
      </c>
      <c r="CT13" s="526">
        <v>140.91999999999999</v>
      </c>
      <c r="CU13" s="522">
        <v>1751</v>
      </c>
      <c r="CV13" s="526">
        <v>100.26</v>
      </c>
      <c r="CW13" s="526">
        <v>87.73</v>
      </c>
      <c r="CX13" s="526">
        <v>50.49</v>
      </c>
      <c r="CY13" s="526">
        <v>149.96</v>
      </c>
      <c r="CZ13" s="522">
        <v>15091</v>
      </c>
      <c r="DA13" s="526">
        <v>109.98</v>
      </c>
      <c r="DB13" s="526">
        <v>104.88</v>
      </c>
      <c r="DC13" s="526">
        <v>50.47</v>
      </c>
      <c r="DD13" s="526">
        <v>157.57</v>
      </c>
      <c r="DE13" s="522">
        <v>4887</v>
      </c>
      <c r="DF13" s="526">
        <v>131.68</v>
      </c>
      <c r="DG13" s="526">
        <v>112.07</v>
      </c>
      <c r="DH13" s="526">
        <v>80.92</v>
      </c>
      <c r="DI13" s="526">
        <v>206.87</v>
      </c>
      <c r="DJ13" s="522">
        <v>240</v>
      </c>
      <c r="DK13" s="526">
        <v>158.9</v>
      </c>
      <c r="DL13" s="526">
        <v>132.69999999999999</v>
      </c>
      <c r="DM13" s="526">
        <v>41.44</v>
      </c>
      <c r="DN13" s="526">
        <v>197.16</v>
      </c>
      <c r="DO13" s="522">
        <v>13</v>
      </c>
      <c r="DP13" s="526">
        <v>101.04</v>
      </c>
      <c r="DQ13" s="526">
        <v>90.78</v>
      </c>
      <c r="DR13" s="526">
        <v>51.98</v>
      </c>
      <c r="DS13" s="526">
        <v>151.58000000000001</v>
      </c>
      <c r="DT13" s="522">
        <v>21982</v>
      </c>
      <c r="DU13" s="526">
        <v>107.01</v>
      </c>
      <c r="DV13" s="526">
        <v>90.26</v>
      </c>
      <c r="DW13" s="526">
        <v>57.28</v>
      </c>
      <c r="DX13" s="526">
        <v>162.61000000000001</v>
      </c>
      <c r="DY13" s="522">
        <v>25338</v>
      </c>
      <c r="DZ13" s="526">
        <v>0</v>
      </c>
      <c r="EA13" s="526">
        <v>0</v>
      </c>
      <c r="EB13" s="526">
        <v>110.5</v>
      </c>
      <c r="EC13" s="522">
        <v>17</v>
      </c>
      <c r="ED13" s="526">
        <v>100.81</v>
      </c>
      <c r="EE13" s="522">
        <v>2988</v>
      </c>
      <c r="EF13" s="526">
        <v>116.54</v>
      </c>
      <c r="EG13" s="522">
        <v>12687</v>
      </c>
      <c r="EH13" s="526">
        <v>127.09</v>
      </c>
      <c r="EI13" s="522">
        <v>8964</v>
      </c>
      <c r="EJ13" s="526">
        <v>148.28</v>
      </c>
      <c r="EK13" s="522">
        <v>702</v>
      </c>
      <c r="EL13" s="526">
        <v>150.81</v>
      </c>
      <c r="EM13" s="522">
        <v>37</v>
      </c>
      <c r="EN13" s="526">
        <v>150.22999999999999</v>
      </c>
      <c r="EO13" s="522">
        <v>7</v>
      </c>
      <c r="EP13" s="526">
        <v>119.35</v>
      </c>
      <c r="EQ13" s="522">
        <v>25402</v>
      </c>
      <c r="ER13" s="526">
        <v>119.35</v>
      </c>
      <c r="ES13" s="522">
        <v>25402</v>
      </c>
      <c r="ET13" s="526">
        <v>235.27</v>
      </c>
      <c r="EU13" s="526">
        <v>98</v>
      </c>
      <c r="EV13" s="526">
        <v>232</v>
      </c>
      <c r="EW13" s="522">
        <v>30</v>
      </c>
      <c r="EX13" s="526">
        <v>237.48</v>
      </c>
      <c r="EY13" s="522">
        <v>677</v>
      </c>
      <c r="EZ13" s="526">
        <v>248.61</v>
      </c>
      <c r="FA13" s="522">
        <v>482</v>
      </c>
      <c r="FB13" s="526">
        <v>173.39</v>
      </c>
      <c r="FC13" s="522">
        <v>3</v>
      </c>
      <c r="FD13" s="526">
        <v>159.55000000000001</v>
      </c>
      <c r="FE13" s="522">
        <v>1</v>
      </c>
      <c r="FF13" s="526">
        <v>241.61</v>
      </c>
      <c r="FG13" s="522">
        <v>1193</v>
      </c>
      <c r="FH13" s="526">
        <v>241.13</v>
      </c>
      <c r="FI13" s="522">
        <v>1291</v>
      </c>
      <c r="FJ13" s="522">
        <v>740</v>
      </c>
      <c r="FK13" s="522">
        <v>284</v>
      </c>
      <c r="FL13" s="522">
        <v>144</v>
      </c>
      <c r="FM13" s="522">
        <v>4</v>
      </c>
      <c r="FN13" s="522">
        <v>136</v>
      </c>
      <c r="FO13" s="522">
        <v>0</v>
      </c>
      <c r="FP13" s="522">
        <v>370</v>
      </c>
      <c r="FQ13" s="522">
        <v>1169</v>
      </c>
      <c r="FR13" s="522">
        <v>166</v>
      </c>
    </row>
    <row r="14" spans="1:174" x14ac:dyDescent="0.25">
      <c r="A14" s="523" t="s">
        <v>290</v>
      </c>
      <c r="B14" s="523" t="s">
        <v>291</v>
      </c>
      <c r="C14" s="523" t="s">
        <v>2</v>
      </c>
      <c r="D14" s="522">
        <v>919</v>
      </c>
      <c r="E14" s="522">
        <v>919</v>
      </c>
      <c r="F14" s="522">
        <v>0</v>
      </c>
      <c r="G14" s="522">
        <v>0</v>
      </c>
      <c r="H14" s="522">
        <v>62</v>
      </c>
      <c r="I14" s="522">
        <v>25</v>
      </c>
      <c r="J14" s="522">
        <v>138</v>
      </c>
      <c r="K14" s="522">
        <v>138</v>
      </c>
      <c r="L14" s="522">
        <v>177</v>
      </c>
      <c r="M14" s="522">
        <v>3</v>
      </c>
      <c r="N14" s="522">
        <v>1296</v>
      </c>
      <c r="O14" s="522">
        <v>1085</v>
      </c>
      <c r="P14" s="522">
        <v>1119</v>
      </c>
      <c r="Q14" s="522">
        <v>5</v>
      </c>
      <c r="R14" s="523">
        <v>4</v>
      </c>
      <c r="S14" s="523">
        <v>15</v>
      </c>
      <c r="T14" s="523">
        <v>42</v>
      </c>
      <c r="U14" s="523">
        <v>1254</v>
      </c>
      <c r="V14" s="522">
        <v>898</v>
      </c>
      <c r="W14" s="522">
        <v>2</v>
      </c>
      <c r="X14" s="522">
        <v>4</v>
      </c>
      <c r="Y14" s="522">
        <v>6</v>
      </c>
      <c r="Z14" s="524">
        <v>129.57</v>
      </c>
      <c r="AA14" s="524">
        <v>130.88</v>
      </c>
      <c r="AB14" s="524">
        <v>8.1999999999999993</v>
      </c>
      <c r="AC14" s="524">
        <v>135.99</v>
      </c>
      <c r="AD14" s="524">
        <v>708</v>
      </c>
      <c r="AE14" s="525">
        <v>98.32</v>
      </c>
      <c r="AF14" s="525">
        <v>95.44</v>
      </c>
      <c r="AG14" s="525">
        <v>68.88</v>
      </c>
      <c r="AH14" s="525">
        <v>166.05</v>
      </c>
      <c r="AI14" s="525">
        <v>179</v>
      </c>
      <c r="AJ14" s="525">
        <v>182.07</v>
      </c>
      <c r="AK14" s="525">
        <v>178</v>
      </c>
      <c r="AL14" s="525">
        <v>0</v>
      </c>
      <c r="AM14" s="525">
        <v>0</v>
      </c>
      <c r="AN14" s="526">
        <v>0</v>
      </c>
      <c r="AO14" s="526">
        <v>0</v>
      </c>
      <c r="AP14" s="526">
        <v>0</v>
      </c>
      <c r="AQ14" s="526">
        <v>0</v>
      </c>
      <c r="AR14" s="522">
        <v>0</v>
      </c>
      <c r="AS14" s="526">
        <v>0</v>
      </c>
      <c r="AT14" s="526">
        <v>0</v>
      </c>
      <c r="AU14" s="526">
        <v>0</v>
      </c>
      <c r="AV14" s="526">
        <v>0</v>
      </c>
      <c r="AW14" s="522">
        <v>0</v>
      </c>
      <c r="AX14" s="526">
        <v>104.94</v>
      </c>
      <c r="AY14" s="526">
        <v>108.53</v>
      </c>
      <c r="AZ14" s="526">
        <v>17.27</v>
      </c>
      <c r="BA14" s="526">
        <v>122.21</v>
      </c>
      <c r="BB14" s="522">
        <v>76</v>
      </c>
      <c r="BC14" s="526">
        <v>123.76</v>
      </c>
      <c r="BD14" s="526">
        <v>125.73</v>
      </c>
      <c r="BE14" s="526">
        <v>10.55</v>
      </c>
      <c r="BF14" s="526">
        <v>133.30000000000001</v>
      </c>
      <c r="BG14" s="522">
        <v>243</v>
      </c>
      <c r="BH14" s="526">
        <v>136.71</v>
      </c>
      <c r="BI14" s="526">
        <v>137.06</v>
      </c>
      <c r="BJ14" s="526">
        <v>3.52</v>
      </c>
      <c r="BK14" s="526">
        <v>139.09</v>
      </c>
      <c r="BL14" s="522">
        <v>359</v>
      </c>
      <c r="BM14" s="526">
        <v>153.74</v>
      </c>
      <c r="BN14" s="526">
        <v>155.41999999999999</v>
      </c>
      <c r="BO14" s="526">
        <v>3.7</v>
      </c>
      <c r="BP14" s="526">
        <v>155.59</v>
      </c>
      <c r="BQ14" s="522">
        <v>30</v>
      </c>
      <c r="BR14" s="526">
        <v>0</v>
      </c>
      <c r="BS14" s="526">
        <v>0</v>
      </c>
      <c r="BT14" s="526">
        <v>0</v>
      </c>
      <c r="BU14" s="526">
        <v>0</v>
      </c>
      <c r="BV14" s="522">
        <v>0</v>
      </c>
      <c r="BW14" s="526">
        <v>0</v>
      </c>
      <c r="BX14" s="526">
        <v>0</v>
      </c>
      <c r="BY14" s="526">
        <v>0</v>
      </c>
      <c r="BZ14" s="526">
        <v>0</v>
      </c>
      <c r="CA14" s="522">
        <v>0</v>
      </c>
      <c r="CB14" s="526">
        <v>129.57</v>
      </c>
      <c r="CC14" s="526">
        <v>130.88</v>
      </c>
      <c r="CD14" s="526">
        <v>8.1999999999999993</v>
      </c>
      <c r="CE14" s="526">
        <v>135.99</v>
      </c>
      <c r="CF14" s="522">
        <v>708</v>
      </c>
      <c r="CG14" s="526">
        <v>129.57</v>
      </c>
      <c r="CH14" s="526">
        <v>130.88</v>
      </c>
      <c r="CI14" s="526">
        <v>8.1999999999999993</v>
      </c>
      <c r="CJ14" s="526">
        <v>135.99</v>
      </c>
      <c r="CK14" s="522">
        <v>708</v>
      </c>
      <c r="CL14" s="526">
        <v>104.04</v>
      </c>
      <c r="CM14" s="526">
        <v>103.71</v>
      </c>
      <c r="CN14" s="526">
        <v>257.43</v>
      </c>
      <c r="CO14" s="526">
        <v>361.47</v>
      </c>
      <c r="CP14" s="522">
        <v>17</v>
      </c>
      <c r="CQ14" s="526">
        <v>85.46</v>
      </c>
      <c r="CR14" s="526">
        <v>81.52</v>
      </c>
      <c r="CS14" s="526">
        <v>36.549999999999997</v>
      </c>
      <c r="CT14" s="526">
        <v>122.02</v>
      </c>
      <c r="CU14" s="522">
        <v>54</v>
      </c>
      <c r="CV14" s="526">
        <v>103.74</v>
      </c>
      <c r="CW14" s="526">
        <v>100.58</v>
      </c>
      <c r="CX14" s="526">
        <v>55.04</v>
      </c>
      <c r="CY14" s="526">
        <v>157.24</v>
      </c>
      <c r="CZ14" s="522">
        <v>107</v>
      </c>
      <c r="DA14" s="526">
        <v>0</v>
      </c>
      <c r="DB14" s="526">
        <v>0</v>
      </c>
      <c r="DC14" s="526">
        <v>0</v>
      </c>
      <c r="DD14" s="526">
        <v>0</v>
      </c>
      <c r="DE14" s="522">
        <v>0</v>
      </c>
      <c r="DF14" s="526">
        <v>116.17</v>
      </c>
      <c r="DG14" s="526">
        <v>156</v>
      </c>
      <c r="DH14" s="526">
        <v>48.41</v>
      </c>
      <c r="DI14" s="526">
        <v>164.58</v>
      </c>
      <c r="DJ14" s="522">
        <v>1</v>
      </c>
      <c r="DK14" s="526">
        <v>0</v>
      </c>
      <c r="DL14" s="526">
        <v>0</v>
      </c>
      <c r="DM14" s="526">
        <v>0</v>
      </c>
      <c r="DN14" s="526">
        <v>0</v>
      </c>
      <c r="DO14" s="522">
        <v>0</v>
      </c>
      <c r="DP14" s="526">
        <v>97.72</v>
      </c>
      <c r="DQ14" s="526">
        <v>94.57</v>
      </c>
      <c r="DR14" s="526">
        <v>48.72</v>
      </c>
      <c r="DS14" s="526">
        <v>145.54</v>
      </c>
      <c r="DT14" s="522">
        <v>162</v>
      </c>
      <c r="DU14" s="526">
        <v>98.32</v>
      </c>
      <c r="DV14" s="526">
        <v>95.44</v>
      </c>
      <c r="DW14" s="526">
        <v>68.88</v>
      </c>
      <c r="DX14" s="526">
        <v>166.05</v>
      </c>
      <c r="DY14" s="522">
        <v>179</v>
      </c>
      <c r="DZ14" s="526">
        <v>0</v>
      </c>
      <c r="EA14" s="526">
        <v>0</v>
      </c>
      <c r="EB14" s="526">
        <v>0</v>
      </c>
      <c r="EC14" s="522">
        <v>0</v>
      </c>
      <c r="ED14" s="526">
        <v>153.5</v>
      </c>
      <c r="EE14" s="522">
        <v>36</v>
      </c>
      <c r="EF14" s="526">
        <v>186.54</v>
      </c>
      <c r="EG14" s="522">
        <v>99</v>
      </c>
      <c r="EH14" s="526">
        <v>196.28</v>
      </c>
      <c r="EI14" s="522">
        <v>41</v>
      </c>
      <c r="EJ14" s="526">
        <v>184.09</v>
      </c>
      <c r="EK14" s="522">
        <v>2</v>
      </c>
      <c r="EL14" s="526">
        <v>0</v>
      </c>
      <c r="EM14" s="522">
        <v>0</v>
      </c>
      <c r="EN14" s="526">
        <v>0</v>
      </c>
      <c r="EO14" s="522">
        <v>0</v>
      </c>
      <c r="EP14" s="526">
        <v>182.07</v>
      </c>
      <c r="EQ14" s="522">
        <v>178</v>
      </c>
      <c r="ER14" s="526">
        <v>182.07</v>
      </c>
      <c r="ES14" s="522">
        <v>178</v>
      </c>
      <c r="ET14" s="526">
        <v>0</v>
      </c>
      <c r="EU14" s="526">
        <v>0</v>
      </c>
      <c r="EV14" s="526">
        <v>0</v>
      </c>
      <c r="EW14" s="522">
        <v>0</v>
      </c>
      <c r="EX14" s="526">
        <v>0</v>
      </c>
      <c r="EY14" s="522">
        <v>0</v>
      </c>
      <c r="EZ14" s="526">
        <v>0</v>
      </c>
      <c r="FA14" s="522">
        <v>0</v>
      </c>
      <c r="FB14" s="526">
        <v>0</v>
      </c>
      <c r="FC14" s="522">
        <v>0</v>
      </c>
      <c r="FD14" s="526">
        <v>0</v>
      </c>
      <c r="FE14" s="522">
        <v>0</v>
      </c>
      <c r="FF14" s="526">
        <v>0</v>
      </c>
      <c r="FG14" s="522">
        <v>0</v>
      </c>
      <c r="FH14" s="526">
        <v>0</v>
      </c>
      <c r="FI14" s="522">
        <v>0</v>
      </c>
      <c r="FJ14" s="522">
        <v>0</v>
      </c>
      <c r="FK14" s="522">
        <v>0</v>
      </c>
      <c r="FL14" s="522">
        <v>0</v>
      </c>
      <c r="FM14" s="522">
        <v>0</v>
      </c>
      <c r="FN14" s="522">
        <v>0</v>
      </c>
      <c r="FO14" s="522">
        <v>0</v>
      </c>
      <c r="FP14" s="522">
        <v>1</v>
      </c>
      <c r="FQ14" s="522">
        <v>9</v>
      </c>
      <c r="FR14" s="522">
        <v>5</v>
      </c>
    </row>
    <row r="15" spans="1:174" x14ac:dyDescent="0.25">
      <c r="A15" s="523" t="s">
        <v>292</v>
      </c>
      <c r="B15" s="523" t="s">
        <v>293</v>
      </c>
      <c r="C15" s="523" t="s">
        <v>282</v>
      </c>
      <c r="D15" s="522">
        <v>4858</v>
      </c>
      <c r="E15" s="522">
        <v>4900</v>
      </c>
      <c r="F15" s="522">
        <v>0</v>
      </c>
      <c r="G15" s="522">
        <v>0</v>
      </c>
      <c r="H15" s="522">
        <v>175</v>
      </c>
      <c r="I15" s="522">
        <v>127</v>
      </c>
      <c r="J15" s="522">
        <v>2445</v>
      </c>
      <c r="K15" s="522">
        <v>2443</v>
      </c>
      <c r="L15" s="522">
        <v>301</v>
      </c>
      <c r="M15" s="522">
        <v>37</v>
      </c>
      <c r="N15" s="522">
        <v>7779</v>
      </c>
      <c r="O15" s="522">
        <v>7507</v>
      </c>
      <c r="P15" s="522">
        <v>7478</v>
      </c>
      <c r="Q15" s="522">
        <v>2</v>
      </c>
      <c r="R15" s="523">
        <v>7</v>
      </c>
      <c r="S15" s="523">
        <v>23</v>
      </c>
      <c r="T15" s="523">
        <v>56</v>
      </c>
      <c r="U15" s="523">
        <v>7723</v>
      </c>
      <c r="V15" s="522">
        <v>4852</v>
      </c>
      <c r="W15" s="522">
        <v>33</v>
      </c>
      <c r="X15" s="522">
        <v>11</v>
      </c>
      <c r="Y15" s="522">
        <v>44</v>
      </c>
      <c r="Z15" s="524">
        <v>102.56</v>
      </c>
      <c r="AA15" s="524">
        <v>103.95</v>
      </c>
      <c r="AB15" s="524">
        <v>2.7</v>
      </c>
      <c r="AC15" s="524">
        <v>105.06</v>
      </c>
      <c r="AD15" s="524">
        <v>4237</v>
      </c>
      <c r="AE15" s="525">
        <v>98.51</v>
      </c>
      <c r="AF15" s="525">
        <v>93.63</v>
      </c>
      <c r="AG15" s="525">
        <v>10.59</v>
      </c>
      <c r="AH15" s="525">
        <v>109.01</v>
      </c>
      <c r="AI15" s="525">
        <v>2570</v>
      </c>
      <c r="AJ15" s="525">
        <v>124.13</v>
      </c>
      <c r="AK15" s="525">
        <v>562</v>
      </c>
      <c r="AL15" s="525">
        <v>268.83</v>
      </c>
      <c r="AM15" s="525">
        <v>3</v>
      </c>
      <c r="AN15" s="526">
        <v>0</v>
      </c>
      <c r="AO15" s="526">
        <v>0</v>
      </c>
      <c r="AP15" s="526">
        <v>0</v>
      </c>
      <c r="AQ15" s="526">
        <v>0</v>
      </c>
      <c r="AR15" s="522">
        <v>0</v>
      </c>
      <c r="AS15" s="526">
        <v>73.81</v>
      </c>
      <c r="AT15" s="526">
        <v>73.010000000000005</v>
      </c>
      <c r="AU15" s="526">
        <v>7.84</v>
      </c>
      <c r="AV15" s="526">
        <v>81.650000000000006</v>
      </c>
      <c r="AW15" s="522">
        <v>9</v>
      </c>
      <c r="AX15" s="526">
        <v>86.22</v>
      </c>
      <c r="AY15" s="526">
        <v>86.51</v>
      </c>
      <c r="AZ15" s="526">
        <v>4.8099999999999996</v>
      </c>
      <c r="BA15" s="526">
        <v>90.93</v>
      </c>
      <c r="BB15" s="522">
        <v>328</v>
      </c>
      <c r="BC15" s="526">
        <v>99.09</v>
      </c>
      <c r="BD15" s="526">
        <v>99.95</v>
      </c>
      <c r="BE15" s="526">
        <v>2.94</v>
      </c>
      <c r="BF15" s="526">
        <v>101.76</v>
      </c>
      <c r="BG15" s="522">
        <v>1407</v>
      </c>
      <c r="BH15" s="526">
        <v>106.37</v>
      </c>
      <c r="BI15" s="526">
        <v>108.23</v>
      </c>
      <c r="BJ15" s="526">
        <v>2.25</v>
      </c>
      <c r="BK15" s="526">
        <v>108.46</v>
      </c>
      <c r="BL15" s="522">
        <v>2400</v>
      </c>
      <c r="BM15" s="526">
        <v>116.37</v>
      </c>
      <c r="BN15" s="526">
        <v>117.83</v>
      </c>
      <c r="BO15" s="526">
        <v>2.4300000000000002</v>
      </c>
      <c r="BP15" s="526">
        <v>118.77</v>
      </c>
      <c r="BQ15" s="522">
        <v>84</v>
      </c>
      <c r="BR15" s="526">
        <v>123.26</v>
      </c>
      <c r="BS15" s="526">
        <v>124.39</v>
      </c>
      <c r="BT15" s="526">
        <v>2.1</v>
      </c>
      <c r="BU15" s="526">
        <v>125.36</v>
      </c>
      <c r="BV15" s="522">
        <v>8</v>
      </c>
      <c r="BW15" s="526">
        <v>127.85</v>
      </c>
      <c r="BX15" s="526">
        <v>130.56</v>
      </c>
      <c r="BY15" s="526">
        <v>2.1</v>
      </c>
      <c r="BZ15" s="526">
        <v>129.94999999999999</v>
      </c>
      <c r="CA15" s="522">
        <v>1</v>
      </c>
      <c r="CB15" s="526">
        <v>102.56</v>
      </c>
      <c r="CC15" s="526">
        <v>103.95</v>
      </c>
      <c r="CD15" s="526">
        <v>2.7</v>
      </c>
      <c r="CE15" s="526">
        <v>105.06</v>
      </c>
      <c r="CF15" s="522">
        <v>4237</v>
      </c>
      <c r="CG15" s="526">
        <v>102.56</v>
      </c>
      <c r="CH15" s="526">
        <v>103.95</v>
      </c>
      <c r="CI15" s="526">
        <v>2.7</v>
      </c>
      <c r="CJ15" s="526">
        <v>105.06</v>
      </c>
      <c r="CK15" s="522">
        <v>4237</v>
      </c>
      <c r="CL15" s="526">
        <v>137.59</v>
      </c>
      <c r="CM15" s="526">
        <v>80.84</v>
      </c>
      <c r="CN15" s="526">
        <v>154.91999999999999</v>
      </c>
      <c r="CO15" s="526">
        <v>289.52999999999997</v>
      </c>
      <c r="CP15" s="522">
        <v>52</v>
      </c>
      <c r="CQ15" s="526">
        <v>72.87</v>
      </c>
      <c r="CR15" s="526">
        <v>67.2</v>
      </c>
      <c r="CS15" s="526">
        <v>256.55</v>
      </c>
      <c r="CT15" s="526">
        <v>329.42</v>
      </c>
      <c r="CU15" s="522">
        <v>13</v>
      </c>
      <c r="CV15" s="526">
        <v>95.56</v>
      </c>
      <c r="CW15" s="526">
        <v>90.58</v>
      </c>
      <c r="CX15" s="526">
        <v>7.58</v>
      </c>
      <c r="CY15" s="526">
        <v>103.12</v>
      </c>
      <c r="CZ15" s="522">
        <v>1560</v>
      </c>
      <c r="DA15" s="526">
        <v>101.44</v>
      </c>
      <c r="DB15" s="526">
        <v>99.31</v>
      </c>
      <c r="DC15" s="526">
        <v>4.04</v>
      </c>
      <c r="DD15" s="526">
        <v>105.43</v>
      </c>
      <c r="DE15" s="522">
        <v>930</v>
      </c>
      <c r="DF15" s="526">
        <v>110.5</v>
      </c>
      <c r="DG15" s="526">
        <v>108.74</v>
      </c>
      <c r="DH15" s="526">
        <v>18.649999999999999</v>
      </c>
      <c r="DI15" s="526">
        <v>127.9</v>
      </c>
      <c r="DJ15" s="522">
        <v>15</v>
      </c>
      <c r="DK15" s="526">
        <v>0</v>
      </c>
      <c r="DL15" s="526">
        <v>0</v>
      </c>
      <c r="DM15" s="526">
        <v>0</v>
      </c>
      <c r="DN15" s="526">
        <v>0</v>
      </c>
      <c r="DO15" s="522">
        <v>0</v>
      </c>
      <c r="DP15" s="526">
        <v>97.71</v>
      </c>
      <c r="DQ15" s="526">
        <v>93.82</v>
      </c>
      <c r="DR15" s="526">
        <v>7.64</v>
      </c>
      <c r="DS15" s="526">
        <v>105.29</v>
      </c>
      <c r="DT15" s="522">
        <v>2518</v>
      </c>
      <c r="DU15" s="526">
        <v>98.51</v>
      </c>
      <c r="DV15" s="526">
        <v>93.63</v>
      </c>
      <c r="DW15" s="526">
        <v>10.59</v>
      </c>
      <c r="DX15" s="526">
        <v>109.01</v>
      </c>
      <c r="DY15" s="522">
        <v>2570</v>
      </c>
      <c r="DZ15" s="526">
        <v>0</v>
      </c>
      <c r="EA15" s="526">
        <v>0</v>
      </c>
      <c r="EB15" s="526">
        <v>0</v>
      </c>
      <c r="EC15" s="522">
        <v>0</v>
      </c>
      <c r="ED15" s="526">
        <v>98.45</v>
      </c>
      <c r="EE15" s="522">
        <v>70</v>
      </c>
      <c r="EF15" s="526">
        <v>120.68</v>
      </c>
      <c r="EG15" s="522">
        <v>319</v>
      </c>
      <c r="EH15" s="526">
        <v>139.68</v>
      </c>
      <c r="EI15" s="522">
        <v>168</v>
      </c>
      <c r="EJ15" s="526">
        <v>181.15</v>
      </c>
      <c r="EK15" s="522">
        <v>5</v>
      </c>
      <c r="EL15" s="526">
        <v>0</v>
      </c>
      <c r="EM15" s="522">
        <v>0</v>
      </c>
      <c r="EN15" s="526">
        <v>0</v>
      </c>
      <c r="EO15" s="522">
        <v>0</v>
      </c>
      <c r="EP15" s="526">
        <v>124.13</v>
      </c>
      <c r="EQ15" s="522">
        <v>562</v>
      </c>
      <c r="ER15" s="526">
        <v>124.13</v>
      </c>
      <c r="ES15" s="522">
        <v>562</v>
      </c>
      <c r="ET15" s="526">
        <v>268.83</v>
      </c>
      <c r="EU15" s="526">
        <v>3</v>
      </c>
      <c r="EV15" s="526">
        <v>0</v>
      </c>
      <c r="EW15" s="522">
        <v>0</v>
      </c>
      <c r="EX15" s="526">
        <v>0</v>
      </c>
      <c r="EY15" s="522">
        <v>0</v>
      </c>
      <c r="EZ15" s="526">
        <v>0</v>
      </c>
      <c r="FA15" s="522">
        <v>0</v>
      </c>
      <c r="FB15" s="526">
        <v>0</v>
      </c>
      <c r="FC15" s="522">
        <v>0</v>
      </c>
      <c r="FD15" s="526">
        <v>0</v>
      </c>
      <c r="FE15" s="522">
        <v>0</v>
      </c>
      <c r="FF15" s="526">
        <v>0</v>
      </c>
      <c r="FG15" s="522">
        <v>0</v>
      </c>
      <c r="FH15" s="526">
        <v>268.83</v>
      </c>
      <c r="FI15" s="522">
        <v>3</v>
      </c>
      <c r="FJ15" s="522">
        <v>0</v>
      </c>
      <c r="FK15" s="522">
        <v>6</v>
      </c>
      <c r="FL15" s="522">
        <v>6</v>
      </c>
      <c r="FM15" s="522">
        <v>0</v>
      </c>
      <c r="FN15" s="522">
        <v>0</v>
      </c>
      <c r="FO15" s="522">
        <v>0</v>
      </c>
      <c r="FP15" s="522">
        <v>4</v>
      </c>
      <c r="FQ15" s="522">
        <v>50</v>
      </c>
      <c r="FR15" s="522">
        <v>3</v>
      </c>
    </row>
    <row r="16" spans="1:174" x14ac:dyDescent="0.25">
      <c r="A16" s="523" t="s">
        <v>294</v>
      </c>
      <c r="B16" s="523" t="s">
        <v>295</v>
      </c>
      <c r="C16" s="523" t="s">
        <v>2</v>
      </c>
      <c r="D16" s="522">
        <v>3413</v>
      </c>
      <c r="E16" s="522">
        <v>3410</v>
      </c>
      <c r="F16" s="522">
        <v>1</v>
      </c>
      <c r="G16" s="522">
        <v>1</v>
      </c>
      <c r="H16" s="522">
        <v>227</v>
      </c>
      <c r="I16" s="522">
        <v>92</v>
      </c>
      <c r="J16" s="522">
        <v>371</v>
      </c>
      <c r="K16" s="522">
        <v>284</v>
      </c>
      <c r="L16" s="522">
        <v>1022</v>
      </c>
      <c r="M16" s="522">
        <v>87</v>
      </c>
      <c r="N16" s="522">
        <v>5034</v>
      </c>
      <c r="O16" s="522">
        <v>3874</v>
      </c>
      <c r="P16" s="522">
        <v>4012</v>
      </c>
      <c r="Q16" s="522">
        <v>10</v>
      </c>
      <c r="R16" s="523">
        <v>8</v>
      </c>
      <c r="S16" s="523">
        <v>31</v>
      </c>
      <c r="T16" s="523">
        <v>203</v>
      </c>
      <c r="U16" s="523">
        <v>4831</v>
      </c>
      <c r="V16" s="522">
        <v>3382</v>
      </c>
      <c r="W16" s="522">
        <v>79</v>
      </c>
      <c r="X16" s="522">
        <v>8</v>
      </c>
      <c r="Y16" s="522">
        <v>87</v>
      </c>
      <c r="Z16" s="524">
        <v>124.79</v>
      </c>
      <c r="AA16" s="524">
        <v>125.3</v>
      </c>
      <c r="AB16" s="524">
        <v>6.88</v>
      </c>
      <c r="AC16" s="524">
        <v>130.58000000000001</v>
      </c>
      <c r="AD16" s="524">
        <v>2319</v>
      </c>
      <c r="AE16" s="525">
        <v>109.97</v>
      </c>
      <c r="AF16" s="525">
        <v>102.84</v>
      </c>
      <c r="AG16" s="525">
        <v>76.27</v>
      </c>
      <c r="AH16" s="525">
        <v>185.88</v>
      </c>
      <c r="AI16" s="525">
        <v>426</v>
      </c>
      <c r="AJ16" s="525">
        <v>179.3</v>
      </c>
      <c r="AK16" s="525">
        <v>1018</v>
      </c>
      <c r="AL16" s="525">
        <v>0</v>
      </c>
      <c r="AM16" s="525">
        <v>0</v>
      </c>
      <c r="AN16" s="526">
        <v>0</v>
      </c>
      <c r="AO16" s="526">
        <v>0</v>
      </c>
      <c r="AP16" s="526">
        <v>0</v>
      </c>
      <c r="AQ16" s="526">
        <v>0</v>
      </c>
      <c r="AR16" s="522">
        <v>0</v>
      </c>
      <c r="AS16" s="526">
        <v>76.260000000000005</v>
      </c>
      <c r="AT16" s="526">
        <v>77.900000000000006</v>
      </c>
      <c r="AU16" s="526">
        <v>12.48</v>
      </c>
      <c r="AV16" s="526">
        <v>88.74</v>
      </c>
      <c r="AW16" s="522">
        <v>3</v>
      </c>
      <c r="AX16" s="526">
        <v>100.44</v>
      </c>
      <c r="AY16" s="526">
        <v>99.91</v>
      </c>
      <c r="AZ16" s="526">
        <v>12.33</v>
      </c>
      <c r="BA16" s="526">
        <v>112.27</v>
      </c>
      <c r="BB16" s="522">
        <v>225</v>
      </c>
      <c r="BC16" s="526">
        <v>117.53</v>
      </c>
      <c r="BD16" s="526">
        <v>117.55</v>
      </c>
      <c r="BE16" s="526">
        <v>8.2799999999999994</v>
      </c>
      <c r="BF16" s="526">
        <v>125.11</v>
      </c>
      <c r="BG16" s="522">
        <v>1075</v>
      </c>
      <c r="BH16" s="526">
        <v>136.19</v>
      </c>
      <c r="BI16" s="526">
        <v>137.37</v>
      </c>
      <c r="BJ16" s="526">
        <v>3.42</v>
      </c>
      <c r="BK16" s="526">
        <v>138.68</v>
      </c>
      <c r="BL16" s="522">
        <v>901</v>
      </c>
      <c r="BM16" s="526">
        <v>152.36000000000001</v>
      </c>
      <c r="BN16" s="526">
        <v>154.09</v>
      </c>
      <c r="BO16" s="526">
        <v>3.58</v>
      </c>
      <c r="BP16" s="526">
        <v>155.27000000000001</v>
      </c>
      <c r="BQ16" s="522">
        <v>113</v>
      </c>
      <c r="BR16" s="526">
        <v>147.16999999999999</v>
      </c>
      <c r="BS16" s="526">
        <v>154.35</v>
      </c>
      <c r="BT16" s="526">
        <v>0</v>
      </c>
      <c r="BU16" s="526">
        <v>147.16999999999999</v>
      </c>
      <c r="BV16" s="522">
        <v>2</v>
      </c>
      <c r="BW16" s="526">
        <v>0</v>
      </c>
      <c r="BX16" s="526">
        <v>0</v>
      </c>
      <c r="BY16" s="526">
        <v>0</v>
      </c>
      <c r="BZ16" s="526">
        <v>0</v>
      </c>
      <c r="CA16" s="522">
        <v>0</v>
      </c>
      <c r="CB16" s="526">
        <v>124.79</v>
      </c>
      <c r="CC16" s="526">
        <v>125.3</v>
      </c>
      <c r="CD16" s="526">
        <v>6.88</v>
      </c>
      <c r="CE16" s="526">
        <v>130.58000000000001</v>
      </c>
      <c r="CF16" s="522">
        <v>2319</v>
      </c>
      <c r="CG16" s="526">
        <v>124.79</v>
      </c>
      <c r="CH16" s="526">
        <v>125.3</v>
      </c>
      <c r="CI16" s="526">
        <v>6.88</v>
      </c>
      <c r="CJ16" s="526">
        <v>130.58000000000001</v>
      </c>
      <c r="CK16" s="522">
        <v>2319</v>
      </c>
      <c r="CL16" s="526">
        <v>120.17</v>
      </c>
      <c r="CM16" s="526">
        <v>98.34</v>
      </c>
      <c r="CN16" s="526">
        <v>148.91999999999999</v>
      </c>
      <c r="CO16" s="526">
        <v>269.08999999999997</v>
      </c>
      <c r="CP16" s="522">
        <v>100</v>
      </c>
      <c r="CQ16" s="526">
        <v>85.37</v>
      </c>
      <c r="CR16" s="526">
        <v>83.82</v>
      </c>
      <c r="CS16" s="526">
        <v>44.47</v>
      </c>
      <c r="CT16" s="526">
        <v>129.84</v>
      </c>
      <c r="CU16" s="522">
        <v>50</v>
      </c>
      <c r="CV16" s="526">
        <v>108.29</v>
      </c>
      <c r="CW16" s="526">
        <v>104.92</v>
      </c>
      <c r="CX16" s="526">
        <v>54.04</v>
      </c>
      <c r="CY16" s="526">
        <v>162.33000000000001</v>
      </c>
      <c r="CZ16" s="522">
        <v>242</v>
      </c>
      <c r="DA16" s="526">
        <v>128.35</v>
      </c>
      <c r="DB16" s="526">
        <v>127.32</v>
      </c>
      <c r="DC16" s="526">
        <v>67.819999999999993</v>
      </c>
      <c r="DD16" s="526">
        <v>192.06</v>
      </c>
      <c r="DE16" s="522">
        <v>33</v>
      </c>
      <c r="DF16" s="526">
        <v>122.11</v>
      </c>
      <c r="DG16" s="526">
        <v>124.92</v>
      </c>
      <c r="DH16" s="526">
        <v>41.4</v>
      </c>
      <c r="DI16" s="526">
        <v>163.51</v>
      </c>
      <c r="DJ16" s="522">
        <v>1</v>
      </c>
      <c r="DK16" s="526">
        <v>0</v>
      </c>
      <c r="DL16" s="526">
        <v>0</v>
      </c>
      <c r="DM16" s="526">
        <v>0</v>
      </c>
      <c r="DN16" s="526">
        <v>0</v>
      </c>
      <c r="DO16" s="522">
        <v>0</v>
      </c>
      <c r="DP16" s="526">
        <v>106.84</v>
      </c>
      <c r="DQ16" s="526">
        <v>104</v>
      </c>
      <c r="DR16" s="526">
        <v>53.85</v>
      </c>
      <c r="DS16" s="526">
        <v>160.36000000000001</v>
      </c>
      <c r="DT16" s="522">
        <v>326</v>
      </c>
      <c r="DU16" s="526">
        <v>109.97</v>
      </c>
      <c r="DV16" s="526">
        <v>102.84</v>
      </c>
      <c r="DW16" s="526">
        <v>76.27</v>
      </c>
      <c r="DX16" s="526">
        <v>185.88</v>
      </c>
      <c r="DY16" s="522">
        <v>426</v>
      </c>
      <c r="DZ16" s="526">
        <v>0</v>
      </c>
      <c r="EA16" s="526">
        <v>0</v>
      </c>
      <c r="EB16" s="526">
        <v>0</v>
      </c>
      <c r="EC16" s="522">
        <v>0</v>
      </c>
      <c r="ED16" s="526">
        <v>139.62</v>
      </c>
      <c r="EE16" s="522">
        <v>196</v>
      </c>
      <c r="EF16" s="526">
        <v>173.94</v>
      </c>
      <c r="EG16" s="522">
        <v>473</v>
      </c>
      <c r="EH16" s="526">
        <v>204.79</v>
      </c>
      <c r="EI16" s="522">
        <v>306</v>
      </c>
      <c r="EJ16" s="526">
        <v>237.61</v>
      </c>
      <c r="EK16" s="522">
        <v>43</v>
      </c>
      <c r="EL16" s="526">
        <v>0</v>
      </c>
      <c r="EM16" s="522">
        <v>0</v>
      </c>
      <c r="EN16" s="526">
        <v>0</v>
      </c>
      <c r="EO16" s="522">
        <v>0</v>
      </c>
      <c r="EP16" s="526">
        <v>179.3</v>
      </c>
      <c r="EQ16" s="522">
        <v>1018</v>
      </c>
      <c r="ER16" s="526">
        <v>179.3</v>
      </c>
      <c r="ES16" s="522">
        <v>1018</v>
      </c>
      <c r="ET16" s="526">
        <v>0</v>
      </c>
      <c r="EU16" s="526">
        <v>0</v>
      </c>
      <c r="EV16" s="526">
        <v>0</v>
      </c>
      <c r="EW16" s="522">
        <v>0</v>
      </c>
      <c r="EX16" s="526">
        <v>0</v>
      </c>
      <c r="EY16" s="522">
        <v>0</v>
      </c>
      <c r="EZ16" s="526">
        <v>0</v>
      </c>
      <c r="FA16" s="522">
        <v>0</v>
      </c>
      <c r="FB16" s="526">
        <v>0</v>
      </c>
      <c r="FC16" s="522">
        <v>0</v>
      </c>
      <c r="FD16" s="526">
        <v>0</v>
      </c>
      <c r="FE16" s="522">
        <v>0</v>
      </c>
      <c r="FF16" s="526">
        <v>0</v>
      </c>
      <c r="FG16" s="522">
        <v>0</v>
      </c>
      <c r="FH16" s="526">
        <v>0</v>
      </c>
      <c r="FI16" s="522">
        <v>0</v>
      </c>
      <c r="FJ16" s="522">
        <v>0</v>
      </c>
      <c r="FK16" s="522">
        <v>2</v>
      </c>
      <c r="FL16" s="522">
        <v>0</v>
      </c>
      <c r="FM16" s="522">
        <v>0</v>
      </c>
      <c r="FN16" s="522">
        <v>1</v>
      </c>
      <c r="FO16" s="522">
        <v>1</v>
      </c>
      <c r="FP16" s="522">
        <v>1</v>
      </c>
      <c r="FQ16" s="522">
        <v>111</v>
      </c>
      <c r="FR16" s="522">
        <v>6</v>
      </c>
    </row>
    <row r="17" spans="1:174" x14ac:dyDescent="0.25">
      <c r="A17" s="523" t="s">
        <v>296</v>
      </c>
      <c r="B17" s="523" t="s">
        <v>297</v>
      </c>
      <c r="C17" s="523" t="s">
        <v>282</v>
      </c>
      <c r="D17" s="522">
        <v>1675</v>
      </c>
      <c r="E17" s="522">
        <v>1684</v>
      </c>
      <c r="F17" s="522">
        <v>0</v>
      </c>
      <c r="G17" s="522">
        <v>0</v>
      </c>
      <c r="H17" s="522">
        <v>198</v>
      </c>
      <c r="I17" s="522">
        <v>221</v>
      </c>
      <c r="J17" s="522">
        <v>284</v>
      </c>
      <c r="K17" s="522">
        <v>284</v>
      </c>
      <c r="L17" s="522">
        <v>225</v>
      </c>
      <c r="M17" s="522">
        <v>0</v>
      </c>
      <c r="N17" s="522">
        <v>2382</v>
      </c>
      <c r="O17" s="522">
        <v>2189</v>
      </c>
      <c r="P17" s="522">
        <v>2157</v>
      </c>
      <c r="Q17" s="522">
        <v>25</v>
      </c>
      <c r="R17" s="523">
        <v>0</v>
      </c>
      <c r="S17" s="523">
        <v>24</v>
      </c>
      <c r="T17" s="523">
        <v>0</v>
      </c>
      <c r="U17" s="523">
        <v>2382</v>
      </c>
      <c r="V17" s="522">
        <v>1675</v>
      </c>
      <c r="W17" s="522">
        <v>6</v>
      </c>
      <c r="X17" s="522">
        <v>5</v>
      </c>
      <c r="Y17" s="522">
        <v>11</v>
      </c>
      <c r="Z17" s="524">
        <v>98.7</v>
      </c>
      <c r="AA17" s="524">
        <v>99.51</v>
      </c>
      <c r="AB17" s="524">
        <v>5.88</v>
      </c>
      <c r="AC17" s="524">
        <v>101.72</v>
      </c>
      <c r="AD17" s="524">
        <v>1322</v>
      </c>
      <c r="AE17" s="525">
        <v>129.68</v>
      </c>
      <c r="AF17" s="525">
        <v>99.06</v>
      </c>
      <c r="AG17" s="525">
        <v>54.62</v>
      </c>
      <c r="AH17" s="525">
        <v>180.34</v>
      </c>
      <c r="AI17" s="525">
        <v>482</v>
      </c>
      <c r="AJ17" s="525">
        <v>121.03</v>
      </c>
      <c r="AK17" s="525">
        <v>281</v>
      </c>
      <c r="AL17" s="525">
        <v>0</v>
      </c>
      <c r="AM17" s="525">
        <v>0</v>
      </c>
      <c r="AN17" s="526">
        <v>0</v>
      </c>
      <c r="AO17" s="526">
        <v>0</v>
      </c>
      <c r="AP17" s="526">
        <v>0</v>
      </c>
      <c r="AQ17" s="526">
        <v>0</v>
      </c>
      <c r="AR17" s="522">
        <v>0</v>
      </c>
      <c r="AS17" s="526">
        <v>0</v>
      </c>
      <c r="AT17" s="526">
        <v>0</v>
      </c>
      <c r="AU17" s="526">
        <v>0</v>
      </c>
      <c r="AV17" s="526">
        <v>0</v>
      </c>
      <c r="AW17" s="522">
        <v>0</v>
      </c>
      <c r="AX17" s="526">
        <v>78.790000000000006</v>
      </c>
      <c r="AY17" s="526">
        <v>78.05</v>
      </c>
      <c r="AZ17" s="526">
        <v>13.2</v>
      </c>
      <c r="BA17" s="526">
        <v>91.66</v>
      </c>
      <c r="BB17" s="522">
        <v>77</v>
      </c>
      <c r="BC17" s="526">
        <v>96.29</v>
      </c>
      <c r="BD17" s="526">
        <v>96.35</v>
      </c>
      <c r="BE17" s="526">
        <v>5.75</v>
      </c>
      <c r="BF17" s="526">
        <v>99.75</v>
      </c>
      <c r="BG17" s="522">
        <v>641</v>
      </c>
      <c r="BH17" s="526">
        <v>102.89</v>
      </c>
      <c r="BI17" s="526">
        <v>104.74</v>
      </c>
      <c r="BJ17" s="526">
        <v>3.6</v>
      </c>
      <c r="BK17" s="526">
        <v>104.17</v>
      </c>
      <c r="BL17" s="522">
        <v>581</v>
      </c>
      <c r="BM17" s="526">
        <v>126.55</v>
      </c>
      <c r="BN17" s="526">
        <v>127.63</v>
      </c>
      <c r="BO17" s="526">
        <v>3.47</v>
      </c>
      <c r="BP17" s="526">
        <v>128.52000000000001</v>
      </c>
      <c r="BQ17" s="522">
        <v>23</v>
      </c>
      <c r="BR17" s="526">
        <v>0</v>
      </c>
      <c r="BS17" s="526">
        <v>0</v>
      </c>
      <c r="BT17" s="526">
        <v>0</v>
      </c>
      <c r="BU17" s="526">
        <v>0</v>
      </c>
      <c r="BV17" s="522">
        <v>0</v>
      </c>
      <c r="BW17" s="526">
        <v>0</v>
      </c>
      <c r="BX17" s="526">
        <v>0</v>
      </c>
      <c r="BY17" s="526">
        <v>0</v>
      </c>
      <c r="BZ17" s="526">
        <v>0</v>
      </c>
      <c r="CA17" s="522">
        <v>0</v>
      </c>
      <c r="CB17" s="526">
        <v>98.7</v>
      </c>
      <c r="CC17" s="526">
        <v>99.51</v>
      </c>
      <c r="CD17" s="526">
        <v>5.88</v>
      </c>
      <c r="CE17" s="526">
        <v>101.72</v>
      </c>
      <c r="CF17" s="522">
        <v>1322</v>
      </c>
      <c r="CG17" s="526">
        <v>98.7</v>
      </c>
      <c r="CH17" s="526">
        <v>99.51</v>
      </c>
      <c r="CI17" s="526">
        <v>5.88</v>
      </c>
      <c r="CJ17" s="526">
        <v>101.72</v>
      </c>
      <c r="CK17" s="522">
        <v>1322</v>
      </c>
      <c r="CL17" s="526">
        <v>207.84</v>
      </c>
      <c r="CM17" s="526">
        <v>83.33</v>
      </c>
      <c r="CN17" s="526">
        <v>51.66</v>
      </c>
      <c r="CO17" s="526">
        <v>259.5</v>
      </c>
      <c r="CP17" s="522">
        <v>77</v>
      </c>
      <c r="CQ17" s="526">
        <v>97.48</v>
      </c>
      <c r="CR17" s="526">
        <v>86.84</v>
      </c>
      <c r="CS17" s="526">
        <v>86.42</v>
      </c>
      <c r="CT17" s="526">
        <v>175.26</v>
      </c>
      <c r="CU17" s="522">
        <v>20</v>
      </c>
      <c r="CV17" s="526">
        <v>116.49</v>
      </c>
      <c r="CW17" s="526">
        <v>93.31</v>
      </c>
      <c r="CX17" s="526">
        <v>82.46</v>
      </c>
      <c r="CY17" s="526">
        <v>190.64</v>
      </c>
      <c r="CZ17" s="522">
        <v>228</v>
      </c>
      <c r="DA17" s="526">
        <v>114.61</v>
      </c>
      <c r="DB17" s="526">
        <v>107.16</v>
      </c>
      <c r="DC17" s="526">
        <v>13.44</v>
      </c>
      <c r="DD17" s="526">
        <v>127.2</v>
      </c>
      <c r="DE17" s="522">
        <v>157</v>
      </c>
      <c r="DF17" s="526">
        <v>0</v>
      </c>
      <c r="DG17" s="526">
        <v>0</v>
      </c>
      <c r="DH17" s="526">
        <v>0</v>
      </c>
      <c r="DI17" s="526">
        <v>0</v>
      </c>
      <c r="DJ17" s="522">
        <v>0</v>
      </c>
      <c r="DK17" s="526">
        <v>0</v>
      </c>
      <c r="DL17" s="526">
        <v>0</v>
      </c>
      <c r="DM17" s="526">
        <v>0</v>
      </c>
      <c r="DN17" s="526">
        <v>0</v>
      </c>
      <c r="DO17" s="522">
        <v>0</v>
      </c>
      <c r="DP17" s="526">
        <v>114.83</v>
      </c>
      <c r="DQ17" s="526">
        <v>100.14</v>
      </c>
      <c r="DR17" s="526">
        <v>55.23</v>
      </c>
      <c r="DS17" s="526">
        <v>165.29</v>
      </c>
      <c r="DT17" s="522">
        <v>405</v>
      </c>
      <c r="DU17" s="526">
        <v>129.68</v>
      </c>
      <c r="DV17" s="526">
        <v>99.06</v>
      </c>
      <c r="DW17" s="526">
        <v>54.62</v>
      </c>
      <c r="DX17" s="526">
        <v>180.34</v>
      </c>
      <c r="DY17" s="522">
        <v>482</v>
      </c>
      <c r="DZ17" s="526">
        <v>0</v>
      </c>
      <c r="EA17" s="526">
        <v>0</v>
      </c>
      <c r="EB17" s="526">
        <v>0</v>
      </c>
      <c r="EC17" s="522">
        <v>0</v>
      </c>
      <c r="ED17" s="526">
        <v>101.33</v>
      </c>
      <c r="EE17" s="522">
        <v>21</v>
      </c>
      <c r="EF17" s="526">
        <v>119.95</v>
      </c>
      <c r="EG17" s="522">
        <v>161</v>
      </c>
      <c r="EH17" s="526">
        <v>125.22</v>
      </c>
      <c r="EI17" s="522">
        <v>96</v>
      </c>
      <c r="EJ17" s="526">
        <v>183.16</v>
      </c>
      <c r="EK17" s="522">
        <v>3</v>
      </c>
      <c r="EL17" s="526">
        <v>0</v>
      </c>
      <c r="EM17" s="522">
        <v>0</v>
      </c>
      <c r="EN17" s="526">
        <v>0</v>
      </c>
      <c r="EO17" s="522">
        <v>0</v>
      </c>
      <c r="EP17" s="526">
        <v>121.03</v>
      </c>
      <c r="EQ17" s="522">
        <v>281</v>
      </c>
      <c r="ER17" s="526">
        <v>121.03</v>
      </c>
      <c r="ES17" s="522">
        <v>281</v>
      </c>
      <c r="ET17" s="526">
        <v>0</v>
      </c>
      <c r="EU17" s="526">
        <v>0</v>
      </c>
      <c r="EV17" s="526">
        <v>0</v>
      </c>
      <c r="EW17" s="522">
        <v>0</v>
      </c>
      <c r="EX17" s="526">
        <v>0</v>
      </c>
      <c r="EY17" s="522">
        <v>0</v>
      </c>
      <c r="EZ17" s="526">
        <v>0</v>
      </c>
      <c r="FA17" s="522">
        <v>0</v>
      </c>
      <c r="FB17" s="526">
        <v>0</v>
      </c>
      <c r="FC17" s="522">
        <v>0</v>
      </c>
      <c r="FD17" s="526">
        <v>0</v>
      </c>
      <c r="FE17" s="522">
        <v>0</v>
      </c>
      <c r="FF17" s="526">
        <v>0</v>
      </c>
      <c r="FG17" s="522">
        <v>0</v>
      </c>
      <c r="FH17" s="526">
        <v>0</v>
      </c>
      <c r="FI17" s="522">
        <v>0</v>
      </c>
      <c r="FJ17" s="522">
        <v>7</v>
      </c>
      <c r="FK17" s="522">
        <v>0</v>
      </c>
      <c r="FL17" s="522">
        <v>0</v>
      </c>
      <c r="FM17" s="522">
        <v>0</v>
      </c>
      <c r="FN17" s="522">
        <v>0</v>
      </c>
      <c r="FO17" s="522">
        <v>0</v>
      </c>
      <c r="FP17" s="522">
        <v>2</v>
      </c>
      <c r="FQ17" s="522">
        <v>9</v>
      </c>
      <c r="FR17" s="522">
        <v>4</v>
      </c>
    </row>
    <row r="18" spans="1:174" x14ac:dyDescent="0.25">
      <c r="A18" s="523" t="s">
        <v>298</v>
      </c>
      <c r="B18" s="523" t="s">
        <v>299</v>
      </c>
      <c r="C18" s="523" t="s">
        <v>2</v>
      </c>
      <c r="D18" s="522">
        <v>2512</v>
      </c>
      <c r="E18" s="522">
        <v>2763</v>
      </c>
      <c r="F18" s="522">
        <v>0</v>
      </c>
      <c r="G18" s="522">
        <v>0</v>
      </c>
      <c r="H18" s="522">
        <v>112</v>
      </c>
      <c r="I18" s="522">
        <v>83</v>
      </c>
      <c r="J18" s="522">
        <v>276</v>
      </c>
      <c r="K18" s="522">
        <v>312</v>
      </c>
      <c r="L18" s="522">
        <v>1085</v>
      </c>
      <c r="M18" s="522">
        <v>78</v>
      </c>
      <c r="N18" s="522">
        <v>3985</v>
      </c>
      <c r="O18" s="522">
        <v>3236</v>
      </c>
      <c r="P18" s="522">
        <v>2900</v>
      </c>
      <c r="Q18" s="522">
        <v>11</v>
      </c>
      <c r="R18" s="523">
        <v>2</v>
      </c>
      <c r="S18" s="523">
        <v>30</v>
      </c>
      <c r="T18" s="523">
        <v>49</v>
      </c>
      <c r="U18" s="523">
        <v>3936</v>
      </c>
      <c r="V18" s="522">
        <v>2463</v>
      </c>
      <c r="W18" s="522">
        <v>56</v>
      </c>
      <c r="X18" s="522">
        <v>7</v>
      </c>
      <c r="Y18" s="522">
        <v>63</v>
      </c>
      <c r="Z18" s="524">
        <v>114.99</v>
      </c>
      <c r="AA18" s="524">
        <v>116.51</v>
      </c>
      <c r="AB18" s="524">
        <v>7.28</v>
      </c>
      <c r="AC18" s="524">
        <v>121.07</v>
      </c>
      <c r="AD18" s="524">
        <v>1805</v>
      </c>
      <c r="AE18" s="525">
        <v>144.06</v>
      </c>
      <c r="AF18" s="525">
        <v>104.28</v>
      </c>
      <c r="AG18" s="525">
        <v>75.91</v>
      </c>
      <c r="AH18" s="525">
        <v>215.89</v>
      </c>
      <c r="AI18" s="525">
        <v>297</v>
      </c>
      <c r="AJ18" s="525">
        <v>166.54</v>
      </c>
      <c r="AK18" s="525">
        <v>636</v>
      </c>
      <c r="AL18" s="525">
        <v>182.12</v>
      </c>
      <c r="AM18" s="525">
        <v>91</v>
      </c>
      <c r="AN18" s="526">
        <v>0</v>
      </c>
      <c r="AO18" s="526">
        <v>0</v>
      </c>
      <c r="AP18" s="526">
        <v>0</v>
      </c>
      <c r="AQ18" s="526">
        <v>0</v>
      </c>
      <c r="AR18" s="522">
        <v>0</v>
      </c>
      <c r="AS18" s="526">
        <v>0</v>
      </c>
      <c r="AT18" s="526">
        <v>0</v>
      </c>
      <c r="AU18" s="526">
        <v>0</v>
      </c>
      <c r="AV18" s="526">
        <v>0</v>
      </c>
      <c r="AW18" s="522">
        <v>0</v>
      </c>
      <c r="AX18" s="526">
        <v>98.39</v>
      </c>
      <c r="AY18" s="526">
        <v>99.63</v>
      </c>
      <c r="AZ18" s="526">
        <v>10.11</v>
      </c>
      <c r="BA18" s="526">
        <v>108.33</v>
      </c>
      <c r="BB18" s="522">
        <v>416</v>
      </c>
      <c r="BC18" s="526">
        <v>114.11</v>
      </c>
      <c r="BD18" s="526">
        <v>115.76</v>
      </c>
      <c r="BE18" s="526">
        <v>7.72</v>
      </c>
      <c r="BF18" s="526">
        <v>120.52</v>
      </c>
      <c r="BG18" s="522">
        <v>817</v>
      </c>
      <c r="BH18" s="526">
        <v>127.17</v>
      </c>
      <c r="BI18" s="526">
        <v>128.63999999999999</v>
      </c>
      <c r="BJ18" s="526">
        <v>3.81</v>
      </c>
      <c r="BK18" s="526">
        <v>129.99</v>
      </c>
      <c r="BL18" s="522">
        <v>522</v>
      </c>
      <c r="BM18" s="526">
        <v>137.91</v>
      </c>
      <c r="BN18" s="526">
        <v>139.86000000000001</v>
      </c>
      <c r="BO18" s="526">
        <v>4.0999999999999996</v>
      </c>
      <c r="BP18" s="526">
        <v>140.63999999999999</v>
      </c>
      <c r="BQ18" s="522">
        <v>45</v>
      </c>
      <c r="BR18" s="526">
        <v>160.91999999999999</v>
      </c>
      <c r="BS18" s="526">
        <v>165.04</v>
      </c>
      <c r="BT18" s="526">
        <v>2.0699999999999998</v>
      </c>
      <c r="BU18" s="526">
        <v>162.57</v>
      </c>
      <c r="BV18" s="522">
        <v>5</v>
      </c>
      <c r="BW18" s="526">
        <v>0</v>
      </c>
      <c r="BX18" s="526">
        <v>0</v>
      </c>
      <c r="BY18" s="526">
        <v>0</v>
      </c>
      <c r="BZ18" s="526">
        <v>0</v>
      </c>
      <c r="CA18" s="522">
        <v>0</v>
      </c>
      <c r="CB18" s="526">
        <v>114.99</v>
      </c>
      <c r="CC18" s="526">
        <v>116.51</v>
      </c>
      <c r="CD18" s="526">
        <v>7.28</v>
      </c>
      <c r="CE18" s="526">
        <v>121.07</v>
      </c>
      <c r="CF18" s="522">
        <v>1805</v>
      </c>
      <c r="CG18" s="526">
        <v>114.99</v>
      </c>
      <c r="CH18" s="526">
        <v>116.51</v>
      </c>
      <c r="CI18" s="526">
        <v>7.28</v>
      </c>
      <c r="CJ18" s="526">
        <v>121.07</v>
      </c>
      <c r="CK18" s="522">
        <v>1805</v>
      </c>
      <c r="CL18" s="526">
        <v>125.9</v>
      </c>
      <c r="CM18" s="526">
        <v>89.37</v>
      </c>
      <c r="CN18" s="526">
        <v>153.01</v>
      </c>
      <c r="CO18" s="526">
        <v>278.91000000000003</v>
      </c>
      <c r="CP18" s="522">
        <v>44</v>
      </c>
      <c r="CQ18" s="526">
        <v>0</v>
      </c>
      <c r="CR18" s="526">
        <v>0</v>
      </c>
      <c r="CS18" s="526">
        <v>0</v>
      </c>
      <c r="CT18" s="526">
        <v>0</v>
      </c>
      <c r="CU18" s="522">
        <v>0</v>
      </c>
      <c r="CV18" s="526">
        <v>126.6</v>
      </c>
      <c r="CW18" s="526">
        <v>98.15</v>
      </c>
      <c r="CX18" s="526">
        <v>53.76</v>
      </c>
      <c r="CY18" s="526">
        <v>175.51</v>
      </c>
      <c r="CZ18" s="522">
        <v>177</v>
      </c>
      <c r="DA18" s="526">
        <v>193.88</v>
      </c>
      <c r="DB18" s="526">
        <v>132.03</v>
      </c>
      <c r="DC18" s="526">
        <v>78.36</v>
      </c>
      <c r="DD18" s="526">
        <v>272.24</v>
      </c>
      <c r="DE18" s="522">
        <v>72</v>
      </c>
      <c r="DF18" s="526">
        <v>219.86</v>
      </c>
      <c r="DG18" s="526">
        <v>127.34</v>
      </c>
      <c r="DH18" s="526">
        <v>75.37</v>
      </c>
      <c r="DI18" s="526">
        <v>295.23</v>
      </c>
      <c r="DJ18" s="522">
        <v>4</v>
      </c>
      <c r="DK18" s="526">
        <v>0</v>
      </c>
      <c r="DL18" s="526">
        <v>0</v>
      </c>
      <c r="DM18" s="526">
        <v>0</v>
      </c>
      <c r="DN18" s="526">
        <v>0</v>
      </c>
      <c r="DO18" s="522">
        <v>0</v>
      </c>
      <c r="DP18" s="526">
        <v>147.22</v>
      </c>
      <c r="DQ18" s="526">
        <v>107.09</v>
      </c>
      <c r="DR18" s="526">
        <v>61.6</v>
      </c>
      <c r="DS18" s="526">
        <v>204.93</v>
      </c>
      <c r="DT18" s="522">
        <v>253</v>
      </c>
      <c r="DU18" s="526">
        <v>144.06</v>
      </c>
      <c r="DV18" s="526">
        <v>104.28</v>
      </c>
      <c r="DW18" s="526">
        <v>75.91</v>
      </c>
      <c r="DX18" s="526">
        <v>215.89</v>
      </c>
      <c r="DY18" s="522">
        <v>297</v>
      </c>
      <c r="DZ18" s="526">
        <v>0</v>
      </c>
      <c r="EA18" s="526">
        <v>0</v>
      </c>
      <c r="EB18" s="526">
        <v>0</v>
      </c>
      <c r="EC18" s="522">
        <v>0</v>
      </c>
      <c r="ED18" s="526">
        <v>138.78</v>
      </c>
      <c r="EE18" s="522">
        <v>172</v>
      </c>
      <c r="EF18" s="526">
        <v>164.75</v>
      </c>
      <c r="EG18" s="522">
        <v>321</v>
      </c>
      <c r="EH18" s="526">
        <v>197.66</v>
      </c>
      <c r="EI18" s="522">
        <v>127</v>
      </c>
      <c r="EJ18" s="526">
        <v>253.89</v>
      </c>
      <c r="EK18" s="522">
        <v>16</v>
      </c>
      <c r="EL18" s="526">
        <v>0</v>
      </c>
      <c r="EM18" s="522">
        <v>0</v>
      </c>
      <c r="EN18" s="526">
        <v>0</v>
      </c>
      <c r="EO18" s="522">
        <v>0</v>
      </c>
      <c r="EP18" s="526">
        <v>166.54</v>
      </c>
      <c r="EQ18" s="522">
        <v>636</v>
      </c>
      <c r="ER18" s="526">
        <v>166.54</v>
      </c>
      <c r="ES18" s="522">
        <v>636</v>
      </c>
      <c r="ET18" s="526">
        <v>0</v>
      </c>
      <c r="EU18" s="526">
        <v>0</v>
      </c>
      <c r="EV18" s="526">
        <v>0</v>
      </c>
      <c r="EW18" s="522">
        <v>0</v>
      </c>
      <c r="EX18" s="526">
        <v>166.43</v>
      </c>
      <c r="EY18" s="522">
        <v>44</v>
      </c>
      <c r="EZ18" s="526">
        <v>196.81</v>
      </c>
      <c r="FA18" s="522">
        <v>47</v>
      </c>
      <c r="FB18" s="526">
        <v>0</v>
      </c>
      <c r="FC18" s="522">
        <v>0</v>
      </c>
      <c r="FD18" s="526">
        <v>0</v>
      </c>
      <c r="FE18" s="522">
        <v>0</v>
      </c>
      <c r="FF18" s="526">
        <v>182.12</v>
      </c>
      <c r="FG18" s="522">
        <v>91</v>
      </c>
      <c r="FH18" s="526">
        <v>182.12</v>
      </c>
      <c r="FI18" s="522">
        <v>91</v>
      </c>
      <c r="FJ18" s="522">
        <v>0</v>
      </c>
      <c r="FK18" s="522">
        <v>0</v>
      </c>
      <c r="FL18" s="522">
        <v>0</v>
      </c>
      <c r="FM18" s="522">
        <v>0</v>
      </c>
      <c r="FN18" s="522">
        <v>0</v>
      </c>
      <c r="FO18" s="522">
        <v>0</v>
      </c>
      <c r="FP18" s="522">
        <v>1</v>
      </c>
      <c r="FQ18" s="522">
        <v>98</v>
      </c>
      <c r="FR18" s="522">
        <v>11</v>
      </c>
    </row>
    <row r="19" spans="1:174" x14ac:dyDescent="0.25">
      <c r="A19" s="523" t="s">
        <v>300</v>
      </c>
      <c r="B19" s="523" t="s">
        <v>301</v>
      </c>
      <c r="C19" s="523" t="s">
        <v>283</v>
      </c>
      <c r="D19" s="522">
        <v>2206</v>
      </c>
      <c r="E19" s="522">
        <v>2174</v>
      </c>
      <c r="F19" s="522">
        <v>0</v>
      </c>
      <c r="G19" s="522">
        <v>0</v>
      </c>
      <c r="H19" s="522">
        <v>157</v>
      </c>
      <c r="I19" s="522">
        <v>119</v>
      </c>
      <c r="J19" s="522">
        <v>74</v>
      </c>
      <c r="K19" s="522">
        <v>74</v>
      </c>
      <c r="L19" s="522">
        <v>310</v>
      </c>
      <c r="M19" s="522">
        <v>0</v>
      </c>
      <c r="N19" s="522">
        <v>2747</v>
      </c>
      <c r="O19" s="522">
        <v>2367</v>
      </c>
      <c r="P19" s="522">
        <v>2437</v>
      </c>
      <c r="Q19" s="522">
        <v>28</v>
      </c>
      <c r="R19" s="523">
        <v>6</v>
      </c>
      <c r="S19" s="523">
        <v>23</v>
      </c>
      <c r="T19" s="523">
        <v>66</v>
      </c>
      <c r="U19" s="523">
        <v>2681</v>
      </c>
      <c r="V19" s="522">
        <v>2174</v>
      </c>
      <c r="W19" s="522">
        <v>28</v>
      </c>
      <c r="X19" s="522">
        <v>16</v>
      </c>
      <c r="Y19" s="522">
        <v>44</v>
      </c>
      <c r="Z19" s="524">
        <v>106.67</v>
      </c>
      <c r="AA19" s="524">
        <v>108.46</v>
      </c>
      <c r="AB19" s="524">
        <v>5.59</v>
      </c>
      <c r="AC19" s="524">
        <v>109.75</v>
      </c>
      <c r="AD19" s="524">
        <v>1298</v>
      </c>
      <c r="AE19" s="525">
        <v>138.46</v>
      </c>
      <c r="AF19" s="525">
        <v>102.11</v>
      </c>
      <c r="AG19" s="525">
        <v>92.53</v>
      </c>
      <c r="AH19" s="525">
        <v>229.12</v>
      </c>
      <c r="AI19" s="525">
        <v>197</v>
      </c>
      <c r="AJ19" s="525">
        <v>143.28</v>
      </c>
      <c r="AK19" s="525">
        <v>858</v>
      </c>
      <c r="AL19" s="525">
        <v>0</v>
      </c>
      <c r="AM19" s="525">
        <v>0</v>
      </c>
      <c r="AN19" s="526">
        <v>0</v>
      </c>
      <c r="AO19" s="526">
        <v>0</v>
      </c>
      <c r="AP19" s="526">
        <v>0</v>
      </c>
      <c r="AQ19" s="526">
        <v>0</v>
      </c>
      <c r="AR19" s="522">
        <v>0</v>
      </c>
      <c r="AS19" s="526">
        <v>0</v>
      </c>
      <c r="AT19" s="526">
        <v>0</v>
      </c>
      <c r="AU19" s="526">
        <v>0</v>
      </c>
      <c r="AV19" s="526">
        <v>0</v>
      </c>
      <c r="AW19" s="522">
        <v>0</v>
      </c>
      <c r="AX19" s="526">
        <v>85.99</v>
      </c>
      <c r="AY19" s="526">
        <v>87.79</v>
      </c>
      <c r="AZ19" s="526">
        <v>10.36</v>
      </c>
      <c r="BA19" s="526">
        <v>94.06</v>
      </c>
      <c r="BB19" s="522">
        <v>172</v>
      </c>
      <c r="BC19" s="526">
        <v>104.84</v>
      </c>
      <c r="BD19" s="526">
        <v>106.3</v>
      </c>
      <c r="BE19" s="526">
        <v>4.79</v>
      </c>
      <c r="BF19" s="526">
        <v>107.58</v>
      </c>
      <c r="BG19" s="522">
        <v>664</v>
      </c>
      <c r="BH19" s="526">
        <v>116.05</v>
      </c>
      <c r="BI19" s="526">
        <v>117.89</v>
      </c>
      <c r="BJ19" s="526">
        <v>4.03</v>
      </c>
      <c r="BK19" s="526">
        <v>117.86</v>
      </c>
      <c r="BL19" s="522">
        <v>425</v>
      </c>
      <c r="BM19" s="526">
        <v>127.87</v>
      </c>
      <c r="BN19" s="526">
        <v>130.47</v>
      </c>
      <c r="BO19" s="526">
        <v>2.44</v>
      </c>
      <c r="BP19" s="526">
        <v>128.6</v>
      </c>
      <c r="BQ19" s="522">
        <v>37</v>
      </c>
      <c r="BR19" s="526">
        <v>0</v>
      </c>
      <c r="BS19" s="526">
        <v>0</v>
      </c>
      <c r="BT19" s="526">
        <v>0</v>
      </c>
      <c r="BU19" s="526">
        <v>0</v>
      </c>
      <c r="BV19" s="522">
        <v>0</v>
      </c>
      <c r="BW19" s="526">
        <v>0</v>
      </c>
      <c r="BX19" s="526">
        <v>0</v>
      </c>
      <c r="BY19" s="526">
        <v>0</v>
      </c>
      <c r="BZ19" s="526">
        <v>0</v>
      </c>
      <c r="CA19" s="522">
        <v>0</v>
      </c>
      <c r="CB19" s="526">
        <v>106.67</v>
      </c>
      <c r="CC19" s="526">
        <v>108.46</v>
      </c>
      <c r="CD19" s="526">
        <v>5.59</v>
      </c>
      <c r="CE19" s="526">
        <v>109.75</v>
      </c>
      <c r="CF19" s="522">
        <v>1298</v>
      </c>
      <c r="CG19" s="526">
        <v>106.67</v>
      </c>
      <c r="CH19" s="526">
        <v>108.46</v>
      </c>
      <c r="CI19" s="526">
        <v>5.59</v>
      </c>
      <c r="CJ19" s="526">
        <v>109.75</v>
      </c>
      <c r="CK19" s="522">
        <v>1298</v>
      </c>
      <c r="CL19" s="526">
        <v>159.56</v>
      </c>
      <c r="CM19" s="526">
        <v>91.24</v>
      </c>
      <c r="CN19" s="526">
        <v>132.30000000000001</v>
      </c>
      <c r="CO19" s="526">
        <v>291.86</v>
      </c>
      <c r="CP19" s="522">
        <v>81</v>
      </c>
      <c r="CQ19" s="526">
        <v>15.21</v>
      </c>
      <c r="CR19" s="526">
        <v>57.87</v>
      </c>
      <c r="CS19" s="526">
        <v>0</v>
      </c>
      <c r="CT19" s="526">
        <v>15.21</v>
      </c>
      <c r="CU19" s="522">
        <v>4</v>
      </c>
      <c r="CV19" s="526">
        <v>129.16</v>
      </c>
      <c r="CW19" s="526">
        <v>107.28</v>
      </c>
      <c r="CX19" s="526">
        <v>68.31</v>
      </c>
      <c r="CY19" s="526">
        <v>197.47</v>
      </c>
      <c r="CZ19" s="522">
        <v>82</v>
      </c>
      <c r="DA19" s="526">
        <v>123.37</v>
      </c>
      <c r="DB19" s="526">
        <v>115.62</v>
      </c>
      <c r="DC19" s="526">
        <v>51.38</v>
      </c>
      <c r="DD19" s="526">
        <v>174.75</v>
      </c>
      <c r="DE19" s="522">
        <v>30</v>
      </c>
      <c r="DF19" s="526">
        <v>0</v>
      </c>
      <c r="DG19" s="526">
        <v>0</v>
      </c>
      <c r="DH19" s="526">
        <v>0</v>
      </c>
      <c r="DI19" s="526">
        <v>0</v>
      </c>
      <c r="DJ19" s="522">
        <v>0</v>
      </c>
      <c r="DK19" s="526">
        <v>0</v>
      </c>
      <c r="DL19" s="526">
        <v>0</v>
      </c>
      <c r="DM19" s="526">
        <v>0</v>
      </c>
      <c r="DN19" s="526">
        <v>0</v>
      </c>
      <c r="DO19" s="522">
        <v>0</v>
      </c>
      <c r="DP19" s="526">
        <v>123.73</v>
      </c>
      <c r="DQ19" s="526">
        <v>107.82</v>
      </c>
      <c r="DR19" s="526">
        <v>63.77</v>
      </c>
      <c r="DS19" s="526">
        <v>185.31</v>
      </c>
      <c r="DT19" s="522">
        <v>116</v>
      </c>
      <c r="DU19" s="526">
        <v>138.46</v>
      </c>
      <c r="DV19" s="526">
        <v>102.11</v>
      </c>
      <c r="DW19" s="526">
        <v>92.53</v>
      </c>
      <c r="DX19" s="526">
        <v>229.12</v>
      </c>
      <c r="DY19" s="522">
        <v>197</v>
      </c>
      <c r="DZ19" s="526">
        <v>0</v>
      </c>
      <c r="EA19" s="526">
        <v>0</v>
      </c>
      <c r="EB19" s="526">
        <v>0</v>
      </c>
      <c r="EC19" s="522">
        <v>0</v>
      </c>
      <c r="ED19" s="526">
        <v>115.03</v>
      </c>
      <c r="EE19" s="522">
        <v>199</v>
      </c>
      <c r="EF19" s="526">
        <v>142.66999999999999</v>
      </c>
      <c r="EG19" s="522">
        <v>440</v>
      </c>
      <c r="EH19" s="526">
        <v>167.27</v>
      </c>
      <c r="EI19" s="522">
        <v>197</v>
      </c>
      <c r="EJ19" s="526">
        <v>193.45</v>
      </c>
      <c r="EK19" s="522">
        <v>21</v>
      </c>
      <c r="EL19" s="526">
        <v>253.41</v>
      </c>
      <c r="EM19" s="522">
        <v>1</v>
      </c>
      <c r="EN19" s="526">
        <v>0</v>
      </c>
      <c r="EO19" s="522">
        <v>0</v>
      </c>
      <c r="EP19" s="526">
        <v>143.28</v>
      </c>
      <c r="EQ19" s="522">
        <v>858</v>
      </c>
      <c r="ER19" s="526">
        <v>143.28</v>
      </c>
      <c r="ES19" s="522">
        <v>858</v>
      </c>
      <c r="ET19" s="526">
        <v>0</v>
      </c>
      <c r="EU19" s="526">
        <v>0</v>
      </c>
      <c r="EV19" s="526">
        <v>0</v>
      </c>
      <c r="EW19" s="522">
        <v>0</v>
      </c>
      <c r="EX19" s="526">
        <v>0</v>
      </c>
      <c r="EY19" s="522">
        <v>0</v>
      </c>
      <c r="EZ19" s="526">
        <v>0</v>
      </c>
      <c r="FA19" s="522">
        <v>0</v>
      </c>
      <c r="FB19" s="526">
        <v>0</v>
      </c>
      <c r="FC19" s="522">
        <v>0</v>
      </c>
      <c r="FD19" s="526">
        <v>0</v>
      </c>
      <c r="FE19" s="522">
        <v>0</v>
      </c>
      <c r="FF19" s="526">
        <v>0</v>
      </c>
      <c r="FG19" s="522">
        <v>0</v>
      </c>
      <c r="FH19" s="526">
        <v>0</v>
      </c>
      <c r="FI19" s="522">
        <v>0</v>
      </c>
      <c r="FJ19" s="522">
        <v>0</v>
      </c>
      <c r="FK19" s="522">
        <v>0</v>
      </c>
      <c r="FL19" s="522">
        <v>0</v>
      </c>
      <c r="FM19" s="522">
        <v>0</v>
      </c>
      <c r="FN19" s="522">
        <v>0</v>
      </c>
      <c r="FO19" s="522">
        <v>0</v>
      </c>
      <c r="FP19" s="522">
        <v>0</v>
      </c>
      <c r="FQ19" s="522">
        <v>55</v>
      </c>
      <c r="FR19" s="522">
        <v>0</v>
      </c>
    </row>
    <row r="20" spans="1:174" x14ac:dyDescent="0.25">
      <c r="A20" s="523" t="s">
        <v>302</v>
      </c>
      <c r="B20" s="523" t="s">
        <v>303</v>
      </c>
      <c r="C20" s="523" t="s">
        <v>284</v>
      </c>
      <c r="D20" s="522">
        <v>4785</v>
      </c>
      <c r="E20" s="522">
        <v>4575</v>
      </c>
      <c r="F20" s="522">
        <v>0</v>
      </c>
      <c r="G20" s="522">
        <v>0</v>
      </c>
      <c r="H20" s="522">
        <v>364</v>
      </c>
      <c r="I20" s="522">
        <v>165</v>
      </c>
      <c r="J20" s="522">
        <v>433</v>
      </c>
      <c r="K20" s="522">
        <v>433</v>
      </c>
      <c r="L20" s="522">
        <v>1343</v>
      </c>
      <c r="M20" s="522">
        <v>121</v>
      </c>
      <c r="N20" s="522">
        <v>6925</v>
      </c>
      <c r="O20" s="522">
        <v>5294</v>
      </c>
      <c r="P20" s="522">
        <v>5582</v>
      </c>
      <c r="Q20" s="522">
        <v>11</v>
      </c>
      <c r="R20" s="523">
        <v>4</v>
      </c>
      <c r="S20" s="523">
        <v>21</v>
      </c>
      <c r="T20" s="523">
        <v>256</v>
      </c>
      <c r="U20" s="523">
        <v>6669</v>
      </c>
      <c r="V20" s="522">
        <v>4688</v>
      </c>
      <c r="W20" s="522">
        <v>174</v>
      </c>
      <c r="X20" s="522">
        <v>21</v>
      </c>
      <c r="Y20" s="522">
        <v>195</v>
      </c>
      <c r="Z20" s="524">
        <v>133.91</v>
      </c>
      <c r="AA20" s="524">
        <v>136.65</v>
      </c>
      <c r="AB20" s="524">
        <v>11.23</v>
      </c>
      <c r="AC20" s="524">
        <v>140.28</v>
      </c>
      <c r="AD20" s="524">
        <v>2806</v>
      </c>
      <c r="AE20" s="525">
        <v>122.43</v>
      </c>
      <c r="AF20" s="525">
        <v>117.95</v>
      </c>
      <c r="AG20" s="525">
        <v>74.599999999999994</v>
      </c>
      <c r="AH20" s="525">
        <v>197.03</v>
      </c>
      <c r="AI20" s="525">
        <v>629</v>
      </c>
      <c r="AJ20" s="525">
        <v>194.27</v>
      </c>
      <c r="AK20" s="525">
        <v>1261</v>
      </c>
      <c r="AL20" s="525">
        <v>214.85</v>
      </c>
      <c r="AM20" s="525">
        <v>9</v>
      </c>
      <c r="AN20" s="526">
        <v>0</v>
      </c>
      <c r="AO20" s="526">
        <v>0</v>
      </c>
      <c r="AP20" s="526">
        <v>0</v>
      </c>
      <c r="AQ20" s="526">
        <v>0</v>
      </c>
      <c r="AR20" s="522">
        <v>0</v>
      </c>
      <c r="AS20" s="526">
        <v>97.38</v>
      </c>
      <c r="AT20" s="526">
        <v>97.79</v>
      </c>
      <c r="AU20" s="526">
        <v>46.28</v>
      </c>
      <c r="AV20" s="526">
        <v>143.66</v>
      </c>
      <c r="AW20" s="522">
        <v>9</v>
      </c>
      <c r="AX20" s="526">
        <v>107.81</v>
      </c>
      <c r="AY20" s="526">
        <v>107.51</v>
      </c>
      <c r="AZ20" s="526">
        <v>15.4</v>
      </c>
      <c r="BA20" s="526">
        <v>122.46</v>
      </c>
      <c r="BB20" s="522">
        <v>311</v>
      </c>
      <c r="BC20" s="526">
        <v>126.39</v>
      </c>
      <c r="BD20" s="526">
        <v>127.45</v>
      </c>
      <c r="BE20" s="526">
        <v>12.09</v>
      </c>
      <c r="BF20" s="526">
        <v>132.53</v>
      </c>
      <c r="BG20" s="522">
        <v>1071</v>
      </c>
      <c r="BH20" s="526">
        <v>140.58000000000001</v>
      </c>
      <c r="BI20" s="526">
        <v>143.85</v>
      </c>
      <c r="BJ20" s="526">
        <v>9.9</v>
      </c>
      <c r="BK20" s="526">
        <v>145.36000000000001</v>
      </c>
      <c r="BL20" s="522">
        <v>1110</v>
      </c>
      <c r="BM20" s="526">
        <v>159.44</v>
      </c>
      <c r="BN20" s="526">
        <v>168.24</v>
      </c>
      <c r="BO20" s="526">
        <v>4.95</v>
      </c>
      <c r="BP20" s="526">
        <v>162.63</v>
      </c>
      <c r="BQ20" s="522">
        <v>248</v>
      </c>
      <c r="BR20" s="526">
        <v>181.59</v>
      </c>
      <c r="BS20" s="526">
        <v>189.12</v>
      </c>
      <c r="BT20" s="526">
        <v>5.16</v>
      </c>
      <c r="BU20" s="526">
        <v>186.18</v>
      </c>
      <c r="BV20" s="522">
        <v>54</v>
      </c>
      <c r="BW20" s="526">
        <v>195.56</v>
      </c>
      <c r="BX20" s="526">
        <v>205.27</v>
      </c>
      <c r="BY20" s="526">
        <v>2.52</v>
      </c>
      <c r="BZ20" s="526">
        <v>196.4</v>
      </c>
      <c r="CA20" s="522">
        <v>3</v>
      </c>
      <c r="CB20" s="526">
        <v>133.91</v>
      </c>
      <c r="CC20" s="526">
        <v>136.65</v>
      </c>
      <c r="CD20" s="526">
        <v>11.23</v>
      </c>
      <c r="CE20" s="526">
        <v>140.28</v>
      </c>
      <c r="CF20" s="522">
        <v>2806</v>
      </c>
      <c r="CG20" s="526">
        <v>133.91</v>
      </c>
      <c r="CH20" s="526">
        <v>136.65</v>
      </c>
      <c r="CI20" s="526">
        <v>11.23</v>
      </c>
      <c r="CJ20" s="526">
        <v>140.28</v>
      </c>
      <c r="CK20" s="522">
        <v>2806</v>
      </c>
      <c r="CL20" s="526">
        <v>111.58</v>
      </c>
      <c r="CM20" s="526">
        <v>111.01</v>
      </c>
      <c r="CN20" s="526">
        <v>29.37</v>
      </c>
      <c r="CO20" s="526">
        <v>140.94999999999999</v>
      </c>
      <c r="CP20" s="522">
        <v>64</v>
      </c>
      <c r="CQ20" s="526">
        <v>99.8</v>
      </c>
      <c r="CR20" s="526">
        <v>95.38</v>
      </c>
      <c r="CS20" s="526">
        <v>76.849999999999994</v>
      </c>
      <c r="CT20" s="526">
        <v>176.64</v>
      </c>
      <c r="CU20" s="522">
        <v>38</v>
      </c>
      <c r="CV20" s="526">
        <v>122.99</v>
      </c>
      <c r="CW20" s="526">
        <v>117.81</v>
      </c>
      <c r="CX20" s="526">
        <v>77.53</v>
      </c>
      <c r="CY20" s="526">
        <v>200.51</v>
      </c>
      <c r="CZ20" s="522">
        <v>477</v>
      </c>
      <c r="DA20" s="526">
        <v>148.44999999999999</v>
      </c>
      <c r="DB20" s="526">
        <v>145.08000000000001</v>
      </c>
      <c r="DC20" s="526">
        <v>102.38</v>
      </c>
      <c r="DD20" s="526">
        <v>250.83</v>
      </c>
      <c r="DE20" s="522">
        <v>43</v>
      </c>
      <c r="DF20" s="526">
        <v>146.88999999999999</v>
      </c>
      <c r="DG20" s="526">
        <v>146.61000000000001</v>
      </c>
      <c r="DH20" s="526">
        <v>105.56</v>
      </c>
      <c r="DI20" s="526">
        <v>252.45</v>
      </c>
      <c r="DJ20" s="522">
        <v>7</v>
      </c>
      <c r="DK20" s="526">
        <v>0</v>
      </c>
      <c r="DL20" s="526">
        <v>0</v>
      </c>
      <c r="DM20" s="526">
        <v>0</v>
      </c>
      <c r="DN20" s="526">
        <v>0</v>
      </c>
      <c r="DO20" s="522">
        <v>0</v>
      </c>
      <c r="DP20" s="526">
        <v>123.66</v>
      </c>
      <c r="DQ20" s="526">
        <v>118.73</v>
      </c>
      <c r="DR20" s="526">
        <v>79.72</v>
      </c>
      <c r="DS20" s="526">
        <v>203.38</v>
      </c>
      <c r="DT20" s="522">
        <v>565</v>
      </c>
      <c r="DU20" s="526">
        <v>122.43</v>
      </c>
      <c r="DV20" s="526">
        <v>117.95</v>
      </c>
      <c r="DW20" s="526">
        <v>74.599999999999994</v>
      </c>
      <c r="DX20" s="526">
        <v>197.03</v>
      </c>
      <c r="DY20" s="522">
        <v>629</v>
      </c>
      <c r="DZ20" s="526">
        <v>0</v>
      </c>
      <c r="EA20" s="526">
        <v>0</v>
      </c>
      <c r="EB20" s="526">
        <v>0</v>
      </c>
      <c r="EC20" s="522">
        <v>0</v>
      </c>
      <c r="ED20" s="526">
        <v>164.83</v>
      </c>
      <c r="EE20" s="522">
        <v>297</v>
      </c>
      <c r="EF20" s="526">
        <v>182.71</v>
      </c>
      <c r="EG20" s="522">
        <v>565</v>
      </c>
      <c r="EH20" s="526">
        <v>232.49</v>
      </c>
      <c r="EI20" s="522">
        <v>371</v>
      </c>
      <c r="EJ20" s="526">
        <v>236.15</v>
      </c>
      <c r="EK20" s="522">
        <v>26</v>
      </c>
      <c r="EL20" s="526">
        <v>199.57</v>
      </c>
      <c r="EM20" s="522">
        <v>2</v>
      </c>
      <c r="EN20" s="526">
        <v>0</v>
      </c>
      <c r="EO20" s="522">
        <v>0</v>
      </c>
      <c r="EP20" s="526">
        <v>194.27</v>
      </c>
      <c r="EQ20" s="522">
        <v>1261</v>
      </c>
      <c r="ER20" s="526">
        <v>194.27</v>
      </c>
      <c r="ES20" s="522">
        <v>1261</v>
      </c>
      <c r="ET20" s="526">
        <v>0</v>
      </c>
      <c r="EU20" s="526">
        <v>0</v>
      </c>
      <c r="EV20" s="526">
        <v>216.35</v>
      </c>
      <c r="EW20" s="522">
        <v>2</v>
      </c>
      <c r="EX20" s="526">
        <v>214.42</v>
      </c>
      <c r="EY20" s="522">
        <v>7</v>
      </c>
      <c r="EZ20" s="526">
        <v>0</v>
      </c>
      <c r="FA20" s="522">
        <v>0</v>
      </c>
      <c r="FB20" s="526">
        <v>0</v>
      </c>
      <c r="FC20" s="522">
        <v>0</v>
      </c>
      <c r="FD20" s="526">
        <v>0</v>
      </c>
      <c r="FE20" s="522">
        <v>0</v>
      </c>
      <c r="FF20" s="526">
        <v>214.85</v>
      </c>
      <c r="FG20" s="522">
        <v>9</v>
      </c>
      <c r="FH20" s="526">
        <v>214.85</v>
      </c>
      <c r="FI20" s="522">
        <v>9</v>
      </c>
      <c r="FJ20" s="522">
        <v>0</v>
      </c>
      <c r="FK20" s="522">
        <v>3</v>
      </c>
      <c r="FL20" s="522">
        <v>0</v>
      </c>
      <c r="FM20" s="522">
        <v>0</v>
      </c>
      <c r="FN20" s="522">
        <v>3</v>
      </c>
      <c r="FO20" s="522">
        <v>0</v>
      </c>
      <c r="FP20" s="522">
        <v>4</v>
      </c>
      <c r="FQ20" s="522">
        <v>46</v>
      </c>
      <c r="FR20" s="522">
        <v>29</v>
      </c>
    </row>
    <row r="21" spans="1:174" x14ac:dyDescent="0.25">
      <c r="A21" s="523" t="s">
        <v>304</v>
      </c>
      <c r="B21" s="523" t="s">
        <v>305</v>
      </c>
      <c r="C21" s="523" t="s">
        <v>284</v>
      </c>
      <c r="D21" s="522">
        <v>8414</v>
      </c>
      <c r="E21" s="522">
        <v>7783</v>
      </c>
      <c r="F21" s="522">
        <v>27</v>
      </c>
      <c r="G21" s="522">
        <v>5</v>
      </c>
      <c r="H21" s="522">
        <v>593</v>
      </c>
      <c r="I21" s="522">
        <v>234</v>
      </c>
      <c r="J21" s="522">
        <v>1213</v>
      </c>
      <c r="K21" s="522">
        <v>564</v>
      </c>
      <c r="L21" s="522">
        <v>1616</v>
      </c>
      <c r="M21" s="522">
        <v>137</v>
      </c>
      <c r="N21" s="522">
        <v>11863</v>
      </c>
      <c r="O21" s="522">
        <v>8723</v>
      </c>
      <c r="P21" s="522">
        <v>10247</v>
      </c>
      <c r="Q21" s="522">
        <v>89</v>
      </c>
      <c r="R21" s="523">
        <v>32</v>
      </c>
      <c r="S21" s="523">
        <v>31</v>
      </c>
      <c r="T21" s="523">
        <v>1768</v>
      </c>
      <c r="U21" s="523">
        <v>10095</v>
      </c>
      <c r="V21" s="522">
        <v>7555</v>
      </c>
      <c r="W21" s="522">
        <v>27</v>
      </c>
      <c r="X21" s="522">
        <v>133</v>
      </c>
      <c r="Y21" s="522">
        <v>160</v>
      </c>
      <c r="Z21" s="524">
        <v>145.87</v>
      </c>
      <c r="AA21" s="524">
        <v>150.13999999999999</v>
      </c>
      <c r="AB21" s="524">
        <v>16.22</v>
      </c>
      <c r="AC21" s="524">
        <v>159.77000000000001</v>
      </c>
      <c r="AD21" s="524">
        <v>5835</v>
      </c>
      <c r="AE21" s="525">
        <v>130.38</v>
      </c>
      <c r="AF21" s="525">
        <v>124.37</v>
      </c>
      <c r="AG21" s="525">
        <v>79.099999999999994</v>
      </c>
      <c r="AH21" s="525">
        <v>201.36</v>
      </c>
      <c r="AI21" s="525">
        <v>907</v>
      </c>
      <c r="AJ21" s="525">
        <v>244.17</v>
      </c>
      <c r="AK21" s="525">
        <v>2017</v>
      </c>
      <c r="AL21" s="525">
        <v>252.78</v>
      </c>
      <c r="AM21" s="525">
        <v>47</v>
      </c>
      <c r="AN21" s="526">
        <v>246.24</v>
      </c>
      <c r="AO21" s="526">
        <v>0</v>
      </c>
      <c r="AP21" s="526">
        <v>0</v>
      </c>
      <c r="AQ21" s="526">
        <v>246.24</v>
      </c>
      <c r="AR21" s="522">
        <v>5</v>
      </c>
      <c r="AS21" s="526">
        <v>106.24</v>
      </c>
      <c r="AT21" s="526">
        <v>103.35</v>
      </c>
      <c r="AU21" s="526">
        <v>17.38</v>
      </c>
      <c r="AV21" s="526">
        <v>121.06</v>
      </c>
      <c r="AW21" s="522">
        <v>102</v>
      </c>
      <c r="AX21" s="526">
        <v>122.5</v>
      </c>
      <c r="AY21" s="526">
        <v>125.05</v>
      </c>
      <c r="AZ21" s="526">
        <v>17.98</v>
      </c>
      <c r="BA21" s="526">
        <v>139.13</v>
      </c>
      <c r="BB21" s="522">
        <v>1136</v>
      </c>
      <c r="BC21" s="526">
        <v>142.68</v>
      </c>
      <c r="BD21" s="526">
        <v>146.24</v>
      </c>
      <c r="BE21" s="526">
        <v>17.899999999999999</v>
      </c>
      <c r="BF21" s="526">
        <v>158.49</v>
      </c>
      <c r="BG21" s="522">
        <v>2618</v>
      </c>
      <c r="BH21" s="526">
        <v>162.86000000000001</v>
      </c>
      <c r="BI21" s="526">
        <v>168.73</v>
      </c>
      <c r="BJ21" s="526">
        <v>13.54</v>
      </c>
      <c r="BK21" s="526">
        <v>173.24</v>
      </c>
      <c r="BL21" s="522">
        <v>1583</v>
      </c>
      <c r="BM21" s="526">
        <v>176.26</v>
      </c>
      <c r="BN21" s="526">
        <v>186.24</v>
      </c>
      <c r="BO21" s="526">
        <v>8.8000000000000007</v>
      </c>
      <c r="BP21" s="526">
        <v>183.73</v>
      </c>
      <c r="BQ21" s="522">
        <v>344</v>
      </c>
      <c r="BR21" s="526">
        <v>168.01</v>
      </c>
      <c r="BS21" s="526">
        <v>180.23</v>
      </c>
      <c r="BT21" s="526">
        <v>6.51</v>
      </c>
      <c r="BU21" s="526">
        <v>173.93</v>
      </c>
      <c r="BV21" s="522">
        <v>44</v>
      </c>
      <c r="BW21" s="526">
        <v>196.46</v>
      </c>
      <c r="BX21" s="526">
        <v>224.87</v>
      </c>
      <c r="BY21" s="526">
        <v>5.7</v>
      </c>
      <c r="BZ21" s="526">
        <v>202.16</v>
      </c>
      <c r="CA21" s="522">
        <v>3</v>
      </c>
      <c r="CB21" s="526">
        <v>145.79</v>
      </c>
      <c r="CC21" s="526">
        <v>150.13999999999999</v>
      </c>
      <c r="CD21" s="526">
        <v>16.22</v>
      </c>
      <c r="CE21" s="526">
        <v>159.69999999999999</v>
      </c>
      <c r="CF21" s="522">
        <v>5830</v>
      </c>
      <c r="CG21" s="526">
        <v>145.87</v>
      </c>
      <c r="CH21" s="526">
        <v>150.13999999999999</v>
      </c>
      <c r="CI21" s="526">
        <v>16.22</v>
      </c>
      <c r="CJ21" s="526">
        <v>159.77000000000001</v>
      </c>
      <c r="CK21" s="522">
        <v>5835</v>
      </c>
      <c r="CL21" s="526">
        <v>104.77</v>
      </c>
      <c r="CM21" s="526">
        <v>102.69</v>
      </c>
      <c r="CN21" s="526">
        <v>191.14</v>
      </c>
      <c r="CO21" s="526">
        <v>175.51</v>
      </c>
      <c r="CP21" s="522">
        <v>127</v>
      </c>
      <c r="CQ21" s="526">
        <v>111.77</v>
      </c>
      <c r="CR21" s="526">
        <v>108.54</v>
      </c>
      <c r="CS21" s="526">
        <v>55.03</v>
      </c>
      <c r="CT21" s="526">
        <v>165.49</v>
      </c>
      <c r="CU21" s="522">
        <v>84</v>
      </c>
      <c r="CV21" s="526">
        <v>135.80000000000001</v>
      </c>
      <c r="CW21" s="526">
        <v>129.21</v>
      </c>
      <c r="CX21" s="526">
        <v>74.83</v>
      </c>
      <c r="CY21" s="526">
        <v>209.58</v>
      </c>
      <c r="CZ21" s="522">
        <v>639</v>
      </c>
      <c r="DA21" s="526">
        <v>154.94999999999999</v>
      </c>
      <c r="DB21" s="526">
        <v>155.41999999999999</v>
      </c>
      <c r="DC21" s="526">
        <v>70.64</v>
      </c>
      <c r="DD21" s="526">
        <v>222.97</v>
      </c>
      <c r="DE21" s="522">
        <v>54</v>
      </c>
      <c r="DF21" s="526">
        <v>137.72</v>
      </c>
      <c r="DG21" s="526">
        <v>144.97999999999999</v>
      </c>
      <c r="DH21" s="526">
        <v>23.19</v>
      </c>
      <c r="DI21" s="526">
        <v>160.91</v>
      </c>
      <c r="DJ21" s="522">
        <v>3</v>
      </c>
      <c r="DK21" s="526">
        <v>0</v>
      </c>
      <c r="DL21" s="526">
        <v>0</v>
      </c>
      <c r="DM21" s="526">
        <v>0</v>
      </c>
      <c r="DN21" s="526">
        <v>0</v>
      </c>
      <c r="DO21" s="522">
        <v>0</v>
      </c>
      <c r="DP21" s="526">
        <v>134.55000000000001</v>
      </c>
      <c r="DQ21" s="526">
        <v>128.35</v>
      </c>
      <c r="DR21" s="526">
        <v>72.23</v>
      </c>
      <c r="DS21" s="526">
        <v>205.57</v>
      </c>
      <c r="DT21" s="522">
        <v>780</v>
      </c>
      <c r="DU21" s="526">
        <v>130.38</v>
      </c>
      <c r="DV21" s="526">
        <v>124.37</v>
      </c>
      <c r="DW21" s="526">
        <v>79.099999999999994</v>
      </c>
      <c r="DX21" s="526">
        <v>201.36</v>
      </c>
      <c r="DY21" s="522">
        <v>907</v>
      </c>
      <c r="DZ21" s="526">
        <v>0</v>
      </c>
      <c r="EA21" s="526">
        <v>0</v>
      </c>
      <c r="EB21" s="526">
        <v>182.76</v>
      </c>
      <c r="EC21" s="522">
        <v>21</v>
      </c>
      <c r="ED21" s="526">
        <v>201.1</v>
      </c>
      <c r="EE21" s="522">
        <v>541</v>
      </c>
      <c r="EF21" s="526">
        <v>254.36</v>
      </c>
      <c r="EG21" s="522">
        <v>1007</v>
      </c>
      <c r="EH21" s="526">
        <v>271.92</v>
      </c>
      <c r="EI21" s="522">
        <v>393</v>
      </c>
      <c r="EJ21" s="526">
        <v>307.22000000000003</v>
      </c>
      <c r="EK21" s="522">
        <v>54</v>
      </c>
      <c r="EL21" s="526">
        <v>254.16</v>
      </c>
      <c r="EM21" s="522">
        <v>1</v>
      </c>
      <c r="EN21" s="526">
        <v>0</v>
      </c>
      <c r="EO21" s="522">
        <v>0</v>
      </c>
      <c r="EP21" s="526">
        <v>244.17</v>
      </c>
      <c r="EQ21" s="522">
        <v>2017</v>
      </c>
      <c r="ER21" s="526">
        <v>244.17</v>
      </c>
      <c r="ES21" s="522">
        <v>2017</v>
      </c>
      <c r="ET21" s="526">
        <v>0</v>
      </c>
      <c r="EU21" s="526">
        <v>0</v>
      </c>
      <c r="EV21" s="526">
        <v>259.87</v>
      </c>
      <c r="EW21" s="522">
        <v>4</v>
      </c>
      <c r="EX21" s="526">
        <v>248.75</v>
      </c>
      <c r="EY21" s="522">
        <v>41</v>
      </c>
      <c r="EZ21" s="526">
        <v>321.13</v>
      </c>
      <c r="FA21" s="522">
        <v>2</v>
      </c>
      <c r="FB21" s="526">
        <v>0</v>
      </c>
      <c r="FC21" s="522">
        <v>0</v>
      </c>
      <c r="FD21" s="526">
        <v>0</v>
      </c>
      <c r="FE21" s="522">
        <v>0</v>
      </c>
      <c r="FF21" s="526">
        <v>252.78</v>
      </c>
      <c r="FG21" s="522">
        <v>47</v>
      </c>
      <c r="FH21" s="526">
        <v>252.78</v>
      </c>
      <c r="FI21" s="522">
        <v>47</v>
      </c>
      <c r="FJ21" s="522">
        <v>0</v>
      </c>
      <c r="FK21" s="522">
        <v>2</v>
      </c>
      <c r="FL21" s="522">
        <v>0</v>
      </c>
      <c r="FM21" s="522">
        <v>0</v>
      </c>
      <c r="FN21" s="522">
        <v>2</v>
      </c>
      <c r="FO21" s="522">
        <v>0</v>
      </c>
      <c r="FP21" s="522">
        <v>3</v>
      </c>
      <c r="FQ21" s="522">
        <v>116</v>
      </c>
      <c r="FR21" s="522">
        <v>33</v>
      </c>
    </row>
    <row r="22" spans="1:174" x14ac:dyDescent="0.25">
      <c r="A22" s="523" t="s">
        <v>306</v>
      </c>
      <c r="B22" s="523" t="s">
        <v>307</v>
      </c>
      <c r="C22" s="523" t="s">
        <v>289</v>
      </c>
      <c r="D22" s="522">
        <v>3178</v>
      </c>
      <c r="E22" s="522">
        <v>3167</v>
      </c>
      <c r="F22" s="522">
        <v>0</v>
      </c>
      <c r="G22" s="522">
        <v>0</v>
      </c>
      <c r="H22" s="522">
        <v>291</v>
      </c>
      <c r="I22" s="522">
        <v>186</v>
      </c>
      <c r="J22" s="522">
        <v>672</v>
      </c>
      <c r="K22" s="522">
        <v>672</v>
      </c>
      <c r="L22" s="522">
        <v>517</v>
      </c>
      <c r="M22" s="522">
        <v>0</v>
      </c>
      <c r="N22" s="522">
        <v>4658</v>
      </c>
      <c r="O22" s="522">
        <v>4025</v>
      </c>
      <c r="P22" s="522">
        <v>4141</v>
      </c>
      <c r="Q22" s="522">
        <v>12</v>
      </c>
      <c r="R22" s="523">
        <v>7</v>
      </c>
      <c r="S22" s="523">
        <v>20</v>
      </c>
      <c r="T22" s="523">
        <v>43</v>
      </c>
      <c r="U22" s="523">
        <v>4615</v>
      </c>
      <c r="V22" s="522">
        <v>3172</v>
      </c>
      <c r="W22" s="522">
        <v>26</v>
      </c>
      <c r="X22" s="522">
        <v>1</v>
      </c>
      <c r="Y22" s="522">
        <v>27</v>
      </c>
      <c r="Z22" s="524">
        <v>98.04</v>
      </c>
      <c r="AA22" s="524">
        <v>97.95</v>
      </c>
      <c r="AB22" s="524">
        <v>6.04</v>
      </c>
      <c r="AC22" s="524">
        <v>100.96</v>
      </c>
      <c r="AD22" s="524">
        <v>1842</v>
      </c>
      <c r="AE22" s="525">
        <v>100.03</v>
      </c>
      <c r="AF22" s="525">
        <v>94.94</v>
      </c>
      <c r="AG22" s="525">
        <v>47.76</v>
      </c>
      <c r="AH22" s="525">
        <v>143.13</v>
      </c>
      <c r="AI22" s="525">
        <v>921</v>
      </c>
      <c r="AJ22" s="525">
        <v>110.02</v>
      </c>
      <c r="AK22" s="525">
        <v>1246</v>
      </c>
      <c r="AL22" s="525">
        <v>251.08</v>
      </c>
      <c r="AM22" s="525">
        <v>24</v>
      </c>
      <c r="AN22" s="526">
        <v>0</v>
      </c>
      <c r="AO22" s="526">
        <v>0</v>
      </c>
      <c r="AP22" s="526">
        <v>0</v>
      </c>
      <c r="AQ22" s="526">
        <v>0</v>
      </c>
      <c r="AR22" s="522">
        <v>0</v>
      </c>
      <c r="AS22" s="526">
        <v>66.31</v>
      </c>
      <c r="AT22" s="526">
        <v>64.510000000000005</v>
      </c>
      <c r="AU22" s="526">
        <v>24.76</v>
      </c>
      <c r="AV22" s="526">
        <v>91.07</v>
      </c>
      <c r="AW22" s="522">
        <v>15</v>
      </c>
      <c r="AX22" s="526">
        <v>79.959999999999994</v>
      </c>
      <c r="AY22" s="526">
        <v>79.25</v>
      </c>
      <c r="AZ22" s="526">
        <v>7.01</v>
      </c>
      <c r="BA22" s="526">
        <v>86.25</v>
      </c>
      <c r="BB22" s="522">
        <v>262</v>
      </c>
      <c r="BC22" s="526">
        <v>95.75</v>
      </c>
      <c r="BD22" s="526">
        <v>95.4</v>
      </c>
      <c r="BE22" s="526">
        <v>6.28</v>
      </c>
      <c r="BF22" s="526">
        <v>98.75</v>
      </c>
      <c r="BG22" s="522">
        <v>816</v>
      </c>
      <c r="BH22" s="526">
        <v>106.24</v>
      </c>
      <c r="BI22" s="526">
        <v>106.74</v>
      </c>
      <c r="BJ22" s="526">
        <v>3.75</v>
      </c>
      <c r="BK22" s="526">
        <v>107.45</v>
      </c>
      <c r="BL22" s="522">
        <v>680</v>
      </c>
      <c r="BM22" s="526">
        <v>119.38</v>
      </c>
      <c r="BN22" s="526">
        <v>119.21</v>
      </c>
      <c r="BO22" s="526">
        <v>2.72</v>
      </c>
      <c r="BP22" s="526">
        <v>120.57</v>
      </c>
      <c r="BQ22" s="522">
        <v>66</v>
      </c>
      <c r="BR22" s="526">
        <v>125.56</v>
      </c>
      <c r="BS22" s="526">
        <v>129.5</v>
      </c>
      <c r="BT22" s="526">
        <v>0.04</v>
      </c>
      <c r="BU22" s="526">
        <v>125.58</v>
      </c>
      <c r="BV22" s="522">
        <v>2</v>
      </c>
      <c r="BW22" s="526">
        <v>146.15</v>
      </c>
      <c r="BX22" s="526">
        <v>144.53</v>
      </c>
      <c r="BY22" s="526">
        <v>0</v>
      </c>
      <c r="BZ22" s="526">
        <v>146.15</v>
      </c>
      <c r="CA22" s="522">
        <v>1</v>
      </c>
      <c r="CB22" s="526">
        <v>98.04</v>
      </c>
      <c r="CC22" s="526">
        <v>97.95</v>
      </c>
      <c r="CD22" s="526">
        <v>6.04</v>
      </c>
      <c r="CE22" s="526">
        <v>100.96</v>
      </c>
      <c r="CF22" s="522">
        <v>1842</v>
      </c>
      <c r="CG22" s="526">
        <v>98.04</v>
      </c>
      <c r="CH22" s="526">
        <v>97.95</v>
      </c>
      <c r="CI22" s="526">
        <v>6.04</v>
      </c>
      <c r="CJ22" s="526">
        <v>100.96</v>
      </c>
      <c r="CK22" s="522">
        <v>1842</v>
      </c>
      <c r="CL22" s="526">
        <v>85.98</v>
      </c>
      <c r="CM22" s="526">
        <v>77.489999999999995</v>
      </c>
      <c r="CN22" s="526">
        <v>55.45</v>
      </c>
      <c r="CO22" s="526">
        <v>133.97</v>
      </c>
      <c r="CP22" s="522">
        <v>104</v>
      </c>
      <c r="CQ22" s="526">
        <v>99.59</v>
      </c>
      <c r="CR22" s="526">
        <v>98.7</v>
      </c>
      <c r="CS22" s="526">
        <v>31.34</v>
      </c>
      <c r="CT22" s="526">
        <v>104.07</v>
      </c>
      <c r="CU22" s="522">
        <v>28</v>
      </c>
      <c r="CV22" s="526">
        <v>92.44</v>
      </c>
      <c r="CW22" s="526">
        <v>85.35</v>
      </c>
      <c r="CX22" s="526">
        <v>50.08</v>
      </c>
      <c r="CY22" s="526">
        <v>141.84</v>
      </c>
      <c r="CZ22" s="522">
        <v>439</v>
      </c>
      <c r="DA22" s="526">
        <v>113.64</v>
      </c>
      <c r="DB22" s="526">
        <v>110.67</v>
      </c>
      <c r="DC22" s="526">
        <v>40.93</v>
      </c>
      <c r="DD22" s="526">
        <v>149.28</v>
      </c>
      <c r="DE22" s="522">
        <v>340</v>
      </c>
      <c r="DF22" s="526">
        <v>118.4</v>
      </c>
      <c r="DG22" s="526">
        <v>109.47</v>
      </c>
      <c r="DH22" s="526">
        <v>96.26</v>
      </c>
      <c r="DI22" s="526">
        <v>195.41</v>
      </c>
      <c r="DJ22" s="522">
        <v>10</v>
      </c>
      <c r="DK22" s="526">
        <v>0</v>
      </c>
      <c r="DL22" s="526">
        <v>0</v>
      </c>
      <c r="DM22" s="526">
        <v>0</v>
      </c>
      <c r="DN22" s="526">
        <v>0</v>
      </c>
      <c r="DO22" s="522">
        <v>0</v>
      </c>
      <c r="DP22" s="526">
        <v>101.82</v>
      </c>
      <c r="DQ22" s="526">
        <v>96.83</v>
      </c>
      <c r="DR22" s="526">
        <v>46.83</v>
      </c>
      <c r="DS22" s="526">
        <v>144.29</v>
      </c>
      <c r="DT22" s="522">
        <v>817</v>
      </c>
      <c r="DU22" s="526">
        <v>100.03</v>
      </c>
      <c r="DV22" s="526">
        <v>94.94</v>
      </c>
      <c r="DW22" s="526">
        <v>47.76</v>
      </c>
      <c r="DX22" s="526">
        <v>143.13</v>
      </c>
      <c r="DY22" s="522">
        <v>921</v>
      </c>
      <c r="DZ22" s="526">
        <v>0</v>
      </c>
      <c r="EA22" s="526">
        <v>0</v>
      </c>
      <c r="EB22" s="526">
        <v>0</v>
      </c>
      <c r="EC22" s="522">
        <v>0</v>
      </c>
      <c r="ED22" s="526">
        <v>91.07</v>
      </c>
      <c r="EE22" s="522">
        <v>34</v>
      </c>
      <c r="EF22" s="526">
        <v>106.58</v>
      </c>
      <c r="EG22" s="522">
        <v>747</v>
      </c>
      <c r="EH22" s="526">
        <v>116.12</v>
      </c>
      <c r="EI22" s="522">
        <v>428</v>
      </c>
      <c r="EJ22" s="526">
        <v>126.36</v>
      </c>
      <c r="EK22" s="522">
        <v>37</v>
      </c>
      <c r="EL22" s="526">
        <v>0</v>
      </c>
      <c r="EM22" s="522">
        <v>0</v>
      </c>
      <c r="EN22" s="526">
        <v>0</v>
      </c>
      <c r="EO22" s="522">
        <v>0</v>
      </c>
      <c r="EP22" s="526">
        <v>110.02</v>
      </c>
      <c r="EQ22" s="522">
        <v>1246</v>
      </c>
      <c r="ER22" s="526">
        <v>110.02</v>
      </c>
      <c r="ES22" s="522">
        <v>1246</v>
      </c>
      <c r="ET22" s="526">
        <v>0</v>
      </c>
      <c r="EU22" s="526">
        <v>0</v>
      </c>
      <c r="EV22" s="526">
        <v>0</v>
      </c>
      <c r="EW22" s="522">
        <v>0</v>
      </c>
      <c r="EX22" s="526">
        <v>277.12</v>
      </c>
      <c r="EY22" s="522">
        <v>13</v>
      </c>
      <c r="EZ22" s="526">
        <v>219.98</v>
      </c>
      <c r="FA22" s="522">
        <v>10</v>
      </c>
      <c r="FB22" s="526">
        <v>223.48</v>
      </c>
      <c r="FC22" s="522">
        <v>1</v>
      </c>
      <c r="FD22" s="526">
        <v>0</v>
      </c>
      <c r="FE22" s="522">
        <v>0</v>
      </c>
      <c r="FF22" s="526">
        <v>251.08</v>
      </c>
      <c r="FG22" s="522">
        <v>24</v>
      </c>
      <c r="FH22" s="526">
        <v>251.08</v>
      </c>
      <c r="FI22" s="522">
        <v>24</v>
      </c>
      <c r="FJ22" s="522">
        <v>0</v>
      </c>
      <c r="FK22" s="522">
        <v>2</v>
      </c>
      <c r="FL22" s="522">
        <v>0</v>
      </c>
      <c r="FM22" s="522">
        <v>0</v>
      </c>
      <c r="FN22" s="522">
        <v>2</v>
      </c>
      <c r="FO22" s="522">
        <v>0</v>
      </c>
      <c r="FP22" s="522">
        <v>13</v>
      </c>
      <c r="FQ22" s="522">
        <v>20</v>
      </c>
      <c r="FR22" s="522">
        <v>7</v>
      </c>
    </row>
    <row r="23" spans="1:174" x14ac:dyDescent="0.25">
      <c r="A23" s="523" t="s">
        <v>308</v>
      </c>
      <c r="B23" s="523" t="s">
        <v>309</v>
      </c>
      <c r="C23" s="523" t="s">
        <v>283</v>
      </c>
      <c r="D23" s="522">
        <v>5354</v>
      </c>
      <c r="E23" s="522">
        <v>5314</v>
      </c>
      <c r="F23" s="522">
        <v>0</v>
      </c>
      <c r="G23" s="522">
        <v>0</v>
      </c>
      <c r="H23" s="522">
        <v>259</v>
      </c>
      <c r="I23" s="522">
        <v>237</v>
      </c>
      <c r="J23" s="522">
        <v>341</v>
      </c>
      <c r="K23" s="522">
        <v>293</v>
      </c>
      <c r="L23" s="522">
        <v>708</v>
      </c>
      <c r="M23" s="522">
        <v>172</v>
      </c>
      <c r="N23" s="522">
        <v>6662</v>
      </c>
      <c r="O23" s="522">
        <v>6016</v>
      </c>
      <c r="P23" s="522">
        <v>5954</v>
      </c>
      <c r="Q23" s="522">
        <v>48</v>
      </c>
      <c r="R23" s="523">
        <v>7</v>
      </c>
      <c r="S23" s="523">
        <v>21</v>
      </c>
      <c r="T23" s="523">
        <v>89</v>
      </c>
      <c r="U23" s="523">
        <v>6573</v>
      </c>
      <c r="V23" s="522">
        <v>5354</v>
      </c>
      <c r="W23" s="522">
        <v>24</v>
      </c>
      <c r="X23" s="522">
        <v>65</v>
      </c>
      <c r="Y23" s="522">
        <v>89</v>
      </c>
      <c r="Z23" s="524">
        <v>125.19</v>
      </c>
      <c r="AA23" s="524">
        <v>126.05</v>
      </c>
      <c r="AB23" s="524">
        <v>6.16</v>
      </c>
      <c r="AC23" s="524">
        <v>128.46</v>
      </c>
      <c r="AD23" s="524">
        <v>5031</v>
      </c>
      <c r="AE23" s="525">
        <v>119.34</v>
      </c>
      <c r="AF23" s="525">
        <v>102.14</v>
      </c>
      <c r="AG23" s="525">
        <v>64.45</v>
      </c>
      <c r="AH23" s="525">
        <v>180.38</v>
      </c>
      <c r="AI23" s="525">
        <v>511</v>
      </c>
      <c r="AJ23" s="525">
        <v>153.06</v>
      </c>
      <c r="AK23" s="525">
        <v>191</v>
      </c>
      <c r="AL23" s="525">
        <v>0</v>
      </c>
      <c r="AM23" s="525">
        <v>0</v>
      </c>
      <c r="AN23" s="526">
        <v>0</v>
      </c>
      <c r="AO23" s="526">
        <v>0</v>
      </c>
      <c r="AP23" s="526">
        <v>0</v>
      </c>
      <c r="AQ23" s="526">
        <v>0</v>
      </c>
      <c r="AR23" s="522">
        <v>0</v>
      </c>
      <c r="AS23" s="526">
        <v>85.77</v>
      </c>
      <c r="AT23" s="526">
        <v>84.43</v>
      </c>
      <c r="AU23" s="526">
        <v>4.5999999999999996</v>
      </c>
      <c r="AV23" s="526">
        <v>88.51</v>
      </c>
      <c r="AW23" s="522">
        <v>52</v>
      </c>
      <c r="AX23" s="526">
        <v>103.03</v>
      </c>
      <c r="AY23" s="526">
        <v>99.03</v>
      </c>
      <c r="AZ23" s="526">
        <v>10.93</v>
      </c>
      <c r="BA23" s="526">
        <v>112.69</v>
      </c>
      <c r="BB23" s="522">
        <v>640</v>
      </c>
      <c r="BC23" s="526">
        <v>120.22</v>
      </c>
      <c r="BD23" s="526">
        <v>120.38</v>
      </c>
      <c r="BE23" s="526">
        <v>6.52</v>
      </c>
      <c r="BF23" s="526">
        <v>124.05</v>
      </c>
      <c r="BG23" s="522">
        <v>1993</v>
      </c>
      <c r="BH23" s="526">
        <v>134.33000000000001</v>
      </c>
      <c r="BI23" s="526">
        <v>135.66999999999999</v>
      </c>
      <c r="BJ23" s="526">
        <v>2.82</v>
      </c>
      <c r="BK23" s="526">
        <v>135.47999999999999</v>
      </c>
      <c r="BL23" s="522">
        <v>1910</v>
      </c>
      <c r="BM23" s="526">
        <v>144.68</v>
      </c>
      <c r="BN23" s="526">
        <v>151.38999999999999</v>
      </c>
      <c r="BO23" s="526">
        <v>2.42</v>
      </c>
      <c r="BP23" s="526">
        <v>145.43</v>
      </c>
      <c r="BQ23" s="522">
        <v>413</v>
      </c>
      <c r="BR23" s="526">
        <v>153.52000000000001</v>
      </c>
      <c r="BS23" s="526">
        <v>162.25</v>
      </c>
      <c r="BT23" s="526">
        <v>3.07</v>
      </c>
      <c r="BU23" s="526">
        <v>153.80000000000001</v>
      </c>
      <c r="BV23" s="522">
        <v>22</v>
      </c>
      <c r="BW23" s="526">
        <v>140.80000000000001</v>
      </c>
      <c r="BX23" s="526">
        <v>165.76</v>
      </c>
      <c r="BY23" s="526">
        <v>0</v>
      </c>
      <c r="BZ23" s="526">
        <v>140.80000000000001</v>
      </c>
      <c r="CA23" s="522">
        <v>1</v>
      </c>
      <c r="CB23" s="526">
        <v>125.19</v>
      </c>
      <c r="CC23" s="526">
        <v>126.05</v>
      </c>
      <c r="CD23" s="526">
        <v>6.16</v>
      </c>
      <c r="CE23" s="526">
        <v>128.46</v>
      </c>
      <c r="CF23" s="522">
        <v>5031</v>
      </c>
      <c r="CG23" s="526">
        <v>125.19</v>
      </c>
      <c r="CH23" s="526">
        <v>126.05</v>
      </c>
      <c r="CI23" s="526">
        <v>6.16</v>
      </c>
      <c r="CJ23" s="526">
        <v>128.46</v>
      </c>
      <c r="CK23" s="522">
        <v>5031</v>
      </c>
      <c r="CL23" s="526">
        <v>148.59</v>
      </c>
      <c r="CM23" s="526">
        <v>103.05</v>
      </c>
      <c r="CN23" s="526">
        <v>105.18</v>
      </c>
      <c r="CO23" s="526">
        <v>233.57</v>
      </c>
      <c r="CP23" s="522">
        <v>125</v>
      </c>
      <c r="CQ23" s="526">
        <v>93.14</v>
      </c>
      <c r="CR23" s="526">
        <v>85.73</v>
      </c>
      <c r="CS23" s="526">
        <v>44.13</v>
      </c>
      <c r="CT23" s="526">
        <v>137.27000000000001</v>
      </c>
      <c r="CU23" s="522">
        <v>50</v>
      </c>
      <c r="CV23" s="526">
        <v>110.06</v>
      </c>
      <c r="CW23" s="526">
        <v>102.43</v>
      </c>
      <c r="CX23" s="526">
        <v>54.44</v>
      </c>
      <c r="CY23" s="526">
        <v>163.99</v>
      </c>
      <c r="CZ23" s="522">
        <v>318</v>
      </c>
      <c r="DA23" s="526">
        <v>131.06</v>
      </c>
      <c r="DB23" s="526">
        <v>133.05000000000001</v>
      </c>
      <c r="DC23" s="526">
        <v>73.98</v>
      </c>
      <c r="DD23" s="526">
        <v>205.04</v>
      </c>
      <c r="DE23" s="522">
        <v>14</v>
      </c>
      <c r="DF23" s="526">
        <v>153.03</v>
      </c>
      <c r="DG23" s="526">
        <v>140.55000000000001</v>
      </c>
      <c r="DH23" s="526">
        <v>39.97</v>
      </c>
      <c r="DI23" s="526">
        <v>193</v>
      </c>
      <c r="DJ23" s="522">
        <v>3</v>
      </c>
      <c r="DK23" s="526">
        <v>456.78</v>
      </c>
      <c r="DL23" s="526">
        <v>188.95</v>
      </c>
      <c r="DM23" s="526">
        <v>59.76</v>
      </c>
      <c r="DN23" s="526">
        <v>516.54</v>
      </c>
      <c r="DO23" s="522">
        <v>1</v>
      </c>
      <c r="DP23" s="526">
        <v>109.87</v>
      </c>
      <c r="DQ23" s="526">
        <v>101.89</v>
      </c>
      <c r="DR23" s="526">
        <v>53.71</v>
      </c>
      <c r="DS23" s="526">
        <v>163.15</v>
      </c>
      <c r="DT23" s="522">
        <v>386</v>
      </c>
      <c r="DU23" s="526">
        <v>119.34</v>
      </c>
      <c r="DV23" s="526">
        <v>102.14</v>
      </c>
      <c r="DW23" s="526">
        <v>64.45</v>
      </c>
      <c r="DX23" s="526">
        <v>180.38</v>
      </c>
      <c r="DY23" s="522">
        <v>511</v>
      </c>
      <c r="DZ23" s="526">
        <v>0</v>
      </c>
      <c r="EA23" s="526">
        <v>0</v>
      </c>
      <c r="EB23" s="526">
        <v>124.99</v>
      </c>
      <c r="EC23" s="522">
        <v>2</v>
      </c>
      <c r="ED23" s="526">
        <v>129.56</v>
      </c>
      <c r="EE23" s="522">
        <v>63</v>
      </c>
      <c r="EF23" s="526">
        <v>161.97</v>
      </c>
      <c r="EG23" s="522">
        <v>96</v>
      </c>
      <c r="EH23" s="526">
        <v>172.4</v>
      </c>
      <c r="EI23" s="522">
        <v>27</v>
      </c>
      <c r="EJ23" s="526">
        <v>205.92</v>
      </c>
      <c r="EK23" s="522">
        <v>3</v>
      </c>
      <c r="EL23" s="526">
        <v>0</v>
      </c>
      <c r="EM23" s="522">
        <v>0</v>
      </c>
      <c r="EN23" s="526">
        <v>0</v>
      </c>
      <c r="EO23" s="522">
        <v>0</v>
      </c>
      <c r="EP23" s="526">
        <v>153.06</v>
      </c>
      <c r="EQ23" s="522">
        <v>191</v>
      </c>
      <c r="ER23" s="526">
        <v>153.06</v>
      </c>
      <c r="ES23" s="522">
        <v>191</v>
      </c>
      <c r="ET23" s="526">
        <v>0</v>
      </c>
      <c r="EU23" s="526">
        <v>0</v>
      </c>
      <c r="EV23" s="526">
        <v>0</v>
      </c>
      <c r="EW23" s="522">
        <v>0</v>
      </c>
      <c r="EX23" s="526">
        <v>0</v>
      </c>
      <c r="EY23" s="522">
        <v>0</v>
      </c>
      <c r="EZ23" s="526">
        <v>0</v>
      </c>
      <c r="FA23" s="522">
        <v>0</v>
      </c>
      <c r="FB23" s="526">
        <v>0</v>
      </c>
      <c r="FC23" s="522">
        <v>0</v>
      </c>
      <c r="FD23" s="526">
        <v>0</v>
      </c>
      <c r="FE23" s="522">
        <v>0</v>
      </c>
      <c r="FF23" s="526">
        <v>0</v>
      </c>
      <c r="FG23" s="522">
        <v>0</v>
      </c>
      <c r="FH23" s="526">
        <v>0</v>
      </c>
      <c r="FI23" s="522">
        <v>0</v>
      </c>
      <c r="FJ23" s="522">
        <v>0</v>
      </c>
      <c r="FK23" s="522">
        <v>2</v>
      </c>
      <c r="FL23" s="522">
        <v>2</v>
      </c>
      <c r="FM23" s="522">
        <v>0</v>
      </c>
      <c r="FN23" s="522">
        <v>0</v>
      </c>
      <c r="FO23" s="522">
        <v>0</v>
      </c>
      <c r="FP23" s="522">
        <v>1</v>
      </c>
      <c r="FQ23" s="522">
        <v>0</v>
      </c>
      <c r="FR23" s="522">
        <v>5</v>
      </c>
    </row>
    <row r="24" spans="1:174" x14ac:dyDescent="0.25">
      <c r="A24" s="523" t="s">
        <v>310</v>
      </c>
      <c r="B24" s="523" t="s">
        <v>311</v>
      </c>
      <c r="C24" s="523" t="s">
        <v>2</v>
      </c>
      <c r="D24" s="522">
        <v>13408</v>
      </c>
      <c r="E24" s="522">
        <v>13390</v>
      </c>
      <c r="F24" s="522">
        <v>315</v>
      </c>
      <c r="G24" s="522">
        <v>312</v>
      </c>
      <c r="H24" s="522">
        <v>423</v>
      </c>
      <c r="I24" s="522">
        <v>243</v>
      </c>
      <c r="J24" s="522">
        <v>865</v>
      </c>
      <c r="K24" s="522">
        <v>801</v>
      </c>
      <c r="L24" s="522">
        <v>1693</v>
      </c>
      <c r="M24" s="522">
        <v>0</v>
      </c>
      <c r="N24" s="522">
        <v>16704</v>
      </c>
      <c r="O24" s="522">
        <v>14746</v>
      </c>
      <c r="P24" s="522">
        <v>15011</v>
      </c>
      <c r="Q24" s="522">
        <v>17</v>
      </c>
      <c r="R24" s="523">
        <v>9</v>
      </c>
      <c r="S24" s="523">
        <v>29</v>
      </c>
      <c r="T24" s="523">
        <v>176</v>
      </c>
      <c r="U24" s="523">
        <v>16528</v>
      </c>
      <c r="V24" s="522">
        <v>13398</v>
      </c>
      <c r="W24" s="522">
        <v>180</v>
      </c>
      <c r="X24" s="522">
        <v>79</v>
      </c>
      <c r="Y24" s="522">
        <v>259</v>
      </c>
      <c r="Z24" s="524">
        <v>128.65</v>
      </c>
      <c r="AA24" s="524">
        <v>128.22</v>
      </c>
      <c r="AB24" s="524">
        <v>7.18</v>
      </c>
      <c r="AC24" s="524">
        <v>131.63999999999999</v>
      </c>
      <c r="AD24" s="524">
        <v>11402</v>
      </c>
      <c r="AE24" s="525">
        <v>118.01</v>
      </c>
      <c r="AF24" s="525">
        <v>105.72</v>
      </c>
      <c r="AG24" s="525">
        <v>49.61</v>
      </c>
      <c r="AH24" s="525">
        <v>165.67</v>
      </c>
      <c r="AI24" s="525">
        <v>1123</v>
      </c>
      <c r="AJ24" s="525">
        <v>178.92</v>
      </c>
      <c r="AK24" s="525">
        <v>1748</v>
      </c>
      <c r="AL24" s="525">
        <v>170.89</v>
      </c>
      <c r="AM24" s="525">
        <v>2</v>
      </c>
      <c r="AN24" s="526">
        <v>0</v>
      </c>
      <c r="AO24" s="526">
        <v>0</v>
      </c>
      <c r="AP24" s="526">
        <v>0</v>
      </c>
      <c r="AQ24" s="526">
        <v>0</v>
      </c>
      <c r="AR24" s="522">
        <v>0</v>
      </c>
      <c r="AS24" s="526">
        <v>86.82</v>
      </c>
      <c r="AT24" s="526">
        <v>86.09</v>
      </c>
      <c r="AU24" s="526">
        <v>8.43</v>
      </c>
      <c r="AV24" s="526">
        <v>93.29</v>
      </c>
      <c r="AW24" s="522">
        <v>163</v>
      </c>
      <c r="AX24" s="526">
        <v>104.73</v>
      </c>
      <c r="AY24" s="526">
        <v>103.93</v>
      </c>
      <c r="AZ24" s="526">
        <v>9.5</v>
      </c>
      <c r="BA24" s="526">
        <v>110.83</v>
      </c>
      <c r="BB24" s="522">
        <v>1901</v>
      </c>
      <c r="BC24" s="526">
        <v>125.74</v>
      </c>
      <c r="BD24" s="526">
        <v>125.02</v>
      </c>
      <c r="BE24" s="526">
        <v>8.27</v>
      </c>
      <c r="BF24" s="526">
        <v>130.13999999999999</v>
      </c>
      <c r="BG24" s="522">
        <v>4005</v>
      </c>
      <c r="BH24" s="526">
        <v>139.16</v>
      </c>
      <c r="BI24" s="526">
        <v>138.93</v>
      </c>
      <c r="BJ24" s="526">
        <v>3</v>
      </c>
      <c r="BK24" s="526">
        <v>139.85</v>
      </c>
      <c r="BL24" s="522">
        <v>4838</v>
      </c>
      <c r="BM24" s="526">
        <v>154.72999999999999</v>
      </c>
      <c r="BN24" s="526">
        <v>155.65</v>
      </c>
      <c r="BO24" s="526">
        <v>3.1</v>
      </c>
      <c r="BP24" s="526">
        <v>155.65</v>
      </c>
      <c r="BQ24" s="522">
        <v>476</v>
      </c>
      <c r="BR24" s="526">
        <v>165.62</v>
      </c>
      <c r="BS24" s="526">
        <v>172.89</v>
      </c>
      <c r="BT24" s="526">
        <v>3.71</v>
      </c>
      <c r="BU24" s="526">
        <v>167.14</v>
      </c>
      <c r="BV24" s="522">
        <v>17</v>
      </c>
      <c r="BW24" s="526">
        <v>184.32</v>
      </c>
      <c r="BX24" s="526">
        <v>196.33</v>
      </c>
      <c r="BY24" s="526">
        <v>0</v>
      </c>
      <c r="BZ24" s="526">
        <v>184.32</v>
      </c>
      <c r="CA24" s="522">
        <v>2</v>
      </c>
      <c r="CB24" s="526">
        <v>128.65</v>
      </c>
      <c r="CC24" s="526">
        <v>128.22</v>
      </c>
      <c r="CD24" s="526">
        <v>7.18</v>
      </c>
      <c r="CE24" s="526">
        <v>131.63999999999999</v>
      </c>
      <c r="CF24" s="522">
        <v>11402</v>
      </c>
      <c r="CG24" s="526">
        <v>128.65</v>
      </c>
      <c r="CH24" s="526">
        <v>128.22</v>
      </c>
      <c r="CI24" s="526">
        <v>7.18</v>
      </c>
      <c r="CJ24" s="526">
        <v>131.63999999999999</v>
      </c>
      <c r="CK24" s="522">
        <v>11402</v>
      </c>
      <c r="CL24" s="526">
        <v>116.53</v>
      </c>
      <c r="CM24" s="526">
        <v>100.49</v>
      </c>
      <c r="CN24" s="526">
        <v>93.46</v>
      </c>
      <c r="CO24" s="526">
        <v>202.92</v>
      </c>
      <c r="CP24" s="522">
        <v>198</v>
      </c>
      <c r="CQ24" s="526">
        <v>100.45</v>
      </c>
      <c r="CR24" s="526">
        <v>92.03</v>
      </c>
      <c r="CS24" s="526">
        <v>57.39</v>
      </c>
      <c r="CT24" s="526">
        <v>154.07</v>
      </c>
      <c r="CU24" s="522">
        <v>76</v>
      </c>
      <c r="CV24" s="526">
        <v>116.08</v>
      </c>
      <c r="CW24" s="526">
        <v>104.87</v>
      </c>
      <c r="CX24" s="526">
        <v>40.69</v>
      </c>
      <c r="CY24" s="526">
        <v>156.4</v>
      </c>
      <c r="CZ24" s="522">
        <v>665</v>
      </c>
      <c r="DA24" s="526">
        <v>126.95</v>
      </c>
      <c r="DB24" s="526">
        <v>119.08</v>
      </c>
      <c r="DC24" s="526">
        <v>33.909999999999997</v>
      </c>
      <c r="DD24" s="526">
        <v>159.62</v>
      </c>
      <c r="DE24" s="522">
        <v>165</v>
      </c>
      <c r="DF24" s="526">
        <v>182.09</v>
      </c>
      <c r="DG24" s="526">
        <v>153.44</v>
      </c>
      <c r="DH24" s="526">
        <v>20.72</v>
      </c>
      <c r="DI24" s="526">
        <v>192.45</v>
      </c>
      <c r="DJ24" s="522">
        <v>14</v>
      </c>
      <c r="DK24" s="526">
        <v>224.24</v>
      </c>
      <c r="DL24" s="526">
        <v>0</v>
      </c>
      <c r="DM24" s="526">
        <v>0</v>
      </c>
      <c r="DN24" s="526">
        <v>224.24</v>
      </c>
      <c r="DO24" s="522">
        <v>5</v>
      </c>
      <c r="DP24" s="526">
        <v>118.32</v>
      </c>
      <c r="DQ24" s="526">
        <v>106.73</v>
      </c>
      <c r="DR24" s="526">
        <v>40.65</v>
      </c>
      <c r="DS24" s="526">
        <v>157.69999999999999</v>
      </c>
      <c r="DT24" s="522">
        <v>925</v>
      </c>
      <c r="DU24" s="526">
        <v>118.01</v>
      </c>
      <c r="DV24" s="526">
        <v>105.72</v>
      </c>
      <c r="DW24" s="526">
        <v>49.61</v>
      </c>
      <c r="DX24" s="526">
        <v>165.67</v>
      </c>
      <c r="DY24" s="522">
        <v>1123</v>
      </c>
      <c r="DZ24" s="526">
        <v>0</v>
      </c>
      <c r="EA24" s="526">
        <v>0</v>
      </c>
      <c r="EB24" s="526">
        <v>0</v>
      </c>
      <c r="EC24" s="522">
        <v>0</v>
      </c>
      <c r="ED24" s="526">
        <v>150.36000000000001</v>
      </c>
      <c r="EE24" s="522">
        <v>527</v>
      </c>
      <c r="EF24" s="526">
        <v>181.47</v>
      </c>
      <c r="EG24" s="522">
        <v>897</v>
      </c>
      <c r="EH24" s="526">
        <v>212.27</v>
      </c>
      <c r="EI24" s="522">
        <v>275</v>
      </c>
      <c r="EJ24" s="526">
        <v>254.07</v>
      </c>
      <c r="EK24" s="522">
        <v>48</v>
      </c>
      <c r="EL24" s="526">
        <v>164.02</v>
      </c>
      <c r="EM24" s="522">
        <v>1</v>
      </c>
      <c r="EN24" s="526">
        <v>0</v>
      </c>
      <c r="EO24" s="522">
        <v>0</v>
      </c>
      <c r="EP24" s="526">
        <v>178.92</v>
      </c>
      <c r="EQ24" s="522">
        <v>1748</v>
      </c>
      <c r="ER24" s="526">
        <v>178.92</v>
      </c>
      <c r="ES24" s="522">
        <v>1748</v>
      </c>
      <c r="ET24" s="526">
        <v>0</v>
      </c>
      <c r="EU24" s="526">
        <v>0</v>
      </c>
      <c r="EV24" s="526">
        <v>0</v>
      </c>
      <c r="EW24" s="522">
        <v>0</v>
      </c>
      <c r="EX24" s="526">
        <v>170.89</v>
      </c>
      <c r="EY24" s="522">
        <v>2</v>
      </c>
      <c r="EZ24" s="526">
        <v>0</v>
      </c>
      <c r="FA24" s="522">
        <v>0</v>
      </c>
      <c r="FB24" s="526">
        <v>0</v>
      </c>
      <c r="FC24" s="522">
        <v>0</v>
      </c>
      <c r="FD24" s="526">
        <v>0</v>
      </c>
      <c r="FE24" s="522">
        <v>0</v>
      </c>
      <c r="FF24" s="526">
        <v>170.89</v>
      </c>
      <c r="FG24" s="522">
        <v>2</v>
      </c>
      <c r="FH24" s="526">
        <v>170.89</v>
      </c>
      <c r="FI24" s="522">
        <v>2</v>
      </c>
      <c r="FJ24" s="522">
        <v>0</v>
      </c>
      <c r="FK24" s="522">
        <v>2</v>
      </c>
      <c r="FL24" s="522">
        <v>2</v>
      </c>
      <c r="FM24" s="522">
        <v>0</v>
      </c>
      <c r="FN24" s="522">
        <v>0</v>
      </c>
      <c r="FO24" s="522">
        <v>0</v>
      </c>
      <c r="FP24" s="522">
        <v>5</v>
      </c>
      <c r="FQ24" s="522">
        <v>45</v>
      </c>
      <c r="FR24" s="522">
        <v>20</v>
      </c>
    </row>
    <row r="25" spans="1:174" x14ac:dyDescent="0.25">
      <c r="A25" s="523" t="s">
        <v>312</v>
      </c>
      <c r="B25" s="523" t="s">
        <v>313</v>
      </c>
      <c r="C25" s="523" t="s">
        <v>282</v>
      </c>
      <c r="D25" s="522">
        <v>1336</v>
      </c>
      <c r="E25" s="522">
        <v>1351</v>
      </c>
      <c r="F25" s="522">
        <v>0</v>
      </c>
      <c r="G25" s="522">
        <v>0</v>
      </c>
      <c r="H25" s="522">
        <v>252</v>
      </c>
      <c r="I25" s="522">
        <v>216</v>
      </c>
      <c r="J25" s="522">
        <v>163</v>
      </c>
      <c r="K25" s="522">
        <v>117</v>
      </c>
      <c r="L25" s="522">
        <v>267</v>
      </c>
      <c r="M25" s="522">
        <v>21</v>
      </c>
      <c r="N25" s="522">
        <v>2018</v>
      </c>
      <c r="O25" s="522">
        <v>1705</v>
      </c>
      <c r="P25" s="522">
        <v>1751</v>
      </c>
      <c r="Q25" s="522">
        <v>0</v>
      </c>
      <c r="R25" s="523">
        <v>3</v>
      </c>
      <c r="S25" s="523">
        <v>27</v>
      </c>
      <c r="T25" s="523">
        <v>54</v>
      </c>
      <c r="U25" s="523">
        <v>1964</v>
      </c>
      <c r="V25" s="522">
        <v>1329</v>
      </c>
      <c r="W25" s="522">
        <v>16</v>
      </c>
      <c r="X25" s="522">
        <v>14</v>
      </c>
      <c r="Y25" s="522">
        <v>30</v>
      </c>
      <c r="Z25" s="524">
        <v>99.88</v>
      </c>
      <c r="AA25" s="524">
        <v>100.06</v>
      </c>
      <c r="AB25" s="524">
        <v>3.89</v>
      </c>
      <c r="AC25" s="524">
        <v>102.39</v>
      </c>
      <c r="AD25" s="524">
        <v>886</v>
      </c>
      <c r="AE25" s="525">
        <v>152.02000000000001</v>
      </c>
      <c r="AF25" s="525">
        <v>84.16</v>
      </c>
      <c r="AG25" s="525">
        <v>82.73</v>
      </c>
      <c r="AH25" s="525">
        <v>231.89</v>
      </c>
      <c r="AI25" s="525">
        <v>347</v>
      </c>
      <c r="AJ25" s="525">
        <v>120.68</v>
      </c>
      <c r="AK25" s="525">
        <v>417</v>
      </c>
      <c r="AL25" s="525">
        <v>159</v>
      </c>
      <c r="AM25" s="525">
        <v>26</v>
      </c>
      <c r="AN25" s="526">
        <v>0</v>
      </c>
      <c r="AO25" s="526">
        <v>0</v>
      </c>
      <c r="AP25" s="526">
        <v>0</v>
      </c>
      <c r="AQ25" s="526">
        <v>0</v>
      </c>
      <c r="AR25" s="522">
        <v>0</v>
      </c>
      <c r="AS25" s="526">
        <v>0</v>
      </c>
      <c r="AT25" s="526">
        <v>0</v>
      </c>
      <c r="AU25" s="526">
        <v>0</v>
      </c>
      <c r="AV25" s="526">
        <v>0</v>
      </c>
      <c r="AW25" s="522">
        <v>0</v>
      </c>
      <c r="AX25" s="526">
        <v>81.33</v>
      </c>
      <c r="AY25" s="526">
        <v>80.510000000000005</v>
      </c>
      <c r="AZ25" s="526">
        <v>8.4</v>
      </c>
      <c r="BA25" s="526">
        <v>89.43</v>
      </c>
      <c r="BB25" s="522">
        <v>112</v>
      </c>
      <c r="BC25" s="526">
        <v>97.22</v>
      </c>
      <c r="BD25" s="526">
        <v>96.62</v>
      </c>
      <c r="BE25" s="526">
        <v>3.54</v>
      </c>
      <c r="BF25" s="526">
        <v>99.7</v>
      </c>
      <c r="BG25" s="522">
        <v>352</v>
      </c>
      <c r="BH25" s="526">
        <v>106.34</v>
      </c>
      <c r="BI25" s="526">
        <v>107.34</v>
      </c>
      <c r="BJ25" s="526">
        <v>2.0499999999999998</v>
      </c>
      <c r="BK25" s="526">
        <v>107.4</v>
      </c>
      <c r="BL25" s="522">
        <v>408</v>
      </c>
      <c r="BM25" s="526">
        <v>126.92</v>
      </c>
      <c r="BN25" s="526">
        <v>130.87</v>
      </c>
      <c r="BO25" s="526">
        <v>2.14</v>
      </c>
      <c r="BP25" s="526">
        <v>128.13999999999999</v>
      </c>
      <c r="BQ25" s="522">
        <v>14</v>
      </c>
      <c r="BR25" s="526">
        <v>0</v>
      </c>
      <c r="BS25" s="526">
        <v>0</v>
      </c>
      <c r="BT25" s="526">
        <v>0</v>
      </c>
      <c r="BU25" s="526">
        <v>0</v>
      </c>
      <c r="BV25" s="522">
        <v>0</v>
      </c>
      <c r="BW25" s="526">
        <v>0</v>
      </c>
      <c r="BX25" s="526">
        <v>0</v>
      </c>
      <c r="BY25" s="526">
        <v>0</v>
      </c>
      <c r="BZ25" s="526">
        <v>0</v>
      </c>
      <c r="CA25" s="522">
        <v>0</v>
      </c>
      <c r="CB25" s="526">
        <v>99.88</v>
      </c>
      <c r="CC25" s="526">
        <v>100.06</v>
      </c>
      <c r="CD25" s="526">
        <v>3.89</v>
      </c>
      <c r="CE25" s="526">
        <v>102.39</v>
      </c>
      <c r="CF25" s="522">
        <v>886</v>
      </c>
      <c r="CG25" s="526">
        <v>99.88</v>
      </c>
      <c r="CH25" s="526">
        <v>100.06</v>
      </c>
      <c r="CI25" s="526">
        <v>3.89</v>
      </c>
      <c r="CJ25" s="526">
        <v>102.39</v>
      </c>
      <c r="CK25" s="522">
        <v>886</v>
      </c>
      <c r="CL25" s="526">
        <v>214.58</v>
      </c>
      <c r="CM25" s="526">
        <v>81.239999999999995</v>
      </c>
      <c r="CN25" s="526">
        <v>59.15</v>
      </c>
      <c r="CO25" s="526">
        <v>273.72000000000003</v>
      </c>
      <c r="CP25" s="522">
        <v>100</v>
      </c>
      <c r="CQ25" s="526">
        <v>79.040000000000006</v>
      </c>
      <c r="CR25" s="526">
        <v>70.680000000000007</v>
      </c>
      <c r="CS25" s="526">
        <v>77.03</v>
      </c>
      <c r="CT25" s="526">
        <v>156.08000000000001</v>
      </c>
      <c r="CU25" s="522">
        <v>50</v>
      </c>
      <c r="CV25" s="526">
        <v>141.93</v>
      </c>
      <c r="CW25" s="526">
        <v>85.49</v>
      </c>
      <c r="CX25" s="526">
        <v>94.99</v>
      </c>
      <c r="CY25" s="526">
        <v>233.59</v>
      </c>
      <c r="CZ25" s="522">
        <v>171</v>
      </c>
      <c r="DA25" s="526">
        <v>118.59</v>
      </c>
      <c r="DB25" s="526">
        <v>104.03</v>
      </c>
      <c r="DC25" s="526">
        <v>117.64</v>
      </c>
      <c r="DD25" s="526">
        <v>208</v>
      </c>
      <c r="DE25" s="522">
        <v>25</v>
      </c>
      <c r="DF25" s="526">
        <v>105.16</v>
      </c>
      <c r="DG25" s="526">
        <v>99.26</v>
      </c>
      <c r="DH25" s="526">
        <v>40.22</v>
      </c>
      <c r="DI25" s="526">
        <v>145.38</v>
      </c>
      <c r="DJ25" s="522">
        <v>1</v>
      </c>
      <c r="DK25" s="526">
        <v>0</v>
      </c>
      <c r="DL25" s="526">
        <v>0</v>
      </c>
      <c r="DM25" s="526">
        <v>0</v>
      </c>
      <c r="DN25" s="526">
        <v>0</v>
      </c>
      <c r="DO25" s="522">
        <v>0</v>
      </c>
      <c r="DP25" s="526">
        <v>126.69</v>
      </c>
      <c r="DQ25" s="526">
        <v>84.45</v>
      </c>
      <c r="DR25" s="526">
        <v>92.77</v>
      </c>
      <c r="DS25" s="526">
        <v>214.95</v>
      </c>
      <c r="DT25" s="522">
        <v>247</v>
      </c>
      <c r="DU25" s="526">
        <v>152.02000000000001</v>
      </c>
      <c r="DV25" s="526">
        <v>84.16</v>
      </c>
      <c r="DW25" s="526">
        <v>82.73</v>
      </c>
      <c r="DX25" s="526">
        <v>231.89</v>
      </c>
      <c r="DY25" s="522">
        <v>347</v>
      </c>
      <c r="DZ25" s="526">
        <v>0</v>
      </c>
      <c r="EA25" s="526">
        <v>0</v>
      </c>
      <c r="EB25" s="526">
        <v>0</v>
      </c>
      <c r="EC25" s="522">
        <v>0</v>
      </c>
      <c r="ED25" s="526">
        <v>88.01</v>
      </c>
      <c r="EE25" s="522">
        <v>12</v>
      </c>
      <c r="EF25" s="526">
        <v>113.47</v>
      </c>
      <c r="EG25" s="522">
        <v>224</v>
      </c>
      <c r="EH25" s="526">
        <v>129.62</v>
      </c>
      <c r="EI25" s="522">
        <v>172</v>
      </c>
      <c r="EJ25" s="526">
        <v>172.82</v>
      </c>
      <c r="EK25" s="522">
        <v>9</v>
      </c>
      <c r="EL25" s="526">
        <v>0</v>
      </c>
      <c r="EM25" s="522">
        <v>0</v>
      </c>
      <c r="EN25" s="526">
        <v>0</v>
      </c>
      <c r="EO25" s="522">
        <v>0</v>
      </c>
      <c r="EP25" s="526">
        <v>120.68</v>
      </c>
      <c r="EQ25" s="522">
        <v>417</v>
      </c>
      <c r="ER25" s="526">
        <v>120.68</v>
      </c>
      <c r="ES25" s="522">
        <v>417</v>
      </c>
      <c r="ET25" s="526">
        <v>0</v>
      </c>
      <c r="EU25" s="526">
        <v>0</v>
      </c>
      <c r="EV25" s="526">
        <v>0</v>
      </c>
      <c r="EW25" s="522">
        <v>0</v>
      </c>
      <c r="EX25" s="526">
        <v>159</v>
      </c>
      <c r="EY25" s="522">
        <v>26</v>
      </c>
      <c r="EZ25" s="526">
        <v>0</v>
      </c>
      <c r="FA25" s="522">
        <v>0</v>
      </c>
      <c r="FB25" s="526">
        <v>0</v>
      </c>
      <c r="FC25" s="522">
        <v>0</v>
      </c>
      <c r="FD25" s="526">
        <v>0</v>
      </c>
      <c r="FE25" s="522">
        <v>0</v>
      </c>
      <c r="FF25" s="526">
        <v>159</v>
      </c>
      <c r="FG25" s="522">
        <v>26</v>
      </c>
      <c r="FH25" s="526">
        <v>159</v>
      </c>
      <c r="FI25" s="522">
        <v>26</v>
      </c>
      <c r="FJ25" s="522">
        <v>0</v>
      </c>
      <c r="FK25" s="522">
        <v>1</v>
      </c>
      <c r="FL25" s="522">
        <v>0</v>
      </c>
      <c r="FM25" s="522">
        <v>0</v>
      </c>
      <c r="FN25" s="522">
        <v>1</v>
      </c>
      <c r="FO25" s="522">
        <v>0</v>
      </c>
      <c r="FP25" s="522">
        <v>3</v>
      </c>
      <c r="FQ25" s="522">
        <v>48</v>
      </c>
      <c r="FR25" s="522">
        <v>3</v>
      </c>
    </row>
    <row r="26" spans="1:174" x14ac:dyDescent="0.25">
      <c r="A26" s="523" t="s">
        <v>314</v>
      </c>
      <c r="B26" s="523" t="s">
        <v>315</v>
      </c>
      <c r="C26" s="523" t="s">
        <v>287</v>
      </c>
      <c r="D26" s="522">
        <v>9349</v>
      </c>
      <c r="E26" s="522">
        <v>9319</v>
      </c>
      <c r="F26" s="522">
        <v>0</v>
      </c>
      <c r="G26" s="522">
        <v>0</v>
      </c>
      <c r="H26" s="522">
        <v>485</v>
      </c>
      <c r="I26" s="522">
        <v>139</v>
      </c>
      <c r="J26" s="522">
        <v>2134</v>
      </c>
      <c r="K26" s="522">
        <v>2077</v>
      </c>
      <c r="L26" s="522">
        <v>797</v>
      </c>
      <c r="M26" s="522">
        <v>4</v>
      </c>
      <c r="N26" s="522">
        <v>12765</v>
      </c>
      <c r="O26" s="522">
        <v>11539</v>
      </c>
      <c r="P26" s="522">
        <v>11968</v>
      </c>
      <c r="Q26" s="522">
        <v>20</v>
      </c>
      <c r="R26" s="523">
        <v>9</v>
      </c>
      <c r="S26" s="523">
        <v>23</v>
      </c>
      <c r="T26" s="523">
        <v>366</v>
      </c>
      <c r="U26" s="523">
        <v>12399</v>
      </c>
      <c r="V26" s="522">
        <v>9283</v>
      </c>
      <c r="W26" s="522">
        <v>39</v>
      </c>
      <c r="X26" s="522">
        <v>81</v>
      </c>
      <c r="Y26" s="522">
        <v>120</v>
      </c>
      <c r="Z26" s="524">
        <v>115.59</v>
      </c>
      <c r="AA26" s="524">
        <v>116.58</v>
      </c>
      <c r="AB26" s="524">
        <v>6.86</v>
      </c>
      <c r="AC26" s="524">
        <v>121.56</v>
      </c>
      <c r="AD26" s="524">
        <v>8561</v>
      </c>
      <c r="AE26" s="525">
        <v>111.35</v>
      </c>
      <c r="AF26" s="525">
        <v>102.45</v>
      </c>
      <c r="AG26" s="525">
        <v>23.7</v>
      </c>
      <c r="AH26" s="525">
        <v>134.33000000000001</v>
      </c>
      <c r="AI26" s="525">
        <v>2211</v>
      </c>
      <c r="AJ26" s="525">
        <v>160.58000000000001</v>
      </c>
      <c r="AK26" s="525">
        <v>698</v>
      </c>
      <c r="AL26" s="525">
        <v>157.12</v>
      </c>
      <c r="AM26" s="525">
        <v>108</v>
      </c>
      <c r="AN26" s="526">
        <v>0</v>
      </c>
      <c r="AO26" s="526">
        <v>0</v>
      </c>
      <c r="AP26" s="526">
        <v>0</v>
      </c>
      <c r="AQ26" s="526">
        <v>0</v>
      </c>
      <c r="AR26" s="522">
        <v>0</v>
      </c>
      <c r="AS26" s="526">
        <v>86.09</v>
      </c>
      <c r="AT26" s="526">
        <v>85.21</v>
      </c>
      <c r="AU26" s="526">
        <v>15.62</v>
      </c>
      <c r="AV26" s="526">
        <v>101.7</v>
      </c>
      <c r="AW26" s="522">
        <v>147</v>
      </c>
      <c r="AX26" s="526">
        <v>100.14</v>
      </c>
      <c r="AY26" s="526">
        <v>100.68</v>
      </c>
      <c r="AZ26" s="526">
        <v>11.18</v>
      </c>
      <c r="BA26" s="526">
        <v>111.07</v>
      </c>
      <c r="BB26" s="522">
        <v>1880</v>
      </c>
      <c r="BC26" s="526">
        <v>115.14</v>
      </c>
      <c r="BD26" s="526">
        <v>116</v>
      </c>
      <c r="BE26" s="526">
        <v>6.56</v>
      </c>
      <c r="BF26" s="526">
        <v>121.15</v>
      </c>
      <c r="BG26" s="522">
        <v>3380</v>
      </c>
      <c r="BH26" s="526">
        <v>125.56</v>
      </c>
      <c r="BI26" s="526">
        <v>127</v>
      </c>
      <c r="BJ26" s="526">
        <v>3.41</v>
      </c>
      <c r="BK26" s="526">
        <v>128.1</v>
      </c>
      <c r="BL26" s="522">
        <v>2908</v>
      </c>
      <c r="BM26" s="526">
        <v>139.25</v>
      </c>
      <c r="BN26" s="526">
        <v>141.97</v>
      </c>
      <c r="BO26" s="526">
        <v>2.63</v>
      </c>
      <c r="BP26" s="526">
        <v>141.53</v>
      </c>
      <c r="BQ26" s="522">
        <v>235</v>
      </c>
      <c r="BR26" s="526">
        <v>145.66</v>
      </c>
      <c r="BS26" s="526">
        <v>150.9</v>
      </c>
      <c r="BT26" s="526">
        <v>5.01</v>
      </c>
      <c r="BU26" s="526">
        <v>149.66</v>
      </c>
      <c r="BV26" s="522">
        <v>10</v>
      </c>
      <c r="BW26" s="526">
        <v>159.01</v>
      </c>
      <c r="BX26" s="526">
        <v>157.25</v>
      </c>
      <c r="BY26" s="526">
        <v>1.86</v>
      </c>
      <c r="BZ26" s="526">
        <v>160.87</v>
      </c>
      <c r="CA26" s="522">
        <v>1</v>
      </c>
      <c r="CB26" s="526">
        <v>115.59</v>
      </c>
      <c r="CC26" s="526">
        <v>116.58</v>
      </c>
      <c r="CD26" s="526">
        <v>6.86</v>
      </c>
      <c r="CE26" s="526">
        <v>121.56</v>
      </c>
      <c r="CF26" s="522">
        <v>8561</v>
      </c>
      <c r="CG26" s="526">
        <v>115.59</v>
      </c>
      <c r="CH26" s="526">
        <v>116.58</v>
      </c>
      <c r="CI26" s="526">
        <v>6.86</v>
      </c>
      <c r="CJ26" s="526">
        <v>121.56</v>
      </c>
      <c r="CK26" s="522">
        <v>8561</v>
      </c>
      <c r="CL26" s="526">
        <v>116.31</v>
      </c>
      <c r="CM26" s="526">
        <v>92.51</v>
      </c>
      <c r="CN26" s="526">
        <v>87.94</v>
      </c>
      <c r="CO26" s="526">
        <v>183.59</v>
      </c>
      <c r="CP26" s="522">
        <v>149</v>
      </c>
      <c r="CQ26" s="526">
        <v>95.08</v>
      </c>
      <c r="CR26" s="526">
        <v>87.91</v>
      </c>
      <c r="CS26" s="526">
        <v>11.73</v>
      </c>
      <c r="CT26" s="526">
        <v>103.88</v>
      </c>
      <c r="CU26" s="522">
        <v>4</v>
      </c>
      <c r="CV26" s="526">
        <v>108.73</v>
      </c>
      <c r="CW26" s="526">
        <v>101.09</v>
      </c>
      <c r="CX26" s="526">
        <v>20.73</v>
      </c>
      <c r="CY26" s="526">
        <v>129.25</v>
      </c>
      <c r="CZ26" s="522">
        <v>1781</v>
      </c>
      <c r="DA26" s="526">
        <v>123.61</v>
      </c>
      <c r="DB26" s="526">
        <v>115.97</v>
      </c>
      <c r="DC26" s="526">
        <v>15.98</v>
      </c>
      <c r="DD26" s="526">
        <v>139.06</v>
      </c>
      <c r="DE26" s="522">
        <v>270</v>
      </c>
      <c r="DF26" s="526">
        <v>126.86</v>
      </c>
      <c r="DG26" s="526">
        <v>124.08</v>
      </c>
      <c r="DH26" s="526">
        <v>11.94</v>
      </c>
      <c r="DI26" s="526">
        <v>138.80000000000001</v>
      </c>
      <c r="DJ26" s="522">
        <v>3</v>
      </c>
      <c r="DK26" s="526">
        <v>267.55</v>
      </c>
      <c r="DL26" s="526">
        <v>0</v>
      </c>
      <c r="DM26" s="526">
        <v>0</v>
      </c>
      <c r="DN26" s="526">
        <v>267.55</v>
      </c>
      <c r="DO26" s="522">
        <v>4</v>
      </c>
      <c r="DP26" s="526">
        <v>110.99</v>
      </c>
      <c r="DQ26" s="526">
        <v>103.04</v>
      </c>
      <c r="DR26" s="526">
        <v>20.100000000000001</v>
      </c>
      <c r="DS26" s="526">
        <v>130.77000000000001</v>
      </c>
      <c r="DT26" s="522">
        <v>2062</v>
      </c>
      <c r="DU26" s="526">
        <v>111.35</v>
      </c>
      <c r="DV26" s="526">
        <v>102.45</v>
      </c>
      <c r="DW26" s="526">
        <v>23.7</v>
      </c>
      <c r="DX26" s="526">
        <v>134.33000000000001</v>
      </c>
      <c r="DY26" s="522">
        <v>2211</v>
      </c>
      <c r="DZ26" s="526">
        <v>0</v>
      </c>
      <c r="EA26" s="526">
        <v>0</v>
      </c>
      <c r="EB26" s="526">
        <v>118.55</v>
      </c>
      <c r="EC26" s="522">
        <v>11</v>
      </c>
      <c r="ED26" s="526">
        <v>142.28</v>
      </c>
      <c r="EE26" s="522">
        <v>199</v>
      </c>
      <c r="EF26" s="526">
        <v>164.41</v>
      </c>
      <c r="EG26" s="522">
        <v>321</v>
      </c>
      <c r="EH26" s="526">
        <v>175.18</v>
      </c>
      <c r="EI26" s="522">
        <v>157</v>
      </c>
      <c r="EJ26" s="526">
        <v>212.58</v>
      </c>
      <c r="EK26" s="522">
        <v>9</v>
      </c>
      <c r="EL26" s="526">
        <v>276.64999999999998</v>
      </c>
      <c r="EM26" s="522">
        <v>1</v>
      </c>
      <c r="EN26" s="526">
        <v>0</v>
      </c>
      <c r="EO26" s="522">
        <v>0</v>
      </c>
      <c r="EP26" s="526">
        <v>160.58000000000001</v>
      </c>
      <c r="EQ26" s="522">
        <v>698</v>
      </c>
      <c r="ER26" s="526">
        <v>160.58000000000001</v>
      </c>
      <c r="ES26" s="522">
        <v>698</v>
      </c>
      <c r="ET26" s="526">
        <v>0</v>
      </c>
      <c r="EU26" s="526">
        <v>0</v>
      </c>
      <c r="EV26" s="526">
        <v>0</v>
      </c>
      <c r="EW26" s="522">
        <v>0</v>
      </c>
      <c r="EX26" s="526">
        <v>152.62</v>
      </c>
      <c r="EY26" s="522">
        <v>95</v>
      </c>
      <c r="EZ26" s="526">
        <v>190.06</v>
      </c>
      <c r="FA26" s="522">
        <v>13</v>
      </c>
      <c r="FB26" s="526">
        <v>0</v>
      </c>
      <c r="FC26" s="522">
        <v>0</v>
      </c>
      <c r="FD26" s="526">
        <v>0</v>
      </c>
      <c r="FE26" s="522">
        <v>0</v>
      </c>
      <c r="FF26" s="526">
        <v>157.12</v>
      </c>
      <c r="FG26" s="522">
        <v>108</v>
      </c>
      <c r="FH26" s="526">
        <v>157.12</v>
      </c>
      <c r="FI26" s="522">
        <v>108</v>
      </c>
      <c r="FJ26" s="522">
        <v>0</v>
      </c>
      <c r="FK26" s="522">
        <v>8</v>
      </c>
      <c r="FL26" s="522">
        <v>5</v>
      </c>
      <c r="FM26" s="522">
        <v>0</v>
      </c>
      <c r="FN26" s="522">
        <v>3</v>
      </c>
      <c r="FO26" s="522">
        <v>0</v>
      </c>
      <c r="FP26" s="522">
        <v>14</v>
      </c>
      <c r="FQ26" s="522">
        <v>40</v>
      </c>
      <c r="FR26" s="522">
        <v>7</v>
      </c>
    </row>
    <row r="27" spans="1:174" x14ac:dyDescent="0.25">
      <c r="A27" s="523" t="s">
        <v>316</v>
      </c>
      <c r="B27" s="523" t="s">
        <v>317</v>
      </c>
      <c r="C27" s="523" t="s">
        <v>283</v>
      </c>
      <c r="D27" s="522">
        <v>11304</v>
      </c>
      <c r="E27" s="522">
        <v>11182</v>
      </c>
      <c r="F27" s="522">
        <v>66</v>
      </c>
      <c r="G27" s="522">
        <v>0</v>
      </c>
      <c r="H27" s="522">
        <v>465</v>
      </c>
      <c r="I27" s="522">
        <v>287</v>
      </c>
      <c r="J27" s="522">
        <v>1100</v>
      </c>
      <c r="K27" s="522">
        <v>951</v>
      </c>
      <c r="L27" s="522">
        <v>1551</v>
      </c>
      <c r="M27" s="522">
        <v>92</v>
      </c>
      <c r="N27" s="522">
        <v>14486</v>
      </c>
      <c r="O27" s="522">
        <v>12512</v>
      </c>
      <c r="P27" s="522">
        <v>12935</v>
      </c>
      <c r="Q27" s="522">
        <v>8</v>
      </c>
      <c r="R27" s="523">
        <v>12</v>
      </c>
      <c r="S27" s="523">
        <v>29</v>
      </c>
      <c r="T27" s="523">
        <v>391</v>
      </c>
      <c r="U27" s="523">
        <v>14095</v>
      </c>
      <c r="V27" s="522">
        <v>11193</v>
      </c>
      <c r="W27" s="522">
        <v>75</v>
      </c>
      <c r="X27" s="522">
        <v>44</v>
      </c>
      <c r="Y27" s="522">
        <v>119</v>
      </c>
      <c r="Z27" s="524">
        <v>112.69</v>
      </c>
      <c r="AA27" s="524">
        <v>116.2</v>
      </c>
      <c r="AB27" s="524">
        <v>11.18</v>
      </c>
      <c r="AC27" s="524">
        <v>120.67</v>
      </c>
      <c r="AD27" s="524">
        <v>9208</v>
      </c>
      <c r="AE27" s="525">
        <v>120.45</v>
      </c>
      <c r="AF27" s="525">
        <v>110.58</v>
      </c>
      <c r="AG27" s="525">
        <v>62.52</v>
      </c>
      <c r="AH27" s="525">
        <v>180.74</v>
      </c>
      <c r="AI27" s="525">
        <v>1261</v>
      </c>
      <c r="AJ27" s="525">
        <v>160.16999999999999</v>
      </c>
      <c r="AK27" s="525">
        <v>1843</v>
      </c>
      <c r="AL27" s="525">
        <v>158.02000000000001</v>
      </c>
      <c r="AM27" s="525">
        <v>24</v>
      </c>
      <c r="AN27" s="526">
        <v>0</v>
      </c>
      <c r="AO27" s="526">
        <v>0</v>
      </c>
      <c r="AP27" s="526">
        <v>0</v>
      </c>
      <c r="AQ27" s="526">
        <v>0</v>
      </c>
      <c r="AR27" s="522">
        <v>0</v>
      </c>
      <c r="AS27" s="526">
        <v>84.56</v>
      </c>
      <c r="AT27" s="526">
        <v>87.85</v>
      </c>
      <c r="AU27" s="526">
        <v>24.19</v>
      </c>
      <c r="AV27" s="526">
        <v>108.75</v>
      </c>
      <c r="AW27" s="522">
        <v>208</v>
      </c>
      <c r="AX27" s="526">
        <v>96.24</v>
      </c>
      <c r="AY27" s="526">
        <v>99.07</v>
      </c>
      <c r="AZ27" s="526">
        <v>15.28</v>
      </c>
      <c r="BA27" s="526">
        <v>110.27</v>
      </c>
      <c r="BB27" s="522">
        <v>2462</v>
      </c>
      <c r="BC27" s="526">
        <v>110.17</v>
      </c>
      <c r="BD27" s="526">
        <v>113.38</v>
      </c>
      <c r="BE27" s="526">
        <v>11.6</v>
      </c>
      <c r="BF27" s="526">
        <v>118.77</v>
      </c>
      <c r="BG27" s="522">
        <v>3051</v>
      </c>
      <c r="BH27" s="526">
        <v>125.94</v>
      </c>
      <c r="BI27" s="526">
        <v>130.22999999999999</v>
      </c>
      <c r="BJ27" s="526">
        <v>4.2</v>
      </c>
      <c r="BK27" s="526">
        <v>128.12</v>
      </c>
      <c r="BL27" s="522">
        <v>3075</v>
      </c>
      <c r="BM27" s="526">
        <v>142.26</v>
      </c>
      <c r="BN27" s="526">
        <v>146.66999999999999</v>
      </c>
      <c r="BO27" s="526">
        <v>3.9</v>
      </c>
      <c r="BP27" s="526">
        <v>144.66</v>
      </c>
      <c r="BQ27" s="522">
        <v>348</v>
      </c>
      <c r="BR27" s="526">
        <v>159.80000000000001</v>
      </c>
      <c r="BS27" s="526">
        <v>164.43</v>
      </c>
      <c r="BT27" s="526">
        <v>4.1100000000000003</v>
      </c>
      <c r="BU27" s="526">
        <v>162.34</v>
      </c>
      <c r="BV27" s="522">
        <v>60</v>
      </c>
      <c r="BW27" s="526">
        <v>157.71</v>
      </c>
      <c r="BX27" s="526">
        <v>166.65</v>
      </c>
      <c r="BY27" s="526">
        <v>0</v>
      </c>
      <c r="BZ27" s="526">
        <v>157.71</v>
      </c>
      <c r="CA27" s="522">
        <v>4</v>
      </c>
      <c r="CB27" s="526">
        <v>112.69</v>
      </c>
      <c r="CC27" s="526">
        <v>116.2</v>
      </c>
      <c r="CD27" s="526">
        <v>11.18</v>
      </c>
      <c r="CE27" s="526">
        <v>120.67</v>
      </c>
      <c r="CF27" s="522">
        <v>9208</v>
      </c>
      <c r="CG27" s="526">
        <v>112.69</v>
      </c>
      <c r="CH27" s="526">
        <v>116.2</v>
      </c>
      <c r="CI27" s="526">
        <v>11.18</v>
      </c>
      <c r="CJ27" s="526">
        <v>120.67</v>
      </c>
      <c r="CK27" s="522">
        <v>9208</v>
      </c>
      <c r="CL27" s="526">
        <v>110.83</v>
      </c>
      <c r="CM27" s="526">
        <v>92.72</v>
      </c>
      <c r="CN27" s="526">
        <v>72.63</v>
      </c>
      <c r="CO27" s="526">
        <v>165.54</v>
      </c>
      <c r="CP27" s="522">
        <v>77</v>
      </c>
      <c r="CQ27" s="526">
        <v>95.34</v>
      </c>
      <c r="CR27" s="526">
        <v>91.78</v>
      </c>
      <c r="CS27" s="526">
        <v>55.29</v>
      </c>
      <c r="CT27" s="526">
        <v>150.05000000000001</v>
      </c>
      <c r="CU27" s="522">
        <v>97</v>
      </c>
      <c r="CV27" s="526">
        <v>120.45</v>
      </c>
      <c r="CW27" s="526">
        <v>109.21</v>
      </c>
      <c r="CX27" s="526">
        <v>64.069999999999993</v>
      </c>
      <c r="CY27" s="526">
        <v>182.83</v>
      </c>
      <c r="CZ27" s="522">
        <v>908</v>
      </c>
      <c r="DA27" s="526">
        <v>137.29</v>
      </c>
      <c r="DB27" s="526">
        <v>130.26</v>
      </c>
      <c r="DC27" s="526">
        <v>56.62</v>
      </c>
      <c r="DD27" s="526">
        <v>193.57</v>
      </c>
      <c r="DE27" s="522">
        <v>168</v>
      </c>
      <c r="DF27" s="526">
        <v>152</v>
      </c>
      <c r="DG27" s="526">
        <v>145.29</v>
      </c>
      <c r="DH27" s="526">
        <v>37.409999999999997</v>
      </c>
      <c r="DI27" s="526">
        <v>189.41</v>
      </c>
      <c r="DJ27" s="522">
        <v>11</v>
      </c>
      <c r="DK27" s="526">
        <v>0</v>
      </c>
      <c r="DL27" s="526">
        <v>0</v>
      </c>
      <c r="DM27" s="526">
        <v>0</v>
      </c>
      <c r="DN27" s="526">
        <v>0</v>
      </c>
      <c r="DO27" s="522">
        <v>0</v>
      </c>
      <c r="DP27" s="526">
        <v>121.07</v>
      </c>
      <c r="DQ27" s="526">
        <v>111.05</v>
      </c>
      <c r="DR27" s="526">
        <v>62.01</v>
      </c>
      <c r="DS27" s="526">
        <v>181.73</v>
      </c>
      <c r="DT27" s="522">
        <v>1184</v>
      </c>
      <c r="DU27" s="526">
        <v>120.45</v>
      </c>
      <c r="DV27" s="526">
        <v>110.58</v>
      </c>
      <c r="DW27" s="526">
        <v>62.52</v>
      </c>
      <c r="DX27" s="526">
        <v>180.74</v>
      </c>
      <c r="DY27" s="522">
        <v>1261</v>
      </c>
      <c r="DZ27" s="526">
        <v>0</v>
      </c>
      <c r="EA27" s="526">
        <v>0</v>
      </c>
      <c r="EB27" s="526">
        <v>106.72</v>
      </c>
      <c r="EC27" s="522">
        <v>6</v>
      </c>
      <c r="ED27" s="526">
        <v>122.19</v>
      </c>
      <c r="EE27" s="522">
        <v>317</v>
      </c>
      <c r="EF27" s="526">
        <v>156.27000000000001</v>
      </c>
      <c r="EG27" s="522">
        <v>859</v>
      </c>
      <c r="EH27" s="526">
        <v>179.99</v>
      </c>
      <c r="EI27" s="522">
        <v>585</v>
      </c>
      <c r="EJ27" s="526">
        <v>214.71</v>
      </c>
      <c r="EK27" s="522">
        <v>69</v>
      </c>
      <c r="EL27" s="526">
        <v>210.65</v>
      </c>
      <c r="EM27" s="522">
        <v>7</v>
      </c>
      <c r="EN27" s="526">
        <v>0</v>
      </c>
      <c r="EO27" s="522">
        <v>0</v>
      </c>
      <c r="EP27" s="526">
        <v>160.16999999999999</v>
      </c>
      <c r="EQ27" s="522">
        <v>1843</v>
      </c>
      <c r="ER27" s="526">
        <v>160.16999999999999</v>
      </c>
      <c r="ES27" s="522">
        <v>1843</v>
      </c>
      <c r="ET27" s="526">
        <v>0</v>
      </c>
      <c r="EU27" s="526">
        <v>0</v>
      </c>
      <c r="EV27" s="526">
        <v>0</v>
      </c>
      <c r="EW27" s="522">
        <v>0</v>
      </c>
      <c r="EX27" s="526">
        <v>158.02000000000001</v>
      </c>
      <c r="EY27" s="522">
        <v>24</v>
      </c>
      <c r="EZ27" s="526">
        <v>0</v>
      </c>
      <c r="FA27" s="522">
        <v>0</v>
      </c>
      <c r="FB27" s="526">
        <v>0</v>
      </c>
      <c r="FC27" s="522">
        <v>0</v>
      </c>
      <c r="FD27" s="526">
        <v>0</v>
      </c>
      <c r="FE27" s="522">
        <v>0</v>
      </c>
      <c r="FF27" s="526">
        <v>158.02000000000001</v>
      </c>
      <c r="FG27" s="522">
        <v>24</v>
      </c>
      <c r="FH27" s="526">
        <v>158.02000000000001</v>
      </c>
      <c r="FI27" s="522">
        <v>24</v>
      </c>
      <c r="FJ27" s="522">
        <v>19</v>
      </c>
      <c r="FK27" s="522">
        <v>2</v>
      </c>
      <c r="FL27" s="522">
        <v>1</v>
      </c>
      <c r="FM27" s="522">
        <v>0</v>
      </c>
      <c r="FN27" s="522">
        <v>1</v>
      </c>
      <c r="FO27" s="522">
        <v>0</v>
      </c>
      <c r="FP27" s="522">
        <v>11</v>
      </c>
      <c r="FQ27" s="522">
        <v>199</v>
      </c>
      <c r="FR27" s="522">
        <v>12</v>
      </c>
    </row>
    <row r="28" spans="1:174" x14ac:dyDescent="0.25">
      <c r="A28" s="523" t="s">
        <v>318</v>
      </c>
      <c r="B28" s="523" t="s">
        <v>319</v>
      </c>
      <c r="C28" s="523" t="s">
        <v>284</v>
      </c>
      <c r="D28" s="522">
        <v>12607</v>
      </c>
      <c r="E28" s="522">
        <v>11634</v>
      </c>
      <c r="F28" s="522">
        <v>68</v>
      </c>
      <c r="G28" s="522">
        <v>5</v>
      </c>
      <c r="H28" s="522">
        <v>160</v>
      </c>
      <c r="I28" s="522">
        <v>90</v>
      </c>
      <c r="J28" s="522">
        <v>1340</v>
      </c>
      <c r="K28" s="522">
        <v>1187</v>
      </c>
      <c r="L28" s="522">
        <v>1501</v>
      </c>
      <c r="M28" s="522">
        <v>361</v>
      </c>
      <c r="N28" s="522">
        <v>15676</v>
      </c>
      <c r="O28" s="522">
        <v>13277</v>
      </c>
      <c r="P28" s="522">
        <v>14175</v>
      </c>
      <c r="Q28" s="522">
        <v>65</v>
      </c>
      <c r="R28" s="523">
        <v>17</v>
      </c>
      <c r="S28" s="523">
        <v>25</v>
      </c>
      <c r="T28" s="523">
        <v>1144</v>
      </c>
      <c r="U28" s="523">
        <v>14532</v>
      </c>
      <c r="V28" s="522">
        <v>11700</v>
      </c>
      <c r="W28" s="522">
        <v>80</v>
      </c>
      <c r="X28" s="522">
        <v>251</v>
      </c>
      <c r="Y28" s="522">
        <v>331</v>
      </c>
      <c r="Z28" s="524">
        <v>126.63</v>
      </c>
      <c r="AA28" s="524">
        <v>127.07</v>
      </c>
      <c r="AB28" s="524">
        <v>15.25</v>
      </c>
      <c r="AC28" s="524">
        <v>140.37</v>
      </c>
      <c r="AD28" s="524">
        <v>9596</v>
      </c>
      <c r="AE28" s="525">
        <v>113.64</v>
      </c>
      <c r="AF28" s="525">
        <v>108.89</v>
      </c>
      <c r="AG28" s="525">
        <v>47.37</v>
      </c>
      <c r="AH28" s="525">
        <v>159.62</v>
      </c>
      <c r="AI28" s="525">
        <v>1326</v>
      </c>
      <c r="AJ28" s="525">
        <v>191.16</v>
      </c>
      <c r="AK28" s="525">
        <v>2025</v>
      </c>
      <c r="AL28" s="525">
        <v>0</v>
      </c>
      <c r="AM28" s="525">
        <v>0</v>
      </c>
      <c r="AN28" s="526">
        <v>100.75</v>
      </c>
      <c r="AO28" s="526">
        <v>106.07</v>
      </c>
      <c r="AP28" s="526">
        <v>28.81</v>
      </c>
      <c r="AQ28" s="526">
        <v>129.56</v>
      </c>
      <c r="AR28" s="522">
        <v>2</v>
      </c>
      <c r="AS28" s="526">
        <v>82.78</v>
      </c>
      <c r="AT28" s="526">
        <v>84.67</v>
      </c>
      <c r="AU28" s="526">
        <v>21.76</v>
      </c>
      <c r="AV28" s="526">
        <v>104.53</v>
      </c>
      <c r="AW28" s="522">
        <v>141</v>
      </c>
      <c r="AX28" s="526">
        <v>102.32</v>
      </c>
      <c r="AY28" s="526">
        <v>103.53</v>
      </c>
      <c r="AZ28" s="526">
        <v>21.45</v>
      </c>
      <c r="BA28" s="526">
        <v>122.54</v>
      </c>
      <c r="BB28" s="522">
        <v>2250</v>
      </c>
      <c r="BC28" s="526">
        <v>120.14</v>
      </c>
      <c r="BD28" s="526">
        <v>120.16</v>
      </c>
      <c r="BE28" s="526">
        <v>19.73</v>
      </c>
      <c r="BF28" s="526">
        <v>138.34</v>
      </c>
      <c r="BG28" s="522">
        <v>2991</v>
      </c>
      <c r="BH28" s="526">
        <v>145.03</v>
      </c>
      <c r="BI28" s="526">
        <v>145.12</v>
      </c>
      <c r="BJ28" s="526">
        <v>7.39</v>
      </c>
      <c r="BK28" s="526">
        <v>151.46</v>
      </c>
      <c r="BL28" s="522">
        <v>3626</v>
      </c>
      <c r="BM28" s="526">
        <v>149.41999999999999</v>
      </c>
      <c r="BN28" s="526">
        <v>150.80000000000001</v>
      </c>
      <c r="BO28" s="526">
        <v>11.66</v>
      </c>
      <c r="BP28" s="526">
        <v>158.76</v>
      </c>
      <c r="BQ28" s="522">
        <v>572</v>
      </c>
      <c r="BR28" s="526">
        <v>167.15</v>
      </c>
      <c r="BS28" s="526">
        <v>170.14</v>
      </c>
      <c r="BT28" s="526">
        <v>12.63</v>
      </c>
      <c r="BU28" s="526">
        <v>177.67</v>
      </c>
      <c r="BV28" s="522">
        <v>12</v>
      </c>
      <c r="BW28" s="526">
        <v>168.25</v>
      </c>
      <c r="BX28" s="526">
        <v>166.39</v>
      </c>
      <c r="BY28" s="526">
        <v>4.62</v>
      </c>
      <c r="BZ28" s="526">
        <v>172.87</v>
      </c>
      <c r="CA28" s="522">
        <v>2</v>
      </c>
      <c r="CB28" s="526">
        <v>126.63</v>
      </c>
      <c r="CC28" s="526">
        <v>127.07</v>
      </c>
      <c r="CD28" s="526">
        <v>15.25</v>
      </c>
      <c r="CE28" s="526">
        <v>140.37</v>
      </c>
      <c r="CF28" s="522">
        <v>9594</v>
      </c>
      <c r="CG28" s="526">
        <v>126.63</v>
      </c>
      <c r="CH28" s="526">
        <v>127.07</v>
      </c>
      <c r="CI28" s="526">
        <v>15.25</v>
      </c>
      <c r="CJ28" s="526">
        <v>140.37</v>
      </c>
      <c r="CK28" s="522">
        <v>9596</v>
      </c>
      <c r="CL28" s="526">
        <v>130.62</v>
      </c>
      <c r="CM28" s="526">
        <v>92.78</v>
      </c>
      <c r="CN28" s="526">
        <v>31.48</v>
      </c>
      <c r="CO28" s="526">
        <v>158.16</v>
      </c>
      <c r="CP28" s="522">
        <v>64</v>
      </c>
      <c r="CQ28" s="526">
        <v>102.56</v>
      </c>
      <c r="CR28" s="526">
        <v>96.57</v>
      </c>
      <c r="CS28" s="526">
        <v>42.82</v>
      </c>
      <c r="CT28" s="526">
        <v>144.38999999999999</v>
      </c>
      <c r="CU28" s="522">
        <v>130</v>
      </c>
      <c r="CV28" s="526">
        <v>113.22</v>
      </c>
      <c r="CW28" s="526">
        <v>110.39</v>
      </c>
      <c r="CX28" s="526">
        <v>48.91</v>
      </c>
      <c r="CY28" s="526">
        <v>160.91999999999999</v>
      </c>
      <c r="CZ28" s="522">
        <v>1097</v>
      </c>
      <c r="DA28" s="526">
        <v>128.33000000000001</v>
      </c>
      <c r="DB28" s="526">
        <v>123.23</v>
      </c>
      <c r="DC28" s="526">
        <v>41.61</v>
      </c>
      <c r="DD28" s="526">
        <v>168.27</v>
      </c>
      <c r="DE28" s="522">
        <v>25</v>
      </c>
      <c r="DF28" s="526">
        <v>159.01</v>
      </c>
      <c r="DG28" s="526">
        <v>156.13</v>
      </c>
      <c r="DH28" s="526">
        <v>44.01</v>
      </c>
      <c r="DI28" s="526">
        <v>203.02</v>
      </c>
      <c r="DJ28" s="522">
        <v>10</v>
      </c>
      <c r="DK28" s="526">
        <v>0</v>
      </c>
      <c r="DL28" s="526">
        <v>0</v>
      </c>
      <c r="DM28" s="526">
        <v>0</v>
      </c>
      <c r="DN28" s="526">
        <v>0</v>
      </c>
      <c r="DO28" s="522">
        <v>0</v>
      </c>
      <c r="DP28" s="526">
        <v>112.78</v>
      </c>
      <c r="DQ28" s="526">
        <v>109.58</v>
      </c>
      <c r="DR28" s="526">
        <v>48.1</v>
      </c>
      <c r="DS28" s="526">
        <v>159.69999999999999</v>
      </c>
      <c r="DT28" s="522">
        <v>1262</v>
      </c>
      <c r="DU28" s="526">
        <v>113.64</v>
      </c>
      <c r="DV28" s="526">
        <v>108.89</v>
      </c>
      <c r="DW28" s="526">
        <v>47.37</v>
      </c>
      <c r="DX28" s="526">
        <v>159.62</v>
      </c>
      <c r="DY28" s="522">
        <v>1326</v>
      </c>
      <c r="DZ28" s="526">
        <v>0</v>
      </c>
      <c r="EA28" s="526">
        <v>0</v>
      </c>
      <c r="EB28" s="526">
        <v>107.92</v>
      </c>
      <c r="EC28" s="522">
        <v>17</v>
      </c>
      <c r="ED28" s="526">
        <v>165.5</v>
      </c>
      <c r="EE28" s="522">
        <v>588</v>
      </c>
      <c r="EF28" s="526">
        <v>193.76</v>
      </c>
      <c r="EG28" s="522">
        <v>876</v>
      </c>
      <c r="EH28" s="526">
        <v>215.53</v>
      </c>
      <c r="EI28" s="522">
        <v>469</v>
      </c>
      <c r="EJ28" s="526">
        <v>229.2</v>
      </c>
      <c r="EK28" s="522">
        <v>72</v>
      </c>
      <c r="EL28" s="526">
        <v>212.77</v>
      </c>
      <c r="EM28" s="522">
        <v>1</v>
      </c>
      <c r="EN28" s="526">
        <v>213.3</v>
      </c>
      <c r="EO28" s="522">
        <v>2</v>
      </c>
      <c r="EP28" s="526">
        <v>191.16</v>
      </c>
      <c r="EQ28" s="522">
        <v>2025</v>
      </c>
      <c r="ER28" s="526">
        <v>191.16</v>
      </c>
      <c r="ES28" s="522">
        <v>2025</v>
      </c>
      <c r="ET28" s="526">
        <v>0</v>
      </c>
      <c r="EU28" s="526">
        <v>0</v>
      </c>
      <c r="EV28" s="526">
        <v>0</v>
      </c>
      <c r="EW28" s="522">
        <v>0</v>
      </c>
      <c r="EX28" s="526">
        <v>0</v>
      </c>
      <c r="EY28" s="522">
        <v>0</v>
      </c>
      <c r="EZ28" s="526">
        <v>0</v>
      </c>
      <c r="FA28" s="522">
        <v>0</v>
      </c>
      <c r="FB28" s="526">
        <v>0</v>
      </c>
      <c r="FC28" s="522">
        <v>0</v>
      </c>
      <c r="FD28" s="526">
        <v>0</v>
      </c>
      <c r="FE28" s="522">
        <v>0</v>
      </c>
      <c r="FF28" s="526">
        <v>0</v>
      </c>
      <c r="FG28" s="522">
        <v>0</v>
      </c>
      <c r="FH28" s="526">
        <v>0</v>
      </c>
      <c r="FI28" s="522">
        <v>0</v>
      </c>
      <c r="FJ28" s="522">
        <v>3</v>
      </c>
      <c r="FK28" s="522">
        <v>5</v>
      </c>
      <c r="FL28" s="522">
        <v>3</v>
      </c>
      <c r="FM28" s="522">
        <v>0</v>
      </c>
      <c r="FN28" s="522">
        <v>2</v>
      </c>
      <c r="FO28" s="522">
        <v>0</v>
      </c>
      <c r="FP28" s="522">
        <v>29</v>
      </c>
      <c r="FQ28" s="522">
        <v>65</v>
      </c>
      <c r="FR28" s="522">
        <v>36</v>
      </c>
    </row>
    <row r="29" spans="1:174" x14ac:dyDescent="0.25">
      <c r="A29" s="523" t="s">
        <v>320</v>
      </c>
      <c r="B29" s="523" t="s">
        <v>321</v>
      </c>
      <c r="C29" s="523" t="s">
        <v>288</v>
      </c>
      <c r="D29" s="522">
        <v>33735</v>
      </c>
      <c r="E29" s="522">
        <v>32798</v>
      </c>
      <c r="F29" s="522">
        <v>310</v>
      </c>
      <c r="G29" s="522">
        <v>0</v>
      </c>
      <c r="H29" s="522">
        <v>6466</v>
      </c>
      <c r="I29" s="522">
        <v>1604</v>
      </c>
      <c r="J29" s="522">
        <v>4815</v>
      </c>
      <c r="K29" s="522">
        <v>3603</v>
      </c>
      <c r="L29" s="522">
        <v>3170</v>
      </c>
      <c r="M29" s="522">
        <v>66</v>
      </c>
      <c r="N29" s="522">
        <v>48496</v>
      </c>
      <c r="O29" s="522">
        <v>38071</v>
      </c>
      <c r="P29" s="522">
        <v>45326</v>
      </c>
      <c r="Q29" s="522">
        <v>124</v>
      </c>
      <c r="R29" s="523">
        <v>50</v>
      </c>
      <c r="S29" s="523">
        <v>35</v>
      </c>
      <c r="T29" s="523">
        <v>5553</v>
      </c>
      <c r="U29" s="523">
        <v>42943</v>
      </c>
      <c r="V29" s="522">
        <v>32345</v>
      </c>
      <c r="W29" s="522">
        <v>135</v>
      </c>
      <c r="X29" s="522">
        <v>172</v>
      </c>
      <c r="Y29" s="522">
        <v>307</v>
      </c>
      <c r="Z29" s="524">
        <v>105.88</v>
      </c>
      <c r="AA29" s="524">
        <v>108.11</v>
      </c>
      <c r="AB29" s="524">
        <v>10.09</v>
      </c>
      <c r="AC29" s="524">
        <v>113.43</v>
      </c>
      <c r="AD29" s="524">
        <v>29933</v>
      </c>
      <c r="AE29" s="525">
        <v>97.49</v>
      </c>
      <c r="AF29" s="525">
        <v>92.85</v>
      </c>
      <c r="AG29" s="525">
        <v>101.26</v>
      </c>
      <c r="AH29" s="525">
        <v>195.4</v>
      </c>
      <c r="AI29" s="525">
        <v>7385</v>
      </c>
      <c r="AJ29" s="525">
        <v>137.63</v>
      </c>
      <c r="AK29" s="525">
        <v>1924</v>
      </c>
      <c r="AL29" s="525">
        <v>167.14</v>
      </c>
      <c r="AM29" s="525">
        <v>75</v>
      </c>
      <c r="AN29" s="526">
        <v>0</v>
      </c>
      <c r="AO29" s="526">
        <v>0</v>
      </c>
      <c r="AP29" s="526">
        <v>0</v>
      </c>
      <c r="AQ29" s="526">
        <v>0</v>
      </c>
      <c r="AR29" s="522">
        <v>0</v>
      </c>
      <c r="AS29" s="526">
        <v>80.319999999999993</v>
      </c>
      <c r="AT29" s="526">
        <v>80.19</v>
      </c>
      <c r="AU29" s="526">
        <v>17.88</v>
      </c>
      <c r="AV29" s="526">
        <v>97.9</v>
      </c>
      <c r="AW29" s="522">
        <v>484</v>
      </c>
      <c r="AX29" s="526">
        <v>91.08</v>
      </c>
      <c r="AY29" s="526">
        <v>91.44</v>
      </c>
      <c r="AZ29" s="526">
        <v>15.55</v>
      </c>
      <c r="BA29" s="526">
        <v>105.82</v>
      </c>
      <c r="BB29" s="522">
        <v>8135</v>
      </c>
      <c r="BC29" s="526">
        <v>104.54</v>
      </c>
      <c r="BD29" s="526">
        <v>106.57</v>
      </c>
      <c r="BE29" s="526">
        <v>9.67</v>
      </c>
      <c r="BF29" s="526">
        <v>111.98</v>
      </c>
      <c r="BG29" s="522">
        <v>10771</v>
      </c>
      <c r="BH29" s="526">
        <v>116.56</v>
      </c>
      <c r="BI29" s="526">
        <v>120.64</v>
      </c>
      <c r="BJ29" s="526">
        <v>3.23</v>
      </c>
      <c r="BK29" s="526">
        <v>118.35</v>
      </c>
      <c r="BL29" s="522">
        <v>7970</v>
      </c>
      <c r="BM29" s="526">
        <v>127.73</v>
      </c>
      <c r="BN29" s="526">
        <v>131.27000000000001</v>
      </c>
      <c r="BO29" s="526">
        <v>2.2200000000000002</v>
      </c>
      <c r="BP29" s="526">
        <v>128.97999999999999</v>
      </c>
      <c r="BQ29" s="522">
        <v>2077</v>
      </c>
      <c r="BR29" s="526">
        <v>137.22</v>
      </c>
      <c r="BS29" s="526">
        <v>143.26</v>
      </c>
      <c r="BT29" s="526">
        <v>2.17</v>
      </c>
      <c r="BU29" s="526">
        <v>138.65</v>
      </c>
      <c r="BV29" s="522">
        <v>406</v>
      </c>
      <c r="BW29" s="526">
        <v>149.5</v>
      </c>
      <c r="BX29" s="526">
        <v>152.69</v>
      </c>
      <c r="BY29" s="526">
        <v>1.87</v>
      </c>
      <c r="BZ29" s="526">
        <v>150.87</v>
      </c>
      <c r="CA29" s="522">
        <v>90</v>
      </c>
      <c r="CB29" s="526">
        <v>105.88</v>
      </c>
      <c r="CC29" s="526">
        <v>108.11</v>
      </c>
      <c r="CD29" s="526">
        <v>10.09</v>
      </c>
      <c r="CE29" s="526">
        <v>113.43</v>
      </c>
      <c r="CF29" s="522">
        <v>29933</v>
      </c>
      <c r="CG29" s="526">
        <v>105.88</v>
      </c>
      <c r="CH29" s="526">
        <v>108.11</v>
      </c>
      <c r="CI29" s="526">
        <v>10.09</v>
      </c>
      <c r="CJ29" s="526">
        <v>113.43</v>
      </c>
      <c r="CK29" s="522">
        <v>29933</v>
      </c>
      <c r="CL29" s="526">
        <v>82.96</v>
      </c>
      <c r="CM29" s="526">
        <v>86.8</v>
      </c>
      <c r="CN29" s="526">
        <v>168.12</v>
      </c>
      <c r="CO29" s="526">
        <v>244.15</v>
      </c>
      <c r="CP29" s="522">
        <v>2572</v>
      </c>
      <c r="CQ29" s="526">
        <v>83.87</v>
      </c>
      <c r="CR29" s="526">
        <v>82.55</v>
      </c>
      <c r="CS29" s="526">
        <v>80.430000000000007</v>
      </c>
      <c r="CT29" s="526">
        <v>152.63</v>
      </c>
      <c r="CU29" s="522">
        <v>441</v>
      </c>
      <c r="CV29" s="526">
        <v>104.41</v>
      </c>
      <c r="CW29" s="526">
        <v>94.02</v>
      </c>
      <c r="CX29" s="526">
        <v>63.56</v>
      </c>
      <c r="CY29" s="526">
        <v>167.09</v>
      </c>
      <c r="CZ29" s="522">
        <v>3778</v>
      </c>
      <c r="DA29" s="526">
        <v>124.76</v>
      </c>
      <c r="DB29" s="526">
        <v>118.28</v>
      </c>
      <c r="DC29" s="526">
        <v>70.23</v>
      </c>
      <c r="DD29" s="526">
        <v>193.76</v>
      </c>
      <c r="DE29" s="522">
        <v>512</v>
      </c>
      <c r="DF29" s="526">
        <v>131</v>
      </c>
      <c r="DG29" s="526">
        <v>126.82</v>
      </c>
      <c r="DH29" s="526">
        <v>87.7</v>
      </c>
      <c r="DI29" s="526">
        <v>208.31</v>
      </c>
      <c r="DJ29" s="522">
        <v>76</v>
      </c>
      <c r="DK29" s="526">
        <v>222.71</v>
      </c>
      <c r="DL29" s="526">
        <v>162.31</v>
      </c>
      <c r="DM29" s="526">
        <v>77.45</v>
      </c>
      <c r="DN29" s="526">
        <v>248.52</v>
      </c>
      <c r="DO29" s="522">
        <v>6</v>
      </c>
      <c r="DP29" s="526">
        <v>105.26</v>
      </c>
      <c r="DQ29" s="526">
        <v>96.06</v>
      </c>
      <c r="DR29" s="526">
        <v>65.989999999999995</v>
      </c>
      <c r="DS29" s="526">
        <v>169.36</v>
      </c>
      <c r="DT29" s="522">
        <v>4813</v>
      </c>
      <c r="DU29" s="526">
        <v>97.49</v>
      </c>
      <c r="DV29" s="526">
        <v>92.85</v>
      </c>
      <c r="DW29" s="526">
        <v>101.26</v>
      </c>
      <c r="DX29" s="526">
        <v>195.4</v>
      </c>
      <c r="DY29" s="522">
        <v>7385</v>
      </c>
      <c r="DZ29" s="526">
        <v>0</v>
      </c>
      <c r="EA29" s="526">
        <v>0</v>
      </c>
      <c r="EB29" s="526">
        <v>0</v>
      </c>
      <c r="EC29" s="522">
        <v>0</v>
      </c>
      <c r="ED29" s="526">
        <v>114.43</v>
      </c>
      <c r="EE29" s="522">
        <v>262</v>
      </c>
      <c r="EF29" s="526">
        <v>132.30000000000001</v>
      </c>
      <c r="EG29" s="522">
        <v>987</v>
      </c>
      <c r="EH29" s="526">
        <v>147.66</v>
      </c>
      <c r="EI29" s="522">
        <v>496</v>
      </c>
      <c r="EJ29" s="526">
        <v>172.04</v>
      </c>
      <c r="EK29" s="522">
        <v>158</v>
      </c>
      <c r="EL29" s="526">
        <v>180.71</v>
      </c>
      <c r="EM29" s="522">
        <v>15</v>
      </c>
      <c r="EN29" s="526">
        <v>183.58</v>
      </c>
      <c r="EO29" s="522">
        <v>6</v>
      </c>
      <c r="EP29" s="526">
        <v>137.63</v>
      </c>
      <c r="EQ29" s="522">
        <v>1924</v>
      </c>
      <c r="ER29" s="526">
        <v>137.63</v>
      </c>
      <c r="ES29" s="522">
        <v>1924</v>
      </c>
      <c r="ET29" s="526">
        <v>0</v>
      </c>
      <c r="EU29" s="526">
        <v>0</v>
      </c>
      <c r="EV29" s="526">
        <v>0</v>
      </c>
      <c r="EW29" s="522">
        <v>0</v>
      </c>
      <c r="EX29" s="526">
        <v>150.09</v>
      </c>
      <c r="EY29" s="522">
        <v>49</v>
      </c>
      <c r="EZ29" s="526">
        <v>196.74</v>
      </c>
      <c r="FA29" s="522">
        <v>25</v>
      </c>
      <c r="FB29" s="526">
        <v>262.8</v>
      </c>
      <c r="FC29" s="522">
        <v>1</v>
      </c>
      <c r="FD29" s="526">
        <v>0</v>
      </c>
      <c r="FE29" s="522">
        <v>0</v>
      </c>
      <c r="FF29" s="526">
        <v>167.14</v>
      </c>
      <c r="FG29" s="522">
        <v>75</v>
      </c>
      <c r="FH29" s="526">
        <v>167.14</v>
      </c>
      <c r="FI29" s="522">
        <v>75</v>
      </c>
      <c r="FJ29" s="522">
        <v>25</v>
      </c>
      <c r="FK29" s="522">
        <v>17</v>
      </c>
      <c r="FL29" s="522">
        <v>11</v>
      </c>
      <c r="FM29" s="522">
        <v>0</v>
      </c>
      <c r="FN29" s="522">
        <v>4</v>
      </c>
      <c r="FO29" s="522">
        <v>2</v>
      </c>
      <c r="FP29" s="522">
        <v>223</v>
      </c>
      <c r="FQ29" s="522">
        <v>67</v>
      </c>
      <c r="FR29" s="522">
        <v>48</v>
      </c>
    </row>
    <row r="30" spans="1:174" x14ac:dyDescent="0.25">
      <c r="A30" s="523" t="s">
        <v>322</v>
      </c>
      <c r="B30" s="523" t="s">
        <v>323</v>
      </c>
      <c r="C30" s="523" t="s">
        <v>282</v>
      </c>
      <c r="D30" s="522">
        <v>2405</v>
      </c>
      <c r="E30" s="522">
        <v>2387</v>
      </c>
      <c r="F30" s="522">
        <v>0</v>
      </c>
      <c r="G30" s="522">
        <v>0</v>
      </c>
      <c r="H30" s="522">
        <v>136</v>
      </c>
      <c r="I30" s="522">
        <v>123</v>
      </c>
      <c r="J30" s="522">
        <v>1361</v>
      </c>
      <c r="K30" s="522">
        <v>1361</v>
      </c>
      <c r="L30" s="522">
        <v>479</v>
      </c>
      <c r="M30" s="522">
        <v>2</v>
      </c>
      <c r="N30" s="522">
        <v>4381</v>
      </c>
      <c r="O30" s="522">
        <v>3873</v>
      </c>
      <c r="P30" s="522">
        <v>3902</v>
      </c>
      <c r="Q30" s="522">
        <v>11</v>
      </c>
      <c r="R30" s="523">
        <v>2</v>
      </c>
      <c r="S30" s="523">
        <v>19</v>
      </c>
      <c r="T30" s="523">
        <v>10</v>
      </c>
      <c r="U30" s="523">
        <v>4371</v>
      </c>
      <c r="V30" s="522">
        <v>2405</v>
      </c>
      <c r="W30" s="522">
        <v>12</v>
      </c>
      <c r="X30" s="522">
        <v>16</v>
      </c>
      <c r="Y30" s="522">
        <v>28</v>
      </c>
      <c r="Z30" s="524">
        <v>102.08</v>
      </c>
      <c r="AA30" s="524">
        <v>108.89</v>
      </c>
      <c r="AB30" s="524">
        <v>6</v>
      </c>
      <c r="AC30" s="524">
        <v>105.76</v>
      </c>
      <c r="AD30" s="524">
        <v>1742</v>
      </c>
      <c r="AE30" s="525">
        <v>88.06</v>
      </c>
      <c r="AF30" s="525">
        <v>94.55</v>
      </c>
      <c r="AG30" s="525">
        <v>24.96</v>
      </c>
      <c r="AH30" s="525">
        <v>112.26</v>
      </c>
      <c r="AI30" s="525">
        <v>1373</v>
      </c>
      <c r="AJ30" s="525">
        <v>131.22</v>
      </c>
      <c r="AK30" s="525">
        <v>577</v>
      </c>
      <c r="AL30" s="525">
        <v>218.91</v>
      </c>
      <c r="AM30" s="525">
        <v>114</v>
      </c>
      <c r="AN30" s="526">
        <v>0</v>
      </c>
      <c r="AO30" s="526">
        <v>0</v>
      </c>
      <c r="AP30" s="526">
        <v>0</v>
      </c>
      <c r="AQ30" s="526">
        <v>0</v>
      </c>
      <c r="AR30" s="522">
        <v>0</v>
      </c>
      <c r="AS30" s="526">
        <v>70.5</v>
      </c>
      <c r="AT30" s="526">
        <v>73.349999999999994</v>
      </c>
      <c r="AU30" s="526">
        <v>7.39</v>
      </c>
      <c r="AV30" s="526">
        <v>77.89</v>
      </c>
      <c r="AW30" s="522">
        <v>15</v>
      </c>
      <c r="AX30" s="526">
        <v>84.09</v>
      </c>
      <c r="AY30" s="526">
        <v>87.33</v>
      </c>
      <c r="AZ30" s="526">
        <v>10.34</v>
      </c>
      <c r="BA30" s="526">
        <v>93.79</v>
      </c>
      <c r="BB30" s="522">
        <v>350</v>
      </c>
      <c r="BC30" s="526">
        <v>102.32</v>
      </c>
      <c r="BD30" s="526">
        <v>106.93</v>
      </c>
      <c r="BE30" s="526">
        <v>4.45</v>
      </c>
      <c r="BF30" s="526">
        <v>105.53</v>
      </c>
      <c r="BG30" s="522">
        <v>682</v>
      </c>
      <c r="BH30" s="526">
        <v>110.59</v>
      </c>
      <c r="BI30" s="526">
        <v>121.7</v>
      </c>
      <c r="BJ30" s="526">
        <v>3.09</v>
      </c>
      <c r="BK30" s="526">
        <v>111.62</v>
      </c>
      <c r="BL30" s="522">
        <v>665</v>
      </c>
      <c r="BM30" s="526">
        <v>133.55000000000001</v>
      </c>
      <c r="BN30" s="526">
        <v>138.74</v>
      </c>
      <c r="BO30" s="526">
        <v>2.57</v>
      </c>
      <c r="BP30" s="526">
        <v>134.58000000000001</v>
      </c>
      <c r="BQ30" s="522">
        <v>30</v>
      </c>
      <c r="BR30" s="526">
        <v>0</v>
      </c>
      <c r="BS30" s="526">
        <v>0</v>
      </c>
      <c r="BT30" s="526">
        <v>0</v>
      </c>
      <c r="BU30" s="526">
        <v>0</v>
      </c>
      <c r="BV30" s="522">
        <v>0</v>
      </c>
      <c r="BW30" s="526">
        <v>0</v>
      </c>
      <c r="BX30" s="526">
        <v>0</v>
      </c>
      <c r="BY30" s="526">
        <v>0</v>
      </c>
      <c r="BZ30" s="526">
        <v>0</v>
      </c>
      <c r="CA30" s="522">
        <v>0</v>
      </c>
      <c r="CB30" s="526">
        <v>102.08</v>
      </c>
      <c r="CC30" s="526">
        <v>108.89</v>
      </c>
      <c r="CD30" s="526">
        <v>6</v>
      </c>
      <c r="CE30" s="526">
        <v>105.76</v>
      </c>
      <c r="CF30" s="522">
        <v>1742</v>
      </c>
      <c r="CG30" s="526">
        <v>102.08</v>
      </c>
      <c r="CH30" s="526">
        <v>108.89</v>
      </c>
      <c r="CI30" s="526">
        <v>6</v>
      </c>
      <c r="CJ30" s="526">
        <v>105.76</v>
      </c>
      <c r="CK30" s="522">
        <v>1742</v>
      </c>
      <c r="CL30" s="526">
        <v>138.63999999999999</v>
      </c>
      <c r="CM30" s="526">
        <v>92.2</v>
      </c>
      <c r="CN30" s="526">
        <v>81.319999999999993</v>
      </c>
      <c r="CO30" s="526">
        <v>199.63</v>
      </c>
      <c r="CP30" s="522">
        <v>16</v>
      </c>
      <c r="CQ30" s="526">
        <v>74.760000000000005</v>
      </c>
      <c r="CR30" s="526">
        <v>70.25</v>
      </c>
      <c r="CS30" s="526">
        <v>42.25</v>
      </c>
      <c r="CT30" s="526">
        <v>117.01</v>
      </c>
      <c r="CU30" s="522">
        <v>34</v>
      </c>
      <c r="CV30" s="526">
        <v>83.33</v>
      </c>
      <c r="CW30" s="526">
        <v>89.69</v>
      </c>
      <c r="CX30" s="526">
        <v>33.28</v>
      </c>
      <c r="CY30" s="526">
        <v>116.52</v>
      </c>
      <c r="CZ30" s="522">
        <v>761</v>
      </c>
      <c r="DA30" s="526">
        <v>93.57</v>
      </c>
      <c r="DB30" s="526">
        <v>102.5</v>
      </c>
      <c r="DC30" s="526">
        <v>10.58</v>
      </c>
      <c r="DD30" s="526">
        <v>103.58</v>
      </c>
      <c r="DE30" s="522">
        <v>553</v>
      </c>
      <c r="DF30" s="526">
        <v>109.29</v>
      </c>
      <c r="DG30" s="526">
        <v>116.54</v>
      </c>
      <c r="DH30" s="526">
        <v>7.45</v>
      </c>
      <c r="DI30" s="526">
        <v>111.77</v>
      </c>
      <c r="DJ30" s="522">
        <v>9</v>
      </c>
      <c r="DK30" s="526">
        <v>0</v>
      </c>
      <c r="DL30" s="526">
        <v>0</v>
      </c>
      <c r="DM30" s="526">
        <v>0</v>
      </c>
      <c r="DN30" s="526">
        <v>0</v>
      </c>
      <c r="DO30" s="522">
        <v>0</v>
      </c>
      <c r="DP30" s="526">
        <v>87.46</v>
      </c>
      <c r="DQ30" s="526">
        <v>94.57</v>
      </c>
      <c r="DR30" s="526">
        <v>24.45</v>
      </c>
      <c r="DS30" s="526">
        <v>111.23</v>
      </c>
      <c r="DT30" s="522">
        <v>1357</v>
      </c>
      <c r="DU30" s="526">
        <v>88.06</v>
      </c>
      <c r="DV30" s="526">
        <v>94.55</v>
      </c>
      <c r="DW30" s="526">
        <v>24.96</v>
      </c>
      <c r="DX30" s="526">
        <v>112.26</v>
      </c>
      <c r="DY30" s="522">
        <v>1373</v>
      </c>
      <c r="DZ30" s="526">
        <v>0</v>
      </c>
      <c r="EA30" s="526">
        <v>0</v>
      </c>
      <c r="EB30" s="526">
        <v>112.4</v>
      </c>
      <c r="EC30" s="522">
        <v>2</v>
      </c>
      <c r="ED30" s="526">
        <v>100.26</v>
      </c>
      <c r="EE30" s="522">
        <v>76</v>
      </c>
      <c r="EF30" s="526">
        <v>127.16</v>
      </c>
      <c r="EG30" s="522">
        <v>289</v>
      </c>
      <c r="EH30" s="526">
        <v>146.24</v>
      </c>
      <c r="EI30" s="522">
        <v>200</v>
      </c>
      <c r="EJ30" s="526">
        <v>187.31</v>
      </c>
      <c r="EK30" s="522">
        <v>10</v>
      </c>
      <c r="EL30" s="526">
        <v>0</v>
      </c>
      <c r="EM30" s="522">
        <v>0</v>
      </c>
      <c r="EN30" s="526">
        <v>0</v>
      </c>
      <c r="EO30" s="522">
        <v>0</v>
      </c>
      <c r="EP30" s="526">
        <v>131.22</v>
      </c>
      <c r="EQ30" s="522">
        <v>577</v>
      </c>
      <c r="ER30" s="526">
        <v>131.22</v>
      </c>
      <c r="ES30" s="522">
        <v>577</v>
      </c>
      <c r="ET30" s="526">
        <v>0</v>
      </c>
      <c r="EU30" s="526">
        <v>0</v>
      </c>
      <c r="EV30" s="526">
        <v>0</v>
      </c>
      <c r="EW30" s="522">
        <v>0</v>
      </c>
      <c r="EX30" s="526">
        <v>262.31</v>
      </c>
      <c r="EY30" s="522">
        <v>69</v>
      </c>
      <c r="EZ30" s="526">
        <v>152.91</v>
      </c>
      <c r="FA30" s="522">
        <v>44</v>
      </c>
      <c r="FB30" s="526">
        <v>128.56</v>
      </c>
      <c r="FC30" s="522">
        <v>1</v>
      </c>
      <c r="FD30" s="526">
        <v>0</v>
      </c>
      <c r="FE30" s="522">
        <v>0</v>
      </c>
      <c r="FF30" s="526">
        <v>218.91</v>
      </c>
      <c r="FG30" s="522">
        <v>114</v>
      </c>
      <c r="FH30" s="526">
        <v>218.91</v>
      </c>
      <c r="FI30" s="522">
        <v>114</v>
      </c>
      <c r="FJ30" s="522">
        <v>0</v>
      </c>
      <c r="FK30" s="522">
        <v>3</v>
      </c>
      <c r="FL30" s="522">
        <v>2</v>
      </c>
      <c r="FM30" s="522">
        <v>0</v>
      </c>
      <c r="FN30" s="522">
        <v>1</v>
      </c>
      <c r="FO30" s="522">
        <v>0</v>
      </c>
      <c r="FP30" s="522">
        <v>7</v>
      </c>
      <c r="FQ30" s="522">
        <v>12</v>
      </c>
      <c r="FR30" s="522">
        <v>4</v>
      </c>
    </row>
    <row r="31" spans="1:174" x14ac:dyDescent="0.25">
      <c r="A31" s="523" t="s">
        <v>324</v>
      </c>
      <c r="B31" s="523" t="s">
        <v>325</v>
      </c>
      <c r="C31" s="523" t="s">
        <v>286</v>
      </c>
      <c r="D31" s="522">
        <v>10085</v>
      </c>
      <c r="E31" s="522">
        <v>10088</v>
      </c>
      <c r="F31" s="522">
        <v>0</v>
      </c>
      <c r="G31" s="522">
        <v>0</v>
      </c>
      <c r="H31" s="522">
        <v>622</v>
      </c>
      <c r="I31" s="522">
        <v>361</v>
      </c>
      <c r="J31" s="522">
        <v>951</v>
      </c>
      <c r="K31" s="522">
        <v>944</v>
      </c>
      <c r="L31" s="522">
        <v>263</v>
      </c>
      <c r="M31" s="522">
        <v>0</v>
      </c>
      <c r="N31" s="522">
        <v>11921</v>
      </c>
      <c r="O31" s="522">
        <v>11393</v>
      </c>
      <c r="P31" s="522">
        <v>11658</v>
      </c>
      <c r="Q31" s="522">
        <v>2</v>
      </c>
      <c r="R31" s="523">
        <v>11</v>
      </c>
      <c r="S31" s="523">
        <v>16</v>
      </c>
      <c r="T31" s="523">
        <v>171</v>
      </c>
      <c r="U31" s="523">
        <v>11750</v>
      </c>
      <c r="V31" s="522">
        <v>10076</v>
      </c>
      <c r="W31" s="522">
        <v>119</v>
      </c>
      <c r="X31" s="522">
        <v>123</v>
      </c>
      <c r="Y31" s="522">
        <v>242</v>
      </c>
      <c r="Z31" s="524">
        <v>89.21</v>
      </c>
      <c r="AA31" s="524">
        <v>88.55</v>
      </c>
      <c r="AB31" s="524">
        <v>3.36</v>
      </c>
      <c r="AC31" s="524">
        <v>92.23</v>
      </c>
      <c r="AD31" s="524">
        <v>8347</v>
      </c>
      <c r="AE31" s="525">
        <v>107.77</v>
      </c>
      <c r="AF31" s="525">
        <v>87.16</v>
      </c>
      <c r="AG31" s="525">
        <v>77.58</v>
      </c>
      <c r="AH31" s="525">
        <v>182.78</v>
      </c>
      <c r="AI31" s="525">
        <v>1326</v>
      </c>
      <c r="AJ31" s="525">
        <v>111.78</v>
      </c>
      <c r="AK31" s="525">
        <v>1674</v>
      </c>
      <c r="AL31" s="525">
        <v>183.53</v>
      </c>
      <c r="AM31" s="525">
        <v>85</v>
      </c>
      <c r="AN31" s="526">
        <v>0</v>
      </c>
      <c r="AO31" s="526">
        <v>0</v>
      </c>
      <c r="AP31" s="526">
        <v>0</v>
      </c>
      <c r="AQ31" s="526">
        <v>0</v>
      </c>
      <c r="AR31" s="522">
        <v>0</v>
      </c>
      <c r="AS31" s="526">
        <v>66.97</v>
      </c>
      <c r="AT31" s="526">
        <v>66.13</v>
      </c>
      <c r="AU31" s="526">
        <v>16.36</v>
      </c>
      <c r="AV31" s="526">
        <v>83.15</v>
      </c>
      <c r="AW31" s="522">
        <v>88</v>
      </c>
      <c r="AX31" s="526">
        <v>75.72</v>
      </c>
      <c r="AY31" s="526">
        <v>74.98</v>
      </c>
      <c r="AZ31" s="526">
        <v>4.0199999999999996</v>
      </c>
      <c r="BA31" s="526">
        <v>79.52</v>
      </c>
      <c r="BB31" s="522">
        <v>2340</v>
      </c>
      <c r="BC31" s="526">
        <v>88.12</v>
      </c>
      <c r="BD31" s="526">
        <v>87.31</v>
      </c>
      <c r="BE31" s="526">
        <v>3.57</v>
      </c>
      <c r="BF31" s="526">
        <v>91.2</v>
      </c>
      <c r="BG31" s="522">
        <v>3161</v>
      </c>
      <c r="BH31" s="526">
        <v>100</v>
      </c>
      <c r="BI31" s="526">
        <v>99.29</v>
      </c>
      <c r="BJ31" s="526">
        <v>1.95</v>
      </c>
      <c r="BK31" s="526">
        <v>101.78</v>
      </c>
      <c r="BL31" s="522">
        <v>2310</v>
      </c>
      <c r="BM31" s="526">
        <v>114.36</v>
      </c>
      <c r="BN31" s="526">
        <v>115.32</v>
      </c>
      <c r="BO31" s="526">
        <v>2.62</v>
      </c>
      <c r="BP31" s="526">
        <v>116.49</v>
      </c>
      <c r="BQ31" s="522">
        <v>384</v>
      </c>
      <c r="BR31" s="526">
        <v>126.2</v>
      </c>
      <c r="BS31" s="526">
        <v>125.11</v>
      </c>
      <c r="BT31" s="526">
        <v>3.91</v>
      </c>
      <c r="BU31" s="526">
        <v>129.83000000000001</v>
      </c>
      <c r="BV31" s="522">
        <v>55</v>
      </c>
      <c r="BW31" s="526">
        <v>129.59</v>
      </c>
      <c r="BX31" s="526">
        <v>138.16</v>
      </c>
      <c r="BY31" s="526">
        <v>1.33</v>
      </c>
      <c r="BZ31" s="526">
        <v>130.76</v>
      </c>
      <c r="CA31" s="522">
        <v>9</v>
      </c>
      <c r="CB31" s="526">
        <v>89.21</v>
      </c>
      <c r="CC31" s="526">
        <v>88.55</v>
      </c>
      <c r="CD31" s="526">
        <v>3.36</v>
      </c>
      <c r="CE31" s="526">
        <v>92.23</v>
      </c>
      <c r="CF31" s="522">
        <v>8347</v>
      </c>
      <c r="CG31" s="526">
        <v>89.21</v>
      </c>
      <c r="CH31" s="526">
        <v>88.55</v>
      </c>
      <c r="CI31" s="526">
        <v>3.36</v>
      </c>
      <c r="CJ31" s="526">
        <v>92.23</v>
      </c>
      <c r="CK31" s="522">
        <v>8347</v>
      </c>
      <c r="CL31" s="526">
        <v>119.2</v>
      </c>
      <c r="CM31" s="526">
        <v>77.66</v>
      </c>
      <c r="CN31" s="526">
        <v>188.66</v>
      </c>
      <c r="CO31" s="526">
        <v>282.07</v>
      </c>
      <c r="CP31" s="522">
        <v>139</v>
      </c>
      <c r="CQ31" s="526">
        <v>74.95</v>
      </c>
      <c r="CR31" s="526">
        <v>69.900000000000006</v>
      </c>
      <c r="CS31" s="526">
        <v>61.24</v>
      </c>
      <c r="CT31" s="526">
        <v>136.19</v>
      </c>
      <c r="CU31" s="522">
        <v>100</v>
      </c>
      <c r="CV31" s="526">
        <v>106.84</v>
      </c>
      <c r="CW31" s="526">
        <v>85.36</v>
      </c>
      <c r="CX31" s="526">
        <v>68.64</v>
      </c>
      <c r="CY31" s="526">
        <v>174</v>
      </c>
      <c r="CZ31" s="522">
        <v>927</v>
      </c>
      <c r="DA31" s="526">
        <v>123.73</v>
      </c>
      <c r="DB31" s="526">
        <v>114.61</v>
      </c>
      <c r="DC31" s="526">
        <v>53.32</v>
      </c>
      <c r="DD31" s="526">
        <v>175.29</v>
      </c>
      <c r="DE31" s="522">
        <v>151</v>
      </c>
      <c r="DF31" s="526">
        <v>112.67</v>
      </c>
      <c r="DG31" s="526">
        <v>109.46</v>
      </c>
      <c r="DH31" s="526">
        <v>80.099999999999994</v>
      </c>
      <c r="DI31" s="526">
        <v>192.77</v>
      </c>
      <c r="DJ31" s="522">
        <v>8</v>
      </c>
      <c r="DK31" s="526">
        <v>209.79</v>
      </c>
      <c r="DL31" s="526">
        <v>0</v>
      </c>
      <c r="DM31" s="526">
        <v>18.600000000000001</v>
      </c>
      <c r="DN31" s="526">
        <v>228.39</v>
      </c>
      <c r="DO31" s="522">
        <v>1</v>
      </c>
      <c r="DP31" s="526">
        <v>106.43</v>
      </c>
      <c r="DQ31" s="526">
        <v>87.98</v>
      </c>
      <c r="DR31" s="526">
        <v>66.11</v>
      </c>
      <c r="DS31" s="526">
        <v>171.15</v>
      </c>
      <c r="DT31" s="522">
        <v>1187</v>
      </c>
      <c r="DU31" s="526">
        <v>107.77</v>
      </c>
      <c r="DV31" s="526">
        <v>87.16</v>
      </c>
      <c r="DW31" s="526">
        <v>77.58</v>
      </c>
      <c r="DX31" s="526">
        <v>182.78</v>
      </c>
      <c r="DY31" s="522">
        <v>1326</v>
      </c>
      <c r="DZ31" s="526">
        <v>0</v>
      </c>
      <c r="EA31" s="526">
        <v>0</v>
      </c>
      <c r="EB31" s="526">
        <v>0</v>
      </c>
      <c r="EC31" s="522">
        <v>0</v>
      </c>
      <c r="ED31" s="526">
        <v>91.6</v>
      </c>
      <c r="EE31" s="522">
        <v>25</v>
      </c>
      <c r="EF31" s="526">
        <v>108.58</v>
      </c>
      <c r="EG31" s="522">
        <v>449</v>
      </c>
      <c r="EH31" s="526">
        <v>111.29</v>
      </c>
      <c r="EI31" s="522">
        <v>1088</v>
      </c>
      <c r="EJ31" s="526">
        <v>133.13999999999999</v>
      </c>
      <c r="EK31" s="522">
        <v>104</v>
      </c>
      <c r="EL31" s="526">
        <v>143.77000000000001</v>
      </c>
      <c r="EM31" s="522">
        <v>8</v>
      </c>
      <c r="EN31" s="526">
        <v>0</v>
      </c>
      <c r="EO31" s="522">
        <v>0</v>
      </c>
      <c r="EP31" s="526">
        <v>111.78</v>
      </c>
      <c r="EQ31" s="522">
        <v>1674</v>
      </c>
      <c r="ER31" s="526">
        <v>111.78</v>
      </c>
      <c r="ES31" s="522">
        <v>1674</v>
      </c>
      <c r="ET31" s="526">
        <v>0</v>
      </c>
      <c r="EU31" s="526">
        <v>0</v>
      </c>
      <c r="EV31" s="526">
        <v>0</v>
      </c>
      <c r="EW31" s="522">
        <v>0</v>
      </c>
      <c r="EX31" s="526">
        <v>175.91</v>
      </c>
      <c r="EY31" s="522">
        <v>20</v>
      </c>
      <c r="EZ31" s="526">
        <v>185.88</v>
      </c>
      <c r="FA31" s="522">
        <v>65</v>
      </c>
      <c r="FB31" s="526">
        <v>0</v>
      </c>
      <c r="FC31" s="522">
        <v>0</v>
      </c>
      <c r="FD31" s="526">
        <v>0</v>
      </c>
      <c r="FE31" s="522">
        <v>0</v>
      </c>
      <c r="FF31" s="526">
        <v>183.53</v>
      </c>
      <c r="FG31" s="522">
        <v>85</v>
      </c>
      <c r="FH31" s="526">
        <v>183.53</v>
      </c>
      <c r="FI31" s="522">
        <v>85</v>
      </c>
      <c r="FJ31" s="522">
        <v>0</v>
      </c>
      <c r="FK31" s="522">
        <v>21</v>
      </c>
      <c r="FL31" s="522">
        <v>6</v>
      </c>
      <c r="FM31" s="522">
        <v>0</v>
      </c>
      <c r="FN31" s="522">
        <v>15</v>
      </c>
      <c r="FO31" s="522">
        <v>0</v>
      </c>
      <c r="FP31" s="522">
        <v>5</v>
      </c>
      <c r="FQ31" s="522">
        <v>24</v>
      </c>
      <c r="FR31" s="522">
        <v>6</v>
      </c>
    </row>
    <row r="32" spans="1:174" x14ac:dyDescent="0.25">
      <c r="A32" s="523" t="s">
        <v>326</v>
      </c>
      <c r="B32" s="523" t="s">
        <v>327</v>
      </c>
      <c r="C32" s="523" t="s">
        <v>286</v>
      </c>
      <c r="D32" s="522">
        <v>1818</v>
      </c>
      <c r="E32" s="522">
        <v>1692</v>
      </c>
      <c r="F32" s="522">
        <v>0</v>
      </c>
      <c r="G32" s="522">
        <v>0</v>
      </c>
      <c r="H32" s="522">
        <v>434</v>
      </c>
      <c r="I32" s="522">
        <v>294</v>
      </c>
      <c r="J32" s="522">
        <v>201</v>
      </c>
      <c r="K32" s="522">
        <v>201</v>
      </c>
      <c r="L32" s="522">
        <v>144</v>
      </c>
      <c r="M32" s="522">
        <v>0</v>
      </c>
      <c r="N32" s="522">
        <v>2597</v>
      </c>
      <c r="O32" s="522">
        <v>2187</v>
      </c>
      <c r="P32" s="522">
        <v>2453</v>
      </c>
      <c r="Q32" s="522">
        <v>17</v>
      </c>
      <c r="R32" s="523">
        <v>9</v>
      </c>
      <c r="S32" s="523">
        <v>17</v>
      </c>
      <c r="T32" s="523">
        <v>217</v>
      </c>
      <c r="U32" s="523">
        <v>2380</v>
      </c>
      <c r="V32" s="522">
        <v>1686</v>
      </c>
      <c r="W32" s="522">
        <v>9</v>
      </c>
      <c r="X32" s="522">
        <v>11</v>
      </c>
      <c r="Y32" s="522">
        <v>20</v>
      </c>
      <c r="Z32" s="524">
        <v>98.55</v>
      </c>
      <c r="AA32" s="524">
        <v>99.16</v>
      </c>
      <c r="AB32" s="524">
        <v>6.85</v>
      </c>
      <c r="AC32" s="524">
        <v>104.07</v>
      </c>
      <c r="AD32" s="524">
        <v>1200</v>
      </c>
      <c r="AE32" s="525">
        <v>131.69999999999999</v>
      </c>
      <c r="AF32" s="525">
        <v>97.1</v>
      </c>
      <c r="AG32" s="525">
        <v>73.42</v>
      </c>
      <c r="AH32" s="525">
        <v>198.84</v>
      </c>
      <c r="AI32" s="525">
        <v>550</v>
      </c>
      <c r="AJ32" s="525">
        <v>120.22</v>
      </c>
      <c r="AK32" s="525">
        <v>508</v>
      </c>
      <c r="AL32" s="525">
        <v>0</v>
      </c>
      <c r="AM32" s="525">
        <v>0</v>
      </c>
      <c r="AN32" s="526">
        <v>0</v>
      </c>
      <c r="AO32" s="526">
        <v>0</v>
      </c>
      <c r="AP32" s="526">
        <v>0</v>
      </c>
      <c r="AQ32" s="526">
        <v>0</v>
      </c>
      <c r="AR32" s="522">
        <v>0</v>
      </c>
      <c r="AS32" s="526">
        <v>0</v>
      </c>
      <c r="AT32" s="526">
        <v>0</v>
      </c>
      <c r="AU32" s="526">
        <v>0</v>
      </c>
      <c r="AV32" s="526">
        <v>0</v>
      </c>
      <c r="AW32" s="522">
        <v>0</v>
      </c>
      <c r="AX32" s="526">
        <v>85.21</v>
      </c>
      <c r="AY32" s="526">
        <v>84.85</v>
      </c>
      <c r="AZ32" s="526">
        <v>9.91</v>
      </c>
      <c r="BA32" s="526">
        <v>94.73</v>
      </c>
      <c r="BB32" s="522">
        <v>284</v>
      </c>
      <c r="BC32" s="526">
        <v>97.28</v>
      </c>
      <c r="BD32" s="526">
        <v>97.66</v>
      </c>
      <c r="BE32" s="526">
        <v>8.17</v>
      </c>
      <c r="BF32" s="526">
        <v>104.08</v>
      </c>
      <c r="BG32" s="522">
        <v>435</v>
      </c>
      <c r="BH32" s="526">
        <v>106.01</v>
      </c>
      <c r="BI32" s="526">
        <v>107.32</v>
      </c>
      <c r="BJ32" s="526">
        <v>3.05</v>
      </c>
      <c r="BK32" s="526">
        <v>108.17</v>
      </c>
      <c r="BL32" s="522">
        <v>368</v>
      </c>
      <c r="BM32" s="526">
        <v>111.56</v>
      </c>
      <c r="BN32" s="526">
        <v>113.29</v>
      </c>
      <c r="BO32" s="526">
        <v>2.2200000000000002</v>
      </c>
      <c r="BP32" s="526">
        <v>113.02</v>
      </c>
      <c r="BQ32" s="522">
        <v>99</v>
      </c>
      <c r="BR32" s="526">
        <v>118.29</v>
      </c>
      <c r="BS32" s="526">
        <v>120.11</v>
      </c>
      <c r="BT32" s="526">
        <v>3.93</v>
      </c>
      <c r="BU32" s="526">
        <v>120.11</v>
      </c>
      <c r="BV32" s="522">
        <v>13</v>
      </c>
      <c r="BW32" s="526">
        <v>148.22</v>
      </c>
      <c r="BX32" s="526">
        <v>146.58000000000001</v>
      </c>
      <c r="BY32" s="526">
        <v>0</v>
      </c>
      <c r="BZ32" s="526">
        <v>148.22</v>
      </c>
      <c r="CA32" s="522">
        <v>1</v>
      </c>
      <c r="CB32" s="526">
        <v>98.55</v>
      </c>
      <c r="CC32" s="526">
        <v>99.16</v>
      </c>
      <c r="CD32" s="526">
        <v>6.85</v>
      </c>
      <c r="CE32" s="526">
        <v>104.07</v>
      </c>
      <c r="CF32" s="522">
        <v>1200</v>
      </c>
      <c r="CG32" s="526">
        <v>98.55</v>
      </c>
      <c r="CH32" s="526">
        <v>99.16</v>
      </c>
      <c r="CI32" s="526">
        <v>6.85</v>
      </c>
      <c r="CJ32" s="526">
        <v>104.07</v>
      </c>
      <c r="CK32" s="522">
        <v>1200</v>
      </c>
      <c r="CL32" s="526">
        <v>173.32</v>
      </c>
      <c r="CM32" s="526">
        <v>88.3</v>
      </c>
      <c r="CN32" s="526">
        <v>77.58</v>
      </c>
      <c r="CO32" s="526">
        <v>243.51</v>
      </c>
      <c r="CP32" s="522">
        <v>126</v>
      </c>
      <c r="CQ32" s="526">
        <v>96.14</v>
      </c>
      <c r="CR32" s="526">
        <v>75.2</v>
      </c>
      <c r="CS32" s="526">
        <v>37.76</v>
      </c>
      <c r="CT32" s="526">
        <v>130.06</v>
      </c>
      <c r="CU32" s="522">
        <v>59</v>
      </c>
      <c r="CV32" s="526">
        <v>117.62</v>
      </c>
      <c r="CW32" s="526">
        <v>90.62</v>
      </c>
      <c r="CX32" s="526">
        <v>72.52</v>
      </c>
      <c r="CY32" s="526">
        <v>182.69</v>
      </c>
      <c r="CZ32" s="522">
        <v>263</v>
      </c>
      <c r="DA32" s="526">
        <v>137.13</v>
      </c>
      <c r="DB32" s="526">
        <v>128.47</v>
      </c>
      <c r="DC32" s="526">
        <v>89.72</v>
      </c>
      <c r="DD32" s="526">
        <v>225.1</v>
      </c>
      <c r="DE32" s="522">
        <v>102</v>
      </c>
      <c r="DF32" s="526">
        <v>0</v>
      </c>
      <c r="DG32" s="526">
        <v>0</v>
      </c>
      <c r="DH32" s="526">
        <v>0</v>
      </c>
      <c r="DI32" s="526">
        <v>0</v>
      </c>
      <c r="DJ32" s="522">
        <v>0</v>
      </c>
      <c r="DK32" s="526">
        <v>0</v>
      </c>
      <c r="DL32" s="526">
        <v>0</v>
      </c>
      <c r="DM32" s="526">
        <v>0</v>
      </c>
      <c r="DN32" s="526">
        <v>0</v>
      </c>
      <c r="DO32" s="522">
        <v>0</v>
      </c>
      <c r="DP32" s="526">
        <v>119.33</v>
      </c>
      <c r="DQ32" s="526">
        <v>98.37</v>
      </c>
      <c r="DR32" s="526">
        <v>72.2</v>
      </c>
      <c r="DS32" s="526">
        <v>185.57</v>
      </c>
      <c r="DT32" s="522">
        <v>424</v>
      </c>
      <c r="DU32" s="526">
        <v>131.69999999999999</v>
      </c>
      <c r="DV32" s="526">
        <v>97.1</v>
      </c>
      <c r="DW32" s="526">
        <v>73.42</v>
      </c>
      <c r="DX32" s="526">
        <v>198.84</v>
      </c>
      <c r="DY32" s="522">
        <v>550</v>
      </c>
      <c r="DZ32" s="526">
        <v>0</v>
      </c>
      <c r="EA32" s="526">
        <v>0</v>
      </c>
      <c r="EB32" s="526">
        <v>0</v>
      </c>
      <c r="EC32" s="522">
        <v>0</v>
      </c>
      <c r="ED32" s="526">
        <v>95.9</v>
      </c>
      <c r="EE32" s="522">
        <v>78</v>
      </c>
      <c r="EF32" s="526">
        <v>117.19</v>
      </c>
      <c r="EG32" s="522">
        <v>207</v>
      </c>
      <c r="EH32" s="526">
        <v>129.46</v>
      </c>
      <c r="EI32" s="522">
        <v>186</v>
      </c>
      <c r="EJ32" s="526">
        <v>141.88</v>
      </c>
      <c r="EK32" s="522">
        <v>35</v>
      </c>
      <c r="EL32" s="526">
        <v>145.38999999999999</v>
      </c>
      <c r="EM32" s="522">
        <v>2</v>
      </c>
      <c r="EN32" s="526">
        <v>0</v>
      </c>
      <c r="EO32" s="522">
        <v>0</v>
      </c>
      <c r="EP32" s="526">
        <v>120.22</v>
      </c>
      <c r="EQ32" s="522">
        <v>508</v>
      </c>
      <c r="ER32" s="526">
        <v>120.22</v>
      </c>
      <c r="ES32" s="522">
        <v>508</v>
      </c>
      <c r="ET32" s="526">
        <v>0</v>
      </c>
      <c r="EU32" s="526">
        <v>0</v>
      </c>
      <c r="EV32" s="526">
        <v>0</v>
      </c>
      <c r="EW32" s="522">
        <v>0</v>
      </c>
      <c r="EX32" s="526">
        <v>0</v>
      </c>
      <c r="EY32" s="522">
        <v>0</v>
      </c>
      <c r="EZ32" s="526">
        <v>0</v>
      </c>
      <c r="FA32" s="522">
        <v>0</v>
      </c>
      <c r="FB32" s="526">
        <v>0</v>
      </c>
      <c r="FC32" s="522">
        <v>0</v>
      </c>
      <c r="FD32" s="526">
        <v>0</v>
      </c>
      <c r="FE32" s="522">
        <v>0</v>
      </c>
      <c r="FF32" s="526">
        <v>0</v>
      </c>
      <c r="FG32" s="522">
        <v>0</v>
      </c>
      <c r="FH32" s="526">
        <v>0</v>
      </c>
      <c r="FI32" s="522">
        <v>0</v>
      </c>
      <c r="FJ32" s="522">
        <v>0</v>
      </c>
      <c r="FK32" s="522">
        <v>6</v>
      </c>
      <c r="FL32" s="522">
        <v>1</v>
      </c>
      <c r="FM32" s="522">
        <v>4</v>
      </c>
      <c r="FN32" s="522">
        <v>1</v>
      </c>
      <c r="FO32" s="522">
        <v>0</v>
      </c>
      <c r="FP32" s="522">
        <v>2</v>
      </c>
      <c r="FQ32" s="522">
        <v>0</v>
      </c>
      <c r="FR32" s="522">
        <v>4</v>
      </c>
    </row>
    <row r="33" spans="1:174" x14ac:dyDescent="0.25">
      <c r="A33" s="523" t="s">
        <v>328</v>
      </c>
      <c r="B33" s="523" t="s">
        <v>329</v>
      </c>
      <c r="C33" s="523" t="s">
        <v>282</v>
      </c>
      <c r="D33" s="522">
        <v>831</v>
      </c>
      <c r="E33" s="522">
        <v>775</v>
      </c>
      <c r="F33" s="522">
        <v>0</v>
      </c>
      <c r="G33" s="522">
        <v>0</v>
      </c>
      <c r="H33" s="522">
        <v>95</v>
      </c>
      <c r="I33" s="522">
        <v>64</v>
      </c>
      <c r="J33" s="522">
        <v>273</v>
      </c>
      <c r="K33" s="522">
        <v>273</v>
      </c>
      <c r="L33" s="522">
        <v>97</v>
      </c>
      <c r="M33" s="522">
        <v>0</v>
      </c>
      <c r="N33" s="522">
        <v>1296</v>
      </c>
      <c r="O33" s="522">
        <v>1112</v>
      </c>
      <c r="P33" s="522">
        <v>1199</v>
      </c>
      <c r="Q33" s="522">
        <v>2</v>
      </c>
      <c r="R33" s="523">
        <v>4</v>
      </c>
      <c r="S33" s="523">
        <v>21</v>
      </c>
      <c r="T33" s="523">
        <v>76</v>
      </c>
      <c r="U33" s="523">
        <v>1220</v>
      </c>
      <c r="V33" s="522">
        <v>774</v>
      </c>
      <c r="W33" s="522">
        <v>9</v>
      </c>
      <c r="X33" s="522">
        <v>2</v>
      </c>
      <c r="Y33" s="522">
        <v>11</v>
      </c>
      <c r="Z33" s="524">
        <v>102.48</v>
      </c>
      <c r="AA33" s="524">
        <v>103.2</v>
      </c>
      <c r="AB33" s="524">
        <v>4.9800000000000004</v>
      </c>
      <c r="AC33" s="524">
        <v>105.65</v>
      </c>
      <c r="AD33" s="524">
        <v>632</v>
      </c>
      <c r="AE33" s="525">
        <v>120.43</v>
      </c>
      <c r="AF33" s="525">
        <v>99.58</v>
      </c>
      <c r="AG33" s="525">
        <v>34.770000000000003</v>
      </c>
      <c r="AH33" s="525">
        <v>151.53</v>
      </c>
      <c r="AI33" s="525">
        <v>350</v>
      </c>
      <c r="AJ33" s="525">
        <v>107.36</v>
      </c>
      <c r="AK33" s="525">
        <v>175</v>
      </c>
      <c r="AL33" s="525">
        <v>0</v>
      </c>
      <c r="AM33" s="525">
        <v>0</v>
      </c>
      <c r="AN33" s="526">
        <v>0</v>
      </c>
      <c r="AO33" s="526">
        <v>0</v>
      </c>
      <c r="AP33" s="526">
        <v>0</v>
      </c>
      <c r="AQ33" s="526">
        <v>0</v>
      </c>
      <c r="AR33" s="522">
        <v>0</v>
      </c>
      <c r="AS33" s="526">
        <v>0</v>
      </c>
      <c r="AT33" s="526">
        <v>0</v>
      </c>
      <c r="AU33" s="526">
        <v>0</v>
      </c>
      <c r="AV33" s="526">
        <v>0</v>
      </c>
      <c r="AW33" s="522">
        <v>0</v>
      </c>
      <c r="AX33" s="526">
        <v>86.01</v>
      </c>
      <c r="AY33" s="526">
        <v>85.78</v>
      </c>
      <c r="AZ33" s="526">
        <v>5.07</v>
      </c>
      <c r="BA33" s="526">
        <v>90.96</v>
      </c>
      <c r="BB33" s="522">
        <v>127</v>
      </c>
      <c r="BC33" s="526">
        <v>99.2</v>
      </c>
      <c r="BD33" s="526">
        <v>99.89</v>
      </c>
      <c r="BE33" s="526">
        <v>5.55</v>
      </c>
      <c r="BF33" s="526">
        <v>102.2</v>
      </c>
      <c r="BG33" s="522">
        <v>207</v>
      </c>
      <c r="BH33" s="526">
        <v>111.34</v>
      </c>
      <c r="BI33" s="526">
        <v>112.4</v>
      </c>
      <c r="BJ33" s="526">
        <v>4.51</v>
      </c>
      <c r="BK33" s="526">
        <v>113.85</v>
      </c>
      <c r="BL33" s="522">
        <v>289</v>
      </c>
      <c r="BM33" s="526">
        <v>126.25</v>
      </c>
      <c r="BN33" s="526">
        <v>129.52000000000001</v>
      </c>
      <c r="BO33" s="526">
        <v>4.8499999999999996</v>
      </c>
      <c r="BP33" s="526">
        <v>129.88999999999999</v>
      </c>
      <c r="BQ33" s="522">
        <v>8</v>
      </c>
      <c r="BR33" s="526">
        <v>0</v>
      </c>
      <c r="BS33" s="526">
        <v>0</v>
      </c>
      <c r="BT33" s="526">
        <v>0</v>
      </c>
      <c r="BU33" s="526">
        <v>0</v>
      </c>
      <c r="BV33" s="522">
        <v>0</v>
      </c>
      <c r="BW33" s="526">
        <v>119.9</v>
      </c>
      <c r="BX33" s="526">
        <v>132.38</v>
      </c>
      <c r="BY33" s="526">
        <v>0</v>
      </c>
      <c r="BZ33" s="526">
        <v>119.9</v>
      </c>
      <c r="CA33" s="522">
        <v>1</v>
      </c>
      <c r="CB33" s="526">
        <v>102.48</v>
      </c>
      <c r="CC33" s="526">
        <v>103.2</v>
      </c>
      <c r="CD33" s="526">
        <v>4.9800000000000004</v>
      </c>
      <c r="CE33" s="526">
        <v>105.65</v>
      </c>
      <c r="CF33" s="522">
        <v>632</v>
      </c>
      <c r="CG33" s="526">
        <v>102.48</v>
      </c>
      <c r="CH33" s="526">
        <v>103.2</v>
      </c>
      <c r="CI33" s="526">
        <v>4.9800000000000004</v>
      </c>
      <c r="CJ33" s="526">
        <v>105.65</v>
      </c>
      <c r="CK33" s="522">
        <v>632</v>
      </c>
      <c r="CL33" s="526">
        <v>252.01</v>
      </c>
      <c r="CM33" s="526">
        <v>0</v>
      </c>
      <c r="CN33" s="526">
        <v>26.48</v>
      </c>
      <c r="CO33" s="526">
        <v>278.5</v>
      </c>
      <c r="CP33" s="522">
        <v>10</v>
      </c>
      <c r="CQ33" s="526">
        <v>0</v>
      </c>
      <c r="CR33" s="526">
        <v>0</v>
      </c>
      <c r="CS33" s="526">
        <v>0</v>
      </c>
      <c r="CT33" s="526">
        <v>0</v>
      </c>
      <c r="CU33" s="522">
        <v>0</v>
      </c>
      <c r="CV33" s="526">
        <v>128.47</v>
      </c>
      <c r="CW33" s="526">
        <v>92.4</v>
      </c>
      <c r="CX33" s="526">
        <v>64.61</v>
      </c>
      <c r="CY33" s="526">
        <v>187.35</v>
      </c>
      <c r="CZ33" s="522">
        <v>158</v>
      </c>
      <c r="DA33" s="526">
        <v>106.2</v>
      </c>
      <c r="DB33" s="526">
        <v>103.51</v>
      </c>
      <c r="DC33" s="526">
        <v>8.2799999999999994</v>
      </c>
      <c r="DD33" s="526">
        <v>113.54</v>
      </c>
      <c r="DE33" s="522">
        <v>177</v>
      </c>
      <c r="DF33" s="526">
        <v>107</v>
      </c>
      <c r="DG33" s="526">
        <v>112.62</v>
      </c>
      <c r="DH33" s="526">
        <v>7.93</v>
      </c>
      <c r="DI33" s="526">
        <v>110.17</v>
      </c>
      <c r="DJ33" s="522">
        <v>5</v>
      </c>
      <c r="DK33" s="526">
        <v>0</v>
      </c>
      <c r="DL33" s="526">
        <v>0</v>
      </c>
      <c r="DM33" s="526">
        <v>0</v>
      </c>
      <c r="DN33" s="526">
        <v>0</v>
      </c>
      <c r="DO33" s="522">
        <v>0</v>
      </c>
      <c r="DP33" s="526">
        <v>116.56</v>
      </c>
      <c r="DQ33" s="526">
        <v>99.58</v>
      </c>
      <c r="DR33" s="526">
        <v>35.049999999999997</v>
      </c>
      <c r="DS33" s="526">
        <v>147.79</v>
      </c>
      <c r="DT33" s="522">
        <v>340</v>
      </c>
      <c r="DU33" s="526">
        <v>120.43</v>
      </c>
      <c r="DV33" s="526">
        <v>99.58</v>
      </c>
      <c r="DW33" s="526">
        <v>34.770000000000003</v>
      </c>
      <c r="DX33" s="526">
        <v>151.53</v>
      </c>
      <c r="DY33" s="522">
        <v>350</v>
      </c>
      <c r="DZ33" s="526">
        <v>0</v>
      </c>
      <c r="EA33" s="526">
        <v>0</v>
      </c>
      <c r="EB33" s="526">
        <v>0</v>
      </c>
      <c r="EC33" s="522">
        <v>0</v>
      </c>
      <c r="ED33" s="526">
        <v>85.09</v>
      </c>
      <c r="EE33" s="522">
        <v>40</v>
      </c>
      <c r="EF33" s="526">
        <v>111.28</v>
      </c>
      <c r="EG33" s="522">
        <v>91</v>
      </c>
      <c r="EH33" s="526">
        <v>117.24</v>
      </c>
      <c r="EI33" s="522">
        <v>42</v>
      </c>
      <c r="EJ33" s="526">
        <v>166.85</v>
      </c>
      <c r="EK33" s="522">
        <v>2</v>
      </c>
      <c r="EL33" s="526">
        <v>0</v>
      </c>
      <c r="EM33" s="522">
        <v>0</v>
      </c>
      <c r="EN33" s="526">
        <v>0</v>
      </c>
      <c r="EO33" s="522">
        <v>0</v>
      </c>
      <c r="EP33" s="526">
        <v>107.36</v>
      </c>
      <c r="EQ33" s="522">
        <v>175</v>
      </c>
      <c r="ER33" s="526">
        <v>107.36</v>
      </c>
      <c r="ES33" s="522">
        <v>175</v>
      </c>
      <c r="ET33" s="526">
        <v>0</v>
      </c>
      <c r="EU33" s="526">
        <v>0</v>
      </c>
      <c r="EV33" s="526">
        <v>0</v>
      </c>
      <c r="EW33" s="522">
        <v>0</v>
      </c>
      <c r="EX33" s="526">
        <v>0</v>
      </c>
      <c r="EY33" s="522">
        <v>0</v>
      </c>
      <c r="EZ33" s="526">
        <v>0</v>
      </c>
      <c r="FA33" s="522">
        <v>0</v>
      </c>
      <c r="FB33" s="526">
        <v>0</v>
      </c>
      <c r="FC33" s="522">
        <v>0</v>
      </c>
      <c r="FD33" s="526">
        <v>0</v>
      </c>
      <c r="FE33" s="522">
        <v>0</v>
      </c>
      <c r="FF33" s="526">
        <v>0</v>
      </c>
      <c r="FG33" s="522">
        <v>0</v>
      </c>
      <c r="FH33" s="526">
        <v>0</v>
      </c>
      <c r="FI33" s="522">
        <v>0</v>
      </c>
      <c r="FJ33" s="522">
        <v>0</v>
      </c>
      <c r="FK33" s="522">
        <v>0</v>
      </c>
      <c r="FL33" s="522">
        <v>0</v>
      </c>
      <c r="FM33" s="522">
        <v>0</v>
      </c>
      <c r="FN33" s="522">
        <v>0</v>
      </c>
      <c r="FO33" s="522">
        <v>0</v>
      </c>
      <c r="FP33" s="522">
        <v>1</v>
      </c>
      <c r="FQ33" s="522">
        <v>0</v>
      </c>
      <c r="FR33" s="522">
        <v>1</v>
      </c>
    </row>
    <row r="34" spans="1:174" x14ac:dyDescent="0.25">
      <c r="A34" s="523" t="s">
        <v>330</v>
      </c>
      <c r="B34" s="523" t="s">
        <v>331</v>
      </c>
      <c r="C34" s="523" t="s">
        <v>286</v>
      </c>
      <c r="D34" s="522">
        <v>21049</v>
      </c>
      <c r="E34" s="522">
        <v>20978</v>
      </c>
      <c r="F34" s="522">
        <v>11</v>
      </c>
      <c r="G34" s="522">
        <v>11</v>
      </c>
      <c r="H34" s="522">
        <v>729</v>
      </c>
      <c r="I34" s="522">
        <v>517</v>
      </c>
      <c r="J34" s="522">
        <v>3705</v>
      </c>
      <c r="K34" s="522">
        <v>3705</v>
      </c>
      <c r="L34" s="522">
        <v>503</v>
      </c>
      <c r="M34" s="522">
        <v>0</v>
      </c>
      <c r="N34" s="522">
        <v>25997</v>
      </c>
      <c r="O34" s="522">
        <v>25211</v>
      </c>
      <c r="P34" s="522">
        <v>25494</v>
      </c>
      <c r="Q34" s="522">
        <v>339</v>
      </c>
      <c r="R34" s="523">
        <v>7</v>
      </c>
      <c r="S34" s="523">
        <v>18</v>
      </c>
      <c r="T34" s="523">
        <v>134</v>
      </c>
      <c r="U34" s="523">
        <v>25863</v>
      </c>
      <c r="V34" s="522">
        <v>20974</v>
      </c>
      <c r="W34" s="522">
        <v>131</v>
      </c>
      <c r="X34" s="522">
        <v>501</v>
      </c>
      <c r="Y34" s="522">
        <v>632</v>
      </c>
      <c r="Z34" s="524">
        <v>88.64</v>
      </c>
      <c r="AA34" s="524">
        <v>94.72</v>
      </c>
      <c r="AB34" s="524">
        <v>4.42</v>
      </c>
      <c r="AC34" s="524">
        <v>92.64</v>
      </c>
      <c r="AD34" s="524">
        <v>16993</v>
      </c>
      <c r="AE34" s="525">
        <v>91.33</v>
      </c>
      <c r="AF34" s="525">
        <v>89.69</v>
      </c>
      <c r="AG34" s="525">
        <v>48.23</v>
      </c>
      <c r="AH34" s="525">
        <v>139.02000000000001</v>
      </c>
      <c r="AI34" s="525">
        <v>4368</v>
      </c>
      <c r="AJ34" s="525">
        <v>111.54</v>
      </c>
      <c r="AK34" s="525">
        <v>3713</v>
      </c>
      <c r="AL34" s="525">
        <v>139.13999999999999</v>
      </c>
      <c r="AM34" s="525">
        <v>7</v>
      </c>
      <c r="AN34" s="526">
        <v>62.09</v>
      </c>
      <c r="AO34" s="526">
        <v>77.03</v>
      </c>
      <c r="AP34" s="526">
        <v>39.909999999999997</v>
      </c>
      <c r="AQ34" s="526">
        <v>94.02</v>
      </c>
      <c r="AR34" s="522">
        <v>5</v>
      </c>
      <c r="AS34" s="526">
        <v>66.36</v>
      </c>
      <c r="AT34" s="526">
        <v>70.89</v>
      </c>
      <c r="AU34" s="526">
        <v>6.92</v>
      </c>
      <c r="AV34" s="526">
        <v>73.290000000000006</v>
      </c>
      <c r="AW34" s="522">
        <v>22</v>
      </c>
      <c r="AX34" s="526">
        <v>77.89</v>
      </c>
      <c r="AY34" s="526">
        <v>81.99</v>
      </c>
      <c r="AZ34" s="526">
        <v>6.91</v>
      </c>
      <c r="BA34" s="526">
        <v>84.69</v>
      </c>
      <c r="BB34" s="522">
        <v>5120</v>
      </c>
      <c r="BC34" s="526">
        <v>88.62</v>
      </c>
      <c r="BD34" s="526">
        <v>93.69</v>
      </c>
      <c r="BE34" s="526">
        <v>4.45</v>
      </c>
      <c r="BF34" s="526">
        <v>92.4</v>
      </c>
      <c r="BG34" s="522">
        <v>5944</v>
      </c>
      <c r="BH34" s="526">
        <v>96.48</v>
      </c>
      <c r="BI34" s="526">
        <v>105.6</v>
      </c>
      <c r="BJ34" s="526">
        <v>1.96</v>
      </c>
      <c r="BK34" s="526">
        <v>98.28</v>
      </c>
      <c r="BL34" s="522">
        <v>5331</v>
      </c>
      <c r="BM34" s="526">
        <v>112.12</v>
      </c>
      <c r="BN34" s="526">
        <v>118.05</v>
      </c>
      <c r="BO34" s="526">
        <v>2.2000000000000002</v>
      </c>
      <c r="BP34" s="526">
        <v>113.49</v>
      </c>
      <c r="BQ34" s="522">
        <v>507</v>
      </c>
      <c r="BR34" s="526">
        <v>120.94</v>
      </c>
      <c r="BS34" s="526">
        <v>126.49</v>
      </c>
      <c r="BT34" s="526">
        <v>1.86</v>
      </c>
      <c r="BU34" s="526">
        <v>122.05</v>
      </c>
      <c r="BV34" s="522">
        <v>52</v>
      </c>
      <c r="BW34" s="526">
        <v>128.43</v>
      </c>
      <c r="BX34" s="526">
        <v>136.86000000000001</v>
      </c>
      <c r="BY34" s="526">
        <v>2.57</v>
      </c>
      <c r="BZ34" s="526">
        <v>130.78</v>
      </c>
      <c r="CA34" s="522">
        <v>12</v>
      </c>
      <c r="CB34" s="526">
        <v>88.65</v>
      </c>
      <c r="CC34" s="526">
        <v>94.73</v>
      </c>
      <c r="CD34" s="526">
        <v>4.42</v>
      </c>
      <c r="CE34" s="526">
        <v>92.64</v>
      </c>
      <c r="CF34" s="522">
        <v>16988</v>
      </c>
      <c r="CG34" s="526">
        <v>88.64</v>
      </c>
      <c r="CH34" s="526">
        <v>94.72</v>
      </c>
      <c r="CI34" s="526">
        <v>4.42</v>
      </c>
      <c r="CJ34" s="526">
        <v>92.64</v>
      </c>
      <c r="CK34" s="522">
        <v>16993</v>
      </c>
      <c r="CL34" s="526">
        <v>96.02</v>
      </c>
      <c r="CM34" s="526">
        <v>89.74</v>
      </c>
      <c r="CN34" s="526">
        <v>183.32</v>
      </c>
      <c r="CO34" s="526">
        <v>268.52999999999997</v>
      </c>
      <c r="CP34" s="522">
        <v>356</v>
      </c>
      <c r="CQ34" s="526">
        <v>75.010000000000005</v>
      </c>
      <c r="CR34" s="526">
        <v>74.45</v>
      </c>
      <c r="CS34" s="526">
        <v>116.85</v>
      </c>
      <c r="CT34" s="526">
        <v>191.86</v>
      </c>
      <c r="CU34" s="522">
        <v>153</v>
      </c>
      <c r="CV34" s="526">
        <v>90.46</v>
      </c>
      <c r="CW34" s="526">
        <v>88.43</v>
      </c>
      <c r="CX34" s="526">
        <v>34.369999999999997</v>
      </c>
      <c r="CY34" s="526">
        <v>124.63</v>
      </c>
      <c r="CZ34" s="522">
        <v>3379</v>
      </c>
      <c r="DA34" s="526">
        <v>98.76</v>
      </c>
      <c r="DB34" s="526">
        <v>101.99</v>
      </c>
      <c r="DC34" s="526">
        <v>28.35</v>
      </c>
      <c r="DD34" s="526">
        <v>126.62</v>
      </c>
      <c r="DE34" s="522">
        <v>460</v>
      </c>
      <c r="DF34" s="526">
        <v>107.65</v>
      </c>
      <c r="DG34" s="526">
        <v>110</v>
      </c>
      <c r="DH34" s="526">
        <v>31.27</v>
      </c>
      <c r="DI34" s="526">
        <v>138.91999999999999</v>
      </c>
      <c r="DJ34" s="522">
        <v>19</v>
      </c>
      <c r="DK34" s="526">
        <v>114.72</v>
      </c>
      <c r="DL34" s="526">
        <v>114.72</v>
      </c>
      <c r="DM34" s="526">
        <v>187.4</v>
      </c>
      <c r="DN34" s="526">
        <v>302.12</v>
      </c>
      <c r="DO34" s="522">
        <v>1</v>
      </c>
      <c r="DP34" s="526">
        <v>90.91</v>
      </c>
      <c r="DQ34" s="526">
        <v>89.69</v>
      </c>
      <c r="DR34" s="526">
        <v>36.880000000000003</v>
      </c>
      <c r="DS34" s="526">
        <v>127.53</v>
      </c>
      <c r="DT34" s="522">
        <v>4012</v>
      </c>
      <c r="DU34" s="526">
        <v>91.33</v>
      </c>
      <c r="DV34" s="526">
        <v>89.69</v>
      </c>
      <c r="DW34" s="526">
        <v>48.23</v>
      </c>
      <c r="DX34" s="526">
        <v>139.02000000000001</v>
      </c>
      <c r="DY34" s="522">
        <v>4368</v>
      </c>
      <c r="DZ34" s="526">
        <v>91.19</v>
      </c>
      <c r="EA34" s="526">
        <v>6</v>
      </c>
      <c r="EB34" s="526">
        <v>0</v>
      </c>
      <c r="EC34" s="522">
        <v>0</v>
      </c>
      <c r="ED34" s="526">
        <v>101.12</v>
      </c>
      <c r="EE34" s="522">
        <v>276</v>
      </c>
      <c r="EF34" s="526">
        <v>106.36</v>
      </c>
      <c r="EG34" s="522">
        <v>1647</v>
      </c>
      <c r="EH34" s="526">
        <v>117.13</v>
      </c>
      <c r="EI34" s="522">
        <v>1698</v>
      </c>
      <c r="EJ34" s="526">
        <v>133.63999999999999</v>
      </c>
      <c r="EK34" s="522">
        <v>80</v>
      </c>
      <c r="EL34" s="526">
        <v>154.79</v>
      </c>
      <c r="EM34" s="522">
        <v>6</v>
      </c>
      <c r="EN34" s="526">
        <v>0</v>
      </c>
      <c r="EO34" s="522">
        <v>0</v>
      </c>
      <c r="EP34" s="526">
        <v>111.57</v>
      </c>
      <c r="EQ34" s="522">
        <v>3707</v>
      </c>
      <c r="ER34" s="526">
        <v>111.54</v>
      </c>
      <c r="ES34" s="522">
        <v>3713</v>
      </c>
      <c r="ET34" s="526">
        <v>0</v>
      </c>
      <c r="EU34" s="526">
        <v>0</v>
      </c>
      <c r="EV34" s="526">
        <v>0</v>
      </c>
      <c r="EW34" s="522">
        <v>0</v>
      </c>
      <c r="EX34" s="526">
        <v>133.97</v>
      </c>
      <c r="EY34" s="522">
        <v>4</v>
      </c>
      <c r="EZ34" s="526">
        <v>146.03</v>
      </c>
      <c r="FA34" s="522">
        <v>3</v>
      </c>
      <c r="FB34" s="526">
        <v>0</v>
      </c>
      <c r="FC34" s="522">
        <v>0</v>
      </c>
      <c r="FD34" s="526">
        <v>0</v>
      </c>
      <c r="FE34" s="522">
        <v>0</v>
      </c>
      <c r="FF34" s="526">
        <v>139.13999999999999</v>
      </c>
      <c r="FG34" s="522">
        <v>7</v>
      </c>
      <c r="FH34" s="526">
        <v>139.13999999999999</v>
      </c>
      <c r="FI34" s="522">
        <v>7</v>
      </c>
      <c r="FJ34" s="522">
        <v>0</v>
      </c>
      <c r="FK34" s="522">
        <v>105</v>
      </c>
      <c r="FL34" s="522">
        <v>83</v>
      </c>
      <c r="FM34" s="522">
        <v>0</v>
      </c>
      <c r="FN34" s="522">
        <v>22</v>
      </c>
      <c r="FO34" s="522">
        <v>0</v>
      </c>
      <c r="FP34" s="522">
        <v>29</v>
      </c>
      <c r="FQ34" s="522">
        <v>79</v>
      </c>
      <c r="FR34" s="522">
        <v>12</v>
      </c>
    </row>
    <row r="35" spans="1:174" x14ac:dyDescent="0.25">
      <c r="A35" s="523" t="s">
        <v>332</v>
      </c>
      <c r="B35" s="523" t="s">
        <v>333</v>
      </c>
      <c r="C35" s="523" t="s">
        <v>282</v>
      </c>
      <c r="D35" s="522">
        <v>4945</v>
      </c>
      <c r="E35" s="522">
        <v>4908</v>
      </c>
      <c r="F35" s="522">
        <v>0</v>
      </c>
      <c r="G35" s="522">
        <v>0</v>
      </c>
      <c r="H35" s="522">
        <v>158</v>
      </c>
      <c r="I35" s="522">
        <v>128</v>
      </c>
      <c r="J35" s="522">
        <v>906</v>
      </c>
      <c r="K35" s="522">
        <v>896</v>
      </c>
      <c r="L35" s="522">
        <v>454</v>
      </c>
      <c r="M35" s="522">
        <v>0</v>
      </c>
      <c r="N35" s="522">
        <v>6463</v>
      </c>
      <c r="O35" s="522">
        <v>5932</v>
      </c>
      <c r="P35" s="522">
        <v>6009</v>
      </c>
      <c r="Q35" s="522">
        <v>3</v>
      </c>
      <c r="R35" s="523">
        <v>4</v>
      </c>
      <c r="S35" s="523">
        <v>12</v>
      </c>
      <c r="T35" s="523">
        <v>65</v>
      </c>
      <c r="U35" s="523">
        <v>6398</v>
      </c>
      <c r="V35" s="522">
        <v>4908</v>
      </c>
      <c r="W35" s="522">
        <v>9</v>
      </c>
      <c r="X35" s="522">
        <v>44</v>
      </c>
      <c r="Y35" s="522">
        <v>53</v>
      </c>
      <c r="Z35" s="524">
        <v>91.75</v>
      </c>
      <c r="AA35" s="524">
        <v>91.45</v>
      </c>
      <c r="AB35" s="524">
        <v>2.62</v>
      </c>
      <c r="AC35" s="524">
        <v>94.32</v>
      </c>
      <c r="AD35" s="524">
        <v>4213</v>
      </c>
      <c r="AE35" s="525">
        <v>93.34</v>
      </c>
      <c r="AF35" s="525">
        <v>83.44</v>
      </c>
      <c r="AG35" s="525">
        <v>28.22</v>
      </c>
      <c r="AH35" s="525">
        <v>121.56</v>
      </c>
      <c r="AI35" s="525">
        <v>1030</v>
      </c>
      <c r="AJ35" s="525">
        <v>122.27</v>
      </c>
      <c r="AK35" s="525">
        <v>580</v>
      </c>
      <c r="AL35" s="525">
        <v>393.12</v>
      </c>
      <c r="AM35" s="525">
        <v>6</v>
      </c>
      <c r="AN35" s="526">
        <v>0</v>
      </c>
      <c r="AO35" s="526">
        <v>0</v>
      </c>
      <c r="AP35" s="526">
        <v>0</v>
      </c>
      <c r="AQ35" s="526">
        <v>0</v>
      </c>
      <c r="AR35" s="522">
        <v>0</v>
      </c>
      <c r="AS35" s="526">
        <v>65.14</v>
      </c>
      <c r="AT35" s="526">
        <v>65.25</v>
      </c>
      <c r="AU35" s="526">
        <v>9.66</v>
      </c>
      <c r="AV35" s="526">
        <v>74.8</v>
      </c>
      <c r="AW35" s="522">
        <v>42</v>
      </c>
      <c r="AX35" s="526">
        <v>76.75</v>
      </c>
      <c r="AY35" s="526">
        <v>76.17</v>
      </c>
      <c r="AZ35" s="526">
        <v>5.49</v>
      </c>
      <c r="BA35" s="526">
        <v>82.17</v>
      </c>
      <c r="BB35" s="522">
        <v>786</v>
      </c>
      <c r="BC35" s="526">
        <v>89.37</v>
      </c>
      <c r="BD35" s="526">
        <v>88.79</v>
      </c>
      <c r="BE35" s="526">
        <v>1.99</v>
      </c>
      <c r="BF35" s="526">
        <v>91.31</v>
      </c>
      <c r="BG35" s="522">
        <v>1678</v>
      </c>
      <c r="BH35" s="526">
        <v>101.25</v>
      </c>
      <c r="BI35" s="526">
        <v>101.23</v>
      </c>
      <c r="BJ35" s="526">
        <v>1.73</v>
      </c>
      <c r="BK35" s="526">
        <v>102.95</v>
      </c>
      <c r="BL35" s="522">
        <v>1646</v>
      </c>
      <c r="BM35" s="526">
        <v>112.15</v>
      </c>
      <c r="BN35" s="526">
        <v>114.8</v>
      </c>
      <c r="BO35" s="526">
        <v>1.77</v>
      </c>
      <c r="BP35" s="526">
        <v>113.93</v>
      </c>
      <c r="BQ35" s="522">
        <v>56</v>
      </c>
      <c r="BR35" s="526">
        <v>110.26</v>
      </c>
      <c r="BS35" s="526">
        <v>116.9</v>
      </c>
      <c r="BT35" s="526">
        <v>1.28</v>
      </c>
      <c r="BU35" s="526">
        <v>111.54</v>
      </c>
      <c r="BV35" s="522">
        <v>3</v>
      </c>
      <c r="BW35" s="526">
        <v>129.25</v>
      </c>
      <c r="BX35" s="526">
        <v>128.76</v>
      </c>
      <c r="BY35" s="526">
        <v>2.1</v>
      </c>
      <c r="BZ35" s="526">
        <v>131.35</v>
      </c>
      <c r="CA35" s="522">
        <v>2</v>
      </c>
      <c r="CB35" s="526">
        <v>91.75</v>
      </c>
      <c r="CC35" s="526">
        <v>91.45</v>
      </c>
      <c r="CD35" s="526">
        <v>2.62</v>
      </c>
      <c r="CE35" s="526">
        <v>94.32</v>
      </c>
      <c r="CF35" s="522">
        <v>4213</v>
      </c>
      <c r="CG35" s="526">
        <v>91.75</v>
      </c>
      <c r="CH35" s="526">
        <v>91.45</v>
      </c>
      <c r="CI35" s="526">
        <v>2.62</v>
      </c>
      <c r="CJ35" s="526">
        <v>94.32</v>
      </c>
      <c r="CK35" s="522">
        <v>4213</v>
      </c>
      <c r="CL35" s="526">
        <v>215.46</v>
      </c>
      <c r="CM35" s="526">
        <v>72.38</v>
      </c>
      <c r="CN35" s="526">
        <v>58.18</v>
      </c>
      <c r="CO35" s="526">
        <v>273.64</v>
      </c>
      <c r="CP35" s="522">
        <v>56</v>
      </c>
      <c r="CQ35" s="526">
        <v>70.400000000000006</v>
      </c>
      <c r="CR35" s="526">
        <v>67.02</v>
      </c>
      <c r="CS35" s="526">
        <v>31.16</v>
      </c>
      <c r="CT35" s="526">
        <v>101.56</v>
      </c>
      <c r="CU35" s="522">
        <v>161</v>
      </c>
      <c r="CV35" s="526">
        <v>86.61</v>
      </c>
      <c r="CW35" s="526">
        <v>82.84</v>
      </c>
      <c r="CX35" s="526">
        <v>44.39</v>
      </c>
      <c r="CY35" s="526">
        <v>131</v>
      </c>
      <c r="CZ35" s="522">
        <v>407</v>
      </c>
      <c r="DA35" s="526">
        <v>91.84</v>
      </c>
      <c r="DB35" s="526">
        <v>90.2</v>
      </c>
      <c r="DC35" s="526">
        <v>6.5</v>
      </c>
      <c r="DD35" s="526">
        <v>98.34</v>
      </c>
      <c r="DE35" s="522">
        <v>394</v>
      </c>
      <c r="DF35" s="526">
        <v>108.91</v>
      </c>
      <c r="DG35" s="526">
        <v>103.81</v>
      </c>
      <c r="DH35" s="526">
        <v>13.24</v>
      </c>
      <c r="DI35" s="526">
        <v>122.16</v>
      </c>
      <c r="DJ35" s="522">
        <v>12</v>
      </c>
      <c r="DK35" s="526">
        <v>0</v>
      </c>
      <c r="DL35" s="526">
        <v>0</v>
      </c>
      <c r="DM35" s="526">
        <v>0</v>
      </c>
      <c r="DN35" s="526">
        <v>0</v>
      </c>
      <c r="DO35" s="522">
        <v>0</v>
      </c>
      <c r="DP35" s="526">
        <v>86.32</v>
      </c>
      <c r="DQ35" s="526">
        <v>83.46</v>
      </c>
      <c r="DR35" s="526">
        <v>26.49</v>
      </c>
      <c r="DS35" s="526">
        <v>112.81</v>
      </c>
      <c r="DT35" s="522">
        <v>974</v>
      </c>
      <c r="DU35" s="526">
        <v>93.34</v>
      </c>
      <c r="DV35" s="526">
        <v>83.44</v>
      </c>
      <c r="DW35" s="526">
        <v>28.22</v>
      </c>
      <c r="DX35" s="526">
        <v>121.56</v>
      </c>
      <c r="DY35" s="522">
        <v>1030</v>
      </c>
      <c r="DZ35" s="526">
        <v>0</v>
      </c>
      <c r="EA35" s="526">
        <v>0</v>
      </c>
      <c r="EB35" s="526">
        <v>0</v>
      </c>
      <c r="EC35" s="522">
        <v>0</v>
      </c>
      <c r="ED35" s="526">
        <v>100.01</v>
      </c>
      <c r="EE35" s="522">
        <v>159</v>
      </c>
      <c r="EF35" s="526">
        <v>123.39</v>
      </c>
      <c r="EG35" s="522">
        <v>284</v>
      </c>
      <c r="EH35" s="526">
        <v>142.15</v>
      </c>
      <c r="EI35" s="522">
        <v>120</v>
      </c>
      <c r="EJ35" s="526">
        <v>171.52</v>
      </c>
      <c r="EK35" s="522">
        <v>17</v>
      </c>
      <c r="EL35" s="526">
        <v>0</v>
      </c>
      <c r="EM35" s="522">
        <v>0</v>
      </c>
      <c r="EN35" s="526">
        <v>0</v>
      </c>
      <c r="EO35" s="522">
        <v>0</v>
      </c>
      <c r="EP35" s="526">
        <v>122.27</v>
      </c>
      <c r="EQ35" s="522">
        <v>580</v>
      </c>
      <c r="ER35" s="526">
        <v>122.27</v>
      </c>
      <c r="ES35" s="522">
        <v>580</v>
      </c>
      <c r="ET35" s="526">
        <v>0</v>
      </c>
      <c r="EU35" s="526">
        <v>0</v>
      </c>
      <c r="EV35" s="526">
        <v>0</v>
      </c>
      <c r="EW35" s="522">
        <v>0</v>
      </c>
      <c r="EX35" s="526">
        <v>393.12</v>
      </c>
      <c r="EY35" s="522">
        <v>6</v>
      </c>
      <c r="EZ35" s="526">
        <v>0</v>
      </c>
      <c r="FA35" s="522">
        <v>0</v>
      </c>
      <c r="FB35" s="526">
        <v>0</v>
      </c>
      <c r="FC35" s="522">
        <v>0</v>
      </c>
      <c r="FD35" s="526">
        <v>0</v>
      </c>
      <c r="FE35" s="522">
        <v>0</v>
      </c>
      <c r="FF35" s="526">
        <v>393.12</v>
      </c>
      <c r="FG35" s="522">
        <v>6</v>
      </c>
      <c r="FH35" s="526">
        <v>393.12</v>
      </c>
      <c r="FI35" s="522">
        <v>6</v>
      </c>
      <c r="FJ35" s="522">
        <v>0</v>
      </c>
      <c r="FK35" s="522">
        <v>6</v>
      </c>
      <c r="FL35" s="522">
        <v>6</v>
      </c>
      <c r="FM35" s="522">
        <v>0</v>
      </c>
      <c r="FN35" s="522">
        <v>0</v>
      </c>
      <c r="FO35" s="522">
        <v>0</v>
      </c>
      <c r="FP35" s="522">
        <v>12</v>
      </c>
      <c r="FQ35" s="522">
        <v>19</v>
      </c>
      <c r="FR35" s="522">
        <v>6</v>
      </c>
    </row>
    <row r="36" spans="1:174" x14ac:dyDescent="0.25">
      <c r="A36" s="523" t="s">
        <v>11729</v>
      </c>
      <c r="B36" s="523" t="s">
        <v>334</v>
      </c>
      <c r="C36" s="523" t="s">
        <v>287</v>
      </c>
      <c r="D36" s="522">
        <v>6941</v>
      </c>
      <c r="E36" s="522">
        <v>6492</v>
      </c>
      <c r="F36" s="522">
        <v>13</v>
      </c>
      <c r="G36" s="522">
        <v>12</v>
      </c>
      <c r="H36" s="522">
        <v>1294</v>
      </c>
      <c r="I36" s="522">
        <v>951</v>
      </c>
      <c r="J36" s="522">
        <v>927</v>
      </c>
      <c r="K36" s="522">
        <v>781</v>
      </c>
      <c r="L36" s="522">
        <v>998</v>
      </c>
      <c r="M36" s="522">
        <v>14</v>
      </c>
      <c r="N36" s="522">
        <v>10173</v>
      </c>
      <c r="O36" s="522">
        <v>8250</v>
      </c>
      <c r="P36" s="522">
        <v>9175</v>
      </c>
      <c r="Q36" s="522">
        <v>30</v>
      </c>
      <c r="R36" s="523">
        <v>12</v>
      </c>
      <c r="S36" s="523">
        <v>28</v>
      </c>
      <c r="T36" s="523">
        <v>927</v>
      </c>
      <c r="U36" s="523">
        <v>9246</v>
      </c>
      <c r="V36" s="522">
        <v>6502</v>
      </c>
      <c r="W36" s="522">
        <v>92</v>
      </c>
      <c r="X36" s="522">
        <v>41</v>
      </c>
      <c r="Y36" s="522">
        <v>133</v>
      </c>
      <c r="Z36" s="524">
        <v>118.25</v>
      </c>
      <c r="AA36" s="524">
        <v>117.63</v>
      </c>
      <c r="AB36" s="524">
        <v>8.3800000000000008</v>
      </c>
      <c r="AC36" s="524">
        <v>124.23</v>
      </c>
      <c r="AD36" s="524">
        <v>5832</v>
      </c>
      <c r="AE36" s="525">
        <v>116.29</v>
      </c>
      <c r="AF36" s="525">
        <v>94.89</v>
      </c>
      <c r="AG36" s="525">
        <v>61.83</v>
      </c>
      <c r="AH36" s="525">
        <v>176.57</v>
      </c>
      <c r="AI36" s="525">
        <v>1681</v>
      </c>
      <c r="AJ36" s="525">
        <v>168.21</v>
      </c>
      <c r="AK36" s="525">
        <v>653</v>
      </c>
      <c r="AL36" s="525">
        <v>385.84</v>
      </c>
      <c r="AM36" s="525">
        <v>52</v>
      </c>
      <c r="AN36" s="526">
        <v>0</v>
      </c>
      <c r="AO36" s="526">
        <v>0</v>
      </c>
      <c r="AP36" s="526">
        <v>0</v>
      </c>
      <c r="AQ36" s="526">
        <v>0</v>
      </c>
      <c r="AR36" s="522">
        <v>0</v>
      </c>
      <c r="AS36" s="526">
        <v>90.63</v>
      </c>
      <c r="AT36" s="526">
        <v>90.86</v>
      </c>
      <c r="AU36" s="526">
        <v>9.2799999999999994</v>
      </c>
      <c r="AV36" s="526">
        <v>99.8</v>
      </c>
      <c r="AW36" s="522">
        <v>83</v>
      </c>
      <c r="AX36" s="526">
        <v>99.89</v>
      </c>
      <c r="AY36" s="526">
        <v>98.78</v>
      </c>
      <c r="AZ36" s="526">
        <v>13.73</v>
      </c>
      <c r="BA36" s="526">
        <v>111.93</v>
      </c>
      <c r="BB36" s="522">
        <v>1386</v>
      </c>
      <c r="BC36" s="526">
        <v>116.03</v>
      </c>
      <c r="BD36" s="526">
        <v>115.28</v>
      </c>
      <c r="BE36" s="526">
        <v>8.31</v>
      </c>
      <c r="BF36" s="526">
        <v>122.35</v>
      </c>
      <c r="BG36" s="522">
        <v>2394</v>
      </c>
      <c r="BH36" s="526">
        <v>133.97</v>
      </c>
      <c r="BI36" s="526">
        <v>133.58000000000001</v>
      </c>
      <c r="BJ36" s="526">
        <v>2.25</v>
      </c>
      <c r="BK36" s="526">
        <v>135.16999999999999</v>
      </c>
      <c r="BL36" s="522">
        <v>1815</v>
      </c>
      <c r="BM36" s="526">
        <v>147.34</v>
      </c>
      <c r="BN36" s="526">
        <v>148.24</v>
      </c>
      <c r="BO36" s="526">
        <v>1.51</v>
      </c>
      <c r="BP36" s="526">
        <v>148.08000000000001</v>
      </c>
      <c r="BQ36" s="522">
        <v>151</v>
      </c>
      <c r="BR36" s="526">
        <v>162.03</v>
      </c>
      <c r="BS36" s="526">
        <v>179.27</v>
      </c>
      <c r="BT36" s="526">
        <v>0</v>
      </c>
      <c r="BU36" s="526">
        <v>162.03</v>
      </c>
      <c r="BV36" s="522">
        <v>1</v>
      </c>
      <c r="BW36" s="526">
        <v>153.22</v>
      </c>
      <c r="BX36" s="526">
        <v>154.84</v>
      </c>
      <c r="BY36" s="526">
        <v>0.56999999999999995</v>
      </c>
      <c r="BZ36" s="526">
        <v>153.51</v>
      </c>
      <c r="CA36" s="522">
        <v>2</v>
      </c>
      <c r="CB36" s="526">
        <v>118.25</v>
      </c>
      <c r="CC36" s="526">
        <v>117.63</v>
      </c>
      <c r="CD36" s="526">
        <v>8.3800000000000008</v>
      </c>
      <c r="CE36" s="526">
        <v>124.23</v>
      </c>
      <c r="CF36" s="522">
        <v>5832</v>
      </c>
      <c r="CG36" s="526">
        <v>118.25</v>
      </c>
      <c r="CH36" s="526">
        <v>117.63</v>
      </c>
      <c r="CI36" s="526">
        <v>8.3800000000000008</v>
      </c>
      <c r="CJ36" s="526">
        <v>124.23</v>
      </c>
      <c r="CK36" s="522">
        <v>5832</v>
      </c>
      <c r="CL36" s="526">
        <v>132.08000000000001</v>
      </c>
      <c r="CM36" s="526">
        <v>81.17</v>
      </c>
      <c r="CN36" s="526">
        <v>103.47</v>
      </c>
      <c r="CO36" s="526">
        <v>234.95</v>
      </c>
      <c r="CP36" s="522">
        <v>340</v>
      </c>
      <c r="CQ36" s="526">
        <v>90.28</v>
      </c>
      <c r="CR36" s="526">
        <v>85.46</v>
      </c>
      <c r="CS36" s="526">
        <v>55.68</v>
      </c>
      <c r="CT36" s="526">
        <v>145.63</v>
      </c>
      <c r="CU36" s="522">
        <v>167</v>
      </c>
      <c r="CV36" s="526">
        <v>111.96</v>
      </c>
      <c r="CW36" s="526">
        <v>96.67</v>
      </c>
      <c r="CX36" s="526">
        <v>51.25</v>
      </c>
      <c r="CY36" s="526">
        <v>162.24</v>
      </c>
      <c r="CZ36" s="522">
        <v>1004</v>
      </c>
      <c r="DA36" s="526">
        <v>134.57</v>
      </c>
      <c r="DB36" s="526">
        <v>111.59</v>
      </c>
      <c r="DC36" s="526">
        <v>44.91</v>
      </c>
      <c r="DD36" s="526">
        <v>174.52</v>
      </c>
      <c r="DE36" s="522">
        <v>154</v>
      </c>
      <c r="DF36" s="526">
        <v>147.85</v>
      </c>
      <c r="DG36" s="526">
        <v>130.62</v>
      </c>
      <c r="DH36" s="526">
        <v>37.46</v>
      </c>
      <c r="DI36" s="526">
        <v>178.29</v>
      </c>
      <c r="DJ36" s="522">
        <v>16</v>
      </c>
      <c r="DK36" s="526">
        <v>0</v>
      </c>
      <c r="DL36" s="526">
        <v>0</v>
      </c>
      <c r="DM36" s="526">
        <v>0</v>
      </c>
      <c r="DN36" s="526">
        <v>0</v>
      </c>
      <c r="DO36" s="522">
        <v>0</v>
      </c>
      <c r="DP36" s="526">
        <v>112.28</v>
      </c>
      <c r="DQ36" s="526">
        <v>97.32</v>
      </c>
      <c r="DR36" s="526">
        <v>51.01</v>
      </c>
      <c r="DS36" s="526">
        <v>161.77000000000001</v>
      </c>
      <c r="DT36" s="522">
        <v>1341</v>
      </c>
      <c r="DU36" s="526">
        <v>116.29</v>
      </c>
      <c r="DV36" s="526">
        <v>94.89</v>
      </c>
      <c r="DW36" s="526">
        <v>61.83</v>
      </c>
      <c r="DX36" s="526">
        <v>176.57</v>
      </c>
      <c r="DY36" s="522">
        <v>1681</v>
      </c>
      <c r="DZ36" s="526">
        <v>155.01</v>
      </c>
      <c r="EA36" s="526">
        <v>12</v>
      </c>
      <c r="EB36" s="526">
        <v>0</v>
      </c>
      <c r="EC36" s="522">
        <v>0</v>
      </c>
      <c r="ED36" s="526">
        <v>136.4</v>
      </c>
      <c r="EE36" s="522">
        <v>134</v>
      </c>
      <c r="EF36" s="526">
        <v>170.24</v>
      </c>
      <c r="EG36" s="522">
        <v>401</v>
      </c>
      <c r="EH36" s="526">
        <v>200.04</v>
      </c>
      <c r="EI36" s="522">
        <v>100</v>
      </c>
      <c r="EJ36" s="526">
        <v>240.86</v>
      </c>
      <c r="EK36" s="522">
        <v>5</v>
      </c>
      <c r="EL36" s="526">
        <v>227.72</v>
      </c>
      <c r="EM36" s="522">
        <v>1</v>
      </c>
      <c r="EN36" s="526">
        <v>0</v>
      </c>
      <c r="EO36" s="522">
        <v>0</v>
      </c>
      <c r="EP36" s="526">
        <v>168.46</v>
      </c>
      <c r="EQ36" s="522">
        <v>641</v>
      </c>
      <c r="ER36" s="526">
        <v>168.21</v>
      </c>
      <c r="ES36" s="522">
        <v>653</v>
      </c>
      <c r="ET36" s="526">
        <v>385.84</v>
      </c>
      <c r="EU36" s="526">
        <v>52</v>
      </c>
      <c r="EV36" s="526">
        <v>0</v>
      </c>
      <c r="EW36" s="522">
        <v>0</v>
      </c>
      <c r="EX36" s="526">
        <v>0</v>
      </c>
      <c r="EY36" s="522">
        <v>0</v>
      </c>
      <c r="EZ36" s="526">
        <v>0</v>
      </c>
      <c r="FA36" s="522">
        <v>0</v>
      </c>
      <c r="FB36" s="526">
        <v>0</v>
      </c>
      <c r="FC36" s="522">
        <v>0</v>
      </c>
      <c r="FD36" s="526">
        <v>0</v>
      </c>
      <c r="FE36" s="522">
        <v>0</v>
      </c>
      <c r="FF36" s="526">
        <v>0</v>
      </c>
      <c r="FG36" s="522">
        <v>0</v>
      </c>
      <c r="FH36" s="526">
        <v>385.84</v>
      </c>
      <c r="FI36" s="522">
        <v>52</v>
      </c>
      <c r="FJ36" s="522">
        <v>0</v>
      </c>
      <c r="FK36" s="522">
        <v>0</v>
      </c>
      <c r="FL36" s="522">
        <v>0</v>
      </c>
      <c r="FM36" s="522">
        <v>0</v>
      </c>
      <c r="FN36" s="522">
        <v>0</v>
      </c>
      <c r="FO36" s="522">
        <v>0</v>
      </c>
      <c r="FP36" s="522">
        <v>26</v>
      </c>
      <c r="FQ36" s="522">
        <v>11</v>
      </c>
      <c r="FR36" s="522">
        <v>6</v>
      </c>
    </row>
    <row r="37" spans="1:174" x14ac:dyDescent="0.25">
      <c r="A37" s="523" t="s">
        <v>335</v>
      </c>
      <c r="B37" s="523" t="s">
        <v>336</v>
      </c>
      <c r="C37" s="523" t="s">
        <v>2</v>
      </c>
      <c r="D37" s="522">
        <v>7498</v>
      </c>
      <c r="E37" s="522">
        <v>7433</v>
      </c>
      <c r="F37" s="522">
        <v>0</v>
      </c>
      <c r="G37" s="522">
        <v>0</v>
      </c>
      <c r="H37" s="522">
        <v>264</v>
      </c>
      <c r="I37" s="522">
        <v>220</v>
      </c>
      <c r="J37" s="522">
        <v>499</v>
      </c>
      <c r="K37" s="522">
        <v>499</v>
      </c>
      <c r="L37" s="522">
        <v>838</v>
      </c>
      <c r="M37" s="522">
        <v>4</v>
      </c>
      <c r="N37" s="522">
        <v>9099</v>
      </c>
      <c r="O37" s="522">
        <v>8156</v>
      </c>
      <c r="P37" s="522">
        <v>8261</v>
      </c>
      <c r="Q37" s="522">
        <v>8</v>
      </c>
      <c r="R37" s="523">
        <v>6</v>
      </c>
      <c r="S37" s="523">
        <v>29</v>
      </c>
      <c r="T37" s="523">
        <v>68</v>
      </c>
      <c r="U37" s="523">
        <v>9031</v>
      </c>
      <c r="V37" s="522">
        <v>7468</v>
      </c>
      <c r="W37" s="522">
        <v>10</v>
      </c>
      <c r="X37" s="522">
        <v>81</v>
      </c>
      <c r="Y37" s="522">
        <v>91</v>
      </c>
      <c r="Z37" s="524">
        <v>125.08</v>
      </c>
      <c r="AA37" s="524">
        <v>129.38</v>
      </c>
      <c r="AB37" s="524">
        <v>10.58</v>
      </c>
      <c r="AC37" s="524">
        <v>128.97</v>
      </c>
      <c r="AD37" s="524">
        <v>6668</v>
      </c>
      <c r="AE37" s="525">
        <v>114.46</v>
      </c>
      <c r="AF37" s="525">
        <v>112.4</v>
      </c>
      <c r="AG37" s="525">
        <v>47.31</v>
      </c>
      <c r="AH37" s="525">
        <v>159.68</v>
      </c>
      <c r="AI37" s="525">
        <v>725</v>
      </c>
      <c r="AJ37" s="525">
        <v>195.01</v>
      </c>
      <c r="AK37" s="525">
        <v>778</v>
      </c>
      <c r="AL37" s="525">
        <v>0</v>
      </c>
      <c r="AM37" s="525">
        <v>0</v>
      </c>
      <c r="AN37" s="526">
        <v>0</v>
      </c>
      <c r="AO37" s="526">
        <v>0</v>
      </c>
      <c r="AP37" s="526">
        <v>0</v>
      </c>
      <c r="AQ37" s="526">
        <v>0</v>
      </c>
      <c r="AR37" s="522">
        <v>0</v>
      </c>
      <c r="AS37" s="526">
        <v>87.14</v>
      </c>
      <c r="AT37" s="526">
        <v>89.28</v>
      </c>
      <c r="AU37" s="526">
        <v>10.79</v>
      </c>
      <c r="AV37" s="526">
        <v>94.66</v>
      </c>
      <c r="AW37" s="522">
        <v>185</v>
      </c>
      <c r="AX37" s="526">
        <v>105.1</v>
      </c>
      <c r="AY37" s="526">
        <v>108.68</v>
      </c>
      <c r="AZ37" s="526">
        <v>11.51</v>
      </c>
      <c r="BA37" s="526">
        <v>111.99</v>
      </c>
      <c r="BB37" s="522">
        <v>1504</v>
      </c>
      <c r="BC37" s="526">
        <v>123.16</v>
      </c>
      <c r="BD37" s="526">
        <v>127.12</v>
      </c>
      <c r="BE37" s="526">
        <v>12.12</v>
      </c>
      <c r="BF37" s="526">
        <v>128.33000000000001</v>
      </c>
      <c r="BG37" s="522">
        <v>2395</v>
      </c>
      <c r="BH37" s="526">
        <v>139.33000000000001</v>
      </c>
      <c r="BI37" s="526">
        <v>144.38999999999999</v>
      </c>
      <c r="BJ37" s="526">
        <v>4.58</v>
      </c>
      <c r="BK37" s="526">
        <v>139.99</v>
      </c>
      <c r="BL37" s="522">
        <v>2303</v>
      </c>
      <c r="BM37" s="526">
        <v>156.61000000000001</v>
      </c>
      <c r="BN37" s="526">
        <v>162.85</v>
      </c>
      <c r="BO37" s="526">
        <v>4.29</v>
      </c>
      <c r="BP37" s="526">
        <v>157.71</v>
      </c>
      <c r="BQ37" s="522">
        <v>281</v>
      </c>
      <c r="BR37" s="526">
        <v>0</v>
      </c>
      <c r="BS37" s="526">
        <v>0</v>
      </c>
      <c r="BT37" s="526">
        <v>0</v>
      </c>
      <c r="BU37" s="526">
        <v>0</v>
      </c>
      <c r="BV37" s="522">
        <v>0</v>
      </c>
      <c r="BW37" s="526">
        <v>0</v>
      </c>
      <c r="BX37" s="526">
        <v>0</v>
      </c>
      <c r="BY37" s="526">
        <v>0</v>
      </c>
      <c r="BZ37" s="526">
        <v>0</v>
      </c>
      <c r="CA37" s="522">
        <v>0</v>
      </c>
      <c r="CB37" s="526">
        <v>125.08</v>
      </c>
      <c r="CC37" s="526">
        <v>129.38</v>
      </c>
      <c r="CD37" s="526">
        <v>10.58</v>
      </c>
      <c r="CE37" s="526">
        <v>128.97</v>
      </c>
      <c r="CF37" s="522">
        <v>6668</v>
      </c>
      <c r="CG37" s="526">
        <v>125.08</v>
      </c>
      <c r="CH37" s="526">
        <v>129.38</v>
      </c>
      <c r="CI37" s="526">
        <v>10.58</v>
      </c>
      <c r="CJ37" s="526">
        <v>128.97</v>
      </c>
      <c r="CK37" s="522">
        <v>6668</v>
      </c>
      <c r="CL37" s="526">
        <v>106.94</v>
      </c>
      <c r="CM37" s="526">
        <v>89.51</v>
      </c>
      <c r="CN37" s="526">
        <v>34.369999999999997</v>
      </c>
      <c r="CO37" s="526">
        <v>140.13</v>
      </c>
      <c r="CP37" s="522">
        <v>116</v>
      </c>
      <c r="CQ37" s="526">
        <v>97.7</v>
      </c>
      <c r="CR37" s="526">
        <v>99.76</v>
      </c>
      <c r="CS37" s="526">
        <v>81.48</v>
      </c>
      <c r="CT37" s="526">
        <v>166.49</v>
      </c>
      <c r="CU37" s="522">
        <v>122</v>
      </c>
      <c r="CV37" s="526">
        <v>117.71</v>
      </c>
      <c r="CW37" s="526">
        <v>116.87</v>
      </c>
      <c r="CX37" s="526">
        <v>41.85</v>
      </c>
      <c r="CY37" s="526">
        <v>158.74</v>
      </c>
      <c r="CZ37" s="522">
        <v>405</v>
      </c>
      <c r="DA37" s="526">
        <v>133.49</v>
      </c>
      <c r="DB37" s="526">
        <v>139.86000000000001</v>
      </c>
      <c r="DC37" s="526">
        <v>48.67</v>
      </c>
      <c r="DD37" s="526">
        <v>182.16</v>
      </c>
      <c r="DE37" s="522">
        <v>79</v>
      </c>
      <c r="DF37" s="526">
        <v>147.18</v>
      </c>
      <c r="DG37" s="526">
        <v>149.56</v>
      </c>
      <c r="DH37" s="526">
        <v>41.35</v>
      </c>
      <c r="DI37" s="526">
        <v>174.74</v>
      </c>
      <c r="DJ37" s="522">
        <v>3</v>
      </c>
      <c r="DK37" s="526">
        <v>0</v>
      </c>
      <c r="DL37" s="526">
        <v>0</v>
      </c>
      <c r="DM37" s="526">
        <v>0</v>
      </c>
      <c r="DN37" s="526">
        <v>0</v>
      </c>
      <c r="DO37" s="522">
        <v>0</v>
      </c>
      <c r="DP37" s="526">
        <v>115.89</v>
      </c>
      <c r="DQ37" s="526">
        <v>116.59</v>
      </c>
      <c r="DR37" s="526">
        <v>49.8</v>
      </c>
      <c r="DS37" s="526">
        <v>163.41</v>
      </c>
      <c r="DT37" s="522">
        <v>609</v>
      </c>
      <c r="DU37" s="526">
        <v>114.46</v>
      </c>
      <c r="DV37" s="526">
        <v>112.4</v>
      </c>
      <c r="DW37" s="526">
        <v>47.31</v>
      </c>
      <c r="DX37" s="526">
        <v>159.68</v>
      </c>
      <c r="DY37" s="522">
        <v>725</v>
      </c>
      <c r="DZ37" s="526">
        <v>0</v>
      </c>
      <c r="EA37" s="526">
        <v>0</v>
      </c>
      <c r="EB37" s="526">
        <v>133.88</v>
      </c>
      <c r="EC37" s="522">
        <v>7</v>
      </c>
      <c r="ED37" s="526">
        <v>164</v>
      </c>
      <c r="EE37" s="522">
        <v>284</v>
      </c>
      <c r="EF37" s="526">
        <v>203.78</v>
      </c>
      <c r="EG37" s="522">
        <v>343</v>
      </c>
      <c r="EH37" s="526">
        <v>235.23</v>
      </c>
      <c r="EI37" s="522">
        <v>124</v>
      </c>
      <c r="EJ37" s="526">
        <v>259.45</v>
      </c>
      <c r="EK37" s="522">
        <v>19</v>
      </c>
      <c r="EL37" s="526">
        <v>209.45</v>
      </c>
      <c r="EM37" s="522">
        <v>1</v>
      </c>
      <c r="EN37" s="526">
        <v>0</v>
      </c>
      <c r="EO37" s="522">
        <v>0</v>
      </c>
      <c r="EP37" s="526">
        <v>195.01</v>
      </c>
      <c r="EQ37" s="522">
        <v>778</v>
      </c>
      <c r="ER37" s="526">
        <v>195.01</v>
      </c>
      <c r="ES37" s="522">
        <v>778</v>
      </c>
      <c r="ET37" s="526">
        <v>0</v>
      </c>
      <c r="EU37" s="526">
        <v>0</v>
      </c>
      <c r="EV37" s="526">
        <v>0</v>
      </c>
      <c r="EW37" s="522">
        <v>0</v>
      </c>
      <c r="EX37" s="526">
        <v>0</v>
      </c>
      <c r="EY37" s="522">
        <v>0</v>
      </c>
      <c r="EZ37" s="526">
        <v>0</v>
      </c>
      <c r="FA37" s="522">
        <v>0</v>
      </c>
      <c r="FB37" s="526">
        <v>0</v>
      </c>
      <c r="FC37" s="522">
        <v>0</v>
      </c>
      <c r="FD37" s="526">
        <v>0</v>
      </c>
      <c r="FE37" s="522">
        <v>0</v>
      </c>
      <c r="FF37" s="526">
        <v>0</v>
      </c>
      <c r="FG37" s="522">
        <v>0</v>
      </c>
      <c r="FH37" s="526">
        <v>0</v>
      </c>
      <c r="FI37" s="522">
        <v>0</v>
      </c>
      <c r="FJ37" s="522">
        <v>0</v>
      </c>
      <c r="FK37" s="522">
        <v>5</v>
      </c>
      <c r="FL37" s="522">
        <v>4</v>
      </c>
      <c r="FM37" s="522">
        <v>0</v>
      </c>
      <c r="FN37" s="522">
        <v>1</v>
      </c>
      <c r="FO37" s="522">
        <v>0</v>
      </c>
      <c r="FP37" s="522">
        <v>114</v>
      </c>
      <c r="FQ37" s="522">
        <v>105</v>
      </c>
      <c r="FR37" s="522">
        <v>9</v>
      </c>
    </row>
    <row r="38" spans="1:174" x14ac:dyDescent="0.25">
      <c r="A38" s="523" t="s">
        <v>337</v>
      </c>
      <c r="B38" s="523" t="s">
        <v>338</v>
      </c>
      <c r="C38" s="523" t="s">
        <v>289</v>
      </c>
      <c r="D38" s="522">
        <v>27067</v>
      </c>
      <c r="E38" s="522">
        <v>27399</v>
      </c>
      <c r="F38" s="522">
        <v>0</v>
      </c>
      <c r="G38" s="522">
        <v>0</v>
      </c>
      <c r="H38" s="522">
        <v>1551</v>
      </c>
      <c r="I38" s="522">
        <v>523</v>
      </c>
      <c r="J38" s="522">
        <v>2906</v>
      </c>
      <c r="K38" s="522">
        <v>2744</v>
      </c>
      <c r="L38" s="522">
        <v>949</v>
      </c>
      <c r="M38" s="522">
        <v>3</v>
      </c>
      <c r="N38" s="522">
        <v>32473</v>
      </c>
      <c r="O38" s="522">
        <v>30669</v>
      </c>
      <c r="P38" s="522">
        <v>31524</v>
      </c>
      <c r="Q38" s="522">
        <v>264</v>
      </c>
      <c r="R38" s="523">
        <v>22</v>
      </c>
      <c r="S38" s="523">
        <v>33</v>
      </c>
      <c r="T38" s="523">
        <v>965</v>
      </c>
      <c r="U38" s="523">
        <v>31508</v>
      </c>
      <c r="V38" s="522">
        <v>27051</v>
      </c>
      <c r="W38" s="522">
        <v>253</v>
      </c>
      <c r="X38" s="522">
        <v>238</v>
      </c>
      <c r="Y38" s="522">
        <v>491</v>
      </c>
      <c r="Z38" s="524">
        <v>90.22</v>
      </c>
      <c r="AA38" s="524">
        <v>88.11</v>
      </c>
      <c r="AB38" s="524">
        <v>4.9000000000000004</v>
      </c>
      <c r="AC38" s="524">
        <v>94.88</v>
      </c>
      <c r="AD38" s="524">
        <v>23074</v>
      </c>
      <c r="AE38" s="525">
        <v>102.25</v>
      </c>
      <c r="AF38" s="525">
        <v>87.47</v>
      </c>
      <c r="AG38" s="525">
        <v>48.35</v>
      </c>
      <c r="AH38" s="525">
        <v>150.05000000000001</v>
      </c>
      <c r="AI38" s="525">
        <v>3485</v>
      </c>
      <c r="AJ38" s="525">
        <v>115.72</v>
      </c>
      <c r="AK38" s="525">
        <v>3765</v>
      </c>
      <c r="AL38" s="525">
        <v>166.59</v>
      </c>
      <c r="AM38" s="525">
        <v>102</v>
      </c>
      <c r="AN38" s="526">
        <v>0</v>
      </c>
      <c r="AO38" s="526">
        <v>0</v>
      </c>
      <c r="AP38" s="526">
        <v>0</v>
      </c>
      <c r="AQ38" s="526">
        <v>0</v>
      </c>
      <c r="AR38" s="522">
        <v>0</v>
      </c>
      <c r="AS38" s="526">
        <v>70.25</v>
      </c>
      <c r="AT38" s="526">
        <v>66.790000000000006</v>
      </c>
      <c r="AU38" s="526">
        <v>7.77</v>
      </c>
      <c r="AV38" s="526">
        <v>77.930000000000007</v>
      </c>
      <c r="AW38" s="522">
        <v>196</v>
      </c>
      <c r="AX38" s="526">
        <v>79.11</v>
      </c>
      <c r="AY38" s="526">
        <v>76.540000000000006</v>
      </c>
      <c r="AZ38" s="526">
        <v>6.45</v>
      </c>
      <c r="BA38" s="526">
        <v>85.52</v>
      </c>
      <c r="BB38" s="522">
        <v>9099</v>
      </c>
      <c r="BC38" s="526">
        <v>89.96</v>
      </c>
      <c r="BD38" s="526">
        <v>87.68</v>
      </c>
      <c r="BE38" s="526">
        <v>5.48</v>
      </c>
      <c r="BF38" s="526">
        <v>95.12</v>
      </c>
      <c r="BG38" s="522">
        <v>6470</v>
      </c>
      <c r="BH38" s="526">
        <v>101.63</v>
      </c>
      <c r="BI38" s="526">
        <v>99.79</v>
      </c>
      <c r="BJ38" s="526">
        <v>2.17</v>
      </c>
      <c r="BK38" s="526">
        <v>103.62</v>
      </c>
      <c r="BL38" s="522">
        <v>6139</v>
      </c>
      <c r="BM38" s="526">
        <v>118.57</v>
      </c>
      <c r="BN38" s="526">
        <v>119.12</v>
      </c>
      <c r="BO38" s="526">
        <v>2.15</v>
      </c>
      <c r="BP38" s="526">
        <v>120.33</v>
      </c>
      <c r="BQ38" s="522">
        <v>933</v>
      </c>
      <c r="BR38" s="526">
        <v>130.94999999999999</v>
      </c>
      <c r="BS38" s="526">
        <v>134.5</v>
      </c>
      <c r="BT38" s="526">
        <v>2.42</v>
      </c>
      <c r="BU38" s="526">
        <v>132.9</v>
      </c>
      <c r="BV38" s="522">
        <v>197</v>
      </c>
      <c r="BW38" s="526">
        <v>142.09</v>
      </c>
      <c r="BX38" s="526">
        <v>147.52000000000001</v>
      </c>
      <c r="BY38" s="526">
        <v>2.96</v>
      </c>
      <c r="BZ38" s="526">
        <v>144.16</v>
      </c>
      <c r="CA38" s="522">
        <v>40</v>
      </c>
      <c r="CB38" s="526">
        <v>90.22</v>
      </c>
      <c r="CC38" s="526">
        <v>88.11</v>
      </c>
      <c r="CD38" s="526">
        <v>4.9000000000000004</v>
      </c>
      <c r="CE38" s="526">
        <v>94.88</v>
      </c>
      <c r="CF38" s="522">
        <v>23074</v>
      </c>
      <c r="CG38" s="526">
        <v>90.22</v>
      </c>
      <c r="CH38" s="526">
        <v>88.11</v>
      </c>
      <c r="CI38" s="526">
        <v>4.9000000000000004</v>
      </c>
      <c r="CJ38" s="526">
        <v>94.88</v>
      </c>
      <c r="CK38" s="522">
        <v>23074</v>
      </c>
      <c r="CL38" s="526">
        <v>144.02000000000001</v>
      </c>
      <c r="CM38" s="526">
        <v>72.319999999999993</v>
      </c>
      <c r="CN38" s="526">
        <v>72.38</v>
      </c>
      <c r="CO38" s="526">
        <v>213.3</v>
      </c>
      <c r="CP38" s="522">
        <v>421</v>
      </c>
      <c r="CQ38" s="526">
        <v>75.38</v>
      </c>
      <c r="CR38" s="526">
        <v>71.040000000000006</v>
      </c>
      <c r="CS38" s="526">
        <v>49.55</v>
      </c>
      <c r="CT38" s="526">
        <v>124.93</v>
      </c>
      <c r="CU38" s="522">
        <v>375</v>
      </c>
      <c r="CV38" s="526">
        <v>97.73</v>
      </c>
      <c r="CW38" s="526">
        <v>88.51</v>
      </c>
      <c r="CX38" s="526">
        <v>45.47</v>
      </c>
      <c r="CY38" s="526">
        <v>142.80000000000001</v>
      </c>
      <c r="CZ38" s="522">
        <v>2338</v>
      </c>
      <c r="DA38" s="526">
        <v>110.68</v>
      </c>
      <c r="DB38" s="526">
        <v>105.9</v>
      </c>
      <c r="DC38" s="526">
        <v>38.799999999999997</v>
      </c>
      <c r="DD38" s="526">
        <v>149.37</v>
      </c>
      <c r="DE38" s="522">
        <v>323</v>
      </c>
      <c r="DF38" s="526">
        <v>114.46</v>
      </c>
      <c r="DG38" s="526">
        <v>107.92</v>
      </c>
      <c r="DH38" s="526">
        <v>34.29</v>
      </c>
      <c r="DI38" s="526">
        <v>148.75</v>
      </c>
      <c r="DJ38" s="522">
        <v>28</v>
      </c>
      <c r="DK38" s="526">
        <v>0</v>
      </c>
      <c r="DL38" s="526">
        <v>0</v>
      </c>
      <c r="DM38" s="526">
        <v>0</v>
      </c>
      <c r="DN38" s="526">
        <v>0</v>
      </c>
      <c r="DO38" s="522">
        <v>0</v>
      </c>
      <c r="DP38" s="526">
        <v>96.51</v>
      </c>
      <c r="DQ38" s="526">
        <v>88.36</v>
      </c>
      <c r="DR38" s="526">
        <v>45.17</v>
      </c>
      <c r="DS38" s="526">
        <v>141.36000000000001</v>
      </c>
      <c r="DT38" s="522">
        <v>3064</v>
      </c>
      <c r="DU38" s="526">
        <v>102.25</v>
      </c>
      <c r="DV38" s="526">
        <v>87.47</v>
      </c>
      <c r="DW38" s="526">
        <v>48.35</v>
      </c>
      <c r="DX38" s="526">
        <v>150.05000000000001</v>
      </c>
      <c r="DY38" s="522">
        <v>3485</v>
      </c>
      <c r="DZ38" s="526">
        <v>0</v>
      </c>
      <c r="EA38" s="526">
        <v>0</v>
      </c>
      <c r="EB38" s="526">
        <v>0</v>
      </c>
      <c r="EC38" s="522">
        <v>0</v>
      </c>
      <c r="ED38" s="526">
        <v>97.8</v>
      </c>
      <c r="EE38" s="522">
        <v>159</v>
      </c>
      <c r="EF38" s="526">
        <v>108.5</v>
      </c>
      <c r="EG38" s="522">
        <v>1358</v>
      </c>
      <c r="EH38" s="526">
        <v>119.24</v>
      </c>
      <c r="EI38" s="522">
        <v>2075</v>
      </c>
      <c r="EJ38" s="526">
        <v>146.77000000000001</v>
      </c>
      <c r="EK38" s="522">
        <v>152</v>
      </c>
      <c r="EL38" s="526">
        <v>145.21</v>
      </c>
      <c r="EM38" s="522">
        <v>14</v>
      </c>
      <c r="EN38" s="526">
        <v>150.22999999999999</v>
      </c>
      <c r="EO38" s="522">
        <v>7</v>
      </c>
      <c r="EP38" s="526">
        <v>115.72</v>
      </c>
      <c r="EQ38" s="522">
        <v>3765</v>
      </c>
      <c r="ER38" s="526">
        <v>115.72</v>
      </c>
      <c r="ES38" s="522">
        <v>3765</v>
      </c>
      <c r="ET38" s="526">
        <v>0</v>
      </c>
      <c r="EU38" s="526">
        <v>0</v>
      </c>
      <c r="EV38" s="526">
        <v>0</v>
      </c>
      <c r="EW38" s="522">
        <v>0</v>
      </c>
      <c r="EX38" s="526">
        <v>167.61</v>
      </c>
      <c r="EY38" s="522">
        <v>60</v>
      </c>
      <c r="EZ38" s="526">
        <v>165.14</v>
      </c>
      <c r="FA38" s="522">
        <v>42</v>
      </c>
      <c r="FB38" s="526">
        <v>0</v>
      </c>
      <c r="FC38" s="522">
        <v>0</v>
      </c>
      <c r="FD38" s="526">
        <v>0</v>
      </c>
      <c r="FE38" s="522">
        <v>0</v>
      </c>
      <c r="FF38" s="526">
        <v>166.59</v>
      </c>
      <c r="FG38" s="522">
        <v>102</v>
      </c>
      <c r="FH38" s="526">
        <v>166.59</v>
      </c>
      <c r="FI38" s="522">
        <v>102</v>
      </c>
      <c r="FJ38" s="522">
        <v>2</v>
      </c>
      <c r="FK38" s="522">
        <v>101</v>
      </c>
      <c r="FL38" s="522">
        <v>40</v>
      </c>
      <c r="FM38" s="522">
        <v>4</v>
      </c>
      <c r="FN38" s="522">
        <v>57</v>
      </c>
      <c r="FO38" s="522">
        <v>0</v>
      </c>
      <c r="FP38" s="522">
        <v>169</v>
      </c>
      <c r="FQ38" s="522">
        <v>93</v>
      </c>
      <c r="FR38" s="522">
        <v>15</v>
      </c>
    </row>
    <row r="39" spans="1:174" x14ac:dyDescent="0.25">
      <c r="A39" s="523" t="s">
        <v>339</v>
      </c>
      <c r="B39" s="523" t="s">
        <v>340</v>
      </c>
      <c r="C39" s="523" t="s">
        <v>283</v>
      </c>
      <c r="D39" s="522">
        <v>10586</v>
      </c>
      <c r="E39" s="522">
        <v>10576</v>
      </c>
      <c r="F39" s="522">
        <v>0</v>
      </c>
      <c r="G39" s="522">
        <v>0</v>
      </c>
      <c r="H39" s="522">
        <v>311</v>
      </c>
      <c r="I39" s="522">
        <v>243</v>
      </c>
      <c r="J39" s="522">
        <v>739</v>
      </c>
      <c r="K39" s="522">
        <v>595</v>
      </c>
      <c r="L39" s="522">
        <v>799</v>
      </c>
      <c r="M39" s="522">
        <v>95</v>
      </c>
      <c r="N39" s="522">
        <v>12435</v>
      </c>
      <c r="O39" s="522">
        <v>11509</v>
      </c>
      <c r="P39" s="522">
        <v>11636</v>
      </c>
      <c r="Q39" s="522">
        <v>23</v>
      </c>
      <c r="R39" s="523">
        <v>7</v>
      </c>
      <c r="S39" s="523">
        <v>35</v>
      </c>
      <c r="T39" s="523">
        <v>202</v>
      </c>
      <c r="U39" s="523">
        <v>12233</v>
      </c>
      <c r="V39" s="522">
        <v>10574</v>
      </c>
      <c r="W39" s="522">
        <v>72</v>
      </c>
      <c r="X39" s="522">
        <v>139</v>
      </c>
      <c r="Y39" s="522">
        <v>211</v>
      </c>
      <c r="Z39" s="524">
        <v>110.34</v>
      </c>
      <c r="AA39" s="524">
        <v>114.16</v>
      </c>
      <c r="AB39" s="524">
        <v>4.93</v>
      </c>
      <c r="AC39" s="524">
        <v>111.73</v>
      </c>
      <c r="AD39" s="524">
        <v>8746</v>
      </c>
      <c r="AE39" s="525">
        <v>104.27</v>
      </c>
      <c r="AF39" s="525">
        <v>100.08</v>
      </c>
      <c r="AG39" s="525">
        <v>54.19</v>
      </c>
      <c r="AH39" s="525">
        <v>156.19999999999999</v>
      </c>
      <c r="AI39" s="525">
        <v>837</v>
      </c>
      <c r="AJ39" s="525">
        <v>170.09</v>
      </c>
      <c r="AK39" s="525">
        <v>1754</v>
      </c>
      <c r="AL39" s="525">
        <v>181.31</v>
      </c>
      <c r="AM39" s="525">
        <v>23</v>
      </c>
      <c r="AN39" s="526">
        <v>87.85</v>
      </c>
      <c r="AO39" s="526">
        <v>94.64</v>
      </c>
      <c r="AP39" s="526">
        <v>46.5</v>
      </c>
      <c r="AQ39" s="526">
        <v>134.35</v>
      </c>
      <c r="AR39" s="522">
        <v>1</v>
      </c>
      <c r="AS39" s="526">
        <v>72.319999999999993</v>
      </c>
      <c r="AT39" s="526">
        <v>75.12</v>
      </c>
      <c r="AU39" s="526">
        <v>2.14</v>
      </c>
      <c r="AV39" s="526">
        <v>74.349999999999994</v>
      </c>
      <c r="AW39" s="522">
        <v>56</v>
      </c>
      <c r="AX39" s="526">
        <v>92.47</v>
      </c>
      <c r="AY39" s="526">
        <v>95.55</v>
      </c>
      <c r="AZ39" s="526">
        <v>5.94</v>
      </c>
      <c r="BA39" s="526">
        <v>96.01</v>
      </c>
      <c r="BB39" s="522">
        <v>1372</v>
      </c>
      <c r="BC39" s="526">
        <v>108.93</v>
      </c>
      <c r="BD39" s="526">
        <v>112.69</v>
      </c>
      <c r="BE39" s="526">
        <v>4.62</v>
      </c>
      <c r="BF39" s="526">
        <v>110.34</v>
      </c>
      <c r="BG39" s="522">
        <v>3796</v>
      </c>
      <c r="BH39" s="526">
        <v>118.04</v>
      </c>
      <c r="BI39" s="526">
        <v>122.2</v>
      </c>
      <c r="BJ39" s="526">
        <v>4.0599999999999996</v>
      </c>
      <c r="BK39" s="526">
        <v>118.52</v>
      </c>
      <c r="BL39" s="522">
        <v>3272</v>
      </c>
      <c r="BM39" s="526">
        <v>137</v>
      </c>
      <c r="BN39" s="526">
        <v>141.63999999999999</v>
      </c>
      <c r="BO39" s="526">
        <v>4.18</v>
      </c>
      <c r="BP39" s="526">
        <v>137.93</v>
      </c>
      <c r="BQ39" s="522">
        <v>238</v>
      </c>
      <c r="BR39" s="526">
        <v>149.86000000000001</v>
      </c>
      <c r="BS39" s="526">
        <v>153.74</v>
      </c>
      <c r="BT39" s="526">
        <v>5.85</v>
      </c>
      <c r="BU39" s="526">
        <v>151.61000000000001</v>
      </c>
      <c r="BV39" s="522">
        <v>10</v>
      </c>
      <c r="BW39" s="526">
        <v>160.86000000000001</v>
      </c>
      <c r="BX39" s="526">
        <v>159.1</v>
      </c>
      <c r="BY39" s="526">
        <v>2.34</v>
      </c>
      <c r="BZ39" s="526">
        <v>163.19999999999999</v>
      </c>
      <c r="CA39" s="522">
        <v>1</v>
      </c>
      <c r="CB39" s="526">
        <v>110.34</v>
      </c>
      <c r="CC39" s="526">
        <v>114.16</v>
      </c>
      <c r="CD39" s="526">
        <v>4.91</v>
      </c>
      <c r="CE39" s="526">
        <v>111.72</v>
      </c>
      <c r="CF39" s="522">
        <v>8745</v>
      </c>
      <c r="CG39" s="526">
        <v>110.34</v>
      </c>
      <c r="CH39" s="526">
        <v>114.16</v>
      </c>
      <c r="CI39" s="526">
        <v>4.93</v>
      </c>
      <c r="CJ39" s="526">
        <v>111.73</v>
      </c>
      <c r="CK39" s="522">
        <v>8746</v>
      </c>
      <c r="CL39" s="526">
        <v>101.58</v>
      </c>
      <c r="CM39" s="526">
        <v>89.89</v>
      </c>
      <c r="CN39" s="526">
        <v>169.8</v>
      </c>
      <c r="CO39" s="526">
        <v>258.08999999999997</v>
      </c>
      <c r="CP39" s="522">
        <v>115</v>
      </c>
      <c r="CQ39" s="526">
        <v>83.6</v>
      </c>
      <c r="CR39" s="526">
        <v>76.23</v>
      </c>
      <c r="CS39" s="526">
        <v>29.82</v>
      </c>
      <c r="CT39" s="526">
        <v>113.42</v>
      </c>
      <c r="CU39" s="522">
        <v>97</v>
      </c>
      <c r="CV39" s="526">
        <v>105.76</v>
      </c>
      <c r="CW39" s="526">
        <v>102.36</v>
      </c>
      <c r="CX39" s="526">
        <v>38.340000000000003</v>
      </c>
      <c r="CY39" s="526">
        <v>142.26</v>
      </c>
      <c r="CZ39" s="522">
        <v>518</v>
      </c>
      <c r="DA39" s="526">
        <v>115.74</v>
      </c>
      <c r="DB39" s="526">
        <v>118.61</v>
      </c>
      <c r="DC39" s="526">
        <v>33.82</v>
      </c>
      <c r="DD39" s="526">
        <v>149.24</v>
      </c>
      <c r="DE39" s="522">
        <v>103</v>
      </c>
      <c r="DF39" s="526">
        <v>194.26</v>
      </c>
      <c r="DG39" s="526">
        <v>130.44999999999999</v>
      </c>
      <c r="DH39" s="526">
        <v>54.44</v>
      </c>
      <c r="DI39" s="526">
        <v>248.7</v>
      </c>
      <c r="DJ39" s="522">
        <v>4</v>
      </c>
      <c r="DK39" s="526">
        <v>0</v>
      </c>
      <c r="DL39" s="526">
        <v>0</v>
      </c>
      <c r="DM39" s="526">
        <v>0</v>
      </c>
      <c r="DN39" s="526">
        <v>0</v>
      </c>
      <c r="DO39" s="522">
        <v>0</v>
      </c>
      <c r="DP39" s="526">
        <v>104.7</v>
      </c>
      <c r="DQ39" s="526">
        <v>101.73</v>
      </c>
      <c r="DR39" s="526">
        <v>36.590000000000003</v>
      </c>
      <c r="DS39" s="526">
        <v>139.97</v>
      </c>
      <c r="DT39" s="522">
        <v>722</v>
      </c>
      <c r="DU39" s="526">
        <v>104.27</v>
      </c>
      <c r="DV39" s="526">
        <v>100.08</v>
      </c>
      <c r="DW39" s="526">
        <v>54.19</v>
      </c>
      <c r="DX39" s="526">
        <v>156.19999999999999</v>
      </c>
      <c r="DY39" s="522">
        <v>837</v>
      </c>
      <c r="DZ39" s="526">
        <v>0</v>
      </c>
      <c r="EA39" s="526">
        <v>0</v>
      </c>
      <c r="EB39" s="526">
        <v>0</v>
      </c>
      <c r="EC39" s="522">
        <v>0</v>
      </c>
      <c r="ED39" s="526">
        <v>136.1</v>
      </c>
      <c r="EE39" s="522">
        <v>395</v>
      </c>
      <c r="EF39" s="526">
        <v>168.96</v>
      </c>
      <c r="EG39" s="522">
        <v>1014</v>
      </c>
      <c r="EH39" s="526">
        <v>207.06</v>
      </c>
      <c r="EI39" s="522">
        <v>305</v>
      </c>
      <c r="EJ39" s="526">
        <v>253.66</v>
      </c>
      <c r="EK39" s="522">
        <v>39</v>
      </c>
      <c r="EL39" s="526">
        <v>208.18</v>
      </c>
      <c r="EM39" s="522">
        <v>1</v>
      </c>
      <c r="EN39" s="526">
        <v>0</v>
      </c>
      <c r="EO39" s="522">
        <v>0</v>
      </c>
      <c r="EP39" s="526">
        <v>170.09</v>
      </c>
      <c r="EQ39" s="522">
        <v>1754</v>
      </c>
      <c r="ER39" s="526">
        <v>170.09</v>
      </c>
      <c r="ES39" s="522">
        <v>1754</v>
      </c>
      <c r="ET39" s="526">
        <v>0</v>
      </c>
      <c r="EU39" s="526">
        <v>0</v>
      </c>
      <c r="EV39" s="526">
        <v>176.03</v>
      </c>
      <c r="EW39" s="522">
        <v>9</v>
      </c>
      <c r="EX39" s="526">
        <v>181.31</v>
      </c>
      <c r="EY39" s="522">
        <v>13</v>
      </c>
      <c r="EZ39" s="526">
        <v>228.82</v>
      </c>
      <c r="FA39" s="522">
        <v>1</v>
      </c>
      <c r="FB39" s="526">
        <v>0</v>
      </c>
      <c r="FC39" s="522">
        <v>0</v>
      </c>
      <c r="FD39" s="526">
        <v>0</v>
      </c>
      <c r="FE39" s="522">
        <v>0</v>
      </c>
      <c r="FF39" s="526">
        <v>181.31</v>
      </c>
      <c r="FG39" s="522">
        <v>23</v>
      </c>
      <c r="FH39" s="526">
        <v>181.31</v>
      </c>
      <c r="FI39" s="522">
        <v>23</v>
      </c>
      <c r="FJ39" s="522">
        <v>18</v>
      </c>
      <c r="FK39" s="522">
        <v>7</v>
      </c>
      <c r="FL39" s="522">
        <v>6</v>
      </c>
      <c r="FM39" s="522">
        <v>0</v>
      </c>
      <c r="FN39" s="522">
        <v>1</v>
      </c>
      <c r="FO39" s="522">
        <v>0</v>
      </c>
      <c r="FP39" s="522">
        <v>0</v>
      </c>
      <c r="FQ39" s="522">
        <v>139</v>
      </c>
      <c r="FR39" s="522">
        <v>5</v>
      </c>
    </row>
    <row r="40" spans="1:174" x14ac:dyDescent="0.25">
      <c r="A40" s="523" t="s">
        <v>341</v>
      </c>
      <c r="B40" s="523" t="s">
        <v>342</v>
      </c>
      <c r="C40" s="523" t="s">
        <v>283</v>
      </c>
      <c r="D40" s="522">
        <v>8477</v>
      </c>
      <c r="E40" s="522">
        <v>8457</v>
      </c>
      <c r="F40" s="522">
        <v>0</v>
      </c>
      <c r="G40" s="522">
        <v>0</v>
      </c>
      <c r="H40" s="522">
        <v>200</v>
      </c>
      <c r="I40" s="522">
        <v>145</v>
      </c>
      <c r="J40" s="522">
        <v>365</v>
      </c>
      <c r="K40" s="522">
        <v>365</v>
      </c>
      <c r="L40" s="522">
        <v>596</v>
      </c>
      <c r="M40" s="522">
        <v>172</v>
      </c>
      <c r="N40" s="522">
        <v>9638</v>
      </c>
      <c r="O40" s="522">
        <v>9139</v>
      </c>
      <c r="P40" s="522">
        <v>9042</v>
      </c>
      <c r="Q40" s="522">
        <v>161</v>
      </c>
      <c r="R40" s="523">
        <v>5</v>
      </c>
      <c r="S40" s="523">
        <v>23</v>
      </c>
      <c r="T40" s="523">
        <v>69</v>
      </c>
      <c r="U40" s="523">
        <v>9569</v>
      </c>
      <c r="V40" s="522">
        <v>8454</v>
      </c>
      <c r="W40" s="522">
        <v>20</v>
      </c>
      <c r="X40" s="522">
        <v>70</v>
      </c>
      <c r="Y40" s="522">
        <v>90</v>
      </c>
      <c r="Z40" s="524">
        <v>100.28</v>
      </c>
      <c r="AA40" s="524">
        <v>99.66</v>
      </c>
      <c r="AB40" s="524">
        <v>5.24</v>
      </c>
      <c r="AC40" s="524">
        <v>102.29</v>
      </c>
      <c r="AD40" s="524">
        <v>7340</v>
      </c>
      <c r="AE40" s="525">
        <v>94.92</v>
      </c>
      <c r="AF40" s="525">
        <v>88.33</v>
      </c>
      <c r="AG40" s="525">
        <v>59.7</v>
      </c>
      <c r="AH40" s="525">
        <v>151.94999999999999</v>
      </c>
      <c r="AI40" s="525">
        <v>514</v>
      </c>
      <c r="AJ40" s="525">
        <v>134.85</v>
      </c>
      <c r="AK40" s="525">
        <v>1073</v>
      </c>
      <c r="AL40" s="525">
        <v>147.69</v>
      </c>
      <c r="AM40" s="525">
        <v>5</v>
      </c>
      <c r="AN40" s="526">
        <v>0</v>
      </c>
      <c r="AO40" s="526">
        <v>0</v>
      </c>
      <c r="AP40" s="526">
        <v>0</v>
      </c>
      <c r="AQ40" s="526">
        <v>0</v>
      </c>
      <c r="AR40" s="522">
        <v>0</v>
      </c>
      <c r="AS40" s="526">
        <v>71.650000000000006</v>
      </c>
      <c r="AT40" s="526">
        <v>76.52</v>
      </c>
      <c r="AU40" s="526">
        <v>3.64</v>
      </c>
      <c r="AV40" s="526">
        <v>74.14</v>
      </c>
      <c r="AW40" s="522">
        <v>22</v>
      </c>
      <c r="AX40" s="526">
        <v>84.88</v>
      </c>
      <c r="AY40" s="526">
        <v>83.98</v>
      </c>
      <c r="AZ40" s="526">
        <v>8.25</v>
      </c>
      <c r="BA40" s="526">
        <v>91.63</v>
      </c>
      <c r="BB40" s="522">
        <v>1315</v>
      </c>
      <c r="BC40" s="526">
        <v>99.4</v>
      </c>
      <c r="BD40" s="526">
        <v>98.92</v>
      </c>
      <c r="BE40" s="526">
        <v>4.16</v>
      </c>
      <c r="BF40" s="526">
        <v>101.11</v>
      </c>
      <c r="BG40" s="522">
        <v>2919</v>
      </c>
      <c r="BH40" s="526">
        <v>107.03</v>
      </c>
      <c r="BI40" s="526">
        <v>106.36</v>
      </c>
      <c r="BJ40" s="526">
        <v>1.59</v>
      </c>
      <c r="BK40" s="526">
        <v>107.29</v>
      </c>
      <c r="BL40" s="522">
        <v>2852</v>
      </c>
      <c r="BM40" s="526">
        <v>117.08</v>
      </c>
      <c r="BN40" s="526">
        <v>116.28</v>
      </c>
      <c r="BO40" s="526">
        <v>1.91</v>
      </c>
      <c r="BP40" s="526">
        <v>117.7</v>
      </c>
      <c r="BQ40" s="522">
        <v>213</v>
      </c>
      <c r="BR40" s="526">
        <v>129.71</v>
      </c>
      <c r="BS40" s="526">
        <v>129.33000000000001</v>
      </c>
      <c r="BT40" s="526">
        <v>2.96</v>
      </c>
      <c r="BU40" s="526">
        <v>130.82</v>
      </c>
      <c r="BV40" s="522">
        <v>8</v>
      </c>
      <c r="BW40" s="526">
        <v>133.44</v>
      </c>
      <c r="BX40" s="526">
        <v>133.91999999999999</v>
      </c>
      <c r="BY40" s="526">
        <v>0.47</v>
      </c>
      <c r="BZ40" s="526">
        <v>133.57</v>
      </c>
      <c r="CA40" s="522">
        <v>11</v>
      </c>
      <c r="CB40" s="526">
        <v>100.28</v>
      </c>
      <c r="CC40" s="526">
        <v>99.66</v>
      </c>
      <c r="CD40" s="526">
        <v>5.24</v>
      </c>
      <c r="CE40" s="526">
        <v>102.29</v>
      </c>
      <c r="CF40" s="522">
        <v>7340</v>
      </c>
      <c r="CG40" s="526">
        <v>100.28</v>
      </c>
      <c r="CH40" s="526">
        <v>99.66</v>
      </c>
      <c r="CI40" s="526">
        <v>5.24</v>
      </c>
      <c r="CJ40" s="526">
        <v>102.29</v>
      </c>
      <c r="CK40" s="522">
        <v>7340</v>
      </c>
      <c r="CL40" s="526">
        <v>108.13</v>
      </c>
      <c r="CM40" s="526">
        <v>87.78</v>
      </c>
      <c r="CN40" s="526">
        <v>138.75</v>
      </c>
      <c r="CO40" s="526">
        <v>230</v>
      </c>
      <c r="CP40" s="522">
        <v>74</v>
      </c>
      <c r="CQ40" s="526">
        <v>88.53</v>
      </c>
      <c r="CR40" s="526">
        <v>80.48</v>
      </c>
      <c r="CS40" s="526">
        <v>43.79</v>
      </c>
      <c r="CT40" s="526">
        <v>132.33000000000001</v>
      </c>
      <c r="CU40" s="522">
        <v>99</v>
      </c>
      <c r="CV40" s="526">
        <v>93</v>
      </c>
      <c r="CW40" s="526">
        <v>90.11</v>
      </c>
      <c r="CX40" s="526">
        <v>50.42</v>
      </c>
      <c r="CY40" s="526">
        <v>141.38</v>
      </c>
      <c r="CZ40" s="522">
        <v>322</v>
      </c>
      <c r="DA40" s="526">
        <v>105.4</v>
      </c>
      <c r="DB40" s="526">
        <v>102.62</v>
      </c>
      <c r="DC40" s="526">
        <v>20.309999999999999</v>
      </c>
      <c r="DD40" s="526">
        <v>124.35</v>
      </c>
      <c r="DE40" s="522">
        <v>15</v>
      </c>
      <c r="DF40" s="526">
        <v>123.27</v>
      </c>
      <c r="DG40" s="526">
        <v>123.64</v>
      </c>
      <c r="DH40" s="526">
        <v>23.97</v>
      </c>
      <c r="DI40" s="526">
        <v>147.24</v>
      </c>
      <c r="DJ40" s="522">
        <v>4</v>
      </c>
      <c r="DK40" s="526">
        <v>0</v>
      </c>
      <c r="DL40" s="526">
        <v>0</v>
      </c>
      <c r="DM40" s="526">
        <v>0</v>
      </c>
      <c r="DN40" s="526">
        <v>0</v>
      </c>
      <c r="DO40" s="522">
        <v>0</v>
      </c>
      <c r="DP40" s="526">
        <v>92.69</v>
      </c>
      <c r="DQ40" s="526">
        <v>88.39</v>
      </c>
      <c r="DR40" s="526">
        <v>47.64</v>
      </c>
      <c r="DS40" s="526">
        <v>138.82</v>
      </c>
      <c r="DT40" s="522">
        <v>440</v>
      </c>
      <c r="DU40" s="526">
        <v>94.92</v>
      </c>
      <c r="DV40" s="526">
        <v>88.33</v>
      </c>
      <c r="DW40" s="526">
        <v>59.7</v>
      </c>
      <c r="DX40" s="526">
        <v>151.94999999999999</v>
      </c>
      <c r="DY40" s="522">
        <v>514</v>
      </c>
      <c r="DZ40" s="526">
        <v>0</v>
      </c>
      <c r="EA40" s="526">
        <v>0</v>
      </c>
      <c r="EB40" s="526">
        <v>0</v>
      </c>
      <c r="EC40" s="522">
        <v>0</v>
      </c>
      <c r="ED40" s="526">
        <v>109.51</v>
      </c>
      <c r="EE40" s="522">
        <v>244</v>
      </c>
      <c r="EF40" s="526">
        <v>134.57</v>
      </c>
      <c r="EG40" s="522">
        <v>559</v>
      </c>
      <c r="EH40" s="526">
        <v>156.11000000000001</v>
      </c>
      <c r="EI40" s="522">
        <v>252</v>
      </c>
      <c r="EJ40" s="526">
        <v>188.8</v>
      </c>
      <c r="EK40" s="522">
        <v>17</v>
      </c>
      <c r="EL40" s="526">
        <v>204.62</v>
      </c>
      <c r="EM40" s="522">
        <v>1</v>
      </c>
      <c r="EN40" s="526">
        <v>0</v>
      </c>
      <c r="EO40" s="522">
        <v>0</v>
      </c>
      <c r="EP40" s="526">
        <v>134.85</v>
      </c>
      <c r="EQ40" s="522">
        <v>1073</v>
      </c>
      <c r="ER40" s="526">
        <v>134.85</v>
      </c>
      <c r="ES40" s="522">
        <v>1073</v>
      </c>
      <c r="ET40" s="526">
        <v>0</v>
      </c>
      <c r="EU40" s="526">
        <v>0</v>
      </c>
      <c r="EV40" s="526">
        <v>0</v>
      </c>
      <c r="EW40" s="522">
        <v>0</v>
      </c>
      <c r="EX40" s="526">
        <v>147.69</v>
      </c>
      <c r="EY40" s="522">
        <v>5</v>
      </c>
      <c r="EZ40" s="526">
        <v>0</v>
      </c>
      <c r="FA40" s="522">
        <v>0</v>
      </c>
      <c r="FB40" s="526">
        <v>0</v>
      </c>
      <c r="FC40" s="522">
        <v>0</v>
      </c>
      <c r="FD40" s="526">
        <v>0</v>
      </c>
      <c r="FE40" s="522">
        <v>0</v>
      </c>
      <c r="FF40" s="526">
        <v>147.69</v>
      </c>
      <c r="FG40" s="522">
        <v>5</v>
      </c>
      <c r="FH40" s="526">
        <v>147.69</v>
      </c>
      <c r="FI40" s="522">
        <v>5</v>
      </c>
      <c r="FJ40" s="522">
        <v>15</v>
      </c>
      <c r="FK40" s="522">
        <v>6</v>
      </c>
      <c r="FL40" s="522">
        <v>4</v>
      </c>
      <c r="FM40" s="522">
        <v>0</v>
      </c>
      <c r="FN40" s="522">
        <v>2</v>
      </c>
      <c r="FO40" s="522">
        <v>0</v>
      </c>
      <c r="FP40" s="522">
        <v>50</v>
      </c>
      <c r="FQ40" s="522">
        <v>82</v>
      </c>
      <c r="FR40" s="522">
        <v>4</v>
      </c>
    </row>
    <row r="41" spans="1:174" x14ac:dyDescent="0.25">
      <c r="A41" s="523" t="s">
        <v>343</v>
      </c>
      <c r="B41" s="523" t="s">
        <v>344</v>
      </c>
      <c r="C41" s="523" t="s">
        <v>284</v>
      </c>
      <c r="D41" s="522">
        <v>16617</v>
      </c>
      <c r="E41" s="522">
        <v>15235</v>
      </c>
      <c r="F41" s="522">
        <v>718</v>
      </c>
      <c r="G41" s="522">
        <v>687</v>
      </c>
      <c r="H41" s="522">
        <v>1021</v>
      </c>
      <c r="I41" s="522">
        <v>634</v>
      </c>
      <c r="J41" s="522">
        <v>1032</v>
      </c>
      <c r="K41" s="522">
        <v>921</v>
      </c>
      <c r="L41" s="522">
        <v>2628</v>
      </c>
      <c r="M41" s="522">
        <v>68</v>
      </c>
      <c r="N41" s="522">
        <v>22016</v>
      </c>
      <c r="O41" s="522">
        <v>17545</v>
      </c>
      <c r="P41" s="522">
        <v>19388</v>
      </c>
      <c r="Q41" s="522">
        <v>135</v>
      </c>
      <c r="R41" s="523">
        <v>30</v>
      </c>
      <c r="S41" s="523">
        <v>29</v>
      </c>
      <c r="T41" s="523">
        <v>1866</v>
      </c>
      <c r="U41" s="523">
        <v>20150</v>
      </c>
      <c r="V41" s="522">
        <v>14977</v>
      </c>
      <c r="W41" s="522">
        <v>80</v>
      </c>
      <c r="X41" s="522">
        <v>96</v>
      </c>
      <c r="Y41" s="522">
        <v>176</v>
      </c>
      <c r="Z41" s="524">
        <v>144.30000000000001</v>
      </c>
      <c r="AA41" s="524">
        <v>151.77000000000001</v>
      </c>
      <c r="AB41" s="524">
        <v>15.22</v>
      </c>
      <c r="AC41" s="524">
        <v>155.34</v>
      </c>
      <c r="AD41" s="524">
        <v>11338</v>
      </c>
      <c r="AE41" s="525">
        <v>131.69</v>
      </c>
      <c r="AF41" s="525">
        <v>113.62</v>
      </c>
      <c r="AG41" s="525">
        <v>84.38</v>
      </c>
      <c r="AH41" s="525">
        <v>204.42</v>
      </c>
      <c r="AI41" s="525">
        <v>1680</v>
      </c>
      <c r="AJ41" s="525">
        <v>254.69</v>
      </c>
      <c r="AK41" s="525">
        <v>2386</v>
      </c>
      <c r="AL41" s="525">
        <v>234.96</v>
      </c>
      <c r="AM41" s="525">
        <v>139</v>
      </c>
      <c r="AN41" s="526">
        <v>135.30000000000001</v>
      </c>
      <c r="AO41" s="526">
        <v>131.68</v>
      </c>
      <c r="AP41" s="526">
        <v>0</v>
      </c>
      <c r="AQ41" s="526">
        <v>135.30000000000001</v>
      </c>
      <c r="AR41" s="522">
        <v>16</v>
      </c>
      <c r="AS41" s="526">
        <v>106.64</v>
      </c>
      <c r="AT41" s="526">
        <v>110.68</v>
      </c>
      <c r="AU41" s="526">
        <v>7.48</v>
      </c>
      <c r="AV41" s="526">
        <v>109.2</v>
      </c>
      <c r="AW41" s="522">
        <v>76</v>
      </c>
      <c r="AX41" s="526">
        <v>123.88</v>
      </c>
      <c r="AY41" s="526">
        <v>126.44</v>
      </c>
      <c r="AZ41" s="526">
        <v>15.69</v>
      </c>
      <c r="BA41" s="526">
        <v>136.03</v>
      </c>
      <c r="BB41" s="522">
        <v>2777</v>
      </c>
      <c r="BC41" s="526">
        <v>140.80000000000001</v>
      </c>
      <c r="BD41" s="526">
        <v>147.06</v>
      </c>
      <c r="BE41" s="526">
        <v>16.7</v>
      </c>
      <c r="BF41" s="526">
        <v>153.53</v>
      </c>
      <c r="BG41" s="522">
        <v>4701</v>
      </c>
      <c r="BH41" s="526">
        <v>160.88</v>
      </c>
      <c r="BI41" s="526">
        <v>172.23</v>
      </c>
      <c r="BJ41" s="526">
        <v>13.45</v>
      </c>
      <c r="BK41" s="526">
        <v>169.3</v>
      </c>
      <c r="BL41" s="522">
        <v>2999</v>
      </c>
      <c r="BM41" s="526">
        <v>176.95</v>
      </c>
      <c r="BN41" s="526">
        <v>194.88</v>
      </c>
      <c r="BO41" s="526">
        <v>11.33</v>
      </c>
      <c r="BP41" s="526">
        <v>185.5</v>
      </c>
      <c r="BQ41" s="522">
        <v>662</v>
      </c>
      <c r="BR41" s="526">
        <v>190.59</v>
      </c>
      <c r="BS41" s="526">
        <v>212.2</v>
      </c>
      <c r="BT41" s="526">
        <v>5.37</v>
      </c>
      <c r="BU41" s="526">
        <v>194.99</v>
      </c>
      <c r="BV41" s="522">
        <v>100</v>
      </c>
      <c r="BW41" s="526">
        <v>183</v>
      </c>
      <c r="BX41" s="526">
        <v>214.07</v>
      </c>
      <c r="BY41" s="526">
        <v>3.75</v>
      </c>
      <c r="BZ41" s="526">
        <v>184.07</v>
      </c>
      <c r="CA41" s="522">
        <v>7</v>
      </c>
      <c r="CB41" s="526">
        <v>144.32</v>
      </c>
      <c r="CC41" s="526">
        <v>151.78</v>
      </c>
      <c r="CD41" s="526">
        <v>15.22</v>
      </c>
      <c r="CE41" s="526">
        <v>155.37</v>
      </c>
      <c r="CF41" s="522">
        <v>11322</v>
      </c>
      <c r="CG41" s="526">
        <v>144.30000000000001</v>
      </c>
      <c r="CH41" s="526">
        <v>151.77000000000001</v>
      </c>
      <c r="CI41" s="526">
        <v>15.22</v>
      </c>
      <c r="CJ41" s="526">
        <v>155.34</v>
      </c>
      <c r="CK41" s="522">
        <v>11338</v>
      </c>
      <c r="CL41" s="526">
        <v>111.32</v>
      </c>
      <c r="CM41" s="526">
        <v>104.21</v>
      </c>
      <c r="CN41" s="526">
        <v>111.58</v>
      </c>
      <c r="CO41" s="526">
        <v>182.68</v>
      </c>
      <c r="CP41" s="522">
        <v>405</v>
      </c>
      <c r="CQ41" s="526">
        <v>122.49</v>
      </c>
      <c r="CR41" s="526">
        <v>101.62</v>
      </c>
      <c r="CS41" s="526">
        <v>114.59</v>
      </c>
      <c r="CT41" s="526">
        <v>233.84</v>
      </c>
      <c r="CU41" s="522">
        <v>247</v>
      </c>
      <c r="CV41" s="526">
        <v>141.1</v>
      </c>
      <c r="CW41" s="526">
        <v>123.91</v>
      </c>
      <c r="CX41" s="526">
        <v>69.56</v>
      </c>
      <c r="CY41" s="526">
        <v>205.74</v>
      </c>
      <c r="CZ41" s="522">
        <v>961</v>
      </c>
      <c r="DA41" s="526">
        <v>150.12</v>
      </c>
      <c r="DB41" s="526">
        <v>132.68</v>
      </c>
      <c r="DC41" s="526">
        <v>70.56</v>
      </c>
      <c r="DD41" s="526">
        <v>213.25</v>
      </c>
      <c r="DE41" s="522">
        <v>57</v>
      </c>
      <c r="DF41" s="526">
        <v>171.9</v>
      </c>
      <c r="DG41" s="526">
        <v>169.99</v>
      </c>
      <c r="DH41" s="526">
        <v>25.47</v>
      </c>
      <c r="DI41" s="526">
        <v>179.18</v>
      </c>
      <c r="DJ41" s="522">
        <v>7</v>
      </c>
      <c r="DK41" s="526">
        <v>177.07</v>
      </c>
      <c r="DL41" s="526">
        <v>191.09</v>
      </c>
      <c r="DM41" s="526">
        <v>7.24</v>
      </c>
      <c r="DN41" s="526">
        <v>184.31</v>
      </c>
      <c r="DO41" s="522">
        <v>3</v>
      </c>
      <c r="DP41" s="526">
        <v>138.15</v>
      </c>
      <c r="DQ41" s="526">
        <v>119.97</v>
      </c>
      <c r="DR41" s="526">
        <v>78.459999999999994</v>
      </c>
      <c r="DS41" s="526">
        <v>211.32</v>
      </c>
      <c r="DT41" s="522">
        <v>1275</v>
      </c>
      <c r="DU41" s="526">
        <v>131.69</v>
      </c>
      <c r="DV41" s="526">
        <v>113.62</v>
      </c>
      <c r="DW41" s="526">
        <v>84.38</v>
      </c>
      <c r="DX41" s="526">
        <v>204.42</v>
      </c>
      <c r="DY41" s="522">
        <v>1680</v>
      </c>
      <c r="DZ41" s="526">
        <v>99</v>
      </c>
      <c r="EA41" s="526">
        <v>4</v>
      </c>
      <c r="EB41" s="526">
        <v>134.36000000000001</v>
      </c>
      <c r="EC41" s="522">
        <v>1</v>
      </c>
      <c r="ED41" s="526">
        <v>228.29</v>
      </c>
      <c r="EE41" s="522">
        <v>820</v>
      </c>
      <c r="EF41" s="526">
        <v>276.87</v>
      </c>
      <c r="EG41" s="522">
        <v>1098</v>
      </c>
      <c r="EH41" s="526">
        <v>250.2</v>
      </c>
      <c r="EI41" s="522">
        <v>421</v>
      </c>
      <c r="EJ41" s="526">
        <v>253.22</v>
      </c>
      <c r="EK41" s="522">
        <v>42</v>
      </c>
      <c r="EL41" s="526">
        <v>0</v>
      </c>
      <c r="EM41" s="522">
        <v>0</v>
      </c>
      <c r="EN41" s="526">
        <v>0</v>
      </c>
      <c r="EO41" s="522">
        <v>0</v>
      </c>
      <c r="EP41" s="526">
        <v>254.95</v>
      </c>
      <c r="EQ41" s="522">
        <v>2382</v>
      </c>
      <c r="ER41" s="526">
        <v>254.69</v>
      </c>
      <c r="ES41" s="522">
        <v>2386</v>
      </c>
      <c r="ET41" s="526">
        <v>0</v>
      </c>
      <c r="EU41" s="526">
        <v>0</v>
      </c>
      <c r="EV41" s="526">
        <v>0</v>
      </c>
      <c r="EW41" s="522">
        <v>0</v>
      </c>
      <c r="EX41" s="526">
        <v>236.2</v>
      </c>
      <c r="EY41" s="522">
        <v>122</v>
      </c>
      <c r="EZ41" s="526">
        <v>226.06</v>
      </c>
      <c r="FA41" s="522">
        <v>17</v>
      </c>
      <c r="FB41" s="526">
        <v>0</v>
      </c>
      <c r="FC41" s="522">
        <v>0</v>
      </c>
      <c r="FD41" s="526">
        <v>0</v>
      </c>
      <c r="FE41" s="522">
        <v>0</v>
      </c>
      <c r="FF41" s="526">
        <v>234.96</v>
      </c>
      <c r="FG41" s="522">
        <v>139</v>
      </c>
      <c r="FH41" s="526">
        <v>234.96</v>
      </c>
      <c r="FI41" s="522">
        <v>139</v>
      </c>
      <c r="FJ41" s="522">
        <v>5</v>
      </c>
      <c r="FK41" s="522">
        <v>6</v>
      </c>
      <c r="FL41" s="522">
        <v>2</v>
      </c>
      <c r="FM41" s="522">
        <v>0</v>
      </c>
      <c r="FN41" s="522">
        <v>4</v>
      </c>
      <c r="FO41" s="522">
        <v>0</v>
      </c>
      <c r="FP41" s="522">
        <v>31</v>
      </c>
      <c r="FQ41" s="522">
        <v>236</v>
      </c>
      <c r="FR41" s="522">
        <v>55</v>
      </c>
    </row>
    <row r="42" spans="1:174" x14ac:dyDescent="0.25">
      <c r="A42" s="523" t="s">
        <v>345</v>
      </c>
      <c r="B42" s="523" t="s">
        <v>346</v>
      </c>
      <c r="C42" s="523" t="s">
        <v>283</v>
      </c>
      <c r="D42" s="522">
        <v>790</v>
      </c>
      <c r="E42" s="522">
        <v>650</v>
      </c>
      <c r="F42" s="522">
        <v>7</v>
      </c>
      <c r="G42" s="522">
        <v>0</v>
      </c>
      <c r="H42" s="522">
        <v>112</v>
      </c>
      <c r="I42" s="522">
        <v>77</v>
      </c>
      <c r="J42" s="522">
        <v>152</v>
      </c>
      <c r="K42" s="522">
        <v>152</v>
      </c>
      <c r="L42" s="522">
        <v>235</v>
      </c>
      <c r="M42" s="522">
        <v>37</v>
      </c>
      <c r="N42" s="522">
        <v>1296</v>
      </c>
      <c r="O42" s="522">
        <v>916</v>
      </c>
      <c r="P42" s="522">
        <v>1061</v>
      </c>
      <c r="Q42" s="522">
        <v>7</v>
      </c>
      <c r="R42" s="523">
        <v>3</v>
      </c>
      <c r="S42" s="523">
        <v>21</v>
      </c>
      <c r="T42" s="523">
        <v>188</v>
      </c>
      <c r="U42" s="523">
        <v>1108</v>
      </c>
      <c r="V42" s="522">
        <v>649</v>
      </c>
      <c r="W42" s="522">
        <v>5</v>
      </c>
      <c r="X42" s="522">
        <v>1</v>
      </c>
      <c r="Y42" s="522">
        <v>6</v>
      </c>
      <c r="Z42" s="524">
        <v>134.13</v>
      </c>
      <c r="AA42" s="524">
        <v>135.47</v>
      </c>
      <c r="AB42" s="524">
        <v>10.35</v>
      </c>
      <c r="AC42" s="524">
        <v>144.1</v>
      </c>
      <c r="AD42" s="524">
        <v>521</v>
      </c>
      <c r="AE42" s="525">
        <v>114.1</v>
      </c>
      <c r="AF42" s="525">
        <v>109.82</v>
      </c>
      <c r="AG42" s="525">
        <v>68.83</v>
      </c>
      <c r="AH42" s="525">
        <v>182.31</v>
      </c>
      <c r="AI42" s="525">
        <v>224</v>
      </c>
      <c r="AJ42" s="525">
        <v>175.91</v>
      </c>
      <c r="AK42" s="525">
        <v>125</v>
      </c>
      <c r="AL42" s="525">
        <v>0</v>
      </c>
      <c r="AM42" s="525">
        <v>0</v>
      </c>
      <c r="AN42" s="526">
        <v>0</v>
      </c>
      <c r="AO42" s="526">
        <v>0</v>
      </c>
      <c r="AP42" s="526">
        <v>0</v>
      </c>
      <c r="AQ42" s="526">
        <v>0</v>
      </c>
      <c r="AR42" s="522">
        <v>0</v>
      </c>
      <c r="AS42" s="526">
        <v>0</v>
      </c>
      <c r="AT42" s="526">
        <v>0</v>
      </c>
      <c r="AU42" s="526">
        <v>0</v>
      </c>
      <c r="AV42" s="526">
        <v>0</v>
      </c>
      <c r="AW42" s="522">
        <v>0</v>
      </c>
      <c r="AX42" s="526">
        <v>114.04</v>
      </c>
      <c r="AY42" s="526">
        <v>113.84</v>
      </c>
      <c r="AZ42" s="526">
        <v>14.08</v>
      </c>
      <c r="BA42" s="526">
        <v>127.89</v>
      </c>
      <c r="BB42" s="522">
        <v>177</v>
      </c>
      <c r="BC42" s="526">
        <v>132.27000000000001</v>
      </c>
      <c r="BD42" s="526">
        <v>133.44</v>
      </c>
      <c r="BE42" s="526">
        <v>11.14</v>
      </c>
      <c r="BF42" s="526">
        <v>142.9</v>
      </c>
      <c r="BG42" s="522">
        <v>152</v>
      </c>
      <c r="BH42" s="526">
        <v>153.65</v>
      </c>
      <c r="BI42" s="526">
        <v>156.56</v>
      </c>
      <c r="BJ42" s="526">
        <v>6.24</v>
      </c>
      <c r="BK42" s="526">
        <v>159.59</v>
      </c>
      <c r="BL42" s="522">
        <v>189</v>
      </c>
      <c r="BM42" s="526">
        <v>183.03</v>
      </c>
      <c r="BN42" s="526">
        <v>186.47</v>
      </c>
      <c r="BO42" s="526">
        <v>2.99</v>
      </c>
      <c r="BP42" s="526">
        <v>186.02</v>
      </c>
      <c r="BQ42" s="522">
        <v>3</v>
      </c>
      <c r="BR42" s="526">
        <v>0</v>
      </c>
      <c r="BS42" s="526">
        <v>0</v>
      </c>
      <c r="BT42" s="526">
        <v>0</v>
      </c>
      <c r="BU42" s="526">
        <v>0</v>
      </c>
      <c r="BV42" s="522">
        <v>0</v>
      </c>
      <c r="BW42" s="526">
        <v>0</v>
      </c>
      <c r="BX42" s="526">
        <v>0</v>
      </c>
      <c r="BY42" s="526">
        <v>0</v>
      </c>
      <c r="BZ42" s="526">
        <v>0</v>
      </c>
      <c r="CA42" s="522">
        <v>0</v>
      </c>
      <c r="CB42" s="526">
        <v>134.13</v>
      </c>
      <c r="CC42" s="526">
        <v>135.47</v>
      </c>
      <c r="CD42" s="526">
        <v>10.35</v>
      </c>
      <c r="CE42" s="526">
        <v>144.1</v>
      </c>
      <c r="CF42" s="522">
        <v>521</v>
      </c>
      <c r="CG42" s="526">
        <v>134.13</v>
      </c>
      <c r="CH42" s="526">
        <v>135.47</v>
      </c>
      <c r="CI42" s="526">
        <v>10.35</v>
      </c>
      <c r="CJ42" s="526">
        <v>144.1</v>
      </c>
      <c r="CK42" s="522">
        <v>521</v>
      </c>
      <c r="CL42" s="526">
        <v>135.28</v>
      </c>
      <c r="CM42" s="526">
        <v>138.13</v>
      </c>
      <c r="CN42" s="526">
        <v>119.54</v>
      </c>
      <c r="CO42" s="526">
        <v>252.82</v>
      </c>
      <c r="CP42" s="522">
        <v>60</v>
      </c>
      <c r="CQ42" s="526">
        <v>84.23</v>
      </c>
      <c r="CR42" s="526">
        <v>79.3</v>
      </c>
      <c r="CS42" s="526">
        <v>41.66</v>
      </c>
      <c r="CT42" s="526">
        <v>125.9</v>
      </c>
      <c r="CU42" s="522">
        <v>68</v>
      </c>
      <c r="CV42" s="526">
        <v>121.79</v>
      </c>
      <c r="CW42" s="526">
        <v>115.08</v>
      </c>
      <c r="CX42" s="526">
        <v>57.16</v>
      </c>
      <c r="CY42" s="526">
        <v>178.33</v>
      </c>
      <c r="CZ42" s="522">
        <v>93</v>
      </c>
      <c r="DA42" s="526">
        <v>128.91</v>
      </c>
      <c r="DB42" s="526">
        <v>119.61</v>
      </c>
      <c r="DC42" s="526">
        <v>44.85</v>
      </c>
      <c r="DD42" s="526">
        <v>173.77</v>
      </c>
      <c r="DE42" s="522">
        <v>3</v>
      </c>
      <c r="DF42" s="526">
        <v>0</v>
      </c>
      <c r="DG42" s="526">
        <v>0</v>
      </c>
      <c r="DH42" s="526">
        <v>0</v>
      </c>
      <c r="DI42" s="526">
        <v>0</v>
      </c>
      <c r="DJ42" s="522">
        <v>0</v>
      </c>
      <c r="DK42" s="526">
        <v>0</v>
      </c>
      <c r="DL42" s="526">
        <v>0</v>
      </c>
      <c r="DM42" s="526">
        <v>0</v>
      </c>
      <c r="DN42" s="526">
        <v>0</v>
      </c>
      <c r="DO42" s="522">
        <v>0</v>
      </c>
      <c r="DP42" s="526">
        <v>106.35</v>
      </c>
      <c r="DQ42" s="526">
        <v>100.33</v>
      </c>
      <c r="DR42" s="526">
        <v>50.47</v>
      </c>
      <c r="DS42" s="526">
        <v>156.51</v>
      </c>
      <c r="DT42" s="522">
        <v>164</v>
      </c>
      <c r="DU42" s="526">
        <v>114.1</v>
      </c>
      <c r="DV42" s="526">
        <v>109.82</v>
      </c>
      <c r="DW42" s="526">
        <v>68.83</v>
      </c>
      <c r="DX42" s="526">
        <v>182.31</v>
      </c>
      <c r="DY42" s="522">
        <v>224</v>
      </c>
      <c r="DZ42" s="526">
        <v>0</v>
      </c>
      <c r="EA42" s="526">
        <v>0</v>
      </c>
      <c r="EB42" s="526">
        <v>110.38</v>
      </c>
      <c r="EC42" s="522">
        <v>1</v>
      </c>
      <c r="ED42" s="526">
        <v>148.11000000000001</v>
      </c>
      <c r="EE42" s="522">
        <v>54</v>
      </c>
      <c r="EF42" s="526">
        <v>186.76</v>
      </c>
      <c r="EG42" s="522">
        <v>46</v>
      </c>
      <c r="EH42" s="526">
        <v>220.37</v>
      </c>
      <c r="EI42" s="522">
        <v>24</v>
      </c>
      <c r="EJ42" s="526">
        <v>0</v>
      </c>
      <c r="EK42" s="522">
        <v>0</v>
      </c>
      <c r="EL42" s="526">
        <v>0</v>
      </c>
      <c r="EM42" s="522">
        <v>0</v>
      </c>
      <c r="EN42" s="526">
        <v>0</v>
      </c>
      <c r="EO42" s="522">
        <v>0</v>
      </c>
      <c r="EP42" s="526">
        <v>175.91</v>
      </c>
      <c r="EQ42" s="522">
        <v>125</v>
      </c>
      <c r="ER42" s="526">
        <v>175.91</v>
      </c>
      <c r="ES42" s="522">
        <v>125</v>
      </c>
      <c r="ET42" s="526">
        <v>0</v>
      </c>
      <c r="EU42" s="526">
        <v>0</v>
      </c>
      <c r="EV42" s="526">
        <v>0</v>
      </c>
      <c r="EW42" s="522">
        <v>0</v>
      </c>
      <c r="EX42" s="526">
        <v>0</v>
      </c>
      <c r="EY42" s="522">
        <v>0</v>
      </c>
      <c r="EZ42" s="526">
        <v>0</v>
      </c>
      <c r="FA42" s="522">
        <v>0</v>
      </c>
      <c r="FB42" s="526">
        <v>0</v>
      </c>
      <c r="FC42" s="522">
        <v>0</v>
      </c>
      <c r="FD42" s="526">
        <v>0</v>
      </c>
      <c r="FE42" s="522">
        <v>0</v>
      </c>
      <c r="FF42" s="526">
        <v>0</v>
      </c>
      <c r="FG42" s="522">
        <v>0</v>
      </c>
      <c r="FH42" s="526">
        <v>0</v>
      </c>
      <c r="FI42" s="522">
        <v>0</v>
      </c>
      <c r="FJ42" s="522">
        <v>0</v>
      </c>
      <c r="FK42" s="522">
        <v>0</v>
      </c>
      <c r="FL42" s="522">
        <v>0</v>
      </c>
      <c r="FM42" s="522">
        <v>0</v>
      </c>
      <c r="FN42" s="522">
        <v>0</v>
      </c>
      <c r="FO42" s="522">
        <v>0</v>
      </c>
      <c r="FP42" s="522">
        <v>0</v>
      </c>
      <c r="FQ42" s="522">
        <v>23</v>
      </c>
      <c r="FR42" s="522">
        <v>5</v>
      </c>
    </row>
    <row r="43" spans="1:174" x14ac:dyDescent="0.25">
      <c r="A43" s="523" t="s">
        <v>347</v>
      </c>
      <c r="B43" s="523" t="s">
        <v>348</v>
      </c>
      <c r="C43" s="523" t="s">
        <v>2</v>
      </c>
      <c r="D43" s="522">
        <v>4887</v>
      </c>
      <c r="E43" s="522">
        <v>4466</v>
      </c>
      <c r="F43" s="522">
        <v>66</v>
      </c>
      <c r="G43" s="522">
        <v>0</v>
      </c>
      <c r="H43" s="522">
        <v>969</v>
      </c>
      <c r="I43" s="522">
        <v>256</v>
      </c>
      <c r="J43" s="522">
        <v>915</v>
      </c>
      <c r="K43" s="522">
        <v>766</v>
      </c>
      <c r="L43" s="522">
        <v>1269</v>
      </c>
      <c r="M43" s="522">
        <v>234</v>
      </c>
      <c r="N43" s="522">
        <v>8106</v>
      </c>
      <c r="O43" s="522">
        <v>5722</v>
      </c>
      <c r="P43" s="522">
        <v>6837</v>
      </c>
      <c r="Q43" s="522">
        <v>47</v>
      </c>
      <c r="R43" s="523">
        <v>19</v>
      </c>
      <c r="S43" s="523">
        <v>28</v>
      </c>
      <c r="T43" s="523">
        <v>1282</v>
      </c>
      <c r="U43" s="523">
        <v>6824</v>
      </c>
      <c r="V43" s="522">
        <v>4420</v>
      </c>
      <c r="W43" s="522">
        <v>37</v>
      </c>
      <c r="X43" s="522">
        <v>28</v>
      </c>
      <c r="Y43" s="522">
        <v>65</v>
      </c>
      <c r="Z43" s="524">
        <v>109.28</v>
      </c>
      <c r="AA43" s="524">
        <v>110.91</v>
      </c>
      <c r="AB43" s="524">
        <v>13.72</v>
      </c>
      <c r="AC43" s="524">
        <v>120.44</v>
      </c>
      <c r="AD43" s="524">
        <v>3846</v>
      </c>
      <c r="AE43" s="525">
        <v>113.73</v>
      </c>
      <c r="AF43" s="525">
        <v>95.98</v>
      </c>
      <c r="AG43" s="525">
        <v>78.34</v>
      </c>
      <c r="AH43" s="525">
        <v>191.17</v>
      </c>
      <c r="AI43" s="525">
        <v>1135</v>
      </c>
      <c r="AJ43" s="525">
        <v>194.69</v>
      </c>
      <c r="AK43" s="525">
        <v>530</v>
      </c>
      <c r="AL43" s="525">
        <v>0</v>
      </c>
      <c r="AM43" s="525">
        <v>0</v>
      </c>
      <c r="AN43" s="526">
        <v>0</v>
      </c>
      <c r="AO43" s="526">
        <v>0</v>
      </c>
      <c r="AP43" s="526">
        <v>0</v>
      </c>
      <c r="AQ43" s="526">
        <v>0</v>
      </c>
      <c r="AR43" s="522">
        <v>0</v>
      </c>
      <c r="AS43" s="526">
        <v>75.61</v>
      </c>
      <c r="AT43" s="526">
        <v>76.16</v>
      </c>
      <c r="AU43" s="526">
        <v>17.559999999999999</v>
      </c>
      <c r="AV43" s="526">
        <v>92.69</v>
      </c>
      <c r="AW43" s="522">
        <v>110</v>
      </c>
      <c r="AX43" s="526">
        <v>93.82</v>
      </c>
      <c r="AY43" s="526">
        <v>95.37</v>
      </c>
      <c r="AZ43" s="526">
        <v>16.71</v>
      </c>
      <c r="BA43" s="526">
        <v>110.3</v>
      </c>
      <c r="BB43" s="522">
        <v>1016</v>
      </c>
      <c r="BC43" s="526">
        <v>109.05</v>
      </c>
      <c r="BD43" s="526">
        <v>110.87</v>
      </c>
      <c r="BE43" s="526">
        <v>14.47</v>
      </c>
      <c r="BF43" s="526">
        <v>121.63</v>
      </c>
      <c r="BG43" s="522">
        <v>1517</v>
      </c>
      <c r="BH43" s="526">
        <v>123.8</v>
      </c>
      <c r="BI43" s="526">
        <v>126.23</v>
      </c>
      <c r="BJ43" s="526">
        <v>7.72</v>
      </c>
      <c r="BK43" s="526">
        <v>128.19999999999999</v>
      </c>
      <c r="BL43" s="522">
        <v>1054</v>
      </c>
      <c r="BM43" s="526">
        <v>138.34</v>
      </c>
      <c r="BN43" s="526">
        <v>142.1</v>
      </c>
      <c r="BO43" s="526">
        <v>5.87</v>
      </c>
      <c r="BP43" s="526">
        <v>142.38</v>
      </c>
      <c r="BQ43" s="522">
        <v>141</v>
      </c>
      <c r="BR43" s="526">
        <v>152.47999999999999</v>
      </c>
      <c r="BS43" s="526">
        <v>164.55</v>
      </c>
      <c r="BT43" s="526">
        <v>0.61</v>
      </c>
      <c r="BU43" s="526">
        <v>152.58000000000001</v>
      </c>
      <c r="BV43" s="522">
        <v>6</v>
      </c>
      <c r="BW43" s="526">
        <v>161.85</v>
      </c>
      <c r="BX43" s="526">
        <v>161.77000000000001</v>
      </c>
      <c r="BY43" s="526">
        <v>0</v>
      </c>
      <c r="BZ43" s="526">
        <v>161.85</v>
      </c>
      <c r="CA43" s="522">
        <v>2</v>
      </c>
      <c r="CB43" s="526">
        <v>109.28</v>
      </c>
      <c r="CC43" s="526">
        <v>110.91</v>
      </c>
      <c r="CD43" s="526">
        <v>13.72</v>
      </c>
      <c r="CE43" s="526">
        <v>120.44</v>
      </c>
      <c r="CF43" s="522">
        <v>3846</v>
      </c>
      <c r="CG43" s="526">
        <v>109.28</v>
      </c>
      <c r="CH43" s="526">
        <v>110.91</v>
      </c>
      <c r="CI43" s="526">
        <v>13.72</v>
      </c>
      <c r="CJ43" s="526">
        <v>120.44</v>
      </c>
      <c r="CK43" s="522">
        <v>3846</v>
      </c>
      <c r="CL43" s="526">
        <v>154.34</v>
      </c>
      <c r="CM43" s="526">
        <v>95.54</v>
      </c>
      <c r="CN43" s="526">
        <v>150.55000000000001</v>
      </c>
      <c r="CO43" s="526">
        <v>304.29000000000002</v>
      </c>
      <c r="CP43" s="522">
        <v>250</v>
      </c>
      <c r="CQ43" s="526">
        <v>78.37</v>
      </c>
      <c r="CR43" s="526">
        <v>76.650000000000006</v>
      </c>
      <c r="CS43" s="526">
        <v>53.33</v>
      </c>
      <c r="CT43" s="526">
        <v>131.69</v>
      </c>
      <c r="CU43" s="522">
        <v>113</v>
      </c>
      <c r="CV43" s="526">
        <v>104.08</v>
      </c>
      <c r="CW43" s="526">
        <v>97.1</v>
      </c>
      <c r="CX43" s="526">
        <v>56.24</v>
      </c>
      <c r="CY43" s="526">
        <v>159.51</v>
      </c>
      <c r="CZ43" s="522">
        <v>701</v>
      </c>
      <c r="DA43" s="526">
        <v>122.49</v>
      </c>
      <c r="DB43" s="526">
        <v>119.52</v>
      </c>
      <c r="DC43" s="526">
        <v>75.510000000000005</v>
      </c>
      <c r="DD43" s="526">
        <v>195.68</v>
      </c>
      <c r="DE43" s="522">
        <v>65</v>
      </c>
      <c r="DF43" s="526">
        <v>119.43</v>
      </c>
      <c r="DG43" s="526">
        <v>110.98</v>
      </c>
      <c r="DH43" s="526">
        <v>128.56</v>
      </c>
      <c r="DI43" s="526">
        <v>247.99</v>
      </c>
      <c r="DJ43" s="522">
        <v>6</v>
      </c>
      <c r="DK43" s="526">
        <v>0</v>
      </c>
      <c r="DL43" s="526">
        <v>0</v>
      </c>
      <c r="DM43" s="526">
        <v>0</v>
      </c>
      <c r="DN43" s="526">
        <v>0</v>
      </c>
      <c r="DO43" s="522">
        <v>0</v>
      </c>
      <c r="DP43" s="526">
        <v>102.25</v>
      </c>
      <c r="DQ43" s="526">
        <v>96.08</v>
      </c>
      <c r="DR43" s="526">
        <v>57.75</v>
      </c>
      <c r="DS43" s="526">
        <v>159.22</v>
      </c>
      <c r="DT43" s="522">
        <v>885</v>
      </c>
      <c r="DU43" s="526">
        <v>113.73</v>
      </c>
      <c r="DV43" s="526">
        <v>95.98</v>
      </c>
      <c r="DW43" s="526">
        <v>78.34</v>
      </c>
      <c r="DX43" s="526">
        <v>191.17</v>
      </c>
      <c r="DY43" s="522">
        <v>1135</v>
      </c>
      <c r="DZ43" s="526">
        <v>0</v>
      </c>
      <c r="EA43" s="526">
        <v>0</v>
      </c>
      <c r="EB43" s="526">
        <v>135.56</v>
      </c>
      <c r="EC43" s="522">
        <v>13</v>
      </c>
      <c r="ED43" s="526">
        <v>168.31</v>
      </c>
      <c r="EE43" s="522">
        <v>219</v>
      </c>
      <c r="EF43" s="526">
        <v>209.73</v>
      </c>
      <c r="EG43" s="522">
        <v>226</v>
      </c>
      <c r="EH43" s="526">
        <v>234.35</v>
      </c>
      <c r="EI43" s="522">
        <v>60</v>
      </c>
      <c r="EJ43" s="526">
        <v>256.07</v>
      </c>
      <c r="EK43" s="522">
        <v>11</v>
      </c>
      <c r="EL43" s="526">
        <v>283.83</v>
      </c>
      <c r="EM43" s="522">
        <v>1</v>
      </c>
      <c r="EN43" s="526">
        <v>0</v>
      </c>
      <c r="EO43" s="522">
        <v>0</v>
      </c>
      <c r="EP43" s="526">
        <v>194.69</v>
      </c>
      <c r="EQ43" s="522">
        <v>530</v>
      </c>
      <c r="ER43" s="526">
        <v>194.69</v>
      </c>
      <c r="ES43" s="522">
        <v>530</v>
      </c>
      <c r="ET43" s="526">
        <v>0</v>
      </c>
      <c r="EU43" s="526">
        <v>0</v>
      </c>
      <c r="EV43" s="526">
        <v>0</v>
      </c>
      <c r="EW43" s="522">
        <v>0</v>
      </c>
      <c r="EX43" s="526">
        <v>0</v>
      </c>
      <c r="EY43" s="522">
        <v>0</v>
      </c>
      <c r="EZ43" s="526">
        <v>0</v>
      </c>
      <c r="FA43" s="522">
        <v>0</v>
      </c>
      <c r="FB43" s="526">
        <v>0</v>
      </c>
      <c r="FC43" s="522">
        <v>0</v>
      </c>
      <c r="FD43" s="526">
        <v>0</v>
      </c>
      <c r="FE43" s="522">
        <v>0</v>
      </c>
      <c r="FF43" s="526">
        <v>0</v>
      </c>
      <c r="FG43" s="522">
        <v>0</v>
      </c>
      <c r="FH43" s="526">
        <v>0</v>
      </c>
      <c r="FI43" s="522">
        <v>0</v>
      </c>
      <c r="FJ43" s="522">
        <v>37</v>
      </c>
      <c r="FK43" s="522">
        <v>0</v>
      </c>
      <c r="FL43" s="522">
        <v>0</v>
      </c>
      <c r="FM43" s="522">
        <v>0</v>
      </c>
      <c r="FN43" s="522">
        <v>0</v>
      </c>
      <c r="FO43" s="522">
        <v>0</v>
      </c>
      <c r="FP43" s="522">
        <v>5</v>
      </c>
      <c r="FQ43" s="522">
        <v>144</v>
      </c>
      <c r="FR43" s="522">
        <v>17</v>
      </c>
    </row>
    <row r="44" spans="1:174" x14ac:dyDescent="0.25">
      <c r="A44" s="523" t="s">
        <v>349</v>
      </c>
      <c r="B44" s="523" t="s">
        <v>350</v>
      </c>
      <c r="C44" s="523" t="s">
        <v>287</v>
      </c>
      <c r="D44" s="522">
        <v>9460</v>
      </c>
      <c r="E44" s="522">
        <v>9136</v>
      </c>
      <c r="F44" s="522">
        <v>47</v>
      </c>
      <c r="G44" s="522">
        <v>2</v>
      </c>
      <c r="H44" s="522">
        <v>2767</v>
      </c>
      <c r="I44" s="522">
        <v>1869</v>
      </c>
      <c r="J44" s="522">
        <v>1077</v>
      </c>
      <c r="K44" s="522">
        <v>865</v>
      </c>
      <c r="L44" s="522">
        <v>1725</v>
      </c>
      <c r="M44" s="522">
        <v>42</v>
      </c>
      <c r="N44" s="522">
        <v>15076</v>
      </c>
      <c r="O44" s="522">
        <v>11914</v>
      </c>
      <c r="P44" s="522">
        <v>13351</v>
      </c>
      <c r="Q44" s="522">
        <v>157</v>
      </c>
      <c r="R44" s="523">
        <v>19</v>
      </c>
      <c r="S44" s="523">
        <v>31</v>
      </c>
      <c r="T44" s="523">
        <v>1149</v>
      </c>
      <c r="U44" s="523">
        <v>13927</v>
      </c>
      <c r="V44" s="522">
        <v>9081</v>
      </c>
      <c r="W44" s="522">
        <v>215</v>
      </c>
      <c r="X44" s="522">
        <v>43</v>
      </c>
      <c r="Y44" s="522">
        <v>258</v>
      </c>
      <c r="Z44" s="524">
        <v>112.04</v>
      </c>
      <c r="AA44" s="524">
        <v>112.34</v>
      </c>
      <c r="AB44" s="524">
        <v>12.71</v>
      </c>
      <c r="AC44" s="524">
        <v>121.26</v>
      </c>
      <c r="AD44" s="524">
        <v>7511</v>
      </c>
      <c r="AE44" s="525">
        <v>105.07</v>
      </c>
      <c r="AF44" s="525">
        <v>103.71</v>
      </c>
      <c r="AG44" s="525">
        <v>59.74</v>
      </c>
      <c r="AH44" s="525">
        <v>161.28</v>
      </c>
      <c r="AI44" s="525">
        <v>3072</v>
      </c>
      <c r="AJ44" s="525">
        <v>163.07</v>
      </c>
      <c r="AK44" s="525">
        <v>1399</v>
      </c>
      <c r="AL44" s="525">
        <v>168.69</v>
      </c>
      <c r="AM44" s="525">
        <v>110</v>
      </c>
      <c r="AN44" s="526">
        <v>0</v>
      </c>
      <c r="AO44" s="526">
        <v>0</v>
      </c>
      <c r="AP44" s="526">
        <v>0</v>
      </c>
      <c r="AQ44" s="526">
        <v>0</v>
      </c>
      <c r="AR44" s="522">
        <v>0</v>
      </c>
      <c r="AS44" s="526">
        <v>83.11</v>
      </c>
      <c r="AT44" s="526">
        <v>83.04</v>
      </c>
      <c r="AU44" s="526">
        <v>18.86</v>
      </c>
      <c r="AV44" s="526">
        <v>101.61</v>
      </c>
      <c r="AW44" s="522">
        <v>105</v>
      </c>
      <c r="AX44" s="526">
        <v>96.36</v>
      </c>
      <c r="AY44" s="526">
        <v>96.38</v>
      </c>
      <c r="AZ44" s="526">
        <v>16.100000000000001</v>
      </c>
      <c r="BA44" s="526">
        <v>112.05</v>
      </c>
      <c r="BB44" s="522">
        <v>2251</v>
      </c>
      <c r="BC44" s="526">
        <v>113.18</v>
      </c>
      <c r="BD44" s="526">
        <v>113.28</v>
      </c>
      <c r="BE44" s="526">
        <v>12.74</v>
      </c>
      <c r="BF44" s="526">
        <v>122.4</v>
      </c>
      <c r="BG44" s="522">
        <v>2924</v>
      </c>
      <c r="BH44" s="526">
        <v>124.73</v>
      </c>
      <c r="BI44" s="526">
        <v>125.56</v>
      </c>
      <c r="BJ44" s="526">
        <v>5.1100000000000003</v>
      </c>
      <c r="BK44" s="526">
        <v>127.13</v>
      </c>
      <c r="BL44" s="522">
        <v>1822</v>
      </c>
      <c r="BM44" s="526">
        <v>140.38999999999999</v>
      </c>
      <c r="BN44" s="526">
        <v>141.69999999999999</v>
      </c>
      <c r="BO44" s="526">
        <v>3.63</v>
      </c>
      <c r="BP44" s="526">
        <v>142.05000000000001</v>
      </c>
      <c r="BQ44" s="522">
        <v>382</v>
      </c>
      <c r="BR44" s="526">
        <v>149.9</v>
      </c>
      <c r="BS44" s="526">
        <v>152.32</v>
      </c>
      <c r="BT44" s="526">
        <v>6.93</v>
      </c>
      <c r="BU44" s="526">
        <v>150.21</v>
      </c>
      <c r="BV44" s="522">
        <v>22</v>
      </c>
      <c r="BW44" s="526">
        <v>152.16999999999999</v>
      </c>
      <c r="BX44" s="526">
        <v>155.65</v>
      </c>
      <c r="BY44" s="526">
        <v>5.37</v>
      </c>
      <c r="BZ44" s="526">
        <v>153.24</v>
      </c>
      <c r="CA44" s="522">
        <v>5</v>
      </c>
      <c r="CB44" s="526">
        <v>112.04</v>
      </c>
      <c r="CC44" s="526">
        <v>112.34</v>
      </c>
      <c r="CD44" s="526">
        <v>12.71</v>
      </c>
      <c r="CE44" s="526">
        <v>121.26</v>
      </c>
      <c r="CF44" s="522">
        <v>7511</v>
      </c>
      <c r="CG44" s="526">
        <v>112.04</v>
      </c>
      <c r="CH44" s="526">
        <v>112.34</v>
      </c>
      <c r="CI44" s="526">
        <v>12.71</v>
      </c>
      <c r="CJ44" s="526">
        <v>121.26</v>
      </c>
      <c r="CK44" s="522">
        <v>7511</v>
      </c>
      <c r="CL44" s="526">
        <v>93.19</v>
      </c>
      <c r="CM44" s="526">
        <v>86.97</v>
      </c>
      <c r="CN44" s="526">
        <v>113.72</v>
      </c>
      <c r="CO44" s="526">
        <v>195.04</v>
      </c>
      <c r="CP44" s="522">
        <v>575</v>
      </c>
      <c r="CQ44" s="526">
        <v>101.3</v>
      </c>
      <c r="CR44" s="526">
        <v>96.97</v>
      </c>
      <c r="CS44" s="526">
        <v>44.74</v>
      </c>
      <c r="CT44" s="526">
        <v>146.04</v>
      </c>
      <c r="CU44" s="522">
        <v>225</v>
      </c>
      <c r="CV44" s="526">
        <v>105.72</v>
      </c>
      <c r="CW44" s="526">
        <v>104.78</v>
      </c>
      <c r="CX44" s="526">
        <v>49.05</v>
      </c>
      <c r="CY44" s="526">
        <v>152.32</v>
      </c>
      <c r="CZ44" s="522">
        <v>1902</v>
      </c>
      <c r="DA44" s="526">
        <v>121.91</v>
      </c>
      <c r="DB44" s="526">
        <v>125.28</v>
      </c>
      <c r="DC44" s="526">
        <v>45</v>
      </c>
      <c r="DD44" s="526">
        <v>163.91</v>
      </c>
      <c r="DE44" s="522">
        <v>360</v>
      </c>
      <c r="DF44" s="526">
        <v>142.38</v>
      </c>
      <c r="DG44" s="526">
        <v>128.28</v>
      </c>
      <c r="DH44" s="526">
        <v>39.01</v>
      </c>
      <c r="DI44" s="526">
        <v>172.72</v>
      </c>
      <c r="DJ44" s="522">
        <v>9</v>
      </c>
      <c r="DK44" s="526">
        <v>127.67</v>
      </c>
      <c r="DL44" s="526">
        <v>127.67</v>
      </c>
      <c r="DM44" s="526">
        <v>47.94</v>
      </c>
      <c r="DN44" s="526">
        <v>175.61</v>
      </c>
      <c r="DO44" s="522">
        <v>1</v>
      </c>
      <c r="DP44" s="526">
        <v>107.8</v>
      </c>
      <c r="DQ44" s="526">
        <v>107.05</v>
      </c>
      <c r="DR44" s="526">
        <v>48.04</v>
      </c>
      <c r="DS44" s="526">
        <v>153.51</v>
      </c>
      <c r="DT44" s="522">
        <v>2497</v>
      </c>
      <c r="DU44" s="526">
        <v>105.07</v>
      </c>
      <c r="DV44" s="526">
        <v>103.71</v>
      </c>
      <c r="DW44" s="526">
        <v>59.74</v>
      </c>
      <c r="DX44" s="526">
        <v>161.28</v>
      </c>
      <c r="DY44" s="522">
        <v>3072</v>
      </c>
      <c r="DZ44" s="526">
        <v>0</v>
      </c>
      <c r="EA44" s="526">
        <v>0</v>
      </c>
      <c r="EB44" s="526">
        <v>125.5</v>
      </c>
      <c r="EC44" s="522">
        <v>7</v>
      </c>
      <c r="ED44" s="526">
        <v>142.6</v>
      </c>
      <c r="EE44" s="522">
        <v>415</v>
      </c>
      <c r="EF44" s="526">
        <v>164.1</v>
      </c>
      <c r="EG44" s="522">
        <v>665</v>
      </c>
      <c r="EH44" s="526">
        <v>186.07</v>
      </c>
      <c r="EI44" s="522">
        <v>291</v>
      </c>
      <c r="EJ44" s="526">
        <v>228.83</v>
      </c>
      <c r="EK44" s="522">
        <v>21</v>
      </c>
      <c r="EL44" s="526">
        <v>0</v>
      </c>
      <c r="EM44" s="522">
        <v>0</v>
      </c>
      <c r="EN44" s="526">
        <v>0</v>
      </c>
      <c r="EO44" s="522">
        <v>0</v>
      </c>
      <c r="EP44" s="526">
        <v>163.07</v>
      </c>
      <c r="EQ44" s="522">
        <v>1399</v>
      </c>
      <c r="ER44" s="526">
        <v>163.07</v>
      </c>
      <c r="ES44" s="522">
        <v>1399</v>
      </c>
      <c r="ET44" s="526">
        <v>91</v>
      </c>
      <c r="EU44" s="526">
        <v>7</v>
      </c>
      <c r="EV44" s="526">
        <v>135.19</v>
      </c>
      <c r="EW44" s="522">
        <v>2</v>
      </c>
      <c r="EX44" s="526">
        <v>150.94999999999999</v>
      </c>
      <c r="EY44" s="522">
        <v>65</v>
      </c>
      <c r="EZ44" s="526">
        <v>178.38</v>
      </c>
      <c r="FA44" s="522">
        <v>24</v>
      </c>
      <c r="FB44" s="526">
        <v>279.54000000000002</v>
      </c>
      <c r="FC44" s="522">
        <v>9</v>
      </c>
      <c r="FD44" s="526">
        <v>346.49</v>
      </c>
      <c r="FE44" s="522">
        <v>3</v>
      </c>
      <c r="FF44" s="526">
        <v>173.97</v>
      </c>
      <c r="FG44" s="522">
        <v>103</v>
      </c>
      <c r="FH44" s="526">
        <v>168.69</v>
      </c>
      <c r="FI44" s="522">
        <v>110</v>
      </c>
      <c r="FJ44" s="522">
        <v>0</v>
      </c>
      <c r="FK44" s="522">
        <v>1</v>
      </c>
      <c r="FL44" s="522">
        <v>0</v>
      </c>
      <c r="FM44" s="522">
        <v>0</v>
      </c>
      <c r="FN44" s="522">
        <v>1</v>
      </c>
      <c r="FO44" s="522">
        <v>0</v>
      </c>
      <c r="FP44" s="522">
        <v>17</v>
      </c>
      <c r="FQ44" s="522">
        <v>103</v>
      </c>
      <c r="FR44" s="522">
        <v>29</v>
      </c>
    </row>
    <row r="45" spans="1:174" x14ac:dyDescent="0.25">
      <c r="A45" s="523" t="s">
        <v>351</v>
      </c>
      <c r="B45" s="523" t="s">
        <v>352</v>
      </c>
      <c r="C45" s="523" t="s">
        <v>283</v>
      </c>
      <c r="D45" s="522">
        <v>5383</v>
      </c>
      <c r="E45" s="522">
        <v>5352</v>
      </c>
      <c r="F45" s="522">
        <v>2</v>
      </c>
      <c r="G45" s="522">
        <v>0</v>
      </c>
      <c r="H45" s="522">
        <v>156</v>
      </c>
      <c r="I45" s="522">
        <v>151</v>
      </c>
      <c r="J45" s="522">
        <v>600</v>
      </c>
      <c r="K45" s="522">
        <v>639</v>
      </c>
      <c r="L45" s="522">
        <v>817</v>
      </c>
      <c r="M45" s="522">
        <v>239</v>
      </c>
      <c r="N45" s="522">
        <v>6958</v>
      </c>
      <c r="O45" s="522">
        <v>6381</v>
      </c>
      <c r="P45" s="522">
        <v>6141</v>
      </c>
      <c r="Q45" s="522">
        <v>52</v>
      </c>
      <c r="R45" s="523">
        <v>3</v>
      </c>
      <c r="S45" s="523">
        <v>21</v>
      </c>
      <c r="T45" s="523">
        <v>33</v>
      </c>
      <c r="U45" s="523">
        <v>6925</v>
      </c>
      <c r="V45" s="522">
        <v>5354</v>
      </c>
      <c r="W45" s="522">
        <v>21</v>
      </c>
      <c r="X45" s="522">
        <v>56</v>
      </c>
      <c r="Y45" s="522">
        <v>77</v>
      </c>
      <c r="Z45" s="524">
        <v>104.7</v>
      </c>
      <c r="AA45" s="524">
        <v>104.86</v>
      </c>
      <c r="AB45" s="524">
        <v>2.69</v>
      </c>
      <c r="AC45" s="524">
        <v>106.59</v>
      </c>
      <c r="AD45" s="524">
        <v>3674</v>
      </c>
      <c r="AE45" s="525">
        <v>103.03</v>
      </c>
      <c r="AF45" s="525">
        <v>90.55</v>
      </c>
      <c r="AG45" s="525">
        <v>41.72</v>
      </c>
      <c r="AH45" s="525">
        <v>144.59</v>
      </c>
      <c r="AI45" s="525">
        <v>754</v>
      </c>
      <c r="AJ45" s="525">
        <v>133.38</v>
      </c>
      <c r="AK45" s="525">
        <v>1527</v>
      </c>
      <c r="AL45" s="525">
        <v>0</v>
      </c>
      <c r="AM45" s="525">
        <v>0</v>
      </c>
      <c r="AN45" s="526">
        <v>0</v>
      </c>
      <c r="AO45" s="526">
        <v>0</v>
      </c>
      <c r="AP45" s="526">
        <v>0</v>
      </c>
      <c r="AQ45" s="526">
        <v>0</v>
      </c>
      <c r="AR45" s="522">
        <v>0</v>
      </c>
      <c r="AS45" s="526">
        <v>82.75</v>
      </c>
      <c r="AT45" s="526">
        <v>88.89</v>
      </c>
      <c r="AU45" s="526">
        <v>7.25</v>
      </c>
      <c r="AV45" s="526">
        <v>90</v>
      </c>
      <c r="AW45" s="522">
        <v>1</v>
      </c>
      <c r="AX45" s="526">
        <v>87.63</v>
      </c>
      <c r="AY45" s="526">
        <v>87.85</v>
      </c>
      <c r="AZ45" s="526">
        <v>4.38</v>
      </c>
      <c r="BA45" s="526">
        <v>91.68</v>
      </c>
      <c r="BB45" s="522">
        <v>633</v>
      </c>
      <c r="BC45" s="526">
        <v>103.02</v>
      </c>
      <c r="BD45" s="526">
        <v>103.12</v>
      </c>
      <c r="BE45" s="526">
        <v>2.1800000000000002</v>
      </c>
      <c r="BF45" s="526">
        <v>104.65</v>
      </c>
      <c r="BG45" s="522">
        <v>1583</v>
      </c>
      <c r="BH45" s="526">
        <v>113.38</v>
      </c>
      <c r="BI45" s="526">
        <v>113.5</v>
      </c>
      <c r="BJ45" s="526">
        <v>2.2000000000000002</v>
      </c>
      <c r="BK45" s="526">
        <v>114.62</v>
      </c>
      <c r="BL45" s="522">
        <v>1403</v>
      </c>
      <c r="BM45" s="526">
        <v>128.74</v>
      </c>
      <c r="BN45" s="526">
        <v>129.71</v>
      </c>
      <c r="BO45" s="526">
        <v>1.77</v>
      </c>
      <c r="BP45" s="526">
        <v>129.59</v>
      </c>
      <c r="BQ45" s="522">
        <v>52</v>
      </c>
      <c r="BR45" s="526">
        <v>120.31</v>
      </c>
      <c r="BS45" s="526">
        <v>128</v>
      </c>
      <c r="BT45" s="526">
        <v>4.75</v>
      </c>
      <c r="BU45" s="526">
        <v>125.06</v>
      </c>
      <c r="BV45" s="522">
        <v>1</v>
      </c>
      <c r="BW45" s="526">
        <v>137.71</v>
      </c>
      <c r="BX45" s="526">
        <v>136.18</v>
      </c>
      <c r="BY45" s="526">
        <v>0</v>
      </c>
      <c r="BZ45" s="526">
        <v>137.71</v>
      </c>
      <c r="CA45" s="522">
        <v>1</v>
      </c>
      <c r="CB45" s="526">
        <v>104.7</v>
      </c>
      <c r="CC45" s="526">
        <v>104.86</v>
      </c>
      <c r="CD45" s="526">
        <v>2.69</v>
      </c>
      <c r="CE45" s="526">
        <v>106.59</v>
      </c>
      <c r="CF45" s="522">
        <v>3674</v>
      </c>
      <c r="CG45" s="526">
        <v>104.7</v>
      </c>
      <c r="CH45" s="526">
        <v>104.86</v>
      </c>
      <c r="CI45" s="526">
        <v>2.69</v>
      </c>
      <c r="CJ45" s="526">
        <v>106.59</v>
      </c>
      <c r="CK45" s="522">
        <v>3674</v>
      </c>
      <c r="CL45" s="526">
        <v>174.41</v>
      </c>
      <c r="CM45" s="526">
        <v>104.04</v>
      </c>
      <c r="CN45" s="526">
        <v>81.19</v>
      </c>
      <c r="CO45" s="526">
        <v>255.59</v>
      </c>
      <c r="CP45" s="522">
        <v>75</v>
      </c>
      <c r="CQ45" s="526">
        <v>97.69</v>
      </c>
      <c r="CR45" s="526">
        <v>81.23</v>
      </c>
      <c r="CS45" s="526">
        <v>35.04</v>
      </c>
      <c r="CT45" s="526">
        <v>132.72999999999999</v>
      </c>
      <c r="CU45" s="522">
        <v>90</v>
      </c>
      <c r="CV45" s="526">
        <v>94.12</v>
      </c>
      <c r="CW45" s="526">
        <v>90.21</v>
      </c>
      <c r="CX45" s="526">
        <v>36.67</v>
      </c>
      <c r="CY45" s="526">
        <v>130.66</v>
      </c>
      <c r="CZ45" s="522">
        <v>574</v>
      </c>
      <c r="DA45" s="526">
        <v>118.83</v>
      </c>
      <c r="DB45" s="526">
        <v>114.73</v>
      </c>
      <c r="DC45" s="526">
        <v>87.67</v>
      </c>
      <c r="DD45" s="526">
        <v>206.5</v>
      </c>
      <c r="DE45" s="522">
        <v>12</v>
      </c>
      <c r="DF45" s="526">
        <v>120.6</v>
      </c>
      <c r="DG45" s="526">
        <v>128.68</v>
      </c>
      <c r="DH45" s="526">
        <v>33.72</v>
      </c>
      <c r="DI45" s="526">
        <v>143.08000000000001</v>
      </c>
      <c r="DJ45" s="522">
        <v>3</v>
      </c>
      <c r="DK45" s="526">
        <v>0</v>
      </c>
      <c r="DL45" s="526">
        <v>0</v>
      </c>
      <c r="DM45" s="526">
        <v>0</v>
      </c>
      <c r="DN45" s="526">
        <v>0</v>
      </c>
      <c r="DO45" s="522">
        <v>0</v>
      </c>
      <c r="DP45" s="526">
        <v>95.14</v>
      </c>
      <c r="DQ45" s="526">
        <v>90.07</v>
      </c>
      <c r="DR45" s="526">
        <v>37.35</v>
      </c>
      <c r="DS45" s="526">
        <v>132.33000000000001</v>
      </c>
      <c r="DT45" s="522">
        <v>679</v>
      </c>
      <c r="DU45" s="526">
        <v>103.03</v>
      </c>
      <c r="DV45" s="526">
        <v>90.55</v>
      </c>
      <c r="DW45" s="526">
        <v>41.72</v>
      </c>
      <c r="DX45" s="526">
        <v>144.59</v>
      </c>
      <c r="DY45" s="522">
        <v>754</v>
      </c>
      <c r="DZ45" s="526">
        <v>0</v>
      </c>
      <c r="EA45" s="526">
        <v>0</v>
      </c>
      <c r="EB45" s="526">
        <v>0</v>
      </c>
      <c r="EC45" s="522">
        <v>0</v>
      </c>
      <c r="ED45" s="526">
        <v>111.13</v>
      </c>
      <c r="EE45" s="522">
        <v>428</v>
      </c>
      <c r="EF45" s="526">
        <v>131.74</v>
      </c>
      <c r="EG45" s="522">
        <v>668</v>
      </c>
      <c r="EH45" s="526">
        <v>153.65</v>
      </c>
      <c r="EI45" s="522">
        <v>387</v>
      </c>
      <c r="EJ45" s="526">
        <v>196.47</v>
      </c>
      <c r="EK45" s="522">
        <v>42</v>
      </c>
      <c r="EL45" s="526">
        <v>194.92</v>
      </c>
      <c r="EM45" s="522">
        <v>2</v>
      </c>
      <c r="EN45" s="526">
        <v>0</v>
      </c>
      <c r="EO45" s="522">
        <v>0</v>
      </c>
      <c r="EP45" s="526">
        <v>133.38</v>
      </c>
      <c r="EQ45" s="522">
        <v>1527</v>
      </c>
      <c r="ER45" s="526">
        <v>133.38</v>
      </c>
      <c r="ES45" s="522">
        <v>1527</v>
      </c>
      <c r="ET45" s="526">
        <v>0</v>
      </c>
      <c r="EU45" s="526">
        <v>0</v>
      </c>
      <c r="EV45" s="526">
        <v>0</v>
      </c>
      <c r="EW45" s="522">
        <v>0</v>
      </c>
      <c r="EX45" s="526">
        <v>0</v>
      </c>
      <c r="EY45" s="522">
        <v>0</v>
      </c>
      <c r="EZ45" s="526">
        <v>0</v>
      </c>
      <c r="FA45" s="522">
        <v>0</v>
      </c>
      <c r="FB45" s="526">
        <v>0</v>
      </c>
      <c r="FC45" s="522">
        <v>0</v>
      </c>
      <c r="FD45" s="526">
        <v>0</v>
      </c>
      <c r="FE45" s="522">
        <v>0</v>
      </c>
      <c r="FF45" s="526">
        <v>0</v>
      </c>
      <c r="FG45" s="522">
        <v>0</v>
      </c>
      <c r="FH45" s="526">
        <v>0</v>
      </c>
      <c r="FI45" s="522">
        <v>0</v>
      </c>
      <c r="FJ45" s="522">
        <v>63</v>
      </c>
      <c r="FK45" s="522">
        <v>0</v>
      </c>
      <c r="FL45" s="522">
        <v>0</v>
      </c>
      <c r="FM45" s="522">
        <v>0</v>
      </c>
      <c r="FN45" s="522">
        <v>0</v>
      </c>
      <c r="FO45" s="522">
        <v>0</v>
      </c>
      <c r="FP45" s="522">
        <v>3</v>
      </c>
      <c r="FQ45" s="522">
        <v>177</v>
      </c>
      <c r="FR45" s="522">
        <v>2</v>
      </c>
    </row>
    <row r="46" spans="1:174" x14ac:dyDescent="0.25">
      <c r="A46" s="523" t="s">
        <v>353</v>
      </c>
      <c r="B46" s="523" t="s">
        <v>354</v>
      </c>
      <c r="C46" s="523" t="s">
        <v>284</v>
      </c>
      <c r="D46" s="522">
        <v>16490</v>
      </c>
      <c r="E46" s="522">
        <v>15309</v>
      </c>
      <c r="F46" s="522">
        <v>108</v>
      </c>
      <c r="G46" s="522">
        <v>101</v>
      </c>
      <c r="H46" s="522">
        <v>564</v>
      </c>
      <c r="I46" s="522">
        <v>300</v>
      </c>
      <c r="J46" s="522">
        <v>2046</v>
      </c>
      <c r="K46" s="522">
        <v>1583</v>
      </c>
      <c r="L46" s="522">
        <v>1132</v>
      </c>
      <c r="M46" s="522">
        <v>98</v>
      </c>
      <c r="N46" s="522">
        <v>20340</v>
      </c>
      <c r="O46" s="522">
        <v>17391</v>
      </c>
      <c r="P46" s="522">
        <v>19208</v>
      </c>
      <c r="Q46" s="522">
        <v>320</v>
      </c>
      <c r="R46" s="523">
        <v>20</v>
      </c>
      <c r="S46" s="523">
        <v>33</v>
      </c>
      <c r="T46" s="523">
        <v>1710</v>
      </c>
      <c r="U46" s="523">
        <v>18630</v>
      </c>
      <c r="V46" s="522">
        <v>15340</v>
      </c>
      <c r="W46" s="522">
        <v>133</v>
      </c>
      <c r="X46" s="522">
        <v>89</v>
      </c>
      <c r="Y46" s="522">
        <v>222</v>
      </c>
      <c r="Z46" s="524">
        <v>130.88999999999999</v>
      </c>
      <c r="AA46" s="524">
        <v>131.33000000000001</v>
      </c>
      <c r="AB46" s="524">
        <v>13.73</v>
      </c>
      <c r="AC46" s="524">
        <v>140.01</v>
      </c>
      <c r="AD46" s="524">
        <v>13228</v>
      </c>
      <c r="AE46" s="525">
        <v>124.58</v>
      </c>
      <c r="AF46" s="525">
        <v>116.42</v>
      </c>
      <c r="AG46" s="525">
        <v>60.42</v>
      </c>
      <c r="AH46" s="525">
        <v>183</v>
      </c>
      <c r="AI46" s="525">
        <v>2057</v>
      </c>
      <c r="AJ46" s="525">
        <v>203.43</v>
      </c>
      <c r="AK46" s="525">
        <v>1929</v>
      </c>
      <c r="AL46" s="525">
        <v>0</v>
      </c>
      <c r="AM46" s="525">
        <v>0</v>
      </c>
      <c r="AN46" s="526">
        <v>0</v>
      </c>
      <c r="AO46" s="526">
        <v>0</v>
      </c>
      <c r="AP46" s="526">
        <v>0</v>
      </c>
      <c r="AQ46" s="526">
        <v>0</v>
      </c>
      <c r="AR46" s="522">
        <v>0</v>
      </c>
      <c r="AS46" s="526">
        <v>100.69</v>
      </c>
      <c r="AT46" s="526">
        <v>99.05</v>
      </c>
      <c r="AU46" s="526">
        <v>18.34</v>
      </c>
      <c r="AV46" s="526">
        <v>118.09</v>
      </c>
      <c r="AW46" s="522">
        <v>78</v>
      </c>
      <c r="AX46" s="526">
        <v>107.52</v>
      </c>
      <c r="AY46" s="526">
        <v>107.99</v>
      </c>
      <c r="AZ46" s="526">
        <v>13.88</v>
      </c>
      <c r="BA46" s="526">
        <v>120.62</v>
      </c>
      <c r="BB46" s="522">
        <v>2958</v>
      </c>
      <c r="BC46" s="526">
        <v>128.03</v>
      </c>
      <c r="BD46" s="526">
        <v>128.22</v>
      </c>
      <c r="BE46" s="526">
        <v>15.38</v>
      </c>
      <c r="BF46" s="526">
        <v>138.24</v>
      </c>
      <c r="BG46" s="522">
        <v>5123</v>
      </c>
      <c r="BH46" s="526">
        <v>145.33000000000001</v>
      </c>
      <c r="BI46" s="526">
        <v>145.63</v>
      </c>
      <c r="BJ46" s="526">
        <v>11.95</v>
      </c>
      <c r="BK46" s="526">
        <v>151.44999999999999</v>
      </c>
      <c r="BL46" s="522">
        <v>4450</v>
      </c>
      <c r="BM46" s="526">
        <v>165.19</v>
      </c>
      <c r="BN46" s="526">
        <v>167.64</v>
      </c>
      <c r="BO46" s="526">
        <v>3.77</v>
      </c>
      <c r="BP46" s="526">
        <v>166.72</v>
      </c>
      <c r="BQ46" s="522">
        <v>580</v>
      </c>
      <c r="BR46" s="526">
        <v>180.28</v>
      </c>
      <c r="BS46" s="526">
        <v>187.25</v>
      </c>
      <c r="BT46" s="526">
        <v>10.86</v>
      </c>
      <c r="BU46" s="526">
        <v>183.38</v>
      </c>
      <c r="BV46" s="522">
        <v>35</v>
      </c>
      <c r="BW46" s="526">
        <v>183.95</v>
      </c>
      <c r="BX46" s="526">
        <v>207.97</v>
      </c>
      <c r="BY46" s="526">
        <v>0</v>
      </c>
      <c r="BZ46" s="526">
        <v>183.95</v>
      </c>
      <c r="CA46" s="522">
        <v>4</v>
      </c>
      <c r="CB46" s="526">
        <v>130.88999999999999</v>
      </c>
      <c r="CC46" s="526">
        <v>131.33000000000001</v>
      </c>
      <c r="CD46" s="526">
        <v>13.73</v>
      </c>
      <c r="CE46" s="526">
        <v>140.01</v>
      </c>
      <c r="CF46" s="522">
        <v>13228</v>
      </c>
      <c r="CG46" s="526">
        <v>130.88999999999999</v>
      </c>
      <c r="CH46" s="526">
        <v>131.33000000000001</v>
      </c>
      <c r="CI46" s="526">
        <v>13.73</v>
      </c>
      <c r="CJ46" s="526">
        <v>140.01</v>
      </c>
      <c r="CK46" s="522">
        <v>13228</v>
      </c>
      <c r="CL46" s="526">
        <v>138.08000000000001</v>
      </c>
      <c r="CM46" s="526">
        <v>105.39</v>
      </c>
      <c r="CN46" s="526">
        <v>127.11</v>
      </c>
      <c r="CO46" s="526">
        <v>248.53</v>
      </c>
      <c r="CP46" s="522">
        <v>229</v>
      </c>
      <c r="CQ46" s="526">
        <v>104.24</v>
      </c>
      <c r="CR46" s="526">
        <v>100.96</v>
      </c>
      <c r="CS46" s="526">
        <v>49.3</v>
      </c>
      <c r="CT46" s="526">
        <v>148.03</v>
      </c>
      <c r="CU46" s="522">
        <v>152</v>
      </c>
      <c r="CV46" s="526">
        <v>123.54</v>
      </c>
      <c r="CW46" s="526">
        <v>118.21</v>
      </c>
      <c r="CX46" s="526">
        <v>52.37</v>
      </c>
      <c r="CY46" s="526">
        <v>175.35</v>
      </c>
      <c r="CZ46" s="522">
        <v>1572</v>
      </c>
      <c r="DA46" s="526">
        <v>139.85</v>
      </c>
      <c r="DB46" s="526">
        <v>134.85</v>
      </c>
      <c r="DC46" s="526">
        <v>69.75</v>
      </c>
      <c r="DD46" s="526">
        <v>207.47</v>
      </c>
      <c r="DE46" s="522">
        <v>98</v>
      </c>
      <c r="DF46" s="526">
        <v>147.43</v>
      </c>
      <c r="DG46" s="526">
        <v>144.22999999999999</v>
      </c>
      <c r="DH46" s="526">
        <v>31.91</v>
      </c>
      <c r="DI46" s="526">
        <v>174.02</v>
      </c>
      <c r="DJ46" s="522">
        <v>6</v>
      </c>
      <c r="DK46" s="526">
        <v>0</v>
      </c>
      <c r="DL46" s="526">
        <v>0</v>
      </c>
      <c r="DM46" s="526">
        <v>0</v>
      </c>
      <c r="DN46" s="526">
        <v>0</v>
      </c>
      <c r="DO46" s="522">
        <v>0</v>
      </c>
      <c r="DP46" s="526">
        <v>122.89</v>
      </c>
      <c r="DQ46" s="526">
        <v>117.66</v>
      </c>
      <c r="DR46" s="526">
        <v>53.01</v>
      </c>
      <c r="DS46" s="526">
        <v>174.8</v>
      </c>
      <c r="DT46" s="522">
        <v>1828</v>
      </c>
      <c r="DU46" s="526">
        <v>124.58</v>
      </c>
      <c r="DV46" s="526">
        <v>116.42</v>
      </c>
      <c r="DW46" s="526">
        <v>60.42</v>
      </c>
      <c r="DX46" s="526">
        <v>183</v>
      </c>
      <c r="DY46" s="522">
        <v>2057</v>
      </c>
      <c r="DZ46" s="526">
        <v>223.08</v>
      </c>
      <c r="EA46" s="526">
        <v>2</v>
      </c>
      <c r="EB46" s="526">
        <v>143.5</v>
      </c>
      <c r="EC46" s="522">
        <v>8</v>
      </c>
      <c r="ED46" s="526">
        <v>174.36</v>
      </c>
      <c r="EE46" s="522">
        <v>592</v>
      </c>
      <c r="EF46" s="526">
        <v>213.51</v>
      </c>
      <c r="EG46" s="522">
        <v>824</v>
      </c>
      <c r="EH46" s="526">
        <v>219.15</v>
      </c>
      <c r="EI46" s="522">
        <v>459</v>
      </c>
      <c r="EJ46" s="526">
        <v>251.7</v>
      </c>
      <c r="EK46" s="522">
        <v>44</v>
      </c>
      <c r="EL46" s="526">
        <v>0</v>
      </c>
      <c r="EM46" s="522">
        <v>0</v>
      </c>
      <c r="EN46" s="526">
        <v>0</v>
      </c>
      <c r="EO46" s="522">
        <v>0</v>
      </c>
      <c r="EP46" s="526">
        <v>203.41</v>
      </c>
      <c r="EQ46" s="522">
        <v>1927</v>
      </c>
      <c r="ER46" s="526">
        <v>203.43</v>
      </c>
      <c r="ES46" s="522">
        <v>1929</v>
      </c>
      <c r="ET46" s="526">
        <v>0</v>
      </c>
      <c r="EU46" s="526">
        <v>0</v>
      </c>
      <c r="EV46" s="526">
        <v>0</v>
      </c>
      <c r="EW46" s="522">
        <v>0</v>
      </c>
      <c r="EX46" s="526">
        <v>0</v>
      </c>
      <c r="EY46" s="522">
        <v>0</v>
      </c>
      <c r="EZ46" s="526">
        <v>0</v>
      </c>
      <c r="FA46" s="522">
        <v>0</v>
      </c>
      <c r="FB46" s="526">
        <v>0</v>
      </c>
      <c r="FC46" s="522">
        <v>0</v>
      </c>
      <c r="FD46" s="526">
        <v>0</v>
      </c>
      <c r="FE46" s="522">
        <v>0</v>
      </c>
      <c r="FF46" s="526">
        <v>0</v>
      </c>
      <c r="FG46" s="522">
        <v>0</v>
      </c>
      <c r="FH46" s="526">
        <v>0</v>
      </c>
      <c r="FI46" s="522">
        <v>0</v>
      </c>
      <c r="FJ46" s="522">
        <v>45</v>
      </c>
      <c r="FK46" s="522">
        <v>4</v>
      </c>
      <c r="FL46" s="522">
        <v>2</v>
      </c>
      <c r="FM46" s="522">
        <v>0</v>
      </c>
      <c r="FN46" s="522">
        <v>1</v>
      </c>
      <c r="FO46" s="522">
        <v>1</v>
      </c>
      <c r="FP46" s="522">
        <v>40</v>
      </c>
      <c r="FQ46" s="522">
        <v>4</v>
      </c>
      <c r="FR46" s="522">
        <v>22</v>
      </c>
    </row>
    <row r="47" spans="1:174" x14ac:dyDescent="0.25">
      <c r="A47" s="523" t="s">
        <v>355</v>
      </c>
      <c r="B47" s="523" t="s">
        <v>356</v>
      </c>
      <c r="C47" s="523" t="s">
        <v>288</v>
      </c>
      <c r="D47" s="522">
        <v>3540</v>
      </c>
      <c r="E47" s="522">
        <v>3540</v>
      </c>
      <c r="F47" s="522">
        <v>0</v>
      </c>
      <c r="G47" s="522">
        <v>0</v>
      </c>
      <c r="H47" s="522">
        <v>75</v>
      </c>
      <c r="I47" s="522">
        <v>58</v>
      </c>
      <c r="J47" s="522">
        <v>1007</v>
      </c>
      <c r="K47" s="522">
        <v>965</v>
      </c>
      <c r="L47" s="522">
        <v>457</v>
      </c>
      <c r="M47" s="522">
        <v>29</v>
      </c>
      <c r="N47" s="522">
        <v>5079</v>
      </c>
      <c r="O47" s="522">
        <v>4592</v>
      </c>
      <c r="P47" s="522">
        <v>4622</v>
      </c>
      <c r="Q47" s="522">
        <v>0</v>
      </c>
      <c r="R47" s="523">
        <v>3</v>
      </c>
      <c r="S47" s="523">
        <v>16</v>
      </c>
      <c r="T47" s="523">
        <v>44</v>
      </c>
      <c r="U47" s="523">
        <v>5035</v>
      </c>
      <c r="V47" s="522">
        <v>3540</v>
      </c>
      <c r="W47" s="522">
        <v>8</v>
      </c>
      <c r="X47" s="522">
        <v>23</v>
      </c>
      <c r="Y47" s="522">
        <v>31</v>
      </c>
      <c r="Z47" s="524">
        <v>105.25</v>
      </c>
      <c r="AA47" s="524">
        <v>105.41</v>
      </c>
      <c r="AB47" s="524">
        <v>5.19</v>
      </c>
      <c r="AC47" s="524">
        <v>108.72</v>
      </c>
      <c r="AD47" s="524">
        <v>3131</v>
      </c>
      <c r="AE47" s="525">
        <v>97.41</v>
      </c>
      <c r="AF47" s="525">
        <v>92.13</v>
      </c>
      <c r="AG47" s="525">
        <v>27.39</v>
      </c>
      <c r="AH47" s="525">
        <v>124.8</v>
      </c>
      <c r="AI47" s="525">
        <v>1037</v>
      </c>
      <c r="AJ47" s="525">
        <v>135.16</v>
      </c>
      <c r="AK47" s="525">
        <v>364</v>
      </c>
      <c r="AL47" s="525">
        <v>0</v>
      </c>
      <c r="AM47" s="525">
        <v>0</v>
      </c>
      <c r="AN47" s="526">
        <v>0</v>
      </c>
      <c r="AO47" s="526">
        <v>0</v>
      </c>
      <c r="AP47" s="526">
        <v>0</v>
      </c>
      <c r="AQ47" s="526">
        <v>0</v>
      </c>
      <c r="AR47" s="522">
        <v>0</v>
      </c>
      <c r="AS47" s="526">
        <v>0</v>
      </c>
      <c r="AT47" s="526">
        <v>0</v>
      </c>
      <c r="AU47" s="526">
        <v>0</v>
      </c>
      <c r="AV47" s="526">
        <v>0</v>
      </c>
      <c r="AW47" s="522">
        <v>0</v>
      </c>
      <c r="AX47" s="526">
        <v>86.92</v>
      </c>
      <c r="AY47" s="526">
        <v>86.98</v>
      </c>
      <c r="AZ47" s="526">
        <v>6.31</v>
      </c>
      <c r="BA47" s="526">
        <v>93.17</v>
      </c>
      <c r="BB47" s="522">
        <v>646</v>
      </c>
      <c r="BC47" s="526">
        <v>102.62</v>
      </c>
      <c r="BD47" s="526">
        <v>102.85</v>
      </c>
      <c r="BE47" s="526">
        <v>5.78</v>
      </c>
      <c r="BF47" s="526">
        <v>107.42</v>
      </c>
      <c r="BG47" s="522">
        <v>1160</v>
      </c>
      <c r="BH47" s="526">
        <v>115.46</v>
      </c>
      <c r="BI47" s="526">
        <v>115.44</v>
      </c>
      <c r="BJ47" s="526">
        <v>2.56</v>
      </c>
      <c r="BK47" s="526">
        <v>116.38</v>
      </c>
      <c r="BL47" s="522">
        <v>1242</v>
      </c>
      <c r="BM47" s="526">
        <v>131.91</v>
      </c>
      <c r="BN47" s="526">
        <v>134.61000000000001</v>
      </c>
      <c r="BO47" s="526">
        <v>2.63</v>
      </c>
      <c r="BP47" s="526">
        <v>133.37</v>
      </c>
      <c r="BQ47" s="522">
        <v>81</v>
      </c>
      <c r="BR47" s="526">
        <v>126.52</v>
      </c>
      <c r="BS47" s="526">
        <v>125.08</v>
      </c>
      <c r="BT47" s="526">
        <v>0</v>
      </c>
      <c r="BU47" s="526">
        <v>126.52</v>
      </c>
      <c r="BV47" s="522">
        <v>2</v>
      </c>
      <c r="BW47" s="526">
        <v>0</v>
      </c>
      <c r="BX47" s="526">
        <v>0</v>
      </c>
      <c r="BY47" s="526">
        <v>0</v>
      </c>
      <c r="BZ47" s="526">
        <v>0</v>
      </c>
      <c r="CA47" s="522">
        <v>0</v>
      </c>
      <c r="CB47" s="526">
        <v>105.25</v>
      </c>
      <c r="CC47" s="526">
        <v>105.41</v>
      </c>
      <c r="CD47" s="526">
        <v>5.19</v>
      </c>
      <c r="CE47" s="526">
        <v>108.72</v>
      </c>
      <c r="CF47" s="522">
        <v>3131</v>
      </c>
      <c r="CG47" s="526">
        <v>105.25</v>
      </c>
      <c r="CH47" s="526">
        <v>105.41</v>
      </c>
      <c r="CI47" s="526">
        <v>5.19</v>
      </c>
      <c r="CJ47" s="526">
        <v>108.72</v>
      </c>
      <c r="CK47" s="522">
        <v>3131</v>
      </c>
      <c r="CL47" s="526">
        <v>117.05</v>
      </c>
      <c r="CM47" s="526">
        <v>89.62</v>
      </c>
      <c r="CN47" s="526">
        <v>98.57</v>
      </c>
      <c r="CO47" s="526">
        <v>215.62</v>
      </c>
      <c r="CP47" s="522">
        <v>32</v>
      </c>
      <c r="CQ47" s="526">
        <v>84.83</v>
      </c>
      <c r="CR47" s="526">
        <v>80.78</v>
      </c>
      <c r="CS47" s="526">
        <v>73.540000000000006</v>
      </c>
      <c r="CT47" s="526">
        <v>158.37</v>
      </c>
      <c r="CU47" s="522">
        <v>37</v>
      </c>
      <c r="CV47" s="526">
        <v>95.99</v>
      </c>
      <c r="CW47" s="526">
        <v>91.34</v>
      </c>
      <c r="CX47" s="526">
        <v>23.82</v>
      </c>
      <c r="CY47" s="526">
        <v>119.81</v>
      </c>
      <c r="CZ47" s="522">
        <v>882</v>
      </c>
      <c r="DA47" s="526">
        <v>109.41</v>
      </c>
      <c r="DB47" s="526">
        <v>105.04</v>
      </c>
      <c r="DC47" s="526">
        <v>17.989999999999998</v>
      </c>
      <c r="DD47" s="526">
        <v>127.4</v>
      </c>
      <c r="DE47" s="522">
        <v>82</v>
      </c>
      <c r="DF47" s="526">
        <v>123.53</v>
      </c>
      <c r="DG47" s="526">
        <v>124.08</v>
      </c>
      <c r="DH47" s="526">
        <v>10.050000000000001</v>
      </c>
      <c r="DI47" s="526">
        <v>133.58000000000001</v>
      </c>
      <c r="DJ47" s="522">
        <v>4</v>
      </c>
      <c r="DK47" s="526">
        <v>0</v>
      </c>
      <c r="DL47" s="526">
        <v>0</v>
      </c>
      <c r="DM47" s="526">
        <v>0</v>
      </c>
      <c r="DN47" s="526">
        <v>0</v>
      </c>
      <c r="DO47" s="522">
        <v>0</v>
      </c>
      <c r="DP47" s="526">
        <v>96.78</v>
      </c>
      <c r="DQ47" s="526">
        <v>92.2</v>
      </c>
      <c r="DR47" s="526">
        <v>25.12</v>
      </c>
      <c r="DS47" s="526">
        <v>121.9</v>
      </c>
      <c r="DT47" s="522">
        <v>1005</v>
      </c>
      <c r="DU47" s="526">
        <v>97.41</v>
      </c>
      <c r="DV47" s="526">
        <v>92.13</v>
      </c>
      <c r="DW47" s="526">
        <v>27.39</v>
      </c>
      <c r="DX47" s="526">
        <v>124.8</v>
      </c>
      <c r="DY47" s="522">
        <v>1037</v>
      </c>
      <c r="DZ47" s="526">
        <v>0</v>
      </c>
      <c r="EA47" s="526">
        <v>0</v>
      </c>
      <c r="EB47" s="526">
        <v>0</v>
      </c>
      <c r="EC47" s="522">
        <v>0</v>
      </c>
      <c r="ED47" s="526">
        <v>111.22</v>
      </c>
      <c r="EE47" s="522">
        <v>101</v>
      </c>
      <c r="EF47" s="526">
        <v>138.13999999999999</v>
      </c>
      <c r="EG47" s="522">
        <v>146</v>
      </c>
      <c r="EH47" s="526">
        <v>150.63999999999999</v>
      </c>
      <c r="EI47" s="522">
        <v>111</v>
      </c>
      <c r="EJ47" s="526">
        <v>179.48</v>
      </c>
      <c r="EK47" s="522">
        <v>6</v>
      </c>
      <c r="EL47" s="526">
        <v>0</v>
      </c>
      <c r="EM47" s="522">
        <v>0</v>
      </c>
      <c r="EN47" s="526">
        <v>0</v>
      </c>
      <c r="EO47" s="522">
        <v>0</v>
      </c>
      <c r="EP47" s="526">
        <v>135.16</v>
      </c>
      <c r="EQ47" s="522">
        <v>364</v>
      </c>
      <c r="ER47" s="526">
        <v>135.16</v>
      </c>
      <c r="ES47" s="522">
        <v>364</v>
      </c>
      <c r="ET47" s="526">
        <v>0</v>
      </c>
      <c r="EU47" s="526">
        <v>0</v>
      </c>
      <c r="EV47" s="526">
        <v>0</v>
      </c>
      <c r="EW47" s="522">
        <v>0</v>
      </c>
      <c r="EX47" s="526">
        <v>0</v>
      </c>
      <c r="EY47" s="522">
        <v>0</v>
      </c>
      <c r="EZ47" s="526">
        <v>0</v>
      </c>
      <c r="FA47" s="522">
        <v>0</v>
      </c>
      <c r="FB47" s="526">
        <v>0</v>
      </c>
      <c r="FC47" s="522">
        <v>0</v>
      </c>
      <c r="FD47" s="526">
        <v>0</v>
      </c>
      <c r="FE47" s="522">
        <v>0</v>
      </c>
      <c r="FF47" s="526">
        <v>0</v>
      </c>
      <c r="FG47" s="522">
        <v>0</v>
      </c>
      <c r="FH47" s="526">
        <v>0</v>
      </c>
      <c r="FI47" s="522">
        <v>0</v>
      </c>
      <c r="FJ47" s="522">
        <v>0</v>
      </c>
      <c r="FK47" s="522">
        <v>3</v>
      </c>
      <c r="FL47" s="522">
        <v>2</v>
      </c>
      <c r="FM47" s="522">
        <v>0</v>
      </c>
      <c r="FN47" s="522">
        <v>1</v>
      </c>
      <c r="FO47" s="522">
        <v>0</v>
      </c>
      <c r="FP47" s="522">
        <v>3</v>
      </c>
      <c r="FQ47" s="522">
        <v>17</v>
      </c>
      <c r="FR47" s="522">
        <v>10</v>
      </c>
    </row>
    <row r="48" spans="1:174" x14ac:dyDescent="0.25">
      <c r="A48" s="523" t="s">
        <v>357</v>
      </c>
      <c r="B48" s="523" t="s">
        <v>358</v>
      </c>
      <c r="C48" s="523" t="s">
        <v>283</v>
      </c>
      <c r="D48" s="522">
        <v>5076</v>
      </c>
      <c r="E48" s="522">
        <v>5093</v>
      </c>
      <c r="F48" s="522">
        <v>0</v>
      </c>
      <c r="G48" s="522">
        <v>0</v>
      </c>
      <c r="H48" s="522">
        <v>107</v>
      </c>
      <c r="I48" s="522">
        <v>101</v>
      </c>
      <c r="J48" s="522">
        <v>370</v>
      </c>
      <c r="K48" s="522">
        <v>370</v>
      </c>
      <c r="L48" s="522">
        <v>530</v>
      </c>
      <c r="M48" s="522">
        <v>0</v>
      </c>
      <c r="N48" s="522">
        <v>6083</v>
      </c>
      <c r="O48" s="522">
        <v>5564</v>
      </c>
      <c r="P48" s="522">
        <v>5553</v>
      </c>
      <c r="Q48" s="522">
        <v>33</v>
      </c>
      <c r="R48" s="523">
        <v>1</v>
      </c>
      <c r="S48" s="523">
        <v>18</v>
      </c>
      <c r="T48" s="523">
        <v>4</v>
      </c>
      <c r="U48" s="523">
        <v>6079</v>
      </c>
      <c r="V48" s="522">
        <v>5076</v>
      </c>
      <c r="W48" s="522">
        <v>13</v>
      </c>
      <c r="X48" s="522">
        <v>26</v>
      </c>
      <c r="Y48" s="522">
        <v>39</v>
      </c>
      <c r="Z48" s="524">
        <v>129.54</v>
      </c>
      <c r="AA48" s="524">
        <v>131.28</v>
      </c>
      <c r="AB48" s="524">
        <v>11.86</v>
      </c>
      <c r="AC48" s="524">
        <v>137</v>
      </c>
      <c r="AD48" s="524">
        <v>3961</v>
      </c>
      <c r="AE48" s="525">
        <v>112.37</v>
      </c>
      <c r="AF48" s="525">
        <v>107.9</v>
      </c>
      <c r="AG48" s="525">
        <v>41.33</v>
      </c>
      <c r="AH48" s="525">
        <v>150.47</v>
      </c>
      <c r="AI48" s="525">
        <v>473</v>
      </c>
      <c r="AJ48" s="525">
        <v>202.09</v>
      </c>
      <c r="AK48" s="525">
        <v>1080</v>
      </c>
      <c r="AL48" s="525">
        <v>0</v>
      </c>
      <c r="AM48" s="525">
        <v>0</v>
      </c>
      <c r="AN48" s="526">
        <v>0</v>
      </c>
      <c r="AO48" s="526">
        <v>0</v>
      </c>
      <c r="AP48" s="526">
        <v>0</v>
      </c>
      <c r="AQ48" s="526">
        <v>0</v>
      </c>
      <c r="AR48" s="522">
        <v>0</v>
      </c>
      <c r="AS48" s="526">
        <v>88.92</v>
      </c>
      <c r="AT48" s="526">
        <v>88.04</v>
      </c>
      <c r="AU48" s="526">
        <v>12.58</v>
      </c>
      <c r="AV48" s="526">
        <v>101.4</v>
      </c>
      <c r="AW48" s="522">
        <v>276</v>
      </c>
      <c r="AX48" s="526">
        <v>111.31</v>
      </c>
      <c r="AY48" s="526">
        <v>111.33</v>
      </c>
      <c r="AZ48" s="526">
        <v>12.2</v>
      </c>
      <c r="BA48" s="526">
        <v>121.41</v>
      </c>
      <c r="BB48" s="522">
        <v>875</v>
      </c>
      <c r="BC48" s="526">
        <v>129.32</v>
      </c>
      <c r="BD48" s="526">
        <v>129.91999999999999</v>
      </c>
      <c r="BE48" s="526">
        <v>13.21</v>
      </c>
      <c r="BF48" s="526">
        <v>138.80000000000001</v>
      </c>
      <c r="BG48" s="522">
        <v>1431</v>
      </c>
      <c r="BH48" s="526">
        <v>147.94</v>
      </c>
      <c r="BI48" s="526">
        <v>151.93</v>
      </c>
      <c r="BJ48" s="526">
        <v>8.0500000000000007</v>
      </c>
      <c r="BK48" s="526">
        <v>150.59</v>
      </c>
      <c r="BL48" s="522">
        <v>1244</v>
      </c>
      <c r="BM48" s="526">
        <v>163.41</v>
      </c>
      <c r="BN48" s="526">
        <v>173.15</v>
      </c>
      <c r="BO48" s="526">
        <v>6.69</v>
      </c>
      <c r="BP48" s="526">
        <v>166.17</v>
      </c>
      <c r="BQ48" s="522">
        <v>133</v>
      </c>
      <c r="BR48" s="526">
        <v>174.7</v>
      </c>
      <c r="BS48" s="526">
        <v>183</v>
      </c>
      <c r="BT48" s="526">
        <v>24.09</v>
      </c>
      <c r="BU48" s="526">
        <v>186.74</v>
      </c>
      <c r="BV48" s="522">
        <v>2</v>
      </c>
      <c r="BW48" s="526">
        <v>0</v>
      </c>
      <c r="BX48" s="526">
        <v>0</v>
      </c>
      <c r="BY48" s="526">
        <v>0</v>
      </c>
      <c r="BZ48" s="526">
        <v>0</v>
      </c>
      <c r="CA48" s="522">
        <v>0</v>
      </c>
      <c r="CB48" s="526">
        <v>129.54</v>
      </c>
      <c r="CC48" s="526">
        <v>131.28</v>
      </c>
      <c r="CD48" s="526">
        <v>11.86</v>
      </c>
      <c r="CE48" s="526">
        <v>137</v>
      </c>
      <c r="CF48" s="522">
        <v>3961</v>
      </c>
      <c r="CG48" s="526">
        <v>129.54</v>
      </c>
      <c r="CH48" s="526">
        <v>131.28</v>
      </c>
      <c r="CI48" s="526">
        <v>11.86</v>
      </c>
      <c r="CJ48" s="526">
        <v>137</v>
      </c>
      <c r="CK48" s="522">
        <v>3961</v>
      </c>
      <c r="CL48" s="526">
        <v>101.96</v>
      </c>
      <c r="CM48" s="526">
        <v>110.91</v>
      </c>
      <c r="CN48" s="526">
        <v>101.89</v>
      </c>
      <c r="CO48" s="526">
        <v>151.26</v>
      </c>
      <c r="CP48" s="522">
        <v>31</v>
      </c>
      <c r="CQ48" s="526">
        <v>94.38</v>
      </c>
      <c r="CR48" s="526">
        <v>88.87</v>
      </c>
      <c r="CS48" s="526">
        <v>55.34</v>
      </c>
      <c r="CT48" s="526">
        <v>146.9</v>
      </c>
      <c r="CU48" s="522">
        <v>98</v>
      </c>
      <c r="CV48" s="526">
        <v>115.94</v>
      </c>
      <c r="CW48" s="526">
        <v>110.68</v>
      </c>
      <c r="CX48" s="526">
        <v>35.380000000000003</v>
      </c>
      <c r="CY48" s="526">
        <v>150.6</v>
      </c>
      <c r="CZ48" s="522">
        <v>293</v>
      </c>
      <c r="DA48" s="526">
        <v>133.1</v>
      </c>
      <c r="DB48" s="526">
        <v>133.02000000000001</v>
      </c>
      <c r="DC48" s="526">
        <v>28.94</v>
      </c>
      <c r="DD48" s="526">
        <v>157.21</v>
      </c>
      <c r="DE48" s="522">
        <v>48</v>
      </c>
      <c r="DF48" s="526">
        <v>127.11</v>
      </c>
      <c r="DG48" s="526">
        <v>131.93</v>
      </c>
      <c r="DH48" s="526">
        <v>33.71</v>
      </c>
      <c r="DI48" s="526">
        <v>138.35</v>
      </c>
      <c r="DJ48" s="522">
        <v>3</v>
      </c>
      <c r="DK48" s="526">
        <v>0</v>
      </c>
      <c r="DL48" s="526">
        <v>0</v>
      </c>
      <c r="DM48" s="526">
        <v>0</v>
      </c>
      <c r="DN48" s="526">
        <v>0</v>
      </c>
      <c r="DO48" s="522">
        <v>0</v>
      </c>
      <c r="DP48" s="526">
        <v>113.1</v>
      </c>
      <c r="DQ48" s="526">
        <v>107.79</v>
      </c>
      <c r="DR48" s="526">
        <v>39.17</v>
      </c>
      <c r="DS48" s="526">
        <v>150.41</v>
      </c>
      <c r="DT48" s="522">
        <v>442</v>
      </c>
      <c r="DU48" s="526">
        <v>112.37</v>
      </c>
      <c r="DV48" s="526">
        <v>107.9</v>
      </c>
      <c r="DW48" s="526">
        <v>41.33</v>
      </c>
      <c r="DX48" s="526">
        <v>150.47</v>
      </c>
      <c r="DY48" s="522">
        <v>473</v>
      </c>
      <c r="DZ48" s="526">
        <v>0</v>
      </c>
      <c r="EA48" s="526">
        <v>0</v>
      </c>
      <c r="EB48" s="526">
        <v>140.16</v>
      </c>
      <c r="EC48" s="522">
        <v>13</v>
      </c>
      <c r="ED48" s="526">
        <v>166.74</v>
      </c>
      <c r="EE48" s="522">
        <v>309</v>
      </c>
      <c r="EF48" s="526">
        <v>205.93</v>
      </c>
      <c r="EG48" s="522">
        <v>546</v>
      </c>
      <c r="EH48" s="526">
        <v>245.45</v>
      </c>
      <c r="EI48" s="522">
        <v>198</v>
      </c>
      <c r="EJ48" s="526">
        <v>276.73</v>
      </c>
      <c r="EK48" s="522">
        <v>14</v>
      </c>
      <c r="EL48" s="526">
        <v>0</v>
      </c>
      <c r="EM48" s="522">
        <v>0</v>
      </c>
      <c r="EN48" s="526">
        <v>0</v>
      </c>
      <c r="EO48" s="522">
        <v>0</v>
      </c>
      <c r="EP48" s="526">
        <v>202.09</v>
      </c>
      <c r="EQ48" s="522">
        <v>1080</v>
      </c>
      <c r="ER48" s="526">
        <v>202.09</v>
      </c>
      <c r="ES48" s="522">
        <v>1080</v>
      </c>
      <c r="ET48" s="526">
        <v>0</v>
      </c>
      <c r="EU48" s="526">
        <v>0</v>
      </c>
      <c r="EV48" s="526">
        <v>0</v>
      </c>
      <c r="EW48" s="522">
        <v>0</v>
      </c>
      <c r="EX48" s="526">
        <v>0</v>
      </c>
      <c r="EY48" s="522">
        <v>0</v>
      </c>
      <c r="EZ48" s="526">
        <v>0</v>
      </c>
      <c r="FA48" s="522">
        <v>0</v>
      </c>
      <c r="FB48" s="526">
        <v>0</v>
      </c>
      <c r="FC48" s="522">
        <v>0</v>
      </c>
      <c r="FD48" s="526">
        <v>0</v>
      </c>
      <c r="FE48" s="522">
        <v>0</v>
      </c>
      <c r="FF48" s="526">
        <v>0</v>
      </c>
      <c r="FG48" s="522">
        <v>0</v>
      </c>
      <c r="FH48" s="526">
        <v>0</v>
      </c>
      <c r="FI48" s="522">
        <v>0</v>
      </c>
      <c r="FJ48" s="522">
        <v>0</v>
      </c>
      <c r="FK48" s="522">
        <v>4</v>
      </c>
      <c r="FL48" s="522">
        <v>3</v>
      </c>
      <c r="FM48" s="522">
        <v>0</v>
      </c>
      <c r="FN48" s="522">
        <v>1</v>
      </c>
      <c r="FO48" s="522">
        <v>0</v>
      </c>
      <c r="FP48" s="522">
        <v>4</v>
      </c>
      <c r="FQ48" s="522">
        <v>73</v>
      </c>
      <c r="FR48" s="522">
        <v>4</v>
      </c>
    </row>
    <row r="49" spans="1:174" x14ac:dyDescent="0.25">
      <c r="A49" s="523" t="s">
        <v>359</v>
      </c>
      <c r="B49" s="523" t="s">
        <v>360</v>
      </c>
      <c r="C49" s="523" t="s">
        <v>282</v>
      </c>
      <c r="D49" s="522">
        <v>1214</v>
      </c>
      <c r="E49" s="522">
        <v>1206</v>
      </c>
      <c r="F49" s="522">
        <v>0</v>
      </c>
      <c r="G49" s="522">
        <v>0</v>
      </c>
      <c r="H49" s="522">
        <v>127</v>
      </c>
      <c r="I49" s="522">
        <v>109</v>
      </c>
      <c r="J49" s="522">
        <v>108</v>
      </c>
      <c r="K49" s="522">
        <v>108</v>
      </c>
      <c r="L49" s="522">
        <v>145</v>
      </c>
      <c r="M49" s="522">
        <v>0</v>
      </c>
      <c r="N49" s="522">
        <v>1594</v>
      </c>
      <c r="O49" s="522">
        <v>1423</v>
      </c>
      <c r="P49" s="522">
        <v>1449</v>
      </c>
      <c r="Q49" s="522">
        <v>2</v>
      </c>
      <c r="R49" s="523">
        <v>0</v>
      </c>
      <c r="S49" s="523">
        <v>19</v>
      </c>
      <c r="T49" s="523">
        <v>0</v>
      </c>
      <c r="U49" s="523">
        <v>1594</v>
      </c>
      <c r="V49" s="522">
        <v>1214</v>
      </c>
      <c r="W49" s="522">
        <v>15</v>
      </c>
      <c r="X49" s="522">
        <v>3</v>
      </c>
      <c r="Y49" s="522">
        <v>18</v>
      </c>
      <c r="Z49" s="524">
        <v>93.43</v>
      </c>
      <c r="AA49" s="524">
        <v>93.85</v>
      </c>
      <c r="AB49" s="524">
        <v>8.35</v>
      </c>
      <c r="AC49" s="524">
        <v>100.6</v>
      </c>
      <c r="AD49" s="524">
        <v>971</v>
      </c>
      <c r="AE49" s="525">
        <v>121.35</v>
      </c>
      <c r="AF49" s="525">
        <v>84.95</v>
      </c>
      <c r="AG49" s="525">
        <v>74.099999999999994</v>
      </c>
      <c r="AH49" s="525">
        <v>195.08</v>
      </c>
      <c r="AI49" s="525">
        <v>204</v>
      </c>
      <c r="AJ49" s="525">
        <v>119.62</v>
      </c>
      <c r="AK49" s="525">
        <v>220</v>
      </c>
      <c r="AL49" s="525">
        <v>233.29</v>
      </c>
      <c r="AM49" s="525">
        <v>30</v>
      </c>
      <c r="AN49" s="526">
        <v>0</v>
      </c>
      <c r="AO49" s="526">
        <v>0</v>
      </c>
      <c r="AP49" s="526">
        <v>0</v>
      </c>
      <c r="AQ49" s="526">
        <v>0</v>
      </c>
      <c r="AR49" s="522">
        <v>0</v>
      </c>
      <c r="AS49" s="526">
        <v>72.66</v>
      </c>
      <c r="AT49" s="526">
        <v>71.59</v>
      </c>
      <c r="AU49" s="526">
        <v>13.39</v>
      </c>
      <c r="AV49" s="526">
        <v>86.05</v>
      </c>
      <c r="AW49" s="522">
        <v>31</v>
      </c>
      <c r="AX49" s="526">
        <v>83.09</v>
      </c>
      <c r="AY49" s="526">
        <v>82.54</v>
      </c>
      <c r="AZ49" s="526">
        <v>10.75</v>
      </c>
      <c r="BA49" s="526">
        <v>93.85</v>
      </c>
      <c r="BB49" s="522">
        <v>409</v>
      </c>
      <c r="BC49" s="526">
        <v>97.65</v>
      </c>
      <c r="BD49" s="526">
        <v>98.6</v>
      </c>
      <c r="BE49" s="526">
        <v>6.49</v>
      </c>
      <c r="BF49" s="526">
        <v>102.9</v>
      </c>
      <c r="BG49" s="522">
        <v>334</v>
      </c>
      <c r="BH49" s="526">
        <v>109.75</v>
      </c>
      <c r="BI49" s="526">
        <v>111.67</v>
      </c>
      <c r="BJ49" s="526">
        <v>3.22</v>
      </c>
      <c r="BK49" s="526">
        <v>111.83</v>
      </c>
      <c r="BL49" s="522">
        <v>184</v>
      </c>
      <c r="BM49" s="526">
        <v>130.13999999999999</v>
      </c>
      <c r="BN49" s="526">
        <v>129.13</v>
      </c>
      <c r="BO49" s="526">
        <v>3.2</v>
      </c>
      <c r="BP49" s="526">
        <v>131.59</v>
      </c>
      <c r="BQ49" s="522">
        <v>11</v>
      </c>
      <c r="BR49" s="526">
        <v>120.04</v>
      </c>
      <c r="BS49" s="526">
        <v>124.32</v>
      </c>
      <c r="BT49" s="526">
        <v>0</v>
      </c>
      <c r="BU49" s="526">
        <v>120.04</v>
      </c>
      <c r="BV49" s="522">
        <v>2</v>
      </c>
      <c r="BW49" s="526">
        <v>0</v>
      </c>
      <c r="BX49" s="526">
        <v>0</v>
      </c>
      <c r="BY49" s="526">
        <v>0</v>
      </c>
      <c r="BZ49" s="526">
        <v>0</v>
      </c>
      <c r="CA49" s="522">
        <v>0</v>
      </c>
      <c r="CB49" s="526">
        <v>93.43</v>
      </c>
      <c r="CC49" s="526">
        <v>93.85</v>
      </c>
      <c r="CD49" s="526">
        <v>8.35</v>
      </c>
      <c r="CE49" s="526">
        <v>100.6</v>
      </c>
      <c r="CF49" s="522">
        <v>971</v>
      </c>
      <c r="CG49" s="526">
        <v>93.43</v>
      </c>
      <c r="CH49" s="526">
        <v>93.85</v>
      </c>
      <c r="CI49" s="526">
        <v>8.35</v>
      </c>
      <c r="CJ49" s="526">
        <v>100.6</v>
      </c>
      <c r="CK49" s="522">
        <v>971</v>
      </c>
      <c r="CL49" s="526">
        <v>165.91</v>
      </c>
      <c r="CM49" s="526">
        <v>79.92</v>
      </c>
      <c r="CN49" s="526">
        <v>71.7</v>
      </c>
      <c r="CO49" s="526">
        <v>237.61</v>
      </c>
      <c r="CP49" s="522">
        <v>52</v>
      </c>
      <c r="CQ49" s="526">
        <v>0</v>
      </c>
      <c r="CR49" s="526">
        <v>0</v>
      </c>
      <c r="CS49" s="526">
        <v>0</v>
      </c>
      <c r="CT49" s="526">
        <v>0</v>
      </c>
      <c r="CU49" s="522">
        <v>0</v>
      </c>
      <c r="CV49" s="526">
        <v>105.9</v>
      </c>
      <c r="CW49" s="526">
        <v>85.11</v>
      </c>
      <c r="CX49" s="526">
        <v>73.75</v>
      </c>
      <c r="CY49" s="526">
        <v>179.64</v>
      </c>
      <c r="CZ49" s="522">
        <v>148</v>
      </c>
      <c r="DA49" s="526">
        <v>111.08</v>
      </c>
      <c r="DB49" s="526">
        <v>104.62</v>
      </c>
      <c r="DC49" s="526">
        <v>132.94999999999999</v>
      </c>
      <c r="DD49" s="526">
        <v>244.03</v>
      </c>
      <c r="DE49" s="522">
        <v>3</v>
      </c>
      <c r="DF49" s="526">
        <v>121.27</v>
      </c>
      <c r="DG49" s="526">
        <v>110.26</v>
      </c>
      <c r="DH49" s="526">
        <v>0</v>
      </c>
      <c r="DI49" s="526">
        <v>121.27</v>
      </c>
      <c r="DJ49" s="522">
        <v>1</v>
      </c>
      <c r="DK49" s="526">
        <v>0</v>
      </c>
      <c r="DL49" s="526">
        <v>0</v>
      </c>
      <c r="DM49" s="526">
        <v>0</v>
      </c>
      <c r="DN49" s="526">
        <v>0</v>
      </c>
      <c r="DO49" s="522">
        <v>0</v>
      </c>
      <c r="DP49" s="526">
        <v>106.1</v>
      </c>
      <c r="DQ49" s="526">
        <v>85.71</v>
      </c>
      <c r="DR49" s="526">
        <v>74.92</v>
      </c>
      <c r="DS49" s="526">
        <v>180.53</v>
      </c>
      <c r="DT49" s="522">
        <v>152</v>
      </c>
      <c r="DU49" s="526">
        <v>121.35</v>
      </c>
      <c r="DV49" s="526">
        <v>84.95</v>
      </c>
      <c r="DW49" s="526">
        <v>74.099999999999994</v>
      </c>
      <c r="DX49" s="526">
        <v>195.08</v>
      </c>
      <c r="DY49" s="522">
        <v>204</v>
      </c>
      <c r="DZ49" s="526">
        <v>0</v>
      </c>
      <c r="EA49" s="526">
        <v>0</v>
      </c>
      <c r="EB49" s="526">
        <v>0</v>
      </c>
      <c r="EC49" s="522">
        <v>0</v>
      </c>
      <c r="ED49" s="526">
        <v>105.97</v>
      </c>
      <c r="EE49" s="522">
        <v>71</v>
      </c>
      <c r="EF49" s="526">
        <v>122.42</v>
      </c>
      <c r="EG49" s="522">
        <v>93</v>
      </c>
      <c r="EH49" s="526">
        <v>132.28</v>
      </c>
      <c r="EI49" s="522">
        <v>56</v>
      </c>
      <c r="EJ49" s="526">
        <v>0</v>
      </c>
      <c r="EK49" s="522">
        <v>0</v>
      </c>
      <c r="EL49" s="526">
        <v>0</v>
      </c>
      <c r="EM49" s="522">
        <v>0</v>
      </c>
      <c r="EN49" s="526">
        <v>0</v>
      </c>
      <c r="EO49" s="522">
        <v>0</v>
      </c>
      <c r="EP49" s="526">
        <v>119.62</v>
      </c>
      <c r="EQ49" s="522">
        <v>220</v>
      </c>
      <c r="ER49" s="526">
        <v>119.62</v>
      </c>
      <c r="ES49" s="522">
        <v>220</v>
      </c>
      <c r="ET49" s="526">
        <v>0</v>
      </c>
      <c r="EU49" s="526">
        <v>0</v>
      </c>
      <c r="EV49" s="526">
        <v>0</v>
      </c>
      <c r="EW49" s="522">
        <v>0</v>
      </c>
      <c r="EX49" s="526">
        <v>232.93</v>
      </c>
      <c r="EY49" s="522">
        <v>26</v>
      </c>
      <c r="EZ49" s="526">
        <v>235.63</v>
      </c>
      <c r="FA49" s="522">
        <v>4</v>
      </c>
      <c r="FB49" s="526">
        <v>0</v>
      </c>
      <c r="FC49" s="522">
        <v>0</v>
      </c>
      <c r="FD49" s="526">
        <v>0</v>
      </c>
      <c r="FE49" s="522">
        <v>0</v>
      </c>
      <c r="FF49" s="526">
        <v>233.29</v>
      </c>
      <c r="FG49" s="522">
        <v>30</v>
      </c>
      <c r="FH49" s="526">
        <v>233.29</v>
      </c>
      <c r="FI49" s="522">
        <v>30</v>
      </c>
      <c r="FJ49" s="522">
        <v>0</v>
      </c>
      <c r="FK49" s="522">
        <v>1</v>
      </c>
      <c r="FL49" s="522">
        <v>1</v>
      </c>
      <c r="FM49" s="522">
        <v>0</v>
      </c>
      <c r="FN49" s="522">
        <v>0</v>
      </c>
      <c r="FO49" s="522">
        <v>0</v>
      </c>
      <c r="FP49" s="522">
        <v>3</v>
      </c>
      <c r="FQ49" s="522">
        <v>19</v>
      </c>
      <c r="FR49" s="522">
        <v>9</v>
      </c>
    </row>
    <row r="50" spans="1:174" x14ac:dyDescent="0.25">
      <c r="A50" s="523" t="s">
        <v>9851</v>
      </c>
      <c r="B50" s="523" t="s">
        <v>9850</v>
      </c>
      <c r="C50" s="523" t="s">
        <v>2</v>
      </c>
      <c r="D50" s="522">
        <v>26108</v>
      </c>
      <c r="E50" s="522">
        <v>26131</v>
      </c>
      <c r="F50" s="522">
        <v>3</v>
      </c>
      <c r="G50" s="522">
        <v>3</v>
      </c>
      <c r="H50" s="522">
        <v>962</v>
      </c>
      <c r="I50" s="522">
        <v>755</v>
      </c>
      <c r="J50" s="522">
        <v>3199</v>
      </c>
      <c r="K50" s="522">
        <v>3080</v>
      </c>
      <c r="L50" s="522">
        <v>2954</v>
      </c>
      <c r="M50" s="522">
        <v>35</v>
      </c>
      <c r="N50" s="522">
        <v>33226</v>
      </c>
      <c r="O50" s="522">
        <v>30004</v>
      </c>
      <c r="P50" s="522">
        <v>30272</v>
      </c>
      <c r="Q50" s="522">
        <v>120</v>
      </c>
      <c r="R50" s="523">
        <v>14</v>
      </c>
      <c r="S50" s="523">
        <v>47</v>
      </c>
      <c r="T50" s="523">
        <v>330</v>
      </c>
      <c r="U50" s="523">
        <v>32896</v>
      </c>
      <c r="V50" s="522">
        <v>26088</v>
      </c>
      <c r="W50" s="522">
        <v>121</v>
      </c>
      <c r="X50" s="522">
        <v>153</v>
      </c>
      <c r="Y50" s="522">
        <v>274</v>
      </c>
      <c r="Z50" s="524">
        <v>126.76</v>
      </c>
      <c r="AA50" s="524">
        <v>130.02000000000001</v>
      </c>
      <c r="AB50" s="524">
        <v>6.38</v>
      </c>
      <c r="AC50" s="524">
        <v>131.66</v>
      </c>
      <c r="AD50" s="524">
        <v>21080</v>
      </c>
      <c r="AE50" s="525">
        <v>119.12</v>
      </c>
      <c r="AF50" s="525">
        <v>112.4</v>
      </c>
      <c r="AG50" s="525">
        <v>41.61</v>
      </c>
      <c r="AH50" s="525">
        <v>159.38999999999999</v>
      </c>
      <c r="AI50" s="525">
        <v>3790</v>
      </c>
      <c r="AJ50" s="525">
        <v>194.74</v>
      </c>
      <c r="AK50" s="525">
        <v>4766</v>
      </c>
      <c r="AL50" s="525">
        <v>196.56</v>
      </c>
      <c r="AM50" s="525">
        <v>73</v>
      </c>
      <c r="AN50" s="526">
        <v>0</v>
      </c>
      <c r="AO50" s="526">
        <v>0</v>
      </c>
      <c r="AP50" s="526">
        <v>0</v>
      </c>
      <c r="AQ50" s="526">
        <v>0</v>
      </c>
      <c r="AR50" s="522">
        <v>0</v>
      </c>
      <c r="AS50" s="526">
        <v>86.92</v>
      </c>
      <c r="AT50" s="526">
        <v>87.37</v>
      </c>
      <c r="AU50" s="526">
        <v>23.82</v>
      </c>
      <c r="AV50" s="526">
        <v>109.56</v>
      </c>
      <c r="AW50" s="522">
        <v>261</v>
      </c>
      <c r="AX50" s="526">
        <v>108.07</v>
      </c>
      <c r="AY50" s="526">
        <v>109.88</v>
      </c>
      <c r="AZ50" s="526">
        <v>10.210000000000001</v>
      </c>
      <c r="BA50" s="526">
        <v>117.4</v>
      </c>
      <c r="BB50" s="522">
        <v>4762</v>
      </c>
      <c r="BC50" s="526">
        <v>124.03</v>
      </c>
      <c r="BD50" s="526">
        <v>126.37</v>
      </c>
      <c r="BE50" s="526">
        <v>6.79</v>
      </c>
      <c r="BF50" s="526">
        <v>129.19</v>
      </c>
      <c r="BG50" s="522">
        <v>7679</v>
      </c>
      <c r="BH50" s="526">
        <v>139.94</v>
      </c>
      <c r="BI50" s="526">
        <v>144.82</v>
      </c>
      <c r="BJ50" s="526">
        <v>2.2799999999999998</v>
      </c>
      <c r="BK50" s="526">
        <v>141.49</v>
      </c>
      <c r="BL50" s="522">
        <v>7863</v>
      </c>
      <c r="BM50" s="526">
        <v>158.46</v>
      </c>
      <c r="BN50" s="526">
        <v>163.55000000000001</v>
      </c>
      <c r="BO50" s="526">
        <v>2.94</v>
      </c>
      <c r="BP50" s="526">
        <v>160.83000000000001</v>
      </c>
      <c r="BQ50" s="522">
        <v>494</v>
      </c>
      <c r="BR50" s="526">
        <v>170.29</v>
      </c>
      <c r="BS50" s="526">
        <v>181.2</v>
      </c>
      <c r="BT50" s="526">
        <v>3.43</v>
      </c>
      <c r="BU50" s="526">
        <v>172.2</v>
      </c>
      <c r="BV50" s="522">
        <v>18</v>
      </c>
      <c r="BW50" s="526">
        <v>199.65</v>
      </c>
      <c r="BX50" s="526">
        <v>221.7</v>
      </c>
      <c r="BY50" s="526">
        <v>5.07</v>
      </c>
      <c r="BZ50" s="526">
        <v>203.02</v>
      </c>
      <c r="CA50" s="522">
        <v>3</v>
      </c>
      <c r="CB50" s="526">
        <v>126.76</v>
      </c>
      <c r="CC50" s="526">
        <v>130.02000000000001</v>
      </c>
      <c r="CD50" s="526">
        <v>6.38</v>
      </c>
      <c r="CE50" s="526">
        <v>131.66</v>
      </c>
      <c r="CF50" s="522">
        <v>21080</v>
      </c>
      <c r="CG50" s="526">
        <v>126.76</v>
      </c>
      <c r="CH50" s="526">
        <v>130.02000000000001</v>
      </c>
      <c r="CI50" s="526">
        <v>6.38</v>
      </c>
      <c r="CJ50" s="526">
        <v>131.66</v>
      </c>
      <c r="CK50" s="522">
        <v>21080</v>
      </c>
      <c r="CL50" s="526">
        <v>145.44</v>
      </c>
      <c r="CM50" s="526">
        <v>99.28</v>
      </c>
      <c r="CN50" s="526">
        <v>117.12</v>
      </c>
      <c r="CO50" s="526">
        <v>249.3</v>
      </c>
      <c r="CP50" s="522">
        <v>265</v>
      </c>
      <c r="CQ50" s="526">
        <v>100.48</v>
      </c>
      <c r="CR50" s="526">
        <v>94.93</v>
      </c>
      <c r="CS50" s="526">
        <v>46.43</v>
      </c>
      <c r="CT50" s="526">
        <v>146.58000000000001</v>
      </c>
      <c r="CU50" s="522">
        <v>140</v>
      </c>
      <c r="CV50" s="526">
        <v>115.57</v>
      </c>
      <c r="CW50" s="526">
        <v>110.42</v>
      </c>
      <c r="CX50" s="526">
        <v>34.549999999999997</v>
      </c>
      <c r="CY50" s="526">
        <v>149.11000000000001</v>
      </c>
      <c r="CZ50" s="522">
        <v>2934</v>
      </c>
      <c r="DA50" s="526">
        <v>131.99</v>
      </c>
      <c r="DB50" s="526">
        <v>137.56</v>
      </c>
      <c r="DC50" s="526">
        <v>46.11</v>
      </c>
      <c r="DD50" s="526">
        <v>177.57</v>
      </c>
      <c r="DE50" s="522">
        <v>437</v>
      </c>
      <c r="DF50" s="526">
        <v>149.72</v>
      </c>
      <c r="DG50" s="526">
        <v>154.94</v>
      </c>
      <c r="DH50" s="526">
        <v>23.23</v>
      </c>
      <c r="DI50" s="526">
        <v>171.29</v>
      </c>
      <c r="DJ50" s="522">
        <v>14</v>
      </c>
      <c r="DK50" s="526">
        <v>0</v>
      </c>
      <c r="DL50" s="526">
        <v>0</v>
      </c>
      <c r="DM50" s="526">
        <v>0</v>
      </c>
      <c r="DN50" s="526">
        <v>0</v>
      </c>
      <c r="DO50" s="522">
        <v>0</v>
      </c>
      <c r="DP50" s="526">
        <v>117.14</v>
      </c>
      <c r="DQ50" s="526">
        <v>113.13</v>
      </c>
      <c r="DR50" s="526">
        <v>36.44</v>
      </c>
      <c r="DS50" s="526">
        <v>152.63</v>
      </c>
      <c r="DT50" s="522">
        <v>3525</v>
      </c>
      <c r="DU50" s="526">
        <v>119.12</v>
      </c>
      <c r="DV50" s="526">
        <v>112.4</v>
      </c>
      <c r="DW50" s="526">
        <v>41.61</v>
      </c>
      <c r="DX50" s="526">
        <v>159.38999999999999</v>
      </c>
      <c r="DY50" s="522">
        <v>3790</v>
      </c>
      <c r="DZ50" s="526">
        <v>0</v>
      </c>
      <c r="EA50" s="526">
        <v>0</v>
      </c>
      <c r="EB50" s="526">
        <v>132.63</v>
      </c>
      <c r="EC50" s="522">
        <v>5</v>
      </c>
      <c r="ED50" s="526">
        <v>155.76</v>
      </c>
      <c r="EE50" s="522">
        <v>963</v>
      </c>
      <c r="EF50" s="526">
        <v>189.78</v>
      </c>
      <c r="EG50" s="522">
        <v>2421</v>
      </c>
      <c r="EH50" s="526">
        <v>224.52</v>
      </c>
      <c r="EI50" s="522">
        <v>1216</v>
      </c>
      <c r="EJ50" s="526">
        <v>279.42</v>
      </c>
      <c r="EK50" s="522">
        <v>160</v>
      </c>
      <c r="EL50" s="526">
        <v>277.97000000000003</v>
      </c>
      <c r="EM50" s="522">
        <v>1</v>
      </c>
      <c r="EN50" s="526">
        <v>0</v>
      </c>
      <c r="EO50" s="522">
        <v>0</v>
      </c>
      <c r="EP50" s="526">
        <v>194.74</v>
      </c>
      <c r="EQ50" s="522">
        <v>4766</v>
      </c>
      <c r="ER50" s="526">
        <v>194.74</v>
      </c>
      <c r="ES50" s="522">
        <v>4766</v>
      </c>
      <c r="ET50" s="526">
        <v>185.34</v>
      </c>
      <c r="EU50" s="526">
        <v>30</v>
      </c>
      <c r="EV50" s="526">
        <v>281.25</v>
      </c>
      <c r="EW50" s="522">
        <v>12</v>
      </c>
      <c r="EX50" s="526">
        <v>174.64</v>
      </c>
      <c r="EY50" s="522">
        <v>31</v>
      </c>
      <c r="EZ50" s="526">
        <v>0</v>
      </c>
      <c r="FA50" s="522">
        <v>0</v>
      </c>
      <c r="FB50" s="526">
        <v>0</v>
      </c>
      <c r="FC50" s="522">
        <v>0</v>
      </c>
      <c r="FD50" s="526">
        <v>0</v>
      </c>
      <c r="FE50" s="522">
        <v>0</v>
      </c>
      <c r="FF50" s="526">
        <v>204.39</v>
      </c>
      <c r="FG50" s="522">
        <v>43</v>
      </c>
      <c r="FH50" s="526">
        <v>196.56</v>
      </c>
      <c r="FI50" s="522">
        <v>73</v>
      </c>
      <c r="FJ50" s="522">
        <v>0</v>
      </c>
      <c r="FK50" s="522">
        <v>20</v>
      </c>
      <c r="FL50" s="522">
        <v>13</v>
      </c>
      <c r="FM50" s="522">
        <v>0</v>
      </c>
      <c r="FN50" s="522">
        <v>6</v>
      </c>
      <c r="FO50" s="522">
        <v>1</v>
      </c>
      <c r="FP50" s="522">
        <v>127</v>
      </c>
      <c r="FQ50" s="522">
        <v>191</v>
      </c>
      <c r="FR50" s="522">
        <v>41</v>
      </c>
    </row>
    <row r="51" spans="1:174" x14ac:dyDescent="0.25">
      <c r="A51" s="523" t="s">
        <v>361</v>
      </c>
      <c r="B51" s="523" t="s">
        <v>362</v>
      </c>
      <c r="C51" s="523" t="s">
        <v>286</v>
      </c>
      <c r="D51" s="522">
        <v>4667</v>
      </c>
      <c r="E51" s="522">
        <v>4661</v>
      </c>
      <c r="F51" s="522">
        <v>0</v>
      </c>
      <c r="G51" s="522">
        <v>0</v>
      </c>
      <c r="H51" s="522">
        <v>322</v>
      </c>
      <c r="I51" s="522">
        <v>72</v>
      </c>
      <c r="J51" s="522">
        <v>1503</v>
      </c>
      <c r="K51" s="522">
        <v>1503</v>
      </c>
      <c r="L51" s="522">
        <v>62</v>
      </c>
      <c r="M51" s="522">
        <v>0</v>
      </c>
      <c r="N51" s="522">
        <v>6554</v>
      </c>
      <c r="O51" s="522">
        <v>6236</v>
      </c>
      <c r="P51" s="522">
        <v>6492</v>
      </c>
      <c r="Q51" s="522">
        <v>26</v>
      </c>
      <c r="R51" s="523">
        <v>6</v>
      </c>
      <c r="S51" s="523">
        <v>15</v>
      </c>
      <c r="T51" s="523">
        <v>87</v>
      </c>
      <c r="U51" s="523">
        <v>6467</v>
      </c>
      <c r="V51" s="522">
        <v>4656</v>
      </c>
      <c r="W51" s="522">
        <v>74</v>
      </c>
      <c r="X51" s="522">
        <v>9</v>
      </c>
      <c r="Y51" s="522">
        <v>83</v>
      </c>
      <c r="Z51" s="524">
        <v>92.17</v>
      </c>
      <c r="AA51" s="524">
        <v>91.39</v>
      </c>
      <c r="AB51" s="524">
        <v>3.07</v>
      </c>
      <c r="AC51" s="524">
        <v>94.96</v>
      </c>
      <c r="AD51" s="524">
        <v>3760</v>
      </c>
      <c r="AE51" s="525">
        <v>92.37</v>
      </c>
      <c r="AF51" s="525">
        <v>80.64</v>
      </c>
      <c r="AG51" s="525">
        <v>38.58</v>
      </c>
      <c r="AH51" s="525">
        <v>130.96</v>
      </c>
      <c r="AI51" s="525">
        <v>1595</v>
      </c>
      <c r="AJ51" s="525">
        <v>110.02</v>
      </c>
      <c r="AK51" s="525">
        <v>891</v>
      </c>
      <c r="AL51" s="525">
        <v>286.61</v>
      </c>
      <c r="AM51" s="525">
        <v>154</v>
      </c>
      <c r="AN51" s="526">
        <v>0</v>
      </c>
      <c r="AO51" s="526">
        <v>0</v>
      </c>
      <c r="AP51" s="526">
        <v>0</v>
      </c>
      <c r="AQ51" s="526">
        <v>0</v>
      </c>
      <c r="AR51" s="522">
        <v>0</v>
      </c>
      <c r="AS51" s="526">
        <v>64.28</v>
      </c>
      <c r="AT51" s="526">
        <v>63.04</v>
      </c>
      <c r="AU51" s="526">
        <v>23.92</v>
      </c>
      <c r="AV51" s="526">
        <v>88.2</v>
      </c>
      <c r="AW51" s="522">
        <v>21</v>
      </c>
      <c r="AX51" s="526">
        <v>77.459999999999994</v>
      </c>
      <c r="AY51" s="526">
        <v>76.45</v>
      </c>
      <c r="AZ51" s="526">
        <v>5.08</v>
      </c>
      <c r="BA51" s="526">
        <v>82.39</v>
      </c>
      <c r="BB51" s="522">
        <v>889</v>
      </c>
      <c r="BC51" s="526">
        <v>90.74</v>
      </c>
      <c r="BD51" s="526">
        <v>89.95</v>
      </c>
      <c r="BE51" s="526">
        <v>2.2400000000000002</v>
      </c>
      <c r="BF51" s="526">
        <v>92.54</v>
      </c>
      <c r="BG51" s="522">
        <v>1237</v>
      </c>
      <c r="BH51" s="526">
        <v>100.76</v>
      </c>
      <c r="BI51" s="526">
        <v>100.08</v>
      </c>
      <c r="BJ51" s="526">
        <v>2.17</v>
      </c>
      <c r="BK51" s="526">
        <v>102.84</v>
      </c>
      <c r="BL51" s="522">
        <v>1439</v>
      </c>
      <c r="BM51" s="526">
        <v>109.55</v>
      </c>
      <c r="BN51" s="526">
        <v>109.04</v>
      </c>
      <c r="BO51" s="526">
        <v>2.37</v>
      </c>
      <c r="BP51" s="526">
        <v>111.7</v>
      </c>
      <c r="BQ51" s="522">
        <v>165</v>
      </c>
      <c r="BR51" s="526">
        <v>116.65</v>
      </c>
      <c r="BS51" s="526">
        <v>114.8</v>
      </c>
      <c r="BT51" s="526">
        <v>1.97</v>
      </c>
      <c r="BU51" s="526">
        <v>118.37</v>
      </c>
      <c r="BV51" s="522">
        <v>8</v>
      </c>
      <c r="BW51" s="526">
        <v>121.02</v>
      </c>
      <c r="BX51" s="526">
        <v>124.91</v>
      </c>
      <c r="BY51" s="526">
        <v>2.39</v>
      </c>
      <c r="BZ51" s="526">
        <v>123.41</v>
      </c>
      <c r="CA51" s="522">
        <v>1</v>
      </c>
      <c r="CB51" s="526">
        <v>92.17</v>
      </c>
      <c r="CC51" s="526">
        <v>91.39</v>
      </c>
      <c r="CD51" s="526">
        <v>3.07</v>
      </c>
      <c r="CE51" s="526">
        <v>94.96</v>
      </c>
      <c r="CF51" s="522">
        <v>3760</v>
      </c>
      <c r="CG51" s="526">
        <v>92.17</v>
      </c>
      <c r="CH51" s="526">
        <v>91.39</v>
      </c>
      <c r="CI51" s="526">
        <v>3.07</v>
      </c>
      <c r="CJ51" s="526">
        <v>94.96</v>
      </c>
      <c r="CK51" s="522">
        <v>3760</v>
      </c>
      <c r="CL51" s="526">
        <v>131.71</v>
      </c>
      <c r="CM51" s="526">
        <v>73.959999999999994</v>
      </c>
      <c r="CN51" s="526">
        <v>199.88</v>
      </c>
      <c r="CO51" s="526">
        <v>331.58</v>
      </c>
      <c r="CP51" s="522">
        <v>85</v>
      </c>
      <c r="CQ51" s="526">
        <v>79.819999999999993</v>
      </c>
      <c r="CR51" s="526">
        <v>74.19</v>
      </c>
      <c r="CS51" s="526">
        <v>41.07</v>
      </c>
      <c r="CT51" s="526">
        <v>120.89</v>
      </c>
      <c r="CU51" s="522">
        <v>90</v>
      </c>
      <c r="CV51" s="526">
        <v>89.65</v>
      </c>
      <c r="CW51" s="526">
        <v>80.2</v>
      </c>
      <c r="CX51" s="526">
        <v>29.16</v>
      </c>
      <c r="CY51" s="526">
        <v>118.81</v>
      </c>
      <c r="CZ51" s="522">
        <v>1307</v>
      </c>
      <c r="DA51" s="526">
        <v>103.86</v>
      </c>
      <c r="DB51" s="526">
        <v>93.94</v>
      </c>
      <c r="DC51" s="526">
        <v>19.48</v>
      </c>
      <c r="DD51" s="526">
        <v>123.35</v>
      </c>
      <c r="DE51" s="522">
        <v>108</v>
      </c>
      <c r="DF51" s="526">
        <v>112.09</v>
      </c>
      <c r="DG51" s="526">
        <v>105.07</v>
      </c>
      <c r="DH51" s="526">
        <v>127.91</v>
      </c>
      <c r="DI51" s="526">
        <v>239.99</v>
      </c>
      <c r="DJ51" s="522">
        <v>5</v>
      </c>
      <c r="DK51" s="526">
        <v>0</v>
      </c>
      <c r="DL51" s="526">
        <v>0</v>
      </c>
      <c r="DM51" s="526">
        <v>0</v>
      </c>
      <c r="DN51" s="526">
        <v>0</v>
      </c>
      <c r="DO51" s="522">
        <v>0</v>
      </c>
      <c r="DP51" s="526">
        <v>90.16</v>
      </c>
      <c r="DQ51" s="526">
        <v>80.91</v>
      </c>
      <c r="DR51" s="526">
        <v>29.5</v>
      </c>
      <c r="DS51" s="526">
        <v>119.66</v>
      </c>
      <c r="DT51" s="522">
        <v>1510</v>
      </c>
      <c r="DU51" s="526">
        <v>92.37</v>
      </c>
      <c r="DV51" s="526">
        <v>80.64</v>
      </c>
      <c r="DW51" s="526">
        <v>38.58</v>
      </c>
      <c r="DX51" s="526">
        <v>130.96</v>
      </c>
      <c r="DY51" s="522">
        <v>1595</v>
      </c>
      <c r="DZ51" s="526">
        <v>0</v>
      </c>
      <c r="EA51" s="526">
        <v>0</v>
      </c>
      <c r="EB51" s="526">
        <v>0</v>
      </c>
      <c r="EC51" s="522">
        <v>0</v>
      </c>
      <c r="ED51" s="526">
        <v>100.89</v>
      </c>
      <c r="EE51" s="522">
        <v>82</v>
      </c>
      <c r="EF51" s="526">
        <v>106.48</v>
      </c>
      <c r="EG51" s="522">
        <v>552</v>
      </c>
      <c r="EH51" s="526">
        <v>119.4</v>
      </c>
      <c r="EI51" s="522">
        <v>234</v>
      </c>
      <c r="EJ51" s="526">
        <v>128.83000000000001</v>
      </c>
      <c r="EK51" s="522">
        <v>18</v>
      </c>
      <c r="EL51" s="526">
        <v>143.74</v>
      </c>
      <c r="EM51" s="522">
        <v>5</v>
      </c>
      <c r="EN51" s="526">
        <v>0</v>
      </c>
      <c r="EO51" s="522">
        <v>0</v>
      </c>
      <c r="EP51" s="526">
        <v>110.02</v>
      </c>
      <c r="EQ51" s="522">
        <v>891</v>
      </c>
      <c r="ER51" s="526">
        <v>110.02</v>
      </c>
      <c r="ES51" s="522">
        <v>891</v>
      </c>
      <c r="ET51" s="526">
        <v>274.79000000000002</v>
      </c>
      <c r="EU51" s="526">
        <v>6</v>
      </c>
      <c r="EV51" s="526">
        <v>0</v>
      </c>
      <c r="EW51" s="522">
        <v>0</v>
      </c>
      <c r="EX51" s="526">
        <v>348.07</v>
      </c>
      <c r="EY51" s="522">
        <v>68</v>
      </c>
      <c r="EZ51" s="526">
        <v>234.53</v>
      </c>
      <c r="FA51" s="522">
        <v>79</v>
      </c>
      <c r="FB51" s="526">
        <v>293.3</v>
      </c>
      <c r="FC51" s="522">
        <v>1</v>
      </c>
      <c r="FD51" s="526">
        <v>0</v>
      </c>
      <c r="FE51" s="522">
        <v>0</v>
      </c>
      <c r="FF51" s="526">
        <v>287.08999999999997</v>
      </c>
      <c r="FG51" s="522">
        <v>148</v>
      </c>
      <c r="FH51" s="526">
        <v>286.61</v>
      </c>
      <c r="FI51" s="522">
        <v>154</v>
      </c>
      <c r="FJ51" s="522">
        <v>0</v>
      </c>
      <c r="FK51" s="522">
        <v>15</v>
      </c>
      <c r="FL51" s="522">
        <v>6</v>
      </c>
      <c r="FM51" s="522">
        <v>0</v>
      </c>
      <c r="FN51" s="522">
        <v>9</v>
      </c>
      <c r="FO51" s="522">
        <v>0</v>
      </c>
      <c r="FP51" s="522">
        <v>0</v>
      </c>
      <c r="FQ51" s="522">
        <v>1</v>
      </c>
      <c r="FR51" s="522">
        <v>0</v>
      </c>
    </row>
    <row r="52" spans="1:174" x14ac:dyDescent="0.25">
      <c r="A52" s="523" t="s">
        <v>363</v>
      </c>
      <c r="B52" s="523" t="s">
        <v>364</v>
      </c>
      <c r="C52" s="523" t="s">
        <v>286</v>
      </c>
      <c r="D52" s="522">
        <v>3981</v>
      </c>
      <c r="E52" s="522">
        <v>3646</v>
      </c>
      <c r="F52" s="522">
        <v>0</v>
      </c>
      <c r="G52" s="522">
        <v>0</v>
      </c>
      <c r="H52" s="522">
        <v>472</v>
      </c>
      <c r="I52" s="522">
        <v>160</v>
      </c>
      <c r="J52" s="522">
        <v>628</v>
      </c>
      <c r="K52" s="522">
        <v>523</v>
      </c>
      <c r="L52" s="522">
        <v>194</v>
      </c>
      <c r="M52" s="522">
        <v>0</v>
      </c>
      <c r="N52" s="522">
        <v>5275</v>
      </c>
      <c r="O52" s="522">
        <v>4329</v>
      </c>
      <c r="P52" s="522">
        <v>5081</v>
      </c>
      <c r="Q52" s="522">
        <v>26</v>
      </c>
      <c r="R52" s="523">
        <v>12</v>
      </c>
      <c r="S52" s="523">
        <v>23</v>
      </c>
      <c r="T52" s="523">
        <v>595</v>
      </c>
      <c r="U52" s="523">
        <v>4680</v>
      </c>
      <c r="V52" s="522">
        <v>3680</v>
      </c>
      <c r="W52" s="522">
        <v>21</v>
      </c>
      <c r="X52" s="522">
        <v>24</v>
      </c>
      <c r="Y52" s="522">
        <v>45</v>
      </c>
      <c r="Z52" s="524">
        <v>93.88</v>
      </c>
      <c r="AA52" s="524">
        <v>94.58</v>
      </c>
      <c r="AB52" s="524">
        <v>8.2200000000000006</v>
      </c>
      <c r="AC52" s="524">
        <v>99.25</v>
      </c>
      <c r="AD52" s="524">
        <v>3069</v>
      </c>
      <c r="AE52" s="525">
        <v>102.09</v>
      </c>
      <c r="AF52" s="525">
        <v>87.84</v>
      </c>
      <c r="AG52" s="525">
        <v>56.88</v>
      </c>
      <c r="AH52" s="525">
        <v>154.06</v>
      </c>
      <c r="AI52" s="525">
        <v>788</v>
      </c>
      <c r="AJ52" s="525">
        <v>119.82</v>
      </c>
      <c r="AK52" s="525">
        <v>687</v>
      </c>
      <c r="AL52" s="525">
        <v>147.86000000000001</v>
      </c>
      <c r="AM52" s="525">
        <v>17</v>
      </c>
      <c r="AN52" s="526">
        <v>0</v>
      </c>
      <c r="AO52" s="526">
        <v>0</v>
      </c>
      <c r="AP52" s="526">
        <v>0</v>
      </c>
      <c r="AQ52" s="526">
        <v>0</v>
      </c>
      <c r="AR52" s="522">
        <v>0</v>
      </c>
      <c r="AS52" s="526">
        <v>73.67</v>
      </c>
      <c r="AT52" s="526">
        <v>74.44</v>
      </c>
      <c r="AU52" s="526">
        <v>8.24</v>
      </c>
      <c r="AV52" s="526">
        <v>81.91</v>
      </c>
      <c r="AW52" s="522">
        <v>13</v>
      </c>
      <c r="AX52" s="526">
        <v>82.63</v>
      </c>
      <c r="AY52" s="526">
        <v>82.91</v>
      </c>
      <c r="AZ52" s="526">
        <v>9.81</v>
      </c>
      <c r="BA52" s="526">
        <v>91.69</v>
      </c>
      <c r="BB52" s="522">
        <v>837</v>
      </c>
      <c r="BC52" s="526">
        <v>94.08</v>
      </c>
      <c r="BD52" s="526">
        <v>94.56</v>
      </c>
      <c r="BE52" s="526">
        <v>8.4700000000000006</v>
      </c>
      <c r="BF52" s="526">
        <v>99.46</v>
      </c>
      <c r="BG52" s="522">
        <v>1488</v>
      </c>
      <c r="BH52" s="526">
        <v>105.75</v>
      </c>
      <c r="BI52" s="526">
        <v>107.32</v>
      </c>
      <c r="BJ52" s="526">
        <v>2.77</v>
      </c>
      <c r="BK52" s="526">
        <v>106.73</v>
      </c>
      <c r="BL52" s="522">
        <v>676</v>
      </c>
      <c r="BM52" s="526">
        <v>116.89</v>
      </c>
      <c r="BN52" s="526">
        <v>118.91</v>
      </c>
      <c r="BO52" s="526">
        <v>3.41</v>
      </c>
      <c r="BP52" s="526">
        <v>118.81</v>
      </c>
      <c r="BQ52" s="522">
        <v>48</v>
      </c>
      <c r="BR52" s="526">
        <v>131.03</v>
      </c>
      <c r="BS52" s="526">
        <v>135.07</v>
      </c>
      <c r="BT52" s="526">
        <v>3.08</v>
      </c>
      <c r="BU52" s="526">
        <v>132.79</v>
      </c>
      <c r="BV52" s="522">
        <v>7</v>
      </c>
      <c r="BW52" s="526">
        <v>0</v>
      </c>
      <c r="BX52" s="526">
        <v>0</v>
      </c>
      <c r="BY52" s="526">
        <v>0</v>
      </c>
      <c r="BZ52" s="526">
        <v>0</v>
      </c>
      <c r="CA52" s="522">
        <v>0</v>
      </c>
      <c r="CB52" s="526">
        <v>93.88</v>
      </c>
      <c r="CC52" s="526">
        <v>94.58</v>
      </c>
      <c r="CD52" s="526">
        <v>8.2200000000000006</v>
      </c>
      <c r="CE52" s="526">
        <v>99.25</v>
      </c>
      <c r="CF52" s="522">
        <v>3069</v>
      </c>
      <c r="CG52" s="526">
        <v>93.88</v>
      </c>
      <c r="CH52" s="526">
        <v>94.58</v>
      </c>
      <c r="CI52" s="526">
        <v>8.2200000000000006</v>
      </c>
      <c r="CJ52" s="526">
        <v>99.25</v>
      </c>
      <c r="CK52" s="522">
        <v>3069</v>
      </c>
      <c r="CL52" s="526">
        <v>109.97</v>
      </c>
      <c r="CM52" s="526">
        <v>80.84</v>
      </c>
      <c r="CN52" s="526">
        <v>94.31</v>
      </c>
      <c r="CO52" s="526">
        <v>183.91</v>
      </c>
      <c r="CP52" s="522">
        <v>125</v>
      </c>
      <c r="CQ52" s="526">
        <v>84.46</v>
      </c>
      <c r="CR52" s="526">
        <v>78.319999999999993</v>
      </c>
      <c r="CS52" s="526">
        <v>57.34</v>
      </c>
      <c r="CT52" s="526">
        <v>140.41</v>
      </c>
      <c r="CU52" s="522">
        <v>207</v>
      </c>
      <c r="CV52" s="526">
        <v>105.76</v>
      </c>
      <c r="CW52" s="526">
        <v>92.77</v>
      </c>
      <c r="CX52" s="526">
        <v>50.1</v>
      </c>
      <c r="CY52" s="526">
        <v>151.78</v>
      </c>
      <c r="CZ52" s="522">
        <v>404</v>
      </c>
      <c r="DA52" s="526">
        <v>121.59</v>
      </c>
      <c r="DB52" s="526">
        <v>103.64</v>
      </c>
      <c r="DC52" s="526">
        <v>26.9</v>
      </c>
      <c r="DD52" s="526">
        <v>147.29</v>
      </c>
      <c r="DE52" s="522">
        <v>45</v>
      </c>
      <c r="DF52" s="526">
        <v>145.47999999999999</v>
      </c>
      <c r="DG52" s="526">
        <v>105.55</v>
      </c>
      <c r="DH52" s="526">
        <v>63.4</v>
      </c>
      <c r="DI52" s="526">
        <v>199.82</v>
      </c>
      <c r="DJ52" s="522">
        <v>7</v>
      </c>
      <c r="DK52" s="526">
        <v>0</v>
      </c>
      <c r="DL52" s="526">
        <v>0</v>
      </c>
      <c r="DM52" s="526">
        <v>0</v>
      </c>
      <c r="DN52" s="526">
        <v>0</v>
      </c>
      <c r="DO52" s="522">
        <v>0</v>
      </c>
      <c r="DP52" s="526">
        <v>100.61</v>
      </c>
      <c r="DQ52" s="526">
        <v>88.89</v>
      </c>
      <c r="DR52" s="526">
        <v>50.98</v>
      </c>
      <c r="DS52" s="526">
        <v>148.43</v>
      </c>
      <c r="DT52" s="522">
        <v>663</v>
      </c>
      <c r="DU52" s="526">
        <v>102.09</v>
      </c>
      <c r="DV52" s="526">
        <v>87.84</v>
      </c>
      <c r="DW52" s="526">
        <v>56.88</v>
      </c>
      <c r="DX52" s="526">
        <v>154.06</v>
      </c>
      <c r="DY52" s="522">
        <v>788</v>
      </c>
      <c r="DZ52" s="526">
        <v>0</v>
      </c>
      <c r="EA52" s="526">
        <v>0</v>
      </c>
      <c r="EB52" s="526">
        <v>0</v>
      </c>
      <c r="EC52" s="522">
        <v>0</v>
      </c>
      <c r="ED52" s="526">
        <v>101.19</v>
      </c>
      <c r="EE52" s="522">
        <v>132</v>
      </c>
      <c r="EF52" s="526">
        <v>118.97</v>
      </c>
      <c r="EG52" s="522">
        <v>316</v>
      </c>
      <c r="EH52" s="526">
        <v>130.66</v>
      </c>
      <c r="EI52" s="522">
        <v>229</v>
      </c>
      <c r="EJ52" s="526">
        <v>144.77000000000001</v>
      </c>
      <c r="EK52" s="522">
        <v>9</v>
      </c>
      <c r="EL52" s="526">
        <v>138.44</v>
      </c>
      <c r="EM52" s="522">
        <v>1</v>
      </c>
      <c r="EN52" s="526">
        <v>0</v>
      </c>
      <c r="EO52" s="522">
        <v>0</v>
      </c>
      <c r="EP52" s="526">
        <v>119.82</v>
      </c>
      <c r="EQ52" s="522">
        <v>687</v>
      </c>
      <c r="ER52" s="526">
        <v>119.82</v>
      </c>
      <c r="ES52" s="522">
        <v>687</v>
      </c>
      <c r="ET52" s="526">
        <v>0</v>
      </c>
      <c r="EU52" s="526">
        <v>0</v>
      </c>
      <c r="EV52" s="526">
        <v>0</v>
      </c>
      <c r="EW52" s="522">
        <v>0</v>
      </c>
      <c r="EX52" s="526">
        <v>146.54</v>
      </c>
      <c r="EY52" s="522">
        <v>12</v>
      </c>
      <c r="EZ52" s="526">
        <v>151.02000000000001</v>
      </c>
      <c r="FA52" s="522">
        <v>5</v>
      </c>
      <c r="FB52" s="526">
        <v>0</v>
      </c>
      <c r="FC52" s="522">
        <v>0</v>
      </c>
      <c r="FD52" s="526">
        <v>0</v>
      </c>
      <c r="FE52" s="522">
        <v>0</v>
      </c>
      <c r="FF52" s="526">
        <v>147.86000000000001</v>
      </c>
      <c r="FG52" s="522">
        <v>17</v>
      </c>
      <c r="FH52" s="526">
        <v>147.86000000000001</v>
      </c>
      <c r="FI52" s="522">
        <v>17</v>
      </c>
      <c r="FJ52" s="522">
        <v>0</v>
      </c>
      <c r="FK52" s="522">
        <v>3</v>
      </c>
      <c r="FL52" s="522">
        <v>2</v>
      </c>
      <c r="FM52" s="522">
        <v>0</v>
      </c>
      <c r="FN52" s="522">
        <v>1</v>
      </c>
      <c r="FO52" s="522">
        <v>0</v>
      </c>
      <c r="FP52" s="522">
        <v>0</v>
      </c>
      <c r="FQ52" s="522">
        <v>8</v>
      </c>
      <c r="FR52" s="522">
        <v>2</v>
      </c>
    </row>
    <row r="53" spans="1:174" x14ac:dyDescent="0.25">
      <c r="A53" s="523" t="s">
        <v>365</v>
      </c>
      <c r="B53" s="523" t="s">
        <v>366</v>
      </c>
      <c r="C53" s="523" t="s">
        <v>289</v>
      </c>
      <c r="D53" s="522">
        <v>12702</v>
      </c>
      <c r="E53" s="522">
        <v>12676</v>
      </c>
      <c r="F53" s="522">
        <v>0</v>
      </c>
      <c r="G53" s="522">
        <v>0</v>
      </c>
      <c r="H53" s="522">
        <v>492</v>
      </c>
      <c r="I53" s="522">
        <v>270</v>
      </c>
      <c r="J53" s="522">
        <v>898</v>
      </c>
      <c r="K53" s="522">
        <v>862</v>
      </c>
      <c r="L53" s="522">
        <v>282</v>
      </c>
      <c r="M53" s="522">
        <v>0</v>
      </c>
      <c r="N53" s="522">
        <v>14374</v>
      </c>
      <c r="O53" s="522">
        <v>13808</v>
      </c>
      <c r="P53" s="522">
        <v>14092</v>
      </c>
      <c r="Q53" s="522">
        <v>24</v>
      </c>
      <c r="R53" s="523">
        <v>12</v>
      </c>
      <c r="S53" s="523">
        <v>22</v>
      </c>
      <c r="T53" s="523">
        <v>230</v>
      </c>
      <c r="U53" s="523">
        <v>14144</v>
      </c>
      <c r="V53" s="522">
        <v>12672</v>
      </c>
      <c r="W53" s="522">
        <v>136</v>
      </c>
      <c r="X53" s="522">
        <v>221</v>
      </c>
      <c r="Y53" s="522">
        <v>357</v>
      </c>
      <c r="Z53" s="524">
        <v>89.36</v>
      </c>
      <c r="AA53" s="524">
        <v>90.52</v>
      </c>
      <c r="AB53" s="524">
        <v>6.21</v>
      </c>
      <c r="AC53" s="524">
        <v>95.26</v>
      </c>
      <c r="AD53" s="524">
        <v>11747</v>
      </c>
      <c r="AE53" s="525">
        <v>107.78</v>
      </c>
      <c r="AF53" s="525">
        <v>89.56</v>
      </c>
      <c r="AG53" s="525">
        <v>52.34</v>
      </c>
      <c r="AH53" s="525">
        <v>159.88</v>
      </c>
      <c r="AI53" s="525">
        <v>1124</v>
      </c>
      <c r="AJ53" s="525">
        <v>117.77</v>
      </c>
      <c r="AK53" s="525">
        <v>878</v>
      </c>
      <c r="AL53" s="525">
        <v>253.89</v>
      </c>
      <c r="AM53" s="525">
        <v>127</v>
      </c>
      <c r="AN53" s="526">
        <v>0</v>
      </c>
      <c r="AO53" s="526">
        <v>0</v>
      </c>
      <c r="AP53" s="526">
        <v>0</v>
      </c>
      <c r="AQ53" s="526">
        <v>0</v>
      </c>
      <c r="AR53" s="522">
        <v>0</v>
      </c>
      <c r="AS53" s="526">
        <v>72.569999999999993</v>
      </c>
      <c r="AT53" s="526">
        <v>69.540000000000006</v>
      </c>
      <c r="AU53" s="526">
        <v>8.5399999999999991</v>
      </c>
      <c r="AV53" s="526">
        <v>81.099999999999994</v>
      </c>
      <c r="AW53" s="522">
        <v>32</v>
      </c>
      <c r="AX53" s="526">
        <v>79.81</v>
      </c>
      <c r="AY53" s="526">
        <v>79.88</v>
      </c>
      <c r="AZ53" s="526">
        <v>8.3800000000000008</v>
      </c>
      <c r="BA53" s="526">
        <v>88.16</v>
      </c>
      <c r="BB53" s="522">
        <v>5216</v>
      </c>
      <c r="BC53" s="526">
        <v>91.5</v>
      </c>
      <c r="BD53" s="526">
        <v>92.91</v>
      </c>
      <c r="BE53" s="526">
        <v>5.27</v>
      </c>
      <c r="BF53" s="526">
        <v>96.42</v>
      </c>
      <c r="BG53" s="522">
        <v>3503</v>
      </c>
      <c r="BH53" s="526">
        <v>101.51</v>
      </c>
      <c r="BI53" s="526">
        <v>104.61</v>
      </c>
      <c r="BJ53" s="526">
        <v>3.15</v>
      </c>
      <c r="BK53" s="526">
        <v>104.33</v>
      </c>
      <c r="BL53" s="522">
        <v>2641</v>
      </c>
      <c r="BM53" s="526">
        <v>116.93</v>
      </c>
      <c r="BN53" s="526">
        <v>117.6</v>
      </c>
      <c r="BO53" s="526">
        <v>3.15</v>
      </c>
      <c r="BP53" s="526">
        <v>119.74</v>
      </c>
      <c r="BQ53" s="522">
        <v>272</v>
      </c>
      <c r="BR53" s="526">
        <v>126.87</v>
      </c>
      <c r="BS53" s="526">
        <v>127.01</v>
      </c>
      <c r="BT53" s="526">
        <v>1.57</v>
      </c>
      <c r="BU53" s="526">
        <v>128.21</v>
      </c>
      <c r="BV53" s="522">
        <v>67</v>
      </c>
      <c r="BW53" s="526">
        <v>133.28</v>
      </c>
      <c r="BX53" s="526">
        <v>135.46</v>
      </c>
      <c r="BY53" s="526">
        <v>1.74</v>
      </c>
      <c r="BZ53" s="526">
        <v>134.69999999999999</v>
      </c>
      <c r="CA53" s="522">
        <v>16</v>
      </c>
      <c r="CB53" s="526">
        <v>89.36</v>
      </c>
      <c r="CC53" s="526">
        <v>90.52</v>
      </c>
      <c r="CD53" s="526">
        <v>6.21</v>
      </c>
      <c r="CE53" s="526">
        <v>95.26</v>
      </c>
      <c r="CF53" s="522">
        <v>11747</v>
      </c>
      <c r="CG53" s="526">
        <v>89.36</v>
      </c>
      <c r="CH53" s="526">
        <v>90.52</v>
      </c>
      <c r="CI53" s="526">
        <v>6.21</v>
      </c>
      <c r="CJ53" s="526">
        <v>95.26</v>
      </c>
      <c r="CK53" s="522">
        <v>11747</v>
      </c>
      <c r="CL53" s="526">
        <v>165.37</v>
      </c>
      <c r="CM53" s="526">
        <v>82.32</v>
      </c>
      <c r="CN53" s="526">
        <v>69.900000000000006</v>
      </c>
      <c r="CO53" s="526">
        <v>235.27</v>
      </c>
      <c r="CP53" s="522">
        <v>156</v>
      </c>
      <c r="CQ53" s="526">
        <v>97.31</v>
      </c>
      <c r="CR53" s="526">
        <v>90.5</v>
      </c>
      <c r="CS53" s="526">
        <v>65.849999999999994</v>
      </c>
      <c r="CT53" s="526">
        <v>161.76</v>
      </c>
      <c r="CU53" s="522">
        <v>47</v>
      </c>
      <c r="CV53" s="526">
        <v>95.53</v>
      </c>
      <c r="CW53" s="526">
        <v>85.51</v>
      </c>
      <c r="CX53" s="526">
        <v>42.21</v>
      </c>
      <c r="CY53" s="526">
        <v>137.52000000000001</v>
      </c>
      <c r="CZ53" s="522">
        <v>761</v>
      </c>
      <c r="DA53" s="526">
        <v>113.34</v>
      </c>
      <c r="DB53" s="526">
        <v>109.91</v>
      </c>
      <c r="DC53" s="526">
        <v>84.17</v>
      </c>
      <c r="DD53" s="526">
        <v>197.51</v>
      </c>
      <c r="DE53" s="522">
        <v>146</v>
      </c>
      <c r="DF53" s="526">
        <v>108.51</v>
      </c>
      <c r="DG53" s="526">
        <v>107.97</v>
      </c>
      <c r="DH53" s="526">
        <v>27.79</v>
      </c>
      <c r="DI53" s="526">
        <v>136.30000000000001</v>
      </c>
      <c r="DJ53" s="522">
        <v>14</v>
      </c>
      <c r="DK53" s="526">
        <v>0</v>
      </c>
      <c r="DL53" s="526">
        <v>0</v>
      </c>
      <c r="DM53" s="526">
        <v>0</v>
      </c>
      <c r="DN53" s="526">
        <v>0</v>
      </c>
      <c r="DO53" s="522">
        <v>0</v>
      </c>
      <c r="DP53" s="526">
        <v>98.49</v>
      </c>
      <c r="DQ53" s="526">
        <v>89.94</v>
      </c>
      <c r="DR53" s="526">
        <v>49.49</v>
      </c>
      <c r="DS53" s="526">
        <v>147.72999999999999</v>
      </c>
      <c r="DT53" s="522">
        <v>968</v>
      </c>
      <c r="DU53" s="526">
        <v>107.78</v>
      </c>
      <c r="DV53" s="526">
        <v>89.56</v>
      </c>
      <c r="DW53" s="526">
        <v>52.34</v>
      </c>
      <c r="DX53" s="526">
        <v>159.88</v>
      </c>
      <c r="DY53" s="522">
        <v>1124</v>
      </c>
      <c r="DZ53" s="526">
        <v>0</v>
      </c>
      <c r="EA53" s="526">
        <v>0</v>
      </c>
      <c r="EB53" s="526">
        <v>0</v>
      </c>
      <c r="EC53" s="522">
        <v>0</v>
      </c>
      <c r="ED53" s="526">
        <v>94.87</v>
      </c>
      <c r="EE53" s="522">
        <v>84</v>
      </c>
      <c r="EF53" s="526">
        <v>111.8</v>
      </c>
      <c r="EG53" s="522">
        <v>385</v>
      </c>
      <c r="EH53" s="526">
        <v>126.47</v>
      </c>
      <c r="EI53" s="522">
        <v>377</v>
      </c>
      <c r="EJ53" s="526">
        <v>143.41</v>
      </c>
      <c r="EK53" s="522">
        <v>27</v>
      </c>
      <c r="EL53" s="526">
        <v>167.95</v>
      </c>
      <c r="EM53" s="522">
        <v>5</v>
      </c>
      <c r="EN53" s="526">
        <v>0</v>
      </c>
      <c r="EO53" s="522">
        <v>0</v>
      </c>
      <c r="EP53" s="526">
        <v>117.77</v>
      </c>
      <c r="EQ53" s="522">
        <v>878</v>
      </c>
      <c r="ER53" s="526">
        <v>117.77</v>
      </c>
      <c r="ES53" s="522">
        <v>878</v>
      </c>
      <c r="ET53" s="526">
        <v>267.37</v>
      </c>
      <c r="EU53" s="526">
        <v>26</v>
      </c>
      <c r="EV53" s="526">
        <v>0</v>
      </c>
      <c r="EW53" s="522">
        <v>0</v>
      </c>
      <c r="EX53" s="526">
        <v>243.06</v>
      </c>
      <c r="EY53" s="522">
        <v>79</v>
      </c>
      <c r="EZ53" s="526">
        <v>276.85000000000002</v>
      </c>
      <c r="FA53" s="522">
        <v>22</v>
      </c>
      <c r="FB53" s="526">
        <v>0</v>
      </c>
      <c r="FC53" s="522">
        <v>0</v>
      </c>
      <c r="FD53" s="526">
        <v>0</v>
      </c>
      <c r="FE53" s="522">
        <v>0</v>
      </c>
      <c r="FF53" s="526">
        <v>250.42</v>
      </c>
      <c r="FG53" s="522">
        <v>101</v>
      </c>
      <c r="FH53" s="526">
        <v>253.89</v>
      </c>
      <c r="FI53" s="522">
        <v>127</v>
      </c>
      <c r="FJ53" s="522">
        <v>0</v>
      </c>
      <c r="FK53" s="522">
        <v>17</v>
      </c>
      <c r="FL53" s="522">
        <v>9</v>
      </c>
      <c r="FM53" s="522">
        <v>0</v>
      </c>
      <c r="FN53" s="522">
        <v>8</v>
      </c>
      <c r="FO53" s="522">
        <v>0</v>
      </c>
      <c r="FP53" s="522">
        <v>0</v>
      </c>
      <c r="FQ53" s="522">
        <v>13</v>
      </c>
      <c r="FR53" s="522">
        <v>9</v>
      </c>
    </row>
    <row r="54" spans="1:174" x14ac:dyDescent="0.25">
      <c r="A54" s="523" t="s">
        <v>367</v>
      </c>
      <c r="B54" s="523" t="s">
        <v>368</v>
      </c>
      <c r="C54" s="523" t="s">
        <v>283</v>
      </c>
      <c r="D54" s="522">
        <v>3888</v>
      </c>
      <c r="E54" s="522">
        <v>4019</v>
      </c>
      <c r="F54" s="522">
        <v>597</v>
      </c>
      <c r="G54" s="522">
        <v>511</v>
      </c>
      <c r="H54" s="522">
        <v>432</v>
      </c>
      <c r="I54" s="522">
        <v>305</v>
      </c>
      <c r="J54" s="522">
        <v>478</v>
      </c>
      <c r="K54" s="522">
        <v>468</v>
      </c>
      <c r="L54" s="522">
        <v>647</v>
      </c>
      <c r="M54" s="522">
        <v>30</v>
      </c>
      <c r="N54" s="522">
        <v>6042</v>
      </c>
      <c r="O54" s="522">
        <v>5333</v>
      </c>
      <c r="P54" s="522">
        <v>5395</v>
      </c>
      <c r="Q54" s="522">
        <v>12</v>
      </c>
      <c r="R54" s="523">
        <v>8</v>
      </c>
      <c r="S54" s="523">
        <v>24</v>
      </c>
      <c r="T54" s="523">
        <v>207</v>
      </c>
      <c r="U54" s="523">
        <v>5835</v>
      </c>
      <c r="V54" s="522">
        <v>3865</v>
      </c>
      <c r="W54" s="522">
        <v>46</v>
      </c>
      <c r="X54" s="522">
        <v>23</v>
      </c>
      <c r="Y54" s="522">
        <v>69</v>
      </c>
      <c r="Z54" s="524">
        <v>124.17</v>
      </c>
      <c r="AA54" s="524">
        <v>127.85</v>
      </c>
      <c r="AB54" s="524">
        <v>12.45</v>
      </c>
      <c r="AC54" s="524">
        <v>132.83000000000001</v>
      </c>
      <c r="AD54" s="524">
        <v>2687</v>
      </c>
      <c r="AE54" s="525">
        <v>115.17</v>
      </c>
      <c r="AF54" s="525">
        <v>107.03</v>
      </c>
      <c r="AG54" s="525">
        <v>73.39</v>
      </c>
      <c r="AH54" s="525">
        <v>188.38</v>
      </c>
      <c r="AI54" s="525">
        <v>810</v>
      </c>
      <c r="AJ54" s="525">
        <v>177.73</v>
      </c>
      <c r="AK54" s="525">
        <v>967</v>
      </c>
      <c r="AL54" s="525">
        <v>316.79000000000002</v>
      </c>
      <c r="AM54" s="525">
        <v>2</v>
      </c>
      <c r="AN54" s="526">
        <v>79.98</v>
      </c>
      <c r="AO54" s="526">
        <v>81.89</v>
      </c>
      <c r="AP54" s="526">
        <v>45.56</v>
      </c>
      <c r="AQ54" s="526">
        <v>125.54</v>
      </c>
      <c r="AR54" s="522">
        <v>12</v>
      </c>
      <c r="AS54" s="526">
        <v>87.07</v>
      </c>
      <c r="AT54" s="526">
        <v>92.04</v>
      </c>
      <c r="AU54" s="526">
        <v>12.19</v>
      </c>
      <c r="AV54" s="526">
        <v>99.25</v>
      </c>
      <c r="AW54" s="522">
        <v>146</v>
      </c>
      <c r="AX54" s="526">
        <v>107.52</v>
      </c>
      <c r="AY54" s="526">
        <v>109.11</v>
      </c>
      <c r="AZ54" s="526">
        <v>13.27</v>
      </c>
      <c r="BA54" s="526">
        <v>120.09</v>
      </c>
      <c r="BB54" s="522">
        <v>746</v>
      </c>
      <c r="BC54" s="526">
        <v>126.98</v>
      </c>
      <c r="BD54" s="526">
        <v>131.15</v>
      </c>
      <c r="BE54" s="526">
        <v>15.14</v>
      </c>
      <c r="BF54" s="526">
        <v>138.63999999999999</v>
      </c>
      <c r="BG54" s="522">
        <v>893</v>
      </c>
      <c r="BH54" s="526">
        <v>139.61000000000001</v>
      </c>
      <c r="BI54" s="526">
        <v>144.13999999999999</v>
      </c>
      <c r="BJ54" s="526">
        <v>3.4</v>
      </c>
      <c r="BK54" s="526">
        <v>140.77000000000001</v>
      </c>
      <c r="BL54" s="522">
        <v>794</v>
      </c>
      <c r="BM54" s="526">
        <v>160.07</v>
      </c>
      <c r="BN54" s="526">
        <v>166.7</v>
      </c>
      <c r="BO54" s="526">
        <v>5.23</v>
      </c>
      <c r="BP54" s="526">
        <v>162.59</v>
      </c>
      <c r="BQ54" s="522">
        <v>83</v>
      </c>
      <c r="BR54" s="526">
        <v>171.3</v>
      </c>
      <c r="BS54" s="526">
        <v>174.68</v>
      </c>
      <c r="BT54" s="526">
        <v>1.94</v>
      </c>
      <c r="BU54" s="526">
        <v>172.16</v>
      </c>
      <c r="BV54" s="522">
        <v>9</v>
      </c>
      <c r="BW54" s="526">
        <v>173.26</v>
      </c>
      <c r="BX54" s="526">
        <v>189.36</v>
      </c>
      <c r="BY54" s="526">
        <v>2.82</v>
      </c>
      <c r="BZ54" s="526">
        <v>173.96</v>
      </c>
      <c r="CA54" s="522">
        <v>4</v>
      </c>
      <c r="CB54" s="526">
        <v>124.37</v>
      </c>
      <c r="CC54" s="526">
        <v>128.06</v>
      </c>
      <c r="CD54" s="526">
        <v>12.24</v>
      </c>
      <c r="CE54" s="526">
        <v>132.86000000000001</v>
      </c>
      <c r="CF54" s="522">
        <v>2675</v>
      </c>
      <c r="CG54" s="526">
        <v>124.17</v>
      </c>
      <c r="CH54" s="526">
        <v>127.85</v>
      </c>
      <c r="CI54" s="526">
        <v>12.45</v>
      </c>
      <c r="CJ54" s="526">
        <v>132.83000000000001</v>
      </c>
      <c r="CK54" s="522">
        <v>2687</v>
      </c>
      <c r="CL54" s="526">
        <v>103.12</v>
      </c>
      <c r="CM54" s="526">
        <v>94.9</v>
      </c>
      <c r="CN54" s="526">
        <v>128.97</v>
      </c>
      <c r="CO54" s="526">
        <v>231.58</v>
      </c>
      <c r="CP54" s="522">
        <v>254</v>
      </c>
      <c r="CQ54" s="526">
        <v>92.33</v>
      </c>
      <c r="CR54" s="526">
        <v>85.28</v>
      </c>
      <c r="CS54" s="526">
        <v>46</v>
      </c>
      <c r="CT54" s="526">
        <v>138.33000000000001</v>
      </c>
      <c r="CU54" s="522">
        <v>102</v>
      </c>
      <c r="CV54" s="526">
        <v>117.15</v>
      </c>
      <c r="CW54" s="526">
        <v>108.88</v>
      </c>
      <c r="CX54" s="526">
        <v>49.7</v>
      </c>
      <c r="CY54" s="526">
        <v>166.85</v>
      </c>
      <c r="CZ54" s="522">
        <v>303</v>
      </c>
      <c r="DA54" s="526">
        <v>146.97999999999999</v>
      </c>
      <c r="DB54" s="526">
        <v>137.47999999999999</v>
      </c>
      <c r="DC54" s="526">
        <v>46.1</v>
      </c>
      <c r="DD54" s="526">
        <v>192.77</v>
      </c>
      <c r="DE54" s="522">
        <v>148</v>
      </c>
      <c r="DF54" s="526">
        <v>143.33000000000001</v>
      </c>
      <c r="DG54" s="526">
        <v>133.33000000000001</v>
      </c>
      <c r="DH54" s="526">
        <v>48.65</v>
      </c>
      <c r="DI54" s="526">
        <v>191.98</v>
      </c>
      <c r="DJ54" s="522">
        <v>3</v>
      </c>
      <c r="DK54" s="526">
        <v>0</v>
      </c>
      <c r="DL54" s="526">
        <v>0</v>
      </c>
      <c r="DM54" s="526">
        <v>0</v>
      </c>
      <c r="DN54" s="526">
        <v>0</v>
      </c>
      <c r="DO54" s="522">
        <v>0</v>
      </c>
      <c r="DP54" s="526">
        <v>120.68</v>
      </c>
      <c r="DQ54" s="526">
        <v>112.3</v>
      </c>
      <c r="DR54" s="526">
        <v>48.06</v>
      </c>
      <c r="DS54" s="526">
        <v>168.65</v>
      </c>
      <c r="DT54" s="522">
        <v>556</v>
      </c>
      <c r="DU54" s="526">
        <v>115.17</v>
      </c>
      <c r="DV54" s="526">
        <v>107.03</v>
      </c>
      <c r="DW54" s="526">
        <v>73.39</v>
      </c>
      <c r="DX54" s="526">
        <v>188.38</v>
      </c>
      <c r="DY54" s="522">
        <v>810</v>
      </c>
      <c r="DZ54" s="526">
        <v>90.79</v>
      </c>
      <c r="EA54" s="526">
        <v>3</v>
      </c>
      <c r="EB54" s="526">
        <v>145.05000000000001</v>
      </c>
      <c r="EC54" s="522">
        <v>5</v>
      </c>
      <c r="ED54" s="526">
        <v>155.51</v>
      </c>
      <c r="EE54" s="522">
        <v>214</v>
      </c>
      <c r="EF54" s="526">
        <v>169.33</v>
      </c>
      <c r="EG54" s="522">
        <v>412</v>
      </c>
      <c r="EH54" s="526">
        <v>190.56</v>
      </c>
      <c r="EI54" s="522">
        <v>259</v>
      </c>
      <c r="EJ54" s="526">
        <v>249.58</v>
      </c>
      <c r="EK54" s="522">
        <v>74</v>
      </c>
      <c r="EL54" s="526">
        <v>0</v>
      </c>
      <c r="EM54" s="522">
        <v>0</v>
      </c>
      <c r="EN54" s="526">
        <v>0</v>
      </c>
      <c r="EO54" s="522">
        <v>0</v>
      </c>
      <c r="EP54" s="526">
        <v>178</v>
      </c>
      <c r="EQ54" s="522">
        <v>964</v>
      </c>
      <c r="ER54" s="526">
        <v>177.73</v>
      </c>
      <c r="ES54" s="522">
        <v>967</v>
      </c>
      <c r="ET54" s="526">
        <v>0</v>
      </c>
      <c r="EU54" s="526">
        <v>0</v>
      </c>
      <c r="EV54" s="526">
        <v>0</v>
      </c>
      <c r="EW54" s="522">
        <v>0</v>
      </c>
      <c r="EX54" s="526">
        <v>316.79000000000002</v>
      </c>
      <c r="EY54" s="522">
        <v>2</v>
      </c>
      <c r="EZ54" s="526">
        <v>0</v>
      </c>
      <c r="FA54" s="522">
        <v>0</v>
      </c>
      <c r="FB54" s="526">
        <v>0</v>
      </c>
      <c r="FC54" s="522">
        <v>0</v>
      </c>
      <c r="FD54" s="526">
        <v>0</v>
      </c>
      <c r="FE54" s="522">
        <v>0</v>
      </c>
      <c r="FF54" s="526">
        <v>316.79000000000002</v>
      </c>
      <c r="FG54" s="522">
        <v>2</v>
      </c>
      <c r="FH54" s="526">
        <v>316.79000000000002</v>
      </c>
      <c r="FI54" s="522">
        <v>2</v>
      </c>
      <c r="FJ54" s="522">
        <v>0</v>
      </c>
      <c r="FK54" s="522">
        <v>1</v>
      </c>
      <c r="FL54" s="522">
        <v>0</v>
      </c>
      <c r="FM54" s="522">
        <v>0</v>
      </c>
      <c r="FN54" s="522">
        <v>1</v>
      </c>
      <c r="FO54" s="522">
        <v>0</v>
      </c>
      <c r="FP54" s="522">
        <v>62</v>
      </c>
      <c r="FQ54" s="522">
        <v>0</v>
      </c>
      <c r="FR54" s="522">
        <v>25</v>
      </c>
    </row>
    <row r="55" spans="1:174" x14ac:dyDescent="0.25">
      <c r="A55" s="523" t="s">
        <v>369</v>
      </c>
      <c r="B55" s="523" t="s">
        <v>370</v>
      </c>
      <c r="C55" s="523" t="s">
        <v>284</v>
      </c>
      <c r="D55" s="522">
        <v>9324</v>
      </c>
      <c r="E55" s="522">
        <v>8181</v>
      </c>
      <c r="F55" s="522">
        <v>314</v>
      </c>
      <c r="G55" s="522">
        <v>255</v>
      </c>
      <c r="H55" s="522">
        <v>1390</v>
      </c>
      <c r="I55" s="522">
        <v>941</v>
      </c>
      <c r="J55" s="522">
        <v>947</v>
      </c>
      <c r="K55" s="522">
        <v>913</v>
      </c>
      <c r="L55" s="522">
        <v>540</v>
      </c>
      <c r="M55" s="522">
        <v>0</v>
      </c>
      <c r="N55" s="522">
        <v>12515</v>
      </c>
      <c r="O55" s="522">
        <v>10290</v>
      </c>
      <c r="P55" s="522">
        <v>11975</v>
      </c>
      <c r="Q55" s="522">
        <v>233</v>
      </c>
      <c r="R55" s="523">
        <v>22</v>
      </c>
      <c r="S55" s="523">
        <v>24</v>
      </c>
      <c r="T55" s="523">
        <v>1579</v>
      </c>
      <c r="U55" s="523">
        <v>10936</v>
      </c>
      <c r="V55" s="522">
        <v>7921</v>
      </c>
      <c r="W55" s="522">
        <v>54</v>
      </c>
      <c r="X55" s="522">
        <v>82</v>
      </c>
      <c r="Y55" s="522">
        <v>136</v>
      </c>
      <c r="Z55" s="524">
        <v>153.26</v>
      </c>
      <c r="AA55" s="524">
        <v>169.55</v>
      </c>
      <c r="AB55" s="524">
        <v>16.309999999999999</v>
      </c>
      <c r="AC55" s="524">
        <v>168.34</v>
      </c>
      <c r="AD55" s="524">
        <v>6172</v>
      </c>
      <c r="AE55" s="525">
        <v>129.16</v>
      </c>
      <c r="AF55" s="525">
        <v>127.07</v>
      </c>
      <c r="AG55" s="525">
        <v>106.11</v>
      </c>
      <c r="AH55" s="525">
        <v>233.19</v>
      </c>
      <c r="AI55" s="525">
        <v>2143</v>
      </c>
      <c r="AJ55" s="525">
        <v>246.95</v>
      </c>
      <c r="AK55" s="525">
        <v>501</v>
      </c>
      <c r="AL55" s="525">
        <v>302</v>
      </c>
      <c r="AM55" s="525">
        <v>68</v>
      </c>
      <c r="AN55" s="526">
        <v>100.33</v>
      </c>
      <c r="AO55" s="526">
        <v>119.95</v>
      </c>
      <c r="AP55" s="526">
        <v>13.65</v>
      </c>
      <c r="AQ55" s="526">
        <v>112.93</v>
      </c>
      <c r="AR55" s="522">
        <v>13</v>
      </c>
      <c r="AS55" s="526">
        <v>110.41</v>
      </c>
      <c r="AT55" s="526">
        <v>117.16</v>
      </c>
      <c r="AU55" s="526">
        <v>13.21</v>
      </c>
      <c r="AV55" s="526">
        <v>122.23</v>
      </c>
      <c r="AW55" s="522">
        <v>123</v>
      </c>
      <c r="AX55" s="526">
        <v>139.85</v>
      </c>
      <c r="AY55" s="526">
        <v>151.01</v>
      </c>
      <c r="AZ55" s="526">
        <v>15.24</v>
      </c>
      <c r="BA55" s="526">
        <v>154.21</v>
      </c>
      <c r="BB55" s="522">
        <v>2013</v>
      </c>
      <c r="BC55" s="526">
        <v>154.07</v>
      </c>
      <c r="BD55" s="526">
        <v>170.11</v>
      </c>
      <c r="BE55" s="526">
        <v>15.31</v>
      </c>
      <c r="BF55" s="526">
        <v>168.57</v>
      </c>
      <c r="BG55" s="522">
        <v>2084</v>
      </c>
      <c r="BH55" s="526">
        <v>164.87</v>
      </c>
      <c r="BI55" s="526">
        <v>187.02</v>
      </c>
      <c r="BJ55" s="526">
        <v>18.63</v>
      </c>
      <c r="BK55" s="526">
        <v>181.76</v>
      </c>
      <c r="BL55" s="522">
        <v>1387</v>
      </c>
      <c r="BM55" s="526">
        <v>178.02</v>
      </c>
      <c r="BN55" s="526">
        <v>201.52</v>
      </c>
      <c r="BO55" s="526">
        <v>17.91</v>
      </c>
      <c r="BP55" s="526">
        <v>193.57</v>
      </c>
      <c r="BQ55" s="522">
        <v>463</v>
      </c>
      <c r="BR55" s="526">
        <v>191.98</v>
      </c>
      <c r="BS55" s="526">
        <v>210.69</v>
      </c>
      <c r="BT55" s="526">
        <v>32.57</v>
      </c>
      <c r="BU55" s="526">
        <v>216.01</v>
      </c>
      <c r="BV55" s="522">
        <v>61</v>
      </c>
      <c r="BW55" s="526">
        <v>201.3</v>
      </c>
      <c r="BX55" s="526">
        <v>219.84</v>
      </c>
      <c r="BY55" s="526">
        <v>23.15</v>
      </c>
      <c r="BZ55" s="526">
        <v>210.4</v>
      </c>
      <c r="CA55" s="522">
        <v>28</v>
      </c>
      <c r="CB55" s="526">
        <v>153.37</v>
      </c>
      <c r="CC55" s="526">
        <v>169.62</v>
      </c>
      <c r="CD55" s="526">
        <v>16.32</v>
      </c>
      <c r="CE55" s="526">
        <v>168.46</v>
      </c>
      <c r="CF55" s="522">
        <v>6159</v>
      </c>
      <c r="CG55" s="526">
        <v>153.26</v>
      </c>
      <c r="CH55" s="526">
        <v>169.55</v>
      </c>
      <c r="CI55" s="526">
        <v>16.309999999999999</v>
      </c>
      <c r="CJ55" s="526">
        <v>168.34</v>
      </c>
      <c r="CK55" s="522">
        <v>6172</v>
      </c>
      <c r="CL55" s="526">
        <v>117.82</v>
      </c>
      <c r="CM55" s="526">
        <v>115.66</v>
      </c>
      <c r="CN55" s="526">
        <v>146.12</v>
      </c>
      <c r="CO55" s="526">
        <v>259.31</v>
      </c>
      <c r="CP55" s="522">
        <v>916</v>
      </c>
      <c r="CQ55" s="526">
        <v>122.01</v>
      </c>
      <c r="CR55" s="526">
        <v>112.7</v>
      </c>
      <c r="CS55" s="526">
        <v>66.62</v>
      </c>
      <c r="CT55" s="526">
        <v>188.49</v>
      </c>
      <c r="CU55" s="522">
        <v>456</v>
      </c>
      <c r="CV55" s="526">
        <v>146.03</v>
      </c>
      <c r="CW55" s="526">
        <v>146</v>
      </c>
      <c r="CX55" s="526">
        <v>85.2</v>
      </c>
      <c r="CY55" s="526">
        <v>230.16</v>
      </c>
      <c r="CZ55" s="522">
        <v>719</v>
      </c>
      <c r="DA55" s="526">
        <v>156.85</v>
      </c>
      <c r="DB55" s="526">
        <v>164.26</v>
      </c>
      <c r="DC55" s="526">
        <v>54.23</v>
      </c>
      <c r="DD55" s="526">
        <v>207.62</v>
      </c>
      <c r="DE55" s="522">
        <v>47</v>
      </c>
      <c r="DF55" s="526">
        <v>173.12</v>
      </c>
      <c r="DG55" s="526">
        <v>185.94</v>
      </c>
      <c r="DH55" s="526">
        <v>28.16</v>
      </c>
      <c r="DI55" s="526">
        <v>201.28</v>
      </c>
      <c r="DJ55" s="522">
        <v>5</v>
      </c>
      <c r="DK55" s="526">
        <v>0</v>
      </c>
      <c r="DL55" s="526">
        <v>0</v>
      </c>
      <c r="DM55" s="526">
        <v>0</v>
      </c>
      <c r="DN55" s="526">
        <v>0</v>
      </c>
      <c r="DO55" s="522">
        <v>0</v>
      </c>
      <c r="DP55" s="526">
        <v>137.63</v>
      </c>
      <c r="DQ55" s="526">
        <v>134.38999999999999</v>
      </c>
      <c r="DR55" s="526">
        <v>76.88</v>
      </c>
      <c r="DS55" s="526">
        <v>213.69</v>
      </c>
      <c r="DT55" s="522">
        <v>1227</v>
      </c>
      <c r="DU55" s="526">
        <v>129.16</v>
      </c>
      <c r="DV55" s="526">
        <v>127.07</v>
      </c>
      <c r="DW55" s="526">
        <v>106.11</v>
      </c>
      <c r="DX55" s="526">
        <v>233.19</v>
      </c>
      <c r="DY55" s="522">
        <v>2143</v>
      </c>
      <c r="DZ55" s="526">
        <v>0</v>
      </c>
      <c r="EA55" s="526">
        <v>0</v>
      </c>
      <c r="EB55" s="526">
        <v>189.59</v>
      </c>
      <c r="EC55" s="522">
        <v>8</v>
      </c>
      <c r="ED55" s="526">
        <v>232.8</v>
      </c>
      <c r="EE55" s="522">
        <v>188</v>
      </c>
      <c r="EF55" s="526">
        <v>253.02</v>
      </c>
      <c r="EG55" s="522">
        <v>188</v>
      </c>
      <c r="EH55" s="526">
        <v>261.89999999999998</v>
      </c>
      <c r="EI55" s="522">
        <v>101</v>
      </c>
      <c r="EJ55" s="526">
        <v>264.88</v>
      </c>
      <c r="EK55" s="522">
        <v>15</v>
      </c>
      <c r="EL55" s="526">
        <v>442.87</v>
      </c>
      <c r="EM55" s="522">
        <v>1</v>
      </c>
      <c r="EN55" s="526">
        <v>0</v>
      </c>
      <c r="EO55" s="522">
        <v>0</v>
      </c>
      <c r="EP55" s="526">
        <v>246.95</v>
      </c>
      <c r="EQ55" s="522">
        <v>501</v>
      </c>
      <c r="ER55" s="526">
        <v>246.95</v>
      </c>
      <c r="ES55" s="522">
        <v>501</v>
      </c>
      <c r="ET55" s="526">
        <v>366.62</v>
      </c>
      <c r="EU55" s="526">
        <v>5</v>
      </c>
      <c r="EV55" s="526">
        <v>0</v>
      </c>
      <c r="EW55" s="522">
        <v>0</v>
      </c>
      <c r="EX55" s="526">
        <v>294.64</v>
      </c>
      <c r="EY55" s="522">
        <v>52</v>
      </c>
      <c r="EZ55" s="526">
        <v>307.39999999999998</v>
      </c>
      <c r="FA55" s="522">
        <v>11</v>
      </c>
      <c r="FB55" s="526">
        <v>0</v>
      </c>
      <c r="FC55" s="522">
        <v>0</v>
      </c>
      <c r="FD55" s="526">
        <v>0</v>
      </c>
      <c r="FE55" s="522">
        <v>0</v>
      </c>
      <c r="FF55" s="526">
        <v>296.87</v>
      </c>
      <c r="FG55" s="522">
        <v>63</v>
      </c>
      <c r="FH55" s="526">
        <v>302</v>
      </c>
      <c r="FI55" s="522">
        <v>68</v>
      </c>
      <c r="FJ55" s="522">
        <v>11</v>
      </c>
      <c r="FK55" s="522">
        <v>0</v>
      </c>
      <c r="FL55" s="522">
        <v>0</v>
      </c>
      <c r="FM55" s="522">
        <v>0</v>
      </c>
      <c r="FN55" s="522">
        <v>0</v>
      </c>
      <c r="FO55" s="522">
        <v>0</v>
      </c>
      <c r="FP55" s="522">
        <v>49</v>
      </c>
      <c r="FQ55" s="522">
        <v>7</v>
      </c>
      <c r="FR55" s="522">
        <v>14</v>
      </c>
    </row>
    <row r="56" spans="1:174" x14ac:dyDescent="0.25">
      <c r="A56" s="523" t="s">
        <v>371</v>
      </c>
      <c r="B56" s="523" t="s">
        <v>372</v>
      </c>
      <c r="C56" s="523" t="s">
        <v>288</v>
      </c>
      <c r="D56" s="522">
        <v>2062</v>
      </c>
      <c r="E56" s="522">
        <v>2039</v>
      </c>
      <c r="F56" s="522">
        <v>2</v>
      </c>
      <c r="G56" s="522">
        <v>2</v>
      </c>
      <c r="H56" s="522">
        <v>194</v>
      </c>
      <c r="I56" s="522">
        <v>124</v>
      </c>
      <c r="J56" s="522">
        <v>271</v>
      </c>
      <c r="K56" s="522">
        <v>200</v>
      </c>
      <c r="L56" s="522">
        <v>309</v>
      </c>
      <c r="M56" s="522">
        <v>6</v>
      </c>
      <c r="N56" s="522">
        <v>2838</v>
      </c>
      <c r="O56" s="522">
        <v>2371</v>
      </c>
      <c r="P56" s="522">
        <v>2529</v>
      </c>
      <c r="Q56" s="522">
        <v>5</v>
      </c>
      <c r="R56" s="523">
        <v>6</v>
      </c>
      <c r="S56" s="523">
        <v>21</v>
      </c>
      <c r="T56" s="523">
        <v>101</v>
      </c>
      <c r="U56" s="523">
        <v>2737</v>
      </c>
      <c r="V56" s="522">
        <v>2039</v>
      </c>
      <c r="W56" s="522">
        <v>11</v>
      </c>
      <c r="X56" s="522">
        <v>9</v>
      </c>
      <c r="Y56" s="522">
        <v>20</v>
      </c>
      <c r="Z56" s="524">
        <v>104.3</v>
      </c>
      <c r="AA56" s="524">
        <v>106.01</v>
      </c>
      <c r="AB56" s="524">
        <v>5.99</v>
      </c>
      <c r="AC56" s="524">
        <v>108.2</v>
      </c>
      <c r="AD56" s="524">
        <v>1432</v>
      </c>
      <c r="AE56" s="525">
        <v>108.65</v>
      </c>
      <c r="AF56" s="525">
        <v>93.63</v>
      </c>
      <c r="AG56" s="525">
        <v>66.98</v>
      </c>
      <c r="AH56" s="525">
        <v>174.78</v>
      </c>
      <c r="AI56" s="525">
        <v>318</v>
      </c>
      <c r="AJ56" s="525">
        <v>135.57</v>
      </c>
      <c r="AK56" s="525">
        <v>577</v>
      </c>
      <c r="AL56" s="525">
        <v>265.66000000000003</v>
      </c>
      <c r="AM56" s="525">
        <v>69</v>
      </c>
      <c r="AN56" s="526">
        <v>82.65</v>
      </c>
      <c r="AO56" s="526">
        <v>73.08</v>
      </c>
      <c r="AP56" s="526">
        <v>0</v>
      </c>
      <c r="AQ56" s="526">
        <v>82.65</v>
      </c>
      <c r="AR56" s="522">
        <v>2</v>
      </c>
      <c r="AS56" s="526">
        <v>0</v>
      </c>
      <c r="AT56" s="526">
        <v>0</v>
      </c>
      <c r="AU56" s="526">
        <v>0</v>
      </c>
      <c r="AV56" s="526">
        <v>0</v>
      </c>
      <c r="AW56" s="522">
        <v>0</v>
      </c>
      <c r="AX56" s="526">
        <v>84.85</v>
      </c>
      <c r="AY56" s="526">
        <v>85.5</v>
      </c>
      <c r="AZ56" s="526">
        <v>13.78</v>
      </c>
      <c r="BA56" s="526">
        <v>97.32</v>
      </c>
      <c r="BB56" s="522">
        <v>222</v>
      </c>
      <c r="BC56" s="526">
        <v>101.2</v>
      </c>
      <c r="BD56" s="526">
        <v>102.44</v>
      </c>
      <c r="BE56" s="526">
        <v>4.82</v>
      </c>
      <c r="BF56" s="526">
        <v>104.64</v>
      </c>
      <c r="BG56" s="522">
        <v>624</v>
      </c>
      <c r="BH56" s="526">
        <v>112.88</v>
      </c>
      <c r="BI56" s="526">
        <v>115.32</v>
      </c>
      <c r="BJ56" s="526">
        <v>2.44</v>
      </c>
      <c r="BK56" s="526">
        <v>114</v>
      </c>
      <c r="BL56" s="522">
        <v>506</v>
      </c>
      <c r="BM56" s="526">
        <v>129.41999999999999</v>
      </c>
      <c r="BN56" s="526">
        <v>133.44999999999999</v>
      </c>
      <c r="BO56" s="526">
        <v>1.78</v>
      </c>
      <c r="BP56" s="526">
        <v>130.61000000000001</v>
      </c>
      <c r="BQ56" s="522">
        <v>78</v>
      </c>
      <c r="BR56" s="526">
        <v>0</v>
      </c>
      <c r="BS56" s="526">
        <v>0</v>
      </c>
      <c r="BT56" s="526">
        <v>0</v>
      </c>
      <c r="BU56" s="526">
        <v>0</v>
      </c>
      <c r="BV56" s="522">
        <v>0</v>
      </c>
      <c r="BW56" s="526">
        <v>0</v>
      </c>
      <c r="BX56" s="526">
        <v>0</v>
      </c>
      <c r="BY56" s="526">
        <v>0</v>
      </c>
      <c r="BZ56" s="526">
        <v>0</v>
      </c>
      <c r="CA56" s="522">
        <v>0</v>
      </c>
      <c r="CB56" s="526">
        <v>104.33</v>
      </c>
      <c r="CC56" s="526">
        <v>106.06</v>
      </c>
      <c r="CD56" s="526">
        <v>5.99</v>
      </c>
      <c r="CE56" s="526">
        <v>108.24</v>
      </c>
      <c r="CF56" s="522">
        <v>1430</v>
      </c>
      <c r="CG56" s="526">
        <v>104.3</v>
      </c>
      <c r="CH56" s="526">
        <v>106.01</v>
      </c>
      <c r="CI56" s="526">
        <v>5.99</v>
      </c>
      <c r="CJ56" s="526">
        <v>108.2</v>
      </c>
      <c r="CK56" s="522">
        <v>1432</v>
      </c>
      <c r="CL56" s="526">
        <v>184.59</v>
      </c>
      <c r="CM56" s="526">
        <v>133.12</v>
      </c>
      <c r="CN56" s="526">
        <v>53.89</v>
      </c>
      <c r="CO56" s="526">
        <v>238.48</v>
      </c>
      <c r="CP56" s="522">
        <v>17</v>
      </c>
      <c r="CQ56" s="526">
        <v>90.29</v>
      </c>
      <c r="CR56" s="526">
        <v>82.08</v>
      </c>
      <c r="CS56" s="526">
        <v>40.78</v>
      </c>
      <c r="CT56" s="526">
        <v>131.06</v>
      </c>
      <c r="CU56" s="522">
        <v>8</v>
      </c>
      <c r="CV56" s="526">
        <v>104.29</v>
      </c>
      <c r="CW56" s="526">
        <v>92.44</v>
      </c>
      <c r="CX56" s="526">
        <v>66.959999999999994</v>
      </c>
      <c r="CY56" s="526">
        <v>170.41</v>
      </c>
      <c r="CZ56" s="522">
        <v>240</v>
      </c>
      <c r="DA56" s="526">
        <v>106.78</v>
      </c>
      <c r="DB56" s="526">
        <v>95.29</v>
      </c>
      <c r="DC56" s="526">
        <v>75.38</v>
      </c>
      <c r="DD56" s="526">
        <v>180.74</v>
      </c>
      <c r="DE56" s="522">
        <v>53</v>
      </c>
      <c r="DF56" s="526">
        <v>0</v>
      </c>
      <c r="DG56" s="526">
        <v>0</v>
      </c>
      <c r="DH56" s="526">
        <v>0</v>
      </c>
      <c r="DI56" s="526">
        <v>0</v>
      </c>
      <c r="DJ56" s="522">
        <v>0</v>
      </c>
      <c r="DK56" s="526">
        <v>0</v>
      </c>
      <c r="DL56" s="526">
        <v>0</v>
      </c>
      <c r="DM56" s="526">
        <v>0</v>
      </c>
      <c r="DN56" s="526">
        <v>0</v>
      </c>
      <c r="DO56" s="522">
        <v>0</v>
      </c>
      <c r="DP56" s="526">
        <v>104.36</v>
      </c>
      <c r="DQ56" s="526">
        <v>92.67</v>
      </c>
      <c r="DR56" s="526">
        <v>67.73</v>
      </c>
      <c r="DS56" s="526">
        <v>171.18</v>
      </c>
      <c r="DT56" s="522">
        <v>301</v>
      </c>
      <c r="DU56" s="526">
        <v>108.65</v>
      </c>
      <c r="DV56" s="526">
        <v>93.63</v>
      </c>
      <c r="DW56" s="526">
        <v>66.98</v>
      </c>
      <c r="DX56" s="526">
        <v>174.78</v>
      </c>
      <c r="DY56" s="522">
        <v>318</v>
      </c>
      <c r="DZ56" s="526">
        <v>0</v>
      </c>
      <c r="EA56" s="526">
        <v>0</v>
      </c>
      <c r="EB56" s="526">
        <v>0</v>
      </c>
      <c r="EC56" s="522">
        <v>0</v>
      </c>
      <c r="ED56" s="526">
        <v>106.56</v>
      </c>
      <c r="EE56" s="522">
        <v>59</v>
      </c>
      <c r="EF56" s="526">
        <v>132.25</v>
      </c>
      <c r="EG56" s="522">
        <v>317</v>
      </c>
      <c r="EH56" s="526">
        <v>147.43</v>
      </c>
      <c r="EI56" s="522">
        <v>188</v>
      </c>
      <c r="EJ56" s="526">
        <v>176.73</v>
      </c>
      <c r="EK56" s="522">
        <v>13</v>
      </c>
      <c r="EL56" s="526">
        <v>0</v>
      </c>
      <c r="EM56" s="522">
        <v>0</v>
      </c>
      <c r="EN56" s="526">
        <v>0</v>
      </c>
      <c r="EO56" s="522">
        <v>0</v>
      </c>
      <c r="EP56" s="526">
        <v>135.57</v>
      </c>
      <c r="EQ56" s="522">
        <v>577</v>
      </c>
      <c r="ER56" s="526">
        <v>135.57</v>
      </c>
      <c r="ES56" s="522">
        <v>577</v>
      </c>
      <c r="ET56" s="526">
        <v>0</v>
      </c>
      <c r="EU56" s="526">
        <v>0</v>
      </c>
      <c r="EV56" s="526">
        <v>0</v>
      </c>
      <c r="EW56" s="522">
        <v>0</v>
      </c>
      <c r="EX56" s="526">
        <v>211.77</v>
      </c>
      <c r="EY56" s="522">
        <v>15</v>
      </c>
      <c r="EZ56" s="526">
        <v>280.63</v>
      </c>
      <c r="FA56" s="522">
        <v>54</v>
      </c>
      <c r="FB56" s="526">
        <v>0</v>
      </c>
      <c r="FC56" s="522">
        <v>0</v>
      </c>
      <c r="FD56" s="526">
        <v>0</v>
      </c>
      <c r="FE56" s="522">
        <v>0</v>
      </c>
      <c r="FF56" s="526">
        <v>265.66000000000003</v>
      </c>
      <c r="FG56" s="522">
        <v>69</v>
      </c>
      <c r="FH56" s="526">
        <v>265.66000000000003</v>
      </c>
      <c r="FI56" s="522">
        <v>69</v>
      </c>
      <c r="FJ56" s="522">
        <v>0</v>
      </c>
      <c r="FK56" s="522">
        <v>2</v>
      </c>
      <c r="FL56" s="522">
        <v>0</v>
      </c>
      <c r="FM56" s="522">
        <v>0</v>
      </c>
      <c r="FN56" s="522">
        <v>2</v>
      </c>
      <c r="FO56" s="522">
        <v>0</v>
      </c>
      <c r="FP56" s="522">
        <v>1</v>
      </c>
      <c r="FQ56" s="522">
        <v>3</v>
      </c>
      <c r="FR56" s="522">
        <v>4</v>
      </c>
    </row>
    <row r="57" spans="1:174" x14ac:dyDescent="0.25">
      <c r="A57" s="523" t="s">
        <v>373</v>
      </c>
      <c r="B57" s="523" t="s">
        <v>374</v>
      </c>
      <c r="C57" s="523" t="s">
        <v>2</v>
      </c>
      <c r="D57" s="522">
        <v>2400</v>
      </c>
      <c r="E57" s="522">
        <v>2220</v>
      </c>
      <c r="F57" s="522">
        <v>0</v>
      </c>
      <c r="G57" s="522">
        <v>0</v>
      </c>
      <c r="H57" s="522">
        <v>189</v>
      </c>
      <c r="I57" s="522">
        <v>128</v>
      </c>
      <c r="J57" s="522">
        <v>372</v>
      </c>
      <c r="K57" s="522">
        <v>412</v>
      </c>
      <c r="L57" s="522">
        <v>673</v>
      </c>
      <c r="M57" s="522">
        <v>70</v>
      </c>
      <c r="N57" s="522">
        <v>3634</v>
      </c>
      <c r="O57" s="522">
        <v>2830</v>
      </c>
      <c r="P57" s="522">
        <v>2961</v>
      </c>
      <c r="Q57" s="522">
        <v>10</v>
      </c>
      <c r="R57" s="523">
        <v>8</v>
      </c>
      <c r="S57" s="523">
        <v>22</v>
      </c>
      <c r="T57" s="523">
        <v>202</v>
      </c>
      <c r="U57" s="523">
        <v>3432</v>
      </c>
      <c r="V57" s="522">
        <v>2214</v>
      </c>
      <c r="W57" s="522">
        <v>25</v>
      </c>
      <c r="X57" s="522">
        <v>17</v>
      </c>
      <c r="Y57" s="522">
        <v>42</v>
      </c>
      <c r="Z57" s="524">
        <v>119.1</v>
      </c>
      <c r="AA57" s="524">
        <v>121.63</v>
      </c>
      <c r="AB57" s="524">
        <v>11.12</v>
      </c>
      <c r="AC57" s="524">
        <v>128.66999999999999</v>
      </c>
      <c r="AD57" s="524">
        <v>1485</v>
      </c>
      <c r="AE57" s="525">
        <v>109.1</v>
      </c>
      <c r="AF57" s="525">
        <v>93.24</v>
      </c>
      <c r="AG57" s="525">
        <v>66.099999999999994</v>
      </c>
      <c r="AH57" s="525">
        <v>168.33</v>
      </c>
      <c r="AI57" s="525">
        <v>539</v>
      </c>
      <c r="AJ57" s="525">
        <v>174.79</v>
      </c>
      <c r="AK57" s="525">
        <v>635</v>
      </c>
      <c r="AL57" s="525">
        <v>136.26</v>
      </c>
      <c r="AM57" s="525">
        <v>6</v>
      </c>
      <c r="AN57" s="526">
        <v>0</v>
      </c>
      <c r="AO57" s="526">
        <v>0</v>
      </c>
      <c r="AP57" s="526">
        <v>0</v>
      </c>
      <c r="AQ57" s="526">
        <v>0</v>
      </c>
      <c r="AR57" s="522">
        <v>0</v>
      </c>
      <c r="AS57" s="526">
        <v>81.05</v>
      </c>
      <c r="AT57" s="526">
        <v>83.1</v>
      </c>
      <c r="AU57" s="526">
        <v>14.59</v>
      </c>
      <c r="AV57" s="526">
        <v>95.64</v>
      </c>
      <c r="AW57" s="522">
        <v>18</v>
      </c>
      <c r="AX57" s="526">
        <v>100.08</v>
      </c>
      <c r="AY57" s="526">
        <v>101.67</v>
      </c>
      <c r="AZ57" s="526">
        <v>14.47</v>
      </c>
      <c r="BA57" s="526">
        <v>114.12</v>
      </c>
      <c r="BB57" s="522">
        <v>268</v>
      </c>
      <c r="BC57" s="526">
        <v>117.13</v>
      </c>
      <c r="BD57" s="526">
        <v>118.5</v>
      </c>
      <c r="BE57" s="526">
        <v>14.02</v>
      </c>
      <c r="BF57" s="526">
        <v>128.88</v>
      </c>
      <c r="BG57" s="522">
        <v>679</v>
      </c>
      <c r="BH57" s="526">
        <v>130.79</v>
      </c>
      <c r="BI57" s="526">
        <v>135.69</v>
      </c>
      <c r="BJ57" s="526">
        <v>5.28</v>
      </c>
      <c r="BK57" s="526">
        <v>135.27000000000001</v>
      </c>
      <c r="BL57" s="522">
        <v>442</v>
      </c>
      <c r="BM57" s="526">
        <v>144.05000000000001</v>
      </c>
      <c r="BN57" s="526">
        <v>147.12</v>
      </c>
      <c r="BO57" s="526">
        <v>4.1900000000000004</v>
      </c>
      <c r="BP57" s="526">
        <v>147.11000000000001</v>
      </c>
      <c r="BQ57" s="522">
        <v>78</v>
      </c>
      <c r="BR57" s="526">
        <v>0</v>
      </c>
      <c r="BS57" s="526">
        <v>0</v>
      </c>
      <c r="BT57" s="526">
        <v>0</v>
      </c>
      <c r="BU57" s="526">
        <v>0</v>
      </c>
      <c r="BV57" s="522">
        <v>0</v>
      </c>
      <c r="BW57" s="526">
        <v>0</v>
      </c>
      <c r="BX57" s="526">
        <v>0</v>
      </c>
      <c r="BY57" s="526">
        <v>0</v>
      </c>
      <c r="BZ57" s="526">
        <v>0</v>
      </c>
      <c r="CA57" s="522">
        <v>0</v>
      </c>
      <c r="CB57" s="526">
        <v>119.1</v>
      </c>
      <c r="CC57" s="526">
        <v>121.63</v>
      </c>
      <c r="CD57" s="526">
        <v>11.12</v>
      </c>
      <c r="CE57" s="526">
        <v>128.66999999999999</v>
      </c>
      <c r="CF57" s="522">
        <v>1485</v>
      </c>
      <c r="CG57" s="526">
        <v>119.1</v>
      </c>
      <c r="CH57" s="526">
        <v>121.63</v>
      </c>
      <c r="CI57" s="526">
        <v>11.12</v>
      </c>
      <c r="CJ57" s="526">
        <v>128.66999999999999</v>
      </c>
      <c r="CK57" s="522">
        <v>1485</v>
      </c>
      <c r="CL57" s="526">
        <v>130.07</v>
      </c>
      <c r="CM57" s="526">
        <v>91.83</v>
      </c>
      <c r="CN57" s="526">
        <v>145.59</v>
      </c>
      <c r="CO57" s="526">
        <v>254.86</v>
      </c>
      <c r="CP57" s="522">
        <v>91</v>
      </c>
      <c r="CQ57" s="526">
        <v>88.1</v>
      </c>
      <c r="CR57" s="526">
        <v>83.8</v>
      </c>
      <c r="CS57" s="526">
        <v>38.04</v>
      </c>
      <c r="CT57" s="526">
        <v>124.56</v>
      </c>
      <c r="CU57" s="522">
        <v>168</v>
      </c>
      <c r="CV57" s="526">
        <v>111.75</v>
      </c>
      <c r="CW57" s="526">
        <v>98.25</v>
      </c>
      <c r="CX57" s="526">
        <v>60.1</v>
      </c>
      <c r="CY57" s="526">
        <v>163.6</v>
      </c>
      <c r="CZ57" s="522">
        <v>255</v>
      </c>
      <c r="DA57" s="526">
        <v>146.6</v>
      </c>
      <c r="DB57" s="526">
        <v>109.42</v>
      </c>
      <c r="DC57" s="526">
        <v>54.66</v>
      </c>
      <c r="DD57" s="526">
        <v>198.52</v>
      </c>
      <c r="DE57" s="522">
        <v>20</v>
      </c>
      <c r="DF57" s="526">
        <v>147.38999999999999</v>
      </c>
      <c r="DG57" s="526">
        <v>137.74</v>
      </c>
      <c r="DH57" s="526">
        <v>36.6</v>
      </c>
      <c r="DI57" s="526">
        <v>183.99</v>
      </c>
      <c r="DJ57" s="522">
        <v>5</v>
      </c>
      <c r="DK57" s="526">
        <v>0</v>
      </c>
      <c r="DL57" s="526">
        <v>0</v>
      </c>
      <c r="DM57" s="526">
        <v>0</v>
      </c>
      <c r="DN57" s="526">
        <v>0</v>
      </c>
      <c r="DO57" s="522">
        <v>0</v>
      </c>
      <c r="DP57" s="526">
        <v>104.83</v>
      </c>
      <c r="DQ57" s="526">
        <v>93.46</v>
      </c>
      <c r="DR57" s="526">
        <v>50.79</v>
      </c>
      <c r="DS57" s="526">
        <v>150.75</v>
      </c>
      <c r="DT57" s="522">
        <v>448</v>
      </c>
      <c r="DU57" s="526">
        <v>109.1</v>
      </c>
      <c r="DV57" s="526">
        <v>93.24</v>
      </c>
      <c r="DW57" s="526">
        <v>66.099999999999994</v>
      </c>
      <c r="DX57" s="526">
        <v>168.33</v>
      </c>
      <c r="DY57" s="522">
        <v>539</v>
      </c>
      <c r="DZ57" s="526">
        <v>0</v>
      </c>
      <c r="EA57" s="526">
        <v>0</v>
      </c>
      <c r="EB57" s="526">
        <v>0</v>
      </c>
      <c r="EC57" s="522">
        <v>0</v>
      </c>
      <c r="ED57" s="526">
        <v>135.44</v>
      </c>
      <c r="EE57" s="522">
        <v>100</v>
      </c>
      <c r="EF57" s="526">
        <v>169.14</v>
      </c>
      <c r="EG57" s="522">
        <v>356</v>
      </c>
      <c r="EH57" s="526">
        <v>204.62</v>
      </c>
      <c r="EI57" s="522">
        <v>146</v>
      </c>
      <c r="EJ57" s="526">
        <v>223.07</v>
      </c>
      <c r="EK57" s="522">
        <v>33</v>
      </c>
      <c r="EL57" s="526">
        <v>0</v>
      </c>
      <c r="EM57" s="522">
        <v>0</v>
      </c>
      <c r="EN57" s="526">
        <v>0</v>
      </c>
      <c r="EO57" s="522">
        <v>0</v>
      </c>
      <c r="EP57" s="526">
        <v>174.79</v>
      </c>
      <c r="EQ57" s="522">
        <v>635</v>
      </c>
      <c r="ER57" s="526">
        <v>174.79</v>
      </c>
      <c r="ES57" s="522">
        <v>635</v>
      </c>
      <c r="ET57" s="526">
        <v>0</v>
      </c>
      <c r="EU57" s="526">
        <v>0</v>
      </c>
      <c r="EV57" s="526">
        <v>0</v>
      </c>
      <c r="EW57" s="522">
        <v>0</v>
      </c>
      <c r="EX57" s="526">
        <v>136.26</v>
      </c>
      <c r="EY57" s="522">
        <v>6</v>
      </c>
      <c r="EZ57" s="526">
        <v>0</v>
      </c>
      <c r="FA57" s="522">
        <v>0</v>
      </c>
      <c r="FB57" s="526">
        <v>0</v>
      </c>
      <c r="FC57" s="522">
        <v>0</v>
      </c>
      <c r="FD57" s="526">
        <v>0</v>
      </c>
      <c r="FE57" s="522">
        <v>0</v>
      </c>
      <c r="FF57" s="526">
        <v>136.26</v>
      </c>
      <c r="FG57" s="522">
        <v>6</v>
      </c>
      <c r="FH57" s="526">
        <v>136.26</v>
      </c>
      <c r="FI57" s="522">
        <v>6</v>
      </c>
      <c r="FJ57" s="522">
        <v>0</v>
      </c>
      <c r="FK57" s="522">
        <v>0</v>
      </c>
      <c r="FL57" s="522">
        <v>0</v>
      </c>
      <c r="FM57" s="522">
        <v>0</v>
      </c>
      <c r="FN57" s="522">
        <v>0</v>
      </c>
      <c r="FO57" s="522">
        <v>0</v>
      </c>
      <c r="FP57" s="522">
        <v>0</v>
      </c>
      <c r="FQ57" s="522">
        <v>92</v>
      </c>
      <c r="FR57" s="522">
        <v>5</v>
      </c>
    </row>
    <row r="58" spans="1:174" x14ac:dyDescent="0.25">
      <c r="A58" s="523" t="s">
        <v>375</v>
      </c>
      <c r="B58" s="523" t="s">
        <v>376</v>
      </c>
      <c r="C58" s="523" t="s">
        <v>283</v>
      </c>
      <c r="D58" s="522">
        <v>455</v>
      </c>
      <c r="E58" s="522">
        <v>450</v>
      </c>
      <c r="F58" s="522">
        <v>0</v>
      </c>
      <c r="G58" s="522">
        <v>0</v>
      </c>
      <c r="H58" s="522">
        <v>69</v>
      </c>
      <c r="I58" s="522">
        <v>64</v>
      </c>
      <c r="J58" s="522">
        <v>73</v>
      </c>
      <c r="K58" s="522">
        <v>62</v>
      </c>
      <c r="L58" s="522">
        <v>91</v>
      </c>
      <c r="M58" s="522">
        <v>8</v>
      </c>
      <c r="N58" s="522">
        <v>688</v>
      </c>
      <c r="O58" s="522">
        <v>584</v>
      </c>
      <c r="P58" s="522">
        <v>597</v>
      </c>
      <c r="Q58" s="522">
        <v>6</v>
      </c>
      <c r="R58" s="523">
        <v>3</v>
      </c>
      <c r="S58" s="523">
        <v>21</v>
      </c>
      <c r="T58" s="523">
        <v>16</v>
      </c>
      <c r="U58" s="523">
        <v>672</v>
      </c>
      <c r="V58" s="522">
        <v>455</v>
      </c>
      <c r="W58" s="522">
        <v>1</v>
      </c>
      <c r="X58" s="522">
        <v>0</v>
      </c>
      <c r="Y58" s="522">
        <v>1</v>
      </c>
      <c r="Z58" s="524">
        <v>122.51</v>
      </c>
      <c r="AA58" s="524">
        <v>123.6</v>
      </c>
      <c r="AB58" s="524">
        <v>10.58</v>
      </c>
      <c r="AC58" s="524">
        <v>128.62</v>
      </c>
      <c r="AD58" s="524">
        <v>364</v>
      </c>
      <c r="AE58" s="525">
        <v>108.25</v>
      </c>
      <c r="AF58" s="525">
        <v>97.04</v>
      </c>
      <c r="AG58" s="525">
        <v>83.38</v>
      </c>
      <c r="AH58" s="525">
        <v>186.34</v>
      </c>
      <c r="AI58" s="525">
        <v>126</v>
      </c>
      <c r="AJ58" s="525">
        <v>170.93</v>
      </c>
      <c r="AK58" s="525">
        <v>76</v>
      </c>
      <c r="AL58" s="525">
        <v>0</v>
      </c>
      <c r="AM58" s="525">
        <v>0</v>
      </c>
      <c r="AN58" s="526">
        <v>139.16</v>
      </c>
      <c r="AO58" s="526">
        <v>173.79</v>
      </c>
      <c r="AP58" s="526">
        <v>3.47</v>
      </c>
      <c r="AQ58" s="526">
        <v>142.63</v>
      </c>
      <c r="AR58" s="522">
        <v>1</v>
      </c>
      <c r="AS58" s="526">
        <v>0</v>
      </c>
      <c r="AT58" s="526">
        <v>0</v>
      </c>
      <c r="AU58" s="526">
        <v>0</v>
      </c>
      <c r="AV58" s="526">
        <v>0</v>
      </c>
      <c r="AW58" s="522">
        <v>0</v>
      </c>
      <c r="AX58" s="526">
        <v>97.25</v>
      </c>
      <c r="AY58" s="526">
        <v>99.25</v>
      </c>
      <c r="AZ58" s="526">
        <v>19.52</v>
      </c>
      <c r="BA58" s="526">
        <v>113.32</v>
      </c>
      <c r="BB58" s="522">
        <v>34</v>
      </c>
      <c r="BC58" s="526">
        <v>115.16</v>
      </c>
      <c r="BD58" s="526">
        <v>116.83</v>
      </c>
      <c r="BE58" s="526">
        <v>13.73</v>
      </c>
      <c r="BF58" s="526">
        <v>125.52</v>
      </c>
      <c r="BG58" s="522">
        <v>114</v>
      </c>
      <c r="BH58" s="526">
        <v>130.08000000000001</v>
      </c>
      <c r="BI58" s="526">
        <v>130.38999999999999</v>
      </c>
      <c r="BJ58" s="526">
        <v>5.17</v>
      </c>
      <c r="BK58" s="526">
        <v>132.43</v>
      </c>
      <c r="BL58" s="522">
        <v>209</v>
      </c>
      <c r="BM58" s="526">
        <v>139.22</v>
      </c>
      <c r="BN58" s="526">
        <v>141.04</v>
      </c>
      <c r="BO58" s="526">
        <v>0</v>
      </c>
      <c r="BP58" s="526">
        <v>139.22</v>
      </c>
      <c r="BQ58" s="522">
        <v>6</v>
      </c>
      <c r="BR58" s="526">
        <v>0</v>
      </c>
      <c r="BS58" s="526">
        <v>0</v>
      </c>
      <c r="BT58" s="526">
        <v>0</v>
      </c>
      <c r="BU58" s="526">
        <v>0</v>
      </c>
      <c r="BV58" s="522">
        <v>0</v>
      </c>
      <c r="BW58" s="526">
        <v>0</v>
      </c>
      <c r="BX58" s="526">
        <v>0</v>
      </c>
      <c r="BY58" s="526">
        <v>0</v>
      </c>
      <c r="BZ58" s="526">
        <v>0</v>
      </c>
      <c r="CA58" s="522">
        <v>0</v>
      </c>
      <c r="CB58" s="526">
        <v>122.47</v>
      </c>
      <c r="CC58" s="526">
        <v>123.46</v>
      </c>
      <c r="CD58" s="526">
        <v>10.62</v>
      </c>
      <c r="CE58" s="526">
        <v>128.58000000000001</v>
      </c>
      <c r="CF58" s="522">
        <v>363</v>
      </c>
      <c r="CG58" s="526">
        <v>122.51</v>
      </c>
      <c r="CH58" s="526">
        <v>123.6</v>
      </c>
      <c r="CI58" s="526">
        <v>10.58</v>
      </c>
      <c r="CJ58" s="526">
        <v>128.62</v>
      </c>
      <c r="CK58" s="522">
        <v>364</v>
      </c>
      <c r="CL58" s="526">
        <v>113.82</v>
      </c>
      <c r="CM58" s="526">
        <v>87.63</v>
      </c>
      <c r="CN58" s="526">
        <v>144.84</v>
      </c>
      <c r="CO58" s="526">
        <v>237.54</v>
      </c>
      <c r="CP58" s="522">
        <v>48</v>
      </c>
      <c r="CQ58" s="526">
        <v>83.51</v>
      </c>
      <c r="CR58" s="526">
        <v>78.63</v>
      </c>
      <c r="CS58" s="526">
        <v>54.62</v>
      </c>
      <c r="CT58" s="526">
        <v>138.13</v>
      </c>
      <c r="CU58" s="522">
        <v>31</v>
      </c>
      <c r="CV58" s="526">
        <v>118.76</v>
      </c>
      <c r="CW58" s="526">
        <v>115.53</v>
      </c>
      <c r="CX58" s="526">
        <v>47.67</v>
      </c>
      <c r="CY58" s="526">
        <v>165.37</v>
      </c>
      <c r="CZ58" s="522">
        <v>45</v>
      </c>
      <c r="DA58" s="526">
        <v>126.91</v>
      </c>
      <c r="DB58" s="526">
        <v>126.86</v>
      </c>
      <c r="DC58" s="526">
        <v>58.05</v>
      </c>
      <c r="DD58" s="526">
        <v>184.96</v>
      </c>
      <c r="DE58" s="522">
        <v>1</v>
      </c>
      <c r="DF58" s="526">
        <v>116.39</v>
      </c>
      <c r="DG58" s="526">
        <v>115.95</v>
      </c>
      <c r="DH58" s="526">
        <v>51.79</v>
      </c>
      <c r="DI58" s="526">
        <v>168.18</v>
      </c>
      <c r="DJ58" s="522">
        <v>1</v>
      </c>
      <c r="DK58" s="526">
        <v>0</v>
      </c>
      <c r="DL58" s="526">
        <v>0</v>
      </c>
      <c r="DM58" s="526">
        <v>0</v>
      </c>
      <c r="DN58" s="526">
        <v>0</v>
      </c>
      <c r="DO58" s="522">
        <v>0</v>
      </c>
      <c r="DP58" s="526">
        <v>104.82</v>
      </c>
      <c r="DQ58" s="526">
        <v>101.02</v>
      </c>
      <c r="DR58" s="526">
        <v>50.66</v>
      </c>
      <c r="DS58" s="526">
        <v>154.83000000000001</v>
      </c>
      <c r="DT58" s="522">
        <v>78</v>
      </c>
      <c r="DU58" s="526">
        <v>108.25</v>
      </c>
      <c r="DV58" s="526">
        <v>97.04</v>
      </c>
      <c r="DW58" s="526">
        <v>83.38</v>
      </c>
      <c r="DX58" s="526">
        <v>186.34</v>
      </c>
      <c r="DY58" s="522">
        <v>126</v>
      </c>
      <c r="DZ58" s="526">
        <v>0</v>
      </c>
      <c r="EA58" s="526">
        <v>0</v>
      </c>
      <c r="EB58" s="526">
        <v>0</v>
      </c>
      <c r="EC58" s="522">
        <v>0</v>
      </c>
      <c r="ED58" s="526">
        <v>132.27000000000001</v>
      </c>
      <c r="EE58" s="522">
        <v>11</v>
      </c>
      <c r="EF58" s="526">
        <v>169.32</v>
      </c>
      <c r="EG58" s="522">
        <v>45</v>
      </c>
      <c r="EH58" s="526">
        <v>195.81</v>
      </c>
      <c r="EI58" s="522">
        <v>20</v>
      </c>
      <c r="EJ58" s="526">
        <v>0</v>
      </c>
      <c r="EK58" s="522">
        <v>0</v>
      </c>
      <c r="EL58" s="526">
        <v>0</v>
      </c>
      <c r="EM58" s="522">
        <v>0</v>
      </c>
      <c r="EN58" s="526">
        <v>0</v>
      </c>
      <c r="EO58" s="522">
        <v>0</v>
      </c>
      <c r="EP58" s="526">
        <v>170.93</v>
      </c>
      <c r="EQ58" s="522">
        <v>76</v>
      </c>
      <c r="ER58" s="526">
        <v>170.93</v>
      </c>
      <c r="ES58" s="522">
        <v>76</v>
      </c>
      <c r="ET58" s="526">
        <v>0</v>
      </c>
      <c r="EU58" s="526">
        <v>0</v>
      </c>
      <c r="EV58" s="526">
        <v>0</v>
      </c>
      <c r="EW58" s="522">
        <v>0</v>
      </c>
      <c r="EX58" s="526">
        <v>0</v>
      </c>
      <c r="EY58" s="522">
        <v>0</v>
      </c>
      <c r="EZ58" s="526">
        <v>0</v>
      </c>
      <c r="FA58" s="522">
        <v>0</v>
      </c>
      <c r="FB58" s="526">
        <v>0</v>
      </c>
      <c r="FC58" s="522">
        <v>0</v>
      </c>
      <c r="FD58" s="526">
        <v>0</v>
      </c>
      <c r="FE58" s="522">
        <v>0</v>
      </c>
      <c r="FF58" s="526">
        <v>0</v>
      </c>
      <c r="FG58" s="522">
        <v>0</v>
      </c>
      <c r="FH58" s="526">
        <v>0</v>
      </c>
      <c r="FI58" s="522">
        <v>0</v>
      </c>
      <c r="FJ58" s="522">
        <v>58</v>
      </c>
      <c r="FK58" s="522">
        <v>0</v>
      </c>
      <c r="FL58" s="522">
        <v>0</v>
      </c>
      <c r="FM58" s="522">
        <v>0</v>
      </c>
      <c r="FN58" s="522">
        <v>0</v>
      </c>
      <c r="FO58" s="522">
        <v>0</v>
      </c>
      <c r="FP58" s="522">
        <v>2</v>
      </c>
      <c r="FQ58" s="522">
        <v>0</v>
      </c>
      <c r="FR58" s="522">
        <v>1</v>
      </c>
    </row>
    <row r="59" spans="1:174" x14ac:dyDescent="0.25">
      <c r="A59" s="523" t="s">
        <v>377</v>
      </c>
      <c r="B59" s="523" t="s">
        <v>378</v>
      </c>
      <c r="C59" s="523" t="s">
        <v>283</v>
      </c>
      <c r="D59" s="522">
        <v>11444</v>
      </c>
      <c r="E59" s="522">
        <v>11366</v>
      </c>
      <c r="F59" s="522">
        <v>0</v>
      </c>
      <c r="G59" s="522">
        <v>0</v>
      </c>
      <c r="H59" s="522">
        <v>407</v>
      </c>
      <c r="I59" s="522">
        <v>350</v>
      </c>
      <c r="J59" s="522">
        <v>754</v>
      </c>
      <c r="K59" s="522">
        <v>750</v>
      </c>
      <c r="L59" s="522">
        <v>3002</v>
      </c>
      <c r="M59" s="522">
        <v>43</v>
      </c>
      <c r="N59" s="522">
        <v>15607</v>
      </c>
      <c r="O59" s="522">
        <v>12509</v>
      </c>
      <c r="P59" s="522">
        <v>12605</v>
      </c>
      <c r="Q59" s="522">
        <v>5</v>
      </c>
      <c r="R59" s="523">
        <v>5</v>
      </c>
      <c r="S59" s="523">
        <v>35</v>
      </c>
      <c r="T59" s="523">
        <v>97</v>
      </c>
      <c r="U59" s="523">
        <v>15510</v>
      </c>
      <c r="V59" s="522">
        <v>11367</v>
      </c>
      <c r="W59" s="522">
        <v>89</v>
      </c>
      <c r="X59" s="522">
        <v>74</v>
      </c>
      <c r="Y59" s="522">
        <v>163</v>
      </c>
      <c r="Z59" s="524">
        <v>117.42</v>
      </c>
      <c r="AA59" s="524">
        <v>122.07</v>
      </c>
      <c r="AB59" s="524">
        <v>6.3</v>
      </c>
      <c r="AC59" s="524">
        <v>119.75</v>
      </c>
      <c r="AD59" s="524">
        <v>8510</v>
      </c>
      <c r="AE59" s="525">
        <v>120.07</v>
      </c>
      <c r="AF59" s="525">
        <v>104.59</v>
      </c>
      <c r="AG59" s="525">
        <v>55.8</v>
      </c>
      <c r="AH59" s="525">
        <v>170.3</v>
      </c>
      <c r="AI59" s="525">
        <v>1091</v>
      </c>
      <c r="AJ59" s="525">
        <v>181.67</v>
      </c>
      <c r="AK59" s="525">
        <v>2786</v>
      </c>
      <c r="AL59" s="525">
        <v>150.63999999999999</v>
      </c>
      <c r="AM59" s="525">
        <v>50</v>
      </c>
      <c r="AN59" s="526">
        <v>0</v>
      </c>
      <c r="AO59" s="526">
        <v>0</v>
      </c>
      <c r="AP59" s="526">
        <v>0</v>
      </c>
      <c r="AQ59" s="526">
        <v>0</v>
      </c>
      <c r="AR59" s="522">
        <v>0</v>
      </c>
      <c r="AS59" s="526">
        <v>0</v>
      </c>
      <c r="AT59" s="526">
        <v>0</v>
      </c>
      <c r="AU59" s="526">
        <v>0</v>
      </c>
      <c r="AV59" s="526">
        <v>0</v>
      </c>
      <c r="AW59" s="522">
        <v>0</v>
      </c>
      <c r="AX59" s="526">
        <v>97.04</v>
      </c>
      <c r="AY59" s="526">
        <v>99.16</v>
      </c>
      <c r="AZ59" s="526">
        <v>7.58</v>
      </c>
      <c r="BA59" s="526">
        <v>100.36</v>
      </c>
      <c r="BB59" s="522">
        <v>1995</v>
      </c>
      <c r="BC59" s="526">
        <v>115.35</v>
      </c>
      <c r="BD59" s="526">
        <v>118.53</v>
      </c>
      <c r="BE59" s="526">
        <v>7.33</v>
      </c>
      <c r="BF59" s="526">
        <v>119.07</v>
      </c>
      <c r="BG59" s="522">
        <v>2860</v>
      </c>
      <c r="BH59" s="526">
        <v>128.91999999999999</v>
      </c>
      <c r="BI59" s="526">
        <v>136.11000000000001</v>
      </c>
      <c r="BJ59" s="526">
        <v>3.14</v>
      </c>
      <c r="BK59" s="526">
        <v>129.57</v>
      </c>
      <c r="BL59" s="522">
        <v>3437</v>
      </c>
      <c r="BM59" s="526">
        <v>148.78</v>
      </c>
      <c r="BN59" s="526">
        <v>155.62</v>
      </c>
      <c r="BO59" s="526">
        <v>3</v>
      </c>
      <c r="BP59" s="526">
        <v>150.22999999999999</v>
      </c>
      <c r="BQ59" s="522">
        <v>203</v>
      </c>
      <c r="BR59" s="526">
        <v>163.02000000000001</v>
      </c>
      <c r="BS59" s="526">
        <v>175.85</v>
      </c>
      <c r="BT59" s="526">
        <v>3.47</v>
      </c>
      <c r="BU59" s="526">
        <v>165.16</v>
      </c>
      <c r="BV59" s="522">
        <v>13</v>
      </c>
      <c r="BW59" s="526">
        <v>153.76</v>
      </c>
      <c r="BX59" s="526">
        <v>164.5</v>
      </c>
      <c r="BY59" s="526">
        <v>3.54</v>
      </c>
      <c r="BZ59" s="526">
        <v>155.53</v>
      </c>
      <c r="CA59" s="522">
        <v>2</v>
      </c>
      <c r="CB59" s="526">
        <v>117.42</v>
      </c>
      <c r="CC59" s="526">
        <v>122.07</v>
      </c>
      <c r="CD59" s="526">
        <v>6.3</v>
      </c>
      <c r="CE59" s="526">
        <v>119.75</v>
      </c>
      <c r="CF59" s="522">
        <v>8510</v>
      </c>
      <c r="CG59" s="526">
        <v>117.42</v>
      </c>
      <c r="CH59" s="526">
        <v>122.07</v>
      </c>
      <c r="CI59" s="526">
        <v>6.3</v>
      </c>
      <c r="CJ59" s="526">
        <v>119.75</v>
      </c>
      <c r="CK59" s="522">
        <v>8510</v>
      </c>
      <c r="CL59" s="526">
        <v>144.71</v>
      </c>
      <c r="CM59" s="526">
        <v>91.65</v>
      </c>
      <c r="CN59" s="526">
        <v>98.17</v>
      </c>
      <c r="CO59" s="526">
        <v>207.04</v>
      </c>
      <c r="CP59" s="522">
        <v>126</v>
      </c>
      <c r="CQ59" s="526">
        <v>100.32</v>
      </c>
      <c r="CR59" s="526">
        <v>93.52</v>
      </c>
      <c r="CS59" s="526">
        <v>53.3</v>
      </c>
      <c r="CT59" s="526">
        <v>153.62</v>
      </c>
      <c r="CU59" s="522">
        <v>55</v>
      </c>
      <c r="CV59" s="526">
        <v>114.82</v>
      </c>
      <c r="CW59" s="526">
        <v>104</v>
      </c>
      <c r="CX59" s="526">
        <v>51.6</v>
      </c>
      <c r="CY59" s="526">
        <v>163.41999999999999</v>
      </c>
      <c r="CZ59" s="522">
        <v>790</v>
      </c>
      <c r="DA59" s="526">
        <v>130.86000000000001</v>
      </c>
      <c r="DB59" s="526">
        <v>119.43</v>
      </c>
      <c r="DC59" s="526">
        <v>54.12</v>
      </c>
      <c r="DD59" s="526">
        <v>178.85</v>
      </c>
      <c r="DE59" s="522">
        <v>106</v>
      </c>
      <c r="DF59" s="526">
        <v>190.32</v>
      </c>
      <c r="DG59" s="526">
        <v>150.13999999999999</v>
      </c>
      <c r="DH59" s="526">
        <v>59.61</v>
      </c>
      <c r="DI59" s="526">
        <v>228.64</v>
      </c>
      <c r="DJ59" s="522">
        <v>14</v>
      </c>
      <c r="DK59" s="526">
        <v>0</v>
      </c>
      <c r="DL59" s="526">
        <v>0</v>
      </c>
      <c r="DM59" s="526">
        <v>0</v>
      </c>
      <c r="DN59" s="526">
        <v>0</v>
      </c>
      <c r="DO59" s="522">
        <v>0</v>
      </c>
      <c r="DP59" s="526">
        <v>116.85</v>
      </c>
      <c r="DQ59" s="526">
        <v>105.27</v>
      </c>
      <c r="DR59" s="526">
        <v>52.04</v>
      </c>
      <c r="DS59" s="526">
        <v>165.5</v>
      </c>
      <c r="DT59" s="522">
        <v>965</v>
      </c>
      <c r="DU59" s="526">
        <v>120.07</v>
      </c>
      <c r="DV59" s="526">
        <v>104.59</v>
      </c>
      <c r="DW59" s="526">
        <v>55.8</v>
      </c>
      <c r="DX59" s="526">
        <v>170.3</v>
      </c>
      <c r="DY59" s="522">
        <v>1091</v>
      </c>
      <c r="DZ59" s="526">
        <v>0</v>
      </c>
      <c r="EA59" s="526">
        <v>0</v>
      </c>
      <c r="EB59" s="526">
        <v>0</v>
      </c>
      <c r="EC59" s="522">
        <v>0</v>
      </c>
      <c r="ED59" s="526">
        <v>135.26</v>
      </c>
      <c r="EE59" s="522">
        <v>449</v>
      </c>
      <c r="EF59" s="526">
        <v>173.97</v>
      </c>
      <c r="EG59" s="522">
        <v>1495</v>
      </c>
      <c r="EH59" s="526">
        <v>212.43</v>
      </c>
      <c r="EI59" s="522">
        <v>692</v>
      </c>
      <c r="EJ59" s="526">
        <v>255.53</v>
      </c>
      <c r="EK59" s="522">
        <v>149</v>
      </c>
      <c r="EL59" s="526">
        <v>257.72000000000003</v>
      </c>
      <c r="EM59" s="522">
        <v>1</v>
      </c>
      <c r="EN59" s="526">
        <v>0</v>
      </c>
      <c r="EO59" s="522">
        <v>0</v>
      </c>
      <c r="EP59" s="526">
        <v>181.67</v>
      </c>
      <c r="EQ59" s="522">
        <v>2786</v>
      </c>
      <c r="ER59" s="526">
        <v>181.67</v>
      </c>
      <c r="ES59" s="522">
        <v>2786</v>
      </c>
      <c r="ET59" s="526">
        <v>0</v>
      </c>
      <c r="EU59" s="526">
        <v>0</v>
      </c>
      <c r="EV59" s="526">
        <v>0</v>
      </c>
      <c r="EW59" s="522">
        <v>0</v>
      </c>
      <c r="EX59" s="526">
        <v>150.01</v>
      </c>
      <c r="EY59" s="522">
        <v>49</v>
      </c>
      <c r="EZ59" s="526">
        <v>181.44</v>
      </c>
      <c r="FA59" s="522">
        <v>1</v>
      </c>
      <c r="FB59" s="526">
        <v>0</v>
      </c>
      <c r="FC59" s="522">
        <v>0</v>
      </c>
      <c r="FD59" s="526">
        <v>0</v>
      </c>
      <c r="FE59" s="522">
        <v>0</v>
      </c>
      <c r="FF59" s="526">
        <v>150.63999999999999</v>
      </c>
      <c r="FG59" s="522">
        <v>50</v>
      </c>
      <c r="FH59" s="526">
        <v>150.63999999999999</v>
      </c>
      <c r="FI59" s="522">
        <v>50</v>
      </c>
      <c r="FJ59" s="522">
        <v>0</v>
      </c>
      <c r="FK59" s="522">
        <v>3</v>
      </c>
      <c r="FL59" s="522">
        <v>2</v>
      </c>
      <c r="FM59" s="522">
        <v>0</v>
      </c>
      <c r="FN59" s="522">
        <v>0</v>
      </c>
      <c r="FO59" s="522">
        <v>1</v>
      </c>
      <c r="FP59" s="522">
        <v>2</v>
      </c>
      <c r="FQ59" s="522">
        <v>273</v>
      </c>
      <c r="FR59" s="522">
        <v>21</v>
      </c>
    </row>
    <row r="60" spans="1:174" x14ac:dyDescent="0.25">
      <c r="A60" s="523" t="s">
        <v>379</v>
      </c>
      <c r="B60" s="523" t="s">
        <v>380</v>
      </c>
      <c r="C60" s="523" t="s">
        <v>282</v>
      </c>
      <c r="D60" s="522">
        <v>3569</v>
      </c>
      <c r="E60" s="522">
        <v>3551</v>
      </c>
      <c r="F60" s="522">
        <v>3</v>
      </c>
      <c r="G60" s="522">
        <v>0</v>
      </c>
      <c r="H60" s="522">
        <v>459</v>
      </c>
      <c r="I60" s="522">
        <v>299</v>
      </c>
      <c r="J60" s="522">
        <v>262</v>
      </c>
      <c r="K60" s="522">
        <v>254</v>
      </c>
      <c r="L60" s="522">
        <v>777</v>
      </c>
      <c r="M60" s="522">
        <v>0</v>
      </c>
      <c r="N60" s="522">
        <v>5070</v>
      </c>
      <c r="O60" s="522">
        <v>4104</v>
      </c>
      <c r="P60" s="522">
        <v>4293</v>
      </c>
      <c r="Q60" s="522">
        <v>7</v>
      </c>
      <c r="R60" s="523">
        <v>9</v>
      </c>
      <c r="S60" s="523">
        <v>26</v>
      </c>
      <c r="T60" s="523">
        <v>167</v>
      </c>
      <c r="U60" s="523">
        <v>4903</v>
      </c>
      <c r="V60" s="522">
        <v>3569</v>
      </c>
      <c r="W60" s="522">
        <v>22</v>
      </c>
      <c r="X60" s="522">
        <v>37</v>
      </c>
      <c r="Y60" s="522">
        <v>59</v>
      </c>
      <c r="Z60" s="524">
        <v>105.06</v>
      </c>
      <c r="AA60" s="524">
        <v>105.53</v>
      </c>
      <c r="AB60" s="524">
        <v>9.26</v>
      </c>
      <c r="AC60" s="524">
        <v>112.23</v>
      </c>
      <c r="AD60" s="524">
        <v>2223</v>
      </c>
      <c r="AE60" s="525">
        <v>120.63</v>
      </c>
      <c r="AF60" s="525">
        <v>93.62</v>
      </c>
      <c r="AG60" s="525">
        <v>78.680000000000007</v>
      </c>
      <c r="AH60" s="525">
        <v>197.38</v>
      </c>
      <c r="AI60" s="525">
        <v>488</v>
      </c>
      <c r="AJ60" s="525">
        <v>131.97</v>
      </c>
      <c r="AK60" s="525">
        <v>1229</v>
      </c>
      <c r="AL60" s="525">
        <v>225.37</v>
      </c>
      <c r="AM60" s="525">
        <v>69</v>
      </c>
      <c r="AN60" s="526">
        <v>0</v>
      </c>
      <c r="AO60" s="526">
        <v>0</v>
      </c>
      <c r="AP60" s="526">
        <v>0</v>
      </c>
      <c r="AQ60" s="526">
        <v>0</v>
      </c>
      <c r="AR60" s="522">
        <v>0</v>
      </c>
      <c r="AS60" s="526">
        <v>79.209999999999994</v>
      </c>
      <c r="AT60" s="526">
        <v>73.8</v>
      </c>
      <c r="AU60" s="526">
        <v>13.51</v>
      </c>
      <c r="AV60" s="526">
        <v>92.72</v>
      </c>
      <c r="AW60" s="522">
        <v>6</v>
      </c>
      <c r="AX60" s="526">
        <v>85.95</v>
      </c>
      <c r="AY60" s="526">
        <v>85.34</v>
      </c>
      <c r="AZ60" s="526">
        <v>15.01</v>
      </c>
      <c r="BA60" s="526">
        <v>100.88</v>
      </c>
      <c r="BB60" s="522">
        <v>559</v>
      </c>
      <c r="BC60" s="526">
        <v>103.91</v>
      </c>
      <c r="BD60" s="526">
        <v>104.24</v>
      </c>
      <c r="BE60" s="526">
        <v>8.73</v>
      </c>
      <c r="BF60" s="526">
        <v>110.5</v>
      </c>
      <c r="BG60" s="522">
        <v>889</v>
      </c>
      <c r="BH60" s="526">
        <v>118.61</v>
      </c>
      <c r="BI60" s="526">
        <v>120.03</v>
      </c>
      <c r="BJ60" s="526">
        <v>3.48</v>
      </c>
      <c r="BK60" s="526">
        <v>120.79</v>
      </c>
      <c r="BL60" s="522">
        <v>691</v>
      </c>
      <c r="BM60" s="526">
        <v>136.81</v>
      </c>
      <c r="BN60" s="526">
        <v>138.44999999999999</v>
      </c>
      <c r="BO60" s="526">
        <v>2.74</v>
      </c>
      <c r="BP60" s="526">
        <v>138.84</v>
      </c>
      <c r="BQ60" s="522">
        <v>77</v>
      </c>
      <c r="BR60" s="526">
        <v>160.84</v>
      </c>
      <c r="BS60" s="526">
        <v>166.99</v>
      </c>
      <c r="BT60" s="526">
        <v>1.4</v>
      </c>
      <c r="BU60" s="526">
        <v>162.24</v>
      </c>
      <c r="BV60" s="522">
        <v>1</v>
      </c>
      <c r="BW60" s="526">
        <v>0</v>
      </c>
      <c r="BX60" s="526">
        <v>0</v>
      </c>
      <c r="BY60" s="526">
        <v>0</v>
      </c>
      <c r="BZ60" s="526">
        <v>0</v>
      </c>
      <c r="CA60" s="522">
        <v>0</v>
      </c>
      <c r="CB60" s="526">
        <v>105.06</v>
      </c>
      <c r="CC60" s="526">
        <v>105.53</v>
      </c>
      <c r="CD60" s="526">
        <v>9.26</v>
      </c>
      <c r="CE60" s="526">
        <v>112.23</v>
      </c>
      <c r="CF60" s="522">
        <v>2223</v>
      </c>
      <c r="CG60" s="526">
        <v>105.06</v>
      </c>
      <c r="CH60" s="526">
        <v>105.53</v>
      </c>
      <c r="CI60" s="526">
        <v>9.26</v>
      </c>
      <c r="CJ60" s="526">
        <v>112.23</v>
      </c>
      <c r="CK60" s="522">
        <v>2223</v>
      </c>
      <c r="CL60" s="526">
        <v>184.35</v>
      </c>
      <c r="CM60" s="526">
        <v>84.4</v>
      </c>
      <c r="CN60" s="526">
        <v>98.86</v>
      </c>
      <c r="CO60" s="526">
        <v>281.02999999999997</v>
      </c>
      <c r="CP60" s="522">
        <v>91</v>
      </c>
      <c r="CQ60" s="526">
        <v>82.71</v>
      </c>
      <c r="CR60" s="526">
        <v>83.95</v>
      </c>
      <c r="CS60" s="526">
        <v>89.75</v>
      </c>
      <c r="CT60" s="526">
        <v>166.14</v>
      </c>
      <c r="CU60" s="522">
        <v>71</v>
      </c>
      <c r="CV60" s="526">
        <v>110.42</v>
      </c>
      <c r="CW60" s="526">
        <v>93.8</v>
      </c>
      <c r="CX60" s="526">
        <v>74.97</v>
      </c>
      <c r="CY60" s="526">
        <v>184.82</v>
      </c>
      <c r="CZ60" s="522">
        <v>269</v>
      </c>
      <c r="DA60" s="526">
        <v>113.97</v>
      </c>
      <c r="DB60" s="526">
        <v>104</v>
      </c>
      <c r="DC60" s="526">
        <v>50.48</v>
      </c>
      <c r="DD60" s="526">
        <v>161.75</v>
      </c>
      <c r="DE60" s="522">
        <v>56</v>
      </c>
      <c r="DF60" s="526">
        <v>135.88999999999999</v>
      </c>
      <c r="DG60" s="526">
        <v>138.49</v>
      </c>
      <c r="DH60" s="526">
        <v>40.159999999999997</v>
      </c>
      <c r="DI60" s="526">
        <v>176.05</v>
      </c>
      <c r="DJ60" s="522">
        <v>1</v>
      </c>
      <c r="DK60" s="526">
        <v>0</v>
      </c>
      <c r="DL60" s="526">
        <v>0</v>
      </c>
      <c r="DM60" s="526">
        <v>0</v>
      </c>
      <c r="DN60" s="526">
        <v>0</v>
      </c>
      <c r="DO60" s="522">
        <v>0</v>
      </c>
      <c r="DP60" s="526">
        <v>106.03</v>
      </c>
      <c r="DQ60" s="526">
        <v>94.58</v>
      </c>
      <c r="DR60" s="526">
        <v>74.040000000000006</v>
      </c>
      <c r="DS60" s="526">
        <v>178.21</v>
      </c>
      <c r="DT60" s="522">
        <v>397</v>
      </c>
      <c r="DU60" s="526">
        <v>120.63</v>
      </c>
      <c r="DV60" s="526">
        <v>93.62</v>
      </c>
      <c r="DW60" s="526">
        <v>78.680000000000007</v>
      </c>
      <c r="DX60" s="526">
        <v>197.38</v>
      </c>
      <c r="DY60" s="522">
        <v>488</v>
      </c>
      <c r="DZ60" s="526">
        <v>0</v>
      </c>
      <c r="EA60" s="526">
        <v>0</v>
      </c>
      <c r="EB60" s="526">
        <v>113.54</v>
      </c>
      <c r="EC60" s="522">
        <v>1</v>
      </c>
      <c r="ED60" s="526">
        <v>106.18</v>
      </c>
      <c r="EE60" s="522">
        <v>191</v>
      </c>
      <c r="EF60" s="526">
        <v>130.41999999999999</v>
      </c>
      <c r="EG60" s="522">
        <v>698</v>
      </c>
      <c r="EH60" s="526">
        <v>147.47999999999999</v>
      </c>
      <c r="EI60" s="522">
        <v>306</v>
      </c>
      <c r="EJ60" s="526">
        <v>170.59</v>
      </c>
      <c r="EK60" s="522">
        <v>33</v>
      </c>
      <c r="EL60" s="526">
        <v>0</v>
      </c>
      <c r="EM60" s="522">
        <v>0</v>
      </c>
      <c r="EN60" s="526">
        <v>0</v>
      </c>
      <c r="EO60" s="522">
        <v>0</v>
      </c>
      <c r="EP60" s="526">
        <v>131.97</v>
      </c>
      <c r="EQ60" s="522">
        <v>1229</v>
      </c>
      <c r="ER60" s="526">
        <v>131.97</v>
      </c>
      <c r="ES60" s="522">
        <v>1229</v>
      </c>
      <c r="ET60" s="526">
        <v>0</v>
      </c>
      <c r="EU60" s="526">
        <v>0</v>
      </c>
      <c r="EV60" s="526">
        <v>0</v>
      </c>
      <c r="EW60" s="522">
        <v>0</v>
      </c>
      <c r="EX60" s="526">
        <v>234.77</v>
      </c>
      <c r="EY60" s="522">
        <v>53</v>
      </c>
      <c r="EZ60" s="526">
        <v>194.23</v>
      </c>
      <c r="FA60" s="522">
        <v>16</v>
      </c>
      <c r="FB60" s="526">
        <v>0</v>
      </c>
      <c r="FC60" s="522">
        <v>0</v>
      </c>
      <c r="FD60" s="526">
        <v>0</v>
      </c>
      <c r="FE60" s="522">
        <v>0</v>
      </c>
      <c r="FF60" s="526">
        <v>225.37</v>
      </c>
      <c r="FG60" s="522">
        <v>69</v>
      </c>
      <c r="FH60" s="526">
        <v>225.37</v>
      </c>
      <c r="FI60" s="522">
        <v>69</v>
      </c>
      <c r="FJ60" s="522">
        <v>0</v>
      </c>
      <c r="FK60" s="522">
        <v>2</v>
      </c>
      <c r="FL60" s="522">
        <v>0</v>
      </c>
      <c r="FM60" s="522">
        <v>0</v>
      </c>
      <c r="FN60" s="522">
        <v>2</v>
      </c>
      <c r="FO60" s="522">
        <v>0</v>
      </c>
      <c r="FP60" s="522">
        <v>12</v>
      </c>
      <c r="FQ60" s="522">
        <v>55</v>
      </c>
      <c r="FR60" s="522">
        <v>8</v>
      </c>
    </row>
    <row r="61" spans="1:174" x14ac:dyDescent="0.25">
      <c r="A61" s="523" t="s">
        <v>381</v>
      </c>
      <c r="B61" s="523" t="s">
        <v>382</v>
      </c>
      <c r="C61" s="523" t="s">
        <v>283</v>
      </c>
      <c r="D61" s="522">
        <v>10108</v>
      </c>
      <c r="E61" s="522">
        <v>10256</v>
      </c>
      <c r="F61" s="522">
        <v>250</v>
      </c>
      <c r="G61" s="522">
        <v>250</v>
      </c>
      <c r="H61" s="522">
        <v>307</v>
      </c>
      <c r="I61" s="522">
        <v>280</v>
      </c>
      <c r="J61" s="522">
        <v>281</v>
      </c>
      <c r="K61" s="522">
        <v>197</v>
      </c>
      <c r="L61" s="522">
        <v>1075</v>
      </c>
      <c r="M61" s="522">
        <v>98</v>
      </c>
      <c r="N61" s="522">
        <v>12021</v>
      </c>
      <c r="O61" s="522">
        <v>11081</v>
      </c>
      <c r="P61" s="522">
        <v>10946</v>
      </c>
      <c r="Q61" s="522">
        <v>40</v>
      </c>
      <c r="R61" s="523">
        <v>3</v>
      </c>
      <c r="S61" s="523">
        <v>31</v>
      </c>
      <c r="T61" s="523">
        <v>96</v>
      </c>
      <c r="U61" s="523">
        <v>11925</v>
      </c>
      <c r="V61" s="522">
        <v>10108</v>
      </c>
      <c r="W61" s="522">
        <v>51</v>
      </c>
      <c r="X61" s="522">
        <v>50</v>
      </c>
      <c r="Y61" s="522">
        <v>101</v>
      </c>
      <c r="Z61" s="524">
        <v>116.6</v>
      </c>
      <c r="AA61" s="524">
        <v>118.02</v>
      </c>
      <c r="AB61" s="524">
        <v>14.02</v>
      </c>
      <c r="AC61" s="524">
        <v>123.41</v>
      </c>
      <c r="AD61" s="524">
        <v>8654</v>
      </c>
      <c r="AE61" s="525">
        <v>118.2</v>
      </c>
      <c r="AF61" s="525">
        <v>104.1</v>
      </c>
      <c r="AG61" s="525">
        <v>102.5</v>
      </c>
      <c r="AH61" s="525">
        <v>217.57</v>
      </c>
      <c r="AI61" s="525">
        <v>492</v>
      </c>
      <c r="AJ61" s="525">
        <v>172.97</v>
      </c>
      <c r="AK61" s="525">
        <v>1317</v>
      </c>
      <c r="AL61" s="525">
        <v>0</v>
      </c>
      <c r="AM61" s="525">
        <v>0</v>
      </c>
      <c r="AN61" s="526">
        <v>0</v>
      </c>
      <c r="AO61" s="526">
        <v>0</v>
      </c>
      <c r="AP61" s="526">
        <v>0</v>
      </c>
      <c r="AQ61" s="526">
        <v>0</v>
      </c>
      <c r="AR61" s="522">
        <v>0</v>
      </c>
      <c r="AS61" s="526">
        <v>86.55</v>
      </c>
      <c r="AT61" s="526">
        <v>86.31</v>
      </c>
      <c r="AU61" s="526">
        <v>14.36</v>
      </c>
      <c r="AV61" s="526">
        <v>95.19</v>
      </c>
      <c r="AW61" s="522">
        <v>128</v>
      </c>
      <c r="AX61" s="526">
        <v>102.72</v>
      </c>
      <c r="AY61" s="526">
        <v>102.41</v>
      </c>
      <c r="AZ61" s="526">
        <v>18.77</v>
      </c>
      <c r="BA61" s="526">
        <v>115.63</v>
      </c>
      <c r="BB61" s="522">
        <v>2940</v>
      </c>
      <c r="BC61" s="526">
        <v>116.43</v>
      </c>
      <c r="BD61" s="526">
        <v>117.76</v>
      </c>
      <c r="BE61" s="526">
        <v>11.4</v>
      </c>
      <c r="BF61" s="526">
        <v>122.77</v>
      </c>
      <c r="BG61" s="522">
        <v>2689</v>
      </c>
      <c r="BH61" s="526">
        <v>130.85</v>
      </c>
      <c r="BI61" s="526">
        <v>133.97</v>
      </c>
      <c r="BJ61" s="526">
        <v>4.63</v>
      </c>
      <c r="BK61" s="526">
        <v>131.79</v>
      </c>
      <c r="BL61" s="522">
        <v>2750</v>
      </c>
      <c r="BM61" s="526">
        <v>157.09</v>
      </c>
      <c r="BN61" s="526">
        <v>162.96</v>
      </c>
      <c r="BO61" s="526">
        <v>4.5599999999999996</v>
      </c>
      <c r="BP61" s="526">
        <v>158.82</v>
      </c>
      <c r="BQ61" s="522">
        <v>145</v>
      </c>
      <c r="BR61" s="526">
        <v>136.94999999999999</v>
      </c>
      <c r="BS61" s="526">
        <v>156.59</v>
      </c>
      <c r="BT61" s="526">
        <v>0</v>
      </c>
      <c r="BU61" s="526">
        <v>136.94999999999999</v>
      </c>
      <c r="BV61" s="522">
        <v>2</v>
      </c>
      <c r="BW61" s="526">
        <v>0</v>
      </c>
      <c r="BX61" s="526">
        <v>0</v>
      </c>
      <c r="BY61" s="526">
        <v>0</v>
      </c>
      <c r="BZ61" s="526">
        <v>0</v>
      </c>
      <c r="CA61" s="522">
        <v>0</v>
      </c>
      <c r="CB61" s="526">
        <v>116.6</v>
      </c>
      <c r="CC61" s="526">
        <v>118.02</v>
      </c>
      <c r="CD61" s="526">
        <v>14.02</v>
      </c>
      <c r="CE61" s="526">
        <v>123.41</v>
      </c>
      <c r="CF61" s="522">
        <v>8654</v>
      </c>
      <c r="CG61" s="526">
        <v>116.6</v>
      </c>
      <c r="CH61" s="526">
        <v>118.02</v>
      </c>
      <c r="CI61" s="526">
        <v>14.02</v>
      </c>
      <c r="CJ61" s="526">
        <v>123.41</v>
      </c>
      <c r="CK61" s="522">
        <v>8654</v>
      </c>
      <c r="CL61" s="526">
        <v>121.03</v>
      </c>
      <c r="CM61" s="526">
        <v>96.27</v>
      </c>
      <c r="CN61" s="526">
        <v>117.27</v>
      </c>
      <c r="CO61" s="526">
        <v>230.12</v>
      </c>
      <c r="CP61" s="522">
        <v>86</v>
      </c>
      <c r="CQ61" s="526">
        <v>105.69</v>
      </c>
      <c r="CR61" s="526">
        <v>95.85</v>
      </c>
      <c r="CS61" s="526">
        <v>127.34</v>
      </c>
      <c r="CT61" s="526">
        <v>233.02</v>
      </c>
      <c r="CU61" s="522">
        <v>107</v>
      </c>
      <c r="CV61" s="526">
        <v>119.5</v>
      </c>
      <c r="CW61" s="526">
        <v>105.52</v>
      </c>
      <c r="CX61" s="526">
        <v>86.18</v>
      </c>
      <c r="CY61" s="526">
        <v>204.64</v>
      </c>
      <c r="CZ61" s="522">
        <v>249</v>
      </c>
      <c r="DA61" s="526">
        <v>133.26</v>
      </c>
      <c r="DB61" s="526">
        <v>126.2</v>
      </c>
      <c r="DC61" s="526">
        <v>106.48</v>
      </c>
      <c r="DD61" s="526">
        <v>232.94</v>
      </c>
      <c r="DE61" s="522">
        <v>47</v>
      </c>
      <c r="DF61" s="526">
        <v>138.83000000000001</v>
      </c>
      <c r="DG61" s="526">
        <v>129.74</v>
      </c>
      <c r="DH61" s="526">
        <v>0</v>
      </c>
      <c r="DI61" s="526">
        <v>138.83000000000001</v>
      </c>
      <c r="DJ61" s="522">
        <v>3</v>
      </c>
      <c r="DK61" s="526">
        <v>0</v>
      </c>
      <c r="DL61" s="526">
        <v>0</v>
      </c>
      <c r="DM61" s="526">
        <v>0</v>
      </c>
      <c r="DN61" s="526">
        <v>0</v>
      </c>
      <c r="DO61" s="522">
        <v>0</v>
      </c>
      <c r="DP61" s="526">
        <v>117.59</v>
      </c>
      <c r="DQ61" s="526">
        <v>105.62</v>
      </c>
      <c r="DR61" s="526">
        <v>99.52</v>
      </c>
      <c r="DS61" s="526">
        <v>214.91</v>
      </c>
      <c r="DT61" s="522">
        <v>406</v>
      </c>
      <c r="DU61" s="526">
        <v>118.2</v>
      </c>
      <c r="DV61" s="526">
        <v>104.1</v>
      </c>
      <c r="DW61" s="526">
        <v>102.5</v>
      </c>
      <c r="DX61" s="526">
        <v>217.57</v>
      </c>
      <c r="DY61" s="522">
        <v>492</v>
      </c>
      <c r="DZ61" s="526">
        <v>0</v>
      </c>
      <c r="EA61" s="526">
        <v>0</v>
      </c>
      <c r="EB61" s="526">
        <v>139.72</v>
      </c>
      <c r="EC61" s="522">
        <v>6</v>
      </c>
      <c r="ED61" s="526">
        <v>145</v>
      </c>
      <c r="EE61" s="522">
        <v>429</v>
      </c>
      <c r="EF61" s="526">
        <v>174.61</v>
      </c>
      <c r="EG61" s="522">
        <v>626</v>
      </c>
      <c r="EH61" s="526">
        <v>211.58</v>
      </c>
      <c r="EI61" s="522">
        <v>220</v>
      </c>
      <c r="EJ61" s="526">
        <v>247.47</v>
      </c>
      <c r="EK61" s="522">
        <v>36</v>
      </c>
      <c r="EL61" s="526">
        <v>0</v>
      </c>
      <c r="EM61" s="522">
        <v>0</v>
      </c>
      <c r="EN61" s="526">
        <v>0</v>
      </c>
      <c r="EO61" s="522">
        <v>0</v>
      </c>
      <c r="EP61" s="526">
        <v>172.97</v>
      </c>
      <c r="EQ61" s="522">
        <v>1317</v>
      </c>
      <c r="ER61" s="526">
        <v>172.97</v>
      </c>
      <c r="ES61" s="522">
        <v>1317</v>
      </c>
      <c r="ET61" s="526">
        <v>0</v>
      </c>
      <c r="EU61" s="526">
        <v>0</v>
      </c>
      <c r="EV61" s="526">
        <v>0</v>
      </c>
      <c r="EW61" s="522">
        <v>0</v>
      </c>
      <c r="EX61" s="526">
        <v>0</v>
      </c>
      <c r="EY61" s="522">
        <v>0</v>
      </c>
      <c r="EZ61" s="526">
        <v>0</v>
      </c>
      <c r="FA61" s="522">
        <v>0</v>
      </c>
      <c r="FB61" s="526">
        <v>0</v>
      </c>
      <c r="FC61" s="522">
        <v>0</v>
      </c>
      <c r="FD61" s="526">
        <v>0</v>
      </c>
      <c r="FE61" s="522">
        <v>0</v>
      </c>
      <c r="FF61" s="526">
        <v>0</v>
      </c>
      <c r="FG61" s="522">
        <v>0</v>
      </c>
      <c r="FH61" s="526">
        <v>0</v>
      </c>
      <c r="FI61" s="522">
        <v>0</v>
      </c>
      <c r="FJ61" s="522">
        <v>0</v>
      </c>
      <c r="FK61" s="522">
        <v>3</v>
      </c>
      <c r="FL61" s="522">
        <v>1</v>
      </c>
      <c r="FM61" s="522">
        <v>0</v>
      </c>
      <c r="FN61" s="522">
        <v>2</v>
      </c>
      <c r="FO61" s="522">
        <v>0</v>
      </c>
      <c r="FP61" s="522">
        <v>0</v>
      </c>
      <c r="FQ61" s="522">
        <v>115</v>
      </c>
      <c r="FR61" s="522">
        <v>8</v>
      </c>
    </row>
    <row r="62" spans="1:174" x14ac:dyDescent="0.25">
      <c r="A62" s="523" t="s">
        <v>383</v>
      </c>
      <c r="B62" s="523" t="s">
        <v>384</v>
      </c>
      <c r="C62" s="523" t="s">
        <v>287</v>
      </c>
      <c r="D62" s="522">
        <v>1877</v>
      </c>
      <c r="E62" s="522">
        <v>1745</v>
      </c>
      <c r="F62" s="522">
        <v>0</v>
      </c>
      <c r="G62" s="522">
        <v>0</v>
      </c>
      <c r="H62" s="522">
        <v>394</v>
      </c>
      <c r="I62" s="522">
        <v>237</v>
      </c>
      <c r="J62" s="522">
        <v>242</v>
      </c>
      <c r="K62" s="522">
        <v>199</v>
      </c>
      <c r="L62" s="522">
        <v>369</v>
      </c>
      <c r="M62" s="522">
        <v>12</v>
      </c>
      <c r="N62" s="522">
        <v>2882</v>
      </c>
      <c r="O62" s="522">
        <v>2193</v>
      </c>
      <c r="P62" s="522">
        <v>2513</v>
      </c>
      <c r="Q62" s="522">
        <v>53</v>
      </c>
      <c r="R62" s="523">
        <v>8</v>
      </c>
      <c r="S62" s="523">
        <v>21</v>
      </c>
      <c r="T62" s="523">
        <v>258</v>
      </c>
      <c r="U62" s="523">
        <v>2624</v>
      </c>
      <c r="V62" s="522">
        <v>1745</v>
      </c>
      <c r="W62" s="522">
        <v>20</v>
      </c>
      <c r="X62" s="522">
        <v>32</v>
      </c>
      <c r="Y62" s="522">
        <v>52</v>
      </c>
      <c r="Z62" s="524">
        <v>110.62</v>
      </c>
      <c r="AA62" s="524">
        <v>109.79</v>
      </c>
      <c r="AB62" s="524">
        <v>6.79</v>
      </c>
      <c r="AC62" s="524">
        <v>116.35</v>
      </c>
      <c r="AD62" s="524">
        <v>1489</v>
      </c>
      <c r="AE62" s="525">
        <v>114.57</v>
      </c>
      <c r="AF62" s="525">
        <v>93.5</v>
      </c>
      <c r="AG62" s="525">
        <v>82.99</v>
      </c>
      <c r="AH62" s="525">
        <v>194.05</v>
      </c>
      <c r="AI62" s="525">
        <v>473</v>
      </c>
      <c r="AJ62" s="525">
        <v>154.34</v>
      </c>
      <c r="AK62" s="525">
        <v>327</v>
      </c>
      <c r="AL62" s="525">
        <v>260.11</v>
      </c>
      <c r="AM62" s="525">
        <v>37</v>
      </c>
      <c r="AN62" s="526">
        <v>0</v>
      </c>
      <c r="AO62" s="526">
        <v>0</v>
      </c>
      <c r="AP62" s="526">
        <v>0</v>
      </c>
      <c r="AQ62" s="526">
        <v>0</v>
      </c>
      <c r="AR62" s="522">
        <v>0</v>
      </c>
      <c r="AS62" s="526">
        <v>79.77</v>
      </c>
      <c r="AT62" s="526">
        <v>79.36</v>
      </c>
      <c r="AU62" s="526">
        <v>11.56</v>
      </c>
      <c r="AV62" s="526">
        <v>90.62</v>
      </c>
      <c r="AW62" s="522">
        <v>49</v>
      </c>
      <c r="AX62" s="526">
        <v>96.81</v>
      </c>
      <c r="AY62" s="526">
        <v>94.29</v>
      </c>
      <c r="AZ62" s="526">
        <v>9.6999999999999993</v>
      </c>
      <c r="BA62" s="526">
        <v>105.5</v>
      </c>
      <c r="BB62" s="522">
        <v>404</v>
      </c>
      <c r="BC62" s="526">
        <v>109.98</v>
      </c>
      <c r="BD62" s="526">
        <v>109.55</v>
      </c>
      <c r="BE62" s="526">
        <v>7.35</v>
      </c>
      <c r="BF62" s="526">
        <v>116.4</v>
      </c>
      <c r="BG62" s="522">
        <v>549</v>
      </c>
      <c r="BH62" s="526">
        <v>123.07</v>
      </c>
      <c r="BI62" s="526">
        <v>122.79</v>
      </c>
      <c r="BJ62" s="526">
        <v>2.65</v>
      </c>
      <c r="BK62" s="526">
        <v>125.11</v>
      </c>
      <c r="BL62" s="522">
        <v>410</v>
      </c>
      <c r="BM62" s="526">
        <v>140.63</v>
      </c>
      <c r="BN62" s="526">
        <v>141.32</v>
      </c>
      <c r="BO62" s="526">
        <v>2.4</v>
      </c>
      <c r="BP62" s="526">
        <v>142.41999999999999</v>
      </c>
      <c r="BQ62" s="522">
        <v>72</v>
      </c>
      <c r="BR62" s="526">
        <v>145.52000000000001</v>
      </c>
      <c r="BS62" s="526">
        <v>145.5</v>
      </c>
      <c r="BT62" s="526">
        <v>4.8600000000000003</v>
      </c>
      <c r="BU62" s="526">
        <v>146.49</v>
      </c>
      <c r="BV62" s="522">
        <v>5</v>
      </c>
      <c r="BW62" s="526">
        <v>0</v>
      </c>
      <c r="BX62" s="526">
        <v>0</v>
      </c>
      <c r="BY62" s="526">
        <v>0</v>
      </c>
      <c r="BZ62" s="526">
        <v>0</v>
      </c>
      <c r="CA62" s="522">
        <v>0</v>
      </c>
      <c r="CB62" s="526">
        <v>110.62</v>
      </c>
      <c r="CC62" s="526">
        <v>109.79</v>
      </c>
      <c r="CD62" s="526">
        <v>6.79</v>
      </c>
      <c r="CE62" s="526">
        <v>116.35</v>
      </c>
      <c r="CF62" s="522">
        <v>1489</v>
      </c>
      <c r="CG62" s="526">
        <v>110.62</v>
      </c>
      <c r="CH62" s="526">
        <v>109.79</v>
      </c>
      <c r="CI62" s="526">
        <v>6.79</v>
      </c>
      <c r="CJ62" s="526">
        <v>116.35</v>
      </c>
      <c r="CK62" s="522">
        <v>1489</v>
      </c>
      <c r="CL62" s="526">
        <v>134.9</v>
      </c>
      <c r="CM62" s="526">
        <v>85.65</v>
      </c>
      <c r="CN62" s="526">
        <v>104.68</v>
      </c>
      <c r="CO62" s="526">
        <v>233.15</v>
      </c>
      <c r="CP62" s="522">
        <v>130</v>
      </c>
      <c r="CQ62" s="526">
        <v>97.04</v>
      </c>
      <c r="CR62" s="526">
        <v>88.22</v>
      </c>
      <c r="CS62" s="526">
        <v>156.97</v>
      </c>
      <c r="CT62" s="526">
        <v>239.24</v>
      </c>
      <c r="CU62" s="522">
        <v>85</v>
      </c>
      <c r="CV62" s="526">
        <v>109.11</v>
      </c>
      <c r="CW62" s="526">
        <v>96.65</v>
      </c>
      <c r="CX62" s="526">
        <v>50.1</v>
      </c>
      <c r="CY62" s="526">
        <v>158.37</v>
      </c>
      <c r="CZ62" s="522">
        <v>238</v>
      </c>
      <c r="DA62" s="526">
        <v>117.71</v>
      </c>
      <c r="DB62" s="526">
        <v>113.12</v>
      </c>
      <c r="DC62" s="526">
        <v>47.3</v>
      </c>
      <c r="DD62" s="526">
        <v>165.01</v>
      </c>
      <c r="DE62" s="522">
        <v>17</v>
      </c>
      <c r="DF62" s="526">
        <v>145</v>
      </c>
      <c r="DG62" s="526">
        <v>133.19</v>
      </c>
      <c r="DH62" s="526">
        <v>70.22</v>
      </c>
      <c r="DI62" s="526">
        <v>215.22</v>
      </c>
      <c r="DJ62" s="522">
        <v>3</v>
      </c>
      <c r="DK62" s="526">
        <v>0</v>
      </c>
      <c r="DL62" s="526">
        <v>0</v>
      </c>
      <c r="DM62" s="526">
        <v>0</v>
      </c>
      <c r="DN62" s="526">
        <v>0</v>
      </c>
      <c r="DO62" s="522">
        <v>0</v>
      </c>
      <c r="DP62" s="526">
        <v>106.86</v>
      </c>
      <c r="DQ62" s="526">
        <v>95.67</v>
      </c>
      <c r="DR62" s="526">
        <v>75</v>
      </c>
      <c r="DS62" s="526">
        <v>179.24</v>
      </c>
      <c r="DT62" s="522">
        <v>343</v>
      </c>
      <c r="DU62" s="526">
        <v>114.57</v>
      </c>
      <c r="DV62" s="526">
        <v>93.5</v>
      </c>
      <c r="DW62" s="526">
        <v>82.99</v>
      </c>
      <c r="DX62" s="526">
        <v>194.05</v>
      </c>
      <c r="DY62" s="522">
        <v>473</v>
      </c>
      <c r="DZ62" s="526">
        <v>0</v>
      </c>
      <c r="EA62" s="526">
        <v>0</v>
      </c>
      <c r="EB62" s="526">
        <v>125.94</v>
      </c>
      <c r="EC62" s="522">
        <v>28</v>
      </c>
      <c r="ED62" s="526">
        <v>122.96</v>
      </c>
      <c r="EE62" s="522">
        <v>48</v>
      </c>
      <c r="EF62" s="526">
        <v>148.69</v>
      </c>
      <c r="EG62" s="522">
        <v>143</v>
      </c>
      <c r="EH62" s="526">
        <v>181.53</v>
      </c>
      <c r="EI62" s="522">
        <v>103</v>
      </c>
      <c r="EJ62" s="526">
        <v>215.96</v>
      </c>
      <c r="EK62" s="522">
        <v>5</v>
      </c>
      <c r="EL62" s="526">
        <v>0</v>
      </c>
      <c r="EM62" s="522">
        <v>0</v>
      </c>
      <c r="EN62" s="526">
        <v>0</v>
      </c>
      <c r="EO62" s="522">
        <v>0</v>
      </c>
      <c r="EP62" s="526">
        <v>154.34</v>
      </c>
      <c r="EQ62" s="522">
        <v>327</v>
      </c>
      <c r="ER62" s="526">
        <v>154.34</v>
      </c>
      <c r="ES62" s="522">
        <v>327</v>
      </c>
      <c r="ET62" s="526">
        <v>0</v>
      </c>
      <c r="EU62" s="526">
        <v>0</v>
      </c>
      <c r="EV62" s="526">
        <v>0</v>
      </c>
      <c r="EW62" s="522">
        <v>0</v>
      </c>
      <c r="EX62" s="526">
        <v>248.08</v>
      </c>
      <c r="EY62" s="522">
        <v>14</v>
      </c>
      <c r="EZ62" s="526">
        <v>267.43</v>
      </c>
      <c r="FA62" s="522">
        <v>23</v>
      </c>
      <c r="FB62" s="526">
        <v>0</v>
      </c>
      <c r="FC62" s="522">
        <v>0</v>
      </c>
      <c r="FD62" s="526">
        <v>0</v>
      </c>
      <c r="FE62" s="522">
        <v>0</v>
      </c>
      <c r="FF62" s="526">
        <v>260.11</v>
      </c>
      <c r="FG62" s="522">
        <v>37</v>
      </c>
      <c r="FH62" s="526">
        <v>260.11</v>
      </c>
      <c r="FI62" s="522">
        <v>37</v>
      </c>
      <c r="FJ62" s="522">
        <v>0</v>
      </c>
      <c r="FK62" s="522">
        <v>0</v>
      </c>
      <c r="FL62" s="522">
        <v>0</v>
      </c>
      <c r="FM62" s="522">
        <v>0</v>
      </c>
      <c r="FN62" s="522">
        <v>0</v>
      </c>
      <c r="FO62" s="522">
        <v>0</v>
      </c>
      <c r="FP62" s="522">
        <v>24</v>
      </c>
      <c r="FQ62" s="522">
        <v>27</v>
      </c>
      <c r="FR62" s="522">
        <v>6</v>
      </c>
    </row>
    <row r="63" spans="1:174" x14ac:dyDescent="0.25">
      <c r="A63" s="523" t="s">
        <v>385</v>
      </c>
      <c r="B63" s="523" t="s">
        <v>386</v>
      </c>
      <c r="C63" s="523" t="s">
        <v>2</v>
      </c>
      <c r="D63" s="522">
        <v>7526</v>
      </c>
      <c r="E63" s="522">
        <v>7435</v>
      </c>
      <c r="F63" s="522">
        <v>7</v>
      </c>
      <c r="G63" s="522">
        <v>7</v>
      </c>
      <c r="H63" s="522">
        <v>193</v>
      </c>
      <c r="I63" s="522">
        <v>140</v>
      </c>
      <c r="J63" s="522">
        <v>1535</v>
      </c>
      <c r="K63" s="522">
        <v>1496</v>
      </c>
      <c r="L63" s="522">
        <v>1305</v>
      </c>
      <c r="M63" s="522">
        <v>100</v>
      </c>
      <c r="N63" s="522">
        <v>10566</v>
      </c>
      <c r="O63" s="522">
        <v>9178</v>
      </c>
      <c r="P63" s="522">
        <v>9261</v>
      </c>
      <c r="Q63" s="522">
        <v>13</v>
      </c>
      <c r="R63" s="523">
        <v>5</v>
      </c>
      <c r="S63" s="523">
        <v>36</v>
      </c>
      <c r="T63" s="523">
        <v>146</v>
      </c>
      <c r="U63" s="523">
        <v>10420</v>
      </c>
      <c r="V63" s="522">
        <v>7435</v>
      </c>
      <c r="W63" s="522">
        <v>25</v>
      </c>
      <c r="X63" s="522">
        <v>86</v>
      </c>
      <c r="Y63" s="522">
        <v>111</v>
      </c>
      <c r="Z63" s="524">
        <v>120.37</v>
      </c>
      <c r="AA63" s="524">
        <v>124.04</v>
      </c>
      <c r="AB63" s="524">
        <v>8.4700000000000006</v>
      </c>
      <c r="AC63" s="524">
        <v>123.11</v>
      </c>
      <c r="AD63" s="524">
        <v>5080</v>
      </c>
      <c r="AE63" s="525">
        <v>113.38</v>
      </c>
      <c r="AF63" s="525">
        <v>114.93</v>
      </c>
      <c r="AG63" s="525">
        <v>35.61</v>
      </c>
      <c r="AH63" s="525">
        <v>147.13999999999999</v>
      </c>
      <c r="AI63" s="525">
        <v>1617</v>
      </c>
      <c r="AJ63" s="525">
        <v>184.28</v>
      </c>
      <c r="AK63" s="525">
        <v>2408</v>
      </c>
      <c r="AL63" s="525">
        <v>176.47</v>
      </c>
      <c r="AM63" s="525">
        <v>72</v>
      </c>
      <c r="AN63" s="526">
        <v>86.81</v>
      </c>
      <c r="AO63" s="526">
        <v>88.68</v>
      </c>
      <c r="AP63" s="526">
        <v>14.39</v>
      </c>
      <c r="AQ63" s="526">
        <v>99.14</v>
      </c>
      <c r="AR63" s="522">
        <v>7</v>
      </c>
      <c r="AS63" s="526">
        <v>86.66</v>
      </c>
      <c r="AT63" s="526">
        <v>86.79</v>
      </c>
      <c r="AU63" s="526">
        <v>25.17</v>
      </c>
      <c r="AV63" s="526">
        <v>111.83</v>
      </c>
      <c r="AW63" s="522">
        <v>7</v>
      </c>
      <c r="AX63" s="526">
        <v>101.14</v>
      </c>
      <c r="AY63" s="526">
        <v>103.03</v>
      </c>
      <c r="AZ63" s="526">
        <v>12.19</v>
      </c>
      <c r="BA63" s="526">
        <v>110.15</v>
      </c>
      <c r="BB63" s="522">
        <v>688</v>
      </c>
      <c r="BC63" s="526">
        <v>116.21</v>
      </c>
      <c r="BD63" s="526">
        <v>118.92</v>
      </c>
      <c r="BE63" s="526">
        <v>9.52</v>
      </c>
      <c r="BF63" s="526">
        <v>119.81</v>
      </c>
      <c r="BG63" s="522">
        <v>1621</v>
      </c>
      <c r="BH63" s="526">
        <v>126.31</v>
      </c>
      <c r="BI63" s="526">
        <v>131.03</v>
      </c>
      <c r="BJ63" s="526">
        <v>3.19</v>
      </c>
      <c r="BK63" s="526">
        <v>126.87</v>
      </c>
      <c r="BL63" s="522">
        <v>2544</v>
      </c>
      <c r="BM63" s="526">
        <v>145.16999999999999</v>
      </c>
      <c r="BN63" s="526">
        <v>149.52000000000001</v>
      </c>
      <c r="BO63" s="526">
        <v>3.34</v>
      </c>
      <c r="BP63" s="526">
        <v>146.19</v>
      </c>
      <c r="BQ63" s="522">
        <v>209</v>
      </c>
      <c r="BR63" s="526">
        <v>155.65</v>
      </c>
      <c r="BS63" s="526">
        <v>165.08</v>
      </c>
      <c r="BT63" s="526">
        <v>0.15</v>
      </c>
      <c r="BU63" s="526">
        <v>155.69</v>
      </c>
      <c r="BV63" s="522">
        <v>4</v>
      </c>
      <c r="BW63" s="526">
        <v>0</v>
      </c>
      <c r="BX63" s="526">
        <v>0</v>
      </c>
      <c r="BY63" s="526">
        <v>0</v>
      </c>
      <c r="BZ63" s="526">
        <v>0</v>
      </c>
      <c r="CA63" s="522">
        <v>0</v>
      </c>
      <c r="CB63" s="526">
        <v>120.42</v>
      </c>
      <c r="CC63" s="526">
        <v>124.09</v>
      </c>
      <c r="CD63" s="526">
        <v>8.4499999999999993</v>
      </c>
      <c r="CE63" s="526">
        <v>123.14</v>
      </c>
      <c r="CF63" s="522">
        <v>5073</v>
      </c>
      <c r="CG63" s="526">
        <v>120.37</v>
      </c>
      <c r="CH63" s="526">
        <v>124.04</v>
      </c>
      <c r="CI63" s="526">
        <v>8.4700000000000006</v>
      </c>
      <c r="CJ63" s="526">
        <v>123.11</v>
      </c>
      <c r="CK63" s="522">
        <v>5080</v>
      </c>
      <c r="CL63" s="526">
        <v>100.94</v>
      </c>
      <c r="CM63" s="526">
        <v>87.32</v>
      </c>
      <c r="CN63" s="526">
        <v>100.13</v>
      </c>
      <c r="CO63" s="526">
        <v>199.12</v>
      </c>
      <c r="CP63" s="522">
        <v>103</v>
      </c>
      <c r="CQ63" s="526">
        <v>97.19</v>
      </c>
      <c r="CR63" s="526">
        <v>92.52</v>
      </c>
      <c r="CS63" s="526">
        <v>133.52000000000001</v>
      </c>
      <c r="CT63" s="526">
        <v>230.72</v>
      </c>
      <c r="CU63" s="522">
        <v>97</v>
      </c>
      <c r="CV63" s="526">
        <v>108.85</v>
      </c>
      <c r="CW63" s="526">
        <v>111.04</v>
      </c>
      <c r="CX63" s="526">
        <v>24.55</v>
      </c>
      <c r="CY63" s="526">
        <v>132.18</v>
      </c>
      <c r="CZ63" s="522">
        <v>980</v>
      </c>
      <c r="DA63" s="526">
        <v>130.13</v>
      </c>
      <c r="DB63" s="526">
        <v>134.33000000000001</v>
      </c>
      <c r="DC63" s="526">
        <v>21.94</v>
      </c>
      <c r="DD63" s="526">
        <v>150.69</v>
      </c>
      <c r="DE63" s="522">
        <v>416</v>
      </c>
      <c r="DF63" s="526">
        <v>128.94</v>
      </c>
      <c r="DG63" s="526">
        <v>141.32</v>
      </c>
      <c r="DH63" s="526">
        <v>7.86</v>
      </c>
      <c r="DI63" s="526">
        <v>134.44</v>
      </c>
      <c r="DJ63" s="522">
        <v>20</v>
      </c>
      <c r="DK63" s="526">
        <v>131.33000000000001</v>
      </c>
      <c r="DL63" s="526">
        <v>145.58000000000001</v>
      </c>
      <c r="DM63" s="526">
        <v>0</v>
      </c>
      <c r="DN63" s="526">
        <v>131.33000000000001</v>
      </c>
      <c r="DO63" s="522">
        <v>1</v>
      </c>
      <c r="DP63" s="526">
        <v>114.23</v>
      </c>
      <c r="DQ63" s="526">
        <v>116.66</v>
      </c>
      <c r="DR63" s="526">
        <v>31.06</v>
      </c>
      <c r="DS63" s="526">
        <v>143.61000000000001</v>
      </c>
      <c r="DT63" s="522">
        <v>1514</v>
      </c>
      <c r="DU63" s="526">
        <v>113.38</v>
      </c>
      <c r="DV63" s="526">
        <v>114.93</v>
      </c>
      <c r="DW63" s="526">
        <v>35.61</v>
      </c>
      <c r="DX63" s="526">
        <v>147.13999999999999</v>
      </c>
      <c r="DY63" s="522">
        <v>1617</v>
      </c>
      <c r="DZ63" s="526">
        <v>0</v>
      </c>
      <c r="EA63" s="526">
        <v>0</v>
      </c>
      <c r="EB63" s="526">
        <v>0</v>
      </c>
      <c r="EC63" s="522">
        <v>0</v>
      </c>
      <c r="ED63" s="526">
        <v>148.26</v>
      </c>
      <c r="EE63" s="522">
        <v>455</v>
      </c>
      <c r="EF63" s="526">
        <v>179.87</v>
      </c>
      <c r="EG63" s="522">
        <v>1114</v>
      </c>
      <c r="EH63" s="526">
        <v>202.27</v>
      </c>
      <c r="EI63" s="522">
        <v>737</v>
      </c>
      <c r="EJ63" s="526">
        <v>263.16000000000003</v>
      </c>
      <c r="EK63" s="522">
        <v>102</v>
      </c>
      <c r="EL63" s="526">
        <v>0</v>
      </c>
      <c r="EM63" s="522">
        <v>0</v>
      </c>
      <c r="EN63" s="526">
        <v>0</v>
      </c>
      <c r="EO63" s="522">
        <v>0</v>
      </c>
      <c r="EP63" s="526">
        <v>184.28</v>
      </c>
      <c r="EQ63" s="522">
        <v>2408</v>
      </c>
      <c r="ER63" s="526">
        <v>184.28</v>
      </c>
      <c r="ES63" s="522">
        <v>2408</v>
      </c>
      <c r="ET63" s="526">
        <v>0</v>
      </c>
      <c r="EU63" s="526">
        <v>0</v>
      </c>
      <c r="EV63" s="526">
        <v>0</v>
      </c>
      <c r="EW63" s="522">
        <v>0</v>
      </c>
      <c r="EX63" s="526">
        <v>171.31</v>
      </c>
      <c r="EY63" s="522">
        <v>67</v>
      </c>
      <c r="EZ63" s="526">
        <v>245.63</v>
      </c>
      <c r="FA63" s="522">
        <v>5</v>
      </c>
      <c r="FB63" s="526">
        <v>0</v>
      </c>
      <c r="FC63" s="522">
        <v>0</v>
      </c>
      <c r="FD63" s="526">
        <v>0</v>
      </c>
      <c r="FE63" s="522">
        <v>0</v>
      </c>
      <c r="FF63" s="526">
        <v>176.47</v>
      </c>
      <c r="FG63" s="522">
        <v>72</v>
      </c>
      <c r="FH63" s="526">
        <v>176.47</v>
      </c>
      <c r="FI63" s="522">
        <v>72</v>
      </c>
      <c r="FJ63" s="522">
        <v>10</v>
      </c>
      <c r="FK63" s="522">
        <v>4</v>
      </c>
      <c r="FL63" s="522">
        <v>1</v>
      </c>
      <c r="FM63" s="522">
        <v>0</v>
      </c>
      <c r="FN63" s="522">
        <v>3</v>
      </c>
      <c r="FO63" s="522">
        <v>0</v>
      </c>
      <c r="FP63" s="522">
        <v>2</v>
      </c>
      <c r="FQ63" s="522">
        <v>106</v>
      </c>
      <c r="FR63" s="522">
        <v>13</v>
      </c>
    </row>
    <row r="64" spans="1:174" x14ac:dyDescent="0.25">
      <c r="A64" s="523" t="s">
        <v>387</v>
      </c>
      <c r="B64" s="523" t="s">
        <v>388</v>
      </c>
      <c r="C64" s="523" t="s">
        <v>286</v>
      </c>
      <c r="D64" s="522">
        <v>18532</v>
      </c>
      <c r="E64" s="522">
        <v>18479</v>
      </c>
      <c r="F64" s="522">
        <v>1</v>
      </c>
      <c r="G64" s="522">
        <v>0</v>
      </c>
      <c r="H64" s="522">
        <v>847</v>
      </c>
      <c r="I64" s="522">
        <v>501</v>
      </c>
      <c r="J64" s="522">
        <v>2860</v>
      </c>
      <c r="K64" s="522">
        <v>2769</v>
      </c>
      <c r="L64" s="522">
        <v>2272</v>
      </c>
      <c r="M64" s="522">
        <v>3</v>
      </c>
      <c r="N64" s="522">
        <v>24512</v>
      </c>
      <c r="O64" s="522">
        <v>21752</v>
      </c>
      <c r="P64" s="522">
        <v>22240</v>
      </c>
      <c r="Q64" s="522">
        <v>67</v>
      </c>
      <c r="R64" s="523">
        <v>19</v>
      </c>
      <c r="S64" s="523">
        <v>42</v>
      </c>
      <c r="T64" s="523">
        <v>354</v>
      </c>
      <c r="U64" s="523">
        <v>24158</v>
      </c>
      <c r="V64" s="522">
        <v>18473</v>
      </c>
      <c r="W64" s="522">
        <v>95</v>
      </c>
      <c r="X64" s="522">
        <v>123</v>
      </c>
      <c r="Y64" s="522">
        <v>218</v>
      </c>
      <c r="Z64" s="524">
        <v>101.94</v>
      </c>
      <c r="AA64" s="524">
        <v>104</v>
      </c>
      <c r="AB64" s="524">
        <v>8.58</v>
      </c>
      <c r="AC64" s="524">
        <v>106.31</v>
      </c>
      <c r="AD64" s="524">
        <v>13229</v>
      </c>
      <c r="AE64" s="525">
        <v>108.5</v>
      </c>
      <c r="AF64" s="525">
        <v>95</v>
      </c>
      <c r="AG64" s="525">
        <v>42.15</v>
      </c>
      <c r="AH64" s="525">
        <v>140.79</v>
      </c>
      <c r="AI64" s="525">
        <v>3244</v>
      </c>
      <c r="AJ64" s="525">
        <v>129.41999999999999</v>
      </c>
      <c r="AK64" s="525">
        <v>5161</v>
      </c>
      <c r="AL64" s="525">
        <v>124.16</v>
      </c>
      <c r="AM64" s="525">
        <v>168</v>
      </c>
      <c r="AN64" s="526">
        <v>0</v>
      </c>
      <c r="AO64" s="526">
        <v>0</v>
      </c>
      <c r="AP64" s="526">
        <v>0</v>
      </c>
      <c r="AQ64" s="526">
        <v>0</v>
      </c>
      <c r="AR64" s="522">
        <v>0</v>
      </c>
      <c r="AS64" s="526">
        <v>75.73</v>
      </c>
      <c r="AT64" s="526">
        <v>77.75</v>
      </c>
      <c r="AU64" s="526">
        <v>16.350000000000001</v>
      </c>
      <c r="AV64" s="526">
        <v>88.89</v>
      </c>
      <c r="AW64" s="522">
        <v>46</v>
      </c>
      <c r="AX64" s="526">
        <v>89.06</v>
      </c>
      <c r="AY64" s="526">
        <v>90.71</v>
      </c>
      <c r="AZ64" s="526">
        <v>8.8800000000000008</v>
      </c>
      <c r="BA64" s="526">
        <v>96.44</v>
      </c>
      <c r="BB64" s="522">
        <v>3410</v>
      </c>
      <c r="BC64" s="526">
        <v>102.05</v>
      </c>
      <c r="BD64" s="526">
        <v>103.88</v>
      </c>
      <c r="BE64" s="526">
        <v>10.029999999999999</v>
      </c>
      <c r="BF64" s="526">
        <v>107.8</v>
      </c>
      <c r="BG64" s="522">
        <v>5093</v>
      </c>
      <c r="BH64" s="526">
        <v>110.96</v>
      </c>
      <c r="BI64" s="526">
        <v>113.84</v>
      </c>
      <c r="BJ64" s="526">
        <v>2.89</v>
      </c>
      <c r="BK64" s="526">
        <v>111.53</v>
      </c>
      <c r="BL64" s="522">
        <v>4442</v>
      </c>
      <c r="BM64" s="526">
        <v>120.49</v>
      </c>
      <c r="BN64" s="526">
        <v>123.9</v>
      </c>
      <c r="BO64" s="526">
        <v>2.87</v>
      </c>
      <c r="BP64" s="526">
        <v>121.38</v>
      </c>
      <c r="BQ64" s="522">
        <v>228</v>
      </c>
      <c r="BR64" s="526">
        <v>133.57</v>
      </c>
      <c r="BS64" s="526">
        <v>134.13</v>
      </c>
      <c r="BT64" s="526">
        <v>0.4</v>
      </c>
      <c r="BU64" s="526">
        <v>133.63999999999999</v>
      </c>
      <c r="BV64" s="522">
        <v>6</v>
      </c>
      <c r="BW64" s="526">
        <v>140.19999999999999</v>
      </c>
      <c r="BX64" s="526">
        <v>152.15</v>
      </c>
      <c r="BY64" s="526">
        <v>1.58</v>
      </c>
      <c r="BZ64" s="526">
        <v>141.38</v>
      </c>
      <c r="CA64" s="522">
        <v>4</v>
      </c>
      <c r="CB64" s="526">
        <v>101.94</v>
      </c>
      <c r="CC64" s="526">
        <v>104</v>
      </c>
      <c r="CD64" s="526">
        <v>8.58</v>
      </c>
      <c r="CE64" s="526">
        <v>106.31</v>
      </c>
      <c r="CF64" s="522">
        <v>13229</v>
      </c>
      <c r="CG64" s="526">
        <v>101.94</v>
      </c>
      <c r="CH64" s="526">
        <v>104</v>
      </c>
      <c r="CI64" s="526">
        <v>8.58</v>
      </c>
      <c r="CJ64" s="526">
        <v>106.31</v>
      </c>
      <c r="CK64" s="522">
        <v>13229</v>
      </c>
      <c r="CL64" s="526">
        <v>141.72</v>
      </c>
      <c r="CM64" s="526">
        <v>90.59</v>
      </c>
      <c r="CN64" s="526">
        <v>92.3</v>
      </c>
      <c r="CO64" s="526">
        <v>233.25</v>
      </c>
      <c r="CP64" s="522">
        <v>358</v>
      </c>
      <c r="CQ64" s="526">
        <v>79.95</v>
      </c>
      <c r="CR64" s="526">
        <v>76.12</v>
      </c>
      <c r="CS64" s="526">
        <v>53.64</v>
      </c>
      <c r="CT64" s="526">
        <v>131.43</v>
      </c>
      <c r="CU64" s="522">
        <v>149</v>
      </c>
      <c r="CV64" s="526">
        <v>103.43</v>
      </c>
      <c r="CW64" s="526">
        <v>92.78</v>
      </c>
      <c r="CX64" s="526">
        <v>31.7</v>
      </c>
      <c r="CY64" s="526">
        <v>126.97</v>
      </c>
      <c r="CZ64" s="522">
        <v>2163</v>
      </c>
      <c r="DA64" s="526">
        <v>112.95</v>
      </c>
      <c r="DB64" s="526">
        <v>109.14</v>
      </c>
      <c r="DC64" s="526">
        <v>35.979999999999997</v>
      </c>
      <c r="DD64" s="526">
        <v>136.74</v>
      </c>
      <c r="DE64" s="522">
        <v>546</v>
      </c>
      <c r="DF64" s="526">
        <v>140.91</v>
      </c>
      <c r="DG64" s="526">
        <v>116.99</v>
      </c>
      <c r="DH64" s="526">
        <v>21.63</v>
      </c>
      <c r="DI64" s="526">
        <v>156.72</v>
      </c>
      <c r="DJ64" s="522">
        <v>26</v>
      </c>
      <c r="DK64" s="526">
        <v>137.4</v>
      </c>
      <c r="DL64" s="526">
        <v>135.16999999999999</v>
      </c>
      <c r="DM64" s="526">
        <v>1.03</v>
      </c>
      <c r="DN64" s="526">
        <v>137.91</v>
      </c>
      <c r="DO64" s="522">
        <v>2</v>
      </c>
      <c r="DP64" s="526">
        <v>104.38</v>
      </c>
      <c r="DQ64" s="526">
        <v>95.14</v>
      </c>
      <c r="DR64" s="526">
        <v>33.79</v>
      </c>
      <c r="DS64" s="526">
        <v>129.32</v>
      </c>
      <c r="DT64" s="522">
        <v>2886</v>
      </c>
      <c r="DU64" s="526">
        <v>108.5</v>
      </c>
      <c r="DV64" s="526">
        <v>95</v>
      </c>
      <c r="DW64" s="526">
        <v>42.15</v>
      </c>
      <c r="DX64" s="526">
        <v>140.79</v>
      </c>
      <c r="DY64" s="522">
        <v>3244</v>
      </c>
      <c r="DZ64" s="526">
        <v>0</v>
      </c>
      <c r="EA64" s="526">
        <v>0</v>
      </c>
      <c r="EB64" s="526">
        <v>76</v>
      </c>
      <c r="EC64" s="522">
        <v>1</v>
      </c>
      <c r="ED64" s="526">
        <v>104.01</v>
      </c>
      <c r="EE64" s="522">
        <v>960</v>
      </c>
      <c r="EF64" s="526">
        <v>128.77000000000001</v>
      </c>
      <c r="EG64" s="522">
        <v>2622</v>
      </c>
      <c r="EH64" s="526">
        <v>145.02000000000001</v>
      </c>
      <c r="EI64" s="522">
        <v>1492</v>
      </c>
      <c r="EJ64" s="526">
        <v>162.88</v>
      </c>
      <c r="EK64" s="522">
        <v>83</v>
      </c>
      <c r="EL64" s="526">
        <v>170.48</v>
      </c>
      <c r="EM64" s="522">
        <v>3</v>
      </c>
      <c r="EN64" s="526">
        <v>0</v>
      </c>
      <c r="EO64" s="522">
        <v>0</v>
      </c>
      <c r="EP64" s="526">
        <v>129.41999999999999</v>
      </c>
      <c r="EQ64" s="522">
        <v>5161</v>
      </c>
      <c r="ER64" s="526">
        <v>129.41999999999999</v>
      </c>
      <c r="ES64" s="522">
        <v>5161</v>
      </c>
      <c r="ET64" s="526">
        <v>0</v>
      </c>
      <c r="EU64" s="526">
        <v>0</v>
      </c>
      <c r="EV64" s="526">
        <v>0</v>
      </c>
      <c r="EW64" s="522">
        <v>0</v>
      </c>
      <c r="EX64" s="526">
        <v>111.96</v>
      </c>
      <c r="EY64" s="522">
        <v>83</v>
      </c>
      <c r="EZ64" s="526">
        <v>135.86000000000001</v>
      </c>
      <c r="FA64" s="522">
        <v>84</v>
      </c>
      <c r="FB64" s="526">
        <v>153.91</v>
      </c>
      <c r="FC64" s="522">
        <v>1</v>
      </c>
      <c r="FD64" s="526">
        <v>0</v>
      </c>
      <c r="FE64" s="522">
        <v>0</v>
      </c>
      <c r="FF64" s="526">
        <v>124.16</v>
      </c>
      <c r="FG64" s="522">
        <v>168</v>
      </c>
      <c r="FH64" s="526">
        <v>124.16</v>
      </c>
      <c r="FI64" s="522">
        <v>168</v>
      </c>
      <c r="FJ64" s="522">
        <v>14</v>
      </c>
      <c r="FK64" s="522">
        <v>22</v>
      </c>
      <c r="FL64" s="522">
        <v>11</v>
      </c>
      <c r="FM64" s="522">
        <v>0</v>
      </c>
      <c r="FN64" s="522">
        <v>11</v>
      </c>
      <c r="FO64" s="522">
        <v>0</v>
      </c>
      <c r="FP64" s="522">
        <v>9</v>
      </c>
      <c r="FQ64" s="522">
        <v>174</v>
      </c>
      <c r="FR64" s="522">
        <v>26</v>
      </c>
    </row>
    <row r="65" spans="1:174" x14ac:dyDescent="0.25">
      <c r="A65" s="523" t="s">
        <v>389</v>
      </c>
      <c r="B65" s="523" t="s">
        <v>390</v>
      </c>
      <c r="C65" s="523" t="s">
        <v>286</v>
      </c>
      <c r="D65" s="522">
        <v>15660</v>
      </c>
      <c r="E65" s="522">
        <v>20818</v>
      </c>
      <c r="F65" s="522">
        <v>151</v>
      </c>
      <c r="G65" s="522">
        <v>153</v>
      </c>
      <c r="H65" s="522">
        <v>736</v>
      </c>
      <c r="I65" s="522">
        <v>780</v>
      </c>
      <c r="J65" s="522">
        <v>2917</v>
      </c>
      <c r="K65" s="522">
        <v>2699</v>
      </c>
      <c r="L65" s="522">
        <v>2426</v>
      </c>
      <c r="M65" s="522">
        <v>63</v>
      </c>
      <c r="N65" s="522">
        <v>21890</v>
      </c>
      <c r="O65" s="522">
        <v>24513</v>
      </c>
      <c r="P65" s="522">
        <v>19464</v>
      </c>
      <c r="Q65" s="522">
        <v>112</v>
      </c>
      <c r="R65" s="523">
        <v>15</v>
      </c>
      <c r="S65" s="523">
        <v>38</v>
      </c>
      <c r="T65" s="523">
        <v>344</v>
      </c>
      <c r="U65" s="523">
        <v>21546</v>
      </c>
      <c r="V65" s="522">
        <v>15505</v>
      </c>
      <c r="W65" s="522">
        <v>178</v>
      </c>
      <c r="X65" s="522">
        <v>85</v>
      </c>
      <c r="Y65" s="522">
        <v>263</v>
      </c>
      <c r="Z65" s="524">
        <v>105.56</v>
      </c>
      <c r="AA65" s="524">
        <v>109.59</v>
      </c>
      <c r="AB65" s="524">
        <v>6.61</v>
      </c>
      <c r="AC65" s="524">
        <v>108.16</v>
      </c>
      <c r="AD65" s="524">
        <v>11897</v>
      </c>
      <c r="AE65" s="525">
        <v>112.7</v>
      </c>
      <c r="AF65" s="525">
        <v>103.59</v>
      </c>
      <c r="AG65" s="525">
        <v>46.56</v>
      </c>
      <c r="AH65" s="525">
        <v>146.51</v>
      </c>
      <c r="AI65" s="525">
        <v>3011</v>
      </c>
      <c r="AJ65" s="525">
        <v>129.75</v>
      </c>
      <c r="AK65" s="525">
        <v>3242</v>
      </c>
      <c r="AL65" s="525">
        <v>178.22</v>
      </c>
      <c r="AM65" s="525">
        <v>453</v>
      </c>
      <c r="AN65" s="526">
        <v>140.88</v>
      </c>
      <c r="AO65" s="526">
        <v>146.32</v>
      </c>
      <c r="AP65" s="526">
        <v>2.82</v>
      </c>
      <c r="AQ65" s="526">
        <v>143.69999999999999</v>
      </c>
      <c r="AR65" s="522">
        <v>2</v>
      </c>
      <c r="AS65" s="526">
        <v>79.58</v>
      </c>
      <c r="AT65" s="526">
        <v>82.54</v>
      </c>
      <c r="AU65" s="526">
        <v>10.210000000000001</v>
      </c>
      <c r="AV65" s="526">
        <v>88.37</v>
      </c>
      <c r="AW65" s="522">
        <v>43</v>
      </c>
      <c r="AX65" s="526">
        <v>90.45</v>
      </c>
      <c r="AY65" s="526">
        <v>92.52</v>
      </c>
      <c r="AZ65" s="526">
        <v>7.21</v>
      </c>
      <c r="BA65" s="526">
        <v>95.28</v>
      </c>
      <c r="BB65" s="522">
        <v>2077</v>
      </c>
      <c r="BC65" s="526">
        <v>101.39</v>
      </c>
      <c r="BD65" s="526">
        <v>104.88</v>
      </c>
      <c r="BE65" s="526">
        <v>7.85</v>
      </c>
      <c r="BF65" s="526">
        <v>105</v>
      </c>
      <c r="BG65" s="522">
        <v>4667</v>
      </c>
      <c r="BH65" s="526">
        <v>114.93</v>
      </c>
      <c r="BI65" s="526">
        <v>120.15</v>
      </c>
      <c r="BJ65" s="526">
        <v>3.28</v>
      </c>
      <c r="BK65" s="526">
        <v>115.64</v>
      </c>
      <c r="BL65" s="522">
        <v>4792</v>
      </c>
      <c r="BM65" s="526">
        <v>126.68</v>
      </c>
      <c r="BN65" s="526">
        <v>133.13999999999999</v>
      </c>
      <c r="BO65" s="526">
        <v>4.42</v>
      </c>
      <c r="BP65" s="526">
        <v>127.63</v>
      </c>
      <c r="BQ65" s="522">
        <v>302</v>
      </c>
      <c r="BR65" s="526">
        <v>151.35</v>
      </c>
      <c r="BS65" s="526">
        <v>159.54</v>
      </c>
      <c r="BT65" s="526">
        <v>1.67</v>
      </c>
      <c r="BU65" s="526">
        <v>152.30000000000001</v>
      </c>
      <c r="BV65" s="522">
        <v>7</v>
      </c>
      <c r="BW65" s="526">
        <v>145.65</v>
      </c>
      <c r="BX65" s="526">
        <v>172.92</v>
      </c>
      <c r="BY65" s="526">
        <v>0.26</v>
      </c>
      <c r="BZ65" s="526">
        <v>145.72999999999999</v>
      </c>
      <c r="CA65" s="522">
        <v>7</v>
      </c>
      <c r="CB65" s="526">
        <v>105.55</v>
      </c>
      <c r="CC65" s="526">
        <v>109.59</v>
      </c>
      <c r="CD65" s="526">
        <v>6.61</v>
      </c>
      <c r="CE65" s="526">
        <v>108.15</v>
      </c>
      <c r="CF65" s="522">
        <v>11895</v>
      </c>
      <c r="CG65" s="526">
        <v>105.56</v>
      </c>
      <c r="CH65" s="526">
        <v>109.59</v>
      </c>
      <c r="CI65" s="526">
        <v>6.61</v>
      </c>
      <c r="CJ65" s="526">
        <v>108.16</v>
      </c>
      <c r="CK65" s="522">
        <v>11897</v>
      </c>
      <c r="CL65" s="526">
        <v>152.49</v>
      </c>
      <c r="CM65" s="526">
        <v>99.08</v>
      </c>
      <c r="CN65" s="526">
        <v>71.02</v>
      </c>
      <c r="CO65" s="526">
        <v>223.3</v>
      </c>
      <c r="CP65" s="522">
        <v>327</v>
      </c>
      <c r="CQ65" s="526">
        <v>79.98</v>
      </c>
      <c r="CR65" s="526">
        <v>78.64</v>
      </c>
      <c r="CS65" s="526">
        <v>63.89</v>
      </c>
      <c r="CT65" s="526">
        <v>143.87</v>
      </c>
      <c r="CU65" s="522">
        <v>117</v>
      </c>
      <c r="CV65" s="526">
        <v>107.92</v>
      </c>
      <c r="CW65" s="526">
        <v>98.68</v>
      </c>
      <c r="CX65" s="526">
        <v>46.57</v>
      </c>
      <c r="CY65" s="526">
        <v>140.1</v>
      </c>
      <c r="CZ65" s="522">
        <v>1606</v>
      </c>
      <c r="DA65" s="526">
        <v>109.9</v>
      </c>
      <c r="DB65" s="526">
        <v>115.49</v>
      </c>
      <c r="DC65" s="526">
        <v>29.89</v>
      </c>
      <c r="DD65" s="526">
        <v>129.44999999999999</v>
      </c>
      <c r="DE65" s="522">
        <v>943</v>
      </c>
      <c r="DF65" s="526">
        <v>156.96</v>
      </c>
      <c r="DG65" s="526">
        <v>131.41999999999999</v>
      </c>
      <c r="DH65" s="526">
        <v>70.28</v>
      </c>
      <c r="DI65" s="526">
        <v>222.22</v>
      </c>
      <c r="DJ65" s="522">
        <v>14</v>
      </c>
      <c r="DK65" s="526">
        <v>239.88</v>
      </c>
      <c r="DL65" s="526">
        <v>0</v>
      </c>
      <c r="DM65" s="526">
        <v>37.450000000000003</v>
      </c>
      <c r="DN65" s="526">
        <v>277.33</v>
      </c>
      <c r="DO65" s="522">
        <v>4</v>
      </c>
      <c r="DP65" s="526">
        <v>107.85</v>
      </c>
      <c r="DQ65" s="526">
        <v>103.88</v>
      </c>
      <c r="DR65" s="526">
        <v>42.27</v>
      </c>
      <c r="DS65" s="526">
        <v>137.16</v>
      </c>
      <c r="DT65" s="522">
        <v>2684</v>
      </c>
      <c r="DU65" s="526">
        <v>112.7</v>
      </c>
      <c r="DV65" s="526">
        <v>103.59</v>
      </c>
      <c r="DW65" s="526">
        <v>46.56</v>
      </c>
      <c r="DX65" s="526">
        <v>146.51</v>
      </c>
      <c r="DY65" s="522">
        <v>3011</v>
      </c>
      <c r="DZ65" s="526">
        <v>0</v>
      </c>
      <c r="EA65" s="526">
        <v>0</v>
      </c>
      <c r="EB65" s="526">
        <v>0</v>
      </c>
      <c r="EC65" s="522">
        <v>0</v>
      </c>
      <c r="ED65" s="526">
        <v>106.77</v>
      </c>
      <c r="EE65" s="522">
        <v>563</v>
      </c>
      <c r="EF65" s="526">
        <v>129.4</v>
      </c>
      <c r="EG65" s="522">
        <v>1763</v>
      </c>
      <c r="EH65" s="526">
        <v>143.54</v>
      </c>
      <c r="EI65" s="522">
        <v>880</v>
      </c>
      <c r="EJ65" s="526">
        <v>169.19</v>
      </c>
      <c r="EK65" s="522">
        <v>36</v>
      </c>
      <c r="EL65" s="526">
        <v>0</v>
      </c>
      <c r="EM65" s="522">
        <v>0</v>
      </c>
      <c r="EN65" s="526">
        <v>0</v>
      </c>
      <c r="EO65" s="522">
        <v>0</v>
      </c>
      <c r="EP65" s="526">
        <v>129.75</v>
      </c>
      <c r="EQ65" s="522">
        <v>3242</v>
      </c>
      <c r="ER65" s="526">
        <v>129.75</v>
      </c>
      <c r="ES65" s="522">
        <v>3242</v>
      </c>
      <c r="ET65" s="526">
        <v>0</v>
      </c>
      <c r="EU65" s="526">
        <v>0</v>
      </c>
      <c r="EV65" s="526">
        <v>0</v>
      </c>
      <c r="EW65" s="522">
        <v>0</v>
      </c>
      <c r="EX65" s="526">
        <v>170.95</v>
      </c>
      <c r="EY65" s="522">
        <v>195</v>
      </c>
      <c r="EZ65" s="526">
        <v>183.72</v>
      </c>
      <c r="FA65" s="522">
        <v>258</v>
      </c>
      <c r="FB65" s="526">
        <v>0</v>
      </c>
      <c r="FC65" s="522">
        <v>0</v>
      </c>
      <c r="FD65" s="526">
        <v>0</v>
      </c>
      <c r="FE65" s="522">
        <v>0</v>
      </c>
      <c r="FF65" s="526">
        <v>178.22</v>
      </c>
      <c r="FG65" s="522">
        <v>453</v>
      </c>
      <c r="FH65" s="526">
        <v>178.22</v>
      </c>
      <c r="FI65" s="522">
        <v>453</v>
      </c>
      <c r="FJ65" s="522">
        <v>0</v>
      </c>
      <c r="FK65" s="522">
        <v>21</v>
      </c>
      <c r="FL65" s="522">
        <v>13</v>
      </c>
      <c r="FM65" s="522">
        <v>0</v>
      </c>
      <c r="FN65" s="522">
        <v>8</v>
      </c>
      <c r="FO65" s="522">
        <v>0</v>
      </c>
      <c r="FP65" s="522">
        <v>0</v>
      </c>
      <c r="FQ65" s="522">
        <v>187</v>
      </c>
      <c r="FR65" s="522">
        <v>32</v>
      </c>
    </row>
    <row r="66" spans="1:174" x14ac:dyDescent="0.25">
      <c r="A66" s="523" t="s">
        <v>391</v>
      </c>
      <c r="B66" s="523" t="s">
        <v>392</v>
      </c>
      <c r="C66" s="523" t="s">
        <v>282</v>
      </c>
      <c r="D66" s="522">
        <v>894</v>
      </c>
      <c r="E66" s="522">
        <v>788</v>
      </c>
      <c r="F66" s="522">
        <v>0</v>
      </c>
      <c r="G66" s="522">
        <v>0</v>
      </c>
      <c r="H66" s="522">
        <v>207</v>
      </c>
      <c r="I66" s="522">
        <v>103</v>
      </c>
      <c r="J66" s="522">
        <v>521</v>
      </c>
      <c r="K66" s="522">
        <v>488</v>
      </c>
      <c r="L66" s="522">
        <v>184</v>
      </c>
      <c r="M66" s="522">
        <v>6</v>
      </c>
      <c r="N66" s="522">
        <v>1806</v>
      </c>
      <c r="O66" s="522">
        <v>1385</v>
      </c>
      <c r="P66" s="522">
        <v>1622</v>
      </c>
      <c r="Q66" s="522">
        <v>3</v>
      </c>
      <c r="R66" s="523">
        <v>9</v>
      </c>
      <c r="S66" s="523">
        <v>29</v>
      </c>
      <c r="T66" s="523">
        <v>219</v>
      </c>
      <c r="U66" s="523">
        <v>1587</v>
      </c>
      <c r="V66" s="522">
        <v>790</v>
      </c>
      <c r="W66" s="522">
        <v>12</v>
      </c>
      <c r="X66" s="522">
        <v>5</v>
      </c>
      <c r="Y66" s="522">
        <v>17</v>
      </c>
      <c r="Z66" s="524">
        <v>99.18</v>
      </c>
      <c r="AA66" s="524">
        <v>99.33</v>
      </c>
      <c r="AB66" s="524">
        <v>7.43</v>
      </c>
      <c r="AC66" s="524">
        <v>102.66</v>
      </c>
      <c r="AD66" s="524">
        <v>615</v>
      </c>
      <c r="AE66" s="525">
        <v>109.82</v>
      </c>
      <c r="AF66" s="525">
        <v>97.18</v>
      </c>
      <c r="AG66" s="525">
        <v>37.92</v>
      </c>
      <c r="AH66" s="525">
        <v>145.08000000000001</v>
      </c>
      <c r="AI66" s="525">
        <v>613</v>
      </c>
      <c r="AJ66" s="525">
        <v>122.7</v>
      </c>
      <c r="AK66" s="525">
        <v>176</v>
      </c>
      <c r="AL66" s="525">
        <v>270.48</v>
      </c>
      <c r="AM66" s="525">
        <v>25</v>
      </c>
      <c r="AN66" s="526">
        <v>0</v>
      </c>
      <c r="AO66" s="526">
        <v>0</v>
      </c>
      <c r="AP66" s="526">
        <v>0</v>
      </c>
      <c r="AQ66" s="526">
        <v>0</v>
      </c>
      <c r="AR66" s="522">
        <v>0</v>
      </c>
      <c r="AS66" s="526">
        <v>71.040000000000006</v>
      </c>
      <c r="AT66" s="526">
        <v>71.959999999999994</v>
      </c>
      <c r="AU66" s="526">
        <v>20.88</v>
      </c>
      <c r="AV66" s="526">
        <v>91.92</v>
      </c>
      <c r="AW66" s="522">
        <v>2</v>
      </c>
      <c r="AX66" s="526">
        <v>81.819999999999993</v>
      </c>
      <c r="AY66" s="526">
        <v>82.81</v>
      </c>
      <c r="AZ66" s="526">
        <v>13.29</v>
      </c>
      <c r="BA66" s="526">
        <v>94.33</v>
      </c>
      <c r="BB66" s="522">
        <v>85</v>
      </c>
      <c r="BC66" s="526">
        <v>97.37</v>
      </c>
      <c r="BD66" s="526">
        <v>96.95</v>
      </c>
      <c r="BE66" s="526">
        <v>6.14</v>
      </c>
      <c r="BF66" s="526">
        <v>99.7</v>
      </c>
      <c r="BG66" s="522">
        <v>298</v>
      </c>
      <c r="BH66" s="526">
        <v>107.72</v>
      </c>
      <c r="BI66" s="526">
        <v>108.08</v>
      </c>
      <c r="BJ66" s="526">
        <v>3.74</v>
      </c>
      <c r="BK66" s="526">
        <v>109.24</v>
      </c>
      <c r="BL66" s="522">
        <v>216</v>
      </c>
      <c r="BM66" s="526">
        <v>115.31</v>
      </c>
      <c r="BN66" s="526">
        <v>119.52</v>
      </c>
      <c r="BO66" s="526">
        <v>2.4500000000000002</v>
      </c>
      <c r="BP66" s="526">
        <v>116.18</v>
      </c>
      <c r="BQ66" s="522">
        <v>14</v>
      </c>
      <c r="BR66" s="526">
        <v>0</v>
      </c>
      <c r="BS66" s="526">
        <v>0</v>
      </c>
      <c r="BT66" s="526">
        <v>0</v>
      </c>
      <c r="BU66" s="526">
        <v>0</v>
      </c>
      <c r="BV66" s="522">
        <v>0</v>
      </c>
      <c r="BW66" s="526">
        <v>0</v>
      </c>
      <c r="BX66" s="526">
        <v>0</v>
      </c>
      <c r="BY66" s="526">
        <v>0</v>
      </c>
      <c r="BZ66" s="526">
        <v>0</v>
      </c>
      <c r="CA66" s="522">
        <v>0</v>
      </c>
      <c r="CB66" s="526">
        <v>99.18</v>
      </c>
      <c r="CC66" s="526">
        <v>99.33</v>
      </c>
      <c r="CD66" s="526">
        <v>7.43</v>
      </c>
      <c r="CE66" s="526">
        <v>102.66</v>
      </c>
      <c r="CF66" s="522">
        <v>615</v>
      </c>
      <c r="CG66" s="526">
        <v>99.18</v>
      </c>
      <c r="CH66" s="526">
        <v>99.33</v>
      </c>
      <c r="CI66" s="526">
        <v>7.43</v>
      </c>
      <c r="CJ66" s="526">
        <v>102.66</v>
      </c>
      <c r="CK66" s="522">
        <v>615</v>
      </c>
      <c r="CL66" s="526">
        <v>143.58000000000001</v>
      </c>
      <c r="CM66" s="526">
        <v>92.85</v>
      </c>
      <c r="CN66" s="526">
        <v>96.08</v>
      </c>
      <c r="CO66" s="526">
        <v>236.04</v>
      </c>
      <c r="CP66" s="522">
        <v>53</v>
      </c>
      <c r="CQ66" s="526">
        <v>80.7</v>
      </c>
      <c r="CR66" s="526">
        <v>81.23</v>
      </c>
      <c r="CS66" s="526">
        <v>58.64</v>
      </c>
      <c r="CT66" s="526">
        <v>139.34</v>
      </c>
      <c r="CU66" s="522">
        <v>30</v>
      </c>
      <c r="CV66" s="526">
        <v>113.56</v>
      </c>
      <c r="CW66" s="526">
        <v>88.89</v>
      </c>
      <c r="CX66" s="526">
        <v>60.7</v>
      </c>
      <c r="CY66" s="526">
        <v>171.91</v>
      </c>
      <c r="CZ66" s="522">
        <v>207</v>
      </c>
      <c r="DA66" s="526">
        <v>104.28</v>
      </c>
      <c r="DB66" s="526">
        <v>102.56</v>
      </c>
      <c r="DC66" s="526">
        <v>9.66</v>
      </c>
      <c r="DD66" s="526">
        <v>113.24</v>
      </c>
      <c r="DE66" s="522">
        <v>305</v>
      </c>
      <c r="DF66" s="526">
        <v>109.65</v>
      </c>
      <c r="DG66" s="526">
        <v>114.87</v>
      </c>
      <c r="DH66" s="526">
        <v>20.34</v>
      </c>
      <c r="DI66" s="526">
        <v>117.56</v>
      </c>
      <c r="DJ66" s="522">
        <v>18</v>
      </c>
      <c r="DK66" s="526">
        <v>0</v>
      </c>
      <c r="DL66" s="526">
        <v>0</v>
      </c>
      <c r="DM66" s="526">
        <v>0</v>
      </c>
      <c r="DN66" s="526">
        <v>0</v>
      </c>
      <c r="DO66" s="522">
        <v>0</v>
      </c>
      <c r="DP66" s="526">
        <v>106.62</v>
      </c>
      <c r="DQ66" s="526">
        <v>97.42</v>
      </c>
      <c r="DR66" s="526">
        <v>32.200000000000003</v>
      </c>
      <c r="DS66" s="526">
        <v>136.47</v>
      </c>
      <c r="DT66" s="522">
        <v>560</v>
      </c>
      <c r="DU66" s="526">
        <v>109.82</v>
      </c>
      <c r="DV66" s="526">
        <v>97.18</v>
      </c>
      <c r="DW66" s="526">
        <v>37.92</v>
      </c>
      <c r="DX66" s="526">
        <v>145.08000000000001</v>
      </c>
      <c r="DY66" s="522">
        <v>613</v>
      </c>
      <c r="DZ66" s="526">
        <v>0</v>
      </c>
      <c r="EA66" s="526">
        <v>0</v>
      </c>
      <c r="EB66" s="526">
        <v>0</v>
      </c>
      <c r="EC66" s="522">
        <v>0</v>
      </c>
      <c r="ED66" s="526">
        <v>91.6</v>
      </c>
      <c r="EE66" s="522">
        <v>9</v>
      </c>
      <c r="EF66" s="526">
        <v>112.87</v>
      </c>
      <c r="EG66" s="522">
        <v>100</v>
      </c>
      <c r="EH66" s="526">
        <v>136.03</v>
      </c>
      <c r="EI66" s="522">
        <v>57</v>
      </c>
      <c r="EJ66" s="526">
        <v>172.99</v>
      </c>
      <c r="EK66" s="522">
        <v>10</v>
      </c>
      <c r="EL66" s="526">
        <v>0</v>
      </c>
      <c r="EM66" s="522">
        <v>0</v>
      </c>
      <c r="EN66" s="526">
        <v>0</v>
      </c>
      <c r="EO66" s="522">
        <v>0</v>
      </c>
      <c r="EP66" s="526">
        <v>122.7</v>
      </c>
      <c r="EQ66" s="522">
        <v>176</v>
      </c>
      <c r="ER66" s="526">
        <v>122.7</v>
      </c>
      <c r="ES66" s="522">
        <v>176</v>
      </c>
      <c r="ET66" s="526">
        <v>322.49</v>
      </c>
      <c r="EU66" s="526">
        <v>8</v>
      </c>
      <c r="EV66" s="526">
        <v>246.01</v>
      </c>
      <c r="EW66" s="522">
        <v>17</v>
      </c>
      <c r="EX66" s="526">
        <v>0</v>
      </c>
      <c r="EY66" s="522">
        <v>0</v>
      </c>
      <c r="EZ66" s="526">
        <v>0</v>
      </c>
      <c r="FA66" s="522">
        <v>0</v>
      </c>
      <c r="FB66" s="526">
        <v>0</v>
      </c>
      <c r="FC66" s="522">
        <v>0</v>
      </c>
      <c r="FD66" s="526">
        <v>0</v>
      </c>
      <c r="FE66" s="522">
        <v>0</v>
      </c>
      <c r="FF66" s="526">
        <v>246.01</v>
      </c>
      <c r="FG66" s="522">
        <v>17</v>
      </c>
      <c r="FH66" s="526">
        <v>270.48</v>
      </c>
      <c r="FI66" s="522">
        <v>25</v>
      </c>
      <c r="FJ66" s="522">
        <v>0</v>
      </c>
      <c r="FK66" s="522">
        <v>0</v>
      </c>
      <c r="FL66" s="522">
        <v>0</v>
      </c>
      <c r="FM66" s="522">
        <v>0</v>
      </c>
      <c r="FN66" s="522">
        <v>0</v>
      </c>
      <c r="FO66" s="522">
        <v>0</v>
      </c>
      <c r="FP66" s="522">
        <v>0</v>
      </c>
      <c r="FQ66" s="522">
        <v>30</v>
      </c>
      <c r="FR66" s="522">
        <v>2</v>
      </c>
    </row>
    <row r="67" spans="1:174" x14ac:dyDescent="0.25">
      <c r="A67" s="523" t="s">
        <v>393</v>
      </c>
      <c r="B67" s="523" t="s">
        <v>394</v>
      </c>
      <c r="C67" s="523" t="s">
        <v>2</v>
      </c>
      <c r="D67" s="522">
        <v>7834</v>
      </c>
      <c r="E67" s="522">
        <v>7815</v>
      </c>
      <c r="F67" s="522">
        <v>0</v>
      </c>
      <c r="G67" s="522">
        <v>0</v>
      </c>
      <c r="H67" s="522">
        <v>194</v>
      </c>
      <c r="I67" s="522">
        <v>96</v>
      </c>
      <c r="J67" s="522">
        <v>774</v>
      </c>
      <c r="K67" s="522">
        <v>632</v>
      </c>
      <c r="L67" s="522">
        <v>1076</v>
      </c>
      <c r="M67" s="522">
        <v>111</v>
      </c>
      <c r="N67" s="522">
        <v>9878</v>
      </c>
      <c r="O67" s="522">
        <v>8654</v>
      </c>
      <c r="P67" s="522">
        <v>8802</v>
      </c>
      <c r="Q67" s="522">
        <v>32</v>
      </c>
      <c r="R67" s="523">
        <v>8</v>
      </c>
      <c r="S67" s="523">
        <v>33</v>
      </c>
      <c r="T67" s="523">
        <v>262</v>
      </c>
      <c r="U67" s="523">
        <v>9616</v>
      </c>
      <c r="V67" s="522">
        <v>7812</v>
      </c>
      <c r="W67" s="522">
        <v>83</v>
      </c>
      <c r="X67" s="522">
        <v>10</v>
      </c>
      <c r="Y67" s="522">
        <v>93</v>
      </c>
      <c r="Z67" s="524">
        <v>121.35</v>
      </c>
      <c r="AA67" s="524">
        <v>126.03</v>
      </c>
      <c r="AB67" s="524">
        <v>10.53</v>
      </c>
      <c r="AC67" s="524">
        <v>126.86</v>
      </c>
      <c r="AD67" s="524">
        <v>6266</v>
      </c>
      <c r="AE67" s="525">
        <v>118.34</v>
      </c>
      <c r="AF67" s="525">
        <v>104.68</v>
      </c>
      <c r="AG67" s="525">
        <v>49.92</v>
      </c>
      <c r="AH67" s="525">
        <v>165.79</v>
      </c>
      <c r="AI67" s="525">
        <v>728</v>
      </c>
      <c r="AJ67" s="525">
        <v>192.48</v>
      </c>
      <c r="AK67" s="525">
        <v>1511</v>
      </c>
      <c r="AL67" s="525">
        <v>158.84</v>
      </c>
      <c r="AM67" s="525">
        <v>4</v>
      </c>
      <c r="AN67" s="526">
        <v>0</v>
      </c>
      <c r="AO67" s="526">
        <v>0</v>
      </c>
      <c r="AP67" s="526">
        <v>0</v>
      </c>
      <c r="AQ67" s="526">
        <v>0</v>
      </c>
      <c r="AR67" s="522">
        <v>0</v>
      </c>
      <c r="AS67" s="526">
        <v>86.57</v>
      </c>
      <c r="AT67" s="526">
        <v>88.43</v>
      </c>
      <c r="AU67" s="526">
        <v>16.38</v>
      </c>
      <c r="AV67" s="526">
        <v>101.29</v>
      </c>
      <c r="AW67" s="522">
        <v>79</v>
      </c>
      <c r="AX67" s="526">
        <v>103.42</v>
      </c>
      <c r="AY67" s="526">
        <v>106.32</v>
      </c>
      <c r="AZ67" s="526">
        <v>13.94</v>
      </c>
      <c r="BA67" s="526">
        <v>113.7</v>
      </c>
      <c r="BB67" s="522">
        <v>1169</v>
      </c>
      <c r="BC67" s="526">
        <v>118.94</v>
      </c>
      <c r="BD67" s="526">
        <v>122.61</v>
      </c>
      <c r="BE67" s="526">
        <v>11.34</v>
      </c>
      <c r="BF67" s="526">
        <v>125.04</v>
      </c>
      <c r="BG67" s="522">
        <v>2922</v>
      </c>
      <c r="BH67" s="526">
        <v>134.94999999999999</v>
      </c>
      <c r="BI67" s="526">
        <v>142.27000000000001</v>
      </c>
      <c r="BJ67" s="526">
        <v>4.4000000000000004</v>
      </c>
      <c r="BK67" s="526">
        <v>136.51</v>
      </c>
      <c r="BL67" s="522">
        <v>1952</v>
      </c>
      <c r="BM67" s="526">
        <v>150.13999999999999</v>
      </c>
      <c r="BN67" s="526">
        <v>155.58000000000001</v>
      </c>
      <c r="BO67" s="526">
        <v>6.01</v>
      </c>
      <c r="BP67" s="526">
        <v>153.76</v>
      </c>
      <c r="BQ67" s="522">
        <v>141</v>
      </c>
      <c r="BR67" s="526">
        <v>165.53</v>
      </c>
      <c r="BS67" s="526">
        <v>177.57</v>
      </c>
      <c r="BT67" s="526">
        <v>2.68</v>
      </c>
      <c r="BU67" s="526">
        <v>167.31</v>
      </c>
      <c r="BV67" s="522">
        <v>3</v>
      </c>
      <c r="BW67" s="526">
        <v>0</v>
      </c>
      <c r="BX67" s="526">
        <v>0</v>
      </c>
      <c r="BY67" s="526">
        <v>0</v>
      </c>
      <c r="BZ67" s="526">
        <v>0</v>
      </c>
      <c r="CA67" s="522">
        <v>0</v>
      </c>
      <c r="CB67" s="526">
        <v>121.35</v>
      </c>
      <c r="CC67" s="526">
        <v>126.03</v>
      </c>
      <c r="CD67" s="526">
        <v>10.53</v>
      </c>
      <c r="CE67" s="526">
        <v>126.86</v>
      </c>
      <c r="CF67" s="522">
        <v>6266</v>
      </c>
      <c r="CG67" s="526">
        <v>121.35</v>
      </c>
      <c r="CH67" s="526">
        <v>126.03</v>
      </c>
      <c r="CI67" s="526">
        <v>10.53</v>
      </c>
      <c r="CJ67" s="526">
        <v>126.86</v>
      </c>
      <c r="CK67" s="522">
        <v>6266</v>
      </c>
      <c r="CL67" s="526">
        <v>123.15</v>
      </c>
      <c r="CM67" s="526">
        <v>93.28</v>
      </c>
      <c r="CN67" s="526">
        <v>25.07</v>
      </c>
      <c r="CO67" s="526">
        <v>132.71</v>
      </c>
      <c r="CP67" s="522">
        <v>42</v>
      </c>
      <c r="CQ67" s="526">
        <v>94.81</v>
      </c>
      <c r="CR67" s="526">
        <v>90.21</v>
      </c>
      <c r="CS67" s="526">
        <v>30.76</v>
      </c>
      <c r="CT67" s="526">
        <v>122.49</v>
      </c>
      <c r="CU67" s="522">
        <v>50</v>
      </c>
      <c r="CV67" s="526">
        <v>119.04</v>
      </c>
      <c r="CW67" s="526">
        <v>104.04</v>
      </c>
      <c r="CX67" s="526">
        <v>55.33</v>
      </c>
      <c r="CY67" s="526">
        <v>174.08</v>
      </c>
      <c r="CZ67" s="522">
        <v>566</v>
      </c>
      <c r="DA67" s="526">
        <v>128.1</v>
      </c>
      <c r="DB67" s="526">
        <v>124.09</v>
      </c>
      <c r="DC67" s="526">
        <v>21.59</v>
      </c>
      <c r="DD67" s="526">
        <v>149.69999999999999</v>
      </c>
      <c r="DE67" s="522">
        <v>63</v>
      </c>
      <c r="DF67" s="526">
        <v>100.72</v>
      </c>
      <c r="DG67" s="526">
        <v>132.74</v>
      </c>
      <c r="DH67" s="526">
        <v>59.55</v>
      </c>
      <c r="DI67" s="526">
        <v>140.41999999999999</v>
      </c>
      <c r="DJ67" s="522">
        <v>6</v>
      </c>
      <c r="DK67" s="526">
        <v>185.37</v>
      </c>
      <c r="DL67" s="526">
        <v>174.97</v>
      </c>
      <c r="DM67" s="526">
        <v>12.39</v>
      </c>
      <c r="DN67" s="526">
        <v>197.76</v>
      </c>
      <c r="DO67" s="522">
        <v>1</v>
      </c>
      <c r="DP67" s="526">
        <v>118.04</v>
      </c>
      <c r="DQ67" s="526">
        <v>105.29</v>
      </c>
      <c r="DR67" s="526">
        <v>50.51</v>
      </c>
      <c r="DS67" s="526">
        <v>167.82</v>
      </c>
      <c r="DT67" s="522">
        <v>686</v>
      </c>
      <c r="DU67" s="526">
        <v>118.34</v>
      </c>
      <c r="DV67" s="526">
        <v>104.68</v>
      </c>
      <c r="DW67" s="526">
        <v>49.92</v>
      </c>
      <c r="DX67" s="526">
        <v>165.79</v>
      </c>
      <c r="DY67" s="522">
        <v>728</v>
      </c>
      <c r="DZ67" s="526">
        <v>0</v>
      </c>
      <c r="EA67" s="526">
        <v>0</v>
      </c>
      <c r="EB67" s="526">
        <v>0</v>
      </c>
      <c r="EC67" s="522">
        <v>0</v>
      </c>
      <c r="ED67" s="526">
        <v>146.9</v>
      </c>
      <c r="EE67" s="522">
        <v>324</v>
      </c>
      <c r="EF67" s="526">
        <v>180.58</v>
      </c>
      <c r="EG67" s="522">
        <v>617</v>
      </c>
      <c r="EH67" s="526">
        <v>219.24</v>
      </c>
      <c r="EI67" s="522">
        <v>440</v>
      </c>
      <c r="EJ67" s="526">
        <v>271.93</v>
      </c>
      <c r="EK67" s="522">
        <v>130</v>
      </c>
      <c r="EL67" s="526">
        <v>0</v>
      </c>
      <c r="EM67" s="522">
        <v>0</v>
      </c>
      <c r="EN67" s="526">
        <v>0</v>
      </c>
      <c r="EO67" s="522">
        <v>0</v>
      </c>
      <c r="EP67" s="526">
        <v>192.48</v>
      </c>
      <c r="EQ67" s="522">
        <v>1511</v>
      </c>
      <c r="ER67" s="526">
        <v>192.48</v>
      </c>
      <c r="ES67" s="522">
        <v>1511</v>
      </c>
      <c r="ET67" s="526">
        <v>0</v>
      </c>
      <c r="EU67" s="526">
        <v>0</v>
      </c>
      <c r="EV67" s="526">
        <v>0</v>
      </c>
      <c r="EW67" s="522">
        <v>0</v>
      </c>
      <c r="EX67" s="526">
        <v>149.54</v>
      </c>
      <c r="EY67" s="522">
        <v>2</v>
      </c>
      <c r="EZ67" s="526">
        <v>168.13</v>
      </c>
      <c r="FA67" s="522">
        <v>2</v>
      </c>
      <c r="FB67" s="526">
        <v>0</v>
      </c>
      <c r="FC67" s="522">
        <v>0</v>
      </c>
      <c r="FD67" s="526">
        <v>0</v>
      </c>
      <c r="FE67" s="522">
        <v>0</v>
      </c>
      <c r="FF67" s="526">
        <v>158.84</v>
      </c>
      <c r="FG67" s="522">
        <v>4</v>
      </c>
      <c r="FH67" s="526">
        <v>158.84</v>
      </c>
      <c r="FI67" s="522">
        <v>4</v>
      </c>
      <c r="FJ67" s="522">
        <v>0</v>
      </c>
      <c r="FK67" s="522">
        <v>4</v>
      </c>
      <c r="FL67" s="522">
        <v>2</v>
      </c>
      <c r="FM67" s="522">
        <v>0</v>
      </c>
      <c r="FN67" s="522">
        <v>2</v>
      </c>
      <c r="FO67" s="522">
        <v>0</v>
      </c>
      <c r="FP67" s="522">
        <v>51</v>
      </c>
      <c r="FQ67" s="522">
        <v>107</v>
      </c>
      <c r="FR67" s="522">
        <v>10</v>
      </c>
    </row>
    <row r="68" spans="1:174" x14ac:dyDescent="0.25">
      <c r="A68" s="523" t="s">
        <v>395</v>
      </c>
      <c r="B68" s="523" t="s">
        <v>396</v>
      </c>
      <c r="C68" s="523" t="s">
        <v>286</v>
      </c>
      <c r="D68" s="522">
        <v>6111</v>
      </c>
      <c r="E68" s="522">
        <v>6027</v>
      </c>
      <c r="F68" s="522">
        <v>9</v>
      </c>
      <c r="G68" s="522">
        <v>9</v>
      </c>
      <c r="H68" s="522">
        <v>375</v>
      </c>
      <c r="I68" s="522">
        <v>130</v>
      </c>
      <c r="J68" s="522">
        <v>655</v>
      </c>
      <c r="K68" s="522">
        <v>655</v>
      </c>
      <c r="L68" s="522">
        <v>371</v>
      </c>
      <c r="M68" s="522">
        <v>0</v>
      </c>
      <c r="N68" s="522">
        <v>7521</v>
      </c>
      <c r="O68" s="522">
        <v>6821</v>
      </c>
      <c r="P68" s="522">
        <v>7150</v>
      </c>
      <c r="Q68" s="522">
        <v>7</v>
      </c>
      <c r="R68" s="523">
        <v>11</v>
      </c>
      <c r="S68" s="523">
        <v>19</v>
      </c>
      <c r="T68" s="523">
        <v>261</v>
      </c>
      <c r="U68" s="523">
        <v>7260</v>
      </c>
      <c r="V68" s="522">
        <v>6027</v>
      </c>
      <c r="W68" s="522">
        <v>73</v>
      </c>
      <c r="X68" s="522">
        <v>23</v>
      </c>
      <c r="Y68" s="522">
        <v>96</v>
      </c>
      <c r="Z68" s="524">
        <v>92.46</v>
      </c>
      <c r="AA68" s="524">
        <v>92.58</v>
      </c>
      <c r="AB68" s="524">
        <v>6.84</v>
      </c>
      <c r="AC68" s="524">
        <v>97.53</v>
      </c>
      <c r="AD68" s="524">
        <v>5066</v>
      </c>
      <c r="AE68" s="525">
        <v>97.03</v>
      </c>
      <c r="AF68" s="525">
        <v>82.29</v>
      </c>
      <c r="AG68" s="525">
        <v>32.6</v>
      </c>
      <c r="AH68" s="525">
        <v>127.64</v>
      </c>
      <c r="AI68" s="525">
        <v>853</v>
      </c>
      <c r="AJ68" s="525">
        <v>116.19</v>
      </c>
      <c r="AK68" s="525">
        <v>1000</v>
      </c>
      <c r="AL68" s="525">
        <v>0</v>
      </c>
      <c r="AM68" s="525">
        <v>0</v>
      </c>
      <c r="AN68" s="526">
        <v>0</v>
      </c>
      <c r="AO68" s="526">
        <v>0</v>
      </c>
      <c r="AP68" s="526">
        <v>0</v>
      </c>
      <c r="AQ68" s="526">
        <v>0</v>
      </c>
      <c r="AR68" s="522">
        <v>0</v>
      </c>
      <c r="AS68" s="526">
        <v>67.19</v>
      </c>
      <c r="AT68" s="526">
        <v>65.87</v>
      </c>
      <c r="AU68" s="526">
        <v>15.1</v>
      </c>
      <c r="AV68" s="526">
        <v>82.29</v>
      </c>
      <c r="AW68" s="522">
        <v>49</v>
      </c>
      <c r="AX68" s="526">
        <v>79.13</v>
      </c>
      <c r="AY68" s="526">
        <v>79.19</v>
      </c>
      <c r="AZ68" s="526">
        <v>6.72</v>
      </c>
      <c r="BA68" s="526">
        <v>85.25</v>
      </c>
      <c r="BB68" s="522">
        <v>1265</v>
      </c>
      <c r="BC68" s="526">
        <v>91.76</v>
      </c>
      <c r="BD68" s="526">
        <v>91.76</v>
      </c>
      <c r="BE68" s="526">
        <v>7.5</v>
      </c>
      <c r="BF68" s="526">
        <v>97.11</v>
      </c>
      <c r="BG68" s="522">
        <v>1895</v>
      </c>
      <c r="BH68" s="526">
        <v>102.33</v>
      </c>
      <c r="BI68" s="526">
        <v>102.6</v>
      </c>
      <c r="BJ68" s="526">
        <v>5.94</v>
      </c>
      <c r="BK68" s="526">
        <v>106.2</v>
      </c>
      <c r="BL68" s="522">
        <v>1753</v>
      </c>
      <c r="BM68" s="526">
        <v>113.07</v>
      </c>
      <c r="BN68" s="526">
        <v>113.85</v>
      </c>
      <c r="BO68" s="526">
        <v>4.5599999999999996</v>
      </c>
      <c r="BP68" s="526">
        <v>115.3</v>
      </c>
      <c r="BQ68" s="522">
        <v>102</v>
      </c>
      <c r="BR68" s="526">
        <v>108.05</v>
      </c>
      <c r="BS68" s="526">
        <v>106.87</v>
      </c>
      <c r="BT68" s="526">
        <v>8.91</v>
      </c>
      <c r="BU68" s="526">
        <v>116.96</v>
      </c>
      <c r="BV68" s="522">
        <v>1</v>
      </c>
      <c r="BW68" s="526">
        <v>118.41</v>
      </c>
      <c r="BX68" s="526">
        <v>117.09</v>
      </c>
      <c r="BY68" s="526">
        <v>0</v>
      </c>
      <c r="BZ68" s="526">
        <v>118.41</v>
      </c>
      <c r="CA68" s="522">
        <v>1</v>
      </c>
      <c r="CB68" s="526">
        <v>92.46</v>
      </c>
      <c r="CC68" s="526">
        <v>92.58</v>
      </c>
      <c r="CD68" s="526">
        <v>6.84</v>
      </c>
      <c r="CE68" s="526">
        <v>97.53</v>
      </c>
      <c r="CF68" s="522">
        <v>5066</v>
      </c>
      <c r="CG68" s="526">
        <v>92.46</v>
      </c>
      <c r="CH68" s="526">
        <v>92.58</v>
      </c>
      <c r="CI68" s="526">
        <v>6.84</v>
      </c>
      <c r="CJ68" s="526">
        <v>97.53</v>
      </c>
      <c r="CK68" s="522">
        <v>5066</v>
      </c>
      <c r="CL68" s="526">
        <v>168.71</v>
      </c>
      <c r="CM68" s="526">
        <v>88.02</v>
      </c>
      <c r="CN68" s="526">
        <v>25.05</v>
      </c>
      <c r="CO68" s="526">
        <v>187.94</v>
      </c>
      <c r="CP68" s="522">
        <v>129</v>
      </c>
      <c r="CQ68" s="526">
        <v>80.17</v>
      </c>
      <c r="CR68" s="526">
        <v>77.78</v>
      </c>
      <c r="CS68" s="526">
        <v>35.35</v>
      </c>
      <c r="CT68" s="526">
        <v>111.75</v>
      </c>
      <c r="CU68" s="522">
        <v>94</v>
      </c>
      <c r="CV68" s="526">
        <v>83.03</v>
      </c>
      <c r="CW68" s="526">
        <v>80.91</v>
      </c>
      <c r="CX68" s="526">
        <v>34.65</v>
      </c>
      <c r="CY68" s="526">
        <v>117.07</v>
      </c>
      <c r="CZ68" s="522">
        <v>561</v>
      </c>
      <c r="DA68" s="526">
        <v>99.13</v>
      </c>
      <c r="DB68" s="526">
        <v>96.6</v>
      </c>
      <c r="DC68" s="526">
        <v>22.2</v>
      </c>
      <c r="DD68" s="526">
        <v>120.66</v>
      </c>
      <c r="DE68" s="522">
        <v>66</v>
      </c>
      <c r="DF68" s="526">
        <v>105.42</v>
      </c>
      <c r="DG68" s="526">
        <v>99.51</v>
      </c>
      <c r="DH68" s="526">
        <v>50.28</v>
      </c>
      <c r="DI68" s="526">
        <v>155.69999999999999</v>
      </c>
      <c r="DJ68" s="522">
        <v>2</v>
      </c>
      <c r="DK68" s="526">
        <v>129.78</v>
      </c>
      <c r="DL68" s="526">
        <v>117.98</v>
      </c>
      <c r="DM68" s="526">
        <v>48.9</v>
      </c>
      <c r="DN68" s="526">
        <v>178.68</v>
      </c>
      <c r="DO68" s="522">
        <v>1</v>
      </c>
      <c r="DP68" s="526">
        <v>84.26</v>
      </c>
      <c r="DQ68" s="526">
        <v>81.99</v>
      </c>
      <c r="DR68" s="526">
        <v>33.659999999999997</v>
      </c>
      <c r="DS68" s="526">
        <v>116.9</v>
      </c>
      <c r="DT68" s="522">
        <v>724</v>
      </c>
      <c r="DU68" s="526">
        <v>97.03</v>
      </c>
      <c r="DV68" s="526">
        <v>82.29</v>
      </c>
      <c r="DW68" s="526">
        <v>32.6</v>
      </c>
      <c r="DX68" s="526">
        <v>127.64</v>
      </c>
      <c r="DY68" s="522">
        <v>853</v>
      </c>
      <c r="DZ68" s="526">
        <v>0</v>
      </c>
      <c r="EA68" s="526">
        <v>0</v>
      </c>
      <c r="EB68" s="526">
        <v>0</v>
      </c>
      <c r="EC68" s="522">
        <v>0</v>
      </c>
      <c r="ED68" s="526">
        <v>91.19</v>
      </c>
      <c r="EE68" s="522">
        <v>155</v>
      </c>
      <c r="EF68" s="526">
        <v>114.89</v>
      </c>
      <c r="EG68" s="522">
        <v>509</v>
      </c>
      <c r="EH68" s="526">
        <v>128.83000000000001</v>
      </c>
      <c r="EI68" s="522">
        <v>306</v>
      </c>
      <c r="EJ68" s="526">
        <v>138.46</v>
      </c>
      <c r="EK68" s="522">
        <v>30</v>
      </c>
      <c r="EL68" s="526">
        <v>0</v>
      </c>
      <c r="EM68" s="522">
        <v>0</v>
      </c>
      <c r="EN68" s="526">
        <v>0</v>
      </c>
      <c r="EO68" s="522">
        <v>0</v>
      </c>
      <c r="EP68" s="526">
        <v>116.19</v>
      </c>
      <c r="EQ68" s="522">
        <v>1000</v>
      </c>
      <c r="ER68" s="526">
        <v>116.19</v>
      </c>
      <c r="ES68" s="522">
        <v>1000</v>
      </c>
      <c r="ET68" s="526">
        <v>0</v>
      </c>
      <c r="EU68" s="526">
        <v>0</v>
      </c>
      <c r="EV68" s="526">
        <v>0</v>
      </c>
      <c r="EW68" s="522">
        <v>0</v>
      </c>
      <c r="EX68" s="526">
        <v>0</v>
      </c>
      <c r="EY68" s="522">
        <v>0</v>
      </c>
      <c r="EZ68" s="526">
        <v>0</v>
      </c>
      <c r="FA68" s="522">
        <v>0</v>
      </c>
      <c r="FB68" s="526">
        <v>0</v>
      </c>
      <c r="FC68" s="522">
        <v>0</v>
      </c>
      <c r="FD68" s="526">
        <v>0</v>
      </c>
      <c r="FE68" s="522">
        <v>0</v>
      </c>
      <c r="FF68" s="526">
        <v>0</v>
      </c>
      <c r="FG68" s="522">
        <v>0</v>
      </c>
      <c r="FH68" s="526">
        <v>0</v>
      </c>
      <c r="FI68" s="522">
        <v>0</v>
      </c>
      <c r="FJ68" s="522">
        <v>0</v>
      </c>
      <c r="FK68" s="522">
        <v>10</v>
      </c>
      <c r="FL68" s="522">
        <v>10</v>
      </c>
      <c r="FM68" s="522">
        <v>0</v>
      </c>
      <c r="FN68" s="522">
        <v>0</v>
      </c>
      <c r="FO68" s="522">
        <v>0</v>
      </c>
      <c r="FP68" s="522">
        <v>0</v>
      </c>
      <c r="FQ68" s="522">
        <v>53</v>
      </c>
      <c r="FR68" s="522">
        <v>2</v>
      </c>
    </row>
    <row r="69" spans="1:174" x14ac:dyDescent="0.25">
      <c r="A69" s="523" t="s">
        <v>397</v>
      </c>
      <c r="B69" s="523" t="s">
        <v>398</v>
      </c>
      <c r="C69" s="523" t="s">
        <v>284</v>
      </c>
      <c r="D69" s="522">
        <v>194</v>
      </c>
      <c r="E69" s="522">
        <v>194</v>
      </c>
      <c r="F69" s="522">
        <v>0</v>
      </c>
      <c r="G69" s="522">
        <v>0</v>
      </c>
      <c r="H69" s="522">
        <v>17</v>
      </c>
      <c r="I69" s="522">
        <v>17</v>
      </c>
      <c r="J69" s="522">
        <v>19</v>
      </c>
      <c r="K69" s="522">
        <v>19</v>
      </c>
      <c r="L69" s="522">
        <v>0</v>
      </c>
      <c r="M69" s="522">
        <v>0</v>
      </c>
      <c r="N69" s="522">
        <v>230</v>
      </c>
      <c r="O69" s="522">
        <v>230</v>
      </c>
      <c r="P69" s="522">
        <v>230</v>
      </c>
      <c r="Q69" s="522">
        <v>0</v>
      </c>
      <c r="R69" s="523">
        <v>0</v>
      </c>
      <c r="S69" s="523">
        <v>3</v>
      </c>
      <c r="T69" s="523">
        <v>0</v>
      </c>
      <c r="U69" s="523">
        <v>230</v>
      </c>
      <c r="V69" s="522">
        <v>194</v>
      </c>
      <c r="W69" s="522">
        <v>1</v>
      </c>
      <c r="X69" s="522">
        <v>0</v>
      </c>
      <c r="Y69" s="522">
        <v>1</v>
      </c>
      <c r="Z69" s="524">
        <v>143.55000000000001</v>
      </c>
      <c r="AA69" s="524">
        <v>153.5</v>
      </c>
      <c r="AB69" s="524">
        <v>18.04</v>
      </c>
      <c r="AC69" s="524">
        <v>161.59</v>
      </c>
      <c r="AD69" s="524">
        <v>160</v>
      </c>
      <c r="AE69" s="525">
        <v>137.35</v>
      </c>
      <c r="AF69" s="525">
        <v>133.79</v>
      </c>
      <c r="AG69" s="525">
        <v>165.96</v>
      </c>
      <c r="AH69" s="525">
        <v>303.31</v>
      </c>
      <c r="AI69" s="525">
        <v>36</v>
      </c>
      <c r="AJ69" s="525">
        <v>236.92</v>
      </c>
      <c r="AK69" s="525">
        <v>34</v>
      </c>
      <c r="AL69" s="525">
        <v>0</v>
      </c>
      <c r="AM69" s="525">
        <v>0</v>
      </c>
      <c r="AN69" s="526">
        <v>0</v>
      </c>
      <c r="AO69" s="526">
        <v>0</v>
      </c>
      <c r="AP69" s="526">
        <v>0</v>
      </c>
      <c r="AQ69" s="526">
        <v>0</v>
      </c>
      <c r="AR69" s="522">
        <v>0</v>
      </c>
      <c r="AS69" s="526">
        <v>99.88</v>
      </c>
      <c r="AT69" s="526">
        <v>100.99</v>
      </c>
      <c r="AU69" s="526">
        <v>21.04</v>
      </c>
      <c r="AV69" s="526">
        <v>120.92</v>
      </c>
      <c r="AW69" s="522">
        <v>21</v>
      </c>
      <c r="AX69" s="526">
        <v>139.81</v>
      </c>
      <c r="AY69" s="526">
        <v>144.19999999999999</v>
      </c>
      <c r="AZ69" s="526">
        <v>22.4</v>
      </c>
      <c r="BA69" s="526">
        <v>162.21</v>
      </c>
      <c r="BB69" s="522">
        <v>57</v>
      </c>
      <c r="BC69" s="526">
        <v>152.06</v>
      </c>
      <c r="BD69" s="526">
        <v>166.44</v>
      </c>
      <c r="BE69" s="526">
        <v>22.34</v>
      </c>
      <c r="BF69" s="526">
        <v>174.4</v>
      </c>
      <c r="BG69" s="522">
        <v>34</v>
      </c>
      <c r="BH69" s="526">
        <v>161.06</v>
      </c>
      <c r="BI69" s="526">
        <v>194.22</v>
      </c>
      <c r="BJ69" s="526">
        <v>8.52</v>
      </c>
      <c r="BK69" s="526">
        <v>169.58</v>
      </c>
      <c r="BL69" s="522">
        <v>48</v>
      </c>
      <c r="BM69" s="526">
        <v>0</v>
      </c>
      <c r="BN69" s="526">
        <v>0</v>
      </c>
      <c r="BO69" s="526">
        <v>0</v>
      </c>
      <c r="BP69" s="526">
        <v>0</v>
      </c>
      <c r="BQ69" s="522">
        <v>0</v>
      </c>
      <c r="BR69" s="526">
        <v>0</v>
      </c>
      <c r="BS69" s="526">
        <v>0</v>
      </c>
      <c r="BT69" s="526">
        <v>0</v>
      </c>
      <c r="BU69" s="526">
        <v>0</v>
      </c>
      <c r="BV69" s="522">
        <v>0</v>
      </c>
      <c r="BW69" s="526">
        <v>0</v>
      </c>
      <c r="BX69" s="526">
        <v>0</v>
      </c>
      <c r="BY69" s="526">
        <v>0</v>
      </c>
      <c r="BZ69" s="526">
        <v>0</v>
      </c>
      <c r="CA69" s="522">
        <v>0</v>
      </c>
      <c r="CB69" s="526">
        <v>143.55000000000001</v>
      </c>
      <c r="CC69" s="526">
        <v>153.5</v>
      </c>
      <c r="CD69" s="526">
        <v>18.04</v>
      </c>
      <c r="CE69" s="526">
        <v>161.59</v>
      </c>
      <c r="CF69" s="522">
        <v>160</v>
      </c>
      <c r="CG69" s="526">
        <v>143.55000000000001</v>
      </c>
      <c r="CH69" s="526">
        <v>153.5</v>
      </c>
      <c r="CI69" s="526">
        <v>18.04</v>
      </c>
      <c r="CJ69" s="526">
        <v>161.59</v>
      </c>
      <c r="CK69" s="522">
        <v>160</v>
      </c>
      <c r="CL69" s="526">
        <v>0</v>
      </c>
      <c r="CM69" s="526">
        <v>0</v>
      </c>
      <c r="CN69" s="526">
        <v>0</v>
      </c>
      <c r="CO69" s="526">
        <v>0</v>
      </c>
      <c r="CP69" s="522">
        <v>0</v>
      </c>
      <c r="CQ69" s="526">
        <v>0</v>
      </c>
      <c r="CR69" s="526">
        <v>0</v>
      </c>
      <c r="CS69" s="526">
        <v>0</v>
      </c>
      <c r="CT69" s="526">
        <v>0</v>
      </c>
      <c r="CU69" s="522">
        <v>0</v>
      </c>
      <c r="CV69" s="526">
        <v>136.25</v>
      </c>
      <c r="CW69" s="526">
        <v>132.69999999999999</v>
      </c>
      <c r="CX69" s="526">
        <v>169.15</v>
      </c>
      <c r="CY69" s="526">
        <v>305.39999999999998</v>
      </c>
      <c r="CZ69" s="522">
        <v>35</v>
      </c>
      <c r="DA69" s="526">
        <v>175.57</v>
      </c>
      <c r="DB69" s="526">
        <v>172.03</v>
      </c>
      <c r="DC69" s="526">
        <v>54.42</v>
      </c>
      <c r="DD69" s="526">
        <v>229.99</v>
      </c>
      <c r="DE69" s="522">
        <v>1</v>
      </c>
      <c r="DF69" s="526">
        <v>0</v>
      </c>
      <c r="DG69" s="526">
        <v>0</v>
      </c>
      <c r="DH69" s="526">
        <v>0</v>
      </c>
      <c r="DI69" s="526">
        <v>0</v>
      </c>
      <c r="DJ69" s="522">
        <v>0</v>
      </c>
      <c r="DK69" s="526">
        <v>0</v>
      </c>
      <c r="DL69" s="526">
        <v>0</v>
      </c>
      <c r="DM69" s="526">
        <v>0</v>
      </c>
      <c r="DN69" s="526">
        <v>0</v>
      </c>
      <c r="DO69" s="522">
        <v>0</v>
      </c>
      <c r="DP69" s="526">
        <v>137.35</v>
      </c>
      <c r="DQ69" s="526">
        <v>133.79</v>
      </c>
      <c r="DR69" s="526">
        <v>165.96</v>
      </c>
      <c r="DS69" s="526">
        <v>303.31</v>
      </c>
      <c r="DT69" s="522">
        <v>36</v>
      </c>
      <c r="DU69" s="526">
        <v>137.35</v>
      </c>
      <c r="DV69" s="526">
        <v>133.79</v>
      </c>
      <c r="DW69" s="526">
        <v>165.96</v>
      </c>
      <c r="DX69" s="526">
        <v>303.31</v>
      </c>
      <c r="DY69" s="522">
        <v>36</v>
      </c>
      <c r="DZ69" s="526">
        <v>0</v>
      </c>
      <c r="EA69" s="526">
        <v>0</v>
      </c>
      <c r="EB69" s="526">
        <v>211.71</v>
      </c>
      <c r="EC69" s="522">
        <v>16</v>
      </c>
      <c r="ED69" s="526">
        <v>245.59</v>
      </c>
      <c r="EE69" s="522">
        <v>14</v>
      </c>
      <c r="EF69" s="526">
        <v>307.38</v>
      </c>
      <c r="EG69" s="522">
        <v>4</v>
      </c>
      <c r="EH69" s="526">
        <v>0</v>
      </c>
      <c r="EI69" s="522">
        <v>0</v>
      </c>
      <c r="EJ69" s="526">
        <v>0</v>
      </c>
      <c r="EK69" s="522">
        <v>0</v>
      </c>
      <c r="EL69" s="526">
        <v>0</v>
      </c>
      <c r="EM69" s="522">
        <v>0</v>
      </c>
      <c r="EN69" s="526">
        <v>0</v>
      </c>
      <c r="EO69" s="522">
        <v>0</v>
      </c>
      <c r="EP69" s="526">
        <v>236.92</v>
      </c>
      <c r="EQ69" s="522">
        <v>34</v>
      </c>
      <c r="ER69" s="526">
        <v>236.92</v>
      </c>
      <c r="ES69" s="522">
        <v>34</v>
      </c>
      <c r="ET69" s="526">
        <v>0</v>
      </c>
      <c r="EU69" s="526">
        <v>0</v>
      </c>
      <c r="EV69" s="526">
        <v>0</v>
      </c>
      <c r="EW69" s="522">
        <v>0</v>
      </c>
      <c r="EX69" s="526">
        <v>0</v>
      </c>
      <c r="EY69" s="522">
        <v>0</v>
      </c>
      <c r="EZ69" s="526">
        <v>0</v>
      </c>
      <c r="FA69" s="522">
        <v>0</v>
      </c>
      <c r="FB69" s="526">
        <v>0</v>
      </c>
      <c r="FC69" s="522">
        <v>0</v>
      </c>
      <c r="FD69" s="526">
        <v>0</v>
      </c>
      <c r="FE69" s="522">
        <v>0</v>
      </c>
      <c r="FF69" s="526">
        <v>0</v>
      </c>
      <c r="FG69" s="522">
        <v>0</v>
      </c>
      <c r="FH69" s="526">
        <v>0</v>
      </c>
      <c r="FI69" s="522">
        <v>0</v>
      </c>
      <c r="FJ69" s="522">
        <v>0</v>
      </c>
      <c r="FK69" s="522">
        <v>0</v>
      </c>
      <c r="FL69" s="522">
        <v>0</v>
      </c>
      <c r="FM69" s="522">
        <v>0</v>
      </c>
      <c r="FN69" s="522">
        <v>0</v>
      </c>
      <c r="FO69" s="522">
        <v>0</v>
      </c>
      <c r="FP69" s="522">
        <v>0</v>
      </c>
      <c r="FQ69" s="522">
        <v>0</v>
      </c>
      <c r="FR69" s="522">
        <v>0</v>
      </c>
    </row>
    <row r="70" spans="1:174" x14ac:dyDescent="0.25">
      <c r="A70" s="523" t="s">
        <v>399</v>
      </c>
      <c r="B70" s="523" t="s">
        <v>400</v>
      </c>
      <c r="C70" s="523" t="s">
        <v>283</v>
      </c>
      <c r="D70" s="522">
        <v>4549</v>
      </c>
      <c r="E70" s="522">
        <v>4467</v>
      </c>
      <c r="F70" s="522">
        <v>135</v>
      </c>
      <c r="G70" s="522">
        <v>135</v>
      </c>
      <c r="H70" s="522">
        <v>579</v>
      </c>
      <c r="I70" s="522">
        <v>456</v>
      </c>
      <c r="J70" s="522">
        <v>318</v>
      </c>
      <c r="K70" s="522">
        <v>151</v>
      </c>
      <c r="L70" s="522">
        <v>419</v>
      </c>
      <c r="M70" s="522">
        <v>46</v>
      </c>
      <c r="N70" s="522">
        <v>6000</v>
      </c>
      <c r="O70" s="522">
        <v>5255</v>
      </c>
      <c r="P70" s="522">
        <v>5581</v>
      </c>
      <c r="Q70" s="522">
        <v>18</v>
      </c>
      <c r="R70" s="523">
        <v>18</v>
      </c>
      <c r="S70" s="523">
        <v>32</v>
      </c>
      <c r="T70" s="523">
        <v>361</v>
      </c>
      <c r="U70" s="523">
        <v>5639</v>
      </c>
      <c r="V70" s="522">
        <v>4474</v>
      </c>
      <c r="W70" s="522">
        <v>21</v>
      </c>
      <c r="X70" s="522">
        <v>32</v>
      </c>
      <c r="Y70" s="522">
        <v>53</v>
      </c>
      <c r="Z70" s="524">
        <v>118.11</v>
      </c>
      <c r="AA70" s="524">
        <v>118.31</v>
      </c>
      <c r="AB70" s="524">
        <v>7.03</v>
      </c>
      <c r="AC70" s="524">
        <v>123.71</v>
      </c>
      <c r="AD70" s="524">
        <v>2740</v>
      </c>
      <c r="AE70" s="525">
        <v>118.61</v>
      </c>
      <c r="AF70" s="525">
        <v>97.04</v>
      </c>
      <c r="AG70" s="525">
        <v>61.01</v>
      </c>
      <c r="AH70" s="525">
        <v>171.26</v>
      </c>
      <c r="AI70" s="525">
        <v>577</v>
      </c>
      <c r="AJ70" s="525">
        <v>161.41</v>
      </c>
      <c r="AK70" s="525">
        <v>1428</v>
      </c>
      <c r="AL70" s="525">
        <v>179.72</v>
      </c>
      <c r="AM70" s="525">
        <v>34</v>
      </c>
      <c r="AN70" s="526">
        <v>0</v>
      </c>
      <c r="AO70" s="526">
        <v>0</v>
      </c>
      <c r="AP70" s="526">
        <v>0</v>
      </c>
      <c r="AQ70" s="526">
        <v>0</v>
      </c>
      <c r="AR70" s="522">
        <v>0</v>
      </c>
      <c r="AS70" s="526">
        <v>0</v>
      </c>
      <c r="AT70" s="526">
        <v>0</v>
      </c>
      <c r="AU70" s="526">
        <v>0</v>
      </c>
      <c r="AV70" s="526">
        <v>0</v>
      </c>
      <c r="AW70" s="522">
        <v>0</v>
      </c>
      <c r="AX70" s="526">
        <v>96.51</v>
      </c>
      <c r="AY70" s="526">
        <v>95.98</v>
      </c>
      <c r="AZ70" s="526">
        <v>10.91</v>
      </c>
      <c r="BA70" s="526">
        <v>106.29</v>
      </c>
      <c r="BB70" s="522">
        <v>427</v>
      </c>
      <c r="BC70" s="526">
        <v>112.41</v>
      </c>
      <c r="BD70" s="526">
        <v>112.54</v>
      </c>
      <c r="BE70" s="526">
        <v>8.65</v>
      </c>
      <c r="BF70" s="526">
        <v>119.82</v>
      </c>
      <c r="BG70" s="522">
        <v>1118</v>
      </c>
      <c r="BH70" s="526">
        <v>128.43</v>
      </c>
      <c r="BI70" s="526">
        <v>128.91</v>
      </c>
      <c r="BJ70" s="526">
        <v>3.47</v>
      </c>
      <c r="BK70" s="526">
        <v>130.91</v>
      </c>
      <c r="BL70" s="522">
        <v>1024</v>
      </c>
      <c r="BM70" s="526">
        <v>147.06</v>
      </c>
      <c r="BN70" s="526">
        <v>148.1</v>
      </c>
      <c r="BO70" s="526">
        <v>3.05</v>
      </c>
      <c r="BP70" s="526">
        <v>148.93</v>
      </c>
      <c r="BQ70" s="522">
        <v>168</v>
      </c>
      <c r="BR70" s="526">
        <v>157.21</v>
      </c>
      <c r="BS70" s="526">
        <v>162.32</v>
      </c>
      <c r="BT70" s="526">
        <v>0</v>
      </c>
      <c r="BU70" s="526">
        <v>157.21</v>
      </c>
      <c r="BV70" s="522">
        <v>2</v>
      </c>
      <c r="BW70" s="526">
        <v>213.66</v>
      </c>
      <c r="BX70" s="526">
        <v>155.91999999999999</v>
      </c>
      <c r="BY70" s="526">
        <v>4.9800000000000004</v>
      </c>
      <c r="BZ70" s="526">
        <v>218.64</v>
      </c>
      <c r="CA70" s="522">
        <v>1</v>
      </c>
      <c r="CB70" s="526">
        <v>118.11</v>
      </c>
      <c r="CC70" s="526">
        <v>118.31</v>
      </c>
      <c r="CD70" s="526">
        <v>7.03</v>
      </c>
      <c r="CE70" s="526">
        <v>123.71</v>
      </c>
      <c r="CF70" s="522">
        <v>2740</v>
      </c>
      <c r="CG70" s="526">
        <v>118.11</v>
      </c>
      <c r="CH70" s="526">
        <v>118.31</v>
      </c>
      <c r="CI70" s="526">
        <v>7.03</v>
      </c>
      <c r="CJ70" s="526">
        <v>123.71</v>
      </c>
      <c r="CK70" s="522">
        <v>2740</v>
      </c>
      <c r="CL70" s="526">
        <v>114.3</v>
      </c>
      <c r="CM70" s="526">
        <v>91.72</v>
      </c>
      <c r="CN70" s="526">
        <v>61.1</v>
      </c>
      <c r="CO70" s="526">
        <v>158.59</v>
      </c>
      <c r="CP70" s="522">
        <v>229</v>
      </c>
      <c r="CQ70" s="526">
        <v>109.21</v>
      </c>
      <c r="CR70" s="526">
        <v>86.85</v>
      </c>
      <c r="CS70" s="526">
        <v>90.73</v>
      </c>
      <c r="CT70" s="526">
        <v>192.25</v>
      </c>
      <c r="CU70" s="522">
        <v>59</v>
      </c>
      <c r="CV70" s="526">
        <v>123.66</v>
      </c>
      <c r="CW70" s="526">
        <v>99.08</v>
      </c>
      <c r="CX70" s="526">
        <v>52.21</v>
      </c>
      <c r="CY70" s="526">
        <v>173.51</v>
      </c>
      <c r="CZ70" s="522">
        <v>221</v>
      </c>
      <c r="DA70" s="526">
        <v>110.34</v>
      </c>
      <c r="DB70" s="526">
        <v>107.19</v>
      </c>
      <c r="DC70" s="526">
        <v>58.28</v>
      </c>
      <c r="DD70" s="526">
        <v>167.5</v>
      </c>
      <c r="DE70" s="522">
        <v>52</v>
      </c>
      <c r="DF70" s="526">
        <v>139.47999999999999</v>
      </c>
      <c r="DG70" s="526">
        <v>136.28</v>
      </c>
      <c r="DH70" s="526">
        <v>109.69</v>
      </c>
      <c r="DI70" s="526">
        <v>249.18</v>
      </c>
      <c r="DJ70" s="522">
        <v>10</v>
      </c>
      <c r="DK70" s="526">
        <v>225.95</v>
      </c>
      <c r="DL70" s="526">
        <v>149.07</v>
      </c>
      <c r="DM70" s="526">
        <v>42.79</v>
      </c>
      <c r="DN70" s="526">
        <v>268.74</v>
      </c>
      <c r="DO70" s="522">
        <v>6</v>
      </c>
      <c r="DP70" s="526">
        <v>121.44</v>
      </c>
      <c r="DQ70" s="526">
        <v>100.56</v>
      </c>
      <c r="DR70" s="526">
        <v>60.97</v>
      </c>
      <c r="DS70" s="526">
        <v>179.6</v>
      </c>
      <c r="DT70" s="522">
        <v>348</v>
      </c>
      <c r="DU70" s="526">
        <v>118.61</v>
      </c>
      <c r="DV70" s="526">
        <v>97.04</v>
      </c>
      <c r="DW70" s="526">
        <v>61.01</v>
      </c>
      <c r="DX70" s="526">
        <v>171.26</v>
      </c>
      <c r="DY70" s="522">
        <v>577</v>
      </c>
      <c r="DZ70" s="526">
        <v>0</v>
      </c>
      <c r="EA70" s="526">
        <v>0</v>
      </c>
      <c r="EB70" s="526">
        <v>0</v>
      </c>
      <c r="EC70" s="522">
        <v>0</v>
      </c>
      <c r="ED70" s="526">
        <v>120.53</v>
      </c>
      <c r="EE70" s="522">
        <v>227</v>
      </c>
      <c r="EF70" s="526">
        <v>152.88</v>
      </c>
      <c r="EG70" s="522">
        <v>710</v>
      </c>
      <c r="EH70" s="526">
        <v>182.54</v>
      </c>
      <c r="EI70" s="522">
        <v>394</v>
      </c>
      <c r="EJ70" s="526">
        <v>233.75</v>
      </c>
      <c r="EK70" s="522">
        <v>97</v>
      </c>
      <c r="EL70" s="526">
        <v>0</v>
      </c>
      <c r="EM70" s="522">
        <v>0</v>
      </c>
      <c r="EN70" s="526">
        <v>0</v>
      </c>
      <c r="EO70" s="522">
        <v>0</v>
      </c>
      <c r="EP70" s="526">
        <v>161.41</v>
      </c>
      <c r="EQ70" s="522">
        <v>1428</v>
      </c>
      <c r="ER70" s="526">
        <v>161.41</v>
      </c>
      <c r="ES70" s="522">
        <v>1428</v>
      </c>
      <c r="ET70" s="526">
        <v>0</v>
      </c>
      <c r="EU70" s="526">
        <v>0</v>
      </c>
      <c r="EV70" s="526">
        <v>167.27</v>
      </c>
      <c r="EW70" s="522">
        <v>3</v>
      </c>
      <c r="EX70" s="526">
        <v>179.72</v>
      </c>
      <c r="EY70" s="522">
        <v>19</v>
      </c>
      <c r="EZ70" s="526">
        <v>182.05</v>
      </c>
      <c r="FA70" s="522">
        <v>11</v>
      </c>
      <c r="FB70" s="526">
        <v>191.49</v>
      </c>
      <c r="FC70" s="522">
        <v>1</v>
      </c>
      <c r="FD70" s="526">
        <v>0</v>
      </c>
      <c r="FE70" s="522">
        <v>0</v>
      </c>
      <c r="FF70" s="526">
        <v>179.72</v>
      </c>
      <c r="FG70" s="522">
        <v>34</v>
      </c>
      <c r="FH70" s="526">
        <v>179.72</v>
      </c>
      <c r="FI70" s="522">
        <v>34</v>
      </c>
      <c r="FJ70" s="522">
        <v>36</v>
      </c>
      <c r="FK70" s="522">
        <v>1</v>
      </c>
      <c r="FL70" s="522">
        <v>1</v>
      </c>
      <c r="FM70" s="522">
        <v>0</v>
      </c>
      <c r="FN70" s="522">
        <v>0</v>
      </c>
      <c r="FO70" s="522">
        <v>0</v>
      </c>
      <c r="FP70" s="522">
        <v>4</v>
      </c>
      <c r="FQ70" s="522">
        <v>51</v>
      </c>
      <c r="FR70" s="522">
        <v>3</v>
      </c>
    </row>
    <row r="71" spans="1:174" x14ac:dyDescent="0.25">
      <c r="A71" s="523" t="s">
        <v>401</v>
      </c>
      <c r="B71" s="523" t="s">
        <v>402</v>
      </c>
      <c r="C71" s="523" t="s">
        <v>287</v>
      </c>
      <c r="D71" s="522">
        <v>19776</v>
      </c>
      <c r="E71" s="522">
        <v>19415</v>
      </c>
      <c r="F71" s="522">
        <v>0</v>
      </c>
      <c r="G71" s="522">
        <v>0</v>
      </c>
      <c r="H71" s="522">
        <v>832</v>
      </c>
      <c r="I71" s="522">
        <v>695</v>
      </c>
      <c r="J71" s="522">
        <v>2506</v>
      </c>
      <c r="K71" s="522">
        <v>2508</v>
      </c>
      <c r="L71" s="522">
        <v>2621</v>
      </c>
      <c r="M71" s="522">
        <v>676</v>
      </c>
      <c r="N71" s="522">
        <v>25735</v>
      </c>
      <c r="O71" s="522">
        <v>23294</v>
      </c>
      <c r="P71" s="522">
        <v>23114</v>
      </c>
      <c r="Q71" s="522">
        <v>16</v>
      </c>
      <c r="R71" s="523">
        <v>15</v>
      </c>
      <c r="S71" s="523">
        <v>33</v>
      </c>
      <c r="T71" s="523">
        <v>477</v>
      </c>
      <c r="U71" s="523">
        <v>25258</v>
      </c>
      <c r="V71" s="522">
        <v>19393</v>
      </c>
      <c r="W71" s="522">
        <v>80</v>
      </c>
      <c r="X71" s="522">
        <v>158</v>
      </c>
      <c r="Y71" s="522">
        <v>238</v>
      </c>
      <c r="Z71" s="524">
        <v>94.4</v>
      </c>
      <c r="AA71" s="524">
        <v>93.79</v>
      </c>
      <c r="AB71" s="524">
        <v>5.0199999999999996</v>
      </c>
      <c r="AC71" s="524">
        <v>98.6</v>
      </c>
      <c r="AD71" s="524">
        <v>13894</v>
      </c>
      <c r="AE71" s="525">
        <v>97.58</v>
      </c>
      <c r="AF71" s="525">
        <v>82.61</v>
      </c>
      <c r="AG71" s="525">
        <v>57.23</v>
      </c>
      <c r="AH71" s="525">
        <v>153.44</v>
      </c>
      <c r="AI71" s="525">
        <v>3031</v>
      </c>
      <c r="AJ71" s="525">
        <v>140.41999999999999</v>
      </c>
      <c r="AK71" s="525">
        <v>4247</v>
      </c>
      <c r="AL71" s="525">
        <v>136.31</v>
      </c>
      <c r="AM71" s="525">
        <v>213</v>
      </c>
      <c r="AN71" s="526">
        <v>0</v>
      </c>
      <c r="AO71" s="526">
        <v>0</v>
      </c>
      <c r="AP71" s="526">
        <v>0</v>
      </c>
      <c r="AQ71" s="526">
        <v>0</v>
      </c>
      <c r="AR71" s="522">
        <v>0</v>
      </c>
      <c r="AS71" s="526">
        <v>65.67</v>
      </c>
      <c r="AT71" s="526">
        <v>63.8</v>
      </c>
      <c r="AU71" s="526">
        <v>10.68</v>
      </c>
      <c r="AV71" s="526">
        <v>75.680000000000007</v>
      </c>
      <c r="AW71" s="522">
        <v>111</v>
      </c>
      <c r="AX71" s="526">
        <v>80.25</v>
      </c>
      <c r="AY71" s="526">
        <v>78.81</v>
      </c>
      <c r="AZ71" s="526">
        <v>8.1199999999999992</v>
      </c>
      <c r="BA71" s="526">
        <v>87.95</v>
      </c>
      <c r="BB71" s="522">
        <v>2535</v>
      </c>
      <c r="BC71" s="526">
        <v>92.15</v>
      </c>
      <c r="BD71" s="526">
        <v>91.5</v>
      </c>
      <c r="BE71" s="526">
        <v>5.35</v>
      </c>
      <c r="BF71" s="526">
        <v>96.7</v>
      </c>
      <c r="BG71" s="522">
        <v>5875</v>
      </c>
      <c r="BH71" s="526">
        <v>103.24</v>
      </c>
      <c r="BI71" s="526">
        <v>103.06</v>
      </c>
      <c r="BJ71" s="526">
        <v>2.66</v>
      </c>
      <c r="BK71" s="526">
        <v>105.26</v>
      </c>
      <c r="BL71" s="522">
        <v>4942</v>
      </c>
      <c r="BM71" s="526">
        <v>114.1</v>
      </c>
      <c r="BN71" s="526">
        <v>114.47</v>
      </c>
      <c r="BO71" s="526">
        <v>2.59</v>
      </c>
      <c r="BP71" s="526">
        <v>116.21</v>
      </c>
      <c r="BQ71" s="522">
        <v>416</v>
      </c>
      <c r="BR71" s="526">
        <v>122.25</v>
      </c>
      <c r="BS71" s="526">
        <v>123.97</v>
      </c>
      <c r="BT71" s="526">
        <v>1.51</v>
      </c>
      <c r="BU71" s="526">
        <v>123.3</v>
      </c>
      <c r="BV71" s="522">
        <v>13</v>
      </c>
      <c r="BW71" s="526">
        <v>139.69</v>
      </c>
      <c r="BX71" s="526">
        <v>144.05000000000001</v>
      </c>
      <c r="BY71" s="526">
        <v>4.78</v>
      </c>
      <c r="BZ71" s="526">
        <v>144.47</v>
      </c>
      <c r="CA71" s="522">
        <v>2</v>
      </c>
      <c r="CB71" s="526">
        <v>94.4</v>
      </c>
      <c r="CC71" s="526">
        <v>93.79</v>
      </c>
      <c r="CD71" s="526">
        <v>5.0199999999999996</v>
      </c>
      <c r="CE71" s="526">
        <v>98.6</v>
      </c>
      <c r="CF71" s="522">
        <v>13894</v>
      </c>
      <c r="CG71" s="526">
        <v>94.4</v>
      </c>
      <c r="CH71" s="526">
        <v>93.79</v>
      </c>
      <c r="CI71" s="526">
        <v>5.0199999999999996</v>
      </c>
      <c r="CJ71" s="526">
        <v>98.6</v>
      </c>
      <c r="CK71" s="522">
        <v>13894</v>
      </c>
      <c r="CL71" s="526">
        <v>109.73</v>
      </c>
      <c r="CM71" s="526">
        <v>77.38</v>
      </c>
      <c r="CN71" s="526">
        <v>197.13</v>
      </c>
      <c r="CO71" s="526">
        <v>284.24</v>
      </c>
      <c r="CP71" s="522">
        <v>366</v>
      </c>
      <c r="CQ71" s="526">
        <v>146.63</v>
      </c>
      <c r="CR71" s="526">
        <v>65.19</v>
      </c>
      <c r="CS71" s="526">
        <v>109.42</v>
      </c>
      <c r="CT71" s="526">
        <v>254.61</v>
      </c>
      <c r="CU71" s="522">
        <v>76</v>
      </c>
      <c r="CV71" s="526">
        <v>93.41</v>
      </c>
      <c r="CW71" s="526">
        <v>81.540000000000006</v>
      </c>
      <c r="CX71" s="526">
        <v>37.270000000000003</v>
      </c>
      <c r="CY71" s="526">
        <v>130.29</v>
      </c>
      <c r="CZ71" s="522">
        <v>2231</v>
      </c>
      <c r="DA71" s="526">
        <v>100.01</v>
      </c>
      <c r="DB71" s="526">
        <v>94.5</v>
      </c>
      <c r="DC71" s="526">
        <v>43.16</v>
      </c>
      <c r="DD71" s="526">
        <v>142.41999999999999</v>
      </c>
      <c r="DE71" s="522">
        <v>345</v>
      </c>
      <c r="DF71" s="526">
        <v>120.45</v>
      </c>
      <c r="DG71" s="526">
        <v>102.31</v>
      </c>
      <c r="DH71" s="526">
        <v>25.34</v>
      </c>
      <c r="DI71" s="526">
        <v>143.85</v>
      </c>
      <c r="DJ71" s="522">
        <v>13</v>
      </c>
      <c r="DK71" s="526">
        <v>0</v>
      </c>
      <c r="DL71" s="526">
        <v>0</v>
      </c>
      <c r="DM71" s="526">
        <v>0</v>
      </c>
      <c r="DN71" s="526">
        <v>0</v>
      </c>
      <c r="DO71" s="522">
        <v>0</v>
      </c>
      <c r="DP71" s="526">
        <v>95.92</v>
      </c>
      <c r="DQ71" s="526">
        <v>83.16</v>
      </c>
      <c r="DR71" s="526">
        <v>40.03</v>
      </c>
      <c r="DS71" s="526">
        <v>135.47999999999999</v>
      </c>
      <c r="DT71" s="522">
        <v>2665</v>
      </c>
      <c r="DU71" s="526">
        <v>97.58</v>
      </c>
      <c r="DV71" s="526">
        <v>82.61</v>
      </c>
      <c r="DW71" s="526">
        <v>57.23</v>
      </c>
      <c r="DX71" s="526">
        <v>153.44</v>
      </c>
      <c r="DY71" s="522">
        <v>3031</v>
      </c>
      <c r="DZ71" s="526">
        <v>0</v>
      </c>
      <c r="EA71" s="526">
        <v>0</v>
      </c>
      <c r="EB71" s="526">
        <v>0</v>
      </c>
      <c r="EC71" s="522">
        <v>0</v>
      </c>
      <c r="ED71" s="526">
        <v>111.2</v>
      </c>
      <c r="EE71" s="522">
        <v>786</v>
      </c>
      <c r="EF71" s="526">
        <v>136.07</v>
      </c>
      <c r="EG71" s="522">
        <v>1983</v>
      </c>
      <c r="EH71" s="526">
        <v>157.91999999999999</v>
      </c>
      <c r="EI71" s="522">
        <v>1296</v>
      </c>
      <c r="EJ71" s="526">
        <v>189.53</v>
      </c>
      <c r="EK71" s="522">
        <v>179</v>
      </c>
      <c r="EL71" s="526">
        <v>180.27</v>
      </c>
      <c r="EM71" s="522">
        <v>3</v>
      </c>
      <c r="EN71" s="526">
        <v>0</v>
      </c>
      <c r="EO71" s="522">
        <v>0</v>
      </c>
      <c r="EP71" s="526">
        <v>140.41999999999999</v>
      </c>
      <c r="EQ71" s="522">
        <v>4247</v>
      </c>
      <c r="ER71" s="526">
        <v>140.41999999999999</v>
      </c>
      <c r="ES71" s="522">
        <v>4247</v>
      </c>
      <c r="ET71" s="526">
        <v>0</v>
      </c>
      <c r="EU71" s="526">
        <v>0</v>
      </c>
      <c r="EV71" s="526">
        <v>159.79</v>
      </c>
      <c r="EW71" s="522">
        <v>10</v>
      </c>
      <c r="EX71" s="526">
        <v>130.11000000000001</v>
      </c>
      <c r="EY71" s="522">
        <v>137</v>
      </c>
      <c r="EZ71" s="526">
        <v>145.16</v>
      </c>
      <c r="FA71" s="522">
        <v>65</v>
      </c>
      <c r="FB71" s="526">
        <v>176.47</v>
      </c>
      <c r="FC71" s="522">
        <v>1</v>
      </c>
      <c r="FD71" s="526">
        <v>0</v>
      </c>
      <c r="FE71" s="522">
        <v>0</v>
      </c>
      <c r="FF71" s="526">
        <v>136.31</v>
      </c>
      <c r="FG71" s="522">
        <v>213</v>
      </c>
      <c r="FH71" s="526">
        <v>136.31</v>
      </c>
      <c r="FI71" s="522">
        <v>213</v>
      </c>
      <c r="FJ71" s="522">
        <v>0</v>
      </c>
      <c r="FK71" s="522">
        <v>10</v>
      </c>
      <c r="FL71" s="522">
        <v>8</v>
      </c>
      <c r="FM71" s="522">
        <v>0</v>
      </c>
      <c r="FN71" s="522">
        <v>2</v>
      </c>
      <c r="FO71" s="522">
        <v>0</v>
      </c>
      <c r="FP71" s="522">
        <v>115</v>
      </c>
      <c r="FQ71" s="522">
        <v>132</v>
      </c>
      <c r="FR71" s="522">
        <v>28</v>
      </c>
    </row>
    <row r="72" spans="1:174" x14ac:dyDescent="0.25">
      <c r="A72" s="523" t="s">
        <v>403</v>
      </c>
      <c r="B72" s="523" t="s">
        <v>404</v>
      </c>
      <c r="C72" s="523" t="s">
        <v>287</v>
      </c>
      <c r="D72" s="522">
        <v>5730</v>
      </c>
      <c r="E72" s="522">
        <v>5730</v>
      </c>
      <c r="F72" s="522">
        <v>0</v>
      </c>
      <c r="G72" s="522">
        <v>0</v>
      </c>
      <c r="H72" s="522">
        <v>53</v>
      </c>
      <c r="I72" s="522">
        <v>47</v>
      </c>
      <c r="J72" s="522">
        <v>511</v>
      </c>
      <c r="K72" s="522">
        <v>511</v>
      </c>
      <c r="L72" s="522">
        <v>807</v>
      </c>
      <c r="M72" s="522">
        <v>0</v>
      </c>
      <c r="N72" s="522">
        <v>7101</v>
      </c>
      <c r="O72" s="522">
        <v>6288</v>
      </c>
      <c r="P72" s="522">
        <v>6294</v>
      </c>
      <c r="Q72" s="522">
        <v>0</v>
      </c>
      <c r="R72" s="523">
        <v>0</v>
      </c>
      <c r="S72" s="523">
        <v>20</v>
      </c>
      <c r="T72" s="523">
        <v>0</v>
      </c>
      <c r="U72" s="523">
        <v>7101</v>
      </c>
      <c r="V72" s="522">
        <v>5730</v>
      </c>
      <c r="W72" s="522">
        <v>39</v>
      </c>
      <c r="X72" s="522">
        <v>85</v>
      </c>
      <c r="Y72" s="522">
        <v>124</v>
      </c>
      <c r="Z72" s="524">
        <v>118.75</v>
      </c>
      <c r="AA72" s="524">
        <v>117.61</v>
      </c>
      <c r="AB72" s="524">
        <v>5.98</v>
      </c>
      <c r="AC72" s="524">
        <v>121.62</v>
      </c>
      <c r="AD72" s="524">
        <v>4687</v>
      </c>
      <c r="AE72" s="525">
        <v>117.11</v>
      </c>
      <c r="AF72" s="525">
        <v>107.21</v>
      </c>
      <c r="AG72" s="525">
        <v>33.659999999999997</v>
      </c>
      <c r="AH72" s="525">
        <v>150.30000000000001</v>
      </c>
      <c r="AI72" s="525">
        <v>564</v>
      </c>
      <c r="AJ72" s="525">
        <v>157.54</v>
      </c>
      <c r="AK72" s="525">
        <v>1014</v>
      </c>
      <c r="AL72" s="525">
        <v>0</v>
      </c>
      <c r="AM72" s="525">
        <v>0</v>
      </c>
      <c r="AN72" s="526">
        <v>0</v>
      </c>
      <c r="AO72" s="526">
        <v>0</v>
      </c>
      <c r="AP72" s="526">
        <v>0</v>
      </c>
      <c r="AQ72" s="526">
        <v>0</v>
      </c>
      <c r="AR72" s="522">
        <v>0</v>
      </c>
      <c r="AS72" s="526">
        <v>76.430000000000007</v>
      </c>
      <c r="AT72" s="526">
        <v>75.95</v>
      </c>
      <c r="AU72" s="526">
        <v>5.97</v>
      </c>
      <c r="AV72" s="526">
        <v>81.81</v>
      </c>
      <c r="AW72" s="522">
        <v>10</v>
      </c>
      <c r="AX72" s="526">
        <v>95.73</v>
      </c>
      <c r="AY72" s="526">
        <v>94.43</v>
      </c>
      <c r="AZ72" s="526">
        <v>7.75</v>
      </c>
      <c r="BA72" s="526">
        <v>101.98</v>
      </c>
      <c r="BB72" s="522">
        <v>983</v>
      </c>
      <c r="BC72" s="526">
        <v>116.35</v>
      </c>
      <c r="BD72" s="526">
        <v>115.3</v>
      </c>
      <c r="BE72" s="526">
        <v>6.23</v>
      </c>
      <c r="BF72" s="526">
        <v>119.79</v>
      </c>
      <c r="BG72" s="522">
        <v>1731</v>
      </c>
      <c r="BH72" s="526">
        <v>131.37</v>
      </c>
      <c r="BI72" s="526">
        <v>130.21</v>
      </c>
      <c r="BJ72" s="526">
        <v>2.65</v>
      </c>
      <c r="BK72" s="526">
        <v>132</v>
      </c>
      <c r="BL72" s="522">
        <v>1844</v>
      </c>
      <c r="BM72" s="526">
        <v>151.16</v>
      </c>
      <c r="BN72" s="526">
        <v>150.54</v>
      </c>
      <c r="BO72" s="526">
        <v>2.88</v>
      </c>
      <c r="BP72" s="526">
        <v>152.49</v>
      </c>
      <c r="BQ72" s="522">
        <v>113</v>
      </c>
      <c r="BR72" s="526">
        <v>161.80000000000001</v>
      </c>
      <c r="BS72" s="526">
        <v>161.41</v>
      </c>
      <c r="BT72" s="526">
        <v>2.97</v>
      </c>
      <c r="BU72" s="526">
        <v>162.79</v>
      </c>
      <c r="BV72" s="522">
        <v>6</v>
      </c>
      <c r="BW72" s="526">
        <v>0</v>
      </c>
      <c r="BX72" s="526">
        <v>0</v>
      </c>
      <c r="BY72" s="526">
        <v>0</v>
      </c>
      <c r="BZ72" s="526">
        <v>0</v>
      </c>
      <c r="CA72" s="522">
        <v>0</v>
      </c>
      <c r="CB72" s="526">
        <v>118.75</v>
      </c>
      <c r="CC72" s="526">
        <v>117.61</v>
      </c>
      <c r="CD72" s="526">
        <v>5.98</v>
      </c>
      <c r="CE72" s="526">
        <v>121.62</v>
      </c>
      <c r="CF72" s="522">
        <v>4687</v>
      </c>
      <c r="CG72" s="526">
        <v>118.75</v>
      </c>
      <c r="CH72" s="526">
        <v>117.61</v>
      </c>
      <c r="CI72" s="526">
        <v>5.98</v>
      </c>
      <c r="CJ72" s="526">
        <v>121.62</v>
      </c>
      <c r="CK72" s="522">
        <v>4687</v>
      </c>
      <c r="CL72" s="526">
        <v>100.45</v>
      </c>
      <c r="CM72" s="526">
        <v>84.12</v>
      </c>
      <c r="CN72" s="526">
        <v>158.15</v>
      </c>
      <c r="CO72" s="526">
        <v>244.85</v>
      </c>
      <c r="CP72" s="522">
        <v>46</v>
      </c>
      <c r="CQ72" s="526">
        <v>114.38</v>
      </c>
      <c r="CR72" s="526">
        <v>103.79</v>
      </c>
      <c r="CS72" s="526">
        <v>18.850000000000001</v>
      </c>
      <c r="CT72" s="526">
        <v>133.22999999999999</v>
      </c>
      <c r="CU72" s="522">
        <v>30</v>
      </c>
      <c r="CV72" s="526">
        <v>114.84</v>
      </c>
      <c r="CW72" s="526">
        <v>105.36</v>
      </c>
      <c r="CX72" s="526">
        <v>20.12</v>
      </c>
      <c r="CY72" s="526">
        <v>134.81</v>
      </c>
      <c r="CZ72" s="522">
        <v>405</v>
      </c>
      <c r="DA72" s="526">
        <v>138.79</v>
      </c>
      <c r="DB72" s="526">
        <v>128.29</v>
      </c>
      <c r="DC72" s="526">
        <v>42.81</v>
      </c>
      <c r="DD72" s="526">
        <v>181.6</v>
      </c>
      <c r="DE72" s="522">
        <v>79</v>
      </c>
      <c r="DF72" s="526">
        <v>130.87</v>
      </c>
      <c r="DG72" s="526">
        <v>117.31</v>
      </c>
      <c r="DH72" s="526">
        <v>12.56</v>
      </c>
      <c r="DI72" s="526">
        <v>140.29</v>
      </c>
      <c r="DJ72" s="522">
        <v>4</v>
      </c>
      <c r="DK72" s="526">
        <v>0</v>
      </c>
      <c r="DL72" s="526">
        <v>0</v>
      </c>
      <c r="DM72" s="526">
        <v>0</v>
      </c>
      <c r="DN72" s="526">
        <v>0</v>
      </c>
      <c r="DO72" s="522">
        <v>0</v>
      </c>
      <c r="DP72" s="526">
        <v>118.59</v>
      </c>
      <c r="DQ72" s="526">
        <v>108.8</v>
      </c>
      <c r="DR72" s="526">
        <v>23.49</v>
      </c>
      <c r="DS72" s="526">
        <v>141.9</v>
      </c>
      <c r="DT72" s="522">
        <v>518</v>
      </c>
      <c r="DU72" s="526">
        <v>117.11</v>
      </c>
      <c r="DV72" s="526">
        <v>107.21</v>
      </c>
      <c r="DW72" s="526">
        <v>33.659999999999997</v>
      </c>
      <c r="DX72" s="526">
        <v>150.30000000000001</v>
      </c>
      <c r="DY72" s="522">
        <v>564</v>
      </c>
      <c r="DZ72" s="526">
        <v>0</v>
      </c>
      <c r="EA72" s="526">
        <v>0</v>
      </c>
      <c r="EB72" s="526">
        <v>0</v>
      </c>
      <c r="EC72" s="522">
        <v>0</v>
      </c>
      <c r="ED72" s="526">
        <v>126.28</v>
      </c>
      <c r="EE72" s="522">
        <v>303</v>
      </c>
      <c r="EF72" s="526">
        <v>156.94999999999999</v>
      </c>
      <c r="EG72" s="522">
        <v>398</v>
      </c>
      <c r="EH72" s="526">
        <v>183.55</v>
      </c>
      <c r="EI72" s="522">
        <v>279</v>
      </c>
      <c r="EJ72" s="526">
        <v>226.74</v>
      </c>
      <c r="EK72" s="522">
        <v>32</v>
      </c>
      <c r="EL72" s="526">
        <v>279.33</v>
      </c>
      <c r="EM72" s="522">
        <v>1</v>
      </c>
      <c r="EN72" s="526">
        <v>275.01</v>
      </c>
      <c r="EO72" s="522">
        <v>1</v>
      </c>
      <c r="EP72" s="526">
        <v>157.54</v>
      </c>
      <c r="EQ72" s="522">
        <v>1014</v>
      </c>
      <c r="ER72" s="526">
        <v>157.54</v>
      </c>
      <c r="ES72" s="522">
        <v>1014</v>
      </c>
      <c r="ET72" s="526">
        <v>0</v>
      </c>
      <c r="EU72" s="526">
        <v>0</v>
      </c>
      <c r="EV72" s="526">
        <v>0</v>
      </c>
      <c r="EW72" s="522">
        <v>0</v>
      </c>
      <c r="EX72" s="526">
        <v>0</v>
      </c>
      <c r="EY72" s="522">
        <v>0</v>
      </c>
      <c r="EZ72" s="526">
        <v>0</v>
      </c>
      <c r="FA72" s="522">
        <v>0</v>
      </c>
      <c r="FB72" s="526">
        <v>0</v>
      </c>
      <c r="FC72" s="522">
        <v>0</v>
      </c>
      <c r="FD72" s="526">
        <v>0</v>
      </c>
      <c r="FE72" s="522">
        <v>0</v>
      </c>
      <c r="FF72" s="526">
        <v>0</v>
      </c>
      <c r="FG72" s="522">
        <v>0</v>
      </c>
      <c r="FH72" s="526">
        <v>0</v>
      </c>
      <c r="FI72" s="522">
        <v>0</v>
      </c>
      <c r="FJ72" s="522">
        <v>8</v>
      </c>
      <c r="FK72" s="522">
        <v>3</v>
      </c>
      <c r="FL72" s="522">
        <v>3</v>
      </c>
      <c r="FM72" s="522">
        <v>0</v>
      </c>
      <c r="FN72" s="522">
        <v>0</v>
      </c>
      <c r="FO72" s="522">
        <v>0</v>
      </c>
      <c r="FP72" s="522">
        <v>8</v>
      </c>
      <c r="FQ72" s="522">
        <v>17</v>
      </c>
      <c r="FR72" s="522">
        <v>9</v>
      </c>
    </row>
    <row r="73" spans="1:174" x14ac:dyDescent="0.25">
      <c r="A73" s="523" t="s">
        <v>405</v>
      </c>
      <c r="B73" s="523" t="s">
        <v>406</v>
      </c>
      <c r="C73" s="523" t="s">
        <v>285</v>
      </c>
      <c r="D73" s="522">
        <v>45809</v>
      </c>
      <c r="E73" s="522">
        <v>45778</v>
      </c>
      <c r="F73" s="522">
        <v>0</v>
      </c>
      <c r="G73" s="522">
        <v>0</v>
      </c>
      <c r="H73" s="522">
        <v>1259</v>
      </c>
      <c r="I73" s="522">
        <v>707</v>
      </c>
      <c r="J73" s="522">
        <v>1898</v>
      </c>
      <c r="K73" s="522">
        <v>1891</v>
      </c>
      <c r="L73" s="522">
        <v>494</v>
      </c>
      <c r="M73" s="522">
        <v>0</v>
      </c>
      <c r="N73" s="522">
        <v>49460</v>
      </c>
      <c r="O73" s="522">
        <v>48376</v>
      </c>
      <c r="P73" s="522">
        <v>48966</v>
      </c>
      <c r="Q73" s="522">
        <v>108</v>
      </c>
      <c r="R73" s="523">
        <v>15</v>
      </c>
      <c r="S73" s="523">
        <v>26</v>
      </c>
      <c r="T73" s="523">
        <v>604</v>
      </c>
      <c r="U73" s="523">
        <v>48856</v>
      </c>
      <c r="V73" s="522">
        <v>45756</v>
      </c>
      <c r="W73" s="522">
        <v>310</v>
      </c>
      <c r="X73" s="522">
        <v>438</v>
      </c>
      <c r="Y73" s="522">
        <v>748</v>
      </c>
      <c r="Z73" s="524">
        <v>83.45</v>
      </c>
      <c r="AA73" s="524">
        <v>86.8</v>
      </c>
      <c r="AB73" s="524">
        <v>3.59</v>
      </c>
      <c r="AC73" s="524">
        <v>84.05</v>
      </c>
      <c r="AD73" s="524">
        <v>40365</v>
      </c>
      <c r="AE73" s="525">
        <v>116</v>
      </c>
      <c r="AF73" s="525">
        <v>91.88</v>
      </c>
      <c r="AG73" s="525">
        <v>69.06</v>
      </c>
      <c r="AH73" s="525">
        <v>183.03</v>
      </c>
      <c r="AI73" s="525">
        <v>2387</v>
      </c>
      <c r="AJ73" s="525">
        <v>106.74</v>
      </c>
      <c r="AK73" s="525">
        <v>4669</v>
      </c>
      <c r="AL73" s="525">
        <v>157.55000000000001</v>
      </c>
      <c r="AM73" s="525">
        <v>238</v>
      </c>
      <c r="AN73" s="526">
        <v>0</v>
      </c>
      <c r="AO73" s="526">
        <v>0</v>
      </c>
      <c r="AP73" s="526">
        <v>0</v>
      </c>
      <c r="AQ73" s="526">
        <v>0</v>
      </c>
      <c r="AR73" s="522">
        <v>0</v>
      </c>
      <c r="AS73" s="526">
        <v>65.25</v>
      </c>
      <c r="AT73" s="526">
        <v>66.92</v>
      </c>
      <c r="AU73" s="526">
        <v>5.21</v>
      </c>
      <c r="AV73" s="526">
        <v>66.7</v>
      </c>
      <c r="AW73" s="522">
        <v>86</v>
      </c>
      <c r="AX73" s="526">
        <v>73.16</v>
      </c>
      <c r="AY73" s="526">
        <v>76.400000000000006</v>
      </c>
      <c r="AZ73" s="526">
        <v>4.76</v>
      </c>
      <c r="BA73" s="526">
        <v>74.14</v>
      </c>
      <c r="BB73" s="522">
        <v>8444</v>
      </c>
      <c r="BC73" s="526">
        <v>83.22</v>
      </c>
      <c r="BD73" s="526">
        <v>86.5</v>
      </c>
      <c r="BE73" s="526">
        <v>3.81</v>
      </c>
      <c r="BF73" s="526">
        <v>83.89</v>
      </c>
      <c r="BG73" s="522">
        <v>18722</v>
      </c>
      <c r="BH73" s="526">
        <v>90.11</v>
      </c>
      <c r="BI73" s="526">
        <v>93.63</v>
      </c>
      <c r="BJ73" s="526">
        <v>2.04</v>
      </c>
      <c r="BK73" s="526">
        <v>90.37</v>
      </c>
      <c r="BL73" s="522">
        <v>12487</v>
      </c>
      <c r="BM73" s="526">
        <v>98.17</v>
      </c>
      <c r="BN73" s="526">
        <v>102.27</v>
      </c>
      <c r="BO73" s="526">
        <v>1.41</v>
      </c>
      <c r="BP73" s="526">
        <v>98.44</v>
      </c>
      <c r="BQ73" s="522">
        <v>608</v>
      </c>
      <c r="BR73" s="526">
        <v>105.88</v>
      </c>
      <c r="BS73" s="526">
        <v>112.98</v>
      </c>
      <c r="BT73" s="526">
        <v>0.51</v>
      </c>
      <c r="BU73" s="526">
        <v>106.01</v>
      </c>
      <c r="BV73" s="522">
        <v>16</v>
      </c>
      <c r="BW73" s="526">
        <v>129.04</v>
      </c>
      <c r="BX73" s="526">
        <v>131.41</v>
      </c>
      <c r="BY73" s="526">
        <v>0</v>
      </c>
      <c r="BZ73" s="526">
        <v>129.04</v>
      </c>
      <c r="CA73" s="522">
        <v>2</v>
      </c>
      <c r="CB73" s="526">
        <v>83.45</v>
      </c>
      <c r="CC73" s="526">
        <v>86.8</v>
      </c>
      <c r="CD73" s="526">
        <v>3.59</v>
      </c>
      <c r="CE73" s="526">
        <v>84.05</v>
      </c>
      <c r="CF73" s="522">
        <v>40365</v>
      </c>
      <c r="CG73" s="526">
        <v>83.45</v>
      </c>
      <c r="CH73" s="526">
        <v>86.8</v>
      </c>
      <c r="CI73" s="526">
        <v>3.59</v>
      </c>
      <c r="CJ73" s="526">
        <v>84.05</v>
      </c>
      <c r="CK73" s="522">
        <v>40365</v>
      </c>
      <c r="CL73" s="526">
        <v>178.69</v>
      </c>
      <c r="CM73" s="526">
        <v>78.72</v>
      </c>
      <c r="CN73" s="526">
        <v>79.540000000000006</v>
      </c>
      <c r="CO73" s="526">
        <v>255.92</v>
      </c>
      <c r="CP73" s="522">
        <v>379</v>
      </c>
      <c r="CQ73" s="526">
        <v>82.26</v>
      </c>
      <c r="CR73" s="526">
        <v>74.900000000000006</v>
      </c>
      <c r="CS73" s="526">
        <v>129.25</v>
      </c>
      <c r="CT73" s="526">
        <v>211.51</v>
      </c>
      <c r="CU73" s="522">
        <v>94</v>
      </c>
      <c r="CV73" s="526">
        <v>107.21</v>
      </c>
      <c r="CW73" s="526">
        <v>92.67</v>
      </c>
      <c r="CX73" s="526">
        <v>72.09</v>
      </c>
      <c r="CY73" s="526">
        <v>179.07</v>
      </c>
      <c r="CZ73" s="522">
        <v>1288</v>
      </c>
      <c r="DA73" s="526">
        <v>100.63</v>
      </c>
      <c r="DB73" s="526">
        <v>95.19</v>
      </c>
      <c r="DC73" s="526">
        <v>46</v>
      </c>
      <c r="DD73" s="526">
        <v>142.56</v>
      </c>
      <c r="DE73" s="522">
        <v>599</v>
      </c>
      <c r="DF73" s="526">
        <v>108.72</v>
      </c>
      <c r="DG73" s="526">
        <v>103.27</v>
      </c>
      <c r="DH73" s="526">
        <v>35.54</v>
      </c>
      <c r="DI73" s="526">
        <v>142.72</v>
      </c>
      <c r="DJ73" s="522">
        <v>23</v>
      </c>
      <c r="DK73" s="526">
        <v>143.32</v>
      </c>
      <c r="DL73" s="526">
        <v>122.73</v>
      </c>
      <c r="DM73" s="526">
        <v>43.54</v>
      </c>
      <c r="DN73" s="526">
        <v>175.98</v>
      </c>
      <c r="DO73" s="522">
        <v>4</v>
      </c>
      <c r="DP73" s="526">
        <v>104.16</v>
      </c>
      <c r="DQ73" s="526">
        <v>92.74</v>
      </c>
      <c r="DR73" s="526">
        <v>67.08</v>
      </c>
      <c r="DS73" s="526">
        <v>169.28</v>
      </c>
      <c r="DT73" s="522">
        <v>2008</v>
      </c>
      <c r="DU73" s="526">
        <v>116</v>
      </c>
      <c r="DV73" s="526">
        <v>91.88</v>
      </c>
      <c r="DW73" s="526">
        <v>69.06</v>
      </c>
      <c r="DX73" s="526">
        <v>183.03</v>
      </c>
      <c r="DY73" s="522">
        <v>2387</v>
      </c>
      <c r="DZ73" s="526">
        <v>0</v>
      </c>
      <c r="EA73" s="526">
        <v>0</v>
      </c>
      <c r="EB73" s="526">
        <v>81.209999999999994</v>
      </c>
      <c r="EC73" s="522">
        <v>1</v>
      </c>
      <c r="ED73" s="526">
        <v>84.61</v>
      </c>
      <c r="EE73" s="522">
        <v>131</v>
      </c>
      <c r="EF73" s="526">
        <v>103.85</v>
      </c>
      <c r="EG73" s="522">
        <v>3341</v>
      </c>
      <c r="EH73" s="526">
        <v>116.25</v>
      </c>
      <c r="EI73" s="522">
        <v>1117</v>
      </c>
      <c r="EJ73" s="526">
        <v>131.86000000000001</v>
      </c>
      <c r="EK73" s="522">
        <v>78</v>
      </c>
      <c r="EL73" s="526">
        <v>115</v>
      </c>
      <c r="EM73" s="522">
        <v>1</v>
      </c>
      <c r="EN73" s="526">
        <v>0</v>
      </c>
      <c r="EO73" s="522">
        <v>0</v>
      </c>
      <c r="EP73" s="526">
        <v>106.74</v>
      </c>
      <c r="EQ73" s="522">
        <v>4669</v>
      </c>
      <c r="ER73" s="526">
        <v>106.74</v>
      </c>
      <c r="ES73" s="522">
        <v>4669</v>
      </c>
      <c r="ET73" s="526">
        <v>177.04</v>
      </c>
      <c r="EU73" s="526">
        <v>9</v>
      </c>
      <c r="EV73" s="526">
        <v>0</v>
      </c>
      <c r="EW73" s="522">
        <v>0</v>
      </c>
      <c r="EX73" s="526">
        <v>149.19999999999999</v>
      </c>
      <c r="EY73" s="522">
        <v>23</v>
      </c>
      <c r="EZ73" s="526">
        <v>157.54</v>
      </c>
      <c r="FA73" s="522">
        <v>204</v>
      </c>
      <c r="FB73" s="526">
        <v>166.55</v>
      </c>
      <c r="FC73" s="522">
        <v>2</v>
      </c>
      <c r="FD73" s="526">
        <v>0</v>
      </c>
      <c r="FE73" s="522">
        <v>0</v>
      </c>
      <c r="FF73" s="526">
        <v>156.78</v>
      </c>
      <c r="FG73" s="522">
        <v>229</v>
      </c>
      <c r="FH73" s="526">
        <v>157.55000000000001</v>
      </c>
      <c r="FI73" s="522">
        <v>238</v>
      </c>
      <c r="FJ73" s="522">
        <v>0</v>
      </c>
      <c r="FK73" s="522">
        <v>93</v>
      </c>
      <c r="FL73" s="522">
        <v>74</v>
      </c>
      <c r="FM73" s="522">
        <v>0</v>
      </c>
      <c r="FN73" s="522">
        <v>19</v>
      </c>
      <c r="FO73" s="522">
        <v>0</v>
      </c>
      <c r="FP73" s="522">
        <v>16</v>
      </c>
      <c r="FQ73" s="522">
        <v>48</v>
      </c>
      <c r="FR73" s="522">
        <v>3</v>
      </c>
    </row>
    <row r="74" spans="1:174" x14ac:dyDescent="0.25">
      <c r="A74" s="523" t="s">
        <v>407</v>
      </c>
      <c r="B74" s="523" t="s">
        <v>408</v>
      </c>
      <c r="C74" s="523" t="s">
        <v>288</v>
      </c>
      <c r="D74" s="522">
        <v>22289</v>
      </c>
      <c r="E74" s="522">
        <v>22150</v>
      </c>
      <c r="F74" s="522">
        <v>0</v>
      </c>
      <c r="G74" s="522">
        <v>0</v>
      </c>
      <c r="H74" s="522">
        <v>1003</v>
      </c>
      <c r="I74" s="522">
        <v>460</v>
      </c>
      <c r="J74" s="522">
        <v>1703</v>
      </c>
      <c r="K74" s="522">
        <v>1491</v>
      </c>
      <c r="L74" s="522">
        <v>656</v>
      </c>
      <c r="M74" s="522">
        <v>94</v>
      </c>
      <c r="N74" s="522">
        <v>25651</v>
      </c>
      <c r="O74" s="522">
        <v>24195</v>
      </c>
      <c r="P74" s="522">
        <v>24995</v>
      </c>
      <c r="Q74" s="522">
        <v>157</v>
      </c>
      <c r="R74" s="523">
        <v>15</v>
      </c>
      <c r="S74" s="523">
        <v>20</v>
      </c>
      <c r="T74" s="523">
        <v>758</v>
      </c>
      <c r="U74" s="523">
        <v>24893</v>
      </c>
      <c r="V74" s="522">
        <v>22156</v>
      </c>
      <c r="W74" s="522">
        <v>107</v>
      </c>
      <c r="X74" s="522">
        <v>409</v>
      </c>
      <c r="Y74" s="522">
        <v>516</v>
      </c>
      <c r="Z74" s="524">
        <v>96.39</v>
      </c>
      <c r="AA74" s="524">
        <v>98.2</v>
      </c>
      <c r="AB74" s="524">
        <v>6.43</v>
      </c>
      <c r="AC74" s="524">
        <v>102.21</v>
      </c>
      <c r="AD74" s="524">
        <v>19550</v>
      </c>
      <c r="AE74" s="525">
        <v>111</v>
      </c>
      <c r="AF74" s="525">
        <v>99.8</v>
      </c>
      <c r="AG74" s="525">
        <v>71.900000000000006</v>
      </c>
      <c r="AH74" s="525">
        <v>180.76</v>
      </c>
      <c r="AI74" s="525">
        <v>2053</v>
      </c>
      <c r="AJ74" s="525">
        <v>132.30000000000001</v>
      </c>
      <c r="AK74" s="525">
        <v>2419</v>
      </c>
      <c r="AL74" s="525">
        <v>146.77000000000001</v>
      </c>
      <c r="AM74" s="525">
        <v>28</v>
      </c>
      <c r="AN74" s="526">
        <v>0</v>
      </c>
      <c r="AO74" s="526">
        <v>0</v>
      </c>
      <c r="AP74" s="526">
        <v>0</v>
      </c>
      <c r="AQ74" s="526">
        <v>0</v>
      </c>
      <c r="AR74" s="522">
        <v>0</v>
      </c>
      <c r="AS74" s="526">
        <v>72.83</v>
      </c>
      <c r="AT74" s="526">
        <v>72.39</v>
      </c>
      <c r="AU74" s="526">
        <v>10.95</v>
      </c>
      <c r="AV74" s="526">
        <v>83.63</v>
      </c>
      <c r="AW74" s="522">
        <v>1028</v>
      </c>
      <c r="AX74" s="526">
        <v>84.01</v>
      </c>
      <c r="AY74" s="526">
        <v>84.85</v>
      </c>
      <c r="AZ74" s="526">
        <v>8.9700000000000006</v>
      </c>
      <c r="BA74" s="526">
        <v>92.68</v>
      </c>
      <c r="BB74" s="522">
        <v>5049</v>
      </c>
      <c r="BC74" s="526">
        <v>96.93</v>
      </c>
      <c r="BD74" s="526">
        <v>98.94</v>
      </c>
      <c r="BE74" s="526">
        <v>7.15</v>
      </c>
      <c r="BF74" s="526">
        <v>103.23</v>
      </c>
      <c r="BG74" s="522">
        <v>7150</v>
      </c>
      <c r="BH74" s="526">
        <v>107.85</v>
      </c>
      <c r="BI74" s="526">
        <v>110.69</v>
      </c>
      <c r="BJ74" s="526">
        <v>2.5099999999999998</v>
      </c>
      <c r="BK74" s="526">
        <v>110.03</v>
      </c>
      <c r="BL74" s="522">
        <v>5721</v>
      </c>
      <c r="BM74" s="526">
        <v>124.23</v>
      </c>
      <c r="BN74" s="526">
        <v>125.56</v>
      </c>
      <c r="BO74" s="526">
        <v>2.48</v>
      </c>
      <c r="BP74" s="526">
        <v>126.41</v>
      </c>
      <c r="BQ74" s="522">
        <v>553</v>
      </c>
      <c r="BR74" s="526">
        <v>134.38999999999999</v>
      </c>
      <c r="BS74" s="526">
        <v>135.81</v>
      </c>
      <c r="BT74" s="526">
        <v>4.24</v>
      </c>
      <c r="BU74" s="526">
        <v>137.63999999999999</v>
      </c>
      <c r="BV74" s="522">
        <v>30</v>
      </c>
      <c r="BW74" s="526">
        <v>140.27000000000001</v>
      </c>
      <c r="BX74" s="526">
        <v>143.53</v>
      </c>
      <c r="BY74" s="526">
        <v>3.87</v>
      </c>
      <c r="BZ74" s="526">
        <v>143.94</v>
      </c>
      <c r="CA74" s="522">
        <v>19</v>
      </c>
      <c r="CB74" s="526">
        <v>96.39</v>
      </c>
      <c r="CC74" s="526">
        <v>98.2</v>
      </c>
      <c r="CD74" s="526">
        <v>6.43</v>
      </c>
      <c r="CE74" s="526">
        <v>102.21</v>
      </c>
      <c r="CF74" s="522">
        <v>19550</v>
      </c>
      <c r="CG74" s="526">
        <v>96.39</v>
      </c>
      <c r="CH74" s="526">
        <v>98.2</v>
      </c>
      <c r="CI74" s="526">
        <v>6.43</v>
      </c>
      <c r="CJ74" s="526">
        <v>102.21</v>
      </c>
      <c r="CK74" s="522">
        <v>19550</v>
      </c>
      <c r="CL74" s="526">
        <v>96.8</v>
      </c>
      <c r="CM74" s="526">
        <v>81.91</v>
      </c>
      <c r="CN74" s="526">
        <v>87.62</v>
      </c>
      <c r="CO74" s="526">
        <v>171.27</v>
      </c>
      <c r="CP74" s="522">
        <v>140</v>
      </c>
      <c r="CQ74" s="526">
        <v>103.4</v>
      </c>
      <c r="CR74" s="526">
        <v>112.98</v>
      </c>
      <c r="CS74" s="526">
        <v>136.38999999999999</v>
      </c>
      <c r="CT74" s="526">
        <v>234.74</v>
      </c>
      <c r="CU74" s="522">
        <v>216</v>
      </c>
      <c r="CV74" s="526">
        <v>112.82</v>
      </c>
      <c r="CW74" s="526">
        <v>98.36</v>
      </c>
      <c r="CX74" s="526">
        <v>63.57</v>
      </c>
      <c r="CY74" s="526">
        <v>175.27</v>
      </c>
      <c r="CZ74" s="522">
        <v>1581</v>
      </c>
      <c r="DA74" s="526">
        <v>115.95</v>
      </c>
      <c r="DB74" s="526">
        <v>106.57</v>
      </c>
      <c r="DC74" s="526">
        <v>53.47</v>
      </c>
      <c r="DD74" s="526">
        <v>167.91</v>
      </c>
      <c r="DE74" s="522">
        <v>106</v>
      </c>
      <c r="DF74" s="526">
        <v>117.63</v>
      </c>
      <c r="DG74" s="526">
        <v>111.45</v>
      </c>
      <c r="DH74" s="526">
        <v>16.989999999999998</v>
      </c>
      <c r="DI74" s="526">
        <v>132.5</v>
      </c>
      <c r="DJ74" s="522">
        <v>8</v>
      </c>
      <c r="DK74" s="526">
        <v>189.85</v>
      </c>
      <c r="DL74" s="526">
        <v>172.59</v>
      </c>
      <c r="DM74" s="526">
        <v>40.96</v>
      </c>
      <c r="DN74" s="526">
        <v>230.81</v>
      </c>
      <c r="DO74" s="522">
        <v>2</v>
      </c>
      <c r="DP74" s="526">
        <v>112.03</v>
      </c>
      <c r="DQ74" s="526">
        <v>100.9</v>
      </c>
      <c r="DR74" s="526">
        <v>70.900000000000006</v>
      </c>
      <c r="DS74" s="526">
        <v>181.45</v>
      </c>
      <c r="DT74" s="522">
        <v>1913</v>
      </c>
      <c r="DU74" s="526">
        <v>111</v>
      </c>
      <c r="DV74" s="526">
        <v>99.8</v>
      </c>
      <c r="DW74" s="526">
        <v>71.900000000000006</v>
      </c>
      <c r="DX74" s="526">
        <v>180.76</v>
      </c>
      <c r="DY74" s="522">
        <v>2053</v>
      </c>
      <c r="DZ74" s="526">
        <v>0</v>
      </c>
      <c r="EA74" s="526">
        <v>0</v>
      </c>
      <c r="EB74" s="526">
        <v>0</v>
      </c>
      <c r="EC74" s="522">
        <v>0</v>
      </c>
      <c r="ED74" s="526">
        <v>109.09</v>
      </c>
      <c r="EE74" s="522">
        <v>387</v>
      </c>
      <c r="EF74" s="526">
        <v>129.16999999999999</v>
      </c>
      <c r="EG74" s="522">
        <v>1071</v>
      </c>
      <c r="EH74" s="526">
        <v>141.77000000000001</v>
      </c>
      <c r="EI74" s="522">
        <v>853</v>
      </c>
      <c r="EJ74" s="526">
        <v>169.32</v>
      </c>
      <c r="EK74" s="522">
        <v>101</v>
      </c>
      <c r="EL74" s="526">
        <v>204.26</v>
      </c>
      <c r="EM74" s="522">
        <v>5</v>
      </c>
      <c r="EN74" s="526">
        <v>213.95</v>
      </c>
      <c r="EO74" s="522">
        <v>2</v>
      </c>
      <c r="EP74" s="526">
        <v>132.30000000000001</v>
      </c>
      <c r="EQ74" s="522">
        <v>2419</v>
      </c>
      <c r="ER74" s="526">
        <v>132.30000000000001</v>
      </c>
      <c r="ES74" s="522">
        <v>2419</v>
      </c>
      <c r="ET74" s="526">
        <v>0</v>
      </c>
      <c r="EU74" s="526">
        <v>0</v>
      </c>
      <c r="EV74" s="526">
        <v>0</v>
      </c>
      <c r="EW74" s="522">
        <v>0</v>
      </c>
      <c r="EX74" s="526">
        <v>130.36000000000001</v>
      </c>
      <c r="EY74" s="522">
        <v>5</v>
      </c>
      <c r="EZ74" s="526">
        <v>132.33000000000001</v>
      </c>
      <c r="FA74" s="522">
        <v>11</v>
      </c>
      <c r="FB74" s="526">
        <v>155.34</v>
      </c>
      <c r="FC74" s="522">
        <v>9</v>
      </c>
      <c r="FD74" s="526">
        <v>201.38</v>
      </c>
      <c r="FE74" s="522">
        <v>3</v>
      </c>
      <c r="FF74" s="526">
        <v>146.77000000000001</v>
      </c>
      <c r="FG74" s="522">
        <v>28</v>
      </c>
      <c r="FH74" s="526">
        <v>146.77000000000001</v>
      </c>
      <c r="FI74" s="522">
        <v>28</v>
      </c>
      <c r="FJ74" s="522">
        <v>1</v>
      </c>
      <c r="FK74" s="522">
        <v>38</v>
      </c>
      <c r="FL74" s="522">
        <v>13</v>
      </c>
      <c r="FM74" s="522">
        <v>0</v>
      </c>
      <c r="FN74" s="522">
        <v>25</v>
      </c>
      <c r="FO74" s="522">
        <v>0</v>
      </c>
      <c r="FP74" s="522">
        <v>9</v>
      </c>
      <c r="FQ74" s="522">
        <v>33</v>
      </c>
      <c r="FR74" s="522">
        <v>16</v>
      </c>
    </row>
    <row r="75" spans="1:174" x14ac:dyDescent="0.25">
      <c r="A75" s="523" t="s">
        <v>409</v>
      </c>
      <c r="B75" s="523" t="s">
        <v>410</v>
      </c>
      <c r="C75" s="523" t="s">
        <v>2</v>
      </c>
      <c r="D75" s="522">
        <v>2233</v>
      </c>
      <c r="E75" s="522">
        <v>2161</v>
      </c>
      <c r="F75" s="522">
        <v>0</v>
      </c>
      <c r="G75" s="522">
        <v>0</v>
      </c>
      <c r="H75" s="522">
        <v>165</v>
      </c>
      <c r="I75" s="522">
        <v>31</v>
      </c>
      <c r="J75" s="522">
        <v>286</v>
      </c>
      <c r="K75" s="522">
        <v>212</v>
      </c>
      <c r="L75" s="522">
        <v>428</v>
      </c>
      <c r="M75" s="522">
        <v>0</v>
      </c>
      <c r="N75" s="522">
        <v>3112</v>
      </c>
      <c r="O75" s="522">
        <v>2404</v>
      </c>
      <c r="P75" s="522">
        <v>2684</v>
      </c>
      <c r="Q75" s="522">
        <v>9</v>
      </c>
      <c r="R75" s="523">
        <v>7</v>
      </c>
      <c r="S75" s="523">
        <v>22</v>
      </c>
      <c r="T75" s="523">
        <v>209</v>
      </c>
      <c r="U75" s="523">
        <v>2903</v>
      </c>
      <c r="V75" s="522">
        <v>2204</v>
      </c>
      <c r="W75" s="522">
        <v>23</v>
      </c>
      <c r="X75" s="522">
        <v>3</v>
      </c>
      <c r="Y75" s="522">
        <v>26</v>
      </c>
      <c r="Z75" s="524">
        <v>126.34</v>
      </c>
      <c r="AA75" s="524">
        <v>124.09</v>
      </c>
      <c r="AB75" s="524">
        <v>12.97</v>
      </c>
      <c r="AC75" s="524">
        <v>137.5</v>
      </c>
      <c r="AD75" s="524">
        <v>1609</v>
      </c>
      <c r="AE75" s="525">
        <v>141.04</v>
      </c>
      <c r="AF75" s="525">
        <v>118.26</v>
      </c>
      <c r="AG75" s="525">
        <v>58.19</v>
      </c>
      <c r="AH75" s="525">
        <v>199.01</v>
      </c>
      <c r="AI75" s="525">
        <v>271</v>
      </c>
      <c r="AJ75" s="525">
        <v>189.03</v>
      </c>
      <c r="AK75" s="525">
        <v>524</v>
      </c>
      <c r="AL75" s="525">
        <v>0</v>
      </c>
      <c r="AM75" s="525">
        <v>0</v>
      </c>
      <c r="AN75" s="526">
        <v>0</v>
      </c>
      <c r="AO75" s="526">
        <v>0</v>
      </c>
      <c r="AP75" s="526">
        <v>0</v>
      </c>
      <c r="AQ75" s="526">
        <v>0</v>
      </c>
      <c r="AR75" s="522">
        <v>0</v>
      </c>
      <c r="AS75" s="526">
        <v>90.1</v>
      </c>
      <c r="AT75" s="526">
        <v>89.81</v>
      </c>
      <c r="AU75" s="526">
        <v>14.63</v>
      </c>
      <c r="AV75" s="526">
        <v>104.73</v>
      </c>
      <c r="AW75" s="522">
        <v>15</v>
      </c>
      <c r="AX75" s="526">
        <v>109.21</v>
      </c>
      <c r="AY75" s="526">
        <v>107.53</v>
      </c>
      <c r="AZ75" s="526">
        <v>16.03</v>
      </c>
      <c r="BA75" s="526">
        <v>124.09</v>
      </c>
      <c r="BB75" s="522">
        <v>417</v>
      </c>
      <c r="BC75" s="526">
        <v>127.87</v>
      </c>
      <c r="BD75" s="526">
        <v>122.74</v>
      </c>
      <c r="BE75" s="526">
        <v>14.87</v>
      </c>
      <c r="BF75" s="526">
        <v>140.33000000000001</v>
      </c>
      <c r="BG75" s="522">
        <v>687</v>
      </c>
      <c r="BH75" s="526">
        <v>138.84</v>
      </c>
      <c r="BI75" s="526">
        <v>140.57</v>
      </c>
      <c r="BJ75" s="526">
        <v>7.34</v>
      </c>
      <c r="BK75" s="526">
        <v>144.93</v>
      </c>
      <c r="BL75" s="522">
        <v>449</v>
      </c>
      <c r="BM75" s="526">
        <v>151.38999999999999</v>
      </c>
      <c r="BN75" s="526">
        <v>163.12</v>
      </c>
      <c r="BO75" s="526">
        <v>6.95</v>
      </c>
      <c r="BP75" s="526">
        <v>156.97999999999999</v>
      </c>
      <c r="BQ75" s="522">
        <v>41</v>
      </c>
      <c r="BR75" s="526">
        <v>0</v>
      </c>
      <c r="BS75" s="526">
        <v>0</v>
      </c>
      <c r="BT75" s="526">
        <v>0</v>
      </c>
      <c r="BU75" s="526">
        <v>0</v>
      </c>
      <c r="BV75" s="522">
        <v>0</v>
      </c>
      <c r="BW75" s="526">
        <v>0</v>
      </c>
      <c r="BX75" s="526">
        <v>0</v>
      </c>
      <c r="BY75" s="526">
        <v>0</v>
      </c>
      <c r="BZ75" s="526">
        <v>0</v>
      </c>
      <c r="CA75" s="522">
        <v>0</v>
      </c>
      <c r="CB75" s="526">
        <v>126.34</v>
      </c>
      <c r="CC75" s="526">
        <v>124.09</v>
      </c>
      <c r="CD75" s="526">
        <v>12.97</v>
      </c>
      <c r="CE75" s="526">
        <v>137.5</v>
      </c>
      <c r="CF75" s="522">
        <v>1609</v>
      </c>
      <c r="CG75" s="526">
        <v>126.34</v>
      </c>
      <c r="CH75" s="526">
        <v>124.09</v>
      </c>
      <c r="CI75" s="526">
        <v>12.97</v>
      </c>
      <c r="CJ75" s="526">
        <v>137.5</v>
      </c>
      <c r="CK75" s="522">
        <v>1609</v>
      </c>
      <c r="CL75" s="526">
        <v>141.94</v>
      </c>
      <c r="CM75" s="526">
        <v>101.62</v>
      </c>
      <c r="CN75" s="526">
        <v>48.77</v>
      </c>
      <c r="CO75" s="526">
        <v>190.71</v>
      </c>
      <c r="CP75" s="522">
        <v>30</v>
      </c>
      <c r="CQ75" s="526">
        <v>107.43</v>
      </c>
      <c r="CR75" s="526">
        <v>98.15</v>
      </c>
      <c r="CS75" s="526">
        <v>50.54</v>
      </c>
      <c r="CT75" s="526">
        <v>157.97</v>
      </c>
      <c r="CU75" s="522">
        <v>12</v>
      </c>
      <c r="CV75" s="526">
        <v>140.9</v>
      </c>
      <c r="CW75" s="526">
        <v>118.02</v>
      </c>
      <c r="CX75" s="526">
        <v>57.68</v>
      </c>
      <c r="CY75" s="526">
        <v>198.3</v>
      </c>
      <c r="CZ75" s="522">
        <v>211</v>
      </c>
      <c r="DA75" s="526">
        <v>162.97999999999999</v>
      </c>
      <c r="DB75" s="526">
        <v>155.44</v>
      </c>
      <c r="DC75" s="526">
        <v>86.99</v>
      </c>
      <c r="DD75" s="526">
        <v>249.97</v>
      </c>
      <c r="DE75" s="522">
        <v>17</v>
      </c>
      <c r="DF75" s="526">
        <v>174.73</v>
      </c>
      <c r="DG75" s="526">
        <v>158.85</v>
      </c>
      <c r="DH75" s="526">
        <v>50.54</v>
      </c>
      <c r="DI75" s="526">
        <v>225.27</v>
      </c>
      <c r="DJ75" s="522">
        <v>1</v>
      </c>
      <c r="DK75" s="526">
        <v>0</v>
      </c>
      <c r="DL75" s="526">
        <v>0</v>
      </c>
      <c r="DM75" s="526">
        <v>0</v>
      </c>
      <c r="DN75" s="526">
        <v>0</v>
      </c>
      <c r="DO75" s="522">
        <v>0</v>
      </c>
      <c r="DP75" s="526">
        <v>140.93</v>
      </c>
      <c r="DQ75" s="526">
        <v>119.9</v>
      </c>
      <c r="DR75" s="526">
        <v>59.37</v>
      </c>
      <c r="DS75" s="526">
        <v>200.05</v>
      </c>
      <c r="DT75" s="522">
        <v>241</v>
      </c>
      <c r="DU75" s="526">
        <v>141.04</v>
      </c>
      <c r="DV75" s="526">
        <v>118.26</v>
      </c>
      <c r="DW75" s="526">
        <v>58.19</v>
      </c>
      <c r="DX75" s="526">
        <v>199.01</v>
      </c>
      <c r="DY75" s="522">
        <v>271</v>
      </c>
      <c r="DZ75" s="526">
        <v>0</v>
      </c>
      <c r="EA75" s="526">
        <v>0</v>
      </c>
      <c r="EB75" s="526">
        <v>137.5</v>
      </c>
      <c r="EC75" s="522">
        <v>6</v>
      </c>
      <c r="ED75" s="526">
        <v>166.1</v>
      </c>
      <c r="EE75" s="522">
        <v>174</v>
      </c>
      <c r="EF75" s="526">
        <v>198.96</v>
      </c>
      <c r="EG75" s="522">
        <v>297</v>
      </c>
      <c r="EH75" s="526">
        <v>214.63</v>
      </c>
      <c r="EI75" s="522">
        <v>44</v>
      </c>
      <c r="EJ75" s="526">
        <v>264.14</v>
      </c>
      <c r="EK75" s="522">
        <v>3</v>
      </c>
      <c r="EL75" s="526">
        <v>0</v>
      </c>
      <c r="EM75" s="522">
        <v>0</v>
      </c>
      <c r="EN75" s="526">
        <v>0</v>
      </c>
      <c r="EO75" s="522">
        <v>0</v>
      </c>
      <c r="EP75" s="526">
        <v>189.03</v>
      </c>
      <c r="EQ75" s="522">
        <v>524</v>
      </c>
      <c r="ER75" s="526">
        <v>189.03</v>
      </c>
      <c r="ES75" s="522">
        <v>524</v>
      </c>
      <c r="ET75" s="526">
        <v>0</v>
      </c>
      <c r="EU75" s="526">
        <v>0</v>
      </c>
      <c r="EV75" s="526">
        <v>0</v>
      </c>
      <c r="EW75" s="522">
        <v>0</v>
      </c>
      <c r="EX75" s="526">
        <v>0</v>
      </c>
      <c r="EY75" s="522">
        <v>0</v>
      </c>
      <c r="EZ75" s="526">
        <v>0</v>
      </c>
      <c r="FA75" s="522">
        <v>0</v>
      </c>
      <c r="FB75" s="526">
        <v>0</v>
      </c>
      <c r="FC75" s="522">
        <v>0</v>
      </c>
      <c r="FD75" s="526">
        <v>0</v>
      </c>
      <c r="FE75" s="522">
        <v>0</v>
      </c>
      <c r="FF75" s="526">
        <v>0</v>
      </c>
      <c r="FG75" s="522">
        <v>0</v>
      </c>
      <c r="FH75" s="526">
        <v>0</v>
      </c>
      <c r="FI75" s="522">
        <v>0</v>
      </c>
      <c r="FJ75" s="522">
        <v>0</v>
      </c>
      <c r="FK75" s="522">
        <v>0</v>
      </c>
      <c r="FL75" s="522">
        <v>0</v>
      </c>
      <c r="FM75" s="522">
        <v>0</v>
      </c>
      <c r="FN75" s="522">
        <v>0</v>
      </c>
      <c r="FO75" s="522">
        <v>0</v>
      </c>
      <c r="FP75" s="522">
        <v>1</v>
      </c>
      <c r="FQ75" s="522">
        <v>15</v>
      </c>
      <c r="FR75" s="522">
        <v>6</v>
      </c>
    </row>
    <row r="76" spans="1:174" x14ac:dyDescent="0.25">
      <c r="A76" s="523" t="s">
        <v>411</v>
      </c>
      <c r="B76" s="523" t="s">
        <v>412</v>
      </c>
      <c r="C76" s="523" t="s">
        <v>284</v>
      </c>
      <c r="D76" s="522">
        <v>11815</v>
      </c>
      <c r="E76" s="522">
        <v>11523</v>
      </c>
      <c r="F76" s="522">
        <v>110</v>
      </c>
      <c r="G76" s="522">
        <v>5</v>
      </c>
      <c r="H76" s="522">
        <v>871</v>
      </c>
      <c r="I76" s="522">
        <v>298</v>
      </c>
      <c r="J76" s="522">
        <v>1013</v>
      </c>
      <c r="K76" s="522">
        <v>763</v>
      </c>
      <c r="L76" s="522">
        <v>2672</v>
      </c>
      <c r="M76" s="522">
        <v>191</v>
      </c>
      <c r="N76" s="522">
        <v>16481</v>
      </c>
      <c r="O76" s="522">
        <v>12780</v>
      </c>
      <c r="P76" s="522">
        <v>13809</v>
      </c>
      <c r="Q76" s="522">
        <v>94</v>
      </c>
      <c r="R76" s="523">
        <v>28</v>
      </c>
      <c r="S76" s="523">
        <v>35</v>
      </c>
      <c r="T76" s="523">
        <v>1218</v>
      </c>
      <c r="U76" s="523">
        <v>15263</v>
      </c>
      <c r="V76" s="522">
        <v>11440</v>
      </c>
      <c r="W76" s="522">
        <v>107</v>
      </c>
      <c r="X76" s="522">
        <v>58</v>
      </c>
      <c r="Y76" s="522">
        <v>165</v>
      </c>
      <c r="Z76" s="524">
        <v>140.06</v>
      </c>
      <c r="AA76" s="524">
        <v>141.99</v>
      </c>
      <c r="AB76" s="524">
        <v>13.32</v>
      </c>
      <c r="AC76" s="524">
        <v>149.78</v>
      </c>
      <c r="AD76" s="524">
        <v>8716</v>
      </c>
      <c r="AE76" s="525">
        <v>122.55</v>
      </c>
      <c r="AF76" s="525">
        <v>110.54</v>
      </c>
      <c r="AG76" s="525">
        <v>72.88</v>
      </c>
      <c r="AH76" s="525">
        <v>191.1</v>
      </c>
      <c r="AI76" s="525">
        <v>1095</v>
      </c>
      <c r="AJ76" s="525">
        <v>213.89</v>
      </c>
      <c r="AK76" s="525">
        <v>2392</v>
      </c>
      <c r="AL76" s="525">
        <v>171.13</v>
      </c>
      <c r="AM76" s="525">
        <v>51</v>
      </c>
      <c r="AN76" s="526">
        <v>138.86000000000001</v>
      </c>
      <c r="AO76" s="526">
        <v>141.83000000000001</v>
      </c>
      <c r="AP76" s="526">
        <v>28.03</v>
      </c>
      <c r="AQ76" s="526">
        <v>166.89</v>
      </c>
      <c r="AR76" s="522">
        <v>5</v>
      </c>
      <c r="AS76" s="526">
        <v>98.94</v>
      </c>
      <c r="AT76" s="526">
        <v>98.64</v>
      </c>
      <c r="AU76" s="526">
        <v>11.37</v>
      </c>
      <c r="AV76" s="526">
        <v>109.89</v>
      </c>
      <c r="AW76" s="522">
        <v>80</v>
      </c>
      <c r="AX76" s="526">
        <v>113.69</v>
      </c>
      <c r="AY76" s="526">
        <v>114.41</v>
      </c>
      <c r="AZ76" s="526">
        <v>18</v>
      </c>
      <c r="BA76" s="526">
        <v>128.68</v>
      </c>
      <c r="BB76" s="522">
        <v>1273</v>
      </c>
      <c r="BC76" s="526">
        <v>131.87</v>
      </c>
      <c r="BD76" s="526">
        <v>133.13</v>
      </c>
      <c r="BE76" s="526">
        <v>16.600000000000001</v>
      </c>
      <c r="BF76" s="526">
        <v>145.63</v>
      </c>
      <c r="BG76" s="522">
        <v>3316</v>
      </c>
      <c r="BH76" s="526">
        <v>151.52000000000001</v>
      </c>
      <c r="BI76" s="526">
        <v>154.01</v>
      </c>
      <c r="BJ76" s="526">
        <v>7.98</v>
      </c>
      <c r="BK76" s="526">
        <v>156.35</v>
      </c>
      <c r="BL76" s="522">
        <v>3168</v>
      </c>
      <c r="BM76" s="526">
        <v>171.4</v>
      </c>
      <c r="BN76" s="526">
        <v>175.22</v>
      </c>
      <c r="BO76" s="526">
        <v>6.8</v>
      </c>
      <c r="BP76" s="526">
        <v>175.85</v>
      </c>
      <c r="BQ76" s="522">
        <v>788</v>
      </c>
      <c r="BR76" s="526">
        <v>175.07</v>
      </c>
      <c r="BS76" s="526">
        <v>185.07</v>
      </c>
      <c r="BT76" s="526">
        <v>5.55</v>
      </c>
      <c r="BU76" s="526">
        <v>177.64</v>
      </c>
      <c r="BV76" s="522">
        <v>80</v>
      </c>
      <c r="BW76" s="526">
        <v>173.92</v>
      </c>
      <c r="BX76" s="526">
        <v>204.89</v>
      </c>
      <c r="BY76" s="526">
        <v>4.91</v>
      </c>
      <c r="BZ76" s="526">
        <v>175.56</v>
      </c>
      <c r="CA76" s="522">
        <v>6</v>
      </c>
      <c r="CB76" s="526">
        <v>140.06</v>
      </c>
      <c r="CC76" s="526">
        <v>141.99</v>
      </c>
      <c r="CD76" s="526">
        <v>13.31</v>
      </c>
      <c r="CE76" s="526">
        <v>149.77000000000001</v>
      </c>
      <c r="CF76" s="522">
        <v>8711</v>
      </c>
      <c r="CG76" s="526">
        <v>140.06</v>
      </c>
      <c r="CH76" s="526">
        <v>141.99</v>
      </c>
      <c r="CI76" s="526">
        <v>13.32</v>
      </c>
      <c r="CJ76" s="526">
        <v>149.78</v>
      </c>
      <c r="CK76" s="522">
        <v>8716</v>
      </c>
      <c r="CL76" s="526">
        <v>116.1</v>
      </c>
      <c r="CM76" s="526">
        <v>97.87</v>
      </c>
      <c r="CN76" s="526">
        <v>178.1</v>
      </c>
      <c r="CO76" s="526">
        <v>254.71</v>
      </c>
      <c r="CP76" s="522">
        <v>230</v>
      </c>
      <c r="CQ76" s="526">
        <v>101.09</v>
      </c>
      <c r="CR76" s="526">
        <v>97.7</v>
      </c>
      <c r="CS76" s="526">
        <v>56.12</v>
      </c>
      <c r="CT76" s="526">
        <v>156.63</v>
      </c>
      <c r="CU76" s="522">
        <v>193</v>
      </c>
      <c r="CV76" s="526">
        <v>130.46</v>
      </c>
      <c r="CW76" s="526">
        <v>117.42</v>
      </c>
      <c r="CX76" s="526">
        <v>49.24</v>
      </c>
      <c r="CY76" s="526">
        <v>178.79</v>
      </c>
      <c r="CZ76" s="522">
        <v>641</v>
      </c>
      <c r="DA76" s="526">
        <v>136.07</v>
      </c>
      <c r="DB76" s="526">
        <v>134.13</v>
      </c>
      <c r="DC76" s="526">
        <v>50.26</v>
      </c>
      <c r="DD76" s="526">
        <v>186.33</v>
      </c>
      <c r="DE76" s="522">
        <v>26</v>
      </c>
      <c r="DF76" s="526">
        <v>161.58000000000001</v>
      </c>
      <c r="DG76" s="526">
        <v>160.5</v>
      </c>
      <c r="DH76" s="526">
        <v>36.43</v>
      </c>
      <c r="DI76" s="526">
        <v>198</v>
      </c>
      <c r="DJ76" s="522">
        <v>5</v>
      </c>
      <c r="DK76" s="526">
        <v>0</v>
      </c>
      <c r="DL76" s="526">
        <v>0</v>
      </c>
      <c r="DM76" s="526">
        <v>0</v>
      </c>
      <c r="DN76" s="526">
        <v>0</v>
      </c>
      <c r="DO76" s="522">
        <v>0</v>
      </c>
      <c r="DP76" s="526">
        <v>124.26</v>
      </c>
      <c r="DQ76" s="526">
        <v>113.68</v>
      </c>
      <c r="DR76" s="526">
        <v>50.74</v>
      </c>
      <c r="DS76" s="526">
        <v>174.18</v>
      </c>
      <c r="DT76" s="522">
        <v>865</v>
      </c>
      <c r="DU76" s="526">
        <v>122.55</v>
      </c>
      <c r="DV76" s="526">
        <v>110.54</v>
      </c>
      <c r="DW76" s="526">
        <v>72.88</v>
      </c>
      <c r="DX76" s="526">
        <v>191.1</v>
      </c>
      <c r="DY76" s="522">
        <v>1095</v>
      </c>
      <c r="DZ76" s="526">
        <v>92.39</v>
      </c>
      <c r="EA76" s="526">
        <v>28</v>
      </c>
      <c r="EB76" s="526">
        <v>177</v>
      </c>
      <c r="EC76" s="522">
        <v>36</v>
      </c>
      <c r="ED76" s="526">
        <v>180.04</v>
      </c>
      <c r="EE76" s="522">
        <v>618</v>
      </c>
      <c r="EF76" s="526">
        <v>214.41</v>
      </c>
      <c r="EG76" s="522">
        <v>1064</v>
      </c>
      <c r="EH76" s="526">
        <v>250.88</v>
      </c>
      <c r="EI76" s="522">
        <v>564</v>
      </c>
      <c r="EJ76" s="526">
        <v>265.82</v>
      </c>
      <c r="EK76" s="522">
        <v>81</v>
      </c>
      <c r="EL76" s="526">
        <v>234.75</v>
      </c>
      <c r="EM76" s="522">
        <v>1</v>
      </c>
      <c r="EN76" s="526">
        <v>0</v>
      </c>
      <c r="EO76" s="522">
        <v>0</v>
      </c>
      <c r="EP76" s="526">
        <v>215.33</v>
      </c>
      <c r="EQ76" s="522">
        <v>2364</v>
      </c>
      <c r="ER76" s="526">
        <v>213.89</v>
      </c>
      <c r="ES76" s="522">
        <v>2392</v>
      </c>
      <c r="ET76" s="526">
        <v>0</v>
      </c>
      <c r="EU76" s="526">
        <v>0</v>
      </c>
      <c r="EV76" s="526">
        <v>192.61</v>
      </c>
      <c r="EW76" s="522">
        <v>8</v>
      </c>
      <c r="EX76" s="526">
        <v>163.02000000000001</v>
      </c>
      <c r="EY76" s="522">
        <v>39</v>
      </c>
      <c r="EZ76" s="526">
        <v>207.19</v>
      </c>
      <c r="FA76" s="522">
        <v>4</v>
      </c>
      <c r="FB76" s="526">
        <v>0</v>
      </c>
      <c r="FC76" s="522">
        <v>0</v>
      </c>
      <c r="FD76" s="526">
        <v>0</v>
      </c>
      <c r="FE76" s="522">
        <v>0</v>
      </c>
      <c r="FF76" s="526">
        <v>171.13</v>
      </c>
      <c r="FG76" s="522">
        <v>51</v>
      </c>
      <c r="FH76" s="526">
        <v>171.13</v>
      </c>
      <c r="FI76" s="522">
        <v>51</v>
      </c>
      <c r="FJ76" s="522">
        <v>0</v>
      </c>
      <c r="FK76" s="522">
        <v>2</v>
      </c>
      <c r="FL76" s="522">
        <v>0</v>
      </c>
      <c r="FM76" s="522">
        <v>0</v>
      </c>
      <c r="FN76" s="522">
        <v>2</v>
      </c>
      <c r="FO76" s="522">
        <v>0</v>
      </c>
      <c r="FP76" s="522">
        <v>21</v>
      </c>
      <c r="FQ76" s="522">
        <v>109</v>
      </c>
      <c r="FR76" s="522">
        <v>38</v>
      </c>
    </row>
    <row r="77" spans="1:174" x14ac:dyDescent="0.25">
      <c r="A77" s="523" t="s">
        <v>14365</v>
      </c>
      <c r="B77" s="523" t="s">
        <v>14366</v>
      </c>
      <c r="C77" s="523" t="s">
        <v>286</v>
      </c>
      <c r="D77" s="522">
        <v>21084</v>
      </c>
      <c r="E77" s="522">
        <v>20417</v>
      </c>
      <c r="F77" s="522">
        <v>0</v>
      </c>
      <c r="G77" s="522">
        <v>0</v>
      </c>
      <c r="H77" s="522">
        <v>577</v>
      </c>
      <c r="I77" s="522">
        <v>346</v>
      </c>
      <c r="J77" s="522">
        <v>1049</v>
      </c>
      <c r="K77" s="522">
        <v>1013</v>
      </c>
      <c r="L77" s="522">
        <v>508</v>
      </c>
      <c r="M77" s="522">
        <v>26</v>
      </c>
      <c r="N77" s="522">
        <v>23218</v>
      </c>
      <c r="O77" s="522">
        <v>21802</v>
      </c>
      <c r="P77" s="522">
        <v>22710</v>
      </c>
      <c r="Q77" s="522">
        <v>27</v>
      </c>
      <c r="R77" s="523">
        <v>16</v>
      </c>
      <c r="S77" s="523">
        <v>13</v>
      </c>
      <c r="T77" s="523">
        <v>909</v>
      </c>
      <c r="U77" s="523">
        <v>22309</v>
      </c>
      <c r="V77" s="522">
        <v>20350</v>
      </c>
      <c r="W77" s="522">
        <v>66</v>
      </c>
      <c r="X77" s="522">
        <v>223</v>
      </c>
      <c r="Y77" s="522">
        <v>289</v>
      </c>
      <c r="Z77" s="524">
        <v>97.11</v>
      </c>
      <c r="AA77" s="524">
        <v>96.77</v>
      </c>
      <c r="AB77" s="524">
        <v>3.72</v>
      </c>
      <c r="AC77" s="524">
        <v>100.09</v>
      </c>
      <c r="AD77" s="524">
        <v>18058</v>
      </c>
      <c r="AE77" s="525">
        <v>101.13</v>
      </c>
      <c r="AF77" s="525">
        <v>87.89</v>
      </c>
      <c r="AG77" s="525">
        <v>60.05</v>
      </c>
      <c r="AH77" s="525">
        <v>158.58000000000001</v>
      </c>
      <c r="AI77" s="525">
        <v>1404</v>
      </c>
      <c r="AJ77" s="525">
        <v>109.13</v>
      </c>
      <c r="AK77" s="525">
        <v>2433</v>
      </c>
      <c r="AL77" s="525">
        <v>154.63999999999999</v>
      </c>
      <c r="AM77" s="525">
        <v>53</v>
      </c>
      <c r="AN77" s="526">
        <v>0</v>
      </c>
      <c r="AO77" s="526">
        <v>0</v>
      </c>
      <c r="AP77" s="526">
        <v>0</v>
      </c>
      <c r="AQ77" s="526">
        <v>0</v>
      </c>
      <c r="AR77" s="522">
        <v>0</v>
      </c>
      <c r="AS77" s="526">
        <v>82.08</v>
      </c>
      <c r="AT77" s="526">
        <v>80.34</v>
      </c>
      <c r="AU77" s="526">
        <v>23.94</v>
      </c>
      <c r="AV77" s="526">
        <v>106.02</v>
      </c>
      <c r="AW77" s="522">
        <v>14</v>
      </c>
      <c r="AX77" s="526">
        <v>82.64</v>
      </c>
      <c r="AY77" s="526">
        <v>81.95</v>
      </c>
      <c r="AZ77" s="526">
        <v>6.72</v>
      </c>
      <c r="BA77" s="526">
        <v>88.35</v>
      </c>
      <c r="BB77" s="522">
        <v>2855</v>
      </c>
      <c r="BC77" s="526">
        <v>94.82</v>
      </c>
      <c r="BD77" s="526">
        <v>94.23</v>
      </c>
      <c r="BE77" s="526">
        <v>4.51</v>
      </c>
      <c r="BF77" s="526">
        <v>98.53</v>
      </c>
      <c r="BG77" s="522">
        <v>7656</v>
      </c>
      <c r="BH77" s="526">
        <v>104.38</v>
      </c>
      <c r="BI77" s="526">
        <v>104.43</v>
      </c>
      <c r="BJ77" s="526">
        <v>1.54</v>
      </c>
      <c r="BK77" s="526">
        <v>105.56</v>
      </c>
      <c r="BL77" s="522">
        <v>7128</v>
      </c>
      <c r="BM77" s="526">
        <v>114.51</v>
      </c>
      <c r="BN77" s="526">
        <v>114.61</v>
      </c>
      <c r="BO77" s="526">
        <v>1.47</v>
      </c>
      <c r="BP77" s="526">
        <v>115.64</v>
      </c>
      <c r="BQ77" s="522">
        <v>389</v>
      </c>
      <c r="BR77" s="526">
        <v>121.46</v>
      </c>
      <c r="BS77" s="526">
        <v>123.52</v>
      </c>
      <c r="BT77" s="526">
        <v>1.1299999999999999</v>
      </c>
      <c r="BU77" s="526">
        <v>122.35</v>
      </c>
      <c r="BV77" s="522">
        <v>14</v>
      </c>
      <c r="BW77" s="526">
        <v>132.79</v>
      </c>
      <c r="BX77" s="526">
        <v>128.84</v>
      </c>
      <c r="BY77" s="526">
        <v>1.23</v>
      </c>
      <c r="BZ77" s="526">
        <v>133.4</v>
      </c>
      <c r="CA77" s="522">
        <v>2</v>
      </c>
      <c r="CB77" s="526">
        <v>97.11</v>
      </c>
      <c r="CC77" s="526">
        <v>96.77</v>
      </c>
      <c r="CD77" s="526">
        <v>3.72</v>
      </c>
      <c r="CE77" s="526">
        <v>100.09</v>
      </c>
      <c r="CF77" s="522">
        <v>18058</v>
      </c>
      <c r="CG77" s="526">
        <v>97.11</v>
      </c>
      <c r="CH77" s="526">
        <v>96.77</v>
      </c>
      <c r="CI77" s="526">
        <v>3.72</v>
      </c>
      <c r="CJ77" s="526">
        <v>100.09</v>
      </c>
      <c r="CK77" s="522">
        <v>18058</v>
      </c>
      <c r="CL77" s="526">
        <v>92.78</v>
      </c>
      <c r="CM77" s="526">
        <v>77.239999999999995</v>
      </c>
      <c r="CN77" s="526">
        <v>116.75</v>
      </c>
      <c r="CO77" s="526">
        <v>193.92</v>
      </c>
      <c r="CP77" s="522">
        <v>172</v>
      </c>
      <c r="CQ77" s="526">
        <v>79.17</v>
      </c>
      <c r="CR77" s="526">
        <v>74.459999999999994</v>
      </c>
      <c r="CS77" s="526">
        <v>40.17</v>
      </c>
      <c r="CT77" s="526">
        <v>117.37</v>
      </c>
      <c r="CU77" s="522">
        <v>163</v>
      </c>
      <c r="CV77" s="526">
        <v>104.78</v>
      </c>
      <c r="CW77" s="526">
        <v>85.71</v>
      </c>
      <c r="CX77" s="526">
        <v>61.22</v>
      </c>
      <c r="CY77" s="526">
        <v>163.9</v>
      </c>
      <c r="CZ77" s="522">
        <v>757</v>
      </c>
      <c r="DA77" s="526">
        <v>107.91</v>
      </c>
      <c r="DB77" s="526">
        <v>104.56</v>
      </c>
      <c r="DC77" s="526">
        <v>40.200000000000003</v>
      </c>
      <c r="DD77" s="526">
        <v>147.69999999999999</v>
      </c>
      <c r="DE77" s="522">
        <v>296</v>
      </c>
      <c r="DF77" s="526">
        <v>113.39</v>
      </c>
      <c r="DG77" s="526">
        <v>112.2</v>
      </c>
      <c r="DH77" s="526">
        <v>35.49</v>
      </c>
      <c r="DI77" s="526">
        <v>146.52000000000001</v>
      </c>
      <c r="DJ77" s="522">
        <v>15</v>
      </c>
      <c r="DK77" s="526">
        <v>169.79</v>
      </c>
      <c r="DL77" s="526">
        <v>154.36000000000001</v>
      </c>
      <c r="DM77" s="526">
        <v>3.16</v>
      </c>
      <c r="DN77" s="526">
        <v>172.95</v>
      </c>
      <c r="DO77" s="522">
        <v>1</v>
      </c>
      <c r="DP77" s="526">
        <v>102.3</v>
      </c>
      <c r="DQ77" s="526">
        <v>89.31</v>
      </c>
      <c r="DR77" s="526">
        <v>52.98</v>
      </c>
      <c r="DS77" s="526">
        <v>153.63999999999999</v>
      </c>
      <c r="DT77" s="522">
        <v>1232</v>
      </c>
      <c r="DU77" s="526">
        <v>101.13</v>
      </c>
      <c r="DV77" s="526">
        <v>87.89</v>
      </c>
      <c r="DW77" s="526">
        <v>60.05</v>
      </c>
      <c r="DX77" s="526">
        <v>158.58000000000001</v>
      </c>
      <c r="DY77" s="522">
        <v>1404</v>
      </c>
      <c r="DZ77" s="526">
        <v>0</v>
      </c>
      <c r="EA77" s="526">
        <v>0</v>
      </c>
      <c r="EB77" s="526">
        <v>0</v>
      </c>
      <c r="EC77" s="522">
        <v>0</v>
      </c>
      <c r="ED77" s="526">
        <v>89.96</v>
      </c>
      <c r="EE77" s="522">
        <v>165</v>
      </c>
      <c r="EF77" s="526">
        <v>103.8</v>
      </c>
      <c r="EG77" s="522">
        <v>1112</v>
      </c>
      <c r="EH77" s="526">
        <v>115.96</v>
      </c>
      <c r="EI77" s="522">
        <v>1082</v>
      </c>
      <c r="EJ77" s="526">
        <v>131.68</v>
      </c>
      <c r="EK77" s="522">
        <v>73</v>
      </c>
      <c r="EL77" s="526">
        <v>0</v>
      </c>
      <c r="EM77" s="522">
        <v>0</v>
      </c>
      <c r="EN77" s="526">
        <v>160.75</v>
      </c>
      <c r="EO77" s="522">
        <v>1</v>
      </c>
      <c r="EP77" s="526">
        <v>109.13</v>
      </c>
      <c r="EQ77" s="522">
        <v>2433</v>
      </c>
      <c r="ER77" s="526">
        <v>109.13</v>
      </c>
      <c r="ES77" s="522">
        <v>2433</v>
      </c>
      <c r="ET77" s="526">
        <v>0</v>
      </c>
      <c r="EU77" s="526">
        <v>0</v>
      </c>
      <c r="EV77" s="526">
        <v>0</v>
      </c>
      <c r="EW77" s="522">
        <v>0</v>
      </c>
      <c r="EX77" s="526">
        <v>141.09</v>
      </c>
      <c r="EY77" s="522">
        <v>42</v>
      </c>
      <c r="EZ77" s="526">
        <v>196.56</v>
      </c>
      <c r="FA77" s="522">
        <v>10</v>
      </c>
      <c r="FB77" s="526">
        <v>304.70999999999998</v>
      </c>
      <c r="FC77" s="522">
        <v>1</v>
      </c>
      <c r="FD77" s="526">
        <v>0</v>
      </c>
      <c r="FE77" s="522">
        <v>0</v>
      </c>
      <c r="FF77" s="526">
        <v>154.63999999999999</v>
      </c>
      <c r="FG77" s="522">
        <v>53</v>
      </c>
      <c r="FH77" s="526">
        <v>154.63999999999999</v>
      </c>
      <c r="FI77" s="522">
        <v>53</v>
      </c>
      <c r="FJ77" s="522">
        <v>0</v>
      </c>
      <c r="FK77" s="522">
        <v>47</v>
      </c>
      <c r="FL77" s="522">
        <v>30</v>
      </c>
      <c r="FM77" s="522">
        <v>0</v>
      </c>
      <c r="FN77" s="522">
        <v>14</v>
      </c>
      <c r="FO77" s="522">
        <v>3</v>
      </c>
      <c r="FP77" s="522">
        <v>49</v>
      </c>
      <c r="FQ77" s="522">
        <v>16</v>
      </c>
      <c r="FR77" s="522">
        <v>7</v>
      </c>
    </row>
    <row r="78" spans="1:174" x14ac:dyDescent="0.25">
      <c r="A78" s="523" t="s">
        <v>413</v>
      </c>
      <c r="B78" s="523" t="s">
        <v>414</v>
      </c>
      <c r="C78" s="523" t="s">
        <v>283</v>
      </c>
      <c r="D78" s="522">
        <v>3451</v>
      </c>
      <c r="E78" s="522">
        <v>3343</v>
      </c>
      <c r="F78" s="522">
        <v>0</v>
      </c>
      <c r="G78" s="522">
        <v>0</v>
      </c>
      <c r="H78" s="522">
        <v>253</v>
      </c>
      <c r="I78" s="522">
        <v>303</v>
      </c>
      <c r="J78" s="522">
        <v>267</v>
      </c>
      <c r="K78" s="522">
        <v>179</v>
      </c>
      <c r="L78" s="522">
        <v>487</v>
      </c>
      <c r="M78" s="522">
        <v>3</v>
      </c>
      <c r="N78" s="522">
        <v>4458</v>
      </c>
      <c r="O78" s="522">
        <v>3828</v>
      </c>
      <c r="P78" s="522">
        <v>3971</v>
      </c>
      <c r="Q78" s="522">
        <v>9</v>
      </c>
      <c r="R78" s="523">
        <v>11</v>
      </c>
      <c r="S78" s="523">
        <v>24</v>
      </c>
      <c r="T78" s="523">
        <v>161</v>
      </c>
      <c r="U78" s="523">
        <v>4297</v>
      </c>
      <c r="V78" s="522">
        <v>3403</v>
      </c>
      <c r="W78" s="522">
        <v>64</v>
      </c>
      <c r="X78" s="522">
        <v>24</v>
      </c>
      <c r="Y78" s="522">
        <v>88</v>
      </c>
      <c r="Z78" s="524">
        <v>133.38</v>
      </c>
      <c r="AA78" s="524">
        <v>134.41999999999999</v>
      </c>
      <c r="AB78" s="524">
        <v>11.11</v>
      </c>
      <c r="AC78" s="524">
        <v>142.41</v>
      </c>
      <c r="AD78" s="524">
        <v>1953</v>
      </c>
      <c r="AE78" s="525">
        <v>137.41999999999999</v>
      </c>
      <c r="AF78" s="525">
        <v>116.33</v>
      </c>
      <c r="AG78" s="525">
        <v>41.24</v>
      </c>
      <c r="AH78" s="525">
        <v>178.34</v>
      </c>
      <c r="AI78" s="525">
        <v>385</v>
      </c>
      <c r="AJ78" s="525">
        <v>207.51</v>
      </c>
      <c r="AK78" s="525">
        <v>1197</v>
      </c>
      <c r="AL78" s="525">
        <v>185.71</v>
      </c>
      <c r="AM78" s="525">
        <v>22</v>
      </c>
      <c r="AN78" s="526">
        <v>0</v>
      </c>
      <c r="AO78" s="526">
        <v>0</v>
      </c>
      <c r="AP78" s="526">
        <v>0</v>
      </c>
      <c r="AQ78" s="526">
        <v>0</v>
      </c>
      <c r="AR78" s="522">
        <v>0</v>
      </c>
      <c r="AS78" s="526">
        <v>91.36</v>
      </c>
      <c r="AT78" s="526">
        <v>90.87</v>
      </c>
      <c r="AU78" s="526">
        <v>21.33</v>
      </c>
      <c r="AV78" s="526">
        <v>112.69</v>
      </c>
      <c r="AW78" s="522">
        <v>48</v>
      </c>
      <c r="AX78" s="526">
        <v>112.66</v>
      </c>
      <c r="AY78" s="526">
        <v>112.35</v>
      </c>
      <c r="AZ78" s="526">
        <v>16.059999999999999</v>
      </c>
      <c r="BA78" s="526">
        <v>128</v>
      </c>
      <c r="BB78" s="522">
        <v>379</v>
      </c>
      <c r="BC78" s="526">
        <v>131.75</v>
      </c>
      <c r="BD78" s="526">
        <v>131.97</v>
      </c>
      <c r="BE78" s="526">
        <v>12.63</v>
      </c>
      <c r="BF78" s="526">
        <v>142.88</v>
      </c>
      <c r="BG78" s="522">
        <v>790</v>
      </c>
      <c r="BH78" s="526">
        <v>146.72</v>
      </c>
      <c r="BI78" s="526">
        <v>149.46</v>
      </c>
      <c r="BJ78" s="526">
        <v>4.3099999999999996</v>
      </c>
      <c r="BK78" s="526">
        <v>149.52000000000001</v>
      </c>
      <c r="BL78" s="522">
        <v>611</v>
      </c>
      <c r="BM78" s="526">
        <v>156.88</v>
      </c>
      <c r="BN78" s="526">
        <v>165.7</v>
      </c>
      <c r="BO78" s="526">
        <v>3.59</v>
      </c>
      <c r="BP78" s="526">
        <v>159.34</v>
      </c>
      <c r="BQ78" s="522">
        <v>121</v>
      </c>
      <c r="BR78" s="526">
        <v>174.48</v>
      </c>
      <c r="BS78" s="526">
        <v>176.36</v>
      </c>
      <c r="BT78" s="526">
        <v>1.63</v>
      </c>
      <c r="BU78" s="526">
        <v>174.89</v>
      </c>
      <c r="BV78" s="522">
        <v>4</v>
      </c>
      <c r="BW78" s="526">
        <v>0</v>
      </c>
      <c r="BX78" s="526">
        <v>0</v>
      </c>
      <c r="BY78" s="526">
        <v>0</v>
      </c>
      <c r="BZ78" s="526">
        <v>0</v>
      </c>
      <c r="CA78" s="522">
        <v>0</v>
      </c>
      <c r="CB78" s="526">
        <v>133.38</v>
      </c>
      <c r="CC78" s="526">
        <v>134.41999999999999</v>
      </c>
      <c r="CD78" s="526">
        <v>11.11</v>
      </c>
      <c r="CE78" s="526">
        <v>142.41</v>
      </c>
      <c r="CF78" s="522">
        <v>1953</v>
      </c>
      <c r="CG78" s="526">
        <v>133.38</v>
      </c>
      <c r="CH78" s="526">
        <v>134.41999999999999</v>
      </c>
      <c r="CI78" s="526">
        <v>11.11</v>
      </c>
      <c r="CJ78" s="526">
        <v>142.41</v>
      </c>
      <c r="CK78" s="522">
        <v>1953</v>
      </c>
      <c r="CL78" s="526">
        <v>128.59</v>
      </c>
      <c r="CM78" s="526">
        <v>94.36</v>
      </c>
      <c r="CN78" s="526">
        <v>58.28</v>
      </c>
      <c r="CO78" s="526">
        <v>186.08</v>
      </c>
      <c r="CP78" s="522">
        <v>74</v>
      </c>
      <c r="CQ78" s="526">
        <v>111.32</v>
      </c>
      <c r="CR78" s="526">
        <v>103.99</v>
      </c>
      <c r="CS78" s="526">
        <v>63.59</v>
      </c>
      <c r="CT78" s="526">
        <v>174.91</v>
      </c>
      <c r="CU78" s="522">
        <v>4</v>
      </c>
      <c r="CV78" s="526">
        <v>139.41</v>
      </c>
      <c r="CW78" s="526">
        <v>118.27</v>
      </c>
      <c r="CX78" s="526">
        <v>36.72</v>
      </c>
      <c r="CY78" s="526">
        <v>176.13</v>
      </c>
      <c r="CZ78" s="522">
        <v>271</v>
      </c>
      <c r="DA78" s="526">
        <v>142.93</v>
      </c>
      <c r="DB78" s="526">
        <v>130.12</v>
      </c>
      <c r="DC78" s="526">
        <v>38.25</v>
      </c>
      <c r="DD78" s="526">
        <v>181.19</v>
      </c>
      <c r="DE78" s="522">
        <v>33</v>
      </c>
      <c r="DF78" s="526">
        <v>144.24</v>
      </c>
      <c r="DG78" s="526">
        <v>138.02000000000001</v>
      </c>
      <c r="DH78" s="526">
        <v>30.5</v>
      </c>
      <c r="DI78" s="526">
        <v>159.49</v>
      </c>
      <c r="DJ78" s="522">
        <v>2</v>
      </c>
      <c r="DK78" s="526">
        <v>160.25</v>
      </c>
      <c r="DL78" s="526">
        <v>170.12</v>
      </c>
      <c r="DM78" s="526">
        <v>0</v>
      </c>
      <c r="DN78" s="526">
        <v>160.25</v>
      </c>
      <c r="DO78" s="522">
        <v>1</v>
      </c>
      <c r="DP78" s="526">
        <v>139.52000000000001</v>
      </c>
      <c r="DQ78" s="526">
        <v>119.65</v>
      </c>
      <c r="DR78" s="526">
        <v>37.21</v>
      </c>
      <c r="DS78" s="526">
        <v>176.5</v>
      </c>
      <c r="DT78" s="522">
        <v>311</v>
      </c>
      <c r="DU78" s="526">
        <v>137.41999999999999</v>
      </c>
      <c r="DV78" s="526">
        <v>116.33</v>
      </c>
      <c r="DW78" s="526">
        <v>41.24</v>
      </c>
      <c r="DX78" s="526">
        <v>178.34</v>
      </c>
      <c r="DY78" s="522">
        <v>385</v>
      </c>
      <c r="DZ78" s="526">
        <v>0</v>
      </c>
      <c r="EA78" s="526">
        <v>0</v>
      </c>
      <c r="EB78" s="526">
        <v>150.72999999999999</v>
      </c>
      <c r="EC78" s="522">
        <v>8</v>
      </c>
      <c r="ED78" s="526">
        <v>173.47</v>
      </c>
      <c r="EE78" s="522">
        <v>372</v>
      </c>
      <c r="EF78" s="526">
        <v>212.65</v>
      </c>
      <c r="EG78" s="522">
        <v>642</v>
      </c>
      <c r="EH78" s="526">
        <v>260.86</v>
      </c>
      <c r="EI78" s="522">
        <v>160</v>
      </c>
      <c r="EJ78" s="526">
        <v>292.83999999999997</v>
      </c>
      <c r="EK78" s="522">
        <v>15</v>
      </c>
      <c r="EL78" s="526">
        <v>0</v>
      </c>
      <c r="EM78" s="522">
        <v>0</v>
      </c>
      <c r="EN78" s="526">
        <v>0</v>
      </c>
      <c r="EO78" s="522">
        <v>0</v>
      </c>
      <c r="EP78" s="526">
        <v>207.51</v>
      </c>
      <c r="EQ78" s="522">
        <v>1197</v>
      </c>
      <c r="ER78" s="526">
        <v>207.51</v>
      </c>
      <c r="ES78" s="522">
        <v>1197</v>
      </c>
      <c r="ET78" s="526">
        <v>0</v>
      </c>
      <c r="EU78" s="526">
        <v>0</v>
      </c>
      <c r="EV78" s="526">
        <v>0</v>
      </c>
      <c r="EW78" s="522">
        <v>0</v>
      </c>
      <c r="EX78" s="526">
        <v>185.71</v>
      </c>
      <c r="EY78" s="522">
        <v>22</v>
      </c>
      <c r="EZ78" s="526">
        <v>0</v>
      </c>
      <c r="FA78" s="522">
        <v>0</v>
      </c>
      <c r="FB78" s="526">
        <v>0</v>
      </c>
      <c r="FC78" s="522">
        <v>0</v>
      </c>
      <c r="FD78" s="526">
        <v>0</v>
      </c>
      <c r="FE78" s="522">
        <v>0</v>
      </c>
      <c r="FF78" s="526">
        <v>185.71</v>
      </c>
      <c r="FG78" s="522">
        <v>22</v>
      </c>
      <c r="FH78" s="526">
        <v>185.71</v>
      </c>
      <c r="FI78" s="522">
        <v>22</v>
      </c>
      <c r="FJ78" s="522">
        <v>20</v>
      </c>
      <c r="FK78" s="522">
        <v>0</v>
      </c>
      <c r="FL78" s="522">
        <v>0</v>
      </c>
      <c r="FM78" s="522">
        <v>0</v>
      </c>
      <c r="FN78" s="522">
        <v>0</v>
      </c>
      <c r="FO78" s="522">
        <v>0</v>
      </c>
      <c r="FP78" s="522">
        <v>3</v>
      </c>
      <c r="FQ78" s="522">
        <v>20</v>
      </c>
      <c r="FR78" s="522">
        <v>6</v>
      </c>
    </row>
    <row r="79" spans="1:174" x14ac:dyDescent="0.25">
      <c r="A79" s="523" t="s">
        <v>415</v>
      </c>
      <c r="B79" s="523" t="s">
        <v>416</v>
      </c>
      <c r="C79" s="523" t="s">
        <v>285</v>
      </c>
      <c r="D79" s="522">
        <v>2233</v>
      </c>
      <c r="E79" s="522">
        <v>2187</v>
      </c>
      <c r="F79" s="522">
        <v>4</v>
      </c>
      <c r="G79" s="522">
        <v>3</v>
      </c>
      <c r="H79" s="522">
        <v>313</v>
      </c>
      <c r="I79" s="522">
        <v>163</v>
      </c>
      <c r="J79" s="522">
        <v>569</v>
      </c>
      <c r="K79" s="522">
        <v>480</v>
      </c>
      <c r="L79" s="522">
        <v>172</v>
      </c>
      <c r="M79" s="522">
        <v>0</v>
      </c>
      <c r="N79" s="522">
        <v>3291</v>
      </c>
      <c r="O79" s="522">
        <v>2833</v>
      </c>
      <c r="P79" s="522">
        <v>3119</v>
      </c>
      <c r="Q79" s="522">
        <v>338</v>
      </c>
      <c r="R79" s="523">
        <v>12</v>
      </c>
      <c r="S79" s="523">
        <v>24</v>
      </c>
      <c r="T79" s="523">
        <v>245</v>
      </c>
      <c r="U79" s="523">
        <v>3046</v>
      </c>
      <c r="V79" s="522">
        <v>2187</v>
      </c>
      <c r="W79" s="522">
        <v>13</v>
      </c>
      <c r="X79" s="522">
        <v>5</v>
      </c>
      <c r="Y79" s="522">
        <v>18</v>
      </c>
      <c r="Z79" s="524">
        <v>89.98</v>
      </c>
      <c r="AA79" s="524">
        <v>90.08</v>
      </c>
      <c r="AB79" s="524">
        <v>5.24</v>
      </c>
      <c r="AC79" s="524">
        <v>93.45</v>
      </c>
      <c r="AD79" s="524">
        <v>1287</v>
      </c>
      <c r="AE79" s="525">
        <v>108.76</v>
      </c>
      <c r="AF79" s="525">
        <v>92</v>
      </c>
      <c r="AG79" s="525">
        <v>67.459999999999994</v>
      </c>
      <c r="AH79" s="525">
        <v>174.53</v>
      </c>
      <c r="AI79" s="525">
        <v>638</v>
      </c>
      <c r="AJ79" s="525">
        <v>113.86</v>
      </c>
      <c r="AK79" s="525">
        <v>766</v>
      </c>
      <c r="AL79" s="525">
        <v>122.65</v>
      </c>
      <c r="AM79" s="525">
        <v>48</v>
      </c>
      <c r="AN79" s="526">
        <v>105.22</v>
      </c>
      <c r="AO79" s="526">
        <v>0</v>
      </c>
      <c r="AP79" s="526">
        <v>0</v>
      </c>
      <c r="AQ79" s="526">
        <v>105.22</v>
      </c>
      <c r="AR79" s="522">
        <v>1</v>
      </c>
      <c r="AS79" s="526">
        <v>0</v>
      </c>
      <c r="AT79" s="526">
        <v>0</v>
      </c>
      <c r="AU79" s="526">
        <v>0</v>
      </c>
      <c r="AV79" s="526">
        <v>0</v>
      </c>
      <c r="AW79" s="522">
        <v>0</v>
      </c>
      <c r="AX79" s="526">
        <v>76.5</v>
      </c>
      <c r="AY79" s="526">
        <v>76.09</v>
      </c>
      <c r="AZ79" s="526">
        <v>5.91</v>
      </c>
      <c r="BA79" s="526">
        <v>82.18</v>
      </c>
      <c r="BB79" s="522">
        <v>359</v>
      </c>
      <c r="BC79" s="526">
        <v>90.23</v>
      </c>
      <c r="BD79" s="526">
        <v>89.28</v>
      </c>
      <c r="BE79" s="526">
        <v>5.76</v>
      </c>
      <c r="BF79" s="526">
        <v>94.71</v>
      </c>
      <c r="BG79" s="522">
        <v>353</v>
      </c>
      <c r="BH79" s="526">
        <v>96.53</v>
      </c>
      <c r="BI79" s="526">
        <v>97.7</v>
      </c>
      <c r="BJ79" s="526">
        <v>3.55</v>
      </c>
      <c r="BK79" s="526">
        <v>97.98</v>
      </c>
      <c r="BL79" s="522">
        <v>527</v>
      </c>
      <c r="BM79" s="526">
        <v>117.31</v>
      </c>
      <c r="BN79" s="526">
        <v>117.88</v>
      </c>
      <c r="BO79" s="526">
        <v>4.54</v>
      </c>
      <c r="BP79" s="526">
        <v>119.14</v>
      </c>
      <c r="BQ79" s="522">
        <v>47</v>
      </c>
      <c r="BR79" s="526">
        <v>0</v>
      </c>
      <c r="BS79" s="526">
        <v>0</v>
      </c>
      <c r="BT79" s="526">
        <v>0</v>
      </c>
      <c r="BU79" s="526">
        <v>0</v>
      </c>
      <c r="BV79" s="522">
        <v>0</v>
      </c>
      <c r="BW79" s="526">
        <v>0</v>
      </c>
      <c r="BX79" s="526">
        <v>0</v>
      </c>
      <c r="BY79" s="526">
        <v>0</v>
      </c>
      <c r="BZ79" s="526">
        <v>0</v>
      </c>
      <c r="CA79" s="522">
        <v>0</v>
      </c>
      <c r="CB79" s="526">
        <v>89.97</v>
      </c>
      <c r="CC79" s="526">
        <v>90.08</v>
      </c>
      <c r="CD79" s="526">
        <v>5.24</v>
      </c>
      <c r="CE79" s="526">
        <v>93.45</v>
      </c>
      <c r="CF79" s="522">
        <v>1286</v>
      </c>
      <c r="CG79" s="526">
        <v>89.98</v>
      </c>
      <c r="CH79" s="526">
        <v>90.08</v>
      </c>
      <c r="CI79" s="526">
        <v>5.24</v>
      </c>
      <c r="CJ79" s="526">
        <v>93.45</v>
      </c>
      <c r="CK79" s="522">
        <v>1287</v>
      </c>
      <c r="CL79" s="526">
        <v>140.41</v>
      </c>
      <c r="CM79" s="526">
        <v>85.66</v>
      </c>
      <c r="CN79" s="526">
        <v>123.65</v>
      </c>
      <c r="CO79" s="526">
        <v>264.05</v>
      </c>
      <c r="CP79" s="522">
        <v>100</v>
      </c>
      <c r="CQ79" s="526">
        <v>75.72</v>
      </c>
      <c r="CR79" s="526">
        <v>72.05</v>
      </c>
      <c r="CS79" s="526">
        <v>110.51</v>
      </c>
      <c r="CT79" s="526">
        <v>186.23</v>
      </c>
      <c r="CU79" s="522">
        <v>48</v>
      </c>
      <c r="CV79" s="526">
        <v>111.45</v>
      </c>
      <c r="CW79" s="526">
        <v>94.12</v>
      </c>
      <c r="CX79" s="526">
        <v>66.59</v>
      </c>
      <c r="CY79" s="526">
        <v>178.04</v>
      </c>
      <c r="CZ79" s="522">
        <v>297</v>
      </c>
      <c r="DA79" s="526">
        <v>96.02</v>
      </c>
      <c r="DB79" s="526">
        <v>95.5</v>
      </c>
      <c r="DC79" s="526">
        <v>24.7</v>
      </c>
      <c r="DD79" s="526">
        <v>118.74</v>
      </c>
      <c r="DE79" s="522">
        <v>187</v>
      </c>
      <c r="DF79" s="526">
        <v>109.82</v>
      </c>
      <c r="DG79" s="526">
        <v>106.36</v>
      </c>
      <c r="DH79" s="526">
        <v>53.16</v>
      </c>
      <c r="DI79" s="526">
        <v>154.12</v>
      </c>
      <c r="DJ79" s="522">
        <v>6</v>
      </c>
      <c r="DK79" s="526">
        <v>0</v>
      </c>
      <c r="DL79" s="526">
        <v>0</v>
      </c>
      <c r="DM79" s="526">
        <v>0</v>
      </c>
      <c r="DN79" s="526">
        <v>0</v>
      </c>
      <c r="DO79" s="522">
        <v>0</v>
      </c>
      <c r="DP79" s="526">
        <v>102.88</v>
      </c>
      <c r="DQ79" s="526">
        <v>92.7</v>
      </c>
      <c r="DR79" s="526">
        <v>56.7</v>
      </c>
      <c r="DS79" s="526">
        <v>157.88999999999999</v>
      </c>
      <c r="DT79" s="522">
        <v>538</v>
      </c>
      <c r="DU79" s="526">
        <v>108.76</v>
      </c>
      <c r="DV79" s="526">
        <v>92</v>
      </c>
      <c r="DW79" s="526">
        <v>67.459999999999994</v>
      </c>
      <c r="DX79" s="526">
        <v>174.53</v>
      </c>
      <c r="DY79" s="522">
        <v>638</v>
      </c>
      <c r="DZ79" s="526">
        <v>97.91</v>
      </c>
      <c r="EA79" s="526">
        <v>3</v>
      </c>
      <c r="EB79" s="526">
        <v>0</v>
      </c>
      <c r="EC79" s="522">
        <v>0</v>
      </c>
      <c r="ED79" s="526">
        <v>98.8</v>
      </c>
      <c r="EE79" s="522">
        <v>100</v>
      </c>
      <c r="EF79" s="526">
        <v>111.19</v>
      </c>
      <c r="EG79" s="522">
        <v>423</v>
      </c>
      <c r="EH79" s="526">
        <v>123.88</v>
      </c>
      <c r="EI79" s="522">
        <v>214</v>
      </c>
      <c r="EJ79" s="526">
        <v>134.68</v>
      </c>
      <c r="EK79" s="522">
        <v>26</v>
      </c>
      <c r="EL79" s="526">
        <v>0</v>
      </c>
      <c r="EM79" s="522">
        <v>0</v>
      </c>
      <c r="EN79" s="526">
        <v>0</v>
      </c>
      <c r="EO79" s="522">
        <v>0</v>
      </c>
      <c r="EP79" s="526">
        <v>113.92</v>
      </c>
      <c r="EQ79" s="522">
        <v>763</v>
      </c>
      <c r="ER79" s="526">
        <v>113.86</v>
      </c>
      <c r="ES79" s="522">
        <v>766</v>
      </c>
      <c r="ET79" s="526">
        <v>0</v>
      </c>
      <c r="EU79" s="526">
        <v>0</v>
      </c>
      <c r="EV79" s="526">
        <v>0</v>
      </c>
      <c r="EW79" s="522">
        <v>0</v>
      </c>
      <c r="EX79" s="526">
        <v>0</v>
      </c>
      <c r="EY79" s="522">
        <v>0</v>
      </c>
      <c r="EZ79" s="526">
        <v>122.65</v>
      </c>
      <c r="FA79" s="522">
        <v>48</v>
      </c>
      <c r="FB79" s="526">
        <v>0</v>
      </c>
      <c r="FC79" s="522">
        <v>0</v>
      </c>
      <c r="FD79" s="526">
        <v>0</v>
      </c>
      <c r="FE79" s="522">
        <v>0</v>
      </c>
      <c r="FF79" s="526">
        <v>122.65</v>
      </c>
      <c r="FG79" s="522">
        <v>48</v>
      </c>
      <c r="FH79" s="526">
        <v>122.65</v>
      </c>
      <c r="FI79" s="522">
        <v>48</v>
      </c>
      <c r="FJ79" s="522">
        <v>1</v>
      </c>
      <c r="FK79" s="522">
        <v>0</v>
      </c>
      <c r="FL79" s="522">
        <v>0</v>
      </c>
      <c r="FM79" s="522">
        <v>0</v>
      </c>
      <c r="FN79" s="522">
        <v>0</v>
      </c>
      <c r="FO79" s="522">
        <v>0</v>
      </c>
      <c r="FP79" s="522">
        <v>3</v>
      </c>
      <c r="FQ79" s="522">
        <v>29</v>
      </c>
      <c r="FR79" s="522">
        <v>4</v>
      </c>
    </row>
    <row r="80" spans="1:174" x14ac:dyDescent="0.25">
      <c r="A80" s="523" t="s">
        <v>417</v>
      </c>
      <c r="B80" s="523" t="s">
        <v>418</v>
      </c>
      <c r="C80" s="523" t="s">
        <v>2</v>
      </c>
      <c r="D80" s="522">
        <v>2010</v>
      </c>
      <c r="E80" s="522">
        <v>1531</v>
      </c>
      <c r="F80" s="522">
        <v>12</v>
      </c>
      <c r="G80" s="522">
        <v>12</v>
      </c>
      <c r="H80" s="522">
        <v>146</v>
      </c>
      <c r="I80" s="522">
        <v>74</v>
      </c>
      <c r="J80" s="522">
        <v>107</v>
      </c>
      <c r="K80" s="522">
        <v>111</v>
      </c>
      <c r="L80" s="522">
        <v>1474</v>
      </c>
      <c r="M80" s="522">
        <v>69</v>
      </c>
      <c r="N80" s="522">
        <v>3749</v>
      </c>
      <c r="O80" s="522">
        <v>1797</v>
      </c>
      <c r="P80" s="522">
        <v>2275</v>
      </c>
      <c r="Q80" s="522">
        <v>11</v>
      </c>
      <c r="R80" s="523">
        <v>5</v>
      </c>
      <c r="S80" s="523">
        <v>23</v>
      </c>
      <c r="T80" s="523">
        <v>490</v>
      </c>
      <c r="U80" s="523">
        <v>3259</v>
      </c>
      <c r="V80" s="522">
        <v>1631</v>
      </c>
      <c r="W80" s="522">
        <v>13</v>
      </c>
      <c r="X80" s="522">
        <v>4</v>
      </c>
      <c r="Y80" s="522">
        <v>17</v>
      </c>
      <c r="Z80" s="524">
        <v>123.5</v>
      </c>
      <c r="AA80" s="524">
        <v>123.35</v>
      </c>
      <c r="AB80" s="524">
        <v>9.2100000000000009</v>
      </c>
      <c r="AC80" s="524">
        <v>132.04</v>
      </c>
      <c r="AD80" s="524">
        <v>858</v>
      </c>
      <c r="AE80" s="525">
        <v>156.41999999999999</v>
      </c>
      <c r="AF80" s="525">
        <v>97.84</v>
      </c>
      <c r="AG80" s="525">
        <v>52.65</v>
      </c>
      <c r="AH80" s="525">
        <v>205.74</v>
      </c>
      <c r="AI80" s="525">
        <v>142</v>
      </c>
      <c r="AJ80" s="525">
        <v>191.8</v>
      </c>
      <c r="AK80" s="525">
        <v>722</v>
      </c>
      <c r="AL80" s="525">
        <v>0</v>
      </c>
      <c r="AM80" s="525">
        <v>0</v>
      </c>
      <c r="AN80" s="526">
        <v>0</v>
      </c>
      <c r="AO80" s="526">
        <v>0</v>
      </c>
      <c r="AP80" s="526">
        <v>0</v>
      </c>
      <c r="AQ80" s="526">
        <v>0</v>
      </c>
      <c r="AR80" s="522">
        <v>0</v>
      </c>
      <c r="AS80" s="526">
        <v>0</v>
      </c>
      <c r="AT80" s="526">
        <v>0</v>
      </c>
      <c r="AU80" s="526">
        <v>0</v>
      </c>
      <c r="AV80" s="526">
        <v>0</v>
      </c>
      <c r="AW80" s="522">
        <v>0</v>
      </c>
      <c r="AX80" s="526">
        <v>103.02</v>
      </c>
      <c r="AY80" s="526">
        <v>102.72</v>
      </c>
      <c r="AZ80" s="526">
        <v>17.57</v>
      </c>
      <c r="BA80" s="526">
        <v>120.32</v>
      </c>
      <c r="BB80" s="522">
        <v>128</v>
      </c>
      <c r="BC80" s="526">
        <v>120.66</v>
      </c>
      <c r="BD80" s="526">
        <v>120.03</v>
      </c>
      <c r="BE80" s="526">
        <v>9.3800000000000008</v>
      </c>
      <c r="BF80" s="526">
        <v>129.47999999999999</v>
      </c>
      <c r="BG80" s="522">
        <v>416</v>
      </c>
      <c r="BH80" s="526">
        <v>134.19</v>
      </c>
      <c r="BI80" s="526">
        <v>134.49</v>
      </c>
      <c r="BJ80" s="526">
        <v>5.09</v>
      </c>
      <c r="BK80" s="526">
        <v>138.72999999999999</v>
      </c>
      <c r="BL80" s="522">
        <v>282</v>
      </c>
      <c r="BM80" s="526">
        <v>150</v>
      </c>
      <c r="BN80" s="526">
        <v>150.99</v>
      </c>
      <c r="BO80" s="526">
        <v>6.03</v>
      </c>
      <c r="BP80" s="526">
        <v>155.57</v>
      </c>
      <c r="BQ80" s="522">
        <v>26</v>
      </c>
      <c r="BR80" s="526">
        <v>139.47</v>
      </c>
      <c r="BS80" s="526">
        <v>152.09</v>
      </c>
      <c r="BT80" s="526">
        <v>6.03</v>
      </c>
      <c r="BU80" s="526">
        <v>141.88</v>
      </c>
      <c r="BV80" s="522">
        <v>5</v>
      </c>
      <c r="BW80" s="526">
        <v>141.1</v>
      </c>
      <c r="BX80" s="526">
        <v>140.22999999999999</v>
      </c>
      <c r="BY80" s="526">
        <v>8.0500000000000007</v>
      </c>
      <c r="BZ80" s="526">
        <v>149.15</v>
      </c>
      <c r="CA80" s="522">
        <v>1</v>
      </c>
      <c r="CB80" s="526">
        <v>123.5</v>
      </c>
      <c r="CC80" s="526">
        <v>123.35</v>
      </c>
      <c r="CD80" s="526">
        <v>9.2100000000000009</v>
      </c>
      <c r="CE80" s="526">
        <v>132.04</v>
      </c>
      <c r="CF80" s="522">
        <v>858</v>
      </c>
      <c r="CG80" s="526">
        <v>123.5</v>
      </c>
      <c r="CH80" s="526">
        <v>123.35</v>
      </c>
      <c r="CI80" s="526">
        <v>9.2100000000000009</v>
      </c>
      <c r="CJ80" s="526">
        <v>132.04</v>
      </c>
      <c r="CK80" s="522">
        <v>858</v>
      </c>
      <c r="CL80" s="526">
        <v>134.09</v>
      </c>
      <c r="CM80" s="526">
        <v>90.79</v>
      </c>
      <c r="CN80" s="526">
        <v>99.89</v>
      </c>
      <c r="CO80" s="526">
        <v>207.53</v>
      </c>
      <c r="CP80" s="522">
        <v>34</v>
      </c>
      <c r="CQ80" s="526">
        <v>0</v>
      </c>
      <c r="CR80" s="526">
        <v>0</v>
      </c>
      <c r="CS80" s="526">
        <v>0</v>
      </c>
      <c r="CT80" s="526">
        <v>0</v>
      </c>
      <c r="CU80" s="522">
        <v>0</v>
      </c>
      <c r="CV80" s="526">
        <v>138.04</v>
      </c>
      <c r="CW80" s="526">
        <v>100.32</v>
      </c>
      <c r="CX80" s="526">
        <v>36.299999999999997</v>
      </c>
      <c r="CY80" s="526">
        <v>174.34</v>
      </c>
      <c r="CZ80" s="522">
        <v>86</v>
      </c>
      <c r="DA80" s="526">
        <v>262.77999999999997</v>
      </c>
      <c r="DB80" s="526">
        <v>142.55000000000001</v>
      </c>
      <c r="DC80" s="526">
        <v>62.93</v>
      </c>
      <c r="DD80" s="526">
        <v>325.70999999999998</v>
      </c>
      <c r="DE80" s="522">
        <v>22</v>
      </c>
      <c r="DF80" s="526">
        <v>0</v>
      </c>
      <c r="DG80" s="526">
        <v>0</v>
      </c>
      <c r="DH80" s="526">
        <v>0</v>
      </c>
      <c r="DI80" s="526">
        <v>0</v>
      </c>
      <c r="DJ80" s="522">
        <v>0</v>
      </c>
      <c r="DK80" s="526">
        <v>0</v>
      </c>
      <c r="DL80" s="526">
        <v>0</v>
      </c>
      <c r="DM80" s="526">
        <v>0</v>
      </c>
      <c r="DN80" s="526">
        <v>0</v>
      </c>
      <c r="DO80" s="522">
        <v>0</v>
      </c>
      <c r="DP80" s="526">
        <v>163.44999999999999</v>
      </c>
      <c r="DQ80" s="526">
        <v>101.06</v>
      </c>
      <c r="DR80" s="526">
        <v>41.72</v>
      </c>
      <c r="DS80" s="526">
        <v>205.17</v>
      </c>
      <c r="DT80" s="522">
        <v>108</v>
      </c>
      <c r="DU80" s="526">
        <v>156.41999999999999</v>
      </c>
      <c r="DV80" s="526">
        <v>97.84</v>
      </c>
      <c r="DW80" s="526">
        <v>52.65</v>
      </c>
      <c r="DX80" s="526">
        <v>205.74</v>
      </c>
      <c r="DY80" s="522">
        <v>142</v>
      </c>
      <c r="DZ80" s="526">
        <v>0</v>
      </c>
      <c r="EA80" s="526">
        <v>0</v>
      </c>
      <c r="EB80" s="526">
        <v>0</v>
      </c>
      <c r="EC80" s="522">
        <v>0</v>
      </c>
      <c r="ED80" s="526">
        <v>149.46</v>
      </c>
      <c r="EE80" s="522">
        <v>124</v>
      </c>
      <c r="EF80" s="526">
        <v>188.04</v>
      </c>
      <c r="EG80" s="522">
        <v>440</v>
      </c>
      <c r="EH80" s="526">
        <v>218.23</v>
      </c>
      <c r="EI80" s="522">
        <v>128</v>
      </c>
      <c r="EJ80" s="526">
        <v>309.39999999999998</v>
      </c>
      <c r="EK80" s="522">
        <v>30</v>
      </c>
      <c r="EL80" s="526">
        <v>0</v>
      </c>
      <c r="EM80" s="522">
        <v>0</v>
      </c>
      <c r="EN80" s="526">
        <v>0</v>
      </c>
      <c r="EO80" s="522">
        <v>0</v>
      </c>
      <c r="EP80" s="526">
        <v>191.8</v>
      </c>
      <c r="EQ80" s="522">
        <v>722</v>
      </c>
      <c r="ER80" s="526">
        <v>191.8</v>
      </c>
      <c r="ES80" s="522">
        <v>722</v>
      </c>
      <c r="ET80" s="526">
        <v>0</v>
      </c>
      <c r="EU80" s="526">
        <v>0</v>
      </c>
      <c r="EV80" s="526">
        <v>0</v>
      </c>
      <c r="EW80" s="522">
        <v>0</v>
      </c>
      <c r="EX80" s="526">
        <v>0</v>
      </c>
      <c r="EY80" s="522">
        <v>0</v>
      </c>
      <c r="EZ80" s="526">
        <v>0</v>
      </c>
      <c r="FA80" s="522">
        <v>0</v>
      </c>
      <c r="FB80" s="526">
        <v>0</v>
      </c>
      <c r="FC80" s="522">
        <v>0</v>
      </c>
      <c r="FD80" s="526">
        <v>0</v>
      </c>
      <c r="FE80" s="522">
        <v>0</v>
      </c>
      <c r="FF80" s="526">
        <v>0</v>
      </c>
      <c r="FG80" s="522">
        <v>0</v>
      </c>
      <c r="FH80" s="526">
        <v>0</v>
      </c>
      <c r="FI80" s="522">
        <v>0</v>
      </c>
      <c r="FJ80" s="522">
        <v>101</v>
      </c>
      <c r="FK80" s="522">
        <v>0</v>
      </c>
      <c r="FL80" s="522">
        <v>0</v>
      </c>
      <c r="FM80" s="522">
        <v>0</v>
      </c>
      <c r="FN80" s="522">
        <v>0</v>
      </c>
      <c r="FO80" s="522">
        <v>0</v>
      </c>
      <c r="FP80" s="522">
        <v>0</v>
      </c>
      <c r="FQ80" s="522">
        <v>114</v>
      </c>
      <c r="FR80" s="522">
        <v>18</v>
      </c>
    </row>
    <row r="81" spans="1:174" x14ac:dyDescent="0.25">
      <c r="A81" s="523" t="s">
        <v>419</v>
      </c>
      <c r="B81" s="523" t="s">
        <v>420</v>
      </c>
      <c r="C81" s="523" t="s">
        <v>282</v>
      </c>
      <c r="D81" s="522">
        <v>6114</v>
      </c>
      <c r="E81" s="522">
        <v>6138</v>
      </c>
      <c r="F81" s="522">
        <v>102</v>
      </c>
      <c r="G81" s="522">
        <v>0</v>
      </c>
      <c r="H81" s="522">
        <v>562</v>
      </c>
      <c r="I81" s="522">
        <v>252</v>
      </c>
      <c r="J81" s="522">
        <v>1373</v>
      </c>
      <c r="K81" s="522">
        <v>1272</v>
      </c>
      <c r="L81" s="522">
        <v>590</v>
      </c>
      <c r="M81" s="522">
        <v>111</v>
      </c>
      <c r="N81" s="522">
        <v>8741</v>
      </c>
      <c r="O81" s="522">
        <v>7773</v>
      </c>
      <c r="P81" s="522">
        <v>8151</v>
      </c>
      <c r="Q81" s="522">
        <v>5</v>
      </c>
      <c r="R81" s="523">
        <v>12</v>
      </c>
      <c r="S81" s="523">
        <v>26</v>
      </c>
      <c r="T81" s="523">
        <v>593</v>
      </c>
      <c r="U81" s="523">
        <v>8148</v>
      </c>
      <c r="V81" s="522">
        <v>5894</v>
      </c>
      <c r="W81" s="522">
        <v>29</v>
      </c>
      <c r="X81" s="522">
        <v>38</v>
      </c>
      <c r="Y81" s="522">
        <v>67</v>
      </c>
      <c r="Z81" s="524">
        <v>101.94</v>
      </c>
      <c r="AA81" s="524">
        <v>102.97</v>
      </c>
      <c r="AB81" s="524">
        <v>7.58</v>
      </c>
      <c r="AC81" s="524">
        <v>107.55</v>
      </c>
      <c r="AD81" s="524">
        <v>5202</v>
      </c>
      <c r="AE81" s="525">
        <v>102.57</v>
      </c>
      <c r="AF81" s="525">
        <v>93.79</v>
      </c>
      <c r="AG81" s="525">
        <v>65.05</v>
      </c>
      <c r="AH81" s="525">
        <v>166.96</v>
      </c>
      <c r="AI81" s="525">
        <v>1560</v>
      </c>
      <c r="AJ81" s="525">
        <v>125.23</v>
      </c>
      <c r="AK81" s="525">
        <v>761</v>
      </c>
      <c r="AL81" s="525">
        <v>226.12</v>
      </c>
      <c r="AM81" s="525">
        <v>2</v>
      </c>
      <c r="AN81" s="526">
        <v>0</v>
      </c>
      <c r="AO81" s="526">
        <v>0</v>
      </c>
      <c r="AP81" s="526">
        <v>0</v>
      </c>
      <c r="AQ81" s="526">
        <v>0</v>
      </c>
      <c r="AR81" s="522">
        <v>0</v>
      </c>
      <c r="AS81" s="526">
        <v>78.5</v>
      </c>
      <c r="AT81" s="526">
        <v>78.25</v>
      </c>
      <c r="AU81" s="526">
        <v>12.84</v>
      </c>
      <c r="AV81" s="526">
        <v>90.9</v>
      </c>
      <c r="AW81" s="522">
        <v>29</v>
      </c>
      <c r="AX81" s="526">
        <v>87.22</v>
      </c>
      <c r="AY81" s="526">
        <v>88.37</v>
      </c>
      <c r="AZ81" s="526">
        <v>11.02</v>
      </c>
      <c r="BA81" s="526">
        <v>97.54</v>
      </c>
      <c r="BB81" s="522">
        <v>1418</v>
      </c>
      <c r="BC81" s="526">
        <v>101.94</v>
      </c>
      <c r="BD81" s="526">
        <v>102.84</v>
      </c>
      <c r="BE81" s="526">
        <v>7.18</v>
      </c>
      <c r="BF81" s="526">
        <v>106.69</v>
      </c>
      <c r="BG81" s="522">
        <v>2297</v>
      </c>
      <c r="BH81" s="526">
        <v>114.51</v>
      </c>
      <c r="BI81" s="526">
        <v>116.95</v>
      </c>
      <c r="BJ81" s="526">
        <v>3.45</v>
      </c>
      <c r="BK81" s="526">
        <v>116.85</v>
      </c>
      <c r="BL81" s="522">
        <v>1229</v>
      </c>
      <c r="BM81" s="526">
        <v>127.69</v>
      </c>
      <c r="BN81" s="526">
        <v>130.53</v>
      </c>
      <c r="BO81" s="526">
        <v>2.74</v>
      </c>
      <c r="BP81" s="526">
        <v>129.38</v>
      </c>
      <c r="BQ81" s="522">
        <v>220</v>
      </c>
      <c r="BR81" s="526">
        <v>149.54</v>
      </c>
      <c r="BS81" s="526">
        <v>153.74</v>
      </c>
      <c r="BT81" s="526">
        <v>1.1599999999999999</v>
      </c>
      <c r="BU81" s="526">
        <v>150.04</v>
      </c>
      <c r="BV81" s="522">
        <v>7</v>
      </c>
      <c r="BW81" s="526">
        <v>166.69</v>
      </c>
      <c r="BX81" s="526">
        <v>164.85</v>
      </c>
      <c r="BY81" s="526">
        <v>0</v>
      </c>
      <c r="BZ81" s="526">
        <v>166.69</v>
      </c>
      <c r="CA81" s="522">
        <v>2</v>
      </c>
      <c r="CB81" s="526">
        <v>101.94</v>
      </c>
      <c r="CC81" s="526">
        <v>102.97</v>
      </c>
      <c r="CD81" s="526">
        <v>7.58</v>
      </c>
      <c r="CE81" s="526">
        <v>107.55</v>
      </c>
      <c r="CF81" s="522">
        <v>5202</v>
      </c>
      <c r="CG81" s="526">
        <v>101.94</v>
      </c>
      <c r="CH81" s="526">
        <v>102.97</v>
      </c>
      <c r="CI81" s="526">
        <v>7.58</v>
      </c>
      <c r="CJ81" s="526">
        <v>107.55</v>
      </c>
      <c r="CK81" s="522">
        <v>5202</v>
      </c>
      <c r="CL81" s="526">
        <v>98.54</v>
      </c>
      <c r="CM81" s="526">
        <v>75.81</v>
      </c>
      <c r="CN81" s="526">
        <v>177.3</v>
      </c>
      <c r="CO81" s="526">
        <v>269.7</v>
      </c>
      <c r="CP81" s="522">
        <v>202</v>
      </c>
      <c r="CQ81" s="526">
        <v>80.09</v>
      </c>
      <c r="CR81" s="526">
        <v>74.84</v>
      </c>
      <c r="CS81" s="526">
        <v>49.07</v>
      </c>
      <c r="CT81" s="526">
        <v>129.16</v>
      </c>
      <c r="CU81" s="522">
        <v>139</v>
      </c>
      <c r="CV81" s="526">
        <v>100.49</v>
      </c>
      <c r="CW81" s="526">
        <v>92.51</v>
      </c>
      <c r="CX81" s="526">
        <v>48.85</v>
      </c>
      <c r="CY81" s="526">
        <v>148.91999999999999</v>
      </c>
      <c r="CZ81" s="522">
        <v>943</v>
      </c>
      <c r="DA81" s="526">
        <v>123.92</v>
      </c>
      <c r="DB81" s="526">
        <v>118.5</v>
      </c>
      <c r="DC81" s="526">
        <v>49.67</v>
      </c>
      <c r="DD81" s="526">
        <v>173.58</v>
      </c>
      <c r="DE81" s="522">
        <v>257</v>
      </c>
      <c r="DF81" s="526">
        <v>124.86</v>
      </c>
      <c r="DG81" s="526">
        <v>121.77</v>
      </c>
      <c r="DH81" s="526">
        <v>33.96</v>
      </c>
      <c r="DI81" s="526">
        <v>157.04</v>
      </c>
      <c r="DJ81" s="522">
        <v>19</v>
      </c>
      <c r="DK81" s="526">
        <v>0</v>
      </c>
      <c r="DL81" s="526">
        <v>0</v>
      </c>
      <c r="DM81" s="526">
        <v>0</v>
      </c>
      <c r="DN81" s="526">
        <v>0</v>
      </c>
      <c r="DO81" s="522">
        <v>0</v>
      </c>
      <c r="DP81" s="526">
        <v>103.17</v>
      </c>
      <c r="DQ81" s="526">
        <v>96.15</v>
      </c>
      <c r="DR81" s="526">
        <v>48.83</v>
      </c>
      <c r="DS81" s="526">
        <v>151.68</v>
      </c>
      <c r="DT81" s="522">
        <v>1358</v>
      </c>
      <c r="DU81" s="526">
        <v>102.57</v>
      </c>
      <c r="DV81" s="526">
        <v>93.79</v>
      </c>
      <c r="DW81" s="526">
        <v>65.05</v>
      </c>
      <c r="DX81" s="526">
        <v>166.96</v>
      </c>
      <c r="DY81" s="522">
        <v>1560</v>
      </c>
      <c r="DZ81" s="526">
        <v>0</v>
      </c>
      <c r="EA81" s="526">
        <v>0</v>
      </c>
      <c r="EB81" s="526">
        <v>0</v>
      </c>
      <c r="EC81" s="522">
        <v>0</v>
      </c>
      <c r="ED81" s="526">
        <v>98.72</v>
      </c>
      <c r="EE81" s="522">
        <v>141</v>
      </c>
      <c r="EF81" s="526">
        <v>125.7</v>
      </c>
      <c r="EG81" s="522">
        <v>423</v>
      </c>
      <c r="EH81" s="526">
        <v>137.86000000000001</v>
      </c>
      <c r="EI81" s="522">
        <v>165</v>
      </c>
      <c r="EJ81" s="526">
        <v>168.62</v>
      </c>
      <c r="EK81" s="522">
        <v>31</v>
      </c>
      <c r="EL81" s="526">
        <v>240</v>
      </c>
      <c r="EM81" s="522">
        <v>1</v>
      </c>
      <c r="EN81" s="526">
        <v>0</v>
      </c>
      <c r="EO81" s="522">
        <v>0</v>
      </c>
      <c r="EP81" s="526">
        <v>125.23</v>
      </c>
      <c r="EQ81" s="522">
        <v>761</v>
      </c>
      <c r="ER81" s="526">
        <v>125.23</v>
      </c>
      <c r="ES81" s="522">
        <v>761</v>
      </c>
      <c r="ET81" s="526">
        <v>226.12</v>
      </c>
      <c r="EU81" s="526">
        <v>2</v>
      </c>
      <c r="EV81" s="526">
        <v>0</v>
      </c>
      <c r="EW81" s="522">
        <v>0</v>
      </c>
      <c r="EX81" s="526">
        <v>0</v>
      </c>
      <c r="EY81" s="522">
        <v>0</v>
      </c>
      <c r="EZ81" s="526">
        <v>0</v>
      </c>
      <c r="FA81" s="522">
        <v>0</v>
      </c>
      <c r="FB81" s="526">
        <v>0</v>
      </c>
      <c r="FC81" s="522">
        <v>0</v>
      </c>
      <c r="FD81" s="526">
        <v>0</v>
      </c>
      <c r="FE81" s="522">
        <v>0</v>
      </c>
      <c r="FF81" s="526">
        <v>0</v>
      </c>
      <c r="FG81" s="522">
        <v>0</v>
      </c>
      <c r="FH81" s="526">
        <v>226.12</v>
      </c>
      <c r="FI81" s="522">
        <v>2</v>
      </c>
      <c r="FJ81" s="522">
        <v>0</v>
      </c>
      <c r="FK81" s="522">
        <v>1</v>
      </c>
      <c r="FL81" s="522">
        <v>1</v>
      </c>
      <c r="FM81" s="522">
        <v>0</v>
      </c>
      <c r="FN81" s="522">
        <v>0</v>
      </c>
      <c r="FO81" s="522">
        <v>0</v>
      </c>
      <c r="FP81" s="522">
        <v>2</v>
      </c>
      <c r="FQ81" s="522">
        <v>51</v>
      </c>
      <c r="FR81" s="522">
        <v>17</v>
      </c>
    </row>
    <row r="82" spans="1:174" x14ac:dyDescent="0.25">
      <c r="A82" s="523" t="s">
        <v>421</v>
      </c>
      <c r="B82" s="523" t="s">
        <v>422</v>
      </c>
      <c r="C82" s="523" t="s">
        <v>282</v>
      </c>
      <c r="D82" s="522">
        <v>3904</v>
      </c>
      <c r="E82" s="522">
        <v>3759</v>
      </c>
      <c r="F82" s="522">
        <v>0</v>
      </c>
      <c r="G82" s="522">
        <v>0</v>
      </c>
      <c r="H82" s="522">
        <v>69</v>
      </c>
      <c r="I82" s="522">
        <v>33</v>
      </c>
      <c r="J82" s="522">
        <v>274</v>
      </c>
      <c r="K82" s="522">
        <v>266</v>
      </c>
      <c r="L82" s="522">
        <v>249</v>
      </c>
      <c r="M82" s="522">
        <v>2</v>
      </c>
      <c r="N82" s="522">
        <v>4496</v>
      </c>
      <c r="O82" s="522">
        <v>4060</v>
      </c>
      <c r="P82" s="522">
        <v>4247</v>
      </c>
      <c r="Q82" s="522">
        <v>12</v>
      </c>
      <c r="R82" s="523">
        <v>6</v>
      </c>
      <c r="S82" s="523">
        <v>14</v>
      </c>
      <c r="T82" s="523">
        <v>166</v>
      </c>
      <c r="U82" s="523">
        <v>4330</v>
      </c>
      <c r="V82" s="522">
        <v>3750</v>
      </c>
      <c r="W82" s="522">
        <v>55</v>
      </c>
      <c r="X82" s="522">
        <v>12</v>
      </c>
      <c r="Y82" s="522">
        <v>67</v>
      </c>
      <c r="Z82" s="524">
        <v>105.94</v>
      </c>
      <c r="AA82" s="524">
        <v>111.56</v>
      </c>
      <c r="AB82" s="524">
        <v>3.86</v>
      </c>
      <c r="AC82" s="524">
        <v>109.35</v>
      </c>
      <c r="AD82" s="524">
        <v>3348</v>
      </c>
      <c r="AE82" s="525">
        <v>100.41</v>
      </c>
      <c r="AF82" s="525">
        <v>98.69</v>
      </c>
      <c r="AG82" s="525">
        <v>43.23</v>
      </c>
      <c r="AH82" s="525">
        <v>141.53</v>
      </c>
      <c r="AI82" s="525">
        <v>329</v>
      </c>
      <c r="AJ82" s="525">
        <v>129.61000000000001</v>
      </c>
      <c r="AK82" s="525">
        <v>426</v>
      </c>
      <c r="AL82" s="525">
        <v>228.67</v>
      </c>
      <c r="AM82" s="525">
        <v>2</v>
      </c>
      <c r="AN82" s="526">
        <v>0</v>
      </c>
      <c r="AO82" s="526">
        <v>0</v>
      </c>
      <c r="AP82" s="526">
        <v>0</v>
      </c>
      <c r="AQ82" s="526">
        <v>0</v>
      </c>
      <c r="AR82" s="522">
        <v>0</v>
      </c>
      <c r="AS82" s="526">
        <v>76.83</v>
      </c>
      <c r="AT82" s="526">
        <v>81.7</v>
      </c>
      <c r="AU82" s="526">
        <v>9.8000000000000007</v>
      </c>
      <c r="AV82" s="526">
        <v>86.37</v>
      </c>
      <c r="AW82" s="522">
        <v>37</v>
      </c>
      <c r="AX82" s="526">
        <v>93.25</v>
      </c>
      <c r="AY82" s="526">
        <v>96.6</v>
      </c>
      <c r="AZ82" s="526">
        <v>5.55</v>
      </c>
      <c r="BA82" s="526">
        <v>98.63</v>
      </c>
      <c r="BB82" s="522">
        <v>960</v>
      </c>
      <c r="BC82" s="526">
        <v>108.3</v>
      </c>
      <c r="BD82" s="526">
        <v>112.03</v>
      </c>
      <c r="BE82" s="526">
        <v>4.74</v>
      </c>
      <c r="BF82" s="526">
        <v>112.63</v>
      </c>
      <c r="BG82" s="522">
        <v>1021</v>
      </c>
      <c r="BH82" s="526">
        <v>113.79</v>
      </c>
      <c r="BI82" s="526">
        <v>122.45</v>
      </c>
      <c r="BJ82" s="526">
        <v>1.39</v>
      </c>
      <c r="BK82" s="526">
        <v>114.88</v>
      </c>
      <c r="BL82" s="522">
        <v>1282</v>
      </c>
      <c r="BM82" s="526">
        <v>122.32</v>
      </c>
      <c r="BN82" s="526">
        <v>131.33000000000001</v>
      </c>
      <c r="BO82" s="526">
        <v>1.49</v>
      </c>
      <c r="BP82" s="526">
        <v>123.63</v>
      </c>
      <c r="BQ82" s="522">
        <v>42</v>
      </c>
      <c r="BR82" s="526">
        <v>122.83</v>
      </c>
      <c r="BS82" s="526">
        <v>142.76</v>
      </c>
      <c r="BT82" s="526">
        <v>0.39</v>
      </c>
      <c r="BU82" s="526">
        <v>123.16</v>
      </c>
      <c r="BV82" s="522">
        <v>6</v>
      </c>
      <c r="BW82" s="526">
        <v>0</v>
      </c>
      <c r="BX82" s="526">
        <v>0</v>
      </c>
      <c r="BY82" s="526">
        <v>0</v>
      </c>
      <c r="BZ82" s="526">
        <v>0</v>
      </c>
      <c r="CA82" s="522">
        <v>0</v>
      </c>
      <c r="CB82" s="526">
        <v>105.94</v>
      </c>
      <c r="CC82" s="526">
        <v>111.56</v>
      </c>
      <c r="CD82" s="526">
        <v>3.86</v>
      </c>
      <c r="CE82" s="526">
        <v>109.35</v>
      </c>
      <c r="CF82" s="522">
        <v>3348</v>
      </c>
      <c r="CG82" s="526">
        <v>105.94</v>
      </c>
      <c r="CH82" s="526">
        <v>111.56</v>
      </c>
      <c r="CI82" s="526">
        <v>3.86</v>
      </c>
      <c r="CJ82" s="526">
        <v>109.35</v>
      </c>
      <c r="CK82" s="522">
        <v>3348</v>
      </c>
      <c r="CL82" s="526">
        <v>127.17</v>
      </c>
      <c r="CM82" s="526">
        <v>82.16</v>
      </c>
      <c r="CN82" s="526">
        <v>52.23</v>
      </c>
      <c r="CO82" s="526">
        <v>165.15</v>
      </c>
      <c r="CP82" s="522">
        <v>22</v>
      </c>
      <c r="CQ82" s="526">
        <v>81.319999999999993</v>
      </c>
      <c r="CR82" s="526">
        <v>83.37</v>
      </c>
      <c r="CS82" s="526">
        <v>36.049999999999997</v>
      </c>
      <c r="CT82" s="526">
        <v>117.37</v>
      </c>
      <c r="CU82" s="522">
        <v>68</v>
      </c>
      <c r="CV82" s="526">
        <v>97.1</v>
      </c>
      <c r="CW82" s="526">
        <v>98.53</v>
      </c>
      <c r="CX82" s="526">
        <v>45.93</v>
      </c>
      <c r="CY82" s="526">
        <v>140.80000000000001</v>
      </c>
      <c r="CZ82" s="522">
        <v>185</v>
      </c>
      <c r="DA82" s="526">
        <v>126.25</v>
      </c>
      <c r="DB82" s="526">
        <v>123.11</v>
      </c>
      <c r="DC82" s="526">
        <v>30.62</v>
      </c>
      <c r="DD82" s="526">
        <v>156.22</v>
      </c>
      <c r="DE82" s="522">
        <v>47</v>
      </c>
      <c r="DF82" s="526">
        <v>115.5</v>
      </c>
      <c r="DG82" s="526">
        <v>122.93</v>
      </c>
      <c r="DH82" s="526">
        <v>107.19</v>
      </c>
      <c r="DI82" s="526">
        <v>222.69</v>
      </c>
      <c r="DJ82" s="522">
        <v>7</v>
      </c>
      <c r="DK82" s="526">
        <v>0</v>
      </c>
      <c r="DL82" s="526">
        <v>0</v>
      </c>
      <c r="DM82" s="526">
        <v>0</v>
      </c>
      <c r="DN82" s="526">
        <v>0</v>
      </c>
      <c r="DO82" s="522">
        <v>0</v>
      </c>
      <c r="DP82" s="526">
        <v>98.49</v>
      </c>
      <c r="DQ82" s="526">
        <v>99.18</v>
      </c>
      <c r="DR82" s="526">
        <v>42.74</v>
      </c>
      <c r="DS82" s="526">
        <v>139.84</v>
      </c>
      <c r="DT82" s="522">
        <v>307</v>
      </c>
      <c r="DU82" s="526">
        <v>100.41</v>
      </c>
      <c r="DV82" s="526">
        <v>98.69</v>
      </c>
      <c r="DW82" s="526">
        <v>43.23</v>
      </c>
      <c r="DX82" s="526">
        <v>141.53</v>
      </c>
      <c r="DY82" s="522">
        <v>329</v>
      </c>
      <c r="DZ82" s="526">
        <v>0</v>
      </c>
      <c r="EA82" s="526">
        <v>0</v>
      </c>
      <c r="EB82" s="526">
        <v>0</v>
      </c>
      <c r="EC82" s="522">
        <v>0</v>
      </c>
      <c r="ED82" s="526">
        <v>106.86</v>
      </c>
      <c r="EE82" s="522">
        <v>66</v>
      </c>
      <c r="EF82" s="526">
        <v>127.99</v>
      </c>
      <c r="EG82" s="522">
        <v>247</v>
      </c>
      <c r="EH82" s="526">
        <v>145.31</v>
      </c>
      <c r="EI82" s="522">
        <v>107</v>
      </c>
      <c r="EJ82" s="526">
        <v>166.41</v>
      </c>
      <c r="EK82" s="522">
        <v>6</v>
      </c>
      <c r="EL82" s="526">
        <v>0</v>
      </c>
      <c r="EM82" s="522">
        <v>0</v>
      </c>
      <c r="EN82" s="526">
        <v>0</v>
      </c>
      <c r="EO82" s="522">
        <v>0</v>
      </c>
      <c r="EP82" s="526">
        <v>129.61000000000001</v>
      </c>
      <c r="EQ82" s="522">
        <v>426</v>
      </c>
      <c r="ER82" s="526">
        <v>129.61000000000001</v>
      </c>
      <c r="ES82" s="522">
        <v>426</v>
      </c>
      <c r="ET82" s="526">
        <v>0</v>
      </c>
      <c r="EU82" s="526">
        <v>0</v>
      </c>
      <c r="EV82" s="526">
        <v>0</v>
      </c>
      <c r="EW82" s="522">
        <v>0</v>
      </c>
      <c r="EX82" s="526">
        <v>0</v>
      </c>
      <c r="EY82" s="522">
        <v>0</v>
      </c>
      <c r="EZ82" s="526">
        <v>228.67</v>
      </c>
      <c r="FA82" s="522">
        <v>2</v>
      </c>
      <c r="FB82" s="526">
        <v>0</v>
      </c>
      <c r="FC82" s="522">
        <v>0</v>
      </c>
      <c r="FD82" s="526">
        <v>0</v>
      </c>
      <c r="FE82" s="522">
        <v>0</v>
      </c>
      <c r="FF82" s="526">
        <v>228.67</v>
      </c>
      <c r="FG82" s="522">
        <v>2</v>
      </c>
      <c r="FH82" s="526">
        <v>228.67</v>
      </c>
      <c r="FI82" s="522">
        <v>2</v>
      </c>
      <c r="FJ82" s="522">
        <v>5</v>
      </c>
      <c r="FK82" s="522">
        <v>8</v>
      </c>
      <c r="FL82" s="522">
        <v>5</v>
      </c>
      <c r="FM82" s="522">
        <v>0</v>
      </c>
      <c r="FN82" s="522">
        <v>3</v>
      </c>
      <c r="FO82" s="522">
        <v>0</v>
      </c>
      <c r="FP82" s="522">
        <v>3</v>
      </c>
      <c r="FQ82" s="522">
        <v>8</v>
      </c>
      <c r="FR82" s="522">
        <v>1</v>
      </c>
    </row>
    <row r="83" spans="1:174" x14ac:dyDescent="0.25">
      <c r="A83" s="523" t="s">
        <v>423</v>
      </c>
      <c r="B83" s="523" t="s">
        <v>424</v>
      </c>
      <c r="C83" s="523" t="s">
        <v>289</v>
      </c>
      <c r="D83" s="522">
        <v>3129</v>
      </c>
      <c r="E83" s="522">
        <v>2994</v>
      </c>
      <c r="F83" s="522">
        <v>3</v>
      </c>
      <c r="G83" s="522">
        <v>0</v>
      </c>
      <c r="H83" s="522">
        <v>821</v>
      </c>
      <c r="I83" s="522">
        <v>596</v>
      </c>
      <c r="J83" s="522">
        <v>1006</v>
      </c>
      <c r="K83" s="522">
        <v>1008</v>
      </c>
      <c r="L83" s="522">
        <v>648</v>
      </c>
      <c r="M83" s="522">
        <v>0</v>
      </c>
      <c r="N83" s="522">
        <v>5607</v>
      </c>
      <c r="O83" s="522">
        <v>4598</v>
      </c>
      <c r="P83" s="522">
        <v>4959</v>
      </c>
      <c r="Q83" s="522">
        <v>57</v>
      </c>
      <c r="R83" s="523">
        <v>11</v>
      </c>
      <c r="S83" s="523">
        <v>29</v>
      </c>
      <c r="T83" s="523">
        <v>330</v>
      </c>
      <c r="U83" s="523">
        <v>5277</v>
      </c>
      <c r="V83" s="522">
        <v>3052</v>
      </c>
      <c r="W83" s="522">
        <v>35</v>
      </c>
      <c r="X83" s="522">
        <v>32</v>
      </c>
      <c r="Y83" s="522">
        <v>67</v>
      </c>
      <c r="Z83" s="524">
        <v>93.54</v>
      </c>
      <c r="AA83" s="524">
        <v>93.39</v>
      </c>
      <c r="AB83" s="524">
        <v>7.17</v>
      </c>
      <c r="AC83" s="524">
        <v>97.74</v>
      </c>
      <c r="AD83" s="524">
        <v>1689</v>
      </c>
      <c r="AE83" s="525">
        <v>120.76</v>
      </c>
      <c r="AF83" s="525">
        <v>96.99</v>
      </c>
      <c r="AG83" s="525">
        <v>56.76</v>
      </c>
      <c r="AH83" s="525">
        <v>177.49</v>
      </c>
      <c r="AI83" s="525">
        <v>1567</v>
      </c>
      <c r="AJ83" s="525">
        <v>115.82</v>
      </c>
      <c r="AK83" s="525">
        <v>1341</v>
      </c>
      <c r="AL83" s="525">
        <v>250.05</v>
      </c>
      <c r="AM83" s="525">
        <v>83</v>
      </c>
      <c r="AN83" s="526">
        <v>0</v>
      </c>
      <c r="AO83" s="526">
        <v>0</v>
      </c>
      <c r="AP83" s="526">
        <v>0</v>
      </c>
      <c r="AQ83" s="526">
        <v>0</v>
      </c>
      <c r="AR83" s="522">
        <v>0</v>
      </c>
      <c r="AS83" s="526">
        <v>0</v>
      </c>
      <c r="AT83" s="526">
        <v>0</v>
      </c>
      <c r="AU83" s="526">
        <v>0</v>
      </c>
      <c r="AV83" s="526">
        <v>0</v>
      </c>
      <c r="AW83" s="522">
        <v>0</v>
      </c>
      <c r="AX83" s="526">
        <v>79.45</v>
      </c>
      <c r="AY83" s="526">
        <v>79.2</v>
      </c>
      <c r="AZ83" s="526">
        <v>10.18</v>
      </c>
      <c r="BA83" s="526">
        <v>89.12</v>
      </c>
      <c r="BB83" s="522">
        <v>459</v>
      </c>
      <c r="BC83" s="526">
        <v>92.94</v>
      </c>
      <c r="BD83" s="526">
        <v>92.71</v>
      </c>
      <c r="BE83" s="526">
        <v>5.74</v>
      </c>
      <c r="BF83" s="526">
        <v>95.85</v>
      </c>
      <c r="BG83" s="522">
        <v>695</v>
      </c>
      <c r="BH83" s="526">
        <v>105.21</v>
      </c>
      <c r="BI83" s="526">
        <v>105.09</v>
      </c>
      <c r="BJ83" s="526">
        <v>3.09</v>
      </c>
      <c r="BK83" s="526">
        <v>106.32</v>
      </c>
      <c r="BL83" s="522">
        <v>478</v>
      </c>
      <c r="BM83" s="526">
        <v>116.41</v>
      </c>
      <c r="BN83" s="526">
        <v>118.04</v>
      </c>
      <c r="BO83" s="526">
        <v>3.47</v>
      </c>
      <c r="BP83" s="526">
        <v>118.15</v>
      </c>
      <c r="BQ83" s="522">
        <v>56</v>
      </c>
      <c r="BR83" s="526">
        <v>118.8</v>
      </c>
      <c r="BS83" s="526">
        <v>117.5</v>
      </c>
      <c r="BT83" s="526">
        <v>0</v>
      </c>
      <c r="BU83" s="526">
        <v>118.8</v>
      </c>
      <c r="BV83" s="522">
        <v>1</v>
      </c>
      <c r="BW83" s="526">
        <v>0</v>
      </c>
      <c r="BX83" s="526">
        <v>0</v>
      </c>
      <c r="BY83" s="526">
        <v>0</v>
      </c>
      <c r="BZ83" s="526">
        <v>0</v>
      </c>
      <c r="CA83" s="522">
        <v>0</v>
      </c>
      <c r="CB83" s="526">
        <v>93.54</v>
      </c>
      <c r="CC83" s="526">
        <v>93.39</v>
      </c>
      <c r="CD83" s="526">
        <v>7.17</v>
      </c>
      <c r="CE83" s="526">
        <v>97.74</v>
      </c>
      <c r="CF83" s="522">
        <v>1689</v>
      </c>
      <c r="CG83" s="526">
        <v>93.54</v>
      </c>
      <c r="CH83" s="526">
        <v>93.39</v>
      </c>
      <c r="CI83" s="526">
        <v>7.17</v>
      </c>
      <c r="CJ83" s="526">
        <v>97.74</v>
      </c>
      <c r="CK83" s="522">
        <v>1689</v>
      </c>
      <c r="CL83" s="526">
        <v>161.01</v>
      </c>
      <c r="CM83" s="526">
        <v>90.08</v>
      </c>
      <c r="CN83" s="526">
        <v>103.53</v>
      </c>
      <c r="CO83" s="526">
        <v>264.54000000000002</v>
      </c>
      <c r="CP83" s="522">
        <v>368</v>
      </c>
      <c r="CQ83" s="526">
        <v>73.510000000000005</v>
      </c>
      <c r="CR83" s="526">
        <v>68.77</v>
      </c>
      <c r="CS83" s="526">
        <v>56.55</v>
      </c>
      <c r="CT83" s="526">
        <v>130.06</v>
      </c>
      <c r="CU83" s="522">
        <v>51</v>
      </c>
      <c r="CV83" s="526">
        <v>105.48</v>
      </c>
      <c r="CW83" s="526">
        <v>87.61</v>
      </c>
      <c r="CX83" s="526">
        <v>44.69</v>
      </c>
      <c r="CY83" s="526">
        <v>150.16999999999999</v>
      </c>
      <c r="CZ83" s="522">
        <v>608</v>
      </c>
      <c r="DA83" s="526">
        <v>114.69</v>
      </c>
      <c r="DB83" s="526">
        <v>111.91</v>
      </c>
      <c r="DC83" s="526">
        <v>38.18</v>
      </c>
      <c r="DD83" s="526">
        <v>152.80000000000001</v>
      </c>
      <c r="DE83" s="522">
        <v>529</v>
      </c>
      <c r="DF83" s="526">
        <v>130.61000000000001</v>
      </c>
      <c r="DG83" s="526">
        <v>100.09</v>
      </c>
      <c r="DH83" s="526">
        <v>56.4</v>
      </c>
      <c r="DI83" s="526">
        <v>187.01</v>
      </c>
      <c r="DJ83" s="522">
        <v>10</v>
      </c>
      <c r="DK83" s="526">
        <v>120.47</v>
      </c>
      <c r="DL83" s="526">
        <v>113.73</v>
      </c>
      <c r="DM83" s="526">
        <v>13.45</v>
      </c>
      <c r="DN83" s="526">
        <v>133.91999999999999</v>
      </c>
      <c r="DO83" s="522">
        <v>1</v>
      </c>
      <c r="DP83" s="526">
        <v>108.41</v>
      </c>
      <c r="DQ83" s="526">
        <v>98.29</v>
      </c>
      <c r="DR83" s="526">
        <v>42.4</v>
      </c>
      <c r="DS83" s="526">
        <v>150.77000000000001</v>
      </c>
      <c r="DT83" s="522">
        <v>1199</v>
      </c>
      <c r="DU83" s="526">
        <v>120.76</v>
      </c>
      <c r="DV83" s="526">
        <v>96.99</v>
      </c>
      <c r="DW83" s="526">
        <v>56.76</v>
      </c>
      <c r="DX83" s="526">
        <v>177.49</v>
      </c>
      <c r="DY83" s="522">
        <v>1567</v>
      </c>
      <c r="DZ83" s="526">
        <v>0</v>
      </c>
      <c r="EA83" s="526">
        <v>0</v>
      </c>
      <c r="EB83" s="526">
        <v>0</v>
      </c>
      <c r="EC83" s="522">
        <v>0</v>
      </c>
      <c r="ED83" s="526">
        <v>93.41</v>
      </c>
      <c r="EE83" s="522">
        <v>95</v>
      </c>
      <c r="EF83" s="526">
        <v>110.44</v>
      </c>
      <c r="EG83" s="522">
        <v>678</v>
      </c>
      <c r="EH83" s="526">
        <v>123.23</v>
      </c>
      <c r="EI83" s="522">
        <v>526</v>
      </c>
      <c r="EJ83" s="526">
        <v>160.02000000000001</v>
      </c>
      <c r="EK83" s="522">
        <v>41</v>
      </c>
      <c r="EL83" s="526">
        <v>188.53</v>
      </c>
      <c r="EM83" s="522">
        <v>1</v>
      </c>
      <c r="EN83" s="526">
        <v>0</v>
      </c>
      <c r="EO83" s="522">
        <v>0</v>
      </c>
      <c r="EP83" s="526">
        <v>115.82</v>
      </c>
      <c r="EQ83" s="522">
        <v>1341</v>
      </c>
      <c r="ER83" s="526">
        <v>115.82</v>
      </c>
      <c r="ES83" s="522">
        <v>1341</v>
      </c>
      <c r="ET83" s="526">
        <v>264.32</v>
      </c>
      <c r="EU83" s="526">
        <v>33</v>
      </c>
      <c r="EV83" s="526">
        <v>0</v>
      </c>
      <c r="EW83" s="522">
        <v>0</v>
      </c>
      <c r="EX83" s="526">
        <v>205.96</v>
      </c>
      <c r="EY83" s="522">
        <v>29</v>
      </c>
      <c r="EZ83" s="526">
        <v>288.52</v>
      </c>
      <c r="FA83" s="522">
        <v>21</v>
      </c>
      <c r="FB83" s="526">
        <v>0</v>
      </c>
      <c r="FC83" s="522">
        <v>0</v>
      </c>
      <c r="FD83" s="526">
        <v>0</v>
      </c>
      <c r="FE83" s="522">
        <v>0</v>
      </c>
      <c r="FF83" s="526">
        <v>240.63</v>
      </c>
      <c r="FG83" s="522">
        <v>50</v>
      </c>
      <c r="FH83" s="526">
        <v>250.05</v>
      </c>
      <c r="FI83" s="522">
        <v>83</v>
      </c>
      <c r="FJ83" s="522">
        <v>0</v>
      </c>
      <c r="FK83" s="522">
        <v>1</v>
      </c>
      <c r="FL83" s="522">
        <v>0</v>
      </c>
      <c r="FM83" s="522">
        <v>0</v>
      </c>
      <c r="FN83" s="522">
        <v>1</v>
      </c>
      <c r="FO83" s="522">
        <v>0</v>
      </c>
      <c r="FP83" s="522">
        <v>13</v>
      </c>
      <c r="FQ83" s="522">
        <v>142</v>
      </c>
      <c r="FR83" s="522">
        <v>3</v>
      </c>
    </row>
    <row r="84" spans="1:174" x14ac:dyDescent="0.25">
      <c r="A84" s="523" t="s">
        <v>425</v>
      </c>
      <c r="B84" s="523" t="s">
        <v>426</v>
      </c>
      <c r="C84" s="523" t="s">
        <v>287</v>
      </c>
      <c r="D84" s="522">
        <v>17221</v>
      </c>
      <c r="E84" s="522">
        <v>17164</v>
      </c>
      <c r="F84" s="522">
        <v>0</v>
      </c>
      <c r="G84" s="522">
        <v>0</v>
      </c>
      <c r="H84" s="522">
        <v>789</v>
      </c>
      <c r="I84" s="522">
        <v>508</v>
      </c>
      <c r="J84" s="522">
        <v>3884</v>
      </c>
      <c r="K84" s="522">
        <v>3559</v>
      </c>
      <c r="L84" s="522">
        <v>1793</v>
      </c>
      <c r="M84" s="522">
        <v>271</v>
      </c>
      <c r="N84" s="522">
        <v>23687</v>
      </c>
      <c r="O84" s="522">
        <v>21502</v>
      </c>
      <c r="P84" s="522">
        <v>21894</v>
      </c>
      <c r="Q84" s="522">
        <v>29</v>
      </c>
      <c r="R84" s="523">
        <v>21</v>
      </c>
      <c r="S84" s="523">
        <v>33</v>
      </c>
      <c r="T84" s="523">
        <v>647</v>
      </c>
      <c r="U84" s="523">
        <v>23040</v>
      </c>
      <c r="V84" s="522">
        <v>17154</v>
      </c>
      <c r="W84" s="522">
        <v>291</v>
      </c>
      <c r="X84" s="522">
        <v>97</v>
      </c>
      <c r="Y84" s="522">
        <v>388</v>
      </c>
      <c r="Z84" s="524">
        <v>113.56</v>
      </c>
      <c r="AA84" s="524">
        <v>114.53</v>
      </c>
      <c r="AB84" s="524">
        <v>5.81</v>
      </c>
      <c r="AC84" s="524">
        <v>117.3</v>
      </c>
      <c r="AD84" s="524">
        <v>14644</v>
      </c>
      <c r="AE84" s="525">
        <v>105.01</v>
      </c>
      <c r="AF84" s="525">
        <v>99.19</v>
      </c>
      <c r="AG84" s="525">
        <v>30.17</v>
      </c>
      <c r="AH84" s="525">
        <v>134.65</v>
      </c>
      <c r="AI84" s="525">
        <v>4039</v>
      </c>
      <c r="AJ84" s="525">
        <v>158.44</v>
      </c>
      <c r="AK84" s="525">
        <v>2496</v>
      </c>
      <c r="AL84" s="525">
        <v>185.72</v>
      </c>
      <c r="AM84" s="525">
        <v>54</v>
      </c>
      <c r="AN84" s="526">
        <v>0</v>
      </c>
      <c r="AO84" s="526">
        <v>0</v>
      </c>
      <c r="AP84" s="526">
        <v>0</v>
      </c>
      <c r="AQ84" s="526">
        <v>0</v>
      </c>
      <c r="AR84" s="522">
        <v>0</v>
      </c>
      <c r="AS84" s="526">
        <v>73.31</v>
      </c>
      <c r="AT84" s="526">
        <v>72.39</v>
      </c>
      <c r="AU84" s="526">
        <v>10.59</v>
      </c>
      <c r="AV84" s="526">
        <v>83.9</v>
      </c>
      <c r="AW84" s="522">
        <v>50</v>
      </c>
      <c r="AX84" s="526">
        <v>93.09</v>
      </c>
      <c r="AY84" s="526">
        <v>93.33</v>
      </c>
      <c r="AZ84" s="526">
        <v>9.42</v>
      </c>
      <c r="BA84" s="526">
        <v>101.04</v>
      </c>
      <c r="BB84" s="522">
        <v>2353</v>
      </c>
      <c r="BC84" s="526">
        <v>109.5</v>
      </c>
      <c r="BD84" s="526">
        <v>110.03</v>
      </c>
      <c r="BE84" s="526">
        <v>6.24</v>
      </c>
      <c r="BF84" s="526">
        <v>113.89</v>
      </c>
      <c r="BG84" s="522">
        <v>6196</v>
      </c>
      <c r="BH84" s="526">
        <v>125.34</v>
      </c>
      <c r="BI84" s="526">
        <v>127</v>
      </c>
      <c r="BJ84" s="526">
        <v>2.74</v>
      </c>
      <c r="BK84" s="526">
        <v>126.71</v>
      </c>
      <c r="BL84" s="522">
        <v>5711</v>
      </c>
      <c r="BM84" s="526">
        <v>137.44999999999999</v>
      </c>
      <c r="BN84" s="526">
        <v>140.1</v>
      </c>
      <c r="BO84" s="526">
        <v>2.7</v>
      </c>
      <c r="BP84" s="526">
        <v>138.88</v>
      </c>
      <c r="BQ84" s="522">
        <v>325</v>
      </c>
      <c r="BR84" s="526">
        <v>142.05000000000001</v>
      </c>
      <c r="BS84" s="526">
        <v>144.47999999999999</v>
      </c>
      <c r="BT84" s="526">
        <v>1.86</v>
      </c>
      <c r="BU84" s="526">
        <v>143.16999999999999</v>
      </c>
      <c r="BV84" s="522">
        <v>5</v>
      </c>
      <c r="BW84" s="526">
        <v>173.3</v>
      </c>
      <c r="BX84" s="526">
        <v>178.09</v>
      </c>
      <c r="BY84" s="526">
        <v>0.37</v>
      </c>
      <c r="BZ84" s="526">
        <v>173.39</v>
      </c>
      <c r="CA84" s="522">
        <v>4</v>
      </c>
      <c r="CB84" s="526">
        <v>113.56</v>
      </c>
      <c r="CC84" s="526">
        <v>114.53</v>
      </c>
      <c r="CD84" s="526">
        <v>5.81</v>
      </c>
      <c r="CE84" s="526">
        <v>117.3</v>
      </c>
      <c r="CF84" s="522">
        <v>14644</v>
      </c>
      <c r="CG84" s="526">
        <v>113.56</v>
      </c>
      <c r="CH84" s="526">
        <v>114.53</v>
      </c>
      <c r="CI84" s="526">
        <v>5.81</v>
      </c>
      <c r="CJ84" s="526">
        <v>117.3</v>
      </c>
      <c r="CK84" s="522">
        <v>14644</v>
      </c>
      <c r="CL84" s="526">
        <v>106.47</v>
      </c>
      <c r="CM84" s="526">
        <v>83.72</v>
      </c>
      <c r="CN84" s="526">
        <v>88.04</v>
      </c>
      <c r="CO84" s="526">
        <v>180.15</v>
      </c>
      <c r="CP84" s="522">
        <v>190</v>
      </c>
      <c r="CQ84" s="526">
        <v>83.9</v>
      </c>
      <c r="CR84" s="526">
        <v>78.03</v>
      </c>
      <c r="CS84" s="526">
        <v>41.65</v>
      </c>
      <c r="CT84" s="526">
        <v>125.55</v>
      </c>
      <c r="CU84" s="522">
        <v>273</v>
      </c>
      <c r="CV84" s="526">
        <v>103.24</v>
      </c>
      <c r="CW84" s="526">
        <v>97.76</v>
      </c>
      <c r="CX84" s="526">
        <v>28.16</v>
      </c>
      <c r="CY84" s="526">
        <v>131.13999999999999</v>
      </c>
      <c r="CZ84" s="522">
        <v>2800</v>
      </c>
      <c r="DA84" s="526">
        <v>118.02</v>
      </c>
      <c r="DB84" s="526">
        <v>113.67</v>
      </c>
      <c r="DC84" s="526">
        <v>21.19</v>
      </c>
      <c r="DD84" s="526">
        <v>138.96</v>
      </c>
      <c r="DE84" s="522">
        <v>764</v>
      </c>
      <c r="DF84" s="526">
        <v>137.35</v>
      </c>
      <c r="DG84" s="526">
        <v>137.26</v>
      </c>
      <c r="DH84" s="526">
        <v>34.33</v>
      </c>
      <c r="DI84" s="526">
        <v>161.38</v>
      </c>
      <c r="DJ84" s="522">
        <v>10</v>
      </c>
      <c r="DK84" s="526">
        <v>186.47</v>
      </c>
      <c r="DL84" s="526">
        <v>147.37</v>
      </c>
      <c r="DM84" s="526">
        <v>0</v>
      </c>
      <c r="DN84" s="526">
        <v>186.47</v>
      </c>
      <c r="DO84" s="522">
        <v>2</v>
      </c>
      <c r="DP84" s="526">
        <v>104.93</v>
      </c>
      <c r="DQ84" s="526">
        <v>99.61</v>
      </c>
      <c r="DR84" s="526">
        <v>27.76</v>
      </c>
      <c r="DS84" s="526">
        <v>132.4</v>
      </c>
      <c r="DT84" s="522">
        <v>3849</v>
      </c>
      <c r="DU84" s="526">
        <v>105.01</v>
      </c>
      <c r="DV84" s="526">
        <v>99.19</v>
      </c>
      <c r="DW84" s="526">
        <v>30.17</v>
      </c>
      <c r="DX84" s="526">
        <v>134.65</v>
      </c>
      <c r="DY84" s="522">
        <v>4039</v>
      </c>
      <c r="DZ84" s="526">
        <v>0</v>
      </c>
      <c r="EA84" s="526">
        <v>0</v>
      </c>
      <c r="EB84" s="526">
        <v>76.37</v>
      </c>
      <c r="EC84" s="522">
        <v>1</v>
      </c>
      <c r="ED84" s="526">
        <v>128.46</v>
      </c>
      <c r="EE84" s="522">
        <v>608</v>
      </c>
      <c r="EF84" s="526">
        <v>156.43</v>
      </c>
      <c r="EG84" s="522">
        <v>1243</v>
      </c>
      <c r="EH84" s="526">
        <v>186.58</v>
      </c>
      <c r="EI84" s="522">
        <v>584</v>
      </c>
      <c r="EJ84" s="526">
        <v>231.23</v>
      </c>
      <c r="EK84" s="522">
        <v>60</v>
      </c>
      <c r="EL84" s="526">
        <v>0</v>
      </c>
      <c r="EM84" s="522">
        <v>0</v>
      </c>
      <c r="EN84" s="526">
        <v>0</v>
      </c>
      <c r="EO84" s="522">
        <v>0</v>
      </c>
      <c r="EP84" s="526">
        <v>158.44</v>
      </c>
      <c r="EQ84" s="522">
        <v>2496</v>
      </c>
      <c r="ER84" s="526">
        <v>158.44</v>
      </c>
      <c r="ES84" s="522">
        <v>2496</v>
      </c>
      <c r="ET84" s="526">
        <v>0</v>
      </c>
      <c r="EU84" s="526">
        <v>0</v>
      </c>
      <c r="EV84" s="526">
        <v>0</v>
      </c>
      <c r="EW84" s="522">
        <v>0</v>
      </c>
      <c r="EX84" s="526">
        <v>176.14</v>
      </c>
      <c r="EY84" s="522">
        <v>39</v>
      </c>
      <c r="EZ84" s="526">
        <v>210.65</v>
      </c>
      <c r="FA84" s="522">
        <v>15</v>
      </c>
      <c r="FB84" s="526">
        <v>0</v>
      </c>
      <c r="FC84" s="522">
        <v>0</v>
      </c>
      <c r="FD84" s="526">
        <v>0</v>
      </c>
      <c r="FE84" s="522">
        <v>0</v>
      </c>
      <c r="FF84" s="526">
        <v>185.72</v>
      </c>
      <c r="FG84" s="522">
        <v>54</v>
      </c>
      <c r="FH84" s="526">
        <v>185.72</v>
      </c>
      <c r="FI84" s="522">
        <v>54</v>
      </c>
      <c r="FJ84" s="522">
        <v>0</v>
      </c>
      <c r="FK84" s="522">
        <v>3</v>
      </c>
      <c r="FL84" s="522">
        <v>3</v>
      </c>
      <c r="FM84" s="522">
        <v>0</v>
      </c>
      <c r="FN84" s="522">
        <v>0</v>
      </c>
      <c r="FO84" s="522">
        <v>0</v>
      </c>
      <c r="FP84" s="522">
        <v>78</v>
      </c>
      <c r="FQ84" s="522">
        <v>150</v>
      </c>
      <c r="FR84" s="522">
        <v>25</v>
      </c>
    </row>
    <row r="85" spans="1:174" x14ac:dyDescent="0.25">
      <c r="A85" s="523" t="s">
        <v>427</v>
      </c>
      <c r="B85" s="523" t="s">
        <v>428</v>
      </c>
      <c r="C85" s="523" t="s">
        <v>2</v>
      </c>
      <c r="D85" s="522">
        <v>2260</v>
      </c>
      <c r="E85" s="522">
        <v>2196</v>
      </c>
      <c r="F85" s="522">
        <v>0</v>
      </c>
      <c r="G85" s="522">
        <v>0</v>
      </c>
      <c r="H85" s="522">
        <v>170</v>
      </c>
      <c r="I85" s="522">
        <v>90</v>
      </c>
      <c r="J85" s="522">
        <v>541</v>
      </c>
      <c r="K85" s="522">
        <v>575</v>
      </c>
      <c r="L85" s="522">
        <v>336</v>
      </c>
      <c r="M85" s="522">
        <v>47</v>
      </c>
      <c r="N85" s="522">
        <v>3307</v>
      </c>
      <c r="O85" s="522">
        <v>2908</v>
      </c>
      <c r="P85" s="522">
        <v>2971</v>
      </c>
      <c r="Q85" s="522">
        <v>5</v>
      </c>
      <c r="R85" s="523">
        <v>5</v>
      </c>
      <c r="S85" s="523">
        <v>25</v>
      </c>
      <c r="T85" s="523">
        <v>104</v>
      </c>
      <c r="U85" s="523">
        <v>3203</v>
      </c>
      <c r="V85" s="522">
        <v>2196</v>
      </c>
      <c r="W85" s="522">
        <v>11</v>
      </c>
      <c r="X85" s="522">
        <v>22</v>
      </c>
      <c r="Y85" s="522">
        <v>33</v>
      </c>
      <c r="Z85" s="524">
        <v>103.86</v>
      </c>
      <c r="AA85" s="524">
        <v>105.27</v>
      </c>
      <c r="AB85" s="524">
        <v>9.39</v>
      </c>
      <c r="AC85" s="524">
        <v>110.95</v>
      </c>
      <c r="AD85" s="524">
        <v>1713</v>
      </c>
      <c r="AE85" s="525">
        <v>130.94999999999999</v>
      </c>
      <c r="AF85" s="525">
        <v>101.72</v>
      </c>
      <c r="AG85" s="525">
        <v>45.05</v>
      </c>
      <c r="AH85" s="525">
        <v>172.38</v>
      </c>
      <c r="AI85" s="525">
        <v>671</v>
      </c>
      <c r="AJ85" s="525">
        <v>150.54</v>
      </c>
      <c r="AK85" s="525">
        <v>450</v>
      </c>
      <c r="AL85" s="525">
        <v>0</v>
      </c>
      <c r="AM85" s="525">
        <v>0</v>
      </c>
      <c r="AN85" s="526">
        <v>0</v>
      </c>
      <c r="AO85" s="526">
        <v>0</v>
      </c>
      <c r="AP85" s="526">
        <v>0</v>
      </c>
      <c r="AQ85" s="526">
        <v>0</v>
      </c>
      <c r="AR85" s="522">
        <v>0</v>
      </c>
      <c r="AS85" s="526">
        <v>71.819999999999993</v>
      </c>
      <c r="AT85" s="526">
        <v>73.83</v>
      </c>
      <c r="AU85" s="526">
        <v>12.13</v>
      </c>
      <c r="AV85" s="526">
        <v>83.95</v>
      </c>
      <c r="AW85" s="522">
        <v>18</v>
      </c>
      <c r="AX85" s="526">
        <v>89.69</v>
      </c>
      <c r="AY85" s="526">
        <v>90.67</v>
      </c>
      <c r="AZ85" s="526">
        <v>14.92</v>
      </c>
      <c r="BA85" s="526">
        <v>103.92</v>
      </c>
      <c r="BB85" s="522">
        <v>414</v>
      </c>
      <c r="BC85" s="526">
        <v>103.38</v>
      </c>
      <c r="BD85" s="526">
        <v>105</v>
      </c>
      <c r="BE85" s="526">
        <v>7.61</v>
      </c>
      <c r="BF85" s="526">
        <v>109.29</v>
      </c>
      <c r="BG85" s="522">
        <v>736</v>
      </c>
      <c r="BH85" s="526">
        <v>115.33</v>
      </c>
      <c r="BI85" s="526">
        <v>116.47</v>
      </c>
      <c r="BJ85" s="526">
        <v>5.61</v>
      </c>
      <c r="BK85" s="526">
        <v>118.49</v>
      </c>
      <c r="BL85" s="522">
        <v>510</v>
      </c>
      <c r="BM85" s="526">
        <v>130.66999999999999</v>
      </c>
      <c r="BN85" s="526">
        <v>139.13</v>
      </c>
      <c r="BO85" s="526">
        <v>2.4700000000000002</v>
      </c>
      <c r="BP85" s="526">
        <v>132.19999999999999</v>
      </c>
      <c r="BQ85" s="522">
        <v>34</v>
      </c>
      <c r="BR85" s="526">
        <v>0</v>
      </c>
      <c r="BS85" s="526">
        <v>0</v>
      </c>
      <c r="BT85" s="526">
        <v>0</v>
      </c>
      <c r="BU85" s="526">
        <v>0</v>
      </c>
      <c r="BV85" s="522">
        <v>0</v>
      </c>
      <c r="BW85" s="526">
        <v>144.49</v>
      </c>
      <c r="BX85" s="526">
        <v>154.11000000000001</v>
      </c>
      <c r="BY85" s="526">
        <v>17.7</v>
      </c>
      <c r="BZ85" s="526">
        <v>162.19</v>
      </c>
      <c r="CA85" s="522">
        <v>1</v>
      </c>
      <c r="CB85" s="526">
        <v>103.86</v>
      </c>
      <c r="CC85" s="526">
        <v>105.27</v>
      </c>
      <c r="CD85" s="526">
        <v>9.39</v>
      </c>
      <c r="CE85" s="526">
        <v>110.95</v>
      </c>
      <c r="CF85" s="522">
        <v>1713</v>
      </c>
      <c r="CG85" s="526">
        <v>103.86</v>
      </c>
      <c r="CH85" s="526">
        <v>105.27</v>
      </c>
      <c r="CI85" s="526">
        <v>9.39</v>
      </c>
      <c r="CJ85" s="526">
        <v>110.95</v>
      </c>
      <c r="CK85" s="522">
        <v>1713</v>
      </c>
      <c r="CL85" s="526">
        <v>226.12</v>
      </c>
      <c r="CM85" s="526">
        <v>80.12</v>
      </c>
      <c r="CN85" s="526">
        <v>58.77</v>
      </c>
      <c r="CO85" s="526">
        <v>262.63</v>
      </c>
      <c r="CP85" s="522">
        <v>66</v>
      </c>
      <c r="CQ85" s="526">
        <v>95.31</v>
      </c>
      <c r="CR85" s="526">
        <v>87.84</v>
      </c>
      <c r="CS85" s="526">
        <v>43.18</v>
      </c>
      <c r="CT85" s="526">
        <v>133.82</v>
      </c>
      <c r="CU85" s="522">
        <v>74</v>
      </c>
      <c r="CV85" s="526">
        <v>116.29</v>
      </c>
      <c r="CW85" s="526">
        <v>101.17</v>
      </c>
      <c r="CX85" s="526">
        <v>44.12</v>
      </c>
      <c r="CY85" s="526">
        <v>158.35</v>
      </c>
      <c r="CZ85" s="522">
        <v>450</v>
      </c>
      <c r="DA85" s="526">
        <v>168.64</v>
      </c>
      <c r="DB85" s="526">
        <v>128.97999999999999</v>
      </c>
      <c r="DC85" s="526">
        <v>45.04</v>
      </c>
      <c r="DD85" s="526">
        <v>213.68</v>
      </c>
      <c r="DE85" s="522">
        <v>77</v>
      </c>
      <c r="DF85" s="526">
        <v>143.83000000000001</v>
      </c>
      <c r="DG85" s="526">
        <v>142.36000000000001</v>
      </c>
      <c r="DH85" s="526">
        <v>36.22</v>
      </c>
      <c r="DI85" s="526">
        <v>180.05</v>
      </c>
      <c r="DJ85" s="522">
        <v>4</v>
      </c>
      <c r="DK85" s="526">
        <v>0</v>
      </c>
      <c r="DL85" s="526">
        <v>0</v>
      </c>
      <c r="DM85" s="526">
        <v>0</v>
      </c>
      <c r="DN85" s="526">
        <v>0</v>
      </c>
      <c r="DO85" s="522">
        <v>0</v>
      </c>
      <c r="DP85" s="526">
        <v>120.57</v>
      </c>
      <c r="DQ85" s="526">
        <v>102.61</v>
      </c>
      <c r="DR85" s="526">
        <v>44.08</v>
      </c>
      <c r="DS85" s="526">
        <v>162.53</v>
      </c>
      <c r="DT85" s="522">
        <v>605</v>
      </c>
      <c r="DU85" s="526">
        <v>130.94999999999999</v>
      </c>
      <c r="DV85" s="526">
        <v>101.72</v>
      </c>
      <c r="DW85" s="526">
        <v>45.05</v>
      </c>
      <c r="DX85" s="526">
        <v>172.38</v>
      </c>
      <c r="DY85" s="522">
        <v>671</v>
      </c>
      <c r="DZ85" s="526">
        <v>0</v>
      </c>
      <c r="EA85" s="526">
        <v>0</v>
      </c>
      <c r="EB85" s="526">
        <v>0</v>
      </c>
      <c r="EC85" s="522">
        <v>0</v>
      </c>
      <c r="ED85" s="526">
        <v>110.33</v>
      </c>
      <c r="EE85" s="522">
        <v>50</v>
      </c>
      <c r="EF85" s="526">
        <v>146.38999999999999</v>
      </c>
      <c r="EG85" s="522">
        <v>263</v>
      </c>
      <c r="EH85" s="526">
        <v>172.29</v>
      </c>
      <c r="EI85" s="522">
        <v>127</v>
      </c>
      <c r="EJ85" s="526">
        <v>184.66</v>
      </c>
      <c r="EK85" s="522">
        <v>10</v>
      </c>
      <c r="EL85" s="526">
        <v>0</v>
      </c>
      <c r="EM85" s="522">
        <v>0</v>
      </c>
      <c r="EN85" s="526">
        <v>0</v>
      </c>
      <c r="EO85" s="522">
        <v>0</v>
      </c>
      <c r="EP85" s="526">
        <v>150.54</v>
      </c>
      <c r="EQ85" s="522">
        <v>450</v>
      </c>
      <c r="ER85" s="526">
        <v>150.54</v>
      </c>
      <c r="ES85" s="522">
        <v>450</v>
      </c>
      <c r="ET85" s="526">
        <v>0</v>
      </c>
      <c r="EU85" s="526">
        <v>0</v>
      </c>
      <c r="EV85" s="526">
        <v>0</v>
      </c>
      <c r="EW85" s="522">
        <v>0</v>
      </c>
      <c r="EX85" s="526">
        <v>0</v>
      </c>
      <c r="EY85" s="522">
        <v>0</v>
      </c>
      <c r="EZ85" s="526">
        <v>0</v>
      </c>
      <c r="FA85" s="522">
        <v>0</v>
      </c>
      <c r="FB85" s="526">
        <v>0</v>
      </c>
      <c r="FC85" s="522">
        <v>0</v>
      </c>
      <c r="FD85" s="526">
        <v>0</v>
      </c>
      <c r="FE85" s="522">
        <v>0</v>
      </c>
      <c r="FF85" s="526">
        <v>0</v>
      </c>
      <c r="FG85" s="522">
        <v>0</v>
      </c>
      <c r="FH85" s="526">
        <v>0</v>
      </c>
      <c r="FI85" s="522">
        <v>0</v>
      </c>
      <c r="FJ85" s="522">
        <v>0</v>
      </c>
      <c r="FK85" s="522">
        <v>0</v>
      </c>
      <c r="FL85" s="522">
        <v>0</v>
      </c>
      <c r="FM85" s="522">
        <v>0</v>
      </c>
      <c r="FN85" s="522">
        <v>0</v>
      </c>
      <c r="FO85" s="522">
        <v>0</v>
      </c>
      <c r="FP85" s="522">
        <v>13</v>
      </c>
      <c r="FQ85" s="522">
        <v>27</v>
      </c>
      <c r="FR85" s="522">
        <v>1</v>
      </c>
    </row>
    <row r="86" spans="1:174" x14ac:dyDescent="0.25">
      <c r="A86" s="523" t="s">
        <v>429</v>
      </c>
      <c r="B86" s="523" t="s">
        <v>430</v>
      </c>
      <c r="C86" s="523" t="s">
        <v>288</v>
      </c>
      <c r="D86" s="522">
        <v>4306</v>
      </c>
      <c r="E86" s="522">
        <v>4306</v>
      </c>
      <c r="F86" s="522">
        <v>0</v>
      </c>
      <c r="G86" s="522">
        <v>0</v>
      </c>
      <c r="H86" s="522">
        <v>415</v>
      </c>
      <c r="I86" s="522">
        <v>220</v>
      </c>
      <c r="J86" s="522">
        <v>790</v>
      </c>
      <c r="K86" s="522">
        <v>695</v>
      </c>
      <c r="L86" s="522">
        <v>797</v>
      </c>
      <c r="M86" s="522">
        <v>0</v>
      </c>
      <c r="N86" s="522">
        <v>6308</v>
      </c>
      <c r="O86" s="522">
        <v>5221</v>
      </c>
      <c r="P86" s="522">
        <v>5511</v>
      </c>
      <c r="Q86" s="522">
        <v>5</v>
      </c>
      <c r="R86" s="523">
        <v>2</v>
      </c>
      <c r="S86" s="523">
        <v>24</v>
      </c>
      <c r="T86" s="523">
        <v>255</v>
      </c>
      <c r="U86" s="523">
        <v>6053</v>
      </c>
      <c r="V86" s="522">
        <v>4306</v>
      </c>
      <c r="W86" s="522">
        <v>7</v>
      </c>
      <c r="X86" s="522">
        <v>28</v>
      </c>
      <c r="Y86" s="522">
        <v>35</v>
      </c>
      <c r="Z86" s="524">
        <v>106.23</v>
      </c>
      <c r="AA86" s="524">
        <v>107.38</v>
      </c>
      <c r="AB86" s="524">
        <v>8.51</v>
      </c>
      <c r="AC86" s="524">
        <v>113.5</v>
      </c>
      <c r="AD86" s="524">
        <v>3248</v>
      </c>
      <c r="AE86" s="525">
        <v>128.04</v>
      </c>
      <c r="AF86" s="525">
        <v>110.92</v>
      </c>
      <c r="AG86" s="525">
        <v>71.260000000000005</v>
      </c>
      <c r="AH86" s="525">
        <v>196.41</v>
      </c>
      <c r="AI86" s="525">
        <v>937</v>
      </c>
      <c r="AJ86" s="525">
        <v>131.88999999999999</v>
      </c>
      <c r="AK86" s="525">
        <v>971</v>
      </c>
      <c r="AL86" s="525">
        <v>122.76</v>
      </c>
      <c r="AM86" s="525">
        <v>13</v>
      </c>
      <c r="AN86" s="526">
        <v>0</v>
      </c>
      <c r="AO86" s="526">
        <v>0</v>
      </c>
      <c r="AP86" s="526">
        <v>0</v>
      </c>
      <c r="AQ86" s="526">
        <v>0</v>
      </c>
      <c r="AR86" s="522">
        <v>0</v>
      </c>
      <c r="AS86" s="526">
        <v>76.28</v>
      </c>
      <c r="AT86" s="526">
        <v>77.94</v>
      </c>
      <c r="AU86" s="526">
        <v>22.74</v>
      </c>
      <c r="AV86" s="526">
        <v>99.01</v>
      </c>
      <c r="AW86" s="522">
        <v>32</v>
      </c>
      <c r="AX86" s="526">
        <v>88.57</v>
      </c>
      <c r="AY86" s="526">
        <v>88.06</v>
      </c>
      <c r="AZ86" s="526">
        <v>14.7</v>
      </c>
      <c r="BA86" s="526">
        <v>103.16</v>
      </c>
      <c r="BB86" s="522">
        <v>726</v>
      </c>
      <c r="BC86" s="526">
        <v>103.96</v>
      </c>
      <c r="BD86" s="526">
        <v>104.8</v>
      </c>
      <c r="BE86" s="526">
        <v>9.7100000000000009</v>
      </c>
      <c r="BF86" s="526">
        <v>112.08</v>
      </c>
      <c r="BG86" s="522">
        <v>1219</v>
      </c>
      <c r="BH86" s="526">
        <v>116.56</v>
      </c>
      <c r="BI86" s="526">
        <v>118.86</v>
      </c>
      <c r="BJ86" s="526">
        <v>2.4500000000000002</v>
      </c>
      <c r="BK86" s="526">
        <v>118.6</v>
      </c>
      <c r="BL86" s="522">
        <v>1087</v>
      </c>
      <c r="BM86" s="526">
        <v>132.53</v>
      </c>
      <c r="BN86" s="526">
        <v>135.68</v>
      </c>
      <c r="BO86" s="526">
        <v>1.87</v>
      </c>
      <c r="BP86" s="526">
        <v>133.57</v>
      </c>
      <c r="BQ86" s="522">
        <v>156</v>
      </c>
      <c r="BR86" s="526">
        <v>145.29</v>
      </c>
      <c r="BS86" s="526">
        <v>145.49</v>
      </c>
      <c r="BT86" s="526">
        <v>0.37</v>
      </c>
      <c r="BU86" s="526">
        <v>145.38999999999999</v>
      </c>
      <c r="BV86" s="522">
        <v>7</v>
      </c>
      <c r="BW86" s="526">
        <v>151.07</v>
      </c>
      <c r="BX86" s="526">
        <v>156.46</v>
      </c>
      <c r="BY86" s="526">
        <v>2.4700000000000002</v>
      </c>
      <c r="BZ86" s="526">
        <v>152.13</v>
      </c>
      <c r="CA86" s="522">
        <v>21</v>
      </c>
      <c r="CB86" s="526">
        <v>106.23</v>
      </c>
      <c r="CC86" s="526">
        <v>107.38</v>
      </c>
      <c r="CD86" s="526">
        <v>8.51</v>
      </c>
      <c r="CE86" s="526">
        <v>113.5</v>
      </c>
      <c r="CF86" s="522">
        <v>3248</v>
      </c>
      <c r="CG86" s="526">
        <v>106.23</v>
      </c>
      <c r="CH86" s="526">
        <v>107.38</v>
      </c>
      <c r="CI86" s="526">
        <v>8.51</v>
      </c>
      <c r="CJ86" s="526">
        <v>113.5</v>
      </c>
      <c r="CK86" s="522">
        <v>3248</v>
      </c>
      <c r="CL86" s="526">
        <v>188.45</v>
      </c>
      <c r="CM86" s="526">
        <v>91.3</v>
      </c>
      <c r="CN86" s="526">
        <v>127.86</v>
      </c>
      <c r="CO86" s="526">
        <v>282.3</v>
      </c>
      <c r="CP86" s="522">
        <v>94</v>
      </c>
      <c r="CQ86" s="526">
        <v>86.18</v>
      </c>
      <c r="CR86" s="526">
        <v>82.21</v>
      </c>
      <c r="CS86" s="526">
        <v>41.47</v>
      </c>
      <c r="CT86" s="526">
        <v>127.65</v>
      </c>
      <c r="CU86" s="522">
        <v>74</v>
      </c>
      <c r="CV86" s="526">
        <v>114.5</v>
      </c>
      <c r="CW86" s="526">
        <v>104.55</v>
      </c>
      <c r="CX86" s="526">
        <v>66.930000000000007</v>
      </c>
      <c r="CY86" s="526">
        <v>181.3</v>
      </c>
      <c r="CZ86" s="522">
        <v>519</v>
      </c>
      <c r="DA86" s="526">
        <v>144.52000000000001</v>
      </c>
      <c r="DB86" s="526">
        <v>135.18</v>
      </c>
      <c r="DC86" s="526">
        <v>73.739999999999995</v>
      </c>
      <c r="DD86" s="526">
        <v>214.99</v>
      </c>
      <c r="DE86" s="522">
        <v>248</v>
      </c>
      <c r="DF86" s="526">
        <v>115.54</v>
      </c>
      <c r="DG86" s="526">
        <v>114.49</v>
      </c>
      <c r="DH86" s="526">
        <v>30.72</v>
      </c>
      <c r="DI86" s="526">
        <v>146.26</v>
      </c>
      <c r="DJ86" s="522">
        <v>1</v>
      </c>
      <c r="DK86" s="526">
        <v>499.79</v>
      </c>
      <c r="DL86" s="526">
        <v>0</v>
      </c>
      <c r="DM86" s="526">
        <v>0</v>
      </c>
      <c r="DN86" s="526">
        <v>499.79</v>
      </c>
      <c r="DO86" s="522">
        <v>1</v>
      </c>
      <c r="DP86" s="526">
        <v>121.3</v>
      </c>
      <c r="DQ86" s="526">
        <v>111.89</v>
      </c>
      <c r="DR86" s="526">
        <v>66.56</v>
      </c>
      <c r="DS86" s="526">
        <v>186.84</v>
      </c>
      <c r="DT86" s="522">
        <v>843</v>
      </c>
      <c r="DU86" s="526">
        <v>128.04</v>
      </c>
      <c r="DV86" s="526">
        <v>110.92</v>
      </c>
      <c r="DW86" s="526">
        <v>71.260000000000005</v>
      </c>
      <c r="DX86" s="526">
        <v>196.41</v>
      </c>
      <c r="DY86" s="522">
        <v>937</v>
      </c>
      <c r="DZ86" s="526">
        <v>0</v>
      </c>
      <c r="EA86" s="526">
        <v>0</v>
      </c>
      <c r="EB86" s="526">
        <v>0</v>
      </c>
      <c r="EC86" s="522">
        <v>0</v>
      </c>
      <c r="ED86" s="526">
        <v>99.33</v>
      </c>
      <c r="EE86" s="522">
        <v>128</v>
      </c>
      <c r="EF86" s="526">
        <v>126.38</v>
      </c>
      <c r="EG86" s="522">
        <v>484</v>
      </c>
      <c r="EH86" s="526">
        <v>146.99</v>
      </c>
      <c r="EI86" s="522">
        <v>286</v>
      </c>
      <c r="EJ86" s="526">
        <v>166.33</v>
      </c>
      <c r="EK86" s="522">
        <v>73</v>
      </c>
      <c r="EL86" s="526">
        <v>0</v>
      </c>
      <c r="EM86" s="522">
        <v>0</v>
      </c>
      <c r="EN86" s="526">
        <v>0</v>
      </c>
      <c r="EO86" s="522">
        <v>0</v>
      </c>
      <c r="EP86" s="526">
        <v>131.88999999999999</v>
      </c>
      <c r="EQ86" s="522">
        <v>971</v>
      </c>
      <c r="ER86" s="526">
        <v>131.88999999999999</v>
      </c>
      <c r="ES86" s="522">
        <v>971</v>
      </c>
      <c r="ET86" s="526">
        <v>0</v>
      </c>
      <c r="EU86" s="526">
        <v>0</v>
      </c>
      <c r="EV86" s="526">
        <v>0</v>
      </c>
      <c r="EW86" s="522">
        <v>0</v>
      </c>
      <c r="EX86" s="526">
        <v>103.9</v>
      </c>
      <c r="EY86" s="522">
        <v>5</v>
      </c>
      <c r="EZ86" s="526">
        <v>134.54</v>
      </c>
      <c r="FA86" s="522">
        <v>8</v>
      </c>
      <c r="FB86" s="526">
        <v>0</v>
      </c>
      <c r="FC86" s="522">
        <v>0</v>
      </c>
      <c r="FD86" s="526">
        <v>0</v>
      </c>
      <c r="FE86" s="522">
        <v>0</v>
      </c>
      <c r="FF86" s="526">
        <v>122.76</v>
      </c>
      <c r="FG86" s="522">
        <v>13</v>
      </c>
      <c r="FH86" s="526">
        <v>122.76</v>
      </c>
      <c r="FI86" s="522">
        <v>13</v>
      </c>
      <c r="FJ86" s="522">
        <v>0</v>
      </c>
      <c r="FK86" s="522">
        <v>2</v>
      </c>
      <c r="FL86" s="522">
        <v>1</v>
      </c>
      <c r="FM86" s="522">
        <v>0</v>
      </c>
      <c r="FN86" s="522">
        <v>1</v>
      </c>
      <c r="FO86" s="522">
        <v>0</v>
      </c>
      <c r="FP86" s="522">
        <v>6</v>
      </c>
      <c r="FQ86" s="522">
        <v>56</v>
      </c>
      <c r="FR86" s="522">
        <v>17</v>
      </c>
    </row>
    <row r="87" spans="1:174" x14ac:dyDescent="0.25">
      <c r="A87" s="523" t="s">
        <v>431</v>
      </c>
      <c r="B87" s="523" t="s">
        <v>432</v>
      </c>
      <c r="C87" s="523" t="s">
        <v>284</v>
      </c>
      <c r="D87" s="522">
        <v>11514</v>
      </c>
      <c r="E87" s="522">
        <v>10976</v>
      </c>
      <c r="F87" s="522">
        <v>194</v>
      </c>
      <c r="G87" s="522">
        <v>18</v>
      </c>
      <c r="H87" s="522">
        <v>907</v>
      </c>
      <c r="I87" s="522">
        <v>676</v>
      </c>
      <c r="J87" s="522">
        <v>746</v>
      </c>
      <c r="K87" s="522">
        <v>592</v>
      </c>
      <c r="L87" s="522">
        <v>3188</v>
      </c>
      <c r="M87" s="522">
        <v>2</v>
      </c>
      <c r="N87" s="522">
        <v>16549</v>
      </c>
      <c r="O87" s="522">
        <v>12264</v>
      </c>
      <c r="P87" s="522">
        <v>13361</v>
      </c>
      <c r="Q87" s="522">
        <v>87</v>
      </c>
      <c r="R87" s="523">
        <v>31</v>
      </c>
      <c r="S87" s="523">
        <v>37</v>
      </c>
      <c r="T87" s="523">
        <v>1185</v>
      </c>
      <c r="U87" s="523">
        <v>15364</v>
      </c>
      <c r="V87" s="522">
        <v>10822</v>
      </c>
      <c r="W87" s="522">
        <v>64</v>
      </c>
      <c r="X87" s="522">
        <v>76</v>
      </c>
      <c r="Y87" s="522">
        <v>140</v>
      </c>
      <c r="Z87" s="524">
        <v>146.6</v>
      </c>
      <c r="AA87" s="524">
        <v>149.93</v>
      </c>
      <c r="AB87" s="524">
        <v>15.96</v>
      </c>
      <c r="AC87" s="524">
        <v>158.30000000000001</v>
      </c>
      <c r="AD87" s="524">
        <v>8210</v>
      </c>
      <c r="AE87" s="525">
        <v>147.13</v>
      </c>
      <c r="AF87" s="525">
        <v>134.37</v>
      </c>
      <c r="AG87" s="525">
        <v>80.040000000000006</v>
      </c>
      <c r="AH87" s="525">
        <v>225.56</v>
      </c>
      <c r="AI87" s="525">
        <v>1292</v>
      </c>
      <c r="AJ87" s="525">
        <v>222.8</v>
      </c>
      <c r="AK87" s="525">
        <v>2072</v>
      </c>
      <c r="AL87" s="525">
        <v>227.8</v>
      </c>
      <c r="AM87" s="525">
        <v>44</v>
      </c>
      <c r="AN87" s="526">
        <v>0</v>
      </c>
      <c r="AO87" s="526">
        <v>0</v>
      </c>
      <c r="AP87" s="526">
        <v>0</v>
      </c>
      <c r="AQ87" s="526">
        <v>0</v>
      </c>
      <c r="AR87" s="522">
        <v>0</v>
      </c>
      <c r="AS87" s="526">
        <v>131.86000000000001</v>
      </c>
      <c r="AT87" s="526">
        <v>110.24</v>
      </c>
      <c r="AU87" s="526">
        <v>11.97</v>
      </c>
      <c r="AV87" s="526">
        <v>141.30000000000001</v>
      </c>
      <c r="AW87" s="522">
        <v>189</v>
      </c>
      <c r="AX87" s="526">
        <v>127.34</v>
      </c>
      <c r="AY87" s="526">
        <v>128.47999999999999</v>
      </c>
      <c r="AZ87" s="526">
        <v>16.16</v>
      </c>
      <c r="BA87" s="526">
        <v>139.97999999999999</v>
      </c>
      <c r="BB87" s="522">
        <v>2353</v>
      </c>
      <c r="BC87" s="526">
        <v>145.36000000000001</v>
      </c>
      <c r="BD87" s="526">
        <v>147.4</v>
      </c>
      <c r="BE87" s="526">
        <v>17.899999999999999</v>
      </c>
      <c r="BF87" s="526">
        <v>159.38999999999999</v>
      </c>
      <c r="BG87" s="522">
        <v>3165</v>
      </c>
      <c r="BH87" s="526">
        <v>163.87</v>
      </c>
      <c r="BI87" s="526">
        <v>170.32</v>
      </c>
      <c r="BJ87" s="526">
        <v>14.12</v>
      </c>
      <c r="BK87" s="526">
        <v>172.28</v>
      </c>
      <c r="BL87" s="522">
        <v>1929</v>
      </c>
      <c r="BM87" s="526">
        <v>178.45</v>
      </c>
      <c r="BN87" s="526">
        <v>192.4</v>
      </c>
      <c r="BO87" s="526">
        <v>9.7100000000000009</v>
      </c>
      <c r="BP87" s="526">
        <v>185.38</v>
      </c>
      <c r="BQ87" s="522">
        <v>517</v>
      </c>
      <c r="BR87" s="526">
        <v>183.14</v>
      </c>
      <c r="BS87" s="526">
        <v>207.41</v>
      </c>
      <c r="BT87" s="526">
        <v>8.18</v>
      </c>
      <c r="BU87" s="526">
        <v>188.16</v>
      </c>
      <c r="BV87" s="522">
        <v>44</v>
      </c>
      <c r="BW87" s="526">
        <v>194.57</v>
      </c>
      <c r="BX87" s="526">
        <v>234.33</v>
      </c>
      <c r="BY87" s="526">
        <v>20.86</v>
      </c>
      <c r="BZ87" s="526">
        <v>200.99</v>
      </c>
      <c r="CA87" s="522">
        <v>13</v>
      </c>
      <c r="CB87" s="526">
        <v>146.6</v>
      </c>
      <c r="CC87" s="526">
        <v>149.93</v>
      </c>
      <c r="CD87" s="526">
        <v>15.96</v>
      </c>
      <c r="CE87" s="526">
        <v>158.30000000000001</v>
      </c>
      <c r="CF87" s="522">
        <v>8210</v>
      </c>
      <c r="CG87" s="526">
        <v>146.6</v>
      </c>
      <c r="CH87" s="526">
        <v>149.93</v>
      </c>
      <c r="CI87" s="526">
        <v>15.96</v>
      </c>
      <c r="CJ87" s="526">
        <v>158.30000000000001</v>
      </c>
      <c r="CK87" s="522">
        <v>8210</v>
      </c>
      <c r="CL87" s="526">
        <v>170</v>
      </c>
      <c r="CM87" s="526">
        <v>131.09</v>
      </c>
      <c r="CN87" s="526">
        <v>113.99</v>
      </c>
      <c r="CO87" s="526">
        <v>280.2</v>
      </c>
      <c r="CP87" s="522">
        <v>330</v>
      </c>
      <c r="CQ87" s="526">
        <v>133</v>
      </c>
      <c r="CR87" s="526">
        <v>135.08000000000001</v>
      </c>
      <c r="CS87" s="526">
        <v>102.09</v>
      </c>
      <c r="CT87" s="526">
        <v>235.09</v>
      </c>
      <c r="CU87" s="522">
        <v>147</v>
      </c>
      <c r="CV87" s="526">
        <v>139.29</v>
      </c>
      <c r="CW87" s="526">
        <v>134.43</v>
      </c>
      <c r="CX87" s="526">
        <v>64.040000000000006</v>
      </c>
      <c r="CY87" s="526">
        <v>202.9</v>
      </c>
      <c r="CZ87" s="522">
        <v>749</v>
      </c>
      <c r="DA87" s="526">
        <v>149.54</v>
      </c>
      <c r="DB87" s="526">
        <v>141.99</v>
      </c>
      <c r="DC87" s="526">
        <v>43.46</v>
      </c>
      <c r="DD87" s="526">
        <v>188.51</v>
      </c>
      <c r="DE87" s="522">
        <v>58</v>
      </c>
      <c r="DF87" s="526">
        <v>181.38</v>
      </c>
      <c r="DG87" s="526">
        <v>176.41</v>
      </c>
      <c r="DH87" s="526">
        <v>13.06</v>
      </c>
      <c r="DI87" s="526">
        <v>188.84</v>
      </c>
      <c r="DJ87" s="522">
        <v>7</v>
      </c>
      <c r="DK87" s="526">
        <v>174.13</v>
      </c>
      <c r="DL87" s="526">
        <v>169.75</v>
      </c>
      <c r="DM87" s="526">
        <v>0</v>
      </c>
      <c r="DN87" s="526">
        <v>174.13</v>
      </c>
      <c r="DO87" s="522">
        <v>1</v>
      </c>
      <c r="DP87" s="526">
        <v>139.29</v>
      </c>
      <c r="DQ87" s="526">
        <v>135.34</v>
      </c>
      <c r="DR87" s="526">
        <v>68.599999999999994</v>
      </c>
      <c r="DS87" s="526">
        <v>206.82</v>
      </c>
      <c r="DT87" s="522">
        <v>962</v>
      </c>
      <c r="DU87" s="526">
        <v>147.13</v>
      </c>
      <c r="DV87" s="526">
        <v>134.37</v>
      </c>
      <c r="DW87" s="526">
        <v>80.040000000000006</v>
      </c>
      <c r="DX87" s="526">
        <v>225.56</v>
      </c>
      <c r="DY87" s="522">
        <v>1292</v>
      </c>
      <c r="DZ87" s="526">
        <v>198.27</v>
      </c>
      <c r="EA87" s="526">
        <v>1</v>
      </c>
      <c r="EB87" s="526">
        <v>168.66</v>
      </c>
      <c r="EC87" s="522">
        <v>9</v>
      </c>
      <c r="ED87" s="526">
        <v>202.77</v>
      </c>
      <c r="EE87" s="522">
        <v>711</v>
      </c>
      <c r="EF87" s="526">
        <v>230.24</v>
      </c>
      <c r="EG87" s="522">
        <v>835</v>
      </c>
      <c r="EH87" s="526">
        <v>236.63</v>
      </c>
      <c r="EI87" s="522">
        <v>419</v>
      </c>
      <c r="EJ87" s="526">
        <v>248.53</v>
      </c>
      <c r="EK87" s="522">
        <v>88</v>
      </c>
      <c r="EL87" s="526">
        <v>275.64</v>
      </c>
      <c r="EM87" s="522">
        <v>9</v>
      </c>
      <c r="EN87" s="526">
        <v>0</v>
      </c>
      <c r="EO87" s="522">
        <v>0</v>
      </c>
      <c r="EP87" s="526">
        <v>222.81</v>
      </c>
      <c r="EQ87" s="522">
        <v>2071</v>
      </c>
      <c r="ER87" s="526">
        <v>222.8</v>
      </c>
      <c r="ES87" s="522">
        <v>2072</v>
      </c>
      <c r="ET87" s="526">
        <v>0</v>
      </c>
      <c r="EU87" s="526">
        <v>0</v>
      </c>
      <c r="EV87" s="526">
        <v>0</v>
      </c>
      <c r="EW87" s="522">
        <v>0</v>
      </c>
      <c r="EX87" s="526">
        <v>226.74</v>
      </c>
      <c r="EY87" s="522">
        <v>42</v>
      </c>
      <c r="EZ87" s="526">
        <v>250.08</v>
      </c>
      <c r="FA87" s="522">
        <v>2</v>
      </c>
      <c r="FB87" s="526">
        <v>0</v>
      </c>
      <c r="FC87" s="522">
        <v>0</v>
      </c>
      <c r="FD87" s="526">
        <v>0</v>
      </c>
      <c r="FE87" s="522">
        <v>0</v>
      </c>
      <c r="FF87" s="526">
        <v>227.8</v>
      </c>
      <c r="FG87" s="522">
        <v>44</v>
      </c>
      <c r="FH87" s="526">
        <v>227.8</v>
      </c>
      <c r="FI87" s="522">
        <v>44</v>
      </c>
      <c r="FJ87" s="522">
        <v>36</v>
      </c>
      <c r="FK87" s="522">
        <v>1</v>
      </c>
      <c r="FL87" s="522">
        <v>0</v>
      </c>
      <c r="FM87" s="522">
        <v>0</v>
      </c>
      <c r="FN87" s="522">
        <v>1</v>
      </c>
      <c r="FO87" s="522">
        <v>0</v>
      </c>
      <c r="FP87" s="522">
        <v>21</v>
      </c>
      <c r="FQ87" s="522">
        <v>332</v>
      </c>
      <c r="FR87" s="522">
        <v>48</v>
      </c>
    </row>
    <row r="88" spans="1:174" x14ac:dyDescent="0.25">
      <c r="A88" s="523" t="s">
        <v>433</v>
      </c>
      <c r="B88" s="523" t="s">
        <v>434</v>
      </c>
      <c r="C88" s="523" t="s">
        <v>283</v>
      </c>
      <c r="D88" s="522">
        <v>4536</v>
      </c>
      <c r="E88" s="522">
        <v>4520</v>
      </c>
      <c r="F88" s="522">
        <v>5</v>
      </c>
      <c r="G88" s="522">
        <v>5</v>
      </c>
      <c r="H88" s="522">
        <v>109</v>
      </c>
      <c r="I88" s="522">
        <v>99</v>
      </c>
      <c r="J88" s="522">
        <v>1017</v>
      </c>
      <c r="K88" s="522">
        <v>1017</v>
      </c>
      <c r="L88" s="522">
        <v>638</v>
      </c>
      <c r="M88" s="522">
        <v>33</v>
      </c>
      <c r="N88" s="522">
        <v>6305</v>
      </c>
      <c r="O88" s="522">
        <v>5674</v>
      </c>
      <c r="P88" s="522">
        <v>5667</v>
      </c>
      <c r="Q88" s="522">
        <v>61</v>
      </c>
      <c r="R88" s="523">
        <v>3</v>
      </c>
      <c r="S88" s="523">
        <v>29</v>
      </c>
      <c r="T88" s="523">
        <v>26</v>
      </c>
      <c r="U88" s="523">
        <v>6279</v>
      </c>
      <c r="V88" s="522">
        <v>4520</v>
      </c>
      <c r="W88" s="522">
        <v>31</v>
      </c>
      <c r="X88" s="522">
        <v>191</v>
      </c>
      <c r="Y88" s="522">
        <v>222</v>
      </c>
      <c r="Z88" s="524">
        <v>117</v>
      </c>
      <c r="AA88" s="524">
        <v>120.6</v>
      </c>
      <c r="AB88" s="524">
        <v>4.51</v>
      </c>
      <c r="AC88" s="524">
        <v>118.79</v>
      </c>
      <c r="AD88" s="524">
        <v>3724</v>
      </c>
      <c r="AE88" s="525">
        <v>111.08</v>
      </c>
      <c r="AF88" s="525">
        <v>111.54</v>
      </c>
      <c r="AG88" s="525">
        <v>36.46</v>
      </c>
      <c r="AH88" s="525">
        <v>147.34</v>
      </c>
      <c r="AI88" s="525">
        <v>1116</v>
      </c>
      <c r="AJ88" s="525">
        <v>166.19</v>
      </c>
      <c r="AK88" s="525">
        <v>735</v>
      </c>
      <c r="AL88" s="525">
        <v>0</v>
      </c>
      <c r="AM88" s="525">
        <v>0</v>
      </c>
      <c r="AN88" s="526">
        <v>87.9</v>
      </c>
      <c r="AO88" s="526">
        <v>91.26</v>
      </c>
      <c r="AP88" s="526">
        <v>1.76</v>
      </c>
      <c r="AQ88" s="526">
        <v>88.96</v>
      </c>
      <c r="AR88" s="522">
        <v>5</v>
      </c>
      <c r="AS88" s="526">
        <v>84.24</v>
      </c>
      <c r="AT88" s="526">
        <v>87.46</v>
      </c>
      <c r="AU88" s="526">
        <v>2.29</v>
      </c>
      <c r="AV88" s="526">
        <v>85.51</v>
      </c>
      <c r="AW88" s="522">
        <v>9</v>
      </c>
      <c r="AX88" s="526">
        <v>98.13</v>
      </c>
      <c r="AY88" s="526">
        <v>100.35</v>
      </c>
      <c r="AZ88" s="526">
        <v>6.91</v>
      </c>
      <c r="BA88" s="526">
        <v>102.99</v>
      </c>
      <c r="BB88" s="522">
        <v>605</v>
      </c>
      <c r="BC88" s="526">
        <v>114.37</v>
      </c>
      <c r="BD88" s="526">
        <v>117.69</v>
      </c>
      <c r="BE88" s="526">
        <v>3.96</v>
      </c>
      <c r="BF88" s="526">
        <v>116.11</v>
      </c>
      <c r="BG88" s="522">
        <v>1633</v>
      </c>
      <c r="BH88" s="526">
        <v>127.02</v>
      </c>
      <c r="BI88" s="526">
        <v>131.44</v>
      </c>
      <c r="BJ88" s="526">
        <v>2.69</v>
      </c>
      <c r="BK88" s="526">
        <v>127.57</v>
      </c>
      <c r="BL88" s="522">
        <v>1361</v>
      </c>
      <c r="BM88" s="526">
        <v>139.44999999999999</v>
      </c>
      <c r="BN88" s="526">
        <v>144.83000000000001</v>
      </c>
      <c r="BO88" s="526">
        <v>2.78</v>
      </c>
      <c r="BP88" s="526">
        <v>140.71</v>
      </c>
      <c r="BQ88" s="522">
        <v>110</v>
      </c>
      <c r="BR88" s="526">
        <v>153.06</v>
      </c>
      <c r="BS88" s="526">
        <v>158.91999999999999</v>
      </c>
      <c r="BT88" s="526">
        <v>0</v>
      </c>
      <c r="BU88" s="526">
        <v>153.06</v>
      </c>
      <c r="BV88" s="522">
        <v>1</v>
      </c>
      <c r="BW88" s="526">
        <v>0</v>
      </c>
      <c r="BX88" s="526">
        <v>0</v>
      </c>
      <c r="BY88" s="526">
        <v>0</v>
      </c>
      <c r="BZ88" s="526">
        <v>0</v>
      </c>
      <c r="CA88" s="522">
        <v>0</v>
      </c>
      <c r="CB88" s="526">
        <v>117.04</v>
      </c>
      <c r="CC88" s="526">
        <v>120.64</v>
      </c>
      <c r="CD88" s="526">
        <v>4.5199999999999996</v>
      </c>
      <c r="CE88" s="526">
        <v>118.83</v>
      </c>
      <c r="CF88" s="522">
        <v>3719</v>
      </c>
      <c r="CG88" s="526">
        <v>117</v>
      </c>
      <c r="CH88" s="526">
        <v>120.6</v>
      </c>
      <c r="CI88" s="526">
        <v>4.51</v>
      </c>
      <c r="CJ88" s="526">
        <v>118.79</v>
      </c>
      <c r="CK88" s="522">
        <v>3724</v>
      </c>
      <c r="CL88" s="526">
        <v>115.9</v>
      </c>
      <c r="CM88" s="526">
        <v>88.51</v>
      </c>
      <c r="CN88" s="526">
        <v>100.28</v>
      </c>
      <c r="CO88" s="526">
        <v>216.18</v>
      </c>
      <c r="CP88" s="522">
        <v>85</v>
      </c>
      <c r="CQ88" s="526">
        <v>91.37</v>
      </c>
      <c r="CR88" s="526">
        <v>93.05</v>
      </c>
      <c r="CS88" s="526">
        <v>14.03</v>
      </c>
      <c r="CT88" s="526">
        <v>105.4</v>
      </c>
      <c r="CU88" s="522">
        <v>2</v>
      </c>
      <c r="CV88" s="526">
        <v>107.74</v>
      </c>
      <c r="CW88" s="526">
        <v>109.01</v>
      </c>
      <c r="CX88" s="526">
        <v>33.74</v>
      </c>
      <c r="CY88" s="526">
        <v>141.47999999999999</v>
      </c>
      <c r="CZ88" s="522">
        <v>739</v>
      </c>
      <c r="DA88" s="526">
        <v>118.04</v>
      </c>
      <c r="DB88" s="526">
        <v>122.39</v>
      </c>
      <c r="DC88" s="526">
        <v>24.54</v>
      </c>
      <c r="DD88" s="526">
        <v>142.13999999999999</v>
      </c>
      <c r="DE88" s="522">
        <v>283</v>
      </c>
      <c r="DF88" s="526">
        <v>129.78</v>
      </c>
      <c r="DG88" s="526">
        <v>131.57</v>
      </c>
      <c r="DH88" s="526">
        <v>26.18</v>
      </c>
      <c r="DI88" s="526">
        <v>152.22</v>
      </c>
      <c r="DJ88" s="522">
        <v>7</v>
      </c>
      <c r="DK88" s="526">
        <v>0</v>
      </c>
      <c r="DL88" s="526">
        <v>0</v>
      </c>
      <c r="DM88" s="526">
        <v>0</v>
      </c>
      <c r="DN88" s="526">
        <v>0</v>
      </c>
      <c r="DO88" s="522">
        <v>0</v>
      </c>
      <c r="DP88" s="526">
        <v>110.68</v>
      </c>
      <c r="DQ88" s="526">
        <v>112.82</v>
      </c>
      <c r="DR88" s="526">
        <v>31.16</v>
      </c>
      <c r="DS88" s="526">
        <v>141.66</v>
      </c>
      <c r="DT88" s="522">
        <v>1031</v>
      </c>
      <c r="DU88" s="526">
        <v>111.08</v>
      </c>
      <c r="DV88" s="526">
        <v>111.54</v>
      </c>
      <c r="DW88" s="526">
        <v>36.46</v>
      </c>
      <c r="DX88" s="526">
        <v>147.34</v>
      </c>
      <c r="DY88" s="522">
        <v>1116</v>
      </c>
      <c r="DZ88" s="526">
        <v>0</v>
      </c>
      <c r="EA88" s="526">
        <v>0</v>
      </c>
      <c r="EB88" s="526">
        <v>0</v>
      </c>
      <c r="EC88" s="522">
        <v>0</v>
      </c>
      <c r="ED88" s="526">
        <v>136.38</v>
      </c>
      <c r="EE88" s="522">
        <v>102</v>
      </c>
      <c r="EF88" s="526">
        <v>161.19999999999999</v>
      </c>
      <c r="EG88" s="522">
        <v>398</v>
      </c>
      <c r="EH88" s="526">
        <v>178.1</v>
      </c>
      <c r="EI88" s="522">
        <v>202</v>
      </c>
      <c r="EJ88" s="526">
        <v>246.5</v>
      </c>
      <c r="EK88" s="522">
        <v>32</v>
      </c>
      <c r="EL88" s="526">
        <v>218.39</v>
      </c>
      <c r="EM88" s="522">
        <v>1</v>
      </c>
      <c r="EN88" s="526">
        <v>0</v>
      </c>
      <c r="EO88" s="522">
        <v>0</v>
      </c>
      <c r="EP88" s="526">
        <v>166.19</v>
      </c>
      <c r="EQ88" s="522">
        <v>735</v>
      </c>
      <c r="ER88" s="526">
        <v>166.19</v>
      </c>
      <c r="ES88" s="522">
        <v>735</v>
      </c>
      <c r="ET88" s="526">
        <v>0</v>
      </c>
      <c r="EU88" s="526">
        <v>0</v>
      </c>
      <c r="EV88" s="526">
        <v>0</v>
      </c>
      <c r="EW88" s="522">
        <v>0</v>
      </c>
      <c r="EX88" s="526">
        <v>0</v>
      </c>
      <c r="EY88" s="522">
        <v>0</v>
      </c>
      <c r="EZ88" s="526">
        <v>0</v>
      </c>
      <c r="FA88" s="522">
        <v>0</v>
      </c>
      <c r="FB88" s="526">
        <v>0</v>
      </c>
      <c r="FC88" s="522">
        <v>0</v>
      </c>
      <c r="FD88" s="526">
        <v>0</v>
      </c>
      <c r="FE88" s="522">
        <v>0</v>
      </c>
      <c r="FF88" s="526">
        <v>0</v>
      </c>
      <c r="FG88" s="522">
        <v>0</v>
      </c>
      <c r="FH88" s="526">
        <v>0</v>
      </c>
      <c r="FI88" s="522">
        <v>0</v>
      </c>
      <c r="FJ88" s="522">
        <v>0</v>
      </c>
      <c r="FK88" s="522">
        <v>1</v>
      </c>
      <c r="FL88" s="522">
        <v>1</v>
      </c>
      <c r="FM88" s="522">
        <v>0</v>
      </c>
      <c r="FN88" s="522">
        <v>0</v>
      </c>
      <c r="FO88" s="522">
        <v>0</v>
      </c>
      <c r="FP88" s="522">
        <v>0</v>
      </c>
      <c r="FQ88" s="522">
        <v>69</v>
      </c>
      <c r="FR88" s="522">
        <v>5</v>
      </c>
    </row>
    <row r="89" spans="1:174" x14ac:dyDescent="0.25">
      <c r="A89" s="523" t="s">
        <v>435</v>
      </c>
      <c r="B89" s="523" t="s">
        <v>436</v>
      </c>
      <c r="C89" s="523" t="s">
        <v>287</v>
      </c>
      <c r="D89" s="522">
        <v>2787</v>
      </c>
      <c r="E89" s="522">
        <v>2783</v>
      </c>
      <c r="F89" s="522">
        <v>0</v>
      </c>
      <c r="G89" s="522">
        <v>0</v>
      </c>
      <c r="H89" s="522">
        <v>213</v>
      </c>
      <c r="I89" s="522">
        <v>162</v>
      </c>
      <c r="J89" s="522">
        <v>121</v>
      </c>
      <c r="K89" s="522">
        <v>89</v>
      </c>
      <c r="L89" s="522">
        <v>1029</v>
      </c>
      <c r="M89" s="522">
        <v>76</v>
      </c>
      <c r="N89" s="522">
        <v>4150</v>
      </c>
      <c r="O89" s="522">
        <v>3110</v>
      </c>
      <c r="P89" s="522">
        <v>3121</v>
      </c>
      <c r="Q89" s="522">
        <v>20</v>
      </c>
      <c r="R89" s="523">
        <v>7</v>
      </c>
      <c r="S89" s="523">
        <v>25</v>
      </c>
      <c r="T89" s="523">
        <v>81</v>
      </c>
      <c r="U89" s="523">
        <v>4069</v>
      </c>
      <c r="V89" s="522">
        <v>2778</v>
      </c>
      <c r="W89" s="522">
        <v>40</v>
      </c>
      <c r="X89" s="522">
        <v>6</v>
      </c>
      <c r="Y89" s="522">
        <v>46</v>
      </c>
      <c r="Z89" s="524">
        <v>106.64</v>
      </c>
      <c r="AA89" s="524">
        <v>106.37</v>
      </c>
      <c r="AB89" s="524">
        <v>4.74</v>
      </c>
      <c r="AC89" s="524">
        <v>110.25</v>
      </c>
      <c r="AD89" s="524">
        <v>1688</v>
      </c>
      <c r="AE89" s="525">
        <v>130.57</v>
      </c>
      <c r="AF89" s="525">
        <v>86.99</v>
      </c>
      <c r="AG89" s="525">
        <v>59.55</v>
      </c>
      <c r="AH89" s="525">
        <v>186.03</v>
      </c>
      <c r="AI89" s="525">
        <v>262</v>
      </c>
      <c r="AJ89" s="525">
        <v>151.71</v>
      </c>
      <c r="AK89" s="525">
        <v>927</v>
      </c>
      <c r="AL89" s="525">
        <v>0</v>
      </c>
      <c r="AM89" s="525">
        <v>0</v>
      </c>
      <c r="AN89" s="526">
        <v>0</v>
      </c>
      <c r="AO89" s="526">
        <v>0</v>
      </c>
      <c r="AP89" s="526">
        <v>0</v>
      </c>
      <c r="AQ89" s="526">
        <v>0</v>
      </c>
      <c r="AR89" s="522">
        <v>0</v>
      </c>
      <c r="AS89" s="526">
        <v>0</v>
      </c>
      <c r="AT89" s="526">
        <v>0</v>
      </c>
      <c r="AU89" s="526">
        <v>0</v>
      </c>
      <c r="AV89" s="526">
        <v>0</v>
      </c>
      <c r="AW89" s="522">
        <v>0</v>
      </c>
      <c r="AX89" s="526">
        <v>87.44</v>
      </c>
      <c r="AY89" s="526">
        <v>87.06</v>
      </c>
      <c r="AZ89" s="526">
        <v>10.29</v>
      </c>
      <c r="BA89" s="526">
        <v>97.54</v>
      </c>
      <c r="BB89" s="522">
        <v>217</v>
      </c>
      <c r="BC89" s="526">
        <v>102.77</v>
      </c>
      <c r="BD89" s="526">
        <v>102.42</v>
      </c>
      <c r="BE89" s="526">
        <v>4.62</v>
      </c>
      <c r="BF89" s="526">
        <v>106.38</v>
      </c>
      <c r="BG89" s="522">
        <v>801</v>
      </c>
      <c r="BH89" s="526">
        <v>116.06</v>
      </c>
      <c r="BI89" s="526">
        <v>115.88</v>
      </c>
      <c r="BJ89" s="526">
        <v>2.33</v>
      </c>
      <c r="BK89" s="526">
        <v>117.59</v>
      </c>
      <c r="BL89" s="522">
        <v>613</v>
      </c>
      <c r="BM89" s="526">
        <v>133.06</v>
      </c>
      <c r="BN89" s="526">
        <v>134.11000000000001</v>
      </c>
      <c r="BO89" s="526">
        <v>1.7</v>
      </c>
      <c r="BP89" s="526">
        <v>134.47999999999999</v>
      </c>
      <c r="BQ89" s="522">
        <v>54</v>
      </c>
      <c r="BR89" s="526">
        <v>126.03</v>
      </c>
      <c r="BS89" s="526">
        <v>133.24</v>
      </c>
      <c r="BT89" s="526">
        <v>0</v>
      </c>
      <c r="BU89" s="526">
        <v>126.03</v>
      </c>
      <c r="BV89" s="522">
        <v>3</v>
      </c>
      <c r="BW89" s="526">
        <v>0</v>
      </c>
      <c r="BX89" s="526">
        <v>0</v>
      </c>
      <c r="BY89" s="526">
        <v>0</v>
      </c>
      <c r="BZ89" s="526">
        <v>0</v>
      </c>
      <c r="CA89" s="522">
        <v>0</v>
      </c>
      <c r="CB89" s="526">
        <v>106.64</v>
      </c>
      <c r="CC89" s="526">
        <v>106.37</v>
      </c>
      <c r="CD89" s="526">
        <v>4.74</v>
      </c>
      <c r="CE89" s="526">
        <v>110.25</v>
      </c>
      <c r="CF89" s="522">
        <v>1688</v>
      </c>
      <c r="CG89" s="526">
        <v>106.64</v>
      </c>
      <c r="CH89" s="526">
        <v>106.37</v>
      </c>
      <c r="CI89" s="526">
        <v>4.74</v>
      </c>
      <c r="CJ89" s="526">
        <v>110.25</v>
      </c>
      <c r="CK89" s="522">
        <v>1688</v>
      </c>
      <c r="CL89" s="526">
        <v>172.6</v>
      </c>
      <c r="CM89" s="526">
        <v>69.66</v>
      </c>
      <c r="CN89" s="526">
        <v>104.9</v>
      </c>
      <c r="CO89" s="526">
        <v>277.5</v>
      </c>
      <c r="CP89" s="522">
        <v>64</v>
      </c>
      <c r="CQ89" s="526">
        <v>99.29</v>
      </c>
      <c r="CR89" s="526">
        <v>85.67</v>
      </c>
      <c r="CS89" s="526">
        <v>34.08</v>
      </c>
      <c r="CT89" s="526">
        <v>133.37</v>
      </c>
      <c r="CU89" s="522">
        <v>9</v>
      </c>
      <c r="CV89" s="526">
        <v>118.02</v>
      </c>
      <c r="CW89" s="526">
        <v>88.75</v>
      </c>
      <c r="CX89" s="526">
        <v>44.4</v>
      </c>
      <c r="CY89" s="526">
        <v>158.97</v>
      </c>
      <c r="CZ89" s="522">
        <v>180</v>
      </c>
      <c r="DA89" s="526">
        <v>113.8</v>
      </c>
      <c r="DB89" s="526">
        <v>106.24</v>
      </c>
      <c r="DC89" s="526">
        <v>28.06</v>
      </c>
      <c r="DD89" s="526">
        <v>129.38999999999999</v>
      </c>
      <c r="DE89" s="522">
        <v>9</v>
      </c>
      <c r="DF89" s="526">
        <v>0</v>
      </c>
      <c r="DG89" s="526">
        <v>0</v>
      </c>
      <c r="DH89" s="526">
        <v>0</v>
      </c>
      <c r="DI89" s="526">
        <v>0</v>
      </c>
      <c r="DJ89" s="522">
        <v>0</v>
      </c>
      <c r="DK89" s="526">
        <v>0</v>
      </c>
      <c r="DL89" s="526">
        <v>0</v>
      </c>
      <c r="DM89" s="526">
        <v>0</v>
      </c>
      <c r="DN89" s="526">
        <v>0</v>
      </c>
      <c r="DO89" s="522">
        <v>0</v>
      </c>
      <c r="DP89" s="526">
        <v>116.98</v>
      </c>
      <c r="DQ89" s="526">
        <v>89.46</v>
      </c>
      <c r="DR89" s="526">
        <v>43.43</v>
      </c>
      <c r="DS89" s="526">
        <v>156.46</v>
      </c>
      <c r="DT89" s="522">
        <v>198</v>
      </c>
      <c r="DU89" s="526">
        <v>130.57</v>
      </c>
      <c r="DV89" s="526">
        <v>86.99</v>
      </c>
      <c r="DW89" s="526">
        <v>59.55</v>
      </c>
      <c r="DX89" s="526">
        <v>186.03</v>
      </c>
      <c r="DY89" s="522">
        <v>262</v>
      </c>
      <c r="DZ89" s="526">
        <v>0</v>
      </c>
      <c r="EA89" s="526">
        <v>0</v>
      </c>
      <c r="EB89" s="526">
        <v>0</v>
      </c>
      <c r="EC89" s="522">
        <v>0</v>
      </c>
      <c r="ED89" s="526">
        <v>127.27</v>
      </c>
      <c r="EE89" s="522">
        <v>215</v>
      </c>
      <c r="EF89" s="526">
        <v>149.56</v>
      </c>
      <c r="EG89" s="522">
        <v>482</v>
      </c>
      <c r="EH89" s="526">
        <v>177.72</v>
      </c>
      <c r="EI89" s="522">
        <v>217</v>
      </c>
      <c r="EJ89" s="526">
        <v>201.49</v>
      </c>
      <c r="EK89" s="522">
        <v>13</v>
      </c>
      <c r="EL89" s="526">
        <v>0</v>
      </c>
      <c r="EM89" s="522">
        <v>0</v>
      </c>
      <c r="EN89" s="526">
        <v>0</v>
      </c>
      <c r="EO89" s="522">
        <v>0</v>
      </c>
      <c r="EP89" s="526">
        <v>151.71</v>
      </c>
      <c r="EQ89" s="522">
        <v>927</v>
      </c>
      <c r="ER89" s="526">
        <v>151.71</v>
      </c>
      <c r="ES89" s="522">
        <v>927</v>
      </c>
      <c r="ET89" s="526">
        <v>0</v>
      </c>
      <c r="EU89" s="526">
        <v>0</v>
      </c>
      <c r="EV89" s="526">
        <v>0</v>
      </c>
      <c r="EW89" s="522">
        <v>0</v>
      </c>
      <c r="EX89" s="526">
        <v>0</v>
      </c>
      <c r="EY89" s="522">
        <v>0</v>
      </c>
      <c r="EZ89" s="526">
        <v>0</v>
      </c>
      <c r="FA89" s="522">
        <v>0</v>
      </c>
      <c r="FB89" s="526">
        <v>0</v>
      </c>
      <c r="FC89" s="522">
        <v>0</v>
      </c>
      <c r="FD89" s="526">
        <v>0</v>
      </c>
      <c r="FE89" s="522">
        <v>0</v>
      </c>
      <c r="FF89" s="526">
        <v>0</v>
      </c>
      <c r="FG89" s="522">
        <v>0</v>
      </c>
      <c r="FH89" s="526">
        <v>0</v>
      </c>
      <c r="FI89" s="522">
        <v>0</v>
      </c>
      <c r="FJ89" s="522">
        <v>0</v>
      </c>
      <c r="FK89" s="522">
        <v>0</v>
      </c>
      <c r="FL89" s="522">
        <v>0</v>
      </c>
      <c r="FM89" s="522">
        <v>0</v>
      </c>
      <c r="FN89" s="522">
        <v>0</v>
      </c>
      <c r="FO89" s="522">
        <v>0</v>
      </c>
      <c r="FP89" s="522">
        <v>2</v>
      </c>
      <c r="FQ89" s="522">
        <v>62</v>
      </c>
      <c r="FR89" s="522">
        <v>5</v>
      </c>
    </row>
    <row r="90" spans="1:174" x14ac:dyDescent="0.25">
      <c r="A90" s="523" t="s">
        <v>437</v>
      </c>
      <c r="B90" s="523" t="s">
        <v>438</v>
      </c>
      <c r="C90" s="523" t="s">
        <v>2</v>
      </c>
      <c r="D90" s="522">
        <v>5994</v>
      </c>
      <c r="E90" s="522">
        <v>5710</v>
      </c>
      <c r="F90" s="522">
        <v>0</v>
      </c>
      <c r="G90" s="522">
        <v>0</v>
      </c>
      <c r="H90" s="522">
        <v>122</v>
      </c>
      <c r="I90" s="522">
        <v>72</v>
      </c>
      <c r="J90" s="522">
        <v>789</v>
      </c>
      <c r="K90" s="522">
        <v>789</v>
      </c>
      <c r="L90" s="522">
        <v>787</v>
      </c>
      <c r="M90" s="522">
        <v>38</v>
      </c>
      <c r="N90" s="522">
        <v>7692</v>
      </c>
      <c r="O90" s="522">
        <v>6609</v>
      </c>
      <c r="P90" s="522">
        <v>6905</v>
      </c>
      <c r="Q90" s="522">
        <v>1</v>
      </c>
      <c r="R90" s="523">
        <v>4</v>
      </c>
      <c r="S90" s="523">
        <v>27</v>
      </c>
      <c r="T90" s="523">
        <v>315</v>
      </c>
      <c r="U90" s="523">
        <v>7377</v>
      </c>
      <c r="V90" s="522">
        <v>5710</v>
      </c>
      <c r="W90" s="522">
        <v>35</v>
      </c>
      <c r="X90" s="522">
        <v>19</v>
      </c>
      <c r="Y90" s="522">
        <v>54</v>
      </c>
      <c r="Z90" s="524">
        <v>131.44</v>
      </c>
      <c r="AA90" s="524">
        <v>133.33000000000001</v>
      </c>
      <c r="AB90" s="524">
        <v>4.7</v>
      </c>
      <c r="AC90" s="524">
        <v>133.22999999999999</v>
      </c>
      <c r="AD90" s="524">
        <v>4253</v>
      </c>
      <c r="AE90" s="525">
        <v>113.29</v>
      </c>
      <c r="AF90" s="525">
        <v>110.16</v>
      </c>
      <c r="AG90" s="525">
        <v>22.62</v>
      </c>
      <c r="AH90" s="525">
        <v>135.36000000000001</v>
      </c>
      <c r="AI90" s="525">
        <v>872</v>
      </c>
      <c r="AJ90" s="525">
        <v>181.79</v>
      </c>
      <c r="AK90" s="525">
        <v>1361</v>
      </c>
      <c r="AL90" s="525">
        <v>139.05000000000001</v>
      </c>
      <c r="AM90" s="525">
        <v>8</v>
      </c>
      <c r="AN90" s="526">
        <v>0</v>
      </c>
      <c r="AO90" s="526">
        <v>0</v>
      </c>
      <c r="AP90" s="526">
        <v>0</v>
      </c>
      <c r="AQ90" s="526">
        <v>0</v>
      </c>
      <c r="AR90" s="522">
        <v>0</v>
      </c>
      <c r="AS90" s="526">
        <v>94.09</v>
      </c>
      <c r="AT90" s="526">
        <v>90.69</v>
      </c>
      <c r="AU90" s="526">
        <v>14.16</v>
      </c>
      <c r="AV90" s="526">
        <v>107.99</v>
      </c>
      <c r="AW90" s="522">
        <v>55</v>
      </c>
      <c r="AX90" s="526">
        <v>106.45</v>
      </c>
      <c r="AY90" s="526">
        <v>108.72</v>
      </c>
      <c r="AZ90" s="526">
        <v>5.37</v>
      </c>
      <c r="BA90" s="526">
        <v>109.31</v>
      </c>
      <c r="BB90" s="522">
        <v>764</v>
      </c>
      <c r="BC90" s="526">
        <v>126.64</v>
      </c>
      <c r="BD90" s="526">
        <v>128.04</v>
      </c>
      <c r="BE90" s="526">
        <v>4.88</v>
      </c>
      <c r="BF90" s="526">
        <v>128.80000000000001</v>
      </c>
      <c r="BG90" s="522">
        <v>1486</v>
      </c>
      <c r="BH90" s="526">
        <v>144.96</v>
      </c>
      <c r="BI90" s="526">
        <v>146.88</v>
      </c>
      <c r="BJ90" s="526">
        <v>2.97</v>
      </c>
      <c r="BK90" s="526">
        <v>145.72999999999999</v>
      </c>
      <c r="BL90" s="522">
        <v>1805</v>
      </c>
      <c r="BM90" s="526">
        <v>158.43</v>
      </c>
      <c r="BN90" s="526">
        <v>164.55</v>
      </c>
      <c r="BO90" s="526">
        <v>2.2999999999999998</v>
      </c>
      <c r="BP90" s="526">
        <v>159.02000000000001</v>
      </c>
      <c r="BQ90" s="522">
        <v>141</v>
      </c>
      <c r="BR90" s="526">
        <v>164.43</v>
      </c>
      <c r="BS90" s="526">
        <v>211.83</v>
      </c>
      <c r="BT90" s="526">
        <v>0</v>
      </c>
      <c r="BU90" s="526">
        <v>164.43</v>
      </c>
      <c r="BV90" s="522">
        <v>2</v>
      </c>
      <c r="BW90" s="526">
        <v>0</v>
      </c>
      <c r="BX90" s="526">
        <v>0</v>
      </c>
      <c r="BY90" s="526">
        <v>0</v>
      </c>
      <c r="BZ90" s="526">
        <v>0</v>
      </c>
      <c r="CA90" s="522">
        <v>0</v>
      </c>
      <c r="CB90" s="526">
        <v>131.44</v>
      </c>
      <c r="CC90" s="526">
        <v>133.33000000000001</v>
      </c>
      <c r="CD90" s="526">
        <v>4.7</v>
      </c>
      <c r="CE90" s="526">
        <v>133.22999999999999</v>
      </c>
      <c r="CF90" s="522">
        <v>4253</v>
      </c>
      <c r="CG90" s="526">
        <v>131.44</v>
      </c>
      <c r="CH90" s="526">
        <v>133.33000000000001</v>
      </c>
      <c r="CI90" s="526">
        <v>4.7</v>
      </c>
      <c r="CJ90" s="526">
        <v>133.22999999999999</v>
      </c>
      <c r="CK90" s="522">
        <v>4253</v>
      </c>
      <c r="CL90" s="526">
        <v>116.58</v>
      </c>
      <c r="CM90" s="526">
        <v>93.23</v>
      </c>
      <c r="CN90" s="526">
        <v>122.17</v>
      </c>
      <c r="CO90" s="526">
        <v>229.54</v>
      </c>
      <c r="CP90" s="522">
        <v>53</v>
      </c>
      <c r="CQ90" s="526">
        <v>92</v>
      </c>
      <c r="CR90" s="526">
        <v>92.41</v>
      </c>
      <c r="CS90" s="526">
        <v>21.69</v>
      </c>
      <c r="CT90" s="526">
        <v>113.69</v>
      </c>
      <c r="CU90" s="522">
        <v>140</v>
      </c>
      <c r="CV90" s="526">
        <v>112.35</v>
      </c>
      <c r="CW90" s="526">
        <v>110.15</v>
      </c>
      <c r="CX90" s="526">
        <v>17.13</v>
      </c>
      <c r="CY90" s="526">
        <v>129.22</v>
      </c>
      <c r="CZ90" s="522">
        <v>529</v>
      </c>
      <c r="DA90" s="526">
        <v>134.22</v>
      </c>
      <c r="DB90" s="526">
        <v>132.49</v>
      </c>
      <c r="DC90" s="526">
        <v>8.61</v>
      </c>
      <c r="DD90" s="526">
        <v>142.53</v>
      </c>
      <c r="DE90" s="522">
        <v>143</v>
      </c>
      <c r="DF90" s="526">
        <v>157.52000000000001</v>
      </c>
      <c r="DG90" s="526">
        <v>132.26</v>
      </c>
      <c r="DH90" s="526">
        <v>38.520000000000003</v>
      </c>
      <c r="DI90" s="526">
        <v>174.03</v>
      </c>
      <c r="DJ90" s="522">
        <v>7</v>
      </c>
      <c r="DK90" s="526">
        <v>0</v>
      </c>
      <c r="DL90" s="526">
        <v>0</v>
      </c>
      <c r="DM90" s="526">
        <v>0</v>
      </c>
      <c r="DN90" s="526">
        <v>0</v>
      </c>
      <c r="DO90" s="522">
        <v>0</v>
      </c>
      <c r="DP90" s="526">
        <v>113.07</v>
      </c>
      <c r="DQ90" s="526">
        <v>110.98</v>
      </c>
      <c r="DR90" s="526">
        <v>16.54</v>
      </c>
      <c r="DS90" s="526">
        <v>129.27000000000001</v>
      </c>
      <c r="DT90" s="522">
        <v>819</v>
      </c>
      <c r="DU90" s="526">
        <v>113.29</v>
      </c>
      <c r="DV90" s="526">
        <v>110.16</v>
      </c>
      <c r="DW90" s="526">
        <v>22.62</v>
      </c>
      <c r="DX90" s="526">
        <v>135.36000000000001</v>
      </c>
      <c r="DY90" s="522">
        <v>872</v>
      </c>
      <c r="DZ90" s="526">
        <v>0</v>
      </c>
      <c r="EA90" s="526">
        <v>0</v>
      </c>
      <c r="EB90" s="526">
        <v>133.16999999999999</v>
      </c>
      <c r="EC90" s="522">
        <v>3</v>
      </c>
      <c r="ED90" s="526">
        <v>142.72</v>
      </c>
      <c r="EE90" s="522">
        <v>360</v>
      </c>
      <c r="EF90" s="526">
        <v>183.17</v>
      </c>
      <c r="EG90" s="522">
        <v>666</v>
      </c>
      <c r="EH90" s="526">
        <v>216.89</v>
      </c>
      <c r="EI90" s="522">
        <v>302</v>
      </c>
      <c r="EJ90" s="526">
        <v>271.57</v>
      </c>
      <c r="EK90" s="522">
        <v>30</v>
      </c>
      <c r="EL90" s="526">
        <v>0</v>
      </c>
      <c r="EM90" s="522">
        <v>0</v>
      </c>
      <c r="EN90" s="526">
        <v>0</v>
      </c>
      <c r="EO90" s="522">
        <v>0</v>
      </c>
      <c r="EP90" s="526">
        <v>181.79</v>
      </c>
      <c r="EQ90" s="522">
        <v>1361</v>
      </c>
      <c r="ER90" s="526">
        <v>181.79</v>
      </c>
      <c r="ES90" s="522">
        <v>1361</v>
      </c>
      <c r="ET90" s="526">
        <v>0</v>
      </c>
      <c r="EU90" s="526">
        <v>0</v>
      </c>
      <c r="EV90" s="526">
        <v>0</v>
      </c>
      <c r="EW90" s="522">
        <v>0</v>
      </c>
      <c r="EX90" s="526">
        <v>139.05000000000001</v>
      </c>
      <c r="EY90" s="522">
        <v>8</v>
      </c>
      <c r="EZ90" s="526">
        <v>0</v>
      </c>
      <c r="FA90" s="522">
        <v>0</v>
      </c>
      <c r="FB90" s="526">
        <v>0</v>
      </c>
      <c r="FC90" s="522">
        <v>0</v>
      </c>
      <c r="FD90" s="526">
        <v>0</v>
      </c>
      <c r="FE90" s="522">
        <v>0</v>
      </c>
      <c r="FF90" s="526">
        <v>139.05000000000001</v>
      </c>
      <c r="FG90" s="522">
        <v>8</v>
      </c>
      <c r="FH90" s="526">
        <v>139.05000000000001</v>
      </c>
      <c r="FI90" s="522">
        <v>8</v>
      </c>
      <c r="FJ90" s="522">
        <v>0</v>
      </c>
      <c r="FK90" s="522">
        <v>1</v>
      </c>
      <c r="FL90" s="522">
        <v>1</v>
      </c>
      <c r="FM90" s="522">
        <v>0</v>
      </c>
      <c r="FN90" s="522">
        <v>0</v>
      </c>
      <c r="FO90" s="522">
        <v>0</v>
      </c>
      <c r="FP90" s="522">
        <v>20</v>
      </c>
      <c r="FQ90" s="522">
        <v>33</v>
      </c>
      <c r="FR90" s="522">
        <v>12</v>
      </c>
    </row>
    <row r="91" spans="1:174" x14ac:dyDescent="0.25">
      <c r="A91" s="523" t="s">
        <v>439</v>
      </c>
      <c r="B91" s="523" t="s">
        <v>440</v>
      </c>
      <c r="C91" s="523" t="s">
        <v>283</v>
      </c>
      <c r="D91" s="522">
        <v>7767</v>
      </c>
      <c r="E91" s="522">
        <v>7722</v>
      </c>
      <c r="F91" s="522">
        <v>0</v>
      </c>
      <c r="G91" s="522">
        <v>0</v>
      </c>
      <c r="H91" s="522">
        <v>175</v>
      </c>
      <c r="I91" s="522">
        <v>146</v>
      </c>
      <c r="J91" s="522">
        <v>1055</v>
      </c>
      <c r="K91" s="522">
        <v>1049</v>
      </c>
      <c r="L91" s="522">
        <v>1313</v>
      </c>
      <c r="M91" s="522">
        <v>1</v>
      </c>
      <c r="N91" s="522">
        <v>10310</v>
      </c>
      <c r="O91" s="522">
        <v>8918</v>
      </c>
      <c r="P91" s="522">
        <v>8997</v>
      </c>
      <c r="Q91" s="522">
        <v>59</v>
      </c>
      <c r="R91" s="523">
        <v>4</v>
      </c>
      <c r="S91" s="523">
        <v>30</v>
      </c>
      <c r="T91" s="523">
        <v>42</v>
      </c>
      <c r="U91" s="523">
        <v>10268</v>
      </c>
      <c r="V91" s="522">
        <v>7767</v>
      </c>
      <c r="W91" s="522">
        <v>52</v>
      </c>
      <c r="X91" s="522">
        <v>54</v>
      </c>
      <c r="Y91" s="522">
        <v>106</v>
      </c>
      <c r="Z91" s="524">
        <v>132.81</v>
      </c>
      <c r="AA91" s="524">
        <v>136.88</v>
      </c>
      <c r="AB91" s="524">
        <v>7.65</v>
      </c>
      <c r="AC91" s="524">
        <v>136.4</v>
      </c>
      <c r="AD91" s="524">
        <v>5148</v>
      </c>
      <c r="AE91" s="525">
        <v>121.57</v>
      </c>
      <c r="AF91" s="525">
        <v>117.17</v>
      </c>
      <c r="AG91" s="525">
        <v>46.09</v>
      </c>
      <c r="AH91" s="525">
        <v>165.57</v>
      </c>
      <c r="AI91" s="525">
        <v>1188</v>
      </c>
      <c r="AJ91" s="525">
        <v>196.4</v>
      </c>
      <c r="AK91" s="525">
        <v>2531</v>
      </c>
      <c r="AL91" s="525">
        <v>0</v>
      </c>
      <c r="AM91" s="525">
        <v>0</v>
      </c>
      <c r="AN91" s="526">
        <v>0</v>
      </c>
      <c r="AO91" s="526">
        <v>0</v>
      </c>
      <c r="AP91" s="526">
        <v>0</v>
      </c>
      <c r="AQ91" s="526">
        <v>0</v>
      </c>
      <c r="AR91" s="522">
        <v>0</v>
      </c>
      <c r="AS91" s="526">
        <v>92.38</v>
      </c>
      <c r="AT91" s="526">
        <v>94.4</v>
      </c>
      <c r="AU91" s="526">
        <v>9.76</v>
      </c>
      <c r="AV91" s="526">
        <v>100.78</v>
      </c>
      <c r="AW91" s="522">
        <v>101</v>
      </c>
      <c r="AX91" s="526">
        <v>109.79</v>
      </c>
      <c r="AY91" s="526">
        <v>112.65</v>
      </c>
      <c r="AZ91" s="526">
        <v>8.6999999999999993</v>
      </c>
      <c r="BA91" s="526">
        <v>116.06</v>
      </c>
      <c r="BB91" s="522">
        <v>1028</v>
      </c>
      <c r="BC91" s="526">
        <v>129.38999999999999</v>
      </c>
      <c r="BD91" s="526">
        <v>132.24</v>
      </c>
      <c r="BE91" s="526">
        <v>8.6</v>
      </c>
      <c r="BF91" s="526">
        <v>134.34</v>
      </c>
      <c r="BG91" s="522">
        <v>1816</v>
      </c>
      <c r="BH91" s="526">
        <v>147.58000000000001</v>
      </c>
      <c r="BI91" s="526">
        <v>153.27000000000001</v>
      </c>
      <c r="BJ91" s="526">
        <v>4.1399999999999997</v>
      </c>
      <c r="BK91" s="526">
        <v>148.57</v>
      </c>
      <c r="BL91" s="522">
        <v>2105</v>
      </c>
      <c r="BM91" s="526">
        <v>160.97</v>
      </c>
      <c r="BN91" s="526">
        <v>167.94</v>
      </c>
      <c r="BO91" s="526">
        <v>2.83</v>
      </c>
      <c r="BP91" s="526">
        <v>162.13999999999999</v>
      </c>
      <c r="BQ91" s="522">
        <v>92</v>
      </c>
      <c r="BR91" s="526">
        <v>173.62</v>
      </c>
      <c r="BS91" s="526">
        <v>181.35</v>
      </c>
      <c r="BT91" s="526">
        <v>0.33</v>
      </c>
      <c r="BU91" s="526">
        <v>173.75</v>
      </c>
      <c r="BV91" s="522">
        <v>5</v>
      </c>
      <c r="BW91" s="526">
        <v>192.08</v>
      </c>
      <c r="BX91" s="526">
        <v>203.53</v>
      </c>
      <c r="BY91" s="526">
        <v>0</v>
      </c>
      <c r="BZ91" s="526">
        <v>192.08</v>
      </c>
      <c r="CA91" s="522">
        <v>1</v>
      </c>
      <c r="CB91" s="526">
        <v>132.81</v>
      </c>
      <c r="CC91" s="526">
        <v>136.88</v>
      </c>
      <c r="CD91" s="526">
        <v>7.65</v>
      </c>
      <c r="CE91" s="526">
        <v>136.4</v>
      </c>
      <c r="CF91" s="522">
        <v>5148</v>
      </c>
      <c r="CG91" s="526">
        <v>132.81</v>
      </c>
      <c r="CH91" s="526">
        <v>136.88</v>
      </c>
      <c r="CI91" s="526">
        <v>7.65</v>
      </c>
      <c r="CJ91" s="526">
        <v>136.4</v>
      </c>
      <c r="CK91" s="522">
        <v>5148</v>
      </c>
      <c r="CL91" s="526">
        <v>138.72</v>
      </c>
      <c r="CM91" s="526">
        <v>106.7</v>
      </c>
      <c r="CN91" s="526">
        <v>95.94</v>
      </c>
      <c r="CO91" s="526">
        <v>190.17</v>
      </c>
      <c r="CP91" s="522">
        <v>69</v>
      </c>
      <c r="CQ91" s="526">
        <v>102.48</v>
      </c>
      <c r="CR91" s="526">
        <v>90.5</v>
      </c>
      <c r="CS91" s="526">
        <v>169.72</v>
      </c>
      <c r="CT91" s="526">
        <v>272.2</v>
      </c>
      <c r="CU91" s="522">
        <v>47</v>
      </c>
      <c r="CV91" s="526">
        <v>116.77</v>
      </c>
      <c r="CW91" s="526">
        <v>114.19</v>
      </c>
      <c r="CX91" s="526">
        <v>41.59</v>
      </c>
      <c r="CY91" s="526">
        <v>157.49</v>
      </c>
      <c r="CZ91" s="522">
        <v>816</v>
      </c>
      <c r="DA91" s="526">
        <v>135.16999999999999</v>
      </c>
      <c r="DB91" s="526">
        <v>132.93</v>
      </c>
      <c r="DC91" s="526">
        <v>28.97</v>
      </c>
      <c r="DD91" s="526">
        <v>163.57</v>
      </c>
      <c r="DE91" s="522">
        <v>253</v>
      </c>
      <c r="DF91" s="526">
        <v>184.26</v>
      </c>
      <c r="DG91" s="526">
        <v>146.02000000000001</v>
      </c>
      <c r="DH91" s="526">
        <v>109.38</v>
      </c>
      <c r="DI91" s="526">
        <v>293.63</v>
      </c>
      <c r="DJ91" s="522">
        <v>3</v>
      </c>
      <c r="DK91" s="526">
        <v>0</v>
      </c>
      <c r="DL91" s="526">
        <v>0</v>
      </c>
      <c r="DM91" s="526">
        <v>0</v>
      </c>
      <c r="DN91" s="526">
        <v>0</v>
      </c>
      <c r="DO91" s="522">
        <v>0</v>
      </c>
      <c r="DP91" s="526">
        <v>120.51</v>
      </c>
      <c r="DQ91" s="526">
        <v>117.66</v>
      </c>
      <c r="DR91" s="526">
        <v>44.41</v>
      </c>
      <c r="DS91" s="526">
        <v>164.05</v>
      </c>
      <c r="DT91" s="522">
        <v>1119</v>
      </c>
      <c r="DU91" s="526">
        <v>121.57</v>
      </c>
      <c r="DV91" s="526">
        <v>117.17</v>
      </c>
      <c r="DW91" s="526">
        <v>46.09</v>
      </c>
      <c r="DX91" s="526">
        <v>165.57</v>
      </c>
      <c r="DY91" s="522">
        <v>1188</v>
      </c>
      <c r="DZ91" s="526">
        <v>0</v>
      </c>
      <c r="EA91" s="526">
        <v>0</v>
      </c>
      <c r="EB91" s="526">
        <v>0</v>
      </c>
      <c r="EC91" s="522">
        <v>0</v>
      </c>
      <c r="ED91" s="526">
        <v>154.66999999999999</v>
      </c>
      <c r="EE91" s="522">
        <v>694</v>
      </c>
      <c r="EF91" s="526">
        <v>195.2</v>
      </c>
      <c r="EG91" s="522">
        <v>1164</v>
      </c>
      <c r="EH91" s="526">
        <v>237.61</v>
      </c>
      <c r="EI91" s="522">
        <v>626</v>
      </c>
      <c r="EJ91" s="526">
        <v>293.22000000000003</v>
      </c>
      <c r="EK91" s="522">
        <v>47</v>
      </c>
      <c r="EL91" s="526">
        <v>0</v>
      </c>
      <c r="EM91" s="522">
        <v>0</v>
      </c>
      <c r="EN91" s="526">
        <v>0</v>
      </c>
      <c r="EO91" s="522">
        <v>0</v>
      </c>
      <c r="EP91" s="526">
        <v>196.4</v>
      </c>
      <c r="EQ91" s="522">
        <v>2531</v>
      </c>
      <c r="ER91" s="526">
        <v>196.4</v>
      </c>
      <c r="ES91" s="522">
        <v>2531</v>
      </c>
      <c r="ET91" s="526">
        <v>0</v>
      </c>
      <c r="EU91" s="526">
        <v>0</v>
      </c>
      <c r="EV91" s="526">
        <v>0</v>
      </c>
      <c r="EW91" s="522">
        <v>0</v>
      </c>
      <c r="EX91" s="526">
        <v>0</v>
      </c>
      <c r="EY91" s="522">
        <v>0</v>
      </c>
      <c r="EZ91" s="526">
        <v>0</v>
      </c>
      <c r="FA91" s="522">
        <v>0</v>
      </c>
      <c r="FB91" s="526">
        <v>0</v>
      </c>
      <c r="FC91" s="522">
        <v>0</v>
      </c>
      <c r="FD91" s="526">
        <v>0</v>
      </c>
      <c r="FE91" s="522">
        <v>0</v>
      </c>
      <c r="FF91" s="526">
        <v>0</v>
      </c>
      <c r="FG91" s="522">
        <v>0</v>
      </c>
      <c r="FH91" s="526">
        <v>0</v>
      </c>
      <c r="FI91" s="522">
        <v>0</v>
      </c>
      <c r="FJ91" s="522">
        <v>12</v>
      </c>
      <c r="FK91" s="522">
        <v>3</v>
      </c>
      <c r="FL91" s="522">
        <v>3</v>
      </c>
      <c r="FM91" s="522">
        <v>0</v>
      </c>
      <c r="FN91" s="522">
        <v>0</v>
      </c>
      <c r="FO91" s="522">
        <v>0</v>
      </c>
      <c r="FP91" s="522">
        <v>4</v>
      </c>
      <c r="FQ91" s="522">
        <v>102</v>
      </c>
      <c r="FR91" s="522">
        <v>18</v>
      </c>
    </row>
    <row r="92" spans="1:174" x14ac:dyDescent="0.25">
      <c r="A92" s="523" t="s">
        <v>441</v>
      </c>
      <c r="B92" s="523" t="s">
        <v>442</v>
      </c>
      <c r="C92" s="523" t="s">
        <v>282</v>
      </c>
      <c r="D92" s="522">
        <v>6987</v>
      </c>
      <c r="E92" s="522">
        <v>6822</v>
      </c>
      <c r="F92" s="522">
        <v>0</v>
      </c>
      <c r="G92" s="522">
        <v>0</v>
      </c>
      <c r="H92" s="522">
        <v>197</v>
      </c>
      <c r="I92" s="522">
        <v>148</v>
      </c>
      <c r="J92" s="522">
        <v>577</v>
      </c>
      <c r="K92" s="522">
        <v>577</v>
      </c>
      <c r="L92" s="522">
        <v>708</v>
      </c>
      <c r="M92" s="522">
        <v>0</v>
      </c>
      <c r="N92" s="522">
        <v>8469</v>
      </c>
      <c r="O92" s="522">
        <v>7547</v>
      </c>
      <c r="P92" s="522">
        <v>7761</v>
      </c>
      <c r="Q92" s="522">
        <v>3</v>
      </c>
      <c r="R92" s="523">
        <v>3</v>
      </c>
      <c r="S92" s="523">
        <v>22</v>
      </c>
      <c r="T92" s="523">
        <v>163</v>
      </c>
      <c r="U92" s="523">
        <v>8306</v>
      </c>
      <c r="V92" s="522">
        <v>6830</v>
      </c>
      <c r="W92" s="522">
        <v>58</v>
      </c>
      <c r="X92" s="522">
        <v>72</v>
      </c>
      <c r="Y92" s="522">
        <v>130</v>
      </c>
      <c r="Z92" s="524">
        <v>94.89</v>
      </c>
      <c r="AA92" s="524">
        <v>97.82</v>
      </c>
      <c r="AB92" s="524">
        <v>3.93</v>
      </c>
      <c r="AC92" s="524">
        <v>98.06</v>
      </c>
      <c r="AD92" s="524">
        <v>5130</v>
      </c>
      <c r="AE92" s="525">
        <v>95.86</v>
      </c>
      <c r="AF92" s="525">
        <v>90.57</v>
      </c>
      <c r="AG92" s="525">
        <v>48.97</v>
      </c>
      <c r="AH92" s="525">
        <v>143.41999999999999</v>
      </c>
      <c r="AI92" s="525">
        <v>727</v>
      </c>
      <c r="AJ92" s="525">
        <v>107.38</v>
      </c>
      <c r="AK92" s="525">
        <v>1619</v>
      </c>
      <c r="AL92" s="525">
        <v>177.6</v>
      </c>
      <c r="AM92" s="525">
        <v>40</v>
      </c>
      <c r="AN92" s="526">
        <v>0</v>
      </c>
      <c r="AO92" s="526">
        <v>0</v>
      </c>
      <c r="AP92" s="526">
        <v>0</v>
      </c>
      <c r="AQ92" s="526">
        <v>0</v>
      </c>
      <c r="AR92" s="522">
        <v>0</v>
      </c>
      <c r="AS92" s="526">
        <v>78.08</v>
      </c>
      <c r="AT92" s="526">
        <v>78.69</v>
      </c>
      <c r="AU92" s="526">
        <v>21.31</v>
      </c>
      <c r="AV92" s="526">
        <v>90.18</v>
      </c>
      <c r="AW92" s="522">
        <v>81</v>
      </c>
      <c r="AX92" s="526">
        <v>83.88</v>
      </c>
      <c r="AY92" s="526">
        <v>83.62</v>
      </c>
      <c r="AZ92" s="526">
        <v>9.02</v>
      </c>
      <c r="BA92" s="526">
        <v>92.45</v>
      </c>
      <c r="BB92" s="522">
        <v>539</v>
      </c>
      <c r="BC92" s="526">
        <v>93.65</v>
      </c>
      <c r="BD92" s="526">
        <v>96.66</v>
      </c>
      <c r="BE92" s="526">
        <v>3.58</v>
      </c>
      <c r="BF92" s="526">
        <v>96.65</v>
      </c>
      <c r="BG92" s="522">
        <v>2759</v>
      </c>
      <c r="BH92" s="526">
        <v>100.56</v>
      </c>
      <c r="BI92" s="526">
        <v>104.41</v>
      </c>
      <c r="BJ92" s="526">
        <v>1.9</v>
      </c>
      <c r="BK92" s="526">
        <v>101.92</v>
      </c>
      <c r="BL92" s="522">
        <v>1658</v>
      </c>
      <c r="BM92" s="526">
        <v>109.01</v>
      </c>
      <c r="BN92" s="526">
        <v>113.47</v>
      </c>
      <c r="BO92" s="526">
        <v>1.63</v>
      </c>
      <c r="BP92" s="526">
        <v>110.41</v>
      </c>
      <c r="BQ92" s="522">
        <v>91</v>
      </c>
      <c r="BR92" s="526">
        <v>116.94</v>
      </c>
      <c r="BS92" s="526">
        <v>121.42</v>
      </c>
      <c r="BT92" s="526">
        <v>1.61</v>
      </c>
      <c r="BU92" s="526">
        <v>117.75</v>
      </c>
      <c r="BV92" s="522">
        <v>2</v>
      </c>
      <c r="BW92" s="526">
        <v>0</v>
      </c>
      <c r="BX92" s="526">
        <v>0</v>
      </c>
      <c r="BY92" s="526">
        <v>0</v>
      </c>
      <c r="BZ92" s="526">
        <v>0</v>
      </c>
      <c r="CA92" s="522">
        <v>0</v>
      </c>
      <c r="CB92" s="526">
        <v>94.89</v>
      </c>
      <c r="CC92" s="526">
        <v>97.82</v>
      </c>
      <c r="CD92" s="526">
        <v>3.93</v>
      </c>
      <c r="CE92" s="526">
        <v>98.06</v>
      </c>
      <c r="CF92" s="522">
        <v>5130</v>
      </c>
      <c r="CG92" s="526">
        <v>94.89</v>
      </c>
      <c r="CH92" s="526">
        <v>97.82</v>
      </c>
      <c r="CI92" s="526">
        <v>3.93</v>
      </c>
      <c r="CJ92" s="526">
        <v>98.06</v>
      </c>
      <c r="CK92" s="522">
        <v>5130</v>
      </c>
      <c r="CL92" s="526">
        <v>147.44999999999999</v>
      </c>
      <c r="CM92" s="526">
        <v>73.44</v>
      </c>
      <c r="CN92" s="526">
        <v>156.29</v>
      </c>
      <c r="CO92" s="526">
        <v>303.74</v>
      </c>
      <c r="CP92" s="522">
        <v>59</v>
      </c>
      <c r="CQ92" s="526">
        <v>76.73</v>
      </c>
      <c r="CR92" s="526">
        <v>77.069999999999993</v>
      </c>
      <c r="CS92" s="526">
        <v>37.97</v>
      </c>
      <c r="CT92" s="526">
        <v>107.28</v>
      </c>
      <c r="CU92" s="522">
        <v>87</v>
      </c>
      <c r="CV92" s="526">
        <v>90.68</v>
      </c>
      <c r="CW92" s="526">
        <v>90.73</v>
      </c>
      <c r="CX92" s="526">
        <v>44.33</v>
      </c>
      <c r="CY92" s="526">
        <v>134.62</v>
      </c>
      <c r="CZ92" s="522">
        <v>450</v>
      </c>
      <c r="DA92" s="526">
        <v>102.93</v>
      </c>
      <c r="DB92" s="526">
        <v>102</v>
      </c>
      <c r="DC92" s="526">
        <v>20.66</v>
      </c>
      <c r="DD92" s="526">
        <v>123.58</v>
      </c>
      <c r="DE92" s="522">
        <v>127</v>
      </c>
      <c r="DF92" s="526">
        <v>109.05</v>
      </c>
      <c r="DG92" s="526">
        <v>113.25</v>
      </c>
      <c r="DH92" s="526">
        <v>75.680000000000007</v>
      </c>
      <c r="DI92" s="526">
        <v>184.72</v>
      </c>
      <c r="DJ92" s="522">
        <v>4</v>
      </c>
      <c r="DK92" s="526">
        <v>0</v>
      </c>
      <c r="DL92" s="526">
        <v>0</v>
      </c>
      <c r="DM92" s="526">
        <v>0</v>
      </c>
      <c r="DN92" s="526">
        <v>0</v>
      </c>
      <c r="DO92" s="522">
        <v>0</v>
      </c>
      <c r="DP92" s="526">
        <v>91.3</v>
      </c>
      <c r="DQ92" s="526">
        <v>91.23</v>
      </c>
      <c r="DR92" s="526">
        <v>39.19</v>
      </c>
      <c r="DS92" s="526">
        <v>129.26</v>
      </c>
      <c r="DT92" s="522">
        <v>668</v>
      </c>
      <c r="DU92" s="526">
        <v>95.86</v>
      </c>
      <c r="DV92" s="526">
        <v>90.57</v>
      </c>
      <c r="DW92" s="526">
        <v>48.97</v>
      </c>
      <c r="DX92" s="526">
        <v>143.41999999999999</v>
      </c>
      <c r="DY92" s="522">
        <v>727</v>
      </c>
      <c r="DZ92" s="526">
        <v>0</v>
      </c>
      <c r="EA92" s="526">
        <v>0</v>
      </c>
      <c r="EB92" s="526">
        <v>0</v>
      </c>
      <c r="EC92" s="522">
        <v>0</v>
      </c>
      <c r="ED92" s="526">
        <v>86.65</v>
      </c>
      <c r="EE92" s="522">
        <v>254</v>
      </c>
      <c r="EF92" s="526">
        <v>104.89</v>
      </c>
      <c r="EG92" s="522">
        <v>826</v>
      </c>
      <c r="EH92" s="526">
        <v>119.39</v>
      </c>
      <c r="EI92" s="522">
        <v>499</v>
      </c>
      <c r="EJ92" s="526">
        <v>140.72999999999999</v>
      </c>
      <c r="EK92" s="522">
        <v>40</v>
      </c>
      <c r="EL92" s="526">
        <v>0</v>
      </c>
      <c r="EM92" s="522">
        <v>0</v>
      </c>
      <c r="EN92" s="526">
        <v>0</v>
      </c>
      <c r="EO92" s="522">
        <v>0</v>
      </c>
      <c r="EP92" s="526">
        <v>107.38</v>
      </c>
      <c r="EQ92" s="522">
        <v>1619</v>
      </c>
      <c r="ER92" s="526">
        <v>107.38</v>
      </c>
      <c r="ES92" s="522">
        <v>1619</v>
      </c>
      <c r="ET92" s="526">
        <v>0</v>
      </c>
      <c r="EU92" s="526">
        <v>0</v>
      </c>
      <c r="EV92" s="526">
        <v>0</v>
      </c>
      <c r="EW92" s="522">
        <v>0</v>
      </c>
      <c r="EX92" s="526">
        <v>177.49</v>
      </c>
      <c r="EY92" s="522">
        <v>38</v>
      </c>
      <c r="EZ92" s="526">
        <v>179.78</v>
      </c>
      <c r="FA92" s="522">
        <v>2</v>
      </c>
      <c r="FB92" s="526">
        <v>0</v>
      </c>
      <c r="FC92" s="522">
        <v>0</v>
      </c>
      <c r="FD92" s="526">
        <v>0</v>
      </c>
      <c r="FE92" s="522">
        <v>0</v>
      </c>
      <c r="FF92" s="526">
        <v>177.6</v>
      </c>
      <c r="FG92" s="522">
        <v>40</v>
      </c>
      <c r="FH92" s="526">
        <v>177.6</v>
      </c>
      <c r="FI92" s="522">
        <v>40</v>
      </c>
      <c r="FJ92" s="522">
        <v>0</v>
      </c>
      <c r="FK92" s="522">
        <v>4</v>
      </c>
      <c r="FL92" s="522">
        <v>3</v>
      </c>
      <c r="FM92" s="522">
        <v>0</v>
      </c>
      <c r="FN92" s="522">
        <v>1</v>
      </c>
      <c r="FO92" s="522">
        <v>0</v>
      </c>
      <c r="FP92" s="522">
        <v>4</v>
      </c>
      <c r="FQ92" s="522">
        <v>36</v>
      </c>
      <c r="FR92" s="522">
        <v>3</v>
      </c>
    </row>
    <row r="93" spans="1:174" x14ac:dyDescent="0.25">
      <c r="A93" s="523" t="s">
        <v>443</v>
      </c>
      <c r="B93" s="523" t="s">
        <v>444</v>
      </c>
      <c r="C93" s="523" t="s">
        <v>289</v>
      </c>
      <c r="D93" s="522">
        <v>3013</v>
      </c>
      <c r="E93" s="522">
        <v>2801</v>
      </c>
      <c r="F93" s="522">
        <v>0</v>
      </c>
      <c r="G93" s="522">
        <v>0</v>
      </c>
      <c r="H93" s="522">
        <v>276</v>
      </c>
      <c r="I93" s="522">
        <v>199</v>
      </c>
      <c r="J93" s="522">
        <v>618</v>
      </c>
      <c r="K93" s="522">
        <v>581</v>
      </c>
      <c r="L93" s="522">
        <v>748</v>
      </c>
      <c r="M93" s="522">
        <v>83</v>
      </c>
      <c r="N93" s="522">
        <v>4655</v>
      </c>
      <c r="O93" s="522">
        <v>3664</v>
      </c>
      <c r="P93" s="522">
        <v>3907</v>
      </c>
      <c r="Q93" s="522">
        <v>58</v>
      </c>
      <c r="R93" s="523">
        <v>9</v>
      </c>
      <c r="S93" s="523">
        <v>33</v>
      </c>
      <c r="T93" s="523">
        <v>291</v>
      </c>
      <c r="U93" s="523">
        <v>4364</v>
      </c>
      <c r="V93" s="522">
        <v>2803</v>
      </c>
      <c r="W93" s="522">
        <v>47</v>
      </c>
      <c r="X93" s="522">
        <v>9</v>
      </c>
      <c r="Y93" s="522">
        <v>56</v>
      </c>
      <c r="Z93" s="524">
        <v>102.09</v>
      </c>
      <c r="AA93" s="524">
        <v>103.07</v>
      </c>
      <c r="AB93" s="524">
        <v>5.62</v>
      </c>
      <c r="AC93" s="524">
        <v>105.43</v>
      </c>
      <c r="AD93" s="524">
        <v>1310</v>
      </c>
      <c r="AE93" s="525">
        <v>113.55</v>
      </c>
      <c r="AF93" s="525">
        <v>94.79</v>
      </c>
      <c r="AG93" s="525">
        <v>57.02</v>
      </c>
      <c r="AH93" s="525">
        <v>167.94</v>
      </c>
      <c r="AI93" s="525">
        <v>802</v>
      </c>
      <c r="AJ93" s="525">
        <v>120.27</v>
      </c>
      <c r="AK93" s="525">
        <v>1411</v>
      </c>
      <c r="AL93" s="525">
        <v>125.46</v>
      </c>
      <c r="AM93" s="525">
        <v>11</v>
      </c>
      <c r="AN93" s="526">
        <v>0</v>
      </c>
      <c r="AO93" s="526">
        <v>0</v>
      </c>
      <c r="AP93" s="526">
        <v>0</v>
      </c>
      <c r="AQ93" s="526">
        <v>0</v>
      </c>
      <c r="AR93" s="522">
        <v>0</v>
      </c>
      <c r="AS93" s="526">
        <v>0</v>
      </c>
      <c r="AT93" s="526">
        <v>0</v>
      </c>
      <c r="AU93" s="526">
        <v>0</v>
      </c>
      <c r="AV93" s="526">
        <v>0</v>
      </c>
      <c r="AW93" s="522">
        <v>0</v>
      </c>
      <c r="AX93" s="526">
        <v>83.02</v>
      </c>
      <c r="AY93" s="526">
        <v>85.14</v>
      </c>
      <c r="AZ93" s="526">
        <v>11.33</v>
      </c>
      <c r="BA93" s="526">
        <v>94.29</v>
      </c>
      <c r="BB93" s="522">
        <v>188</v>
      </c>
      <c r="BC93" s="526">
        <v>100.03</v>
      </c>
      <c r="BD93" s="526">
        <v>101.15</v>
      </c>
      <c r="BE93" s="526">
        <v>4.58</v>
      </c>
      <c r="BF93" s="526">
        <v>102.74</v>
      </c>
      <c r="BG93" s="522">
        <v>685</v>
      </c>
      <c r="BH93" s="526">
        <v>113.12</v>
      </c>
      <c r="BI93" s="526">
        <v>113.37</v>
      </c>
      <c r="BJ93" s="526">
        <v>2.11</v>
      </c>
      <c r="BK93" s="526">
        <v>114.04</v>
      </c>
      <c r="BL93" s="522">
        <v>408</v>
      </c>
      <c r="BM93" s="526">
        <v>118.41</v>
      </c>
      <c r="BN93" s="526">
        <v>119.23</v>
      </c>
      <c r="BO93" s="526">
        <v>3.11</v>
      </c>
      <c r="BP93" s="526">
        <v>119.37</v>
      </c>
      <c r="BQ93" s="522">
        <v>26</v>
      </c>
      <c r="BR93" s="526">
        <v>121.95</v>
      </c>
      <c r="BS93" s="526">
        <v>123.41</v>
      </c>
      <c r="BT93" s="526">
        <v>0</v>
      </c>
      <c r="BU93" s="526">
        <v>121.95</v>
      </c>
      <c r="BV93" s="522">
        <v>2</v>
      </c>
      <c r="BW93" s="526">
        <v>132.41</v>
      </c>
      <c r="BX93" s="526">
        <v>128.69999999999999</v>
      </c>
      <c r="BY93" s="526">
        <v>0</v>
      </c>
      <c r="BZ93" s="526">
        <v>132.41</v>
      </c>
      <c r="CA93" s="522">
        <v>1</v>
      </c>
      <c r="CB93" s="526">
        <v>102.09</v>
      </c>
      <c r="CC93" s="526">
        <v>103.07</v>
      </c>
      <c r="CD93" s="526">
        <v>5.62</v>
      </c>
      <c r="CE93" s="526">
        <v>105.43</v>
      </c>
      <c r="CF93" s="522">
        <v>1310</v>
      </c>
      <c r="CG93" s="526">
        <v>102.09</v>
      </c>
      <c r="CH93" s="526">
        <v>103.07</v>
      </c>
      <c r="CI93" s="526">
        <v>5.62</v>
      </c>
      <c r="CJ93" s="526">
        <v>105.43</v>
      </c>
      <c r="CK93" s="522">
        <v>1310</v>
      </c>
      <c r="CL93" s="526">
        <v>133.81</v>
      </c>
      <c r="CM93" s="526">
        <v>89.84</v>
      </c>
      <c r="CN93" s="526">
        <v>113.88</v>
      </c>
      <c r="CO93" s="526">
        <v>224.55</v>
      </c>
      <c r="CP93" s="522">
        <v>123</v>
      </c>
      <c r="CQ93" s="526">
        <v>88.11</v>
      </c>
      <c r="CR93" s="526">
        <v>82.61</v>
      </c>
      <c r="CS93" s="526">
        <v>47.45</v>
      </c>
      <c r="CT93" s="526">
        <v>134.78</v>
      </c>
      <c r="CU93" s="522">
        <v>61</v>
      </c>
      <c r="CV93" s="526">
        <v>110.99</v>
      </c>
      <c r="CW93" s="526">
        <v>93.86</v>
      </c>
      <c r="CX93" s="526">
        <v>53.34</v>
      </c>
      <c r="CY93" s="526">
        <v>163.79</v>
      </c>
      <c r="CZ93" s="522">
        <v>492</v>
      </c>
      <c r="DA93" s="526">
        <v>113.32</v>
      </c>
      <c r="DB93" s="526">
        <v>106.5</v>
      </c>
      <c r="DC93" s="526">
        <v>29.59</v>
      </c>
      <c r="DD93" s="526">
        <v>142.4</v>
      </c>
      <c r="DE93" s="522">
        <v>117</v>
      </c>
      <c r="DF93" s="526">
        <v>151.80000000000001</v>
      </c>
      <c r="DG93" s="526">
        <v>114.56</v>
      </c>
      <c r="DH93" s="526">
        <v>46.43</v>
      </c>
      <c r="DI93" s="526">
        <v>177.59</v>
      </c>
      <c r="DJ93" s="522">
        <v>9</v>
      </c>
      <c r="DK93" s="526">
        <v>0</v>
      </c>
      <c r="DL93" s="526">
        <v>0</v>
      </c>
      <c r="DM93" s="526">
        <v>0</v>
      </c>
      <c r="DN93" s="526">
        <v>0</v>
      </c>
      <c r="DO93" s="522">
        <v>0</v>
      </c>
      <c r="DP93" s="526">
        <v>109.88</v>
      </c>
      <c r="DQ93" s="526">
        <v>95.32</v>
      </c>
      <c r="DR93" s="526">
        <v>48.67</v>
      </c>
      <c r="DS93" s="526">
        <v>157.68</v>
      </c>
      <c r="DT93" s="522">
        <v>679</v>
      </c>
      <c r="DU93" s="526">
        <v>113.55</v>
      </c>
      <c r="DV93" s="526">
        <v>94.79</v>
      </c>
      <c r="DW93" s="526">
        <v>57.02</v>
      </c>
      <c r="DX93" s="526">
        <v>167.94</v>
      </c>
      <c r="DY93" s="522">
        <v>802</v>
      </c>
      <c r="DZ93" s="526">
        <v>0</v>
      </c>
      <c r="EA93" s="526">
        <v>0</v>
      </c>
      <c r="EB93" s="526">
        <v>0</v>
      </c>
      <c r="EC93" s="522">
        <v>0</v>
      </c>
      <c r="ED93" s="526">
        <v>98.55</v>
      </c>
      <c r="EE93" s="522">
        <v>302</v>
      </c>
      <c r="EF93" s="526">
        <v>120.95</v>
      </c>
      <c r="EG93" s="522">
        <v>769</v>
      </c>
      <c r="EH93" s="526">
        <v>136.78</v>
      </c>
      <c r="EI93" s="522">
        <v>319</v>
      </c>
      <c r="EJ93" s="526">
        <v>156.78</v>
      </c>
      <c r="EK93" s="522">
        <v>21</v>
      </c>
      <c r="EL93" s="526">
        <v>0</v>
      </c>
      <c r="EM93" s="522">
        <v>0</v>
      </c>
      <c r="EN93" s="526">
        <v>0</v>
      </c>
      <c r="EO93" s="522">
        <v>0</v>
      </c>
      <c r="EP93" s="526">
        <v>120.27</v>
      </c>
      <c r="EQ93" s="522">
        <v>1411</v>
      </c>
      <c r="ER93" s="526">
        <v>120.27</v>
      </c>
      <c r="ES93" s="522">
        <v>1411</v>
      </c>
      <c r="ET93" s="526">
        <v>0</v>
      </c>
      <c r="EU93" s="526">
        <v>0</v>
      </c>
      <c r="EV93" s="526">
        <v>0</v>
      </c>
      <c r="EW93" s="522">
        <v>0</v>
      </c>
      <c r="EX93" s="526">
        <v>122.23</v>
      </c>
      <c r="EY93" s="522">
        <v>10</v>
      </c>
      <c r="EZ93" s="526">
        <v>157.72</v>
      </c>
      <c r="FA93" s="522">
        <v>1</v>
      </c>
      <c r="FB93" s="526">
        <v>0</v>
      </c>
      <c r="FC93" s="522">
        <v>0</v>
      </c>
      <c r="FD93" s="526">
        <v>0</v>
      </c>
      <c r="FE93" s="522">
        <v>0</v>
      </c>
      <c r="FF93" s="526">
        <v>125.46</v>
      </c>
      <c r="FG93" s="522">
        <v>11</v>
      </c>
      <c r="FH93" s="526">
        <v>125.46</v>
      </c>
      <c r="FI93" s="522">
        <v>11</v>
      </c>
      <c r="FJ93" s="522">
        <v>0</v>
      </c>
      <c r="FK93" s="522">
        <v>0</v>
      </c>
      <c r="FL93" s="522">
        <v>0</v>
      </c>
      <c r="FM93" s="522">
        <v>0</v>
      </c>
      <c r="FN93" s="522">
        <v>0</v>
      </c>
      <c r="FO93" s="522">
        <v>0</v>
      </c>
      <c r="FP93" s="522">
        <v>1</v>
      </c>
      <c r="FQ93" s="522">
        <v>133</v>
      </c>
      <c r="FR93" s="522">
        <v>11</v>
      </c>
    </row>
    <row r="94" spans="1:174" x14ac:dyDescent="0.25">
      <c r="A94" s="523" t="s">
        <v>445</v>
      </c>
      <c r="B94" s="523" t="s">
        <v>446</v>
      </c>
      <c r="C94" s="523" t="s">
        <v>288</v>
      </c>
      <c r="D94" s="522">
        <v>6682</v>
      </c>
      <c r="E94" s="522">
        <v>6672</v>
      </c>
      <c r="F94" s="522">
        <v>0</v>
      </c>
      <c r="G94" s="522">
        <v>0</v>
      </c>
      <c r="H94" s="522">
        <v>82</v>
      </c>
      <c r="I94" s="522">
        <v>43</v>
      </c>
      <c r="J94" s="522">
        <v>381</v>
      </c>
      <c r="K94" s="522">
        <v>381</v>
      </c>
      <c r="L94" s="522">
        <v>422</v>
      </c>
      <c r="M94" s="522">
        <v>0</v>
      </c>
      <c r="N94" s="522">
        <v>7567</v>
      </c>
      <c r="O94" s="522">
        <v>7096</v>
      </c>
      <c r="P94" s="522">
        <v>7145</v>
      </c>
      <c r="Q94" s="522">
        <v>1</v>
      </c>
      <c r="R94" s="523">
        <v>4</v>
      </c>
      <c r="S94" s="523">
        <v>19</v>
      </c>
      <c r="T94" s="523">
        <v>22</v>
      </c>
      <c r="U94" s="523">
        <v>7545</v>
      </c>
      <c r="V94" s="522">
        <v>6671</v>
      </c>
      <c r="W94" s="522">
        <v>23</v>
      </c>
      <c r="X94" s="522">
        <v>32</v>
      </c>
      <c r="Y94" s="522">
        <v>55</v>
      </c>
      <c r="Z94" s="524">
        <v>94.22</v>
      </c>
      <c r="AA94" s="524">
        <v>94.09</v>
      </c>
      <c r="AB94" s="524">
        <v>8</v>
      </c>
      <c r="AC94" s="524">
        <v>97.61</v>
      </c>
      <c r="AD94" s="524">
        <v>5143</v>
      </c>
      <c r="AE94" s="525">
        <v>94.57</v>
      </c>
      <c r="AF94" s="525">
        <v>88.87</v>
      </c>
      <c r="AG94" s="525">
        <v>44.23</v>
      </c>
      <c r="AH94" s="525">
        <v>136.16</v>
      </c>
      <c r="AI94" s="525">
        <v>451</v>
      </c>
      <c r="AJ94" s="525">
        <v>118.71</v>
      </c>
      <c r="AK94" s="525">
        <v>1507</v>
      </c>
      <c r="AL94" s="525">
        <v>0</v>
      </c>
      <c r="AM94" s="525">
        <v>0</v>
      </c>
      <c r="AN94" s="526">
        <v>0</v>
      </c>
      <c r="AO94" s="526">
        <v>0</v>
      </c>
      <c r="AP94" s="526">
        <v>0</v>
      </c>
      <c r="AQ94" s="526">
        <v>0</v>
      </c>
      <c r="AR94" s="522">
        <v>0</v>
      </c>
      <c r="AS94" s="526">
        <v>73.91</v>
      </c>
      <c r="AT94" s="526">
        <v>72.8</v>
      </c>
      <c r="AU94" s="526">
        <v>10.43</v>
      </c>
      <c r="AV94" s="526">
        <v>84.27</v>
      </c>
      <c r="AW94" s="522">
        <v>151</v>
      </c>
      <c r="AX94" s="526">
        <v>83.19</v>
      </c>
      <c r="AY94" s="526">
        <v>82.63</v>
      </c>
      <c r="AZ94" s="526">
        <v>8.83</v>
      </c>
      <c r="BA94" s="526">
        <v>88.88</v>
      </c>
      <c r="BB94" s="522">
        <v>1326</v>
      </c>
      <c r="BC94" s="526">
        <v>93.9</v>
      </c>
      <c r="BD94" s="526">
        <v>93.66</v>
      </c>
      <c r="BE94" s="526">
        <v>8.0299999999999994</v>
      </c>
      <c r="BF94" s="526">
        <v>97.81</v>
      </c>
      <c r="BG94" s="522">
        <v>1927</v>
      </c>
      <c r="BH94" s="526">
        <v>103.75</v>
      </c>
      <c r="BI94" s="526">
        <v>104.08</v>
      </c>
      <c r="BJ94" s="526">
        <v>3.39</v>
      </c>
      <c r="BK94" s="526">
        <v>104.17</v>
      </c>
      <c r="BL94" s="522">
        <v>1625</v>
      </c>
      <c r="BM94" s="526">
        <v>118.76</v>
      </c>
      <c r="BN94" s="526">
        <v>120.11</v>
      </c>
      <c r="BO94" s="526">
        <v>3.31</v>
      </c>
      <c r="BP94" s="526">
        <v>119.91</v>
      </c>
      <c r="BQ94" s="522">
        <v>110</v>
      </c>
      <c r="BR94" s="526">
        <v>124.49</v>
      </c>
      <c r="BS94" s="526">
        <v>123.12</v>
      </c>
      <c r="BT94" s="526">
        <v>0</v>
      </c>
      <c r="BU94" s="526">
        <v>124.49</v>
      </c>
      <c r="BV94" s="522">
        <v>3</v>
      </c>
      <c r="BW94" s="526">
        <v>131.80000000000001</v>
      </c>
      <c r="BX94" s="526">
        <v>130.34</v>
      </c>
      <c r="BY94" s="526">
        <v>0</v>
      </c>
      <c r="BZ94" s="526">
        <v>131.80000000000001</v>
      </c>
      <c r="CA94" s="522">
        <v>1</v>
      </c>
      <c r="CB94" s="526">
        <v>94.22</v>
      </c>
      <c r="CC94" s="526">
        <v>94.09</v>
      </c>
      <c r="CD94" s="526">
        <v>8</v>
      </c>
      <c r="CE94" s="526">
        <v>97.61</v>
      </c>
      <c r="CF94" s="522">
        <v>5143</v>
      </c>
      <c r="CG94" s="526">
        <v>94.22</v>
      </c>
      <c r="CH94" s="526">
        <v>94.09</v>
      </c>
      <c r="CI94" s="526">
        <v>8</v>
      </c>
      <c r="CJ94" s="526">
        <v>97.61</v>
      </c>
      <c r="CK94" s="522">
        <v>5143</v>
      </c>
      <c r="CL94" s="526">
        <v>92.2</v>
      </c>
      <c r="CM94" s="526">
        <v>73.97</v>
      </c>
      <c r="CN94" s="526">
        <v>70.91</v>
      </c>
      <c r="CO94" s="526">
        <v>163.11000000000001</v>
      </c>
      <c r="CP94" s="522">
        <v>30</v>
      </c>
      <c r="CQ94" s="526">
        <v>90.82</v>
      </c>
      <c r="CR94" s="526">
        <v>83.64</v>
      </c>
      <c r="CS94" s="526">
        <v>43.01</v>
      </c>
      <c r="CT94" s="526">
        <v>118.19</v>
      </c>
      <c r="CU94" s="522">
        <v>55</v>
      </c>
      <c r="CV94" s="526">
        <v>93.92</v>
      </c>
      <c r="CW94" s="526">
        <v>90.81</v>
      </c>
      <c r="CX94" s="526">
        <v>41.7</v>
      </c>
      <c r="CY94" s="526">
        <v>134.77000000000001</v>
      </c>
      <c r="CZ94" s="522">
        <v>344</v>
      </c>
      <c r="DA94" s="526">
        <v>118.27</v>
      </c>
      <c r="DB94" s="526">
        <v>101.48</v>
      </c>
      <c r="DC94" s="526">
        <v>48.7</v>
      </c>
      <c r="DD94" s="526">
        <v>166.97</v>
      </c>
      <c r="DE94" s="522">
        <v>21</v>
      </c>
      <c r="DF94" s="526">
        <v>99.35</v>
      </c>
      <c r="DG94" s="526">
        <v>98.2</v>
      </c>
      <c r="DH94" s="526">
        <v>45.41</v>
      </c>
      <c r="DI94" s="526">
        <v>144.76</v>
      </c>
      <c r="DJ94" s="522">
        <v>1</v>
      </c>
      <c r="DK94" s="526">
        <v>0</v>
      </c>
      <c r="DL94" s="526">
        <v>0</v>
      </c>
      <c r="DM94" s="526">
        <v>0</v>
      </c>
      <c r="DN94" s="526">
        <v>0</v>
      </c>
      <c r="DO94" s="522">
        <v>0</v>
      </c>
      <c r="DP94" s="526">
        <v>94.74</v>
      </c>
      <c r="DQ94" s="526">
        <v>89.87</v>
      </c>
      <c r="DR94" s="526">
        <v>42.2</v>
      </c>
      <c r="DS94" s="526">
        <v>134.24</v>
      </c>
      <c r="DT94" s="522">
        <v>421</v>
      </c>
      <c r="DU94" s="526">
        <v>94.57</v>
      </c>
      <c r="DV94" s="526">
        <v>88.87</v>
      </c>
      <c r="DW94" s="526">
        <v>44.23</v>
      </c>
      <c r="DX94" s="526">
        <v>136.16</v>
      </c>
      <c r="DY94" s="522">
        <v>451</v>
      </c>
      <c r="DZ94" s="526">
        <v>0</v>
      </c>
      <c r="EA94" s="526">
        <v>0</v>
      </c>
      <c r="EB94" s="526">
        <v>0</v>
      </c>
      <c r="EC94" s="522">
        <v>0</v>
      </c>
      <c r="ED94" s="526">
        <v>94.85</v>
      </c>
      <c r="EE94" s="522">
        <v>348</v>
      </c>
      <c r="EF94" s="526">
        <v>116.17</v>
      </c>
      <c r="EG94" s="522">
        <v>631</v>
      </c>
      <c r="EH94" s="526">
        <v>132.82</v>
      </c>
      <c r="EI94" s="522">
        <v>462</v>
      </c>
      <c r="EJ94" s="526">
        <v>172.12</v>
      </c>
      <c r="EK94" s="522">
        <v>63</v>
      </c>
      <c r="EL94" s="526">
        <v>128.91</v>
      </c>
      <c r="EM94" s="522">
        <v>3</v>
      </c>
      <c r="EN94" s="526">
        <v>0</v>
      </c>
      <c r="EO94" s="522">
        <v>0</v>
      </c>
      <c r="EP94" s="526">
        <v>118.71</v>
      </c>
      <c r="EQ94" s="522">
        <v>1507</v>
      </c>
      <c r="ER94" s="526">
        <v>118.71</v>
      </c>
      <c r="ES94" s="522">
        <v>1507</v>
      </c>
      <c r="ET94" s="526">
        <v>0</v>
      </c>
      <c r="EU94" s="526">
        <v>0</v>
      </c>
      <c r="EV94" s="526">
        <v>0</v>
      </c>
      <c r="EW94" s="522">
        <v>0</v>
      </c>
      <c r="EX94" s="526">
        <v>0</v>
      </c>
      <c r="EY94" s="522">
        <v>0</v>
      </c>
      <c r="EZ94" s="526">
        <v>0</v>
      </c>
      <c r="FA94" s="522">
        <v>0</v>
      </c>
      <c r="FB94" s="526">
        <v>0</v>
      </c>
      <c r="FC94" s="522">
        <v>0</v>
      </c>
      <c r="FD94" s="526">
        <v>0</v>
      </c>
      <c r="FE94" s="522">
        <v>0</v>
      </c>
      <c r="FF94" s="526">
        <v>0</v>
      </c>
      <c r="FG94" s="522">
        <v>0</v>
      </c>
      <c r="FH94" s="526">
        <v>0</v>
      </c>
      <c r="FI94" s="522">
        <v>0</v>
      </c>
      <c r="FJ94" s="522">
        <v>0</v>
      </c>
      <c r="FK94" s="522">
        <v>13</v>
      </c>
      <c r="FL94" s="522">
        <v>8</v>
      </c>
      <c r="FM94" s="522">
        <v>0</v>
      </c>
      <c r="FN94" s="522">
        <v>5</v>
      </c>
      <c r="FO94" s="522">
        <v>0</v>
      </c>
      <c r="FP94" s="522">
        <v>6</v>
      </c>
      <c r="FQ94" s="522">
        <v>34</v>
      </c>
      <c r="FR94" s="522">
        <v>3</v>
      </c>
    </row>
    <row r="95" spans="1:174" x14ac:dyDescent="0.25">
      <c r="A95" s="523" t="s">
        <v>447</v>
      </c>
      <c r="B95" s="523" t="s">
        <v>448</v>
      </c>
      <c r="C95" s="523" t="s">
        <v>283</v>
      </c>
      <c r="D95" s="522">
        <v>9106</v>
      </c>
      <c r="E95" s="522">
        <v>9085</v>
      </c>
      <c r="F95" s="522">
        <v>0</v>
      </c>
      <c r="G95" s="522">
        <v>0</v>
      </c>
      <c r="H95" s="522">
        <v>391</v>
      </c>
      <c r="I95" s="522">
        <v>288</v>
      </c>
      <c r="J95" s="522">
        <v>1020</v>
      </c>
      <c r="K95" s="522">
        <v>922</v>
      </c>
      <c r="L95" s="522">
        <v>418</v>
      </c>
      <c r="M95" s="522">
        <v>23</v>
      </c>
      <c r="N95" s="522">
        <v>10935</v>
      </c>
      <c r="O95" s="522">
        <v>10318</v>
      </c>
      <c r="P95" s="522">
        <v>10517</v>
      </c>
      <c r="Q95" s="522">
        <v>154</v>
      </c>
      <c r="R95" s="523">
        <v>12</v>
      </c>
      <c r="S95" s="523">
        <v>24</v>
      </c>
      <c r="T95" s="523">
        <v>186</v>
      </c>
      <c r="U95" s="523">
        <v>10749</v>
      </c>
      <c r="V95" s="522">
        <v>9064</v>
      </c>
      <c r="W95" s="522">
        <v>33</v>
      </c>
      <c r="X95" s="522">
        <v>63</v>
      </c>
      <c r="Y95" s="522">
        <v>96</v>
      </c>
      <c r="Z95" s="524">
        <v>103.38</v>
      </c>
      <c r="AA95" s="524">
        <v>103.56</v>
      </c>
      <c r="AB95" s="524">
        <v>5.4</v>
      </c>
      <c r="AC95" s="524">
        <v>106.29</v>
      </c>
      <c r="AD95" s="524">
        <v>7272</v>
      </c>
      <c r="AE95" s="525">
        <v>95.3</v>
      </c>
      <c r="AF95" s="525">
        <v>92.45</v>
      </c>
      <c r="AG95" s="525">
        <v>65.08</v>
      </c>
      <c r="AH95" s="525">
        <v>159.91</v>
      </c>
      <c r="AI95" s="525">
        <v>1267</v>
      </c>
      <c r="AJ95" s="525">
        <v>122.91</v>
      </c>
      <c r="AK95" s="525">
        <v>1541</v>
      </c>
      <c r="AL95" s="525">
        <v>105.98</v>
      </c>
      <c r="AM95" s="525">
        <v>17</v>
      </c>
      <c r="AN95" s="526">
        <v>0</v>
      </c>
      <c r="AO95" s="526">
        <v>0</v>
      </c>
      <c r="AP95" s="526">
        <v>0</v>
      </c>
      <c r="AQ95" s="526">
        <v>0</v>
      </c>
      <c r="AR95" s="522">
        <v>0</v>
      </c>
      <c r="AS95" s="526">
        <v>70.56</v>
      </c>
      <c r="AT95" s="526">
        <v>70.56</v>
      </c>
      <c r="AU95" s="526">
        <v>9.93</v>
      </c>
      <c r="AV95" s="526">
        <v>79.790000000000006</v>
      </c>
      <c r="AW95" s="522">
        <v>57</v>
      </c>
      <c r="AX95" s="526">
        <v>87.13</v>
      </c>
      <c r="AY95" s="526">
        <v>86.78</v>
      </c>
      <c r="AZ95" s="526">
        <v>8.84</v>
      </c>
      <c r="BA95" s="526">
        <v>94.09</v>
      </c>
      <c r="BB95" s="522">
        <v>1488</v>
      </c>
      <c r="BC95" s="526">
        <v>101.49</v>
      </c>
      <c r="BD95" s="526">
        <v>101.57</v>
      </c>
      <c r="BE95" s="526">
        <v>4.67</v>
      </c>
      <c r="BF95" s="526">
        <v>104.14</v>
      </c>
      <c r="BG95" s="522">
        <v>2879</v>
      </c>
      <c r="BH95" s="526">
        <v>113.76</v>
      </c>
      <c r="BI95" s="526">
        <v>114.31</v>
      </c>
      <c r="BJ95" s="526">
        <v>2.5</v>
      </c>
      <c r="BK95" s="526">
        <v>114.68</v>
      </c>
      <c r="BL95" s="522">
        <v>2695</v>
      </c>
      <c r="BM95" s="526">
        <v>126.2</v>
      </c>
      <c r="BN95" s="526">
        <v>126.37</v>
      </c>
      <c r="BO95" s="526">
        <v>1.89</v>
      </c>
      <c r="BP95" s="526">
        <v>126.96</v>
      </c>
      <c r="BQ95" s="522">
        <v>145</v>
      </c>
      <c r="BR95" s="526">
        <v>129.13</v>
      </c>
      <c r="BS95" s="526">
        <v>129.25</v>
      </c>
      <c r="BT95" s="526">
        <v>0</v>
      </c>
      <c r="BU95" s="526">
        <v>129.13</v>
      </c>
      <c r="BV95" s="522">
        <v>4</v>
      </c>
      <c r="BW95" s="526">
        <v>138.58000000000001</v>
      </c>
      <c r="BX95" s="526">
        <v>138.71</v>
      </c>
      <c r="BY95" s="526">
        <v>0.11</v>
      </c>
      <c r="BZ95" s="526">
        <v>138.61000000000001</v>
      </c>
      <c r="CA95" s="522">
        <v>4</v>
      </c>
      <c r="CB95" s="526">
        <v>103.38</v>
      </c>
      <c r="CC95" s="526">
        <v>103.56</v>
      </c>
      <c r="CD95" s="526">
        <v>5.4</v>
      </c>
      <c r="CE95" s="526">
        <v>106.29</v>
      </c>
      <c r="CF95" s="522">
        <v>7272</v>
      </c>
      <c r="CG95" s="526">
        <v>103.38</v>
      </c>
      <c r="CH95" s="526">
        <v>103.56</v>
      </c>
      <c r="CI95" s="526">
        <v>5.4</v>
      </c>
      <c r="CJ95" s="526">
        <v>106.29</v>
      </c>
      <c r="CK95" s="522">
        <v>7272</v>
      </c>
      <c r="CL95" s="526">
        <v>87.57</v>
      </c>
      <c r="CM95" s="526">
        <v>84.58</v>
      </c>
      <c r="CN95" s="526">
        <v>127.41</v>
      </c>
      <c r="CO95" s="526">
        <v>213.35</v>
      </c>
      <c r="CP95" s="522">
        <v>236</v>
      </c>
      <c r="CQ95" s="526">
        <v>92.81</v>
      </c>
      <c r="CR95" s="526">
        <v>86.63</v>
      </c>
      <c r="CS95" s="526">
        <v>78.510000000000005</v>
      </c>
      <c r="CT95" s="526">
        <v>171.32</v>
      </c>
      <c r="CU95" s="522">
        <v>60</v>
      </c>
      <c r="CV95" s="526">
        <v>95.11</v>
      </c>
      <c r="CW95" s="526">
        <v>91.98</v>
      </c>
      <c r="CX95" s="526">
        <v>47.34</v>
      </c>
      <c r="CY95" s="526">
        <v>142.44</v>
      </c>
      <c r="CZ95" s="522">
        <v>835</v>
      </c>
      <c r="DA95" s="526">
        <v>110.06</v>
      </c>
      <c r="DB95" s="526">
        <v>107.03</v>
      </c>
      <c r="DC95" s="526">
        <v>62.44</v>
      </c>
      <c r="DD95" s="526">
        <v>170.53</v>
      </c>
      <c r="DE95" s="522">
        <v>127</v>
      </c>
      <c r="DF95" s="526">
        <v>123.59</v>
      </c>
      <c r="DG95" s="526">
        <v>120.03</v>
      </c>
      <c r="DH95" s="526">
        <v>37.81</v>
      </c>
      <c r="DI95" s="526">
        <v>153</v>
      </c>
      <c r="DJ95" s="522">
        <v>9</v>
      </c>
      <c r="DK95" s="526">
        <v>0</v>
      </c>
      <c r="DL95" s="526">
        <v>0</v>
      </c>
      <c r="DM95" s="526">
        <v>0</v>
      </c>
      <c r="DN95" s="526">
        <v>0</v>
      </c>
      <c r="DO95" s="522">
        <v>0</v>
      </c>
      <c r="DP95" s="526">
        <v>97.07</v>
      </c>
      <c r="DQ95" s="526">
        <v>93.73</v>
      </c>
      <c r="DR95" s="526">
        <v>50.91</v>
      </c>
      <c r="DS95" s="526">
        <v>147.68</v>
      </c>
      <c r="DT95" s="522">
        <v>1031</v>
      </c>
      <c r="DU95" s="526">
        <v>95.3</v>
      </c>
      <c r="DV95" s="526">
        <v>92.45</v>
      </c>
      <c r="DW95" s="526">
        <v>65.08</v>
      </c>
      <c r="DX95" s="526">
        <v>159.91</v>
      </c>
      <c r="DY95" s="522">
        <v>1267</v>
      </c>
      <c r="DZ95" s="526">
        <v>0</v>
      </c>
      <c r="EA95" s="526">
        <v>0</v>
      </c>
      <c r="EB95" s="526">
        <v>0</v>
      </c>
      <c r="EC95" s="522">
        <v>0</v>
      </c>
      <c r="ED95" s="526">
        <v>103.48</v>
      </c>
      <c r="EE95" s="522">
        <v>578</v>
      </c>
      <c r="EF95" s="526">
        <v>127.97</v>
      </c>
      <c r="EG95" s="522">
        <v>651</v>
      </c>
      <c r="EH95" s="526">
        <v>143.94999999999999</v>
      </c>
      <c r="EI95" s="522">
        <v>276</v>
      </c>
      <c r="EJ95" s="526">
        <v>182.12</v>
      </c>
      <c r="EK95" s="522">
        <v>36</v>
      </c>
      <c r="EL95" s="526">
        <v>0</v>
      </c>
      <c r="EM95" s="522">
        <v>0</v>
      </c>
      <c r="EN95" s="526">
        <v>0</v>
      </c>
      <c r="EO95" s="522">
        <v>0</v>
      </c>
      <c r="EP95" s="526">
        <v>122.91</v>
      </c>
      <c r="EQ95" s="522">
        <v>1541</v>
      </c>
      <c r="ER95" s="526">
        <v>122.91</v>
      </c>
      <c r="ES95" s="522">
        <v>1541</v>
      </c>
      <c r="ET95" s="526">
        <v>0</v>
      </c>
      <c r="EU95" s="526">
        <v>0</v>
      </c>
      <c r="EV95" s="526">
        <v>0</v>
      </c>
      <c r="EW95" s="522">
        <v>0</v>
      </c>
      <c r="EX95" s="526">
        <v>103.86</v>
      </c>
      <c r="EY95" s="522">
        <v>16</v>
      </c>
      <c r="EZ95" s="526">
        <v>139.86000000000001</v>
      </c>
      <c r="FA95" s="522">
        <v>1</v>
      </c>
      <c r="FB95" s="526">
        <v>0</v>
      </c>
      <c r="FC95" s="522">
        <v>0</v>
      </c>
      <c r="FD95" s="526">
        <v>0</v>
      </c>
      <c r="FE95" s="522">
        <v>0</v>
      </c>
      <c r="FF95" s="526">
        <v>105.98</v>
      </c>
      <c r="FG95" s="522">
        <v>17</v>
      </c>
      <c r="FH95" s="526">
        <v>105.98</v>
      </c>
      <c r="FI95" s="522">
        <v>17</v>
      </c>
      <c r="FJ95" s="522">
        <v>0</v>
      </c>
      <c r="FK95" s="522">
        <v>2</v>
      </c>
      <c r="FL95" s="522">
        <v>2</v>
      </c>
      <c r="FM95" s="522">
        <v>0</v>
      </c>
      <c r="FN95" s="522">
        <v>0</v>
      </c>
      <c r="FO95" s="522">
        <v>0</v>
      </c>
      <c r="FP95" s="522">
        <v>49</v>
      </c>
      <c r="FQ95" s="522">
        <v>75</v>
      </c>
      <c r="FR95" s="522">
        <v>3</v>
      </c>
    </row>
    <row r="96" spans="1:174" x14ac:dyDescent="0.25">
      <c r="A96" s="523" t="s">
        <v>449</v>
      </c>
      <c r="B96" s="523" t="s">
        <v>450</v>
      </c>
      <c r="C96" s="523" t="s">
        <v>2</v>
      </c>
      <c r="D96" s="522">
        <v>1705</v>
      </c>
      <c r="E96" s="522">
        <v>1702</v>
      </c>
      <c r="F96" s="522">
        <v>0</v>
      </c>
      <c r="G96" s="522">
        <v>0</v>
      </c>
      <c r="H96" s="522">
        <v>219</v>
      </c>
      <c r="I96" s="522">
        <v>81</v>
      </c>
      <c r="J96" s="522">
        <v>632</v>
      </c>
      <c r="K96" s="522">
        <v>621</v>
      </c>
      <c r="L96" s="522">
        <v>159</v>
      </c>
      <c r="M96" s="522">
        <v>31</v>
      </c>
      <c r="N96" s="522">
        <v>2715</v>
      </c>
      <c r="O96" s="522">
        <v>2435</v>
      </c>
      <c r="P96" s="522">
        <v>2556</v>
      </c>
      <c r="Q96" s="522">
        <v>7</v>
      </c>
      <c r="R96" s="523">
        <v>6</v>
      </c>
      <c r="S96" s="523">
        <v>22</v>
      </c>
      <c r="T96" s="523">
        <v>151</v>
      </c>
      <c r="U96" s="523">
        <v>2564</v>
      </c>
      <c r="V96" s="522">
        <v>1703</v>
      </c>
      <c r="W96" s="522">
        <v>9</v>
      </c>
      <c r="X96" s="522">
        <v>5</v>
      </c>
      <c r="Y96" s="522">
        <v>14</v>
      </c>
      <c r="Z96" s="524">
        <v>108.56</v>
      </c>
      <c r="AA96" s="524">
        <v>107.54</v>
      </c>
      <c r="AB96" s="524">
        <v>11.59</v>
      </c>
      <c r="AC96" s="524">
        <v>118.24</v>
      </c>
      <c r="AD96" s="524">
        <v>1463</v>
      </c>
      <c r="AE96" s="525">
        <v>96.34</v>
      </c>
      <c r="AF96" s="525">
        <v>86.32</v>
      </c>
      <c r="AG96" s="525">
        <v>55.29</v>
      </c>
      <c r="AH96" s="525">
        <v>150.9</v>
      </c>
      <c r="AI96" s="525">
        <v>684</v>
      </c>
      <c r="AJ96" s="525">
        <v>156.30000000000001</v>
      </c>
      <c r="AK96" s="525">
        <v>218</v>
      </c>
      <c r="AL96" s="525">
        <v>161.1</v>
      </c>
      <c r="AM96" s="525">
        <v>18</v>
      </c>
      <c r="AN96" s="526">
        <v>0</v>
      </c>
      <c r="AO96" s="526">
        <v>0</v>
      </c>
      <c r="AP96" s="526">
        <v>0</v>
      </c>
      <c r="AQ96" s="526">
        <v>0</v>
      </c>
      <c r="AR96" s="522">
        <v>0</v>
      </c>
      <c r="AS96" s="526">
        <v>79.88</v>
      </c>
      <c r="AT96" s="526">
        <v>78.38</v>
      </c>
      <c r="AU96" s="526">
        <v>36.03</v>
      </c>
      <c r="AV96" s="526">
        <v>115.91</v>
      </c>
      <c r="AW96" s="522">
        <v>38</v>
      </c>
      <c r="AX96" s="526">
        <v>86.89</v>
      </c>
      <c r="AY96" s="526">
        <v>85.98</v>
      </c>
      <c r="AZ96" s="526">
        <v>18.399999999999999</v>
      </c>
      <c r="BA96" s="526">
        <v>105.12</v>
      </c>
      <c r="BB96" s="522">
        <v>318</v>
      </c>
      <c r="BC96" s="526">
        <v>106.4</v>
      </c>
      <c r="BD96" s="526">
        <v>105.24</v>
      </c>
      <c r="BE96" s="526">
        <v>13.13</v>
      </c>
      <c r="BF96" s="526">
        <v>118.29</v>
      </c>
      <c r="BG96" s="522">
        <v>467</v>
      </c>
      <c r="BH96" s="526">
        <v>120.4</v>
      </c>
      <c r="BI96" s="526">
        <v>119.53</v>
      </c>
      <c r="BJ96" s="526">
        <v>3.27</v>
      </c>
      <c r="BK96" s="526">
        <v>122.66</v>
      </c>
      <c r="BL96" s="522">
        <v>574</v>
      </c>
      <c r="BM96" s="526">
        <v>142.08000000000001</v>
      </c>
      <c r="BN96" s="526">
        <v>140.46</v>
      </c>
      <c r="BO96" s="526">
        <v>2.89</v>
      </c>
      <c r="BP96" s="526">
        <v>144.31</v>
      </c>
      <c r="BQ96" s="522">
        <v>65</v>
      </c>
      <c r="BR96" s="526">
        <v>124.66</v>
      </c>
      <c r="BS96" s="526">
        <v>123.29</v>
      </c>
      <c r="BT96" s="526">
        <v>0</v>
      </c>
      <c r="BU96" s="526">
        <v>124.66</v>
      </c>
      <c r="BV96" s="522">
        <v>1</v>
      </c>
      <c r="BW96" s="526">
        <v>0</v>
      </c>
      <c r="BX96" s="526">
        <v>0</v>
      </c>
      <c r="BY96" s="526">
        <v>0</v>
      </c>
      <c r="BZ96" s="526">
        <v>0</v>
      </c>
      <c r="CA96" s="522">
        <v>0</v>
      </c>
      <c r="CB96" s="526">
        <v>108.56</v>
      </c>
      <c r="CC96" s="526">
        <v>107.54</v>
      </c>
      <c r="CD96" s="526">
        <v>11.59</v>
      </c>
      <c r="CE96" s="526">
        <v>118.24</v>
      </c>
      <c r="CF96" s="522">
        <v>1463</v>
      </c>
      <c r="CG96" s="526">
        <v>108.56</v>
      </c>
      <c r="CH96" s="526">
        <v>107.54</v>
      </c>
      <c r="CI96" s="526">
        <v>11.59</v>
      </c>
      <c r="CJ96" s="526">
        <v>118.24</v>
      </c>
      <c r="CK96" s="522">
        <v>1463</v>
      </c>
      <c r="CL96" s="526">
        <v>99.4</v>
      </c>
      <c r="CM96" s="526">
        <v>97.01</v>
      </c>
      <c r="CN96" s="526">
        <v>216.94</v>
      </c>
      <c r="CO96" s="526">
        <v>316.33999999999997</v>
      </c>
      <c r="CP96" s="522">
        <v>13</v>
      </c>
      <c r="CQ96" s="526">
        <v>80.650000000000006</v>
      </c>
      <c r="CR96" s="526">
        <v>75.37</v>
      </c>
      <c r="CS96" s="526">
        <v>45.7</v>
      </c>
      <c r="CT96" s="526">
        <v>126.35</v>
      </c>
      <c r="CU96" s="522">
        <v>264</v>
      </c>
      <c r="CV96" s="526">
        <v>104.95</v>
      </c>
      <c r="CW96" s="526">
        <v>90.11</v>
      </c>
      <c r="CX96" s="526">
        <v>53.12</v>
      </c>
      <c r="CY96" s="526">
        <v>156.68</v>
      </c>
      <c r="CZ96" s="522">
        <v>345</v>
      </c>
      <c r="DA96" s="526">
        <v>113.01</v>
      </c>
      <c r="DB96" s="526">
        <v>108.94</v>
      </c>
      <c r="DC96" s="526">
        <v>77.739999999999995</v>
      </c>
      <c r="DD96" s="526">
        <v>190.76</v>
      </c>
      <c r="DE96" s="522">
        <v>55</v>
      </c>
      <c r="DF96" s="526">
        <v>127.08</v>
      </c>
      <c r="DG96" s="526">
        <v>121.77</v>
      </c>
      <c r="DH96" s="526">
        <v>44.62</v>
      </c>
      <c r="DI96" s="526">
        <v>171.71</v>
      </c>
      <c r="DJ96" s="522">
        <v>7</v>
      </c>
      <c r="DK96" s="526">
        <v>0</v>
      </c>
      <c r="DL96" s="526">
        <v>0</v>
      </c>
      <c r="DM96" s="526">
        <v>0</v>
      </c>
      <c r="DN96" s="526">
        <v>0</v>
      </c>
      <c r="DO96" s="522">
        <v>0</v>
      </c>
      <c r="DP96" s="526">
        <v>96.28</v>
      </c>
      <c r="DQ96" s="526">
        <v>86.11</v>
      </c>
      <c r="DR96" s="526">
        <v>52.12</v>
      </c>
      <c r="DS96" s="526">
        <v>147.69999999999999</v>
      </c>
      <c r="DT96" s="522">
        <v>671</v>
      </c>
      <c r="DU96" s="526">
        <v>96.34</v>
      </c>
      <c r="DV96" s="526">
        <v>86.32</v>
      </c>
      <c r="DW96" s="526">
        <v>55.29</v>
      </c>
      <c r="DX96" s="526">
        <v>150.9</v>
      </c>
      <c r="DY96" s="522">
        <v>684</v>
      </c>
      <c r="DZ96" s="526">
        <v>0</v>
      </c>
      <c r="EA96" s="526">
        <v>0</v>
      </c>
      <c r="EB96" s="526">
        <v>0</v>
      </c>
      <c r="EC96" s="522">
        <v>0</v>
      </c>
      <c r="ED96" s="526">
        <v>117.32</v>
      </c>
      <c r="EE96" s="522">
        <v>46</v>
      </c>
      <c r="EF96" s="526">
        <v>151.53</v>
      </c>
      <c r="EG96" s="522">
        <v>66</v>
      </c>
      <c r="EH96" s="526">
        <v>176.31</v>
      </c>
      <c r="EI96" s="522">
        <v>105</v>
      </c>
      <c r="EJ96" s="526">
        <v>163.6</v>
      </c>
      <c r="EK96" s="522">
        <v>1</v>
      </c>
      <c r="EL96" s="526">
        <v>0</v>
      </c>
      <c r="EM96" s="522">
        <v>0</v>
      </c>
      <c r="EN96" s="526">
        <v>0</v>
      </c>
      <c r="EO96" s="522">
        <v>0</v>
      </c>
      <c r="EP96" s="526">
        <v>156.30000000000001</v>
      </c>
      <c r="EQ96" s="522">
        <v>218</v>
      </c>
      <c r="ER96" s="526">
        <v>156.30000000000001</v>
      </c>
      <c r="ES96" s="522">
        <v>218</v>
      </c>
      <c r="ET96" s="526">
        <v>0</v>
      </c>
      <c r="EU96" s="526">
        <v>0</v>
      </c>
      <c r="EV96" s="526">
        <v>0</v>
      </c>
      <c r="EW96" s="522">
        <v>0</v>
      </c>
      <c r="EX96" s="526">
        <v>161.1</v>
      </c>
      <c r="EY96" s="522">
        <v>18</v>
      </c>
      <c r="EZ96" s="526">
        <v>0</v>
      </c>
      <c r="FA96" s="522">
        <v>0</v>
      </c>
      <c r="FB96" s="526">
        <v>0</v>
      </c>
      <c r="FC96" s="522">
        <v>0</v>
      </c>
      <c r="FD96" s="526">
        <v>0</v>
      </c>
      <c r="FE96" s="522">
        <v>0</v>
      </c>
      <c r="FF96" s="526">
        <v>161.1</v>
      </c>
      <c r="FG96" s="522">
        <v>18</v>
      </c>
      <c r="FH96" s="526">
        <v>161.1</v>
      </c>
      <c r="FI96" s="522">
        <v>18</v>
      </c>
      <c r="FJ96" s="522">
        <v>0</v>
      </c>
      <c r="FK96" s="522">
        <v>0</v>
      </c>
      <c r="FL96" s="522">
        <v>0</v>
      </c>
      <c r="FM96" s="522">
        <v>0</v>
      </c>
      <c r="FN96" s="522">
        <v>0</v>
      </c>
      <c r="FO96" s="522">
        <v>0</v>
      </c>
      <c r="FP96" s="522">
        <v>6</v>
      </c>
      <c r="FQ96" s="522">
        <v>0</v>
      </c>
      <c r="FR96" s="522">
        <v>4</v>
      </c>
    </row>
    <row r="97" spans="1:174" x14ac:dyDescent="0.25">
      <c r="A97" s="523" t="s">
        <v>451</v>
      </c>
      <c r="B97" s="523" t="s">
        <v>452</v>
      </c>
      <c r="C97" s="523" t="s">
        <v>2</v>
      </c>
      <c r="D97" s="522">
        <v>7058</v>
      </c>
      <c r="E97" s="522">
        <v>7083</v>
      </c>
      <c r="F97" s="522">
        <v>0</v>
      </c>
      <c r="G97" s="522">
        <v>0</v>
      </c>
      <c r="H97" s="522">
        <v>158</v>
      </c>
      <c r="I97" s="522">
        <v>115</v>
      </c>
      <c r="J97" s="522">
        <v>716</v>
      </c>
      <c r="K97" s="522">
        <v>716</v>
      </c>
      <c r="L97" s="522">
        <v>1352</v>
      </c>
      <c r="M97" s="522">
        <v>109</v>
      </c>
      <c r="N97" s="522">
        <v>9284</v>
      </c>
      <c r="O97" s="522">
        <v>8023</v>
      </c>
      <c r="P97" s="522">
        <v>7932</v>
      </c>
      <c r="Q97" s="522">
        <v>2</v>
      </c>
      <c r="R97" s="523">
        <v>4</v>
      </c>
      <c r="S97" s="523">
        <v>25</v>
      </c>
      <c r="T97" s="523">
        <v>76</v>
      </c>
      <c r="U97" s="523">
        <v>9208</v>
      </c>
      <c r="V97" s="522">
        <v>7058</v>
      </c>
      <c r="W97" s="522">
        <v>60</v>
      </c>
      <c r="X97" s="522">
        <v>18</v>
      </c>
      <c r="Y97" s="522">
        <v>78</v>
      </c>
      <c r="Z97" s="524">
        <v>123.7</v>
      </c>
      <c r="AA97" s="524">
        <v>123.16</v>
      </c>
      <c r="AB97" s="524">
        <v>6.64</v>
      </c>
      <c r="AC97" s="524">
        <v>127.28</v>
      </c>
      <c r="AD97" s="524">
        <v>4868</v>
      </c>
      <c r="AE97" s="525">
        <v>118.92</v>
      </c>
      <c r="AF97" s="525">
        <v>102.9</v>
      </c>
      <c r="AG97" s="525">
        <v>46.03</v>
      </c>
      <c r="AH97" s="525">
        <v>164.83</v>
      </c>
      <c r="AI97" s="525">
        <v>748</v>
      </c>
      <c r="AJ97" s="525">
        <v>174.91</v>
      </c>
      <c r="AK97" s="525">
        <v>2042</v>
      </c>
      <c r="AL97" s="525">
        <v>179.37</v>
      </c>
      <c r="AM97" s="525">
        <v>50</v>
      </c>
      <c r="AN97" s="526">
        <v>0</v>
      </c>
      <c r="AO97" s="526">
        <v>0</v>
      </c>
      <c r="AP97" s="526">
        <v>0</v>
      </c>
      <c r="AQ97" s="526">
        <v>0</v>
      </c>
      <c r="AR97" s="522">
        <v>0</v>
      </c>
      <c r="AS97" s="526">
        <v>83.69</v>
      </c>
      <c r="AT97" s="526">
        <v>83.51</v>
      </c>
      <c r="AU97" s="526">
        <v>8.51</v>
      </c>
      <c r="AV97" s="526">
        <v>85.31</v>
      </c>
      <c r="AW97" s="522">
        <v>21</v>
      </c>
      <c r="AX97" s="526">
        <v>101.82</v>
      </c>
      <c r="AY97" s="526">
        <v>101.02</v>
      </c>
      <c r="AZ97" s="526">
        <v>7.58</v>
      </c>
      <c r="BA97" s="526">
        <v>108.48</v>
      </c>
      <c r="BB97" s="522">
        <v>722</v>
      </c>
      <c r="BC97" s="526">
        <v>120.18</v>
      </c>
      <c r="BD97" s="526">
        <v>119.68</v>
      </c>
      <c r="BE97" s="526">
        <v>8</v>
      </c>
      <c r="BF97" s="526">
        <v>125.44</v>
      </c>
      <c r="BG97" s="522">
        <v>2163</v>
      </c>
      <c r="BH97" s="526">
        <v>135.06</v>
      </c>
      <c r="BI97" s="526">
        <v>134.38999999999999</v>
      </c>
      <c r="BJ97" s="526">
        <v>2.1800000000000002</v>
      </c>
      <c r="BK97" s="526">
        <v>135.63999999999999</v>
      </c>
      <c r="BL97" s="522">
        <v>1872</v>
      </c>
      <c r="BM97" s="526">
        <v>155.63999999999999</v>
      </c>
      <c r="BN97" s="526">
        <v>156.62</v>
      </c>
      <c r="BO97" s="526">
        <v>2.16</v>
      </c>
      <c r="BP97" s="526">
        <v>157.33000000000001</v>
      </c>
      <c r="BQ97" s="522">
        <v>83</v>
      </c>
      <c r="BR97" s="526">
        <v>169.9</v>
      </c>
      <c r="BS97" s="526">
        <v>178.24</v>
      </c>
      <c r="BT97" s="526">
        <v>1.74</v>
      </c>
      <c r="BU97" s="526">
        <v>170.89</v>
      </c>
      <c r="BV97" s="522">
        <v>7</v>
      </c>
      <c r="BW97" s="526">
        <v>0</v>
      </c>
      <c r="BX97" s="526">
        <v>0</v>
      </c>
      <c r="BY97" s="526">
        <v>0</v>
      </c>
      <c r="BZ97" s="526">
        <v>0</v>
      </c>
      <c r="CA97" s="522">
        <v>0</v>
      </c>
      <c r="CB97" s="526">
        <v>123.7</v>
      </c>
      <c r="CC97" s="526">
        <v>123.16</v>
      </c>
      <c r="CD97" s="526">
        <v>6.64</v>
      </c>
      <c r="CE97" s="526">
        <v>127.28</v>
      </c>
      <c r="CF97" s="522">
        <v>4868</v>
      </c>
      <c r="CG97" s="526">
        <v>123.7</v>
      </c>
      <c r="CH97" s="526">
        <v>123.16</v>
      </c>
      <c r="CI97" s="526">
        <v>6.64</v>
      </c>
      <c r="CJ97" s="526">
        <v>127.28</v>
      </c>
      <c r="CK97" s="522">
        <v>4868</v>
      </c>
      <c r="CL97" s="526">
        <v>157.43</v>
      </c>
      <c r="CM97" s="526">
        <v>87.24</v>
      </c>
      <c r="CN97" s="526">
        <v>36.08</v>
      </c>
      <c r="CO97" s="526">
        <v>193.51</v>
      </c>
      <c r="CP97" s="522">
        <v>84</v>
      </c>
      <c r="CQ97" s="526">
        <v>93.55</v>
      </c>
      <c r="CR97" s="526">
        <v>88.31</v>
      </c>
      <c r="CS97" s="526">
        <v>61.53</v>
      </c>
      <c r="CT97" s="526">
        <v>155.08000000000001</v>
      </c>
      <c r="CU97" s="522">
        <v>68</v>
      </c>
      <c r="CV97" s="526">
        <v>115.18</v>
      </c>
      <c r="CW97" s="526">
        <v>103.39</v>
      </c>
      <c r="CX97" s="526">
        <v>48</v>
      </c>
      <c r="CY97" s="526">
        <v>163.19</v>
      </c>
      <c r="CZ97" s="522">
        <v>525</v>
      </c>
      <c r="DA97" s="526">
        <v>124.34</v>
      </c>
      <c r="DB97" s="526">
        <v>121.58</v>
      </c>
      <c r="DC97" s="526">
        <v>26.58</v>
      </c>
      <c r="DD97" s="526">
        <v>150.52000000000001</v>
      </c>
      <c r="DE97" s="522">
        <v>65</v>
      </c>
      <c r="DF97" s="526">
        <v>135.94999999999999</v>
      </c>
      <c r="DG97" s="526">
        <v>135.16999999999999</v>
      </c>
      <c r="DH97" s="526">
        <v>44.43</v>
      </c>
      <c r="DI97" s="526">
        <v>172.98</v>
      </c>
      <c r="DJ97" s="522">
        <v>6</v>
      </c>
      <c r="DK97" s="526">
        <v>0</v>
      </c>
      <c r="DL97" s="526">
        <v>0</v>
      </c>
      <c r="DM97" s="526">
        <v>0</v>
      </c>
      <c r="DN97" s="526">
        <v>0</v>
      </c>
      <c r="DO97" s="522">
        <v>0</v>
      </c>
      <c r="DP97" s="526">
        <v>114.05</v>
      </c>
      <c r="DQ97" s="526">
        <v>103.9</v>
      </c>
      <c r="DR97" s="526">
        <v>47.3</v>
      </c>
      <c r="DS97" s="526">
        <v>161.19999999999999</v>
      </c>
      <c r="DT97" s="522">
        <v>664</v>
      </c>
      <c r="DU97" s="526">
        <v>118.92</v>
      </c>
      <c r="DV97" s="526">
        <v>102.9</v>
      </c>
      <c r="DW97" s="526">
        <v>46.03</v>
      </c>
      <c r="DX97" s="526">
        <v>164.83</v>
      </c>
      <c r="DY97" s="522">
        <v>748</v>
      </c>
      <c r="DZ97" s="526">
        <v>0</v>
      </c>
      <c r="EA97" s="526">
        <v>0</v>
      </c>
      <c r="EB97" s="526">
        <v>0</v>
      </c>
      <c r="EC97" s="522">
        <v>0</v>
      </c>
      <c r="ED97" s="526">
        <v>131.38999999999999</v>
      </c>
      <c r="EE97" s="522">
        <v>303</v>
      </c>
      <c r="EF97" s="526">
        <v>170.15</v>
      </c>
      <c r="EG97" s="522">
        <v>1216</v>
      </c>
      <c r="EH97" s="526">
        <v>203.74</v>
      </c>
      <c r="EI97" s="522">
        <v>447</v>
      </c>
      <c r="EJ97" s="526">
        <v>255.39</v>
      </c>
      <c r="EK97" s="522">
        <v>70</v>
      </c>
      <c r="EL97" s="526">
        <v>252.63</v>
      </c>
      <c r="EM97" s="522">
        <v>6</v>
      </c>
      <c r="EN97" s="526">
        <v>0</v>
      </c>
      <c r="EO97" s="522">
        <v>0</v>
      </c>
      <c r="EP97" s="526">
        <v>174.91</v>
      </c>
      <c r="EQ97" s="522">
        <v>2042</v>
      </c>
      <c r="ER97" s="526">
        <v>174.91</v>
      </c>
      <c r="ES97" s="522">
        <v>2042</v>
      </c>
      <c r="ET97" s="526">
        <v>0</v>
      </c>
      <c r="EU97" s="526">
        <v>0</v>
      </c>
      <c r="EV97" s="526">
        <v>0</v>
      </c>
      <c r="EW97" s="522">
        <v>0</v>
      </c>
      <c r="EX97" s="526">
        <v>146.59</v>
      </c>
      <c r="EY97" s="522">
        <v>14</v>
      </c>
      <c r="EZ97" s="526">
        <v>192.12</v>
      </c>
      <c r="FA97" s="522">
        <v>36</v>
      </c>
      <c r="FB97" s="526">
        <v>0</v>
      </c>
      <c r="FC97" s="522">
        <v>0</v>
      </c>
      <c r="FD97" s="526">
        <v>0</v>
      </c>
      <c r="FE97" s="522">
        <v>0</v>
      </c>
      <c r="FF97" s="526">
        <v>179.37</v>
      </c>
      <c r="FG97" s="522">
        <v>50</v>
      </c>
      <c r="FH97" s="526">
        <v>179.37</v>
      </c>
      <c r="FI97" s="522">
        <v>50</v>
      </c>
      <c r="FJ97" s="522">
        <v>44</v>
      </c>
      <c r="FK97" s="522">
        <v>3</v>
      </c>
      <c r="FL97" s="522">
        <v>1</v>
      </c>
      <c r="FM97" s="522">
        <v>0</v>
      </c>
      <c r="FN97" s="522">
        <v>2</v>
      </c>
      <c r="FO97" s="522">
        <v>0</v>
      </c>
      <c r="FP97" s="522">
        <v>3</v>
      </c>
      <c r="FQ97" s="522">
        <v>75</v>
      </c>
      <c r="FR97" s="522">
        <v>15</v>
      </c>
    </row>
    <row r="98" spans="1:174" x14ac:dyDescent="0.25">
      <c r="A98" s="523" t="s">
        <v>453</v>
      </c>
      <c r="B98" s="523" t="s">
        <v>454</v>
      </c>
      <c r="C98" s="523" t="s">
        <v>2</v>
      </c>
      <c r="D98" s="522">
        <v>4664</v>
      </c>
      <c r="E98" s="522">
        <v>4719</v>
      </c>
      <c r="F98" s="522">
        <v>16</v>
      </c>
      <c r="G98" s="522">
        <v>0</v>
      </c>
      <c r="H98" s="522">
        <v>158</v>
      </c>
      <c r="I98" s="522">
        <v>70</v>
      </c>
      <c r="J98" s="522">
        <v>897</v>
      </c>
      <c r="K98" s="522">
        <v>766</v>
      </c>
      <c r="L98" s="522">
        <v>585</v>
      </c>
      <c r="M98" s="522">
        <v>0</v>
      </c>
      <c r="N98" s="522">
        <v>6320</v>
      </c>
      <c r="O98" s="522">
        <v>5555</v>
      </c>
      <c r="P98" s="522">
        <v>5735</v>
      </c>
      <c r="Q98" s="522">
        <v>3</v>
      </c>
      <c r="R98" s="523">
        <v>6</v>
      </c>
      <c r="S98" s="523">
        <v>15</v>
      </c>
      <c r="T98" s="523">
        <v>218</v>
      </c>
      <c r="U98" s="523">
        <v>6102</v>
      </c>
      <c r="V98" s="522">
        <v>4662</v>
      </c>
      <c r="W98" s="522">
        <v>19</v>
      </c>
      <c r="X98" s="522">
        <v>33</v>
      </c>
      <c r="Y98" s="522">
        <v>52</v>
      </c>
      <c r="Z98" s="524">
        <v>145.66999999999999</v>
      </c>
      <c r="AA98" s="524">
        <v>151.91</v>
      </c>
      <c r="AB98" s="524">
        <v>17.989999999999998</v>
      </c>
      <c r="AC98" s="524">
        <v>154.86000000000001</v>
      </c>
      <c r="AD98" s="524">
        <v>3823</v>
      </c>
      <c r="AE98" s="525">
        <v>138.74</v>
      </c>
      <c r="AF98" s="525">
        <v>127.13</v>
      </c>
      <c r="AG98" s="525">
        <v>50.71</v>
      </c>
      <c r="AH98" s="525">
        <v>188.92</v>
      </c>
      <c r="AI98" s="525">
        <v>855</v>
      </c>
      <c r="AJ98" s="525">
        <v>231.31</v>
      </c>
      <c r="AK98" s="525">
        <v>738</v>
      </c>
      <c r="AL98" s="525">
        <v>201.11</v>
      </c>
      <c r="AM98" s="525">
        <v>10</v>
      </c>
      <c r="AN98" s="526">
        <v>0</v>
      </c>
      <c r="AO98" s="526">
        <v>0</v>
      </c>
      <c r="AP98" s="526">
        <v>0</v>
      </c>
      <c r="AQ98" s="526">
        <v>0</v>
      </c>
      <c r="AR98" s="522">
        <v>0</v>
      </c>
      <c r="AS98" s="526">
        <v>105.49</v>
      </c>
      <c r="AT98" s="526">
        <v>106.27</v>
      </c>
      <c r="AU98" s="526">
        <v>17.010000000000002</v>
      </c>
      <c r="AV98" s="526">
        <v>122.5</v>
      </c>
      <c r="AW98" s="522">
        <v>53</v>
      </c>
      <c r="AX98" s="526">
        <v>120.01</v>
      </c>
      <c r="AY98" s="526">
        <v>121.1</v>
      </c>
      <c r="AZ98" s="526">
        <v>20.32</v>
      </c>
      <c r="BA98" s="526">
        <v>135.72</v>
      </c>
      <c r="BB98" s="522">
        <v>928</v>
      </c>
      <c r="BC98" s="526">
        <v>142.22999999999999</v>
      </c>
      <c r="BD98" s="526">
        <v>146.18</v>
      </c>
      <c r="BE98" s="526">
        <v>18.96</v>
      </c>
      <c r="BF98" s="526">
        <v>154.79</v>
      </c>
      <c r="BG98" s="522">
        <v>1306</v>
      </c>
      <c r="BH98" s="526">
        <v>164.38</v>
      </c>
      <c r="BI98" s="526">
        <v>175.46</v>
      </c>
      <c r="BJ98" s="526">
        <v>10.75</v>
      </c>
      <c r="BK98" s="526">
        <v>166.57</v>
      </c>
      <c r="BL98" s="522">
        <v>1435</v>
      </c>
      <c r="BM98" s="526">
        <v>180.45</v>
      </c>
      <c r="BN98" s="526">
        <v>193.55</v>
      </c>
      <c r="BO98" s="526">
        <v>3.95</v>
      </c>
      <c r="BP98" s="526">
        <v>181.46</v>
      </c>
      <c r="BQ98" s="522">
        <v>93</v>
      </c>
      <c r="BR98" s="526">
        <v>191.96</v>
      </c>
      <c r="BS98" s="526">
        <v>203.06</v>
      </c>
      <c r="BT98" s="526">
        <v>0</v>
      </c>
      <c r="BU98" s="526">
        <v>191.96</v>
      </c>
      <c r="BV98" s="522">
        <v>8</v>
      </c>
      <c r="BW98" s="526">
        <v>0</v>
      </c>
      <c r="BX98" s="526">
        <v>0</v>
      </c>
      <c r="BY98" s="526">
        <v>0</v>
      </c>
      <c r="BZ98" s="526">
        <v>0</v>
      </c>
      <c r="CA98" s="522">
        <v>0</v>
      </c>
      <c r="CB98" s="526">
        <v>145.66999999999999</v>
      </c>
      <c r="CC98" s="526">
        <v>151.91</v>
      </c>
      <c r="CD98" s="526">
        <v>17.989999999999998</v>
      </c>
      <c r="CE98" s="526">
        <v>154.86000000000001</v>
      </c>
      <c r="CF98" s="522">
        <v>3823</v>
      </c>
      <c r="CG98" s="526">
        <v>145.66999999999999</v>
      </c>
      <c r="CH98" s="526">
        <v>151.91</v>
      </c>
      <c r="CI98" s="526">
        <v>17.989999999999998</v>
      </c>
      <c r="CJ98" s="526">
        <v>154.86000000000001</v>
      </c>
      <c r="CK98" s="522">
        <v>3823</v>
      </c>
      <c r="CL98" s="526">
        <v>178.38</v>
      </c>
      <c r="CM98" s="526">
        <v>119.43</v>
      </c>
      <c r="CN98" s="526">
        <v>128.84</v>
      </c>
      <c r="CO98" s="526">
        <v>307.22000000000003</v>
      </c>
      <c r="CP98" s="522">
        <v>76</v>
      </c>
      <c r="CQ98" s="526">
        <v>113.66</v>
      </c>
      <c r="CR98" s="526">
        <v>103.33</v>
      </c>
      <c r="CS98" s="526">
        <v>0</v>
      </c>
      <c r="CT98" s="526">
        <v>113.66</v>
      </c>
      <c r="CU98" s="522">
        <v>7</v>
      </c>
      <c r="CV98" s="526">
        <v>131.44999999999999</v>
      </c>
      <c r="CW98" s="526">
        <v>123.92</v>
      </c>
      <c r="CX98" s="526">
        <v>44.01</v>
      </c>
      <c r="CY98" s="526">
        <v>175.33</v>
      </c>
      <c r="CZ98" s="522">
        <v>669</v>
      </c>
      <c r="DA98" s="526">
        <v>158.29</v>
      </c>
      <c r="DB98" s="526">
        <v>153.56</v>
      </c>
      <c r="DC98" s="526">
        <v>36.549999999999997</v>
      </c>
      <c r="DD98" s="526">
        <v>194.84</v>
      </c>
      <c r="DE98" s="522">
        <v>102</v>
      </c>
      <c r="DF98" s="526">
        <v>182.56</v>
      </c>
      <c r="DG98" s="526">
        <v>181.86</v>
      </c>
      <c r="DH98" s="526">
        <v>23.76</v>
      </c>
      <c r="DI98" s="526">
        <v>206.32</v>
      </c>
      <c r="DJ98" s="522">
        <v>1</v>
      </c>
      <c r="DK98" s="526">
        <v>0</v>
      </c>
      <c r="DL98" s="526">
        <v>0</v>
      </c>
      <c r="DM98" s="526">
        <v>0</v>
      </c>
      <c r="DN98" s="526">
        <v>0</v>
      </c>
      <c r="DO98" s="522">
        <v>0</v>
      </c>
      <c r="DP98" s="526">
        <v>134.87</v>
      </c>
      <c r="DQ98" s="526">
        <v>127.69</v>
      </c>
      <c r="DR98" s="526">
        <v>43</v>
      </c>
      <c r="DS98" s="526">
        <v>177.37</v>
      </c>
      <c r="DT98" s="522">
        <v>779</v>
      </c>
      <c r="DU98" s="526">
        <v>138.74</v>
      </c>
      <c r="DV98" s="526">
        <v>127.13</v>
      </c>
      <c r="DW98" s="526">
        <v>50.71</v>
      </c>
      <c r="DX98" s="526">
        <v>188.92</v>
      </c>
      <c r="DY98" s="522">
        <v>855</v>
      </c>
      <c r="DZ98" s="526">
        <v>0</v>
      </c>
      <c r="EA98" s="526">
        <v>0</v>
      </c>
      <c r="EB98" s="526">
        <v>164.71</v>
      </c>
      <c r="EC98" s="522">
        <v>12</v>
      </c>
      <c r="ED98" s="526">
        <v>185.89</v>
      </c>
      <c r="EE98" s="522">
        <v>206</v>
      </c>
      <c r="EF98" s="526">
        <v>230.49</v>
      </c>
      <c r="EG98" s="522">
        <v>303</v>
      </c>
      <c r="EH98" s="526">
        <v>276.56</v>
      </c>
      <c r="EI98" s="522">
        <v>197</v>
      </c>
      <c r="EJ98" s="526">
        <v>306.45999999999998</v>
      </c>
      <c r="EK98" s="522">
        <v>19</v>
      </c>
      <c r="EL98" s="526">
        <v>295.5</v>
      </c>
      <c r="EM98" s="522">
        <v>1</v>
      </c>
      <c r="EN98" s="526">
        <v>0</v>
      </c>
      <c r="EO98" s="522">
        <v>0</v>
      </c>
      <c r="EP98" s="526">
        <v>231.31</v>
      </c>
      <c r="EQ98" s="522">
        <v>738</v>
      </c>
      <c r="ER98" s="526">
        <v>231.31</v>
      </c>
      <c r="ES98" s="522">
        <v>738</v>
      </c>
      <c r="ET98" s="526">
        <v>0</v>
      </c>
      <c r="EU98" s="526">
        <v>0</v>
      </c>
      <c r="EV98" s="526">
        <v>0</v>
      </c>
      <c r="EW98" s="522">
        <v>0</v>
      </c>
      <c r="EX98" s="526">
        <v>201.11</v>
      </c>
      <c r="EY98" s="522">
        <v>10</v>
      </c>
      <c r="EZ98" s="526">
        <v>0</v>
      </c>
      <c r="FA98" s="522">
        <v>0</v>
      </c>
      <c r="FB98" s="526">
        <v>0</v>
      </c>
      <c r="FC98" s="522">
        <v>0</v>
      </c>
      <c r="FD98" s="526">
        <v>0</v>
      </c>
      <c r="FE98" s="522">
        <v>0</v>
      </c>
      <c r="FF98" s="526">
        <v>201.11</v>
      </c>
      <c r="FG98" s="522">
        <v>10</v>
      </c>
      <c r="FH98" s="526">
        <v>201.11</v>
      </c>
      <c r="FI98" s="522">
        <v>10</v>
      </c>
      <c r="FJ98" s="522">
        <v>0</v>
      </c>
      <c r="FK98" s="522">
        <v>1</v>
      </c>
      <c r="FL98" s="522">
        <v>0</v>
      </c>
      <c r="FM98" s="522">
        <v>0</v>
      </c>
      <c r="FN98" s="522">
        <v>1</v>
      </c>
      <c r="FO98" s="522">
        <v>0</v>
      </c>
      <c r="FP98" s="522">
        <v>2</v>
      </c>
      <c r="FQ98" s="522">
        <v>6</v>
      </c>
      <c r="FR98" s="522">
        <v>7</v>
      </c>
    </row>
    <row r="99" spans="1:174" x14ac:dyDescent="0.25">
      <c r="A99" s="523" t="s">
        <v>455</v>
      </c>
      <c r="B99" s="523" t="s">
        <v>456</v>
      </c>
      <c r="C99" s="523" t="s">
        <v>284</v>
      </c>
      <c r="D99" s="522">
        <v>6971</v>
      </c>
      <c r="E99" s="522">
        <v>6781</v>
      </c>
      <c r="F99" s="522">
        <v>362</v>
      </c>
      <c r="G99" s="522">
        <v>362</v>
      </c>
      <c r="H99" s="522">
        <v>573</v>
      </c>
      <c r="I99" s="522">
        <v>388</v>
      </c>
      <c r="J99" s="522">
        <v>706</v>
      </c>
      <c r="K99" s="522">
        <v>644</v>
      </c>
      <c r="L99" s="522">
        <v>1404</v>
      </c>
      <c r="M99" s="522">
        <v>34</v>
      </c>
      <c r="N99" s="522">
        <v>10016</v>
      </c>
      <c r="O99" s="522">
        <v>8209</v>
      </c>
      <c r="P99" s="522">
        <v>8612</v>
      </c>
      <c r="Q99" s="522">
        <v>108</v>
      </c>
      <c r="R99" s="523">
        <v>17</v>
      </c>
      <c r="S99" s="523">
        <v>32</v>
      </c>
      <c r="T99" s="523">
        <v>579</v>
      </c>
      <c r="U99" s="523">
        <v>9437</v>
      </c>
      <c r="V99" s="522">
        <v>6566</v>
      </c>
      <c r="W99" s="522">
        <v>53</v>
      </c>
      <c r="X99" s="522">
        <v>88</v>
      </c>
      <c r="Y99" s="522">
        <v>141</v>
      </c>
      <c r="Z99" s="524">
        <v>138.88999999999999</v>
      </c>
      <c r="AA99" s="524">
        <v>146.52000000000001</v>
      </c>
      <c r="AB99" s="524">
        <v>17.55</v>
      </c>
      <c r="AC99" s="524">
        <v>151.85</v>
      </c>
      <c r="AD99" s="524">
        <v>5750</v>
      </c>
      <c r="AE99" s="525">
        <v>131.77000000000001</v>
      </c>
      <c r="AF99" s="525">
        <v>118.77</v>
      </c>
      <c r="AG99" s="525">
        <v>84.67</v>
      </c>
      <c r="AH99" s="525">
        <v>214.55</v>
      </c>
      <c r="AI99" s="525">
        <v>1075</v>
      </c>
      <c r="AJ99" s="525">
        <v>214.69</v>
      </c>
      <c r="AK99" s="525">
        <v>785</v>
      </c>
      <c r="AL99" s="525">
        <v>227.42</v>
      </c>
      <c r="AM99" s="525">
        <v>36</v>
      </c>
      <c r="AN99" s="526">
        <v>82.73</v>
      </c>
      <c r="AO99" s="526">
        <v>0</v>
      </c>
      <c r="AP99" s="526">
        <v>55.41</v>
      </c>
      <c r="AQ99" s="526">
        <v>137.94</v>
      </c>
      <c r="AR99" s="522">
        <v>272</v>
      </c>
      <c r="AS99" s="526">
        <v>91.24</v>
      </c>
      <c r="AT99" s="526">
        <v>92.13</v>
      </c>
      <c r="AU99" s="526">
        <v>6.87</v>
      </c>
      <c r="AV99" s="526">
        <v>97.72</v>
      </c>
      <c r="AW99" s="522">
        <v>35</v>
      </c>
      <c r="AX99" s="526">
        <v>114.26</v>
      </c>
      <c r="AY99" s="526">
        <v>117.64</v>
      </c>
      <c r="AZ99" s="526">
        <v>22.37</v>
      </c>
      <c r="BA99" s="526">
        <v>134.21</v>
      </c>
      <c r="BB99" s="522">
        <v>831</v>
      </c>
      <c r="BC99" s="526">
        <v>133.94</v>
      </c>
      <c r="BD99" s="526">
        <v>137.77000000000001</v>
      </c>
      <c r="BE99" s="526">
        <v>16.75</v>
      </c>
      <c r="BF99" s="526">
        <v>148.37</v>
      </c>
      <c r="BG99" s="522">
        <v>2287</v>
      </c>
      <c r="BH99" s="526">
        <v>156.47999999999999</v>
      </c>
      <c r="BI99" s="526">
        <v>161.22999999999999</v>
      </c>
      <c r="BJ99" s="526">
        <v>8.5299999999999994</v>
      </c>
      <c r="BK99" s="526">
        <v>160.66</v>
      </c>
      <c r="BL99" s="522">
        <v>1916</v>
      </c>
      <c r="BM99" s="526">
        <v>174.48</v>
      </c>
      <c r="BN99" s="526">
        <v>185.48</v>
      </c>
      <c r="BO99" s="526">
        <v>5.75</v>
      </c>
      <c r="BP99" s="526">
        <v>178.56</v>
      </c>
      <c r="BQ99" s="522">
        <v>369</v>
      </c>
      <c r="BR99" s="526">
        <v>182.66</v>
      </c>
      <c r="BS99" s="526">
        <v>203.26</v>
      </c>
      <c r="BT99" s="526">
        <v>5.44</v>
      </c>
      <c r="BU99" s="526">
        <v>187.39</v>
      </c>
      <c r="BV99" s="522">
        <v>31</v>
      </c>
      <c r="BW99" s="526">
        <v>195.63</v>
      </c>
      <c r="BX99" s="526">
        <v>220.25</v>
      </c>
      <c r="BY99" s="526">
        <v>9.94</v>
      </c>
      <c r="BZ99" s="526">
        <v>203.36</v>
      </c>
      <c r="CA99" s="522">
        <v>9</v>
      </c>
      <c r="CB99" s="526">
        <v>141.68</v>
      </c>
      <c r="CC99" s="526">
        <v>146.52000000000001</v>
      </c>
      <c r="CD99" s="526">
        <v>14.96</v>
      </c>
      <c r="CE99" s="526">
        <v>152.54</v>
      </c>
      <c r="CF99" s="522">
        <v>5478</v>
      </c>
      <c r="CG99" s="526">
        <v>138.88999999999999</v>
      </c>
      <c r="CH99" s="526">
        <v>146.52000000000001</v>
      </c>
      <c r="CI99" s="526">
        <v>17.55</v>
      </c>
      <c r="CJ99" s="526">
        <v>151.85</v>
      </c>
      <c r="CK99" s="522">
        <v>5750</v>
      </c>
      <c r="CL99" s="526">
        <v>159.72</v>
      </c>
      <c r="CM99" s="526">
        <v>120.81</v>
      </c>
      <c r="CN99" s="526">
        <v>140.62</v>
      </c>
      <c r="CO99" s="526">
        <v>280.51</v>
      </c>
      <c r="CP99" s="522">
        <v>156</v>
      </c>
      <c r="CQ99" s="526">
        <v>105.26</v>
      </c>
      <c r="CR99" s="526">
        <v>100.24</v>
      </c>
      <c r="CS99" s="526">
        <v>73.069999999999993</v>
      </c>
      <c r="CT99" s="526">
        <v>178.34</v>
      </c>
      <c r="CU99" s="522">
        <v>232</v>
      </c>
      <c r="CV99" s="526">
        <v>131.66999999999999</v>
      </c>
      <c r="CW99" s="526">
        <v>120.22</v>
      </c>
      <c r="CX99" s="526">
        <v>81.56</v>
      </c>
      <c r="CY99" s="526">
        <v>213.09</v>
      </c>
      <c r="CZ99" s="522">
        <v>562</v>
      </c>
      <c r="DA99" s="526">
        <v>146</v>
      </c>
      <c r="DB99" s="526">
        <v>145.16999999999999</v>
      </c>
      <c r="DC99" s="526">
        <v>60.28</v>
      </c>
      <c r="DD99" s="526">
        <v>206.29</v>
      </c>
      <c r="DE99" s="522">
        <v>120</v>
      </c>
      <c r="DF99" s="526">
        <v>153.47</v>
      </c>
      <c r="DG99" s="526">
        <v>145.99</v>
      </c>
      <c r="DH99" s="526">
        <v>38.71</v>
      </c>
      <c r="DI99" s="526">
        <v>182.5</v>
      </c>
      <c r="DJ99" s="522">
        <v>4</v>
      </c>
      <c r="DK99" s="526">
        <v>186.7</v>
      </c>
      <c r="DL99" s="526">
        <v>169.74</v>
      </c>
      <c r="DM99" s="526">
        <v>83.1</v>
      </c>
      <c r="DN99" s="526">
        <v>269.8</v>
      </c>
      <c r="DO99" s="522">
        <v>1</v>
      </c>
      <c r="DP99" s="526">
        <v>127.03</v>
      </c>
      <c r="DQ99" s="526">
        <v>118.53</v>
      </c>
      <c r="DR99" s="526">
        <v>76.489999999999995</v>
      </c>
      <c r="DS99" s="526">
        <v>203.35</v>
      </c>
      <c r="DT99" s="522">
        <v>919</v>
      </c>
      <c r="DU99" s="526">
        <v>131.77000000000001</v>
      </c>
      <c r="DV99" s="526">
        <v>118.77</v>
      </c>
      <c r="DW99" s="526">
        <v>84.67</v>
      </c>
      <c r="DX99" s="526">
        <v>214.55</v>
      </c>
      <c r="DY99" s="522">
        <v>1075</v>
      </c>
      <c r="DZ99" s="526">
        <v>0</v>
      </c>
      <c r="EA99" s="526">
        <v>0</v>
      </c>
      <c r="EB99" s="526">
        <v>120.14</v>
      </c>
      <c r="EC99" s="522">
        <v>26</v>
      </c>
      <c r="ED99" s="526">
        <v>178.65</v>
      </c>
      <c r="EE99" s="522">
        <v>197</v>
      </c>
      <c r="EF99" s="526">
        <v>224.92</v>
      </c>
      <c r="EG99" s="522">
        <v>357</v>
      </c>
      <c r="EH99" s="526">
        <v>229.48</v>
      </c>
      <c r="EI99" s="522">
        <v>141</v>
      </c>
      <c r="EJ99" s="526">
        <v>274.41000000000003</v>
      </c>
      <c r="EK99" s="522">
        <v>64</v>
      </c>
      <c r="EL99" s="526">
        <v>0</v>
      </c>
      <c r="EM99" s="522">
        <v>0</v>
      </c>
      <c r="EN99" s="526">
        <v>0</v>
      </c>
      <c r="EO99" s="522">
        <v>0</v>
      </c>
      <c r="EP99" s="526">
        <v>214.69</v>
      </c>
      <c r="EQ99" s="522">
        <v>785</v>
      </c>
      <c r="ER99" s="526">
        <v>214.69</v>
      </c>
      <c r="ES99" s="522">
        <v>785</v>
      </c>
      <c r="ET99" s="526">
        <v>0</v>
      </c>
      <c r="EU99" s="526">
        <v>0</v>
      </c>
      <c r="EV99" s="526">
        <v>0</v>
      </c>
      <c r="EW99" s="522">
        <v>0</v>
      </c>
      <c r="EX99" s="526">
        <v>227.42</v>
      </c>
      <c r="EY99" s="522">
        <v>36</v>
      </c>
      <c r="EZ99" s="526">
        <v>0</v>
      </c>
      <c r="FA99" s="522">
        <v>0</v>
      </c>
      <c r="FB99" s="526">
        <v>0</v>
      </c>
      <c r="FC99" s="522">
        <v>0</v>
      </c>
      <c r="FD99" s="526">
        <v>0</v>
      </c>
      <c r="FE99" s="522">
        <v>0</v>
      </c>
      <c r="FF99" s="526">
        <v>227.42</v>
      </c>
      <c r="FG99" s="522">
        <v>36</v>
      </c>
      <c r="FH99" s="526">
        <v>227.42</v>
      </c>
      <c r="FI99" s="522">
        <v>36</v>
      </c>
      <c r="FJ99" s="522">
        <v>44</v>
      </c>
      <c r="FK99" s="522">
        <v>3</v>
      </c>
      <c r="FL99" s="522">
        <v>2</v>
      </c>
      <c r="FM99" s="522">
        <v>0</v>
      </c>
      <c r="FN99" s="522">
        <v>0</v>
      </c>
      <c r="FO99" s="522">
        <v>1</v>
      </c>
      <c r="FP99" s="522">
        <v>11</v>
      </c>
      <c r="FQ99" s="522">
        <v>26</v>
      </c>
      <c r="FR99" s="522">
        <v>31</v>
      </c>
    </row>
    <row r="100" spans="1:174" x14ac:dyDescent="0.25">
      <c r="A100" s="523" t="s">
        <v>457</v>
      </c>
      <c r="B100" s="523" t="s">
        <v>458</v>
      </c>
      <c r="C100" s="523" t="s">
        <v>283</v>
      </c>
      <c r="D100" s="522">
        <v>1487</v>
      </c>
      <c r="E100" s="522">
        <v>1490</v>
      </c>
      <c r="F100" s="522">
        <v>0</v>
      </c>
      <c r="G100" s="522">
        <v>0</v>
      </c>
      <c r="H100" s="522">
        <v>167</v>
      </c>
      <c r="I100" s="522">
        <v>39</v>
      </c>
      <c r="J100" s="522">
        <v>228</v>
      </c>
      <c r="K100" s="522">
        <v>228</v>
      </c>
      <c r="L100" s="522">
        <v>583</v>
      </c>
      <c r="M100" s="522">
        <v>5</v>
      </c>
      <c r="N100" s="522">
        <v>2465</v>
      </c>
      <c r="O100" s="522">
        <v>1762</v>
      </c>
      <c r="P100" s="522">
        <v>1882</v>
      </c>
      <c r="Q100" s="522">
        <v>5</v>
      </c>
      <c r="R100" s="523">
        <v>5</v>
      </c>
      <c r="S100" s="523">
        <v>20</v>
      </c>
      <c r="T100" s="523">
        <v>100</v>
      </c>
      <c r="U100" s="523">
        <v>2365</v>
      </c>
      <c r="V100" s="522">
        <v>1487</v>
      </c>
      <c r="W100" s="522">
        <v>10</v>
      </c>
      <c r="X100" s="522">
        <v>4</v>
      </c>
      <c r="Y100" s="522">
        <v>14</v>
      </c>
      <c r="Z100" s="524">
        <v>137.29</v>
      </c>
      <c r="AA100" s="524">
        <v>139.12</v>
      </c>
      <c r="AB100" s="524">
        <v>8.9600000000000009</v>
      </c>
      <c r="AC100" s="524">
        <v>145.16999999999999</v>
      </c>
      <c r="AD100" s="524">
        <v>1218</v>
      </c>
      <c r="AE100" s="525">
        <v>111.24</v>
      </c>
      <c r="AF100" s="525">
        <v>105.74</v>
      </c>
      <c r="AG100" s="525">
        <v>73.36</v>
      </c>
      <c r="AH100" s="525">
        <v>183.31</v>
      </c>
      <c r="AI100" s="525">
        <v>285</v>
      </c>
      <c r="AJ100" s="525">
        <v>213.72</v>
      </c>
      <c r="AK100" s="525">
        <v>252</v>
      </c>
      <c r="AL100" s="525">
        <v>146.83000000000001</v>
      </c>
      <c r="AM100" s="525">
        <v>10</v>
      </c>
      <c r="AN100" s="526">
        <v>0</v>
      </c>
      <c r="AO100" s="526">
        <v>0</v>
      </c>
      <c r="AP100" s="526">
        <v>0</v>
      </c>
      <c r="AQ100" s="526">
        <v>0</v>
      </c>
      <c r="AR100" s="522">
        <v>0</v>
      </c>
      <c r="AS100" s="526">
        <v>0</v>
      </c>
      <c r="AT100" s="526">
        <v>0</v>
      </c>
      <c r="AU100" s="526">
        <v>0</v>
      </c>
      <c r="AV100" s="526">
        <v>0</v>
      </c>
      <c r="AW100" s="522">
        <v>0</v>
      </c>
      <c r="AX100" s="526">
        <v>107.25</v>
      </c>
      <c r="AY100" s="526">
        <v>109.05</v>
      </c>
      <c r="AZ100" s="526">
        <v>11.28</v>
      </c>
      <c r="BA100" s="526">
        <v>118.4</v>
      </c>
      <c r="BB100" s="522">
        <v>246</v>
      </c>
      <c r="BC100" s="526">
        <v>131.69</v>
      </c>
      <c r="BD100" s="526">
        <v>132.37</v>
      </c>
      <c r="BE100" s="526">
        <v>9.9700000000000006</v>
      </c>
      <c r="BF100" s="526">
        <v>140.54</v>
      </c>
      <c r="BG100" s="522">
        <v>453</v>
      </c>
      <c r="BH100" s="526">
        <v>154.78</v>
      </c>
      <c r="BI100" s="526">
        <v>157.54</v>
      </c>
      <c r="BJ100" s="526">
        <v>6.7</v>
      </c>
      <c r="BK100" s="526">
        <v>160.18</v>
      </c>
      <c r="BL100" s="522">
        <v>469</v>
      </c>
      <c r="BM100" s="526">
        <v>171.21</v>
      </c>
      <c r="BN100" s="526">
        <v>176.54</v>
      </c>
      <c r="BO100" s="526">
        <v>5.88</v>
      </c>
      <c r="BP100" s="526">
        <v>176.77</v>
      </c>
      <c r="BQ100" s="522">
        <v>37</v>
      </c>
      <c r="BR100" s="526">
        <v>173.6</v>
      </c>
      <c r="BS100" s="526">
        <v>171.83</v>
      </c>
      <c r="BT100" s="526">
        <v>7.98</v>
      </c>
      <c r="BU100" s="526">
        <v>181.58</v>
      </c>
      <c r="BV100" s="522">
        <v>13</v>
      </c>
      <c r="BW100" s="526">
        <v>0</v>
      </c>
      <c r="BX100" s="526">
        <v>0</v>
      </c>
      <c r="BY100" s="526">
        <v>0</v>
      </c>
      <c r="BZ100" s="526">
        <v>0</v>
      </c>
      <c r="CA100" s="522">
        <v>0</v>
      </c>
      <c r="CB100" s="526">
        <v>137.29</v>
      </c>
      <c r="CC100" s="526">
        <v>139.12</v>
      </c>
      <c r="CD100" s="526">
        <v>8.9600000000000009</v>
      </c>
      <c r="CE100" s="526">
        <v>145.16999999999999</v>
      </c>
      <c r="CF100" s="522">
        <v>1218</v>
      </c>
      <c r="CG100" s="526">
        <v>137.29</v>
      </c>
      <c r="CH100" s="526">
        <v>139.12</v>
      </c>
      <c r="CI100" s="526">
        <v>8.9600000000000009</v>
      </c>
      <c r="CJ100" s="526">
        <v>145.16999999999999</v>
      </c>
      <c r="CK100" s="522">
        <v>1218</v>
      </c>
      <c r="CL100" s="526">
        <v>109.4</v>
      </c>
      <c r="CM100" s="526">
        <v>104.92</v>
      </c>
      <c r="CN100" s="526">
        <v>50.53</v>
      </c>
      <c r="CO100" s="526">
        <v>134.66999999999999</v>
      </c>
      <c r="CP100" s="522">
        <v>8</v>
      </c>
      <c r="CQ100" s="526">
        <v>90.76</v>
      </c>
      <c r="CR100" s="526">
        <v>83.96</v>
      </c>
      <c r="CS100" s="526">
        <v>114.4</v>
      </c>
      <c r="CT100" s="526">
        <v>205.16</v>
      </c>
      <c r="CU100" s="522">
        <v>55</v>
      </c>
      <c r="CV100" s="526">
        <v>114.01</v>
      </c>
      <c r="CW100" s="526">
        <v>109.07</v>
      </c>
      <c r="CX100" s="526">
        <v>66.06</v>
      </c>
      <c r="CY100" s="526">
        <v>180.07</v>
      </c>
      <c r="CZ100" s="522">
        <v>203</v>
      </c>
      <c r="DA100" s="526">
        <v>141.65</v>
      </c>
      <c r="DB100" s="526">
        <v>133.62</v>
      </c>
      <c r="DC100" s="526">
        <v>35.450000000000003</v>
      </c>
      <c r="DD100" s="526">
        <v>175.23</v>
      </c>
      <c r="DE100" s="522">
        <v>19</v>
      </c>
      <c r="DF100" s="526">
        <v>0</v>
      </c>
      <c r="DG100" s="526">
        <v>0</v>
      </c>
      <c r="DH100" s="526">
        <v>0</v>
      </c>
      <c r="DI100" s="526">
        <v>0</v>
      </c>
      <c r="DJ100" s="522">
        <v>0</v>
      </c>
      <c r="DK100" s="526">
        <v>0</v>
      </c>
      <c r="DL100" s="526">
        <v>0</v>
      </c>
      <c r="DM100" s="526">
        <v>0</v>
      </c>
      <c r="DN100" s="526">
        <v>0</v>
      </c>
      <c r="DO100" s="522">
        <v>0</v>
      </c>
      <c r="DP100" s="526">
        <v>111.29</v>
      </c>
      <c r="DQ100" s="526">
        <v>105.77</v>
      </c>
      <c r="DR100" s="526">
        <v>73.69</v>
      </c>
      <c r="DS100" s="526">
        <v>184.72</v>
      </c>
      <c r="DT100" s="522">
        <v>277</v>
      </c>
      <c r="DU100" s="526">
        <v>111.24</v>
      </c>
      <c r="DV100" s="526">
        <v>105.74</v>
      </c>
      <c r="DW100" s="526">
        <v>73.36</v>
      </c>
      <c r="DX100" s="526">
        <v>183.31</v>
      </c>
      <c r="DY100" s="522">
        <v>285</v>
      </c>
      <c r="DZ100" s="526">
        <v>0</v>
      </c>
      <c r="EA100" s="526">
        <v>0</v>
      </c>
      <c r="EB100" s="526">
        <v>0</v>
      </c>
      <c r="EC100" s="522">
        <v>0</v>
      </c>
      <c r="ED100" s="526">
        <v>164.04</v>
      </c>
      <c r="EE100" s="522">
        <v>33</v>
      </c>
      <c r="EF100" s="526">
        <v>202.1</v>
      </c>
      <c r="EG100" s="522">
        <v>129</v>
      </c>
      <c r="EH100" s="526">
        <v>246.92</v>
      </c>
      <c r="EI100" s="522">
        <v>82</v>
      </c>
      <c r="EJ100" s="526">
        <v>265.98</v>
      </c>
      <c r="EK100" s="522">
        <v>8</v>
      </c>
      <c r="EL100" s="526">
        <v>0</v>
      </c>
      <c r="EM100" s="522">
        <v>0</v>
      </c>
      <c r="EN100" s="526">
        <v>0</v>
      </c>
      <c r="EO100" s="522">
        <v>0</v>
      </c>
      <c r="EP100" s="526">
        <v>213.72</v>
      </c>
      <c r="EQ100" s="522">
        <v>252</v>
      </c>
      <c r="ER100" s="526">
        <v>213.72</v>
      </c>
      <c r="ES100" s="522">
        <v>252</v>
      </c>
      <c r="ET100" s="526">
        <v>0</v>
      </c>
      <c r="EU100" s="526">
        <v>0</v>
      </c>
      <c r="EV100" s="526">
        <v>0</v>
      </c>
      <c r="EW100" s="522">
        <v>0</v>
      </c>
      <c r="EX100" s="526">
        <v>146.83000000000001</v>
      </c>
      <c r="EY100" s="522">
        <v>10</v>
      </c>
      <c r="EZ100" s="526">
        <v>0</v>
      </c>
      <c r="FA100" s="522">
        <v>0</v>
      </c>
      <c r="FB100" s="526">
        <v>0</v>
      </c>
      <c r="FC100" s="522">
        <v>0</v>
      </c>
      <c r="FD100" s="526">
        <v>0</v>
      </c>
      <c r="FE100" s="522">
        <v>0</v>
      </c>
      <c r="FF100" s="526">
        <v>146.83000000000001</v>
      </c>
      <c r="FG100" s="522">
        <v>10</v>
      </c>
      <c r="FH100" s="526">
        <v>146.83000000000001</v>
      </c>
      <c r="FI100" s="522">
        <v>10</v>
      </c>
      <c r="FJ100" s="522">
        <v>0</v>
      </c>
      <c r="FK100" s="522">
        <v>0</v>
      </c>
      <c r="FL100" s="522">
        <v>0</v>
      </c>
      <c r="FM100" s="522">
        <v>0</v>
      </c>
      <c r="FN100" s="522">
        <v>0</v>
      </c>
      <c r="FO100" s="522">
        <v>0</v>
      </c>
      <c r="FP100" s="522">
        <v>3</v>
      </c>
      <c r="FQ100" s="522">
        <v>16</v>
      </c>
      <c r="FR100" s="522">
        <v>6</v>
      </c>
    </row>
    <row r="101" spans="1:174" x14ac:dyDescent="0.25">
      <c r="A101" s="523" t="s">
        <v>459</v>
      </c>
      <c r="B101" s="523" t="s">
        <v>460</v>
      </c>
      <c r="C101" s="523" t="s">
        <v>2</v>
      </c>
      <c r="D101" s="522">
        <v>2302</v>
      </c>
      <c r="E101" s="522">
        <v>2273</v>
      </c>
      <c r="F101" s="522">
        <v>0</v>
      </c>
      <c r="G101" s="522">
        <v>0</v>
      </c>
      <c r="H101" s="522">
        <v>159</v>
      </c>
      <c r="I101" s="522">
        <v>49</v>
      </c>
      <c r="J101" s="522">
        <v>406</v>
      </c>
      <c r="K101" s="522">
        <v>291</v>
      </c>
      <c r="L101" s="522">
        <v>357</v>
      </c>
      <c r="M101" s="522">
        <v>50</v>
      </c>
      <c r="N101" s="522">
        <v>3224</v>
      </c>
      <c r="O101" s="522">
        <v>2663</v>
      </c>
      <c r="P101" s="522">
        <v>2867</v>
      </c>
      <c r="Q101" s="522">
        <v>18</v>
      </c>
      <c r="R101" s="523">
        <v>8</v>
      </c>
      <c r="S101" s="523">
        <v>19</v>
      </c>
      <c r="T101" s="523">
        <v>245</v>
      </c>
      <c r="U101" s="523">
        <v>2979</v>
      </c>
      <c r="V101" s="522">
        <v>2269</v>
      </c>
      <c r="W101" s="522">
        <v>10</v>
      </c>
      <c r="X101" s="522">
        <v>13</v>
      </c>
      <c r="Y101" s="522">
        <v>23</v>
      </c>
      <c r="Z101" s="524">
        <v>139.25</v>
      </c>
      <c r="AA101" s="524">
        <v>130.78</v>
      </c>
      <c r="AB101" s="524">
        <v>12.32</v>
      </c>
      <c r="AC101" s="524">
        <v>140.69999999999999</v>
      </c>
      <c r="AD101" s="524">
        <v>1918</v>
      </c>
      <c r="AE101" s="525">
        <v>131.52000000000001</v>
      </c>
      <c r="AF101" s="525">
        <v>112.08</v>
      </c>
      <c r="AG101" s="525">
        <v>37.68</v>
      </c>
      <c r="AH101" s="525">
        <v>167.72</v>
      </c>
      <c r="AI101" s="525">
        <v>332</v>
      </c>
      <c r="AJ101" s="525">
        <v>227.92</v>
      </c>
      <c r="AK101" s="525">
        <v>337</v>
      </c>
      <c r="AL101" s="525">
        <v>309.60000000000002</v>
      </c>
      <c r="AM101" s="525">
        <v>56</v>
      </c>
      <c r="AN101" s="526">
        <v>0</v>
      </c>
      <c r="AO101" s="526">
        <v>0</v>
      </c>
      <c r="AP101" s="526">
        <v>0</v>
      </c>
      <c r="AQ101" s="526">
        <v>0</v>
      </c>
      <c r="AR101" s="522">
        <v>0</v>
      </c>
      <c r="AS101" s="526">
        <v>175.91</v>
      </c>
      <c r="AT101" s="526">
        <v>0</v>
      </c>
      <c r="AU101" s="526">
        <v>0</v>
      </c>
      <c r="AV101" s="526">
        <v>175.91</v>
      </c>
      <c r="AW101" s="522">
        <v>43</v>
      </c>
      <c r="AX101" s="526">
        <v>116.31</v>
      </c>
      <c r="AY101" s="526">
        <v>107.98</v>
      </c>
      <c r="AZ101" s="526">
        <v>17.11</v>
      </c>
      <c r="BA101" s="526">
        <v>118.92</v>
      </c>
      <c r="BB101" s="522">
        <v>466</v>
      </c>
      <c r="BC101" s="526">
        <v>133.72</v>
      </c>
      <c r="BD101" s="526">
        <v>126.08</v>
      </c>
      <c r="BE101" s="526">
        <v>14.14</v>
      </c>
      <c r="BF101" s="526">
        <v>135.61000000000001</v>
      </c>
      <c r="BG101" s="522">
        <v>651</v>
      </c>
      <c r="BH101" s="526">
        <v>154.66</v>
      </c>
      <c r="BI101" s="526">
        <v>146.24</v>
      </c>
      <c r="BJ101" s="526">
        <v>4.9000000000000004</v>
      </c>
      <c r="BK101" s="526">
        <v>155.1</v>
      </c>
      <c r="BL101" s="522">
        <v>701</v>
      </c>
      <c r="BM101" s="526">
        <v>171.81</v>
      </c>
      <c r="BN101" s="526">
        <v>176.39</v>
      </c>
      <c r="BO101" s="526">
        <v>4.4000000000000004</v>
      </c>
      <c r="BP101" s="526">
        <v>172.14</v>
      </c>
      <c r="BQ101" s="522">
        <v>54</v>
      </c>
      <c r="BR101" s="526">
        <v>190.11</v>
      </c>
      <c r="BS101" s="526">
        <v>203.79</v>
      </c>
      <c r="BT101" s="526">
        <v>0</v>
      </c>
      <c r="BU101" s="526">
        <v>190.11</v>
      </c>
      <c r="BV101" s="522">
        <v>3</v>
      </c>
      <c r="BW101" s="526">
        <v>0</v>
      </c>
      <c r="BX101" s="526">
        <v>0</v>
      </c>
      <c r="BY101" s="526">
        <v>0</v>
      </c>
      <c r="BZ101" s="526">
        <v>0</v>
      </c>
      <c r="CA101" s="522">
        <v>0</v>
      </c>
      <c r="CB101" s="526">
        <v>139.25</v>
      </c>
      <c r="CC101" s="526">
        <v>130.78</v>
      </c>
      <c r="CD101" s="526">
        <v>12.32</v>
      </c>
      <c r="CE101" s="526">
        <v>140.69999999999999</v>
      </c>
      <c r="CF101" s="522">
        <v>1918</v>
      </c>
      <c r="CG101" s="526">
        <v>139.25</v>
      </c>
      <c r="CH101" s="526">
        <v>130.78</v>
      </c>
      <c r="CI101" s="526">
        <v>12.32</v>
      </c>
      <c r="CJ101" s="526">
        <v>140.69999999999999</v>
      </c>
      <c r="CK101" s="522">
        <v>1918</v>
      </c>
      <c r="CL101" s="526">
        <v>200.29</v>
      </c>
      <c r="CM101" s="526">
        <v>100.46</v>
      </c>
      <c r="CN101" s="526">
        <v>132.6</v>
      </c>
      <c r="CO101" s="526">
        <v>275.24</v>
      </c>
      <c r="CP101" s="522">
        <v>23</v>
      </c>
      <c r="CQ101" s="526">
        <v>108.77</v>
      </c>
      <c r="CR101" s="526">
        <v>109.94</v>
      </c>
      <c r="CS101" s="526">
        <v>38.5</v>
      </c>
      <c r="CT101" s="526">
        <v>147.27000000000001</v>
      </c>
      <c r="CU101" s="522">
        <v>51</v>
      </c>
      <c r="CV101" s="526">
        <v>129.63</v>
      </c>
      <c r="CW101" s="526">
        <v>112.45</v>
      </c>
      <c r="CX101" s="526">
        <v>32.35</v>
      </c>
      <c r="CY101" s="526">
        <v>161.59</v>
      </c>
      <c r="CZ101" s="522">
        <v>251</v>
      </c>
      <c r="DA101" s="526">
        <v>138.97999999999999</v>
      </c>
      <c r="DB101" s="526">
        <v>136.97999999999999</v>
      </c>
      <c r="DC101" s="526">
        <v>44.16</v>
      </c>
      <c r="DD101" s="526">
        <v>183.14</v>
      </c>
      <c r="DE101" s="522">
        <v>7</v>
      </c>
      <c r="DF101" s="526">
        <v>0</v>
      </c>
      <c r="DG101" s="526">
        <v>0</v>
      </c>
      <c r="DH101" s="526">
        <v>0</v>
      </c>
      <c r="DI101" s="526">
        <v>0</v>
      </c>
      <c r="DJ101" s="522">
        <v>0</v>
      </c>
      <c r="DK101" s="526">
        <v>0</v>
      </c>
      <c r="DL101" s="526">
        <v>0</v>
      </c>
      <c r="DM101" s="526">
        <v>0</v>
      </c>
      <c r="DN101" s="526">
        <v>0</v>
      </c>
      <c r="DO101" s="522">
        <v>0</v>
      </c>
      <c r="DP101" s="526">
        <v>126.4</v>
      </c>
      <c r="DQ101" s="526">
        <v>112.6</v>
      </c>
      <c r="DR101" s="526">
        <v>33.65</v>
      </c>
      <c r="DS101" s="526">
        <v>159.72</v>
      </c>
      <c r="DT101" s="522">
        <v>309</v>
      </c>
      <c r="DU101" s="526">
        <v>131.52000000000001</v>
      </c>
      <c r="DV101" s="526">
        <v>112.08</v>
      </c>
      <c r="DW101" s="526">
        <v>37.68</v>
      </c>
      <c r="DX101" s="526">
        <v>167.72</v>
      </c>
      <c r="DY101" s="522">
        <v>332</v>
      </c>
      <c r="DZ101" s="526">
        <v>0</v>
      </c>
      <c r="EA101" s="526">
        <v>0</v>
      </c>
      <c r="EB101" s="526">
        <v>188.64</v>
      </c>
      <c r="EC101" s="522">
        <v>4</v>
      </c>
      <c r="ED101" s="526">
        <v>182.69</v>
      </c>
      <c r="EE101" s="522">
        <v>93</v>
      </c>
      <c r="EF101" s="526">
        <v>228.86</v>
      </c>
      <c r="EG101" s="522">
        <v>182</v>
      </c>
      <c r="EH101" s="526">
        <v>294.32</v>
      </c>
      <c r="EI101" s="522">
        <v>48</v>
      </c>
      <c r="EJ101" s="526">
        <v>324.29000000000002</v>
      </c>
      <c r="EK101" s="522">
        <v>8</v>
      </c>
      <c r="EL101" s="526">
        <v>344.25</v>
      </c>
      <c r="EM101" s="522">
        <v>2</v>
      </c>
      <c r="EN101" s="526">
        <v>0</v>
      </c>
      <c r="EO101" s="522">
        <v>0</v>
      </c>
      <c r="EP101" s="526">
        <v>227.92</v>
      </c>
      <c r="EQ101" s="522">
        <v>337</v>
      </c>
      <c r="ER101" s="526">
        <v>227.92</v>
      </c>
      <c r="ES101" s="522">
        <v>337</v>
      </c>
      <c r="ET101" s="526">
        <v>0</v>
      </c>
      <c r="EU101" s="526">
        <v>0</v>
      </c>
      <c r="EV101" s="526">
        <v>276.83999999999997</v>
      </c>
      <c r="EW101" s="522">
        <v>21</v>
      </c>
      <c r="EX101" s="526">
        <v>329.25</v>
      </c>
      <c r="EY101" s="522">
        <v>35</v>
      </c>
      <c r="EZ101" s="526">
        <v>0</v>
      </c>
      <c r="FA101" s="522">
        <v>0</v>
      </c>
      <c r="FB101" s="526">
        <v>0</v>
      </c>
      <c r="FC101" s="522">
        <v>0</v>
      </c>
      <c r="FD101" s="526">
        <v>0</v>
      </c>
      <c r="FE101" s="522">
        <v>0</v>
      </c>
      <c r="FF101" s="526">
        <v>309.60000000000002</v>
      </c>
      <c r="FG101" s="522">
        <v>56</v>
      </c>
      <c r="FH101" s="526">
        <v>309.60000000000002</v>
      </c>
      <c r="FI101" s="522">
        <v>56</v>
      </c>
      <c r="FJ101" s="522">
        <v>31</v>
      </c>
      <c r="FK101" s="522">
        <v>0</v>
      </c>
      <c r="FL101" s="522">
        <v>0</v>
      </c>
      <c r="FM101" s="522">
        <v>0</v>
      </c>
      <c r="FN101" s="522">
        <v>0</v>
      </c>
      <c r="FO101" s="522">
        <v>0</v>
      </c>
      <c r="FP101" s="522">
        <v>0</v>
      </c>
      <c r="FQ101" s="522">
        <v>5</v>
      </c>
      <c r="FR101" s="522">
        <v>6</v>
      </c>
    </row>
    <row r="102" spans="1:174" x14ac:dyDescent="0.25">
      <c r="A102" s="523" t="s">
        <v>461</v>
      </c>
      <c r="B102" s="523" t="s">
        <v>462</v>
      </c>
      <c r="C102" s="523" t="s">
        <v>282</v>
      </c>
      <c r="D102" s="522">
        <v>4735</v>
      </c>
      <c r="E102" s="522">
        <v>4747</v>
      </c>
      <c r="F102" s="522">
        <v>0</v>
      </c>
      <c r="G102" s="522">
        <v>0</v>
      </c>
      <c r="H102" s="522">
        <v>136</v>
      </c>
      <c r="I102" s="522">
        <v>96</v>
      </c>
      <c r="J102" s="522">
        <v>1932</v>
      </c>
      <c r="K102" s="522">
        <v>1932</v>
      </c>
      <c r="L102" s="522">
        <v>200</v>
      </c>
      <c r="M102" s="522">
        <v>13</v>
      </c>
      <c r="N102" s="522">
        <v>7003</v>
      </c>
      <c r="O102" s="522">
        <v>6788</v>
      </c>
      <c r="P102" s="522">
        <v>6803</v>
      </c>
      <c r="Q102" s="522">
        <v>38</v>
      </c>
      <c r="R102" s="523">
        <v>2</v>
      </c>
      <c r="S102" s="523">
        <v>20</v>
      </c>
      <c r="T102" s="523">
        <v>37</v>
      </c>
      <c r="U102" s="523">
        <v>6966</v>
      </c>
      <c r="V102" s="522">
        <v>4735</v>
      </c>
      <c r="W102" s="522">
        <v>14</v>
      </c>
      <c r="X102" s="522">
        <v>24</v>
      </c>
      <c r="Y102" s="522">
        <v>38</v>
      </c>
      <c r="Z102" s="524">
        <v>101.65</v>
      </c>
      <c r="AA102" s="524">
        <v>104.9</v>
      </c>
      <c r="AB102" s="524">
        <v>4.32</v>
      </c>
      <c r="AC102" s="524">
        <v>105.03</v>
      </c>
      <c r="AD102" s="524">
        <v>4132</v>
      </c>
      <c r="AE102" s="525">
        <v>95.82</v>
      </c>
      <c r="AF102" s="525">
        <v>93.63</v>
      </c>
      <c r="AG102" s="525">
        <v>15.27</v>
      </c>
      <c r="AH102" s="525">
        <v>110.82</v>
      </c>
      <c r="AI102" s="525">
        <v>1994</v>
      </c>
      <c r="AJ102" s="525">
        <v>121.18</v>
      </c>
      <c r="AK102" s="525">
        <v>548</v>
      </c>
      <c r="AL102" s="525">
        <v>109.4</v>
      </c>
      <c r="AM102" s="525">
        <v>37</v>
      </c>
      <c r="AN102" s="526">
        <v>0</v>
      </c>
      <c r="AO102" s="526">
        <v>0</v>
      </c>
      <c r="AP102" s="526">
        <v>0</v>
      </c>
      <c r="AQ102" s="526">
        <v>0</v>
      </c>
      <c r="AR102" s="522">
        <v>0</v>
      </c>
      <c r="AS102" s="526">
        <v>0</v>
      </c>
      <c r="AT102" s="526">
        <v>0</v>
      </c>
      <c r="AU102" s="526">
        <v>0</v>
      </c>
      <c r="AV102" s="526">
        <v>0</v>
      </c>
      <c r="AW102" s="522">
        <v>0</v>
      </c>
      <c r="AX102" s="526">
        <v>85.1</v>
      </c>
      <c r="AY102" s="526">
        <v>84.59</v>
      </c>
      <c r="AZ102" s="526">
        <v>7.9</v>
      </c>
      <c r="BA102" s="526">
        <v>92.91</v>
      </c>
      <c r="BB102" s="522">
        <v>783</v>
      </c>
      <c r="BC102" s="526">
        <v>100.14</v>
      </c>
      <c r="BD102" s="526">
        <v>101.22</v>
      </c>
      <c r="BE102" s="526">
        <v>5.16</v>
      </c>
      <c r="BF102" s="526">
        <v>104.02</v>
      </c>
      <c r="BG102" s="522">
        <v>1252</v>
      </c>
      <c r="BH102" s="526">
        <v>108.33</v>
      </c>
      <c r="BI102" s="526">
        <v>114.22</v>
      </c>
      <c r="BJ102" s="526">
        <v>1.92</v>
      </c>
      <c r="BK102" s="526">
        <v>109.72</v>
      </c>
      <c r="BL102" s="522">
        <v>2033</v>
      </c>
      <c r="BM102" s="526">
        <v>119.57</v>
      </c>
      <c r="BN102" s="526">
        <v>127.64</v>
      </c>
      <c r="BO102" s="526">
        <v>4.07</v>
      </c>
      <c r="BP102" s="526">
        <v>122.78</v>
      </c>
      <c r="BQ102" s="522">
        <v>57</v>
      </c>
      <c r="BR102" s="526">
        <v>129.04</v>
      </c>
      <c r="BS102" s="526">
        <v>138.47</v>
      </c>
      <c r="BT102" s="526">
        <v>2.0299999999999998</v>
      </c>
      <c r="BU102" s="526">
        <v>131.07</v>
      </c>
      <c r="BV102" s="522">
        <v>5</v>
      </c>
      <c r="BW102" s="526">
        <v>143.29</v>
      </c>
      <c r="BX102" s="526">
        <v>145.66</v>
      </c>
      <c r="BY102" s="526">
        <v>3.37</v>
      </c>
      <c r="BZ102" s="526">
        <v>146.65</v>
      </c>
      <c r="CA102" s="522">
        <v>2</v>
      </c>
      <c r="CB102" s="526">
        <v>101.65</v>
      </c>
      <c r="CC102" s="526">
        <v>104.9</v>
      </c>
      <c r="CD102" s="526">
        <v>4.32</v>
      </c>
      <c r="CE102" s="526">
        <v>105.03</v>
      </c>
      <c r="CF102" s="522">
        <v>4132</v>
      </c>
      <c r="CG102" s="526">
        <v>101.65</v>
      </c>
      <c r="CH102" s="526">
        <v>104.9</v>
      </c>
      <c r="CI102" s="526">
        <v>4.32</v>
      </c>
      <c r="CJ102" s="526">
        <v>105.03</v>
      </c>
      <c r="CK102" s="522">
        <v>4132</v>
      </c>
      <c r="CL102" s="526">
        <v>96.66</v>
      </c>
      <c r="CM102" s="526">
        <v>84.94</v>
      </c>
      <c r="CN102" s="526">
        <v>133.11000000000001</v>
      </c>
      <c r="CO102" s="526">
        <v>206.27</v>
      </c>
      <c r="CP102" s="522">
        <v>17</v>
      </c>
      <c r="CQ102" s="526">
        <v>0</v>
      </c>
      <c r="CR102" s="526">
        <v>0</v>
      </c>
      <c r="CS102" s="526">
        <v>0</v>
      </c>
      <c r="CT102" s="526">
        <v>0</v>
      </c>
      <c r="CU102" s="522">
        <v>0</v>
      </c>
      <c r="CV102" s="526">
        <v>92.18</v>
      </c>
      <c r="CW102" s="526">
        <v>89.51</v>
      </c>
      <c r="CX102" s="526">
        <v>14.22</v>
      </c>
      <c r="CY102" s="526">
        <v>106.22</v>
      </c>
      <c r="CZ102" s="522">
        <v>1520</v>
      </c>
      <c r="DA102" s="526">
        <v>107.67</v>
      </c>
      <c r="DB102" s="526">
        <v>107.15</v>
      </c>
      <c r="DC102" s="526">
        <v>14.55</v>
      </c>
      <c r="DD102" s="526">
        <v>121.83</v>
      </c>
      <c r="DE102" s="522">
        <v>443</v>
      </c>
      <c r="DF102" s="526">
        <v>113.86</v>
      </c>
      <c r="DG102" s="526">
        <v>112.83</v>
      </c>
      <c r="DH102" s="526">
        <v>33.65</v>
      </c>
      <c r="DI102" s="526">
        <v>147.51</v>
      </c>
      <c r="DJ102" s="522">
        <v>13</v>
      </c>
      <c r="DK102" s="526">
        <v>116.66</v>
      </c>
      <c r="DL102" s="526">
        <v>127</v>
      </c>
      <c r="DM102" s="526">
        <v>0</v>
      </c>
      <c r="DN102" s="526">
        <v>116.66</v>
      </c>
      <c r="DO102" s="522">
        <v>1</v>
      </c>
      <c r="DP102" s="526">
        <v>95.81</v>
      </c>
      <c r="DQ102" s="526">
        <v>93.7</v>
      </c>
      <c r="DR102" s="526">
        <v>14.42</v>
      </c>
      <c r="DS102" s="526">
        <v>110</v>
      </c>
      <c r="DT102" s="522">
        <v>1977</v>
      </c>
      <c r="DU102" s="526">
        <v>95.82</v>
      </c>
      <c r="DV102" s="526">
        <v>93.63</v>
      </c>
      <c r="DW102" s="526">
        <v>15.27</v>
      </c>
      <c r="DX102" s="526">
        <v>110.82</v>
      </c>
      <c r="DY102" s="522">
        <v>1994</v>
      </c>
      <c r="DZ102" s="526">
        <v>0</v>
      </c>
      <c r="EA102" s="526">
        <v>0</v>
      </c>
      <c r="EB102" s="526">
        <v>0</v>
      </c>
      <c r="EC102" s="522">
        <v>0</v>
      </c>
      <c r="ED102" s="526">
        <v>99.78</v>
      </c>
      <c r="EE102" s="522">
        <v>67</v>
      </c>
      <c r="EF102" s="526">
        <v>118.14</v>
      </c>
      <c r="EG102" s="522">
        <v>293</v>
      </c>
      <c r="EH102" s="526">
        <v>130.84</v>
      </c>
      <c r="EI102" s="522">
        <v>167</v>
      </c>
      <c r="EJ102" s="526">
        <v>155</v>
      </c>
      <c r="EK102" s="522">
        <v>21</v>
      </c>
      <c r="EL102" s="526">
        <v>0</v>
      </c>
      <c r="EM102" s="522">
        <v>0</v>
      </c>
      <c r="EN102" s="526">
        <v>0</v>
      </c>
      <c r="EO102" s="522">
        <v>0</v>
      </c>
      <c r="EP102" s="526">
        <v>121.18</v>
      </c>
      <c r="EQ102" s="522">
        <v>548</v>
      </c>
      <c r="ER102" s="526">
        <v>121.18</v>
      </c>
      <c r="ES102" s="522">
        <v>548</v>
      </c>
      <c r="ET102" s="526">
        <v>0</v>
      </c>
      <c r="EU102" s="526">
        <v>0</v>
      </c>
      <c r="EV102" s="526">
        <v>0</v>
      </c>
      <c r="EW102" s="522">
        <v>0</v>
      </c>
      <c r="EX102" s="526">
        <v>99.78</v>
      </c>
      <c r="EY102" s="522">
        <v>24</v>
      </c>
      <c r="EZ102" s="526">
        <v>127.15</v>
      </c>
      <c r="FA102" s="522">
        <v>13</v>
      </c>
      <c r="FB102" s="526">
        <v>0</v>
      </c>
      <c r="FC102" s="522">
        <v>0</v>
      </c>
      <c r="FD102" s="526">
        <v>0</v>
      </c>
      <c r="FE102" s="522">
        <v>0</v>
      </c>
      <c r="FF102" s="526">
        <v>109.4</v>
      </c>
      <c r="FG102" s="522">
        <v>37</v>
      </c>
      <c r="FH102" s="526">
        <v>109.4</v>
      </c>
      <c r="FI102" s="522">
        <v>37</v>
      </c>
      <c r="FJ102" s="522">
        <v>0</v>
      </c>
      <c r="FK102" s="522">
        <v>5</v>
      </c>
      <c r="FL102" s="522">
        <v>4</v>
      </c>
      <c r="FM102" s="522">
        <v>0</v>
      </c>
      <c r="FN102" s="522">
        <v>1</v>
      </c>
      <c r="FO102" s="522">
        <v>0</v>
      </c>
      <c r="FP102" s="522">
        <v>5</v>
      </c>
      <c r="FQ102" s="522">
        <v>0</v>
      </c>
      <c r="FR102" s="522">
        <v>8</v>
      </c>
    </row>
    <row r="103" spans="1:174" x14ac:dyDescent="0.25">
      <c r="A103" s="523" t="s">
        <v>463</v>
      </c>
      <c r="B103" s="523" t="s">
        <v>464</v>
      </c>
      <c r="C103" s="523" t="s">
        <v>287</v>
      </c>
      <c r="D103" s="522">
        <v>3943</v>
      </c>
      <c r="E103" s="522">
        <v>3927</v>
      </c>
      <c r="F103" s="522">
        <v>4</v>
      </c>
      <c r="G103" s="522">
        <v>4</v>
      </c>
      <c r="H103" s="522">
        <v>604</v>
      </c>
      <c r="I103" s="522">
        <v>469</v>
      </c>
      <c r="J103" s="522">
        <v>379</v>
      </c>
      <c r="K103" s="522">
        <v>236</v>
      </c>
      <c r="L103" s="522">
        <v>639</v>
      </c>
      <c r="M103" s="522">
        <v>33</v>
      </c>
      <c r="N103" s="522">
        <v>5569</v>
      </c>
      <c r="O103" s="522">
        <v>4669</v>
      </c>
      <c r="P103" s="522">
        <v>4930</v>
      </c>
      <c r="Q103" s="522">
        <v>5</v>
      </c>
      <c r="R103" s="523">
        <v>6</v>
      </c>
      <c r="S103" s="523">
        <v>22</v>
      </c>
      <c r="T103" s="523">
        <v>285</v>
      </c>
      <c r="U103" s="523">
        <v>5284</v>
      </c>
      <c r="V103" s="522">
        <v>3927</v>
      </c>
      <c r="W103" s="522">
        <v>124</v>
      </c>
      <c r="X103" s="522">
        <v>32</v>
      </c>
      <c r="Y103" s="522">
        <v>156</v>
      </c>
      <c r="Z103" s="524">
        <v>102.38</v>
      </c>
      <c r="AA103" s="524">
        <v>101.97</v>
      </c>
      <c r="AB103" s="524">
        <v>8.26</v>
      </c>
      <c r="AC103" s="524">
        <v>108.89</v>
      </c>
      <c r="AD103" s="524">
        <v>3683</v>
      </c>
      <c r="AE103" s="525">
        <v>103.33</v>
      </c>
      <c r="AF103" s="525">
        <v>80.790000000000006</v>
      </c>
      <c r="AG103" s="525">
        <v>86.33</v>
      </c>
      <c r="AH103" s="525">
        <v>185.91</v>
      </c>
      <c r="AI103" s="525">
        <v>714</v>
      </c>
      <c r="AJ103" s="525">
        <v>146.49</v>
      </c>
      <c r="AK103" s="525">
        <v>238</v>
      </c>
      <c r="AL103" s="525">
        <v>157.65</v>
      </c>
      <c r="AM103" s="525">
        <v>61</v>
      </c>
      <c r="AN103" s="526">
        <v>71.52</v>
      </c>
      <c r="AO103" s="526">
        <v>74.180000000000007</v>
      </c>
      <c r="AP103" s="526">
        <v>65.97</v>
      </c>
      <c r="AQ103" s="526">
        <v>137.49</v>
      </c>
      <c r="AR103" s="522">
        <v>4</v>
      </c>
      <c r="AS103" s="526">
        <v>68.7</v>
      </c>
      <c r="AT103" s="526">
        <v>68.64</v>
      </c>
      <c r="AU103" s="526">
        <v>12.63</v>
      </c>
      <c r="AV103" s="526">
        <v>80.42</v>
      </c>
      <c r="AW103" s="522">
        <v>14</v>
      </c>
      <c r="AX103" s="526">
        <v>87.09</v>
      </c>
      <c r="AY103" s="526">
        <v>86.37</v>
      </c>
      <c r="AZ103" s="526">
        <v>11.69</v>
      </c>
      <c r="BA103" s="526">
        <v>98.49</v>
      </c>
      <c r="BB103" s="522">
        <v>1009</v>
      </c>
      <c r="BC103" s="526">
        <v>101.59</v>
      </c>
      <c r="BD103" s="526">
        <v>100.96</v>
      </c>
      <c r="BE103" s="526">
        <v>8.1</v>
      </c>
      <c r="BF103" s="526">
        <v>108.7</v>
      </c>
      <c r="BG103" s="522">
        <v>1455</v>
      </c>
      <c r="BH103" s="526">
        <v>112.06</v>
      </c>
      <c r="BI103" s="526">
        <v>112.52</v>
      </c>
      <c r="BJ103" s="526">
        <v>2.64</v>
      </c>
      <c r="BK103" s="526">
        <v>113.29</v>
      </c>
      <c r="BL103" s="522">
        <v>964</v>
      </c>
      <c r="BM103" s="526">
        <v>134.41999999999999</v>
      </c>
      <c r="BN103" s="526">
        <v>133</v>
      </c>
      <c r="BO103" s="526">
        <v>2.84</v>
      </c>
      <c r="BP103" s="526">
        <v>136.54</v>
      </c>
      <c r="BQ103" s="522">
        <v>222</v>
      </c>
      <c r="BR103" s="526">
        <v>151.26</v>
      </c>
      <c r="BS103" s="526">
        <v>151.24</v>
      </c>
      <c r="BT103" s="526">
        <v>3.71</v>
      </c>
      <c r="BU103" s="526">
        <v>152.99</v>
      </c>
      <c r="BV103" s="522">
        <v>15</v>
      </c>
      <c r="BW103" s="526">
        <v>0</v>
      </c>
      <c r="BX103" s="526">
        <v>0</v>
      </c>
      <c r="BY103" s="526">
        <v>0</v>
      </c>
      <c r="BZ103" s="526">
        <v>0</v>
      </c>
      <c r="CA103" s="522">
        <v>0</v>
      </c>
      <c r="CB103" s="526">
        <v>102.41</v>
      </c>
      <c r="CC103" s="526">
        <v>102</v>
      </c>
      <c r="CD103" s="526">
        <v>8.18</v>
      </c>
      <c r="CE103" s="526">
        <v>108.86</v>
      </c>
      <c r="CF103" s="522">
        <v>3679</v>
      </c>
      <c r="CG103" s="526">
        <v>102.38</v>
      </c>
      <c r="CH103" s="526">
        <v>101.97</v>
      </c>
      <c r="CI103" s="526">
        <v>8.26</v>
      </c>
      <c r="CJ103" s="526">
        <v>108.89</v>
      </c>
      <c r="CK103" s="522">
        <v>3683</v>
      </c>
      <c r="CL103" s="526">
        <v>89.74</v>
      </c>
      <c r="CM103" s="526">
        <v>73</v>
      </c>
      <c r="CN103" s="526">
        <v>152.86000000000001</v>
      </c>
      <c r="CO103" s="526">
        <v>238.5</v>
      </c>
      <c r="CP103" s="522">
        <v>261</v>
      </c>
      <c r="CQ103" s="526">
        <v>84.38</v>
      </c>
      <c r="CR103" s="526">
        <v>74.95</v>
      </c>
      <c r="CS103" s="526">
        <v>162.30000000000001</v>
      </c>
      <c r="CT103" s="526">
        <v>241.08</v>
      </c>
      <c r="CU103" s="522">
        <v>29</v>
      </c>
      <c r="CV103" s="526">
        <v>113.46</v>
      </c>
      <c r="CW103" s="526">
        <v>84.72</v>
      </c>
      <c r="CX103" s="526">
        <v>40.380000000000003</v>
      </c>
      <c r="CY103" s="526">
        <v>151.53</v>
      </c>
      <c r="CZ103" s="522">
        <v>385</v>
      </c>
      <c r="DA103" s="526">
        <v>104.71</v>
      </c>
      <c r="DB103" s="526">
        <v>95.15</v>
      </c>
      <c r="DC103" s="526">
        <v>23.53</v>
      </c>
      <c r="DD103" s="526">
        <v>127.59</v>
      </c>
      <c r="DE103" s="522">
        <v>36</v>
      </c>
      <c r="DF103" s="526">
        <v>113.55</v>
      </c>
      <c r="DG103" s="526">
        <v>104.33</v>
      </c>
      <c r="DH103" s="526">
        <v>35.32</v>
      </c>
      <c r="DI103" s="526">
        <v>148.87</v>
      </c>
      <c r="DJ103" s="522">
        <v>2</v>
      </c>
      <c r="DK103" s="526">
        <v>230.53</v>
      </c>
      <c r="DL103" s="526">
        <v>0</v>
      </c>
      <c r="DM103" s="526">
        <v>38.44</v>
      </c>
      <c r="DN103" s="526">
        <v>268.97000000000003</v>
      </c>
      <c r="DO103" s="522">
        <v>1</v>
      </c>
      <c r="DP103" s="526">
        <v>111.16</v>
      </c>
      <c r="DQ103" s="526">
        <v>85.28</v>
      </c>
      <c r="DR103" s="526">
        <v>46.94</v>
      </c>
      <c r="DS103" s="526">
        <v>155.61000000000001</v>
      </c>
      <c r="DT103" s="522">
        <v>453</v>
      </c>
      <c r="DU103" s="526">
        <v>103.33</v>
      </c>
      <c r="DV103" s="526">
        <v>80.790000000000006</v>
      </c>
      <c r="DW103" s="526">
        <v>86.33</v>
      </c>
      <c r="DX103" s="526">
        <v>185.91</v>
      </c>
      <c r="DY103" s="522">
        <v>714</v>
      </c>
      <c r="DZ103" s="526">
        <v>0</v>
      </c>
      <c r="EA103" s="526">
        <v>0</v>
      </c>
      <c r="EB103" s="526">
        <v>0</v>
      </c>
      <c r="EC103" s="522">
        <v>0</v>
      </c>
      <c r="ED103" s="526">
        <v>124.9</v>
      </c>
      <c r="EE103" s="522">
        <v>74</v>
      </c>
      <c r="EF103" s="526">
        <v>151.08000000000001</v>
      </c>
      <c r="EG103" s="522">
        <v>123</v>
      </c>
      <c r="EH103" s="526">
        <v>170.53</v>
      </c>
      <c r="EI103" s="522">
        <v>38</v>
      </c>
      <c r="EJ103" s="526">
        <v>158.18</v>
      </c>
      <c r="EK103" s="522">
        <v>2</v>
      </c>
      <c r="EL103" s="526">
        <v>243.86</v>
      </c>
      <c r="EM103" s="522">
        <v>1</v>
      </c>
      <c r="EN103" s="526">
        <v>0</v>
      </c>
      <c r="EO103" s="522">
        <v>0</v>
      </c>
      <c r="EP103" s="526">
        <v>146.49</v>
      </c>
      <c r="EQ103" s="522">
        <v>238</v>
      </c>
      <c r="ER103" s="526">
        <v>146.49</v>
      </c>
      <c r="ES103" s="522">
        <v>238</v>
      </c>
      <c r="ET103" s="526">
        <v>0</v>
      </c>
      <c r="EU103" s="526">
        <v>0</v>
      </c>
      <c r="EV103" s="526">
        <v>0</v>
      </c>
      <c r="EW103" s="522">
        <v>0</v>
      </c>
      <c r="EX103" s="526">
        <v>167.25</v>
      </c>
      <c r="EY103" s="522">
        <v>32</v>
      </c>
      <c r="EZ103" s="526">
        <v>147.06</v>
      </c>
      <c r="FA103" s="522">
        <v>29</v>
      </c>
      <c r="FB103" s="526">
        <v>0</v>
      </c>
      <c r="FC103" s="522">
        <v>0</v>
      </c>
      <c r="FD103" s="526">
        <v>0</v>
      </c>
      <c r="FE103" s="522">
        <v>0</v>
      </c>
      <c r="FF103" s="526">
        <v>157.65</v>
      </c>
      <c r="FG103" s="522">
        <v>61</v>
      </c>
      <c r="FH103" s="526">
        <v>157.65</v>
      </c>
      <c r="FI103" s="522">
        <v>61</v>
      </c>
      <c r="FJ103" s="522">
        <v>0</v>
      </c>
      <c r="FK103" s="522">
        <v>0</v>
      </c>
      <c r="FL103" s="522">
        <v>0</v>
      </c>
      <c r="FM103" s="522">
        <v>0</v>
      </c>
      <c r="FN103" s="522">
        <v>0</v>
      </c>
      <c r="FO103" s="522">
        <v>0</v>
      </c>
      <c r="FP103" s="522">
        <v>4</v>
      </c>
      <c r="FQ103" s="522">
        <v>91</v>
      </c>
      <c r="FR103" s="522">
        <v>5</v>
      </c>
    </row>
    <row r="104" spans="1:174" x14ac:dyDescent="0.25">
      <c r="A104" s="523" t="s">
        <v>465</v>
      </c>
      <c r="B104" s="523" t="s">
        <v>466</v>
      </c>
      <c r="C104" s="523" t="s">
        <v>2</v>
      </c>
      <c r="D104" s="522">
        <v>1531</v>
      </c>
      <c r="E104" s="522">
        <v>1519</v>
      </c>
      <c r="F104" s="522">
        <v>0</v>
      </c>
      <c r="G104" s="522">
        <v>0</v>
      </c>
      <c r="H104" s="522">
        <v>171</v>
      </c>
      <c r="I104" s="522">
        <v>124</v>
      </c>
      <c r="J104" s="522">
        <v>183</v>
      </c>
      <c r="K104" s="522">
        <v>112</v>
      </c>
      <c r="L104" s="522">
        <v>307</v>
      </c>
      <c r="M104" s="522">
        <v>0</v>
      </c>
      <c r="N104" s="522">
        <v>2192</v>
      </c>
      <c r="O104" s="522">
        <v>1755</v>
      </c>
      <c r="P104" s="522">
        <v>1885</v>
      </c>
      <c r="Q104" s="522">
        <v>0</v>
      </c>
      <c r="R104" s="523">
        <v>4</v>
      </c>
      <c r="S104" s="523">
        <v>27</v>
      </c>
      <c r="T104" s="523">
        <v>129</v>
      </c>
      <c r="U104" s="523">
        <v>2063</v>
      </c>
      <c r="V104" s="522">
        <v>1519</v>
      </c>
      <c r="W104" s="522">
        <v>4</v>
      </c>
      <c r="X104" s="522">
        <v>2</v>
      </c>
      <c r="Y104" s="522">
        <v>6</v>
      </c>
      <c r="Z104" s="524">
        <v>121.85</v>
      </c>
      <c r="AA104" s="524">
        <v>122.42</v>
      </c>
      <c r="AB104" s="524">
        <v>10.59</v>
      </c>
      <c r="AC104" s="524">
        <v>129.84</v>
      </c>
      <c r="AD104" s="524">
        <v>1074</v>
      </c>
      <c r="AE104" s="525">
        <v>143.29</v>
      </c>
      <c r="AF104" s="525">
        <v>102.86</v>
      </c>
      <c r="AG104" s="525">
        <v>71.819999999999993</v>
      </c>
      <c r="AH104" s="525">
        <v>214.21</v>
      </c>
      <c r="AI104" s="525">
        <v>237</v>
      </c>
      <c r="AJ104" s="525">
        <v>172.36</v>
      </c>
      <c r="AK104" s="525">
        <v>357</v>
      </c>
      <c r="AL104" s="525">
        <v>0</v>
      </c>
      <c r="AM104" s="525">
        <v>0</v>
      </c>
      <c r="AN104" s="526">
        <v>0</v>
      </c>
      <c r="AO104" s="526">
        <v>0</v>
      </c>
      <c r="AP104" s="526">
        <v>0</v>
      </c>
      <c r="AQ104" s="526">
        <v>0</v>
      </c>
      <c r="AR104" s="522">
        <v>0</v>
      </c>
      <c r="AS104" s="526">
        <v>0</v>
      </c>
      <c r="AT104" s="526">
        <v>0</v>
      </c>
      <c r="AU104" s="526">
        <v>0</v>
      </c>
      <c r="AV104" s="526">
        <v>0</v>
      </c>
      <c r="AW104" s="522">
        <v>0</v>
      </c>
      <c r="AX104" s="526">
        <v>100.06</v>
      </c>
      <c r="AY104" s="526">
        <v>99.72</v>
      </c>
      <c r="AZ104" s="526">
        <v>13.69</v>
      </c>
      <c r="BA104" s="526">
        <v>112.33</v>
      </c>
      <c r="BB104" s="522">
        <v>202</v>
      </c>
      <c r="BC104" s="526">
        <v>119.14</v>
      </c>
      <c r="BD104" s="526">
        <v>119.36</v>
      </c>
      <c r="BE104" s="526">
        <v>12.12</v>
      </c>
      <c r="BF104" s="526">
        <v>129.43</v>
      </c>
      <c r="BG104" s="522">
        <v>525</v>
      </c>
      <c r="BH104" s="526">
        <v>137.01</v>
      </c>
      <c r="BI104" s="526">
        <v>138.03</v>
      </c>
      <c r="BJ104" s="526">
        <v>4</v>
      </c>
      <c r="BK104" s="526">
        <v>139.05000000000001</v>
      </c>
      <c r="BL104" s="522">
        <v>321</v>
      </c>
      <c r="BM104" s="526">
        <v>158.78</v>
      </c>
      <c r="BN104" s="526">
        <v>161.18</v>
      </c>
      <c r="BO104" s="526">
        <v>2.27</v>
      </c>
      <c r="BP104" s="526">
        <v>160.44999999999999</v>
      </c>
      <c r="BQ104" s="522">
        <v>26</v>
      </c>
      <c r="BR104" s="526">
        <v>0</v>
      </c>
      <c r="BS104" s="526">
        <v>0</v>
      </c>
      <c r="BT104" s="526">
        <v>0</v>
      </c>
      <c r="BU104" s="526">
        <v>0</v>
      </c>
      <c r="BV104" s="522">
        <v>0</v>
      </c>
      <c r="BW104" s="526">
        <v>0</v>
      </c>
      <c r="BX104" s="526">
        <v>0</v>
      </c>
      <c r="BY104" s="526">
        <v>0</v>
      </c>
      <c r="BZ104" s="526">
        <v>0</v>
      </c>
      <c r="CA104" s="522">
        <v>0</v>
      </c>
      <c r="CB104" s="526">
        <v>121.85</v>
      </c>
      <c r="CC104" s="526">
        <v>122.42</v>
      </c>
      <c r="CD104" s="526">
        <v>10.59</v>
      </c>
      <c r="CE104" s="526">
        <v>129.84</v>
      </c>
      <c r="CF104" s="522">
        <v>1074</v>
      </c>
      <c r="CG104" s="526">
        <v>121.85</v>
      </c>
      <c r="CH104" s="526">
        <v>122.42</v>
      </c>
      <c r="CI104" s="526">
        <v>10.59</v>
      </c>
      <c r="CJ104" s="526">
        <v>129.84</v>
      </c>
      <c r="CK104" s="522">
        <v>1074</v>
      </c>
      <c r="CL104" s="526">
        <v>137.72</v>
      </c>
      <c r="CM104" s="526">
        <v>100.61</v>
      </c>
      <c r="CN104" s="526">
        <v>75.22</v>
      </c>
      <c r="CO104" s="526">
        <v>210.22</v>
      </c>
      <c r="CP104" s="522">
        <v>83</v>
      </c>
      <c r="CQ104" s="526">
        <v>90.82</v>
      </c>
      <c r="CR104" s="526">
        <v>85.16</v>
      </c>
      <c r="CS104" s="526">
        <v>72.98</v>
      </c>
      <c r="CT104" s="526">
        <v>163.80000000000001</v>
      </c>
      <c r="CU104" s="522">
        <v>30</v>
      </c>
      <c r="CV104" s="526">
        <v>161.93</v>
      </c>
      <c r="CW104" s="526">
        <v>107.11</v>
      </c>
      <c r="CX104" s="526">
        <v>64.12</v>
      </c>
      <c r="CY104" s="526">
        <v>226.05</v>
      </c>
      <c r="CZ104" s="522">
        <v>113</v>
      </c>
      <c r="DA104" s="526">
        <v>137.06</v>
      </c>
      <c r="DB104" s="526">
        <v>128.9</v>
      </c>
      <c r="DC104" s="526">
        <v>123.11</v>
      </c>
      <c r="DD104" s="526">
        <v>260.17</v>
      </c>
      <c r="DE104" s="522">
        <v>11</v>
      </c>
      <c r="DF104" s="526">
        <v>0</v>
      </c>
      <c r="DG104" s="526">
        <v>0</v>
      </c>
      <c r="DH104" s="526">
        <v>0</v>
      </c>
      <c r="DI104" s="526">
        <v>0</v>
      </c>
      <c r="DJ104" s="522">
        <v>0</v>
      </c>
      <c r="DK104" s="526">
        <v>0</v>
      </c>
      <c r="DL104" s="526">
        <v>0</v>
      </c>
      <c r="DM104" s="526">
        <v>0</v>
      </c>
      <c r="DN104" s="526">
        <v>0</v>
      </c>
      <c r="DO104" s="522">
        <v>0</v>
      </c>
      <c r="DP104" s="526">
        <v>146.30000000000001</v>
      </c>
      <c r="DQ104" s="526">
        <v>103.67</v>
      </c>
      <c r="DR104" s="526">
        <v>70.06</v>
      </c>
      <c r="DS104" s="526">
        <v>216.36</v>
      </c>
      <c r="DT104" s="522">
        <v>154</v>
      </c>
      <c r="DU104" s="526">
        <v>143.29</v>
      </c>
      <c r="DV104" s="526">
        <v>102.86</v>
      </c>
      <c r="DW104" s="526">
        <v>71.819999999999993</v>
      </c>
      <c r="DX104" s="526">
        <v>214.21</v>
      </c>
      <c r="DY104" s="522">
        <v>237</v>
      </c>
      <c r="DZ104" s="526">
        <v>0</v>
      </c>
      <c r="EA104" s="526">
        <v>0</v>
      </c>
      <c r="EB104" s="526">
        <v>0</v>
      </c>
      <c r="EC104" s="522">
        <v>0</v>
      </c>
      <c r="ED104" s="526">
        <v>133.71</v>
      </c>
      <c r="EE104" s="522">
        <v>72</v>
      </c>
      <c r="EF104" s="526">
        <v>166.59</v>
      </c>
      <c r="EG104" s="522">
        <v>172</v>
      </c>
      <c r="EH104" s="526">
        <v>198.98</v>
      </c>
      <c r="EI104" s="522">
        <v>99</v>
      </c>
      <c r="EJ104" s="526">
        <v>253.88</v>
      </c>
      <c r="EK104" s="522">
        <v>14</v>
      </c>
      <c r="EL104" s="526">
        <v>0</v>
      </c>
      <c r="EM104" s="522">
        <v>0</v>
      </c>
      <c r="EN104" s="526">
        <v>0</v>
      </c>
      <c r="EO104" s="522">
        <v>0</v>
      </c>
      <c r="EP104" s="526">
        <v>172.36</v>
      </c>
      <c r="EQ104" s="522">
        <v>357</v>
      </c>
      <c r="ER104" s="526">
        <v>172.36</v>
      </c>
      <c r="ES104" s="522">
        <v>357</v>
      </c>
      <c r="ET104" s="526">
        <v>0</v>
      </c>
      <c r="EU104" s="526">
        <v>0</v>
      </c>
      <c r="EV104" s="526">
        <v>0</v>
      </c>
      <c r="EW104" s="522">
        <v>0</v>
      </c>
      <c r="EX104" s="526">
        <v>0</v>
      </c>
      <c r="EY104" s="522">
        <v>0</v>
      </c>
      <c r="EZ104" s="526">
        <v>0</v>
      </c>
      <c r="FA104" s="522">
        <v>0</v>
      </c>
      <c r="FB104" s="526">
        <v>0</v>
      </c>
      <c r="FC104" s="522">
        <v>0</v>
      </c>
      <c r="FD104" s="526">
        <v>0</v>
      </c>
      <c r="FE104" s="522">
        <v>0</v>
      </c>
      <c r="FF104" s="526">
        <v>0</v>
      </c>
      <c r="FG104" s="522">
        <v>0</v>
      </c>
      <c r="FH104" s="526">
        <v>0</v>
      </c>
      <c r="FI104" s="522">
        <v>0</v>
      </c>
      <c r="FJ104" s="522">
        <v>83</v>
      </c>
      <c r="FK104" s="522">
        <v>0</v>
      </c>
      <c r="FL104" s="522">
        <v>0</v>
      </c>
      <c r="FM104" s="522">
        <v>0</v>
      </c>
      <c r="FN104" s="522">
        <v>0</v>
      </c>
      <c r="FO104" s="522">
        <v>0</v>
      </c>
      <c r="FP104" s="522">
        <v>4</v>
      </c>
      <c r="FQ104" s="522">
        <v>60</v>
      </c>
      <c r="FR104" s="522">
        <v>3</v>
      </c>
    </row>
    <row r="105" spans="1:174" x14ac:dyDescent="0.25">
      <c r="A105" s="523" t="s">
        <v>467</v>
      </c>
      <c r="B105" s="523" t="s">
        <v>468</v>
      </c>
      <c r="C105" s="523" t="s">
        <v>283</v>
      </c>
      <c r="D105" s="522">
        <v>4956</v>
      </c>
      <c r="E105" s="522">
        <v>4955</v>
      </c>
      <c r="F105" s="522">
        <v>0</v>
      </c>
      <c r="G105" s="522">
        <v>0</v>
      </c>
      <c r="H105" s="522">
        <v>255</v>
      </c>
      <c r="I105" s="522">
        <v>163</v>
      </c>
      <c r="J105" s="522">
        <v>750</v>
      </c>
      <c r="K105" s="522">
        <v>729</v>
      </c>
      <c r="L105" s="522">
        <v>310</v>
      </c>
      <c r="M105" s="522">
        <v>0</v>
      </c>
      <c r="N105" s="522">
        <v>6271</v>
      </c>
      <c r="O105" s="522">
        <v>5847</v>
      </c>
      <c r="P105" s="522">
        <v>5961</v>
      </c>
      <c r="Q105" s="522">
        <v>13</v>
      </c>
      <c r="R105" s="523">
        <v>5</v>
      </c>
      <c r="S105" s="523">
        <v>25</v>
      </c>
      <c r="T105" s="523">
        <v>50</v>
      </c>
      <c r="U105" s="523">
        <v>6221</v>
      </c>
      <c r="V105" s="522">
        <v>4956</v>
      </c>
      <c r="W105" s="522">
        <v>12</v>
      </c>
      <c r="X105" s="522">
        <v>189</v>
      </c>
      <c r="Y105" s="522">
        <v>201</v>
      </c>
      <c r="Z105" s="524">
        <v>101.7</v>
      </c>
      <c r="AA105" s="524">
        <v>102.18</v>
      </c>
      <c r="AB105" s="524">
        <v>4.8600000000000003</v>
      </c>
      <c r="AC105" s="524">
        <v>105.14</v>
      </c>
      <c r="AD105" s="524">
        <v>4353</v>
      </c>
      <c r="AE105" s="525">
        <v>114.47</v>
      </c>
      <c r="AF105" s="525">
        <v>95.86</v>
      </c>
      <c r="AG105" s="525">
        <v>64.2</v>
      </c>
      <c r="AH105" s="525">
        <v>173.5</v>
      </c>
      <c r="AI105" s="525">
        <v>895</v>
      </c>
      <c r="AJ105" s="525">
        <v>132.63</v>
      </c>
      <c r="AK105" s="525">
        <v>560</v>
      </c>
      <c r="AL105" s="525">
        <v>270.51</v>
      </c>
      <c r="AM105" s="525">
        <v>60</v>
      </c>
      <c r="AN105" s="526">
        <v>0</v>
      </c>
      <c r="AO105" s="526">
        <v>0</v>
      </c>
      <c r="AP105" s="526">
        <v>0</v>
      </c>
      <c r="AQ105" s="526">
        <v>0</v>
      </c>
      <c r="AR105" s="522">
        <v>0</v>
      </c>
      <c r="AS105" s="526">
        <v>72.400000000000006</v>
      </c>
      <c r="AT105" s="526">
        <v>77.2</v>
      </c>
      <c r="AU105" s="526">
        <v>9.9</v>
      </c>
      <c r="AV105" s="526">
        <v>82.3</v>
      </c>
      <c r="AW105" s="522">
        <v>9</v>
      </c>
      <c r="AX105" s="526">
        <v>89.6</v>
      </c>
      <c r="AY105" s="526">
        <v>89.85</v>
      </c>
      <c r="AZ105" s="526">
        <v>6.18</v>
      </c>
      <c r="BA105" s="526">
        <v>94.53</v>
      </c>
      <c r="BB105" s="522">
        <v>1006</v>
      </c>
      <c r="BC105" s="526">
        <v>100.35</v>
      </c>
      <c r="BD105" s="526">
        <v>100.81</v>
      </c>
      <c r="BE105" s="526">
        <v>5.39</v>
      </c>
      <c r="BF105" s="526">
        <v>104.43</v>
      </c>
      <c r="BG105" s="522">
        <v>1859</v>
      </c>
      <c r="BH105" s="526">
        <v>110.9</v>
      </c>
      <c r="BI105" s="526">
        <v>111.39</v>
      </c>
      <c r="BJ105" s="526">
        <v>2.7</v>
      </c>
      <c r="BK105" s="526">
        <v>112.42</v>
      </c>
      <c r="BL105" s="522">
        <v>1365</v>
      </c>
      <c r="BM105" s="526">
        <v>122.97</v>
      </c>
      <c r="BN105" s="526">
        <v>123.58</v>
      </c>
      <c r="BO105" s="526">
        <v>2.36</v>
      </c>
      <c r="BP105" s="526">
        <v>124.68</v>
      </c>
      <c r="BQ105" s="522">
        <v>113</v>
      </c>
      <c r="BR105" s="526">
        <v>0</v>
      </c>
      <c r="BS105" s="526">
        <v>0</v>
      </c>
      <c r="BT105" s="526">
        <v>0</v>
      </c>
      <c r="BU105" s="526">
        <v>0</v>
      </c>
      <c r="BV105" s="522">
        <v>0</v>
      </c>
      <c r="BW105" s="526">
        <v>108.13</v>
      </c>
      <c r="BX105" s="526">
        <v>133.55000000000001</v>
      </c>
      <c r="BY105" s="526">
        <v>24.53</v>
      </c>
      <c r="BZ105" s="526">
        <v>132.66</v>
      </c>
      <c r="CA105" s="522">
        <v>1</v>
      </c>
      <c r="CB105" s="526">
        <v>101.7</v>
      </c>
      <c r="CC105" s="526">
        <v>102.18</v>
      </c>
      <c r="CD105" s="526">
        <v>4.8600000000000003</v>
      </c>
      <c r="CE105" s="526">
        <v>105.14</v>
      </c>
      <c r="CF105" s="522">
        <v>4353</v>
      </c>
      <c r="CG105" s="526">
        <v>101.7</v>
      </c>
      <c r="CH105" s="526">
        <v>102.18</v>
      </c>
      <c r="CI105" s="526">
        <v>4.8600000000000003</v>
      </c>
      <c r="CJ105" s="526">
        <v>105.14</v>
      </c>
      <c r="CK105" s="522">
        <v>4353</v>
      </c>
      <c r="CL105" s="526">
        <v>146.24</v>
      </c>
      <c r="CM105" s="526">
        <v>91.4</v>
      </c>
      <c r="CN105" s="526">
        <v>106.07</v>
      </c>
      <c r="CO105" s="526">
        <v>239.45</v>
      </c>
      <c r="CP105" s="522">
        <v>132</v>
      </c>
      <c r="CQ105" s="526">
        <v>86.95</v>
      </c>
      <c r="CR105" s="526">
        <v>83.28</v>
      </c>
      <c r="CS105" s="526">
        <v>113.42</v>
      </c>
      <c r="CT105" s="526">
        <v>162.56</v>
      </c>
      <c r="CU105" s="522">
        <v>39</v>
      </c>
      <c r="CV105" s="526">
        <v>104.36</v>
      </c>
      <c r="CW105" s="526">
        <v>95.54</v>
      </c>
      <c r="CX105" s="526">
        <v>55.04</v>
      </c>
      <c r="CY105" s="526">
        <v>157.84</v>
      </c>
      <c r="CZ105" s="522">
        <v>635</v>
      </c>
      <c r="DA105" s="526">
        <v>148.58000000000001</v>
      </c>
      <c r="DB105" s="526">
        <v>108.44</v>
      </c>
      <c r="DC105" s="526">
        <v>54.46</v>
      </c>
      <c r="DD105" s="526">
        <v>189.6</v>
      </c>
      <c r="DE105" s="522">
        <v>77</v>
      </c>
      <c r="DF105" s="526">
        <v>149.83000000000001</v>
      </c>
      <c r="DG105" s="526">
        <v>108.22</v>
      </c>
      <c r="DH105" s="526">
        <v>100.41</v>
      </c>
      <c r="DI105" s="526">
        <v>207.21</v>
      </c>
      <c r="DJ105" s="522">
        <v>7</v>
      </c>
      <c r="DK105" s="526">
        <v>198.32</v>
      </c>
      <c r="DL105" s="526">
        <v>75.38</v>
      </c>
      <c r="DM105" s="526">
        <v>31.09</v>
      </c>
      <c r="DN105" s="526">
        <v>210.76</v>
      </c>
      <c r="DO105" s="522">
        <v>5</v>
      </c>
      <c r="DP105" s="526">
        <v>108.97</v>
      </c>
      <c r="DQ105" s="526">
        <v>96.18</v>
      </c>
      <c r="DR105" s="526">
        <v>57.33</v>
      </c>
      <c r="DS105" s="526">
        <v>162.09</v>
      </c>
      <c r="DT105" s="522">
        <v>763</v>
      </c>
      <c r="DU105" s="526">
        <v>114.47</v>
      </c>
      <c r="DV105" s="526">
        <v>95.86</v>
      </c>
      <c r="DW105" s="526">
        <v>64.2</v>
      </c>
      <c r="DX105" s="526">
        <v>173.5</v>
      </c>
      <c r="DY105" s="522">
        <v>895</v>
      </c>
      <c r="DZ105" s="526">
        <v>0</v>
      </c>
      <c r="EA105" s="526">
        <v>0</v>
      </c>
      <c r="EB105" s="526">
        <v>0</v>
      </c>
      <c r="EC105" s="522">
        <v>0</v>
      </c>
      <c r="ED105" s="526">
        <v>101.76</v>
      </c>
      <c r="EE105" s="522">
        <v>65</v>
      </c>
      <c r="EF105" s="526">
        <v>126.99</v>
      </c>
      <c r="EG105" s="522">
        <v>275</v>
      </c>
      <c r="EH105" s="526">
        <v>146.77000000000001</v>
      </c>
      <c r="EI105" s="522">
        <v>200</v>
      </c>
      <c r="EJ105" s="526">
        <v>169.18</v>
      </c>
      <c r="EK105" s="522">
        <v>20</v>
      </c>
      <c r="EL105" s="526">
        <v>0</v>
      </c>
      <c r="EM105" s="522">
        <v>0</v>
      </c>
      <c r="EN105" s="526">
        <v>0</v>
      </c>
      <c r="EO105" s="522">
        <v>0</v>
      </c>
      <c r="EP105" s="526">
        <v>132.63</v>
      </c>
      <c r="EQ105" s="522">
        <v>560</v>
      </c>
      <c r="ER105" s="526">
        <v>132.63</v>
      </c>
      <c r="ES105" s="522">
        <v>560</v>
      </c>
      <c r="ET105" s="526">
        <v>0</v>
      </c>
      <c r="EU105" s="526">
        <v>0</v>
      </c>
      <c r="EV105" s="526">
        <v>0</v>
      </c>
      <c r="EW105" s="522">
        <v>0</v>
      </c>
      <c r="EX105" s="526">
        <v>265.64999999999998</v>
      </c>
      <c r="EY105" s="522">
        <v>47</v>
      </c>
      <c r="EZ105" s="526">
        <v>288.10000000000002</v>
      </c>
      <c r="FA105" s="522">
        <v>13</v>
      </c>
      <c r="FB105" s="526">
        <v>0</v>
      </c>
      <c r="FC105" s="522">
        <v>0</v>
      </c>
      <c r="FD105" s="526">
        <v>0</v>
      </c>
      <c r="FE105" s="522">
        <v>0</v>
      </c>
      <c r="FF105" s="526">
        <v>270.51</v>
      </c>
      <c r="FG105" s="522">
        <v>60</v>
      </c>
      <c r="FH105" s="526">
        <v>270.51</v>
      </c>
      <c r="FI105" s="522">
        <v>60</v>
      </c>
      <c r="FJ105" s="522">
        <v>45</v>
      </c>
      <c r="FK105" s="522">
        <v>7</v>
      </c>
      <c r="FL105" s="522">
        <v>5</v>
      </c>
      <c r="FM105" s="522">
        <v>0</v>
      </c>
      <c r="FN105" s="522">
        <v>2</v>
      </c>
      <c r="FO105" s="522">
        <v>0</v>
      </c>
      <c r="FP105" s="522">
        <v>17</v>
      </c>
      <c r="FQ105" s="522">
        <v>32</v>
      </c>
      <c r="FR105" s="522">
        <v>4</v>
      </c>
    </row>
    <row r="106" spans="1:174" x14ac:dyDescent="0.25">
      <c r="A106" s="523" t="s">
        <v>469</v>
      </c>
      <c r="B106" s="523" t="s">
        <v>470</v>
      </c>
      <c r="C106" s="523" t="s">
        <v>2</v>
      </c>
      <c r="D106" s="522">
        <v>1711</v>
      </c>
      <c r="E106" s="522">
        <v>1557</v>
      </c>
      <c r="F106" s="522">
        <v>0</v>
      </c>
      <c r="G106" s="522">
        <v>0</v>
      </c>
      <c r="H106" s="522">
        <v>179</v>
      </c>
      <c r="I106" s="522">
        <v>105</v>
      </c>
      <c r="J106" s="522">
        <v>265</v>
      </c>
      <c r="K106" s="522">
        <v>277</v>
      </c>
      <c r="L106" s="522">
        <v>338</v>
      </c>
      <c r="M106" s="522">
        <v>21</v>
      </c>
      <c r="N106" s="522">
        <v>2493</v>
      </c>
      <c r="O106" s="522">
        <v>1960</v>
      </c>
      <c r="P106" s="522">
        <v>2155</v>
      </c>
      <c r="Q106" s="522">
        <v>4</v>
      </c>
      <c r="R106" s="523">
        <v>10</v>
      </c>
      <c r="S106" s="523">
        <v>24</v>
      </c>
      <c r="T106" s="523">
        <v>235</v>
      </c>
      <c r="U106" s="523">
        <v>2258</v>
      </c>
      <c r="V106" s="522">
        <v>1552</v>
      </c>
      <c r="W106" s="522">
        <v>5</v>
      </c>
      <c r="X106" s="522">
        <v>4</v>
      </c>
      <c r="Y106" s="522">
        <v>9</v>
      </c>
      <c r="Z106" s="524">
        <v>107.98</v>
      </c>
      <c r="AA106" s="524">
        <v>110.03</v>
      </c>
      <c r="AB106" s="524">
        <v>9.32</v>
      </c>
      <c r="AC106" s="524">
        <v>115.18</v>
      </c>
      <c r="AD106" s="524">
        <v>1237</v>
      </c>
      <c r="AE106" s="525">
        <v>116.32</v>
      </c>
      <c r="AF106" s="525">
        <v>93.86</v>
      </c>
      <c r="AG106" s="525">
        <v>59.87</v>
      </c>
      <c r="AH106" s="525">
        <v>175.52</v>
      </c>
      <c r="AI106" s="525">
        <v>361</v>
      </c>
      <c r="AJ106" s="525">
        <v>156.52000000000001</v>
      </c>
      <c r="AK106" s="525">
        <v>278</v>
      </c>
      <c r="AL106" s="525">
        <v>85.13</v>
      </c>
      <c r="AM106" s="525">
        <v>7</v>
      </c>
      <c r="AN106" s="526">
        <v>0</v>
      </c>
      <c r="AO106" s="526">
        <v>0</v>
      </c>
      <c r="AP106" s="526">
        <v>0</v>
      </c>
      <c r="AQ106" s="526">
        <v>0</v>
      </c>
      <c r="AR106" s="522">
        <v>0</v>
      </c>
      <c r="AS106" s="526">
        <v>0</v>
      </c>
      <c r="AT106" s="526">
        <v>0</v>
      </c>
      <c r="AU106" s="526">
        <v>0</v>
      </c>
      <c r="AV106" s="526">
        <v>0</v>
      </c>
      <c r="AW106" s="522">
        <v>0</v>
      </c>
      <c r="AX106" s="526">
        <v>87.19</v>
      </c>
      <c r="AY106" s="526">
        <v>90.1</v>
      </c>
      <c r="AZ106" s="526">
        <v>12.67</v>
      </c>
      <c r="BA106" s="526">
        <v>98.7</v>
      </c>
      <c r="BB106" s="522">
        <v>251</v>
      </c>
      <c r="BC106" s="526">
        <v>107.79</v>
      </c>
      <c r="BD106" s="526">
        <v>109.17</v>
      </c>
      <c r="BE106" s="526">
        <v>10.09</v>
      </c>
      <c r="BF106" s="526">
        <v>116.41</v>
      </c>
      <c r="BG106" s="522">
        <v>606</v>
      </c>
      <c r="BH106" s="526">
        <v>120.3</v>
      </c>
      <c r="BI106" s="526">
        <v>122.42</v>
      </c>
      <c r="BJ106" s="526">
        <v>3.81</v>
      </c>
      <c r="BK106" s="526">
        <v>122.53</v>
      </c>
      <c r="BL106" s="522">
        <v>333</v>
      </c>
      <c r="BM106" s="526">
        <v>133.13999999999999</v>
      </c>
      <c r="BN106" s="526">
        <v>139.29</v>
      </c>
      <c r="BO106" s="526">
        <v>3.6</v>
      </c>
      <c r="BP106" s="526">
        <v>134.28</v>
      </c>
      <c r="BQ106" s="522">
        <v>44</v>
      </c>
      <c r="BR106" s="526">
        <v>150.75</v>
      </c>
      <c r="BS106" s="526">
        <v>146.72</v>
      </c>
      <c r="BT106" s="526">
        <v>0</v>
      </c>
      <c r="BU106" s="526">
        <v>150.75</v>
      </c>
      <c r="BV106" s="522">
        <v>2</v>
      </c>
      <c r="BW106" s="526">
        <v>144.91</v>
      </c>
      <c r="BX106" s="526">
        <v>150.46</v>
      </c>
      <c r="BY106" s="526">
        <v>3.68</v>
      </c>
      <c r="BZ106" s="526">
        <v>148.59</v>
      </c>
      <c r="CA106" s="522">
        <v>1</v>
      </c>
      <c r="CB106" s="526">
        <v>107.98</v>
      </c>
      <c r="CC106" s="526">
        <v>110.03</v>
      </c>
      <c r="CD106" s="526">
        <v>9.32</v>
      </c>
      <c r="CE106" s="526">
        <v>115.18</v>
      </c>
      <c r="CF106" s="522">
        <v>1237</v>
      </c>
      <c r="CG106" s="526">
        <v>107.98</v>
      </c>
      <c r="CH106" s="526">
        <v>110.03</v>
      </c>
      <c r="CI106" s="526">
        <v>9.32</v>
      </c>
      <c r="CJ106" s="526">
        <v>115.18</v>
      </c>
      <c r="CK106" s="522">
        <v>1237</v>
      </c>
      <c r="CL106" s="526">
        <v>179.93</v>
      </c>
      <c r="CM106" s="526">
        <v>88.37</v>
      </c>
      <c r="CN106" s="526">
        <v>84.91</v>
      </c>
      <c r="CO106" s="526">
        <v>264.85000000000002</v>
      </c>
      <c r="CP106" s="522">
        <v>49</v>
      </c>
      <c r="CQ106" s="526">
        <v>80.180000000000007</v>
      </c>
      <c r="CR106" s="526">
        <v>75.63</v>
      </c>
      <c r="CS106" s="526">
        <v>42.94</v>
      </c>
      <c r="CT106" s="526">
        <v>123.12</v>
      </c>
      <c r="CU106" s="522">
        <v>46</v>
      </c>
      <c r="CV106" s="526">
        <v>110.69</v>
      </c>
      <c r="CW106" s="526">
        <v>97.13</v>
      </c>
      <c r="CX106" s="526">
        <v>58.34</v>
      </c>
      <c r="CY106" s="526">
        <v>168.14</v>
      </c>
      <c r="CZ106" s="522">
        <v>262</v>
      </c>
      <c r="DA106" s="526">
        <v>121.75</v>
      </c>
      <c r="DB106" s="526">
        <v>124.1</v>
      </c>
      <c r="DC106" s="526">
        <v>53.14</v>
      </c>
      <c r="DD106" s="526">
        <v>174.89</v>
      </c>
      <c r="DE106" s="522">
        <v>1</v>
      </c>
      <c r="DF106" s="526">
        <v>120.87</v>
      </c>
      <c r="DG106" s="526">
        <v>116.92</v>
      </c>
      <c r="DH106" s="526">
        <v>43.74</v>
      </c>
      <c r="DI106" s="526">
        <v>164.61</v>
      </c>
      <c r="DJ106" s="522">
        <v>3</v>
      </c>
      <c r="DK106" s="526">
        <v>0</v>
      </c>
      <c r="DL106" s="526">
        <v>0</v>
      </c>
      <c r="DM106" s="526">
        <v>0</v>
      </c>
      <c r="DN106" s="526">
        <v>0</v>
      </c>
      <c r="DO106" s="522">
        <v>0</v>
      </c>
      <c r="DP106" s="526">
        <v>106.33</v>
      </c>
      <c r="DQ106" s="526">
        <v>94.03</v>
      </c>
      <c r="DR106" s="526">
        <v>55.88</v>
      </c>
      <c r="DS106" s="526">
        <v>161.49</v>
      </c>
      <c r="DT106" s="522">
        <v>312</v>
      </c>
      <c r="DU106" s="526">
        <v>116.32</v>
      </c>
      <c r="DV106" s="526">
        <v>93.86</v>
      </c>
      <c r="DW106" s="526">
        <v>59.87</v>
      </c>
      <c r="DX106" s="526">
        <v>175.52</v>
      </c>
      <c r="DY106" s="522">
        <v>361</v>
      </c>
      <c r="DZ106" s="526">
        <v>0</v>
      </c>
      <c r="EA106" s="526">
        <v>0</v>
      </c>
      <c r="EB106" s="526">
        <v>0</v>
      </c>
      <c r="EC106" s="522">
        <v>0</v>
      </c>
      <c r="ED106" s="526">
        <v>136.31</v>
      </c>
      <c r="EE106" s="522">
        <v>41</v>
      </c>
      <c r="EF106" s="526">
        <v>145.08000000000001</v>
      </c>
      <c r="EG106" s="522">
        <v>127</v>
      </c>
      <c r="EH106" s="526">
        <v>164.84</v>
      </c>
      <c r="EI106" s="522">
        <v>76</v>
      </c>
      <c r="EJ106" s="526">
        <v>205.01</v>
      </c>
      <c r="EK106" s="522">
        <v>34</v>
      </c>
      <c r="EL106" s="526">
        <v>0</v>
      </c>
      <c r="EM106" s="522">
        <v>0</v>
      </c>
      <c r="EN106" s="526">
        <v>0</v>
      </c>
      <c r="EO106" s="522">
        <v>0</v>
      </c>
      <c r="EP106" s="526">
        <v>156.52000000000001</v>
      </c>
      <c r="EQ106" s="522">
        <v>278</v>
      </c>
      <c r="ER106" s="526">
        <v>156.52000000000001</v>
      </c>
      <c r="ES106" s="522">
        <v>278</v>
      </c>
      <c r="ET106" s="526">
        <v>0</v>
      </c>
      <c r="EU106" s="526">
        <v>0</v>
      </c>
      <c r="EV106" s="526">
        <v>0</v>
      </c>
      <c r="EW106" s="522">
        <v>0</v>
      </c>
      <c r="EX106" s="526">
        <v>85.13</v>
      </c>
      <c r="EY106" s="522">
        <v>7</v>
      </c>
      <c r="EZ106" s="526">
        <v>0</v>
      </c>
      <c r="FA106" s="522">
        <v>0</v>
      </c>
      <c r="FB106" s="526">
        <v>0</v>
      </c>
      <c r="FC106" s="522">
        <v>0</v>
      </c>
      <c r="FD106" s="526">
        <v>0</v>
      </c>
      <c r="FE106" s="522">
        <v>0</v>
      </c>
      <c r="FF106" s="526">
        <v>85.13</v>
      </c>
      <c r="FG106" s="522">
        <v>7</v>
      </c>
      <c r="FH106" s="526">
        <v>85.13</v>
      </c>
      <c r="FI106" s="522">
        <v>7</v>
      </c>
      <c r="FJ106" s="522">
        <v>0</v>
      </c>
      <c r="FK106" s="522">
        <v>0</v>
      </c>
      <c r="FL106" s="522">
        <v>0</v>
      </c>
      <c r="FM106" s="522">
        <v>0</v>
      </c>
      <c r="FN106" s="522">
        <v>0</v>
      </c>
      <c r="FO106" s="522">
        <v>0</v>
      </c>
      <c r="FP106" s="522">
        <v>0</v>
      </c>
      <c r="FQ106" s="522">
        <v>15</v>
      </c>
      <c r="FR106" s="522">
        <v>3</v>
      </c>
    </row>
    <row r="107" spans="1:174" x14ac:dyDescent="0.25">
      <c r="A107" s="523" t="s">
        <v>471</v>
      </c>
      <c r="B107" s="523" t="s">
        <v>472</v>
      </c>
      <c r="C107" s="523" t="s">
        <v>287</v>
      </c>
      <c r="D107" s="522">
        <v>4551</v>
      </c>
      <c r="E107" s="522">
        <v>4062</v>
      </c>
      <c r="F107" s="522">
        <v>0</v>
      </c>
      <c r="G107" s="522">
        <v>0</v>
      </c>
      <c r="H107" s="522">
        <v>104</v>
      </c>
      <c r="I107" s="522">
        <v>32</v>
      </c>
      <c r="J107" s="522">
        <v>787</v>
      </c>
      <c r="K107" s="522">
        <v>765</v>
      </c>
      <c r="L107" s="522">
        <v>389</v>
      </c>
      <c r="M107" s="522">
        <v>0</v>
      </c>
      <c r="N107" s="522">
        <v>5831</v>
      </c>
      <c r="O107" s="522">
        <v>4859</v>
      </c>
      <c r="P107" s="522">
        <v>5442</v>
      </c>
      <c r="Q107" s="522">
        <v>21</v>
      </c>
      <c r="R107" s="523">
        <v>5</v>
      </c>
      <c r="S107" s="523">
        <v>21</v>
      </c>
      <c r="T107" s="523">
        <v>471</v>
      </c>
      <c r="U107" s="523">
        <v>5360</v>
      </c>
      <c r="V107" s="522">
        <v>4151</v>
      </c>
      <c r="W107" s="522">
        <v>17</v>
      </c>
      <c r="X107" s="522">
        <v>36</v>
      </c>
      <c r="Y107" s="522">
        <v>53</v>
      </c>
      <c r="Z107" s="524">
        <v>107.8</v>
      </c>
      <c r="AA107" s="524">
        <v>107.68</v>
      </c>
      <c r="AB107" s="524">
        <v>2.46</v>
      </c>
      <c r="AC107" s="524">
        <v>109.96</v>
      </c>
      <c r="AD107" s="524">
        <v>3358</v>
      </c>
      <c r="AE107" s="525">
        <v>104.14</v>
      </c>
      <c r="AF107" s="525">
        <v>95.85</v>
      </c>
      <c r="AG107" s="525">
        <v>28.44</v>
      </c>
      <c r="AH107" s="525">
        <v>131.56</v>
      </c>
      <c r="AI107" s="525">
        <v>750</v>
      </c>
      <c r="AJ107" s="525">
        <v>132.56</v>
      </c>
      <c r="AK107" s="525">
        <v>798</v>
      </c>
      <c r="AL107" s="525">
        <v>269.82</v>
      </c>
      <c r="AM107" s="525">
        <v>80</v>
      </c>
      <c r="AN107" s="526">
        <v>0</v>
      </c>
      <c r="AO107" s="526">
        <v>0</v>
      </c>
      <c r="AP107" s="526">
        <v>0</v>
      </c>
      <c r="AQ107" s="526">
        <v>0</v>
      </c>
      <c r="AR107" s="522">
        <v>0</v>
      </c>
      <c r="AS107" s="526">
        <v>71.44</v>
      </c>
      <c r="AT107" s="526">
        <v>70.650000000000006</v>
      </c>
      <c r="AU107" s="526">
        <v>9.93</v>
      </c>
      <c r="AV107" s="526">
        <v>81.37</v>
      </c>
      <c r="AW107" s="522">
        <v>5</v>
      </c>
      <c r="AX107" s="526">
        <v>93.96</v>
      </c>
      <c r="AY107" s="526">
        <v>92.35</v>
      </c>
      <c r="AZ107" s="526">
        <v>4.26</v>
      </c>
      <c r="BA107" s="526">
        <v>98.01</v>
      </c>
      <c r="BB107" s="522">
        <v>721</v>
      </c>
      <c r="BC107" s="526">
        <v>105.6</v>
      </c>
      <c r="BD107" s="526">
        <v>104.7</v>
      </c>
      <c r="BE107" s="526">
        <v>2.4700000000000002</v>
      </c>
      <c r="BF107" s="526">
        <v>107.86</v>
      </c>
      <c r="BG107" s="522">
        <v>1200</v>
      </c>
      <c r="BH107" s="526">
        <v>115.96</v>
      </c>
      <c r="BI107" s="526">
        <v>117.28</v>
      </c>
      <c r="BJ107" s="526">
        <v>1.26</v>
      </c>
      <c r="BK107" s="526">
        <v>116.98</v>
      </c>
      <c r="BL107" s="522">
        <v>1364</v>
      </c>
      <c r="BM107" s="526">
        <v>132.28</v>
      </c>
      <c r="BN107" s="526">
        <v>132.87</v>
      </c>
      <c r="BO107" s="526">
        <v>2.95</v>
      </c>
      <c r="BP107" s="526">
        <v>134.91999999999999</v>
      </c>
      <c r="BQ107" s="522">
        <v>67</v>
      </c>
      <c r="BR107" s="526">
        <v>129.1</v>
      </c>
      <c r="BS107" s="526">
        <v>127.7</v>
      </c>
      <c r="BT107" s="526">
        <v>0</v>
      </c>
      <c r="BU107" s="526">
        <v>129.1</v>
      </c>
      <c r="BV107" s="522">
        <v>1</v>
      </c>
      <c r="BW107" s="526">
        <v>0</v>
      </c>
      <c r="BX107" s="526">
        <v>0</v>
      </c>
      <c r="BY107" s="526">
        <v>0</v>
      </c>
      <c r="BZ107" s="526">
        <v>0</v>
      </c>
      <c r="CA107" s="522">
        <v>0</v>
      </c>
      <c r="CB107" s="526">
        <v>107.8</v>
      </c>
      <c r="CC107" s="526">
        <v>107.68</v>
      </c>
      <c r="CD107" s="526">
        <v>2.46</v>
      </c>
      <c r="CE107" s="526">
        <v>109.96</v>
      </c>
      <c r="CF107" s="522">
        <v>3358</v>
      </c>
      <c r="CG107" s="526">
        <v>107.8</v>
      </c>
      <c r="CH107" s="526">
        <v>107.68</v>
      </c>
      <c r="CI107" s="526">
        <v>2.46</v>
      </c>
      <c r="CJ107" s="526">
        <v>109.96</v>
      </c>
      <c r="CK107" s="522">
        <v>3358</v>
      </c>
      <c r="CL107" s="526">
        <v>113</v>
      </c>
      <c r="CM107" s="526">
        <v>74.16</v>
      </c>
      <c r="CN107" s="526">
        <v>47.5</v>
      </c>
      <c r="CO107" s="526">
        <v>159.38999999999999</v>
      </c>
      <c r="CP107" s="522">
        <v>43</v>
      </c>
      <c r="CQ107" s="526">
        <v>89</v>
      </c>
      <c r="CR107" s="526">
        <v>82.61</v>
      </c>
      <c r="CS107" s="526">
        <v>44.75</v>
      </c>
      <c r="CT107" s="526">
        <v>126.14</v>
      </c>
      <c r="CU107" s="522">
        <v>47</v>
      </c>
      <c r="CV107" s="526">
        <v>103.81</v>
      </c>
      <c r="CW107" s="526">
        <v>96.94</v>
      </c>
      <c r="CX107" s="526">
        <v>26.54</v>
      </c>
      <c r="CY107" s="526">
        <v>129.57</v>
      </c>
      <c r="CZ107" s="522">
        <v>611</v>
      </c>
      <c r="DA107" s="526">
        <v>114.82</v>
      </c>
      <c r="DB107" s="526">
        <v>109.05</v>
      </c>
      <c r="DC107" s="526">
        <v>22.25</v>
      </c>
      <c r="DD107" s="526">
        <v>137.07</v>
      </c>
      <c r="DE107" s="522">
        <v>48</v>
      </c>
      <c r="DF107" s="526">
        <v>124.61</v>
      </c>
      <c r="DG107" s="526">
        <v>118.46</v>
      </c>
      <c r="DH107" s="526">
        <v>16.239999999999998</v>
      </c>
      <c r="DI107" s="526">
        <v>140.85</v>
      </c>
      <c r="DJ107" s="522">
        <v>1</v>
      </c>
      <c r="DK107" s="526">
        <v>0</v>
      </c>
      <c r="DL107" s="526">
        <v>0</v>
      </c>
      <c r="DM107" s="526">
        <v>0</v>
      </c>
      <c r="DN107" s="526">
        <v>0</v>
      </c>
      <c r="DO107" s="522">
        <v>0</v>
      </c>
      <c r="DP107" s="526">
        <v>103.6</v>
      </c>
      <c r="DQ107" s="526">
        <v>96.84</v>
      </c>
      <c r="DR107" s="526">
        <v>27.27</v>
      </c>
      <c r="DS107" s="526">
        <v>129.87</v>
      </c>
      <c r="DT107" s="522">
        <v>707</v>
      </c>
      <c r="DU107" s="526">
        <v>104.14</v>
      </c>
      <c r="DV107" s="526">
        <v>95.85</v>
      </c>
      <c r="DW107" s="526">
        <v>28.44</v>
      </c>
      <c r="DX107" s="526">
        <v>131.56</v>
      </c>
      <c r="DY107" s="522">
        <v>750</v>
      </c>
      <c r="DZ107" s="526">
        <v>0</v>
      </c>
      <c r="EA107" s="526">
        <v>0</v>
      </c>
      <c r="EB107" s="526">
        <v>0</v>
      </c>
      <c r="EC107" s="522">
        <v>0</v>
      </c>
      <c r="ED107" s="526">
        <v>103.96</v>
      </c>
      <c r="EE107" s="522">
        <v>187</v>
      </c>
      <c r="EF107" s="526">
        <v>133.56</v>
      </c>
      <c r="EG107" s="522">
        <v>359</v>
      </c>
      <c r="EH107" s="526">
        <v>148.59</v>
      </c>
      <c r="EI107" s="522">
        <v>224</v>
      </c>
      <c r="EJ107" s="526">
        <v>181.71</v>
      </c>
      <c r="EK107" s="522">
        <v>27</v>
      </c>
      <c r="EL107" s="526">
        <v>204.63</v>
      </c>
      <c r="EM107" s="522">
        <v>1</v>
      </c>
      <c r="EN107" s="526">
        <v>0</v>
      </c>
      <c r="EO107" s="522">
        <v>0</v>
      </c>
      <c r="EP107" s="526">
        <v>132.56</v>
      </c>
      <c r="EQ107" s="522">
        <v>798</v>
      </c>
      <c r="ER107" s="526">
        <v>132.56</v>
      </c>
      <c r="ES107" s="522">
        <v>798</v>
      </c>
      <c r="ET107" s="526">
        <v>137.69</v>
      </c>
      <c r="EU107" s="526">
        <v>2</v>
      </c>
      <c r="EV107" s="526">
        <v>267.06</v>
      </c>
      <c r="EW107" s="522">
        <v>10</v>
      </c>
      <c r="EX107" s="526">
        <v>269.07</v>
      </c>
      <c r="EY107" s="522">
        <v>42</v>
      </c>
      <c r="EZ107" s="526">
        <v>282.27</v>
      </c>
      <c r="FA107" s="522">
        <v>26</v>
      </c>
      <c r="FB107" s="526">
        <v>0</v>
      </c>
      <c r="FC107" s="522">
        <v>0</v>
      </c>
      <c r="FD107" s="526">
        <v>0</v>
      </c>
      <c r="FE107" s="522">
        <v>0</v>
      </c>
      <c r="FF107" s="526">
        <v>273.20999999999998</v>
      </c>
      <c r="FG107" s="522">
        <v>78</v>
      </c>
      <c r="FH107" s="526">
        <v>269.82</v>
      </c>
      <c r="FI107" s="522">
        <v>80</v>
      </c>
      <c r="FJ107" s="522">
        <v>10</v>
      </c>
      <c r="FK107" s="522">
        <v>2</v>
      </c>
      <c r="FL107" s="522">
        <v>2</v>
      </c>
      <c r="FM107" s="522">
        <v>0</v>
      </c>
      <c r="FN107" s="522">
        <v>0</v>
      </c>
      <c r="FO107" s="522">
        <v>0</v>
      </c>
      <c r="FP107" s="522">
        <v>6</v>
      </c>
      <c r="FQ107" s="522">
        <v>38</v>
      </c>
      <c r="FR107" s="522">
        <v>5</v>
      </c>
    </row>
    <row r="108" spans="1:174" x14ac:dyDescent="0.25">
      <c r="A108" s="523" t="s">
        <v>473</v>
      </c>
      <c r="B108" s="523" t="s">
        <v>474</v>
      </c>
      <c r="C108" s="523" t="s">
        <v>286</v>
      </c>
      <c r="D108" s="522">
        <v>2695</v>
      </c>
      <c r="E108" s="522">
        <v>2646</v>
      </c>
      <c r="F108" s="522">
        <v>0</v>
      </c>
      <c r="G108" s="522">
        <v>0</v>
      </c>
      <c r="H108" s="522">
        <v>131</v>
      </c>
      <c r="I108" s="522">
        <v>85</v>
      </c>
      <c r="J108" s="522">
        <v>498</v>
      </c>
      <c r="K108" s="522">
        <v>498</v>
      </c>
      <c r="L108" s="522">
        <v>327</v>
      </c>
      <c r="M108" s="522">
        <v>0</v>
      </c>
      <c r="N108" s="522">
        <v>3651</v>
      </c>
      <c r="O108" s="522">
        <v>3229</v>
      </c>
      <c r="P108" s="522">
        <v>3324</v>
      </c>
      <c r="Q108" s="522">
        <v>6</v>
      </c>
      <c r="R108" s="523">
        <v>7</v>
      </c>
      <c r="S108" s="523">
        <v>19</v>
      </c>
      <c r="T108" s="523">
        <v>66</v>
      </c>
      <c r="U108" s="523">
        <v>3585</v>
      </c>
      <c r="V108" s="522">
        <v>2664</v>
      </c>
      <c r="W108" s="522">
        <v>17</v>
      </c>
      <c r="X108" s="522">
        <v>2</v>
      </c>
      <c r="Y108" s="522">
        <v>19</v>
      </c>
      <c r="Z108" s="524">
        <v>99.76</v>
      </c>
      <c r="AA108" s="524">
        <v>100.1</v>
      </c>
      <c r="AB108" s="524">
        <v>4.21</v>
      </c>
      <c r="AC108" s="524">
        <v>103.7</v>
      </c>
      <c r="AD108" s="524">
        <v>1855</v>
      </c>
      <c r="AE108" s="525">
        <v>102.31</v>
      </c>
      <c r="AF108" s="525">
        <v>87.08</v>
      </c>
      <c r="AG108" s="525">
        <v>30.56</v>
      </c>
      <c r="AH108" s="525">
        <v>132.25</v>
      </c>
      <c r="AI108" s="525">
        <v>594</v>
      </c>
      <c r="AJ108" s="525">
        <v>124.92</v>
      </c>
      <c r="AK108" s="525">
        <v>810</v>
      </c>
      <c r="AL108" s="525">
        <v>0</v>
      </c>
      <c r="AM108" s="525">
        <v>0</v>
      </c>
      <c r="AN108" s="526">
        <v>0</v>
      </c>
      <c r="AO108" s="526">
        <v>0</v>
      </c>
      <c r="AP108" s="526">
        <v>0</v>
      </c>
      <c r="AQ108" s="526">
        <v>0</v>
      </c>
      <c r="AR108" s="522">
        <v>0</v>
      </c>
      <c r="AS108" s="526">
        <v>0</v>
      </c>
      <c r="AT108" s="526">
        <v>0</v>
      </c>
      <c r="AU108" s="526">
        <v>0</v>
      </c>
      <c r="AV108" s="526">
        <v>0</v>
      </c>
      <c r="AW108" s="522">
        <v>0</v>
      </c>
      <c r="AX108" s="526">
        <v>85.59</v>
      </c>
      <c r="AY108" s="526">
        <v>86.01</v>
      </c>
      <c r="AZ108" s="526">
        <v>4.45</v>
      </c>
      <c r="BA108" s="526">
        <v>89.97</v>
      </c>
      <c r="BB108" s="522">
        <v>336</v>
      </c>
      <c r="BC108" s="526">
        <v>97.75</v>
      </c>
      <c r="BD108" s="526">
        <v>97.27</v>
      </c>
      <c r="BE108" s="526">
        <v>5.61</v>
      </c>
      <c r="BF108" s="526">
        <v>103.13</v>
      </c>
      <c r="BG108" s="522">
        <v>821</v>
      </c>
      <c r="BH108" s="526">
        <v>108.12</v>
      </c>
      <c r="BI108" s="526">
        <v>109.22</v>
      </c>
      <c r="BJ108" s="526">
        <v>2.3199999999999998</v>
      </c>
      <c r="BK108" s="526">
        <v>110.2</v>
      </c>
      <c r="BL108" s="522">
        <v>639</v>
      </c>
      <c r="BM108" s="526">
        <v>116.76</v>
      </c>
      <c r="BN108" s="526">
        <v>119.08</v>
      </c>
      <c r="BO108" s="526">
        <v>2.06</v>
      </c>
      <c r="BP108" s="526">
        <v>118.38</v>
      </c>
      <c r="BQ108" s="522">
        <v>56</v>
      </c>
      <c r="BR108" s="526">
        <v>136.72</v>
      </c>
      <c r="BS108" s="526">
        <v>138.69</v>
      </c>
      <c r="BT108" s="526">
        <v>0.88</v>
      </c>
      <c r="BU108" s="526">
        <v>137.16</v>
      </c>
      <c r="BV108" s="522">
        <v>2</v>
      </c>
      <c r="BW108" s="526">
        <v>133.96</v>
      </c>
      <c r="BX108" s="526">
        <v>132.47999999999999</v>
      </c>
      <c r="BY108" s="526">
        <v>5.15</v>
      </c>
      <c r="BZ108" s="526">
        <v>139.11000000000001</v>
      </c>
      <c r="CA108" s="522">
        <v>1</v>
      </c>
      <c r="CB108" s="526">
        <v>99.76</v>
      </c>
      <c r="CC108" s="526">
        <v>100.1</v>
      </c>
      <c r="CD108" s="526">
        <v>4.21</v>
      </c>
      <c r="CE108" s="526">
        <v>103.7</v>
      </c>
      <c r="CF108" s="522">
        <v>1855</v>
      </c>
      <c r="CG108" s="526">
        <v>99.76</v>
      </c>
      <c r="CH108" s="526">
        <v>100.1</v>
      </c>
      <c r="CI108" s="526">
        <v>4.21</v>
      </c>
      <c r="CJ108" s="526">
        <v>103.7</v>
      </c>
      <c r="CK108" s="522">
        <v>1855</v>
      </c>
      <c r="CL108" s="526">
        <v>135.99</v>
      </c>
      <c r="CM108" s="526">
        <v>78.53</v>
      </c>
      <c r="CN108" s="526">
        <v>27.76</v>
      </c>
      <c r="CO108" s="526">
        <v>163.75</v>
      </c>
      <c r="CP108" s="522">
        <v>45</v>
      </c>
      <c r="CQ108" s="526">
        <v>95.6</v>
      </c>
      <c r="CR108" s="526">
        <v>75.89</v>
      </c>
      <c r="CS108" s="526">
        <v>18.79</v>
      </c>
      <c r="CT108" s="526">
        <v>114.39</v>
      </c>
      <c r="CU108" s="522">
        <v>17</v>
      </c>
      <c r="CV108" s="526">
        <v>99.14</v>
      </c>
      <c r="CW108" s="526">
        <v>86.46</v>
      </c>
      <c r="CX108" s="526">
        <v>31.18</v>
      </c>
      <c r="CY108" s="526">
        <v>129.55000000000001</v>
      </c>
      <c r="CZ108" s="522">
        <v>485</v>
      </c>
      <c r="DA108" s="526">
        <v>102.96</v>
      </c>
      <c r="DB108" s="526">
        <v>98.7</v>
      </c>
      <c r="DC108" s="526">
        <v>32.14</v>
      </c>
      <c r="DD108" s="526">
        <v>135.1</v>
      </c>
      <c r="DE108" s="522">
        <v>39</v>
      </c>
      <c r="DF108" s="526">
        <v>116</v>
      </c>
      <c r="DG108" s="526">
        <v>112.01</v>
      </c>
      <c r="DH108" s="526">
        <v>27.19</v>
      </c>
      <c r="DI108" s="526">
        <v>143.19</v>
      </c>
      <c r="DJ108" s="522">
        <v>8</v>
      </c>
      <c r="DK108" s="526">
        <v>0</v>
      </c>
      <c r="DL108" s="526">
        <v>0</v>
      </c>
      <c r="DM108" s="526">
        <v>0</v>
      </c>
      <c r="DN108" s="526">
        <v>0</v>
      </c>
      <c r="DO108" s="522">
        <v>0</v>
      </c>
      <c r="DP108" s="526">
        <v>99.55</v>
      </c>
      <c r="DQ108" s="526">
        <v>87.4</v>
      </c>
      <c r="DR108" s="526">
        <v>30.79</v>
      </c>
      <c r="DS108" s="526">
        <v>129.66999999999999</v>
      </c>
      <c r="DT108" s="522">
        <v>549</v>
      </c>
      <c r="DU108" s="526">
        <v>102.31</v>
      </c>
      <c r="DV108" s="526">
        <v>87.08</v>
      </c>
      <c r="DW108" s="526">
        <v>30.56</v>
      </c>
      <c r="DX108" s="526">
        <v>132.25</v>
      </c>
      <c r="DY108" s="522">
        <v>594</v>
      </c>
      <c r="DZ108" s="526">
        <v>0</v>
      </c>
      <c r="EA108" s="526">
        <v>0</v>
      </c>
      <c r="EB108" s="526">
        <v>0</v>
      </c>
      <c r="EC108" s="522">
        <v>0</v>
      </c>
      <c r="ED108" s="526">
        <v>95.64</v>
      </c>
      <c r="EE108" s="522">
        <v>115</v>
      </c>
      <c r="EF108" s="526">
        <v>121.66</v>
      </c>
      <c r="EG108" s="522">
        <v>400</v>
      </c>
      <c r="EH108" s="526">
        <v>137.46</v>
      </c>
      <c r="EI108" s="522">
        <v>261</v>
      </c>
      <c r="EJ108" s="526">
        <v>166.02</v>
      </c>
      <c r="EK108" s="522">
        <v>34</v>
      </c>
      <c r="EL108" s="526">
        <v>0</v>
      </c>
      <c r="EM108" s="522">
        <v>0</v>
      </c>
      <c r="EN108" s="526">
        <v>0</v>
      </c>
      <c r="EO108" s="522">
        <v>0</v>
      </c>
      <c r="EP108" s="526">
        <v>124.92</v>
      </c>
      <c r="EQ108" s="522">
        <v>810</v>
      </c>
      <c r="ER108" s="526">
        <v>124.92</v>
      </c>
      <c r="ES108" s="522">
        <v>810</v>
      </c>
      <c r="ET108" s="526">
        <v>0</v>
      </c>
      <c r="EU108" s="526">
        <v>0</v>
      </c>
      <c r="EV108" s="526">
        <v>0</v>
      </c>
      <c r="EW108" s="522">
        <v>0</v>
      </c>
      <c r="EX108" s="526">
        <v>0</v>
      </c>
      <c r="EY108" s="522">
        <v>0</v>
      </c>
      <c r="EZ108" s="526">
        <v>0</v>
      </c>
      <c r="FA108" s="522">
        <v>0</v>
      </c>
      <c r="FB108" s="526">
        <v>0</v>
      </c>
      <c r="FC108" s="522">
        <v>0</v>
      </c>
      <c r="FD108" s="526">
        <v>0</v>
      </c>
      <c r="FE108" s="522">
        <v>0</v>
      </c>
      <c r="FF108" s="526">
        <v>0</v>
      </c>
      <c r="FG108" s="522">
        <v>0</v>
      </c>
      <c r="FH108" s="526">
        <v>0</v>
      </c>
      <c r="FI108" s="522">
        <v>0</v>
      </c>
      <c r="FJ108" s="522">
        <v>0</v>
      </c>
      <c r="FK108" s="522">
        <v>3</v>
      </c>
      <c r="FL108" s="522">
        <v>1</v>
      </c>
      <c r="FM108" s="522">
        <v>0</v>
      </c>
      <c r="FN108" s="522">
        <v>2</v>
      </c>
      <c r="FO108" s="522">
        <v>0</v>
      </c>
      <c r="FP108" s="522">
        <v>1</v>
      </c>
      <c r="FQ108" s="522">
        <v>10</v>
      </c>
      <c r="FR108" s="522">
        <v>5</v>
      </c>
    </row>
    <row r="109" spans="1:174" x14ac:dyDescent="0.25">
      <c r="A109" s="523" t="s">
        <v>475</v>
      </c>
      <c r="B109" s="523" t="s">
        <v>476</v>
      </c>
      <c r="C109" s="523" t="s">
        <v>285</v>
      </c>
      <c r="D109" s="522">
        <v>4075</v>
      </c>
      <c r="E109" s="522">
        <v>3734</v>
      </c>
      <c r="F109" s="522">
        <v>0</v>
      </c>
      <c r="G109" s="522">
        <v>0</v>
      </c>
      <c r="H109" s="522">
        <v>442</v>
      </c>
      <c r="I109" s="522">
        <v>378</v>
      </c>
      <c r="J109" s="522">
        <v>1134</v>
      </c>
      <c r="K109" s="522">
        <v>1130</v>
      </c>
      <c r="L109" s="522">
        <v>338</v>
      </c>
      <c r="M109" s="522">
        <v>0</v>
      </c>
      <c r="N109" s="522">
        <v>5989</v>
      </c>
      <c r="O109" s="522">
        <v>5242</v>
      </c>
      <c r="P109" s="522">
        <v>5651</v>
      </c>
      <c r="Q109" s="522">
        <v>11</v>
      </c>
      <c r="R109" s="523">
        <v>5</v>
      </c>
      <c r="S109" s="523">
        <v>18</v>
      </c>
      <c r="T109" s="523">
        <v>368</v>
      </c>
      <c r="U109" s="523">
        <v>5621</v>
      </c>
      <c r="V109" s="522">
        <v>3735</v>
      </c>
      <c r="W109" s="522">
        <v>25</v>
      </c>
      <c r="X109" s="522">
        <v>80</v>
      </c>
      <c r="Y109" s="522">
        <v>105</v>
      </c>
      <c r="Z109" s="524">
        <v>90.62</v>
      </c>
      <c r="AA109" s="524">
        <v>90.64</v>
      </c>
      <c r="AB109" s="524">
        <v>9.44</v>
      </c>
      <c r="AC109" s="524">
        <v>96.32</v>
      </c>
      <c r="AD109" s="524">
        <v>2802</v>
      </c>
      <c r="AE109" s="525">
        <v>111.84</v>
      </c>
      <c r="AF109" s="525">
        <v>92.77</v>
      </c>
      <c r="AG109" s="525">
        <v>73.569999999999993</v>
      </c>
      <c r="AH109" s="525">
        <v>183.7</v>
      </c>
      <c r="AI109" s="525">
        <v>1371</v>
      </c>
      <c r="AJ109" s="525">
        <v>112.71</v>
      </c>
      <c r="AK109" s="525">
        <v>1211</v>
      </c>
      <c r="AL109" s="525">
        <v>254.56</v>
      </c>
      <c r="AM109" s="525">
        <v>181</v>
      </c>
      <c r="AN109" s="526">
        <v>0</v>
      </c>
      <c r="AO109" s="526">
        <v>0</v>
      </c>
      <c r="AP109" s="526">
        <v>0</v>
      </c>
      <c r="AQ109" s="526">
        <v>0</v>
      </c>
      <c r="AR109" s="522">
        <v>0</v>
      </c>
      <c r="AS109" s="526">
        <v>68.23</v>
      </c>
      <c r="AT109" s="526">
        <v>66.78</v>
      </c>
      <c r="AU109" s="526">
        <v>6.92</v>
      </c>
      <c r="AV109" s="526">
        <v>75.150000000000006</v>
      </c>
      <c r="AW109" s="522">
        <v>4</v>
      </c>
      <c r="AX109" s="526">
        <v>79.37</v>
      </c>
      <c r="AY109" s="526">
        <v>80.260000000000005</v>
      </c>
      <c r="AZ109" s="526">
        <v>13.4</v>
      </c>
      <c r="BA109" s="526">
        <v>89.89</v>
      </c>
      <c r="BB109" s="522">
        <v>794</v>
      </c>
      <c r="BC109" s="526">
        <v>90.61</v>
      </c>
      <c r="BD109" s="526">
        <v>90.58</v>
      </c>
      <c r="BE109" s="526">
        <v>7.98</v>
      </c>
      <c r="BF109" s="526">
        <v>95.1</v>
      </c>
      <c r="BG109" s="522">
        <v>1174</v>
      </c>
      <c r="BH109" s="526">
        <v>100.17</v>
      </c>
      <c r="BI109" s="526">
        <v>99.46</v>
      </c>
      <c r="BJ109" s="526">
        <v>5.93</v>
      </c>
      <c r="BK109" s="526">
        <v>103.06</v>
      </c>
      <c r="BL109" s="522">
        <v>758</v>
      </c>
      <c r="BM109" s="526">
        <v>113.94</v>
      </c>
      <c r="BN109" s="526">
        <v>112.71</v>
      </c>
      <c r="BO109" s="526">
        <v>3.35</v>
      </c>
      <c r="BP109" s="526">
        <v>115.48</v>
      </c>
      <c r="BQ109" s="522">
        <v>63</v>
      </c>
      <c r="BR109" s="526">
        <v>118.01</v>
      </c>
      <c r="BS109" s="526">
        <v>117.3</v>
      </c>
      <c r="BT109" s="526">
        <v>3.66</v>
      </c>
      <c r="BU109" s="526">
        <v>119.47</v>
      </c>
      <c r="BV109" s="522">
        <v>5</v>
      </c>
      <c r="BW109" s="526">
        <v>138.34</v>
      </c>
      <c r="BX109" s="526">
        <v>138.97</v>
      </c>
      <c r="BY109" s="526">
        <v>3.66</v>
      </c>
      <c r="BZ109" s="526">
        <v>141.09</v>
      </c>
      <c r="CA109" s="522">
        <v>4</v>
      </c>
      <c r="CB109" s="526">
        <v>90.62</v>
      </c>
      <c r="CC109" s="526">
        <v>90.64</v>
      </c>
      <c r="CD109" s="526">
        <v>9.44</v>
      </c>
      <c r="CE109" s="526">
        <v>96.32</v>
      </c>
      <c r="CF109" s="522">
        <v>2802</v>
      </c>
      <c r="CG109" s="526">
        <v>90.62</v>
      </c>
      <c r="CH109" s="526">
        <v>90.64</v>
      </c>
      <c r="CI109" s="526">
        <v>9.44</v>
      </c>
      <c r="CJ109" s="526">
        <v>96.32</v>
      </c>
      <c r="CK109" s="522">
        <v>2802</v>
      </c>
      <c r="CL109" s="526">
        <v>187.26</v>
      </c>
      <c r="CM109" s="526">
        <v>85.56</v>
      </c>
      <c r="CN109" s="526">
        <v>121.89</v>
      </c>
      <c r="CO109" s="526">
        <v>309.14999999999998</v>
      </c>
      <c r="CP109" s="522">
        <v>202</v>
      </c>
      <c r="CQ109" s="526">
        <v>83.24</v>
      </c>
      <c r="CR109" s="526">
        <v>76.930000000000007</v>
      </c>
      <c r="CS109" s="526">
        <v>61.68</v>
      </c>
      <c r="CT109" s="526">
        <v>144.91999999999999</v>
      </c>
      <c r="CU109" s="522">
        <v>73</v>
      </c>
      <c r="CV109" s="526">
        <v>96.68</v>
      </c>
      <c r="CW109" s="526">
        <v>91.34</v>
      </c>
      <c r="CX109" s="526">
        <v>67.989999999999995</v>
      </c>
      <c r="CY109" s="526">
        <v>162.47999999999999</v>
      </c>
      <c r="CZ109" s="522">
        <v>903</v>
      </c>
      <c r="DA109" s="526">
        <v>113.84</v>
      </c>
      <c r="DB109" s="526">
        <v>109.21</v>
      </c>
      <c r="DC109" s="526">
        <v>46.48</v>
      </c>
      <c r="DD109" s="526">
        <v>160.05000000000001</v>
      </c>
      <c r="DE109" s="522">
        <v>169</v>
      </c>
      <c r="DF109" s="526">
        <v>120.66</v>
      </c>
      <c r="DG109" s="526">
        <v>103.52</v>
      </c>
      <c r="DH109" s="526">
        <v>93.04</v>
      </c>
      <c r="DI109" s="526">
        <v>205.61</v>
      </c>
      <c r="DJ109" s="522">
        <v>23</v>
      </c>
      <c r="DK109" s="526">
        <v>120.07</v>
      </c>
      <c r="DL109" s="526">
        <v>109.15</v>
      </c>
      <c r="DM109" s="526">
        <v>206.37</v>
      </c>
      <c r="DN109" s="526">
        <v>326.44</v>
      </c>
      <c r="DO109" s="522">
        <v>1</v>
      </c>
      <c r="DP109" s="526">
        <v>98.81</v>
      </c>
      <c r="DQ109" s="526">
        <v>93.24</v>
      </c>
      <c r="DR109" s="526">
        <v>64.989999999999995</v>
      </c>
      <c r="DS109" s="526">
        <v>162.02000000000001</v>
      </c>
      <c r="DT109" s="522">
        <v>1169</v>
      </c>
      <c r="DU109" s="526">
        <v>111.84</v>
      </c>
      <c r="DV109" s="526">
        <v>92.77</v>
      </c>
      <c r="DW109" s="526">
        <v>73.569999999999993</v>
      </c>
      <c r="DX109" s="526">
        <v>183.7</v>
      </c>
      <c r="DY109" s="522">
        <v>1371</v>
      </c>
      <c r="DZ109" s="526">
        <v>0</v>
      </c>
      <c r="EA109" s="526">
        <v>0</v>
      </c>
      <c r="EB109" s="526">
        <v>0</v>
      </c>
      <c r="EC109" s="522">
        <v>0</v>
      </c>
      <c r="ED109" s="526">
        <v>87.85</v>
      </c>
      <c r="EE109" s="522">
        <v>92</v>
      </c>
      <c r="EF109" s="526">
        <v>107.74</v>
      </c>
      <c r="EG109" s="522">
        <v>680</v>
      </c>
      <c r="EH109" s="526">
        <v>122</v>
      </c>
      <c r="EI109" s="522">
        <v>390</v>
      </c>
      <c r="EJ109" s="526">
        <v>146.31</v>
      </c>
      <c r="EK109" s="522">
        <v>36</v>
      </c>
      <c r="EL109" s="526">
        <v>176.87</v>
      </c>
      <c r="EM109" s="522">
        <v>13</v>
      </c>
      <c r="EN109" s="526">
        <v>0</v>
      </c>
      <c r="EO109" s="522">
        <v>0</v>
      </c>
      <c r="EP109" s="526">
        <v>112.71</v>
      </c>
      <c r="EQ109" s="522">
        <v>1211</v>
      </c>
      <c r="ER109" s="526">
        <v>112.71</v>
      </c>
      <c r="ES109" s="522">
        <v>1211</v>
      </c>
      <c r="ET109" s="526">
        <v>0</v>
      </c>
      <c r="EU109" s="526">
        <v>0</v>
      </c>
      <c r="EV109" s="526">
        <v>280.41000000000003</v>
      </c>
      <c r="EW109" s="522">
        <v>1</v>
      </c>
      <c r="EX109" s="526">
        <v>308.01</v>
      </c>
      <c r="EY109" s="522">
        <v>93</v>
      </c>
      <c r="EZ109" s="526">
        <v>201.92</v>
      </c>
      <c r="FA109" s="522">
        <v>83</v>
      </c>
      <c r="FB109" s="526">
        <v>97.79</v>
      </c>
      <c r="FC109" s="522">
        <v>4</v>
      </c>
      <c r="FD109" s="526">
        <v>0</v>
      </c>
      <c r="FE109" s="522">
        <v>0</v>
      </c>
      <c r="FF109" s="526">
        <v>254.56</v>
      </c>
      <c r="FG109" s="522">
        <v>181</v>
      </c>
      <c r="FH109" s="526">
        <v>254.56</v>
      </c>
      <c r="FI109" s="522">
        <v>181</v>
      </c>
      <c r="FJ109" s="522">
        <v>3</v>
      </c>
      <c r="FK109" s="522">
        <v>0</v>
      </c>
      <c r="FL109" s="522">
        <v>0</v>
      </c>
      <c r="FM109" s="522">
        <v>0</v>
      </c>
      <c r="FN109" s="522">
        <v>0</v>
      </c>
      <c r="FO109" s="522">
        <v>0</v>
      </c>
      <c r="FP109" s="522">
        <v>2</v>
      </c>
      <c r="FQ109" s="522">
        <v>10</v>
      </c>
      <c r="FR109" s="522">
        <v>4</v>
      </c>
    </row>
    <row r="110" spans="1:174" x14ac:dyDescent="0.25">
      <c r="A110" s="523" t="s">
        <v>477</v>
      </c>
      <c r="B110" s="523" t="s">
        <v>478</v>
      </c>
      <c r="C110" s="523" t="s">
        <v>282</v>
      </c>
      <c r="D110" s="522">
        <v>3819</v>
      </c>
      <c r="E110" s="522">
        <v>3808</v>
      </c>
      <c r="F110" s="522">
        <v>0</v>
      </c>
      <c r="G110" s="522">
        <v>0</v>
      </c>
      <c r="H110" s="522">
        <v>285</v>
      </c>
      <c r="I110" s="522">
        <v>274</v>
      </c>
      <c r="J110" s="522">
        <v>1171</v>
      </c>
      <c r="K110" s="522">
        <v>1170</v>
      </c>
      <c r="L110" s="522">
        <v>273</v>
      </c>
      <c r="M110" s="522">
        <v>0</v>
      </c>
      <c r="N110" s="522">
        <v>5548</v>
      </c>
      <c r="O110" s="522">
        <v>5252</v>
      </c>
      <c r="P110" s="522">
        <v>5275</v>
      </c>
      <c r="Q110" s="522">
        <v>19</v>
      </c>
      <c r="R110" s="523">
        <v>1</v>
      </c>
      <c r="S110" s="523">
        <v>26</v>
      </c>
      <c r="T110" s="523">
        <v>3</v>
      </c>
      <c r="U110" s="523">
        <v>5545</v>
      </c>
      <c r="V110" s="522">
        <v>3819</v>
      </c>
      <c r="W110" s="522">
        <v>23</v>
      </c>
      <c r="X110" s="522">
        <v>5</v>
      </c>
      <c r="Y110" s="522">
        <v>28</v>
      </c>
      <c r="Z110" s="524">
        <v>94.5</v>
      </c>
      <c r="AA110" s="524">
        <v>96.07</v>
      </c>
      <c r="AB110" s="524">
        <v>6.3</v>
      </c>
      <c r="AC110" s="524">
        <v>96.96</v>
      </c>
      <c r="AD110" s="524">
        <v>3418</v>
      </c>
      <c r="AE110" s="525">
        <v>106.5</v>
      </c>
      <c r="AF110" s="525">
        <v>86.08</v>
      </c>
      <c r="AG110" s="525">
        <v>45.11</v>
      </c>
      <c r="AH110" s="525">
        <v>151.41999999999999</v>
      </c>
      <c r="AI110" s="525">
        <v>1399</v>
      </c>
      <c r="AJ110" s="525">
        <v>127.67</v>
      </c>
      <c r="AK110" s="525">
        <v>379</v>
      </c>
      <c r="AL110" s="525">
        <v>177.68</v>
      </c>
      <c r="AM110" s="525">
        <v>53</v>
      </c>
      <c r="AN110" s="526">
        <v>0</v>
      </c>
      <c r="AO110" s="526">
        <v>0</v>
      </c>
      <c r="AP110" s="526">
        <v>0</v>
      </c>
      <c r="AQ110" s="526">
        <v>0</v>
      </c>
      <c r="AR110" s="522">
        <v>0</v>
      </c>
      <c r="AS110" s="526">
        <v>69.17</v>
      </c>
      <c r="AT110" s="526">
        <v>69.87</v>
      </c>
      <c r="AU110" s="526">
        <v>5.93</v>
      </c>
      <c r="AV110" s="526">
        <v>74.63</v>
      </c>
      <c r="AW110" s="522">
        <v>51</v>
      </c>
      <c r="AX110" s="526">
        <v>79.290000000000006</v>
      </c>
      <c r="AY110" s="526">
        <v>80.33</v>
      </c>
      <c r="AZ110" s="526">
        <v>7.59</v>
      </c>
      <c r="BA110" s="526">
        <v>85.91</v>
      </c>
      <c r="BB110" s="522">
        <v>702</v>
      </c>
      <c r="BC110" s="526">
        <v>93.55</v>
      </c>
      <c r="BD110" s="526">
        <v>94.4</v>
      </c>
      <c r="BE110" s="526">
        <v>6.89</v>
      </c>
      <c r="BF110" s="526">
        <v>96.32</v>
      </c>
      <c r="BG110" s="522">
        <v>1039</v>
      </c>
      <c r="BH110" s="526">
        <v>101.76</v>
      </c>
      <c r="BI110" s="526">
        <v>104</v>
      </c>
      <c r="BJ110" s="526">
        <v>2.3199999999999998</v>
      </c>
      <c r="BK110" s="526">
        <v>102.12</v>
      </c>
      <c r="BL110" s="522">
        <v>1537</v>
      </c>
      <c r="BM110" s="526">
        <v>114.35</v>
      </c>
      <c r="BN110" s="526">
        <v>118.49</v>
      </c>
      <c r="BO110" s="526">
        <v>2.4300000000000002</v>
      </c>
      <c r="BP110" s="526">
        <v>114.99</v>
      </c>
      <c r="BQ110" s="522">
        <v>84</v>
      </c>
      <c r="BR110" s="526">
        <v>122.39</v>
      </c>
      <c r="BS110" s="526">
        <v>128.36000000000001</v>
      </c>
      <c r="BT110" s="526">
        <v>1.48</v>
      </c>
      <c r="BU110" s="526">
        <v>122.69</v>
      </c>
      <c r="BV110" s="522">
        <v>5</v>
      </c>
      <c r="BW110" s="526">
        <v>0</v>
      </c>
      <c r="BX110" s="526">
        <v>0</v>
      </c>
      <c r="BY110" s="526">
        <v>0</v>
      </c>
      <c r="BZ110" s="526">
        <v>0</v>
      </c>
      <c r="CA110" s="522">
        <v>0</v>
      </c>
      <c r="CB110" s="526">
        <v>94.5</v>
      </c>
      <c r="CC110" s="526">
        <v>96.07</v>
      </c>
      <c r="CD110" s="526">
        <v>6.3</v>
      </c>
      <c r="CE110" s="526">
        <v>96.96</v>
      </c>
      <c r="CF110" s="522">
        <v>3418</v>
      </c>
      <c r="CG110" s="526">
        <v>94.5</v>
      </c>
      <c r="CH110" s="526">
        <v>96.07</v>
      </c>
      <c r="CI110" s="526">
        <v>6.3</v>
      </c>
      <c r="CJ110" s="526">
        <v>96.96</v>
      </c>
      <c r="CK110" s="522">
        <v>3418</v>
      </c>
      <c r="CL110" s="526">
        <v>190.83</v>
      </c>
      <c r="CM110" s="526">
        <v>85.81</v>
      </c>
      <c r="CN110" s="526">
        <v>101.14</v>
      </c>
      <c r="CO110" s="526">
        <v>289</v>
      </c>
      <c r="CP110" s="522">
        <v>102</v>
      </c>
      <c r="CQ110" s="526">
        <v>78.31</v>
      </c>
      <c r="CR110" s="526">
        <v>73.72</v>
      </c>
      <c r="CS110" s="526">
        <v>33.42</v>
      </c>
      <c r="CT110" s="526">
        <v>111.73</v>
      </c>
      <c r="CU110" s="522">
        <v>79</v>
      </c>
      <c r="CV110" s="526">
        <v>99.38</v>
      </c>
      <c r="CW110" s="526">
        <v>84.15</v>
      </c>
      <c r="CX110" s="526">
        <v>46.64</v>
      </c>
      <c r="CY110" s="526">
        <v>145.97</v>
      </c>
      <c r="CZ110" s="522">
        <v>946</v>
      </c>
      <c r="DA110" s="526">
        <v>108.02</v>
      </c>
      <c r="DB110" s="526">
        <v>95.62</v>
      </c>
      <c r="DC110" s="526">
        <v>22.76</v>
      </c>
      <c r="DD110" s="526">
        <v>130.6</v>
      </c>
      <c r="DE110" s="522">
        <v>263</v>
      </c>
      <c r="DF110" s="526">
        <v>102.31</v>
      </c>
      <c r="DG110" s="526">
        <v>101.17</v>
      </c>
      <c r="DH110" s="526">
        <v>19.899999999999999</v>
      </c>
      <c r="DI110" s="526">
        <v>122.21</v>
      </c>
      <c r="DJ110" s="522">
        <v>9</v>
      </c>
      <c r="DK110" s="526">
        <v>0</v>
      </c>
      <c r="DL110" s="526">
        <v>0</v>
      </c>
      <c r="DM110" s="526">
        <v>0</v>
      </c>
      <c r="DN110" s="526">
        <v>0</v>
      </c>
      <c r="DO110" s="522">
        <v>0</v>
      </c>
      <c r="DP110" s="526">
        <v>99.87</v>
      </c>
      <c r="DQ110" s="526">
        <v>86.09</v>
      </c>
      <c r="DR110" s="526">
        <v>40.83</v>
      </c>
      <c r="DS110" s="526">
        <v>140.6</v>
      </c>
      <c r="DT110" s="522">
        <v>1297</v>
      </c>
      <c r="DU110" s="526">
        <v>106.5</v>
      </c>
      <c r="DV110" s="526">
        <v>86.08</v>
      </c>
      <c r="DW110" s="526">
        <v>45.11</v>
      </c>
      <c r="DX110" s="526">
        <v>151.41999999999999</v>
      </c>
      <c r="DY110" s="522">
        <v>1399</v>
      </c>
      <c r="DZ110" s="526">
        <v>0</v>
      </c>
      <c r="EA110" s="526">
        <v>0</v>
      </c>
      <c r="EB110" s="526">
        <v>0</v>
      </c>
      <c r="EC110" s="522">
        <v>0</v>
      </c>
      <c r="ED110" s="526">
        <v>105.72</v>
      </c>
      <c r="EE110" s="522">
        <v>66</v>
      </c>
      <c r="EF110" s="526">
        <v>126.92</v>
      </c>
      <c r="EG110" s="522">
        <v>191</v>
      </c>
      <c r="EH110" s="526">
        <v>136.38999999999999</v>
      </c>
      <c r="EI110" s="522">
        <v>102</v>
      </c>
      <c r="EJ110" s="526">
        <v>161.41</v>
      </c>
      <c r="EK110" s="522">
        <v>19</v>
      </c>
      <c r="EL110" s="526">
        <v>190.55</v>
      </c>
      <c r="EM110" s="522">
        <v>1</v>
      </c>
      <c r="EN110" s="526">
        <v>0</v>
      </c>
      <c r="EO110" s="522">
        <v>0</v>
      </c>
      <c r="EP110" s="526">
        <v>127.67</v>
      </c>
      <c r="EQ110" s="522">
        <v>379</v>
      </c>
      <c r="ER110" s="526">
        <v>127.67</v>
      </c>
      <c r="ES110" s="522">
        <v>379</v>
      </c>
      <c r="ET110" s="526">
        <v>0</v>
      </c>
      <c r="EU110" s="526">
        <v>0</v>
      </c>
      <c r="EV110" s="526">
        <v>0</v>
      </c>
      <c r="EW110" s="522">
        <v>0</v>
      </c>
      <c r="EX110" s="526">
        <v>176.25</v>
      </c>
      <c r="EY110" s="522">
        <v>49</v>
      </c>
      <c r="EZ110" s="526">
        <v>195.17</v>
      </c>
      <c r="FA110" s="522">
        <v>4</v>
      </c>
      <c r="FB110" s="526">
        <v>0</v>
      </c>
      <c r="FC110" s="522">
        <v>0</v>
      </c>
      <c r="FD110" s="526">
        <v>0</v>
      </c>
      <c r="FE110" s="522">
        <v>0</v>
      </c>
      <c r="FF110" s="526">
        <v>177.68</v>
      </c>
      <c r="FG110" s="522">
        <v>53</v>
      </c>
      <c r="FH110" s="526">
        <v>177.68</v>
      </c>
      <c r="FI110" s="522">
        <v>53</v>
      </c>
      <c r="FJ110" s="522">
        <v>0</v>
      </c>
      <c r="FK110" s="522">
        <v>8</v>
      </c>
      <c r="FL110" s="522">
        <v>8</v>
      </c>
      <c r="FM110" s="522">
        <v>0</v>
      </c>
      <c r="FN110" s="522">
        <v>0</v>
      </c>
      <c r="FO110" s="522">
        <v>0</v>
      </c>
      <c r="FP110" s="522">
        <v>5</v>
      </c>
      <c r="FQ110" s="522">
        <v>44</v>
      </c>
      <c r="FR110" s="522">
        <v>2</v>
      </c>
    </row>
    <row r="111" spans="1:174" x14ac:dyDescent="0.25">
      <c r="A111" s="523" t="s">
        <v>479</v>
      </c>
      <c r="B111" s="523" t="s">
        <v>480</v>
      </c>
      <c r="C111" s="523" t="s">
        <v>287</v>
      </c>
      <c r="D111" s="522">
        <v>7263</v>
      </c>
      <c r="E111" s="522">
        <v>7216</v>
      </c>
      <c r="F111" s="522">
        <v>0</v>
      </c>
      <c r="G111" s="522">
        <v>0</v>
      </c>
      <c r="H111" s="522">
        <v>647</v>
      </c>
      <c r="I111" s="522">
        <v>333</v>
      </c>
      <c r="J111" s="522">
        <v>769</v>
      </c>
      <c r="K111" s="522">
        <v>626</v>
      </c>
      <c r="L111" s="522">
        <v>757</v>
      </c>
      <c r="M111" s="522">
        <v>26</v>
      </c>
      <c r="N111" s="522">
        <v>9436</v>
      </c>
      <c r="O111" s="522">
        <v>8201</v>
      </c>
      <c r="P111" s="522">
        <v>8679</v>
      </c>
      <c r="Q111" s="522">
        <v>14</v>
      </c>
      <c r="R111" s="523">
        <v>11</v>
      </c>
      <c r="S111" s="523">
        <v>27</v>
      </c>
      <c r="T111" s="523">
        <v>479</v>
      </c>
      <c r="U111" s="523">
        <v>8957</v>
      </c>
      <c r="V111" s="522">
        <v>7205</v>
      </c>
      <c r="W111" s="522">
        <v>29</v>
      </c>
      <c r="X111" s="522">
        <v>31</v>
      </c>
      <c r="Y111" s="522">
        <v>60</v>
      </c>
      <c r="Z111" s="524">
        <v>98.74</v>
      </c>
      <c r="AA111" s="524">
        <v>100.15</v>
      </c>
      <c r="AB111" s="524">
        <v>10.220000000000001</v>
      </c>
      <c r="AC111" s="524">
        <v>105.16</v>
      </c>
      <c r="AD111" s="524">
        <v>6311</v>
      </c>
      <c r="AE111" s="525">
        <v>102.95</v>
      </c>
      <c r="AF111" s="525">
        <v>95.97</v>
      </c>
      <c r="AG111" s="525">
        <v>70.41</v>
      </c>
      <c r="AH111" s="525">
        <v>171.68</v>
      </c>
      <c r="AI111" s="525">
        <v>969</v>
      </c>
      <c r="AJ111" s="525">
        <v>136.78</v>
      </c>
      <c r="AK111" s="525">
        <v>861</v>
      </c>
      <c r="AL111" s="525">
        <v>291.99</v>
      </c>
      <c r="AM111" s="525">
        <v>26</v>
      </c>
      <c r="AN111" s="526">
        <v>0</v>
      </c>
      <c r="AO111" s="526">
        <v>0</v>
      </c>
      <c r="AP111" s="526">
        <v>0</v>
      </c>
      <c r="AQ111" s="526">
        <v>0</v>
      </c>
      <c r="AR111" s="522">
        <v>0</v>
      </c>
      <c r="AS111" s="526">
        <v>70.27</v>
      </c>
      <c r="AT111" s="526">
        <v>70.72</v>
      </c>
      <c r="AU111" s="526">
        <v>17.489999999999998</v>
      </c>
      <c r="AV111" s="526">
        <v>86.62</v>
      </c>
      <c r="AW111" s="522">
        <v>232</v>
      </c>
      <c r="AX111" s="526">
        <v>81.87</v>
      </c>
      <c r="AY111" s="526">
        <v>82.93</v>
      </c>
      <c r="AZ111" s="526">
        <v>10.74</v>
      </c>
      <c r="BA111" s="526">
        <v>91.62</v>
      </c>
      <c r="BB111" s="522">
        <v>1591</v>
      </c>
      <c r="BC111" s="526">
        <v>98.55</v>
      </c>
      <c r="BD111" s="526">
        <v>99.28</v>
      </c>
      <c r="BE111" s="526">
        <v>11.47</v>
      </c>
      <c r="BF111" s="526">
        <v>107.06</v>
      </c>
      <c r="BG111" s="522">
        <v>2224</v>
      </c>
      <c r="BH111" s="526">
        <v>110.37</v>
      </c>
      <c r="BI111" s="526">
        <v>112.57</v>
      </c>
      <c r="BJ111" s="526">
        <v>3.98</v>
      </c>
      <c r="BK111" s="526">
        <v>111.5</v>
      </c>
      <c r="BL111" s="522">
        <v>1947</v>
      </c>
      <c r="BM111" s="526">
        <v>132.9</v>
      </c>
      <c r="BN111" s="526">
        <v>134.51</v>
      </c>
      <c r="BO111" s="526">
        <v>1.47</v>
      </c>
      <c r="BP111" s="526">
        <v>133.44</v>
      </c>
      <c r="BQ111" s="522">
        <v>296</v>
      </c>
      <c r="BR111" s="526">
        <v>148.5</v>
      </c>
      <c r="BS111" s="526">
        <v>153.5</v>
      </c>
      <c r="BT111" s="526">
        <v>1.51</v>
      </c>
      <c r="BU111" s="526">
        <v>148.76</v>
      </c>
      <c r="BV111" s="522">
        <v>18</v>
      </c>
      <c r="BW111" s="526">
        <v>159.06</v>
      </c>
      <c r="BX111" s="526">
        <v>164.03</v>
      </c>
      <c r="BY111" s="526">
        <v>0</v>
      </c>
      <c r="BZ111" s="526">
        <v>159.06</v>
      </c>
      <c r="CA111" s="522">
        <v>3</v>
      </c>
      <c r="CB111" s="526">
        <v>98.74</v>
      </c>
      <c r="CC111" s="526">
        <v>100.15</v>
      </c>
      <c r="CD111" s="526">
        <v>10.220000000000001</v>
      </c>
      <c r="CE111" s="526">
        <v>105.16</v>
      </c>
      <c r="CF111" s="522">
        <v>6311</v>
      </c>
      <c r="CG111" s="526">
        <v>98.74</v>
      </c>
      <c r="CH111" s="526">
        <v>100.15</v>
      </c>
      <c r="CI111" s="526">
        <v>10.220000000000001</v>
      </c>
      <c r="CJ111" s="526">
        <v>105.16</v>
      </c>
      <c r="CK111" s="522">
        <v>6311</v>
      </c>
      <c r="CL111" s="526">
        <v>82.81</v>
      </c>
      <c r="CM111" s="526">
        <v>83.14</v>
      </c>
      <c r="CN111" s="526">
        <v>124.14</v>
      </c>
      <c r="CO111" s="526">
        <v>196.61</v>
      </c>
      <c r="CP111" s="522">
        <v>120</v>
      </c>
      <c r="CQ111" s="526">
        <v>98.89</v>
      </c>
      <c r="CR111" s="526">
        <v>90.29</v>
      </c>
      <c r="CS111" s="526">
        <v>133.85</v>
      </c>
      <c r="CT111" s="526">
        <v>232.75</v>
      </c>
      <c r="CU111" s="522">
        <v>142</v>
      </c>
      <c r="CV111" s="526">
        <v>101.51</v>
      </c>
      <c r="CW111" s="526">
        <v>93.46</v>
      </c>
      <c r="CX111" s="526">
        <v>47.72</v>
      </c>
      <c r="CY111" s="526">
        <v>148.86000000000001</v>
      </c>
      <c r="CZ111" s="522">
        <v>515</v>
      </c>
      <c r="DA111" s="526">
        <v>121.52</v>
      </c>
      <c r="DB111" s="526">
        <v>114.62</v>
      </c>
      <c r="DC111" s="526">
        <v>53.15</v>
      </c>
      <c r="DD111" s="526">
        <v>173.78</v>
      </c>
      <c r="DE111" s="522">
        <v>181</v>
      </c>
      <c r="DF111" s="526">
        <v>129.83000000000001</v>
      </c>
      <c r="DG111" s="526">
        <v>112.86</v>
      </c>
      <c r="DH111" s="526">
        <v>18.89</v>
      </c>
      <c r="DI111" s="526">
        <v>139.28</v>
      </c>
      <c r="DJ111" s="522">
        <v>10</v>
      </c>
      <c r="DK111" s="526">
        <v>204.43</v>
      </c>
      <c r="DL111" s="526">
        <v>0</v>
      </c>
      <c r="DM111" s="526">
        <v>0</v>
      </c>
      <c r="DN111" s="526">
        <v>204.43</v>
      </c>
      <c r="DO111" s="522">
        <v>1</v>
      </c>
      <c r="DP111" s="526">
        <v>105.79</v>
      </c>
      <c r="DQ111" s="526">
        <v>97.32</v>
      </c>
      <c r="DR111" s="526">
        <v>63.34</v>
      </c>
      <c r="DS111" s="526">
        <v>168.16</v>
      </c>
      <c r="DT111" s="522">
        <v>849</v>
      </c>
      <c r="DU111" s="526">
        <v>102.95</v>
      </c>
      <c r="DV111" s="526">
        <v>95.97</v>
      </c>
      <c r="DW111" s="526">
        <v>70.41</v>
      </c>
      <c r="DX111" s="526">
        <v>171.68</v>
      </c>
      <c r="DY111" s="522">
        <v>969</v>
      </c>
      <c r="DZ111" s="526">
        <v>0</v>
      </c>
      <c r="EA111" s="526">
        <v>0</v>
      </c>
      <c r="EB111" s="526">
        <v>0</v>
      </c>
      <c r="EC111" s="522">
        <v>0</v>
      </c>
      <c r="ED111" s="526">
        <v>112.04</v>
      </c>
      <c r="EE111" s="522">
        <v>264</v>
      </c>
      <c r="EF111" s="526">
        <v>141.11000000000001</v>
      </c>
      <c r="EG111" s="522">
        <v>478</v>
      </c>
      <c r="EH111" s="526">
        <v>167.84</v>
      </c>
      <c r="EI111" s="522">
        <v>100</v>
      </c>
      <c r="EJ111" s="526">
        <v>209.49</v>
      </c>
      <c r="EK111" s="522">
        <v>18</v>
      </c>
      <c r="EL111" s="526">
        <v>185.26</v>
      </c>
      <c r="EM111" s="522">
        <v>1</v>
      </c>
      <c r="EN111" s="526">
        <v>0</v>
      </c>
      <c r="EO111" s="522">
        <v>0</v>
      </c>
      <c r="EP111" s="526">
        <v>136.78</v>
      </c>
      <c r="EQ111" s="522">
        <v>861</v>
      </c>
      <c r="ER111" s="526">
        <v>136.78</v>
      </c>
      <c r="ES111" s="522">
        <v>861</v>
      </c>
      <c r="ET111" s="526">
        <v>404.96</v>
      </c>
      <c r="EU111" s="526">
        <v>3</v>
      </c>
      <c r="EV111" s="526">
        <v>0</v>
      </c>
      <c r="EW111" s="522">
        <v>0</v>
      </c>
      <c r="EX111" s="526">
        <v>280.17</v>
      </c>
      <c r="EY111" s="522">
        <v>21</v>
      </c>
      <c r="EZ111" s="526">
        <v>213.81</v>
      </c>
      <c r="FA111" s="522">
        <v>1</v>
      </c>
      <c r="FB111" s="526">
        <v>279.43</v>
      </c>
      <c r="FC111" s="522">
        <v>1</v>
      </c>
      <c r="FD111" s="526">
        <v>0</v>
      </c>
      <c r="FE111" s="522">
        <v>0</v>
      </c>
      <c r="FF111" s="526">
        <v>277.25</v>
      </c>
      <c r="FG111" s="522">
        <v>23</v>
      </c>
      <c r="FH111" s="526">
        <v>291.99</v>
      </c>
      <c r="FI111" s="522">
        <v>26</v>
      </c>
      <c r="FJ111" s="522">
        <v>13</v>
      </c>
      <c r="FK111" s="522">
        <v>17</v>
      </c>
      <c r="FL111" s="522">
        <v>17</v>
      </c>
      <c r="FM111" s="522">
        <v>0</v>
      </c>
      <c r="FN111" s="522">
        <v>0</v>
      </c>
      <c r="FO111" s="522">
        <v>0</v>
      </c>
      <c r="FP111" s="522">
        <v>1</v>
      </c>
      <c r="FQ111" s="522">
        <v>78</v>
      </c>
      <c r="FR111" s="522">
        <v>7</v>
      </c>
    </row>
    <row r="112" spans="1:174" x14ac:dyDescent="0.25">
      <c r="A112" s="523" t="s">
        <v>481</v>
      </c>
      <c r="B112" s="523" t="s">
        <v>482</v>
      </c>
      <c r="C112" s="523" t="s">
        <v>2</v>
      </c>
      <c r="D112" s="522">
        <v>2320</v>
      </c>
      <c r="E112" s="522">
        <v>2320</v>
      </c>
      <c r="F112" s="522">
        <v>0</v>
      </c>
      <c r="G112" s="522">
        <v>0</v>
      </c>
      <c r="H112" s="522">
        <v>139</v>
      </c>
      <c r="I112" s="522">
        <v>100</v>
      </c>
      <c r="J112" s="522">
        <v>590</v>
      </c>
      <c r="K112" s="522">
        <v>336</v>
      </c>
      <c r="L112" s="522">
        <v>435</v>
      </c>
      <c r="M112" s="522">
        <v>0</v>
      </c>
      <c r="N112" s="522">
        <v>3484</v>
      </c>
      <c r="O112" s="522">
        <v>2756</v>
      </c>
      <c r="P112" s="522">
        <v>3049</v>
      </c>
      <c r="Q112" s="522">
        <v>3</v>
      </c>
      <c r="R112" s="523">
        <v>5</v>
      </c>
      <c r="S112" s="523">
        <v>18</v>
      </c>
      <c r="T112" s="523">
        <v>277</v>
      </c>
      <c r="U112" s="523">
        <v>3207</v>
      </c>
      <c r="V112" s="522">
        <v>2320</v>
      </c>
      <c r="W112" s="522">
        <v>11</v>
      </c>
      <c r="X112" s="522">
        <v>3</v>
      </c>
      <c r="Y112" s="522">
        <v>14</v>
      </c>
      <c r="Z112" s="524">
        <v>112.69</v>
      </c>
      <c r="AA112" s="524">
        <v>111.89</v>
      </c>
      <c r="AB112" s="524">
        <v>11.83</v>
      </c>
      <c r="AC112" s="524">
        <v>122.86</v>
      </c>
      <c r="AD112" s="524">
        <v>1900</v>
      </c>
      <c r="AE112" s="525">
        <v>109.38</v>
      </c>
      <c r="AF112" s="525">
        <v>100.7</v>
      </c>
      <c r="AG112" s="525">
        <v>48.97</v>
      </c>
      <c r="AH112" s="525">
        <v>156.69999999999999</v>
      </c>
      <c r="AI112" s="525">
        <v>387</v>
      </c>
      <c r="AJ112" s="525">
        <v>148.63999999999999</v>
      </c>
      <c r="AK112" s="525">
        <v>288</v>
      </c>
      <c r="AL112" s="525">
        <v>255.82</v>
      </c>
      <c r="AM112" s="525">
        <v>90</v>
      </c>
      <c r="AN112" s="526">
        <v>0</v>
      </c>
      <c r="AO112" s="526">
        <v>0</v>
      </c>
      <c r="AP112" s="526">
        <v>0</v>
      </c>
      <c r="AQ112" s="526">
        <v>0</v>
      </c>
      <c r="AR112" s="522">
        <v>0</v>
      </c>
      <c r="AS112" s="526">
        <v>0</v>
      </c>
      <c r="AT112" s="526">
        <v>0</v>
      </c>
      <c r="AU112" s="526">
        <v>0</v>
      </c>
      <c r="AV112" s="526">
        <v>0</v>
      </c>
      <c r="AW112" s="522">
        <v>0</v>
      </c>
      <c r="AX112" s="526">
        <v>95.41</v>
      </c>
      <c r="AY112" s="526">
        <v>94.68</v>
      </c>
      <c r="AZ112" s="526">
        <v>20.92</v>
      </c>
      <c r="BA112" s="526">
        <v>115.37</v>
      </c>
      <c r="BB112" s="522">
        <v>411</v>
      </c>
      <c r="BC112" s="526">
        <v>109.79</v>
      </c>
      <c r="BD112" s="526">
        <v>109.02</v>
      </c>
      <c r="BE112" s="526">
        <v>13</v>
      </c>
      <c r="BF112" s="526">
        <v>121.71</v>
      </c>
      <c r="BG112" s="522">
        <v>804</v>
      </c>
      <c r="BH112" s="526">
        <v>124.78</v>
      </c>
      <c r="BI112" s="526">
        <v>123.92</v>
      </c>
      <c r="BJ112" s="526">
        <v>3.24</v>
      </c>
      <c r="BK112" s="526">
        <v>127.13</v>
      </c>
      <c r="BL112" s="522">
        <v>614</v>
      </c>
      <c r="BM112" s="526">
        <v>140.88</v>
      </c>
      <c r="BN112" s="526">
        <v>139.91999999999999</v>
      </c>
      <c r="BO112" s="526">
        <v>1.67</v>
      </c>
      <c r="BP112" s="526">
        <v>142.27000000000001</v>
      </c>
      <c r="BQ112" s="522">
        <v>70</v>
      </c>
      <c r="BR112" s="526">
        <v>140.22</v>
      </c>
      <c r="BS112" s="526">
        <v>146.33000000000001</v>
      </c>
      <c r="BT112" s="526">
        <v>0.64</v>
      </c>
      <c r="BU112" s="526">
        <v>140.86000000000001</v>
      </c>
      <c r="BV112" s="522">
        <v>1</v>
      </c>
      <c r="BW112" s="526">
        <v>0</v>
      </c>
      <c r="BX112" s="526">
        <v>0</v>
      </c>
      <c r="BY112" s="526">
        <v>0</v>
      </c>
      <c r="BZ112" s="526">
        <v>0</v>
      </c>
      <c r="CA112" s="522">
        <v>0</v>
      </c>
      <c r="CB112" s="526">
        <v>112.69</v>
      </c>
      <c r="CC112" s="526">
        <v>111.89</v>
      </c>
      <c r="CD112" s="526">
        <v>11.83</v>
      </c>
      <c r="CE112" s="526">
        <v>122.86</v>
      </c>
      <c r="CF112" s="522">
        <v>1900</v>
      </c>
      <c r="CG112" s="526">
        <v>112.69</v>
      </c>
      <c r="CH112" s="526">
        <v>111.89</v>
      </c>
      <c r="CI112" s="526">
        <v>11.83</v>
      </c>
      <c r="CJ112" s="526">
        <v>122.86</v>
      </c>
      <c r="CK112" s="522">
        <v>1900</v>
      </c>
      <c r="CL112" s="526">
        <v>129.57</v>
      </c>
      <c r="CM112" s="526">
        <v>97.33</v>
      </c>
      <c r="CN112" s="526">
        <v>138.04</v>
      </c>
      <c r="CO112" s="526">
        <v>267.61</v>
      </c>
      <c r="CP112" s="522">
        <v>53</v>
      </c>
      <c r="CQ112" s="526">
        <v>80.150000000000006</v>
      </c>
      <c r="CR112" s="526">
        <v>86.79</v>
      </c>
      <c r="CS112" s="526">
        <v>0</v>
      </c>
      <c r="CT112" s="526">
        <v>80.150000000000006</v>
      </c>
      <c r="CU112" s="522">
        <v>10</v>
      </c>
      <c r="CV112" s="526">
        <v>104.43</v>
      </c>
      <c r="CW112" s="526">
        <v>97.7</v>
      </c>
      <c r="CX112" s="526">
        <v>35.56</v>
      </c>
      <c r="CY112" s="526">
        <v>139.84</v>
      </c>
      <c r="CZ112" s="522">
        <v>252</v>
      </c>
      <c r="DA112" s="526">
        <v>115.74</v>
      </c>
      <c r="DB112" s="526">
        <v>113.73</v>
      </c>
      <c r="DC112" s="526">
        <v>29.29</v>
      </c>
      <c r="DD112" s="526">
        <v>144.19999999999999</v>
      </c>
      <c r="DE112" s="522">
        <v>71</v>
      </c>
      <c r="DF112" s="526">
        <v>127.82</v>
      </c>
      <c r="DG112" s="526">
        <v>120.65</v>
      </c>
      <c r="DH112" s="526">
        <v>51.64</v>
      </c>
      <c r="DI112" s="526">
        <v>179.46</v>
      </c>
      <c r="DJ112" s="522">
        <v>1</v>
      </c>
      <c r="DK112" s="526">
        <v>0</v>
      </c>
      <c r="DL112" s="526">
        <v>0</v>
      </c>
      <c r="DM112" s="526">
        <v>0</v>
      </c>
      <c r="DN112" s="526">
        <v>0</v>
      </c>
      <c r="DO112" s="522">
        <v>0</v>
      </c>
      <c r="DP112" s="526">
        <v>106.17</v>
      </c>
      <c r="DQ112" s="526">
        <v>100.9</v>
      </c>
      <c r="DR112" s="526">
        <v>34.26</v>
      </c>
      <c r="DS112" s="526">
        <v>139.1</v>
      </c>
      <c r="DT112" s="522">
        <v>334</v>
      </c>
      <c r="DU112" s="526">
        <v>109.38</v>
      </c>
      <c r="DV112" s="526">
        <v>100.7</v>
      </c>
      <c r="DW112" s="526">
        <v>48.97</v>
      </c>
      <c r="DX112" s="526">
        <v>156.69999999999999</v>
      </c>
      <c r="DY112" s="522">
        <v>387</v>
      </c>
      <c r="DZ112" s="526">
        <v>0</v>
      </c>
      <c r="EA112" s="526">
        <v>0</v>
      </c>
      <c r="EB112" s="526">
        <v>0</v>
      </c>
      <c r="EC112" s="522">
        <v>0</v>
      </c>
      <c r="ED112" s="526">
        <v>120.44</v>
      </c>
      <c r="EE112" s="522">
        <v>58</v>
      </c>
      <c r="EF112" s="526">
        <v>142.29</v>
      </c>
      <c r="EG112" s="522">
        <v>125</v>
      </c>
      <c r="EH112" s="526">
        <v>164.27</v>
      </c>
      <c r="EI112" s="522">
        <v>88</v>
      </c>
      <c r="EJ112" s="526">
        <v>211.18</v>
      </c>
      <c r="EK112" s="522">
        <v>15</v>
      </c>
      <c r="EL112" s="526">
        <v>229.31</v>
      </c>
      <c r="EM112" s="522">
        <v>1</v>
      </c>
      <c r="EN112" s="526">
        <v>183.8</v>
      </c>
      <c r="EO112" s="522">
        <v>1</v>
      </c>
      <c r="EP112" s="526">
        <v>148.63999999999999</v>
      </c>
      <c r="EQ112" s="522">
        <v>288</v>
      </c>
      <c r="ER112" s="526">
        <v>148.63999999999999</v>
      </c>
      <c r="ES112" s="522">
        <v>288</v>
      </c>
      <c r="ET112" s="526">
        <v>0</v>
      </c>
      <c r="EU112" s="526">
        <v>0</v>
      </c>
      <c r="EV112" s="526">
        <v>0</v>
      </c>
      <c r="EW112" s="522">
        <v>0</v>
      </c>
      <c r="EX112" s="526">
        <v>235.28</v>
      </c>
      <c r="EY112" s="522">
        <v>69</v>
      </c>
      <c r="EZ112" s="526">
        <v>323.33</v>
      </c>
      <c r="FA112" s="522">
        <v>21</v>
      </c>
      <c r="FB112" s="526">
        <v>0</v>
      </c>
      <c r="FC112" s="522">
        <v>0</v>
      </c>
      <c r="FD112" s="526">
        <v>0</v>
      </c>
      <c r="FE112" s="522">
        <v>0</v>
      </c>
      <c r="FF112" s="526">
        <v>255.82</v>
      </c>
      <c r="FG112" s="522">
        <v>90</v>
      </c>
      <c r="FH112" s="526">
        <v>255.82</v>
      </c>
      <c r="FI112" s="522">
        <v>90</v>
      </c>
      <c r="FJ112" s="522">
        <v>24</v>
      </c>
      <c r="FK112" s="522">
        <v>0</v>
      </c>
      <c r="FL112" s="522">
        <v>0</v>
      </c>
      <c r="FM112" s="522">
        <v>0</v>
      </c>
      <c r="FN112" s="522">
        <v>0</v>
      </c>
      <c r="FO112" s="522">
        <v>0</v>
      </c>
      <c r="FP112" s="522">
        <v>0</v>
      </c>
      <c r="FQ112" s="522">
        <v>0</v>
      </c>
      <c r="FR112" s="522">
        <v>7</v>
      </c>
    </row>
    <row r="113" spans="1:174" x14ac:dyDescent="0.25">
      <c r="A113" s="523" t="s">
        <v>483</v>
      </c>
      <c r="B113" s="523" t="s">
        <v>484</v>
      </c>
      <c r="C113" s="523" t="s">
        <v>2</v>
      </c>
      <c r="D113" s="522">
        <v>1695</v>
      </c>
      <c r="E113" s="522">
        <v>1171</v>
      </c>
      <c r="F113" s="522">
        <v>0</v>
      </c>
      <c r="G113" s="522">
        <v>0</v>
      </c>
      <c r="H113" s="522">
        <v>79</v>
      </c>
      <c r="I113" s="522">
        <v>30</v>
      </c>
      <c r="J113" s="522">
        <v>122</v>
      </c>
      <c r="K113" s="522">
        <v>122</v>
      </c>
      <c r="L113" s="522">
        <v>698</v>
      </c>
      <c r="M113" s="522">
        <v>82</v>
      </c>
      <c r="N113" s="522">
        <v>2594</v>
      </c>
      <c r="O113" s="522">
        <v>1405</v>
      </c>
      <c r="P113" s="522">
        <v>1896</v>
      </c>
      <c r="Q113" s="522">
        <v>16</v>
      </c>
      <c r="R113" s="523">
        <v>4</v>
      </c>
      <c r="S113" s="523">
        <v>19</v>
      </c>
      <c r="T113" s="523">
        <v>493</v>
      </c>
      <c r="U113" s="523">
        <v>2101</v>
      </c>
      <c r="V113" s="522">
        <v>1215</v>
      </c>
      <c r="W113" s="522">
        <v>22</v>
      </c>
      <c r="X113" s="522">
        <v>14</v>
      </c>
      <c r="Y113" s="522">
        <v>36</v>
      </c>
      <c r="Z113" s="524">
        <v>121.2</v>
      </c>
      <c r="AA113" s="524">
        <v>125.07</v>
      </c>
      <c r="AB113" s="524">
        <v>9.41</v>
      </c>
      <c r="AC113" s="524">
        <v>128.75</v>
      </c>
      <c r="AD113" s="524">
        <v>743</v>
      </c>
      <c r="AE113" s="525">
        <v>132.32</v>
      </c>
      <c r="AF113" s="525">
        <v>100.5</v>
      </c>
      <c r="AG113" s="525">
        <v>91.7</v>
      </c>
      <c r="AH113" s="525">
        <v>209.58</v>
      </c>
      <c r="AI113" s="525">
        <v>127</v>
      </c>
      <c r="AJ113" s="525">
        <v>174.81</v>
      </c>
      <c r="AK113" s="525">
        <v>467</v>
      </c>
      <c r="AL113" s="525">
        <v>277.7</v>
      </c>
      <c r="AM113" s="525">
        <v>61</v>
      </c>
      <c r="AN113" s="526">
        <v>0</v>
      </c>
      <c r="AO113" s="526">
        <v>0</v>
      </c>
      <c r="AP113" s="526">
        <v>0</v>
      </c>
      <c r="AQ113" s="526">
        <v>0</v>
      </c>
      <c r="AR113" s="522">
        <v>0</v>
      </c>
      <c r="AS113" s="526">
        <v>0</v>
      </c>
      <c r="AT113" s="526">
        <v>0</v>
      </c>
      <c r="AU113" s="526">
        <v>0</v>
      </c>
      <c r="AV113" s="526">
        <v>0</v>
      </c>
      <c r="AW113" s="522">
        <v>0</v>
      </c>
      <c r="AX113" s="526">
        <v>102.87</v>
      </c>
      <c r="AY113" s="526">
        <v>102.19</v>
      </c>
      <c r="AZ113" s="526">
        <v>16.59</v>
      </c>
      <c r="BA113" s="526">
        <v>117.46</v>
      </c>
      <c r="BB113" s="522">
        <v>83</v>
      </c>
      <c r="BC113" s="526">
        <v>114.96</v>
      </c>
      <c r="BD113" s="526">
        <v>115.1</v>
      </c>
      <c r="BE113" s="526">
        <v>13.11</v>
      </c>
      <c r="BF113" s="526">
        <v>126.64</v>
      </c>
      <c r="BG113" s="522">
        <v>301</v>
      </c>
      <c r="BH113" s="526">
        <v>128.97</v>
      </c>
      <c r="BI113" s="526">
        <v>134.65</v>
      </c>
      <c r="BJ113" s="526">
        <v>3.76</v>
      </c>
      <c r="BK113" s="526">
        <v>131.52000000000001</v>
      </c>
      <c r="BL113" s="522">
        <v>276</v>
      </c>
      <c r="BM113" s="526">
        <v>135.87</v>
      </c>
      <c r="BN113" s="526">
        <v>150.32</v>
      </c>
      <c r="BO113" s="526">
        <v>2.92</v>
      </c>
      <c r="BP113" s="526">
        <v>138.26</v>
      </c>
      <c r="BQ113" s="522">
        <v>71</v>
      </c>
      <c r="BR113" s="526">
        <v>139.01</v>
      </c>
      <c r="BS113" s="526">
        <v>163.41</v>
      </c>
      <c r="BT113" s="526">
        <v>0.81</v>
      </c>
      <c r="BU113" s="526">
        <v>139.69</v>
      </c>
      <c r="BV113" s="522">
        <v>12</v>
      </c>
      <c r="BW113" s="526">
        <v>0</v>
      </c>
      <c r="BX113" s="526">
        <v>0</v>
      </c>
      <c r="BY113" s="526">
        <v>0</v>
      </c>
      <c r="BZ113" s="526">
        <v>0</v>
      </c>
      <c r="CA113" s="522">
        <v>0</v>
      </c>
      <c r="CB113" s="526">
        <v>121.2</v>
      </c>
      <c r="CC113" s="526">
        <v>125.07</v>
      </c>
      <c r="CD113" s="526">
        <v>9.41</v>
      </c>
      <c r="CE113" s="526">
        <v>128.75</v>
      </c>
      <c r="CF113" s="522">
        <v>743</v>
      </c>
      <c r="CG113" s="526">
        <v>121.2</v>
      </c>
      <c r="CH113" s="526">
        <v>125.07</v>
      </c>
      <c r="CI113" s="526">
        <v>9.41</v>
      </c>
      <c r="CJ113" s="526">
        <v>128.75</v>
      </c>
      <c r="CK113" s="522">
        <v>743</v>
      </c>
      <c r="CL113" s="526">
        <v>113.72</v>
      </c>
      <c r="CM113" s="526">
        <v>95.08</v>
      </c>
      <c r="CN113" s="526">
        <v>42.95</v>
      </c>
      <c r="CO113" s="526">
        <v>131.80000000000001</v>
      </c>
      <c r="CP113" s="522">
        <v>19</v>
      </c>
      <c r="CQ113" s="526">
        <v>0</v>
      </c>
      <c r="CR113" s="526">
        <v>0</v>
      </c>
      <c r="CS113" s="526">
        <v>0</v>
      </c>
      <c r="CT113" s="526">
        <v>0</v>
      </c>
      <c r="CU113" s="522">
        <v>0</v>
      </c>
      <c r="CV113" s="526">
        <v>123.49</v>
      </c>
      <c r="CW113" s="526">
        <v>101.28</v>
      </c>
      <c r="CX113" s="526">
        <v>90.57</v>
      </c>
      <c r="CY113" s="526">
        <v>206.01</v>
      </c>
      <c r="CZ113" s="522">
        <v>90</v>
      </c>
      <c r="DA113" s="526">
        <v>196.09</v>
      </c>
      <c r="DB113" s="526">
        <v>122.32</v>
      </c>
      <c r="DC113" s="526">
        <v>120.1</v>
      </c>
      <c r="DD113" s="526">
        <v>309.52</v>
      </c>
      <c r="DE113" s="522">
        <v>18</v>
      </c>
      <c r="DF113" s="526">
        <v>0</v>
      </c>
      <c r="DG113" s="526">
        <v>0</v>
      </c>
      <c r="DH113" s="526">
        <v>0</v>
      </c>
      <c r="DI113" s="526">
        <v>0</v>
      </c>
      <c r="DJ113" s="522">
        <v>0</v>
      </c>
      <c r="DK113" s="526">
        <v>0</v>
      </c>
      <c r="DL113" s="526">
        <v>0</v>
      </c>
      <c r="DM113" s="526">
        <v>0</v>
      </c>
      <c r="DN113" s="526">
        <v>0</v>
      </c>
      <c r="DO113" s="522">
        <v>0</v>
      </c>
      <c r="DP113" s="526">
        <v>135.59</v>
      </c>
      <c r="DQ113" s="526">
        <v>102.13</v>
      </c>
      <c r="DR113" s="526">
        <v>95.64</v>
      </c>
      <c r="DS113" s="526">
        <v>223.26</v>
      </c>
      <c r="DT113" s="522">
        <v>108</v>
      </c>
      <c r="DU113" s="526">
        <v>132.32</v>
      </c>
      <c r="DV113" s="526">
        <v>100.5</v>
      </c>
      <c r="DW113" s="526">
        <v>91.7</v>
      </c>
      <c r="DX113" s="526">
        <v>209.58</v>
      </c>
      <c r="DY113" s="522">
        <v>127</v>
      </c>
      <c r="DZ113" s="526">
        <v>0</v>
      </c>
      <c r="EA113" s="526">
        <v>0</v>
      </c>
      <c r="EB113" s="526">
        <v>0</v>
      </c>
      <c r="EC113" s="522">
        <v>0</v>
      </c>
      <c r="ED113" s="526">
        <v>145.80000000000001</v>
      </c>
      <c r="EE113" s="522">
        <v>142</v>
      </c>
      <c r="EF113" s="526">
        <v>179.19</v>
      </c>
      <c r="EG113" s="522">
        <v>241</v>
      </c>
      <c r="EH113" s="526">
        <v>209.02</v>
      </c>
      <c r="EI113" s="522">
        <v>75</v>
      </c>
      <c r="EJ113" s="526">
        <v>230.26</v>
      </c>
      <c r="EK113" s="522">
        <v>9</v>
      </c>
      <c r="EL113" s="526">
        <v>0</v>
      </c>
      <c r="EM113" s="522">
        <v>0</v>
      </c>
      <c r="EN113" s="526">
        <v>0</v>
      </c>
      <c r="EO113" s="522">
        <v>0</v>
      </c>
      <c r="EP113" s="526">
        <v>174.81</v>
      </c>
      <c r="EQ113" s="522">
        <v>467</v>
      </c>
      <c r="ER113" s="526">
        <v>174.81</v>
      </c>
      <c r="ES113" s="522">
        <v>467</v>
      </c>
      <c r="ET113" s="526">
        <v>0</v>
      </c>
      <c r="EU113" s="526">
        <v>0</v>
      </c>
      <c r="EV113" s="526">
        <v>0</v>
      </c>
      <c r="EW113" s="522">
        <v>0</v>
      </c>
      <c r="EX113" s="526">
        <v>280.14</v>
      </c>
      <c r="EY113" s="522">
        <v>37</v>
      </c>
      <c r="EZ113" s="526">
        <v>273.95</v>
      </c>
      <c r="FA113" s="522">
        <v>24</v>
      </c>
      <c r="FB113" s="526">
        <v>0</v>
      </c>
      <c r="FC113" s="522">
        <v>0</v>
      </c>
      <c r="FD113" s="526">
        <v>0</v>
      </c>
      <c r="FE113" s="522">
        <v>0</v>
      </c>
      <c r="FF113" s="526">
        <v>277.7</v>
      </c>
      <c r="FG113" s="522">
        <v>61</v>
      </c>
      <c r="FH113" s="526">
        <v>277.7</v>
      </c>
      <c r="FI113" s="522">
        <v>61</v>
      </c>
      <c r="FJ113" s="522">
        <v>43</v>
      </c>
      <c r="FK113" s="522">
        <v>0</v>
      </c>
      <c r="FL113" s="522">
        <v>0</v>
      </c>
      <c r="FM113" s="522">
        <v>0</v>
      </c>
      <c r="FN113" s="522">
        <v>0</v>
      </c>
      <c r="FO113" s="522">
        <v>0</v>
      </c>
      <c r="FP113" s="522">
        <v>0</v>
      </c>
      <c r="FQ113" s="522">
        <v>20</v>
      </c>
      <c r="FR113" s="522">
        <v>6</v>
      </c>
    </row>
    <row r="114" spans="1:174" x14ac:dyDescent="0.25">
      <c r="A114" s="523" t="s">
        <v>485</v>
      </c>
      <c r="B114" s="523" t="s">
        <v>486</v>
      </c>
      <c r="C114" s="523" t="s">
        <v>283</v>
      </c>
      <c r="D114" s="522">
        <v>1524</v>
      </c>
      <c r="E114" s="522">
        <v>1523</v>
      </c>
      <c r="F114" s="522">
        <v>0</v>
      </c>
      <c r="G114" s="522">
        <v>0</v>
      </c>
      <c r="H114" s="522">
        <v>261</v>
      </c>
      <c r="I114" s="522">
        <v>115</v>
      </c>
      <c r="J114" s="522">
        <v>150</v>
      </c>
      <c r="K114" s="522">
        <v>142</v>
      </c>
      <c r="L114" s="522">
        <v>85</v>
      </c>
      <c r="M114" s="522">
        <v>0</v>
      </c>
      <c r="N114" s="522">
        <v>2020</v>
      </c>
      <c r="O114" s="522">
        <v>1780</v>
      </c>
      <c r="P114" s="522">
        <v>1935</v>
      </c>
      <c r="Q114" s="522">
        <v>14</v>
      </c>
      <c r="R114" s="523">
        <v>6</v>
      </c>
      <c r="S114" s="523">
        <v>19</v>
      </c>
      <c r="T114" s="523">
        <v>138</v>
      </c>
      <c r="U114" s="523">
        <v>1882</v>
      </c>
      <c r="V114" s="522">
        <v>1523</v>
      </c>
      <c r="W114" s="522">
        <v>9</v>
      </c>
      <c r="X114" s="522">
        <v>27</v>
      </c>
      <c r="Y114" s="522">
        <v>36</v>
      </c>
      <c r="Z114" s="524">
        <v>99.42</v>
      </c>
      <c r="AA114" s="524">
        <v>99.69</v>
      </c>
      <c r="AB114" s="524">
        <v>6.99</v>
      </c>
      <c r="AC114" s="524">
        <v>104.14</v>
      </c>
      <c r="AD114" s="524">
        <v>1145</v>
      </c>
      <c r="AE114" s="525">
        <v>120.16</v>
      </c>
      <c r="AF114" s="525">
        <v>91.73</v>
      </c>
      <c r="AG114" s="525">
        <v>88.1</v>
      </c>
      <c r="AH114" s="525">
        <v>207.94</v>
      </c>
      <c r="AI114" s="525">
        <v>274</v>
      </c>
      <c r="AJ114" s="525">
        <v>118.61</v>
      </c>
      <c r="AK114" s="525">
        <v>343</v>
      </c>
      <c r="AL114" s="525">
        <v>0</v>
      </c>
      <c r="AM114" s="525">
        <v>0</v>
      </c>
      <c r="AN114" s="526">
        <v>0</v>
      </c>
      <c r="AO114" s="526">
        <v>0</v>
      </c>
      <c r="AP114" s="526">
        <v>0</v>
      </c>
      <c r="AQ114" s="526">
        <v>0</v>
      </c>
      <c r="AR114" s="522">
        <v>0</v>
      </c>
      <c r="AS114" s="526">
        <v>0</v>
      </c>
      <c r="AT114" s="526">
        <v>0</v>
      </c>
      <c r="AU114" s="526">
        <v>0</v>
      </c>
      <c r="AV114" s="526">
        <v>0</v>
      </c>
      <c r="AW114" s="522">
        <v>0</v>
      </c>
      <c r="AX114" s="526">
        <v>87.73</v>
      </c>
      <c r="AY114" s="526">
        <v>87.62</v>
      </c>
      <c r="AZ114" s="526">
        <v>9.61</v>
      </c>
      <c r="BA114" s="526">
        <v>96.3</v>
      </c>
      <c r="BB114" s="522">
        <v>239</v>
      </c>
      <c r="BC114" s="526">
        <v>96.03</v>
      </c>
      <c r="BD114" s="526">
        <v>96.16</v>
      </c>
      <c r="BE114" s="526">
        <v>7.83</v>
      </c>
      <c r="BF114" s="526">
        <v>101.4</v>
      </c>
      <c r="BG114" s="522">
        <v>496</v>
      </c>
      <c r="BH114" s="526">
        <v>108.17</v>
      </c>
      <c r="BI114" s="526">
        <v>108.55</v>
      </c>
      <c r="BJ114" s="526">
        <v>3.18</v>
      </c>
      <c r="BK114" s="526">
        <v>109.98</v>
      </c>
      <c r="BL114" s="522">
        <v>354</v>
      </c>
      <c r="BM114" s="526">
        <v>121.17</v>
      </c>
      <c r="BN114" s="526">
        <v>122.43</v>
      </c>
      <c r="BO114" s="526">
        <v>2.99</v>
      </c>
      <c r="BP114" s="526">
        <v>122.54</v>
      </c>
      <c r="BQ114" s="522">
        <v>37</v>
      </c>
      <c r="BR114" s="526">
        <v>125.8</v>
      </c>
      <c r="BS114" s="526">
        <v>129.1</v>
      </c>
      <c r="BT114" s="526">
        <v>1.26</v>
      </c>
      <c r="BU114" s="526">
        <v>125.93</v>
      </c>
      <c r="BV114" s="522">
        <v>10</v>
      </c>
      <c r="BW114" s="526">
        <v>133.86000000000001</v>
      </c>
      <c r="BX114" s="526">
        <v>140.63999999999999</v>
      </c>
      <c r="BY114" s="526">
        <v>0</v>
      </c>
      <c r="BZ114" s="526">
        <v>133.86000000000001</v>
      </c>
      <c r="CA114" s="522">
        <v>9</v>
      </c>
      <c r="CB114" s="526">
        <v>99.42</v>
      </c>
      <c r="CC114" s="526">
        <v>99.69</v>
      </c>
      <c r="CD114" s="526">
        <v>6.99</v>
      </c>
      <c r="CE114" s="526">
        <v>104.14</v>
      </c>
      <c r="CF114" s="522">
        <v>1145</v>
      </c>
      <c r="CG114" s="526">
        <v>99.42</v>
      </c>
      <c r="CH114" s="526">
        <v>99.69</v>
      </c>
      <c r="CI114" s="526">
        <v>6.99</v>
      </c>
      <c r="CJ114" s="526">
        <v>104.14</v>
      </c>
      <c r="CK114" s="522">
        <v>1145</v>
      </c>
      <c r="CL114" s="526">
        <v>173.46</v>
      </c>
      <c r="CM114" s="526">
        <v>89.89</v>
      </c>
      <c r="CN114" s="526">
        <v>105.97</v>
      </c>
      <c r="CO114" s="526">
        <v>279.43</v>
      </c>
      <c r="CP114" s="522">
        <v>72</v>
      </c>
      <c r="CQ114" s="526">
        <v>85.98</v>
      </c>
      <c r="CR114" s="526">
        <v>78.260000000000005</v>
      </c>
      <c r="CS114" s="526">
        <v>52.2</v>
      </c>
      <c r="CT114" s="526">
        <v>138.18</v>
      </c>
      <c r="CU114" s="522">
        <v>8</v>
      </c>
      <c r="CV114" s="526">
        <v>98.64</v>
      </c>
      <c r="CW114" s="526">
        <v>92.51</v>
      </c>
      <c r="CX114" s="526">
        <v>85.36</v>
      </c>
      <c r="CY114" s="526">
        <v>184</v>
      </c>
      <c r="CZ114" s="522">
        <v>177</v>
      </c>
      <c r="DA114" s="526">
        <v>137.4</v>
      </c>
      <c r="DB114" s="526">
        <v>104.28</v>
      </c>
      <c r="DC114" s="526">
        <v>49.06</v>
      </c>
      <c r="DD114" s="526">
        <v>182.96</v>
      </c>
      <c r="DE114" s="522">
        <v>14</v>
      </c>
      <c r="DF114" s="526">
        <v>121.6</v>
      </c>
      <c r="DG114" s="526">
        <v>114.83</v>
      </c>
      <c r="DH114" s="526">
        <v>85.73</v>
      </c>
      <c r="DI114" s="526">
        <v>207.33</v>
      </c>
      <c r="DJ114" s="522">
        <v>3</v>
      </c>
      <c r="DK114" s="526">
        <v>0</v>
      </c>
      <c r="DL114" s="526">
        <v>0</v>
      </c>
      <c r="DM114" s="526">
        <v>0</v>
      </c>
      <c r="DN114" s="526">
        <v>0</v>
      </c>
      <c r="DO114" s="522">
        <v>0</v>
      </c>
      <c r="DP114" s="526">
        <v>101.17</v>
      </c>
      <c r="DQ114" s="526">
        <v>92.09</v>
      </c>
      <c r="DR114" s="526">
        <v>81.7</v>
      </c>
      <c r="DS114" s="526">
        <v>182.46</v>
      </c>
      <c r="DT114" s="522">
        <v>202</v>
      </c>
      <c r="DU114" s="526">
        <v>120.16</v>
      </c>
      <c r="DV114" s="526">
        <v>91.73</v>
      </c>
      <c r="DW114" s="526">
        <v>88.1</v>
      </c>
      <c r="DX114" s="526">
        <v>207.94</v>
      </c>
      <c r="DY114" s="522">
        <v>274</v>
      </c>
      <c r="DZ114" s="526">
        <v>0</v>
      </c>
      <c r="EA114" s="526">
        <v>0</v>
      </c>
      <c r="EB114" s="526">
        <v>0</v>
      </c>
      <c r="EC114" s="522">
        <v>0</v>
      </c>
      <c r="ED114" s="526">
        <v>98.42</v>
      </c>
      <c r="EE114" s="522">
        <v>84</v>
      </c>
      <c r="EF114" s="526">
        <v>118.3</v>
      </c>
      <c r="EG114" s="522">
        <v>143</v>
      </c>
      <c r="EH114" s="526">
        <v>129.13</v>
      </c>
      <c r="EI114" s="522">
        <v>101</v>
      </c>
      <c r="EJ114" s="526">
        <v>164.76</v>
      </c>
      <c r="EK114" s="522">
        <v>14</v>
      </c>
      <c r="EL114" s="526">
        <v>0</v>
      </c>
      <c r="EM114" s="522">
        <v>0</v>
      </c>
      <c r="EN114" s="526">
        <v>151.87</v>
      </c>
      <c r="EO114" s="522">
        <v>1</v>
      </c>
      <c r="EP114" s="526">
        <v>118.61</v>
      </c>
      <c r="EQ114" s="522">
        <v>343</v>
      </c>
      <c r="ER114" s="526">
        <v>118.61</v>
      </c>
      <c r="ES114" s="522">
        <v>343</v>
      </c>
      <c r="ET114" s="526">
        <v>0</v>
      </c>
      <c r="EU114" s="526">
        <v>0</v>
      </c>
      <c r="EV114" s="526">
        <v>0</v>
      </c>
      <c r="EW114" s="522">
        <v>0</v>
      </c>
      <c r="EX114" s="526">
        <v>0</v>
      </c>
      <c r="EY114" s="522">
        <v>0</v>
      </c>
      <c r="EZ114" s="526">
        <v>0</v>
      </c>
      <c r="FA114" s="522">
        <v>0</v>
      </c>
      <c r="FB114" s="526">
        <v>0</v>
      </c>
      <c r="FC114" s="522">
        <v>0</v>
      </c>
      <c r="FD114" s="526">
        <v>0</v>
      </c>
      <c r="FE114" s="522">
        <v>0</v>
      </c>
      <c r="FF114" s="526">
        <v>0</v>
      </c>
      <c r="FG114" s="522">
        <v>0</v>
      </c>
      <c r="FH114" s="526">
        <v>0</v>
      </c>
      <c r="FI114" s="522">
        <v>0</v>
      </c>
      <c r="FJ114" s="522">
        <v>7</v>
      </c>
      <c r="FK114" s="522">
        <v>0</v>
      </c>
      <c r="FL114" s="522">
        <v>0</v>
      </c>
      <c r="FM114" s="522">
        <v>0</v>
      </c>
      <c r="FN114" s="522">
        <v>0</v>
      </c>
      <c r="FO114" s="522">
        <v>0</v>
      </c>
      <c r="FP114" s="522">
        <v>10</v>
      </c>
      <c r="FQ114" s="522">
        <v>21</v>
      </c>
      <c r="FR114" s="522">
        <v>2</v>
      </c>
    </row>
    <row r="115" spans="1:174" x14ac:dyDescent="0.25">
      <c r="A115" s="523" t="s">
        <v>487</v>
      </c>
      <c r="B115" s="523" t="s">
        <v>488</v>
      </c>
      <c r="C115" s="523" t="s">
        <v>284</v>
      </c>
      <c r="D115" s="522">
        <v>13652</v>
      </c>
      <c r="E115" s="522">
        <v>12203</v>
      </c>
      <c r="F115" s="522">
        <v>136</v>
      </c>
      <c r="G115" s="522">
        <v>67</v>
      </c>
      <c r="H115" s="522">
        <v>609</v>
      </c>
      <c r="I115" s="522">
        <v>164</v>
      </c>
      <c r="J115" s="522">
        <v>1078</v>
      </c>
      <c r="K115" s="522">
        <v>849</v>
      </c>
      <c r="L115" s="522">
        <v>2914</v>
      </c>
      <c r="M115" s="522">
        <v>80</v>
      </c>
      <c r="N115" s="522">
        <v>18389</v>
      </c>
      <c r="O115" s="522">
        <v>13363</v>
      </c>
      <c r="P115" s="522">
        <v>15475</v>
      </c>
      <c r="Q115" s="522">
        <v>143</v>
      </c>
      <c r="R115" s="523">
        <v>22</v>
      </c>
      <c r="S115" s="523">
        <v>23</v>
      </c>
      <c r="T115" s="523">
        <v>2141</v>
      </c>
      <c r="U115" s="523">
        <v>16248</v>
      </c>
      <c r="V115" s="522">
        <v>12060</v>
      </c>
      <c r="W115" s="522">
        <v>120</v>
      </c>
      <c r="X115" s="522">
        <v>64</v>
      </c>
      <c r="Y115" s="522">
        <v>184</v>
      </c>
      <c r="Z115" s="524">
        <v>136.63</v>
      </c>
      <c r="AA115" s="524">
        <v>140.46</v>
      </c>
      <c r="AB115" s="524">
        <v>22.21</v>
      </c>
      <c r="AC115" s="524">
        <v>154.12</v>
      </c>
      <c r="AD115" s="524">
        <v>10006</v>
      </c>
      <c r="AE115" s="525">
        <v>133.72999999999999</v>
      </c>
      <c r="AF115" s="525">
        <v>121.09</v>
      </c>
      <c r="AG115" s="525">
        <v>66.52</v>
      </c>
      <c r="AH115" s="525">
        <v>196.79</v>
      </c>
      <c r="AI115" s="525">
        <v>1211</v>
      </c>
      <c r="AJ115" s="525">
        <v>201.61</v>
      </c>
      <c r="AK115" s="525">
        <v>1864</v>
      </c>
      <c r="AL115" s="525">
        <v>0</v>
      </c>
      <c r="AM115" s="525">
        <v>0</v>
      </c>
      <c r="AN115" s="526">
        <v>88.85</v>
      </c>
      <c r="AO115" s="526">
        <v>89.54</v>
      </c>
      <c r="AP115" s="526">
        <v>47.41</v>
      </c>
      <c r="AQ115" s="526">
        <v>130.99</v>
      </c>
      <c r="AR115" s="522">
        <v>63</v>
      </c>
      <c r="AS115" s="526">
        <v>92.26</v>
      </c>
      <c r="AT115" s="526">
        <v>92.16</v>
      </c>
      <c r="AU115" s="526">
        <v>37.26</v>
      </c>
      <c r="AV115" s="526">
        <v>128.86000000000001</v>
      </c>
      <c r="AW115" s="522">
        <v>113</v>
      </c>
      <c r="AX115" s="526">
        <v>110.84</v>
      </c>
      <c r="AY115" s="526">
        <v>111.81</v>
      </c>
      <c r="AZ115" s="526">
        <v>22.18</v>
      </c>
      <c r="BA115" s="526">
        <v>131.21</v>
      </c>
      <c r="BB115" s="522">
        <v>2250</v>
      </c>
      <c r="BC115" s="526">
        <v>134.41999999999999</v>
      </c>
      <c r="BD115" s="526">
        <v>137.62</v>
      </c>
      <c r="BE115" s="526">
        <v>23.49</v>
      </c>
      <c r="BF115" s="526">
        <v>153.49</v>
      </c>
      <c r="BG115" s="522">
        <v>3498</v>
      </c>
      <c r="BH115" s="526">
        <v>152.19999999999999</v>
      </c>
      <c r="BI115" s="526">
        <v>157.99</v>
      </c>
      <c r="BJ115" s="526">
        <v>21.43</v>
      </c>
      <c r="BK115" s="526">
        <v>166.54</v>
      </c>
      <c r="BL115" s="522">
        <v>3314</v>
      </c>
      <c r="BM115" s="526">
        <v>164.62</v>
      </c>
      <c r="BN115" s="526">
        <v>171.69</v>
      </c>
      <c r="BO115" s="526">
        <v>14.39</v>
      </c>
      <c r="BP115" s="526">
        <v>175.75</v>
      </c>
      <c r="BQ115" s="522">
        <v>724</v>
      </c>
      <c r="BR115" s="526">
        <v>178.02</v>
      </c>
      <c r="BS115" s="526">
        <v>191.63</v>
      </c>
      <c r="BT115" s="526">
        <v>5.72</v>
      </c>
      <c r="BU115" s="526">
        <v>182.06</v>
      </c>
      <c r="BV115" s="522">
        <v>41</v>
      </c>
      <c r="BW115" s="526">
        <v>199.6</v>
      </c>
      <c r="BX115" s="526">
        <v>224.86</v>
      </c>
      <c r="BY115" s="526">
        <v>0.19</v>
      </c>
      <c r="BZ115" s="526">
        <v>199.73</v>
      </c>
      <c r="CA115" s="522">
        <v>3</v>
      </c>
      <c r="CB115" s="526">
        <v>136.93</v>
      </c>
      <c r="CC115" s="526">
        <v>140.78</v>
      </c>
      <c r="CD115" s="526">
        <v>22.03</v>
      </c>
      <c r="CE115" s="526">
        <v>154.27000000000001</v>
      </c>
      <c r="CF115" s="522">
        <v>9943</v>
      </c>
      <c r="CG115" s="526">
        <v>136.63</v>
      </c>
      <c r="CH115" s="526">
        <v>140.46</v>
      </c>
      <c r="CI115" s="526">
        <v>22.21</v>
      </c>
      <c r="CJ115" s="526">
        <v>154.12</v>
      </c>
      <c r="CK115" s="522">
        <v>10006</v>
      </c>
      <c r="CL115" s="526">
        <v>125.86</v>
      </c>
      <c r="CM115" s="526">
        <v>112.66</v>
      </c>
      <c r="CN115" s="526">
        <v>48.66</v>
      </c>
      <c r="CO115" s="526">
        <v>164.43</v>
      </c>
      <c r="CP115" s="522">
        <v>164</v>
      </c>
      <c r="CQ115" s="526">
        <v>112.03</v>
      </c>
      <c r="CR115" s="526">
        <v>106.38</v>
      </c>
      <c r="CS115" s="526">
        <v>71.83</v>
      </c>
      <c r="CT115" s="526">
        <v>171.29</v>
      </c>
      <c r="CU115" s="522">
        <v>80</v>
      </c>
      <c r="CV115" s="526">
        <v>131.58000000000001</v>
      </c>
      <c r="CW115" s="526">
        <v>114.92</v>
      </c>
      <c r="CX115" s="526">
        <v>63.35</v>
      </c>
      <c r="CY115" s="526">
        <v>194.2</v>
      </c>
      <c r="CZ115" s="522">
        <v>696</v>
      </c>
      <c r="DA115" s="526">
        <v>150.22</v>
      </c>
      <c r="DB115" s="526">
        <v>145.28</v>
      </c>
      <c r="DC115" s="526">
        <v>82.63</v>
      </c>
      <c r="DD115" s="526">
        <v>231.3</v>
      </c>
      <c r="DE115" s="522">
        <v>266</v>
      </c>
      <c r="DF115" s="526">
        <v>161.66</v>
      </c>
      <c r="DG115" s="526">
        <v>148.66999999999999</v>
      </c>
      <c r="DH115" s="526">
        <v>48.13</v>
      </c>
      <c r="DI115" s="526">
        <v>185.73</v>
      </c>
      <c r="DJ115" s="522">
        <v>4</v>
      </c>
      <c r="DK115" s="526">
        <v>165.34</v>
      </c>
      <c r="DL115" s="526">
        <v>157.71</v>
      </c>
      <c r="DM115" s="526">
        <v>49.85</v>
      </c>
      <c r="DN115" s="526">
        <v>215.19</v>
      </c>
      <c r="DO115" s="522">
        <v>1</v>
      </c>
      <c r="DP115" s="526">
        <v>134.97</v>
      </c>
      <c r="DQ115" s="526">
        <v>122.3</v>
      </c>
      <c r="DR115" s="526">
        <v>68.8</v>
      </c>
      <c r="DS115" s="526">
        <v>201.86</v>
      </c>
      <c r="DT115" s="522">
        <v>1047</v>
      </c>
      <c r="DU115" s="526">
        <v>133.72999999999999</v>
      </c>
      <c r="DV115" s="526">
        <v>121.09</v>
      </c>
      <c r="DW115" s="526">
        <v>66.52</v>
      </c>
      <c r="DX115" s="526">
        <v>196.79</v>
      </c>
      <c r="DY115" s="522">
        <v>1211</v>
      </c>
      <c r="DZ115" s="526">
        <v>140.08000000000001</v>
      </c>
      <c r="EA115" s="526">
        <v>2</v>
      </c>
      <c r="EB115" s="526">
        <v>154.94</v>
      </c>
      <c r="EC115" s="522">
        <v>4</v>
      </c>
      <c r="ED115" s="526">
        <v>176.49</v>
      </c>
      <c r="EE115" s="522">
        <v>692</v>
      </c>
      <c r="EF115" s="526">
        <v>210.76</v>
      </c>
      <c r="EG115" s="522">
        <v>878</v>
      </c>
      <c r="EH115" s="526">
        <v>234.52</v>
      </c>
      <c r="EI115" s="522">
        <v>247</v>
      </c>
      <c r="EJ115" s="526">
        <v>239.18</v>
      </c>
      <c r="EK115" s="522">
        <v>41</v>
      </c>
      <c r="EL115" s="526">
        <v>0</v>
      </c>
      <c r="EM115" s="522">
        <v>0</v>
      </c>
      <c r="EN115" s="526">
        <v>0</v>
      </c>
      <c r="EO115" s="522">
        <v>0</v>
      </c>
      <c r="EP115" s="526">
        <v>201.68</v>
      </c>
      <c r="EQ115" s="522">
        <v>1862</v>
      </c>
      <c r="ER115" s="526">
        <v>201.61</v>
      </c>
      <c r="ES115" s="522">
        <v>1864</v>
      </c>
      <c r="ET115" s="526">
        <v>0</v>
      </c>
      <c r="EU115" s="526">
        <v>0</v>
      </c>
      <c r="EV115" s="526">
        <v>0</v>
      </c>
      <c r="EW115" s="522">
        <v>0</v>
      </c>
      <c r="EX115" s="526">
        <v>0</v>
      </c>
      <c r="EY115" s="522">
        <v>0</v>
      </c>
      <c r="EZ115" s="526">
        <v>0</v>
      </c>
      <c r="FA115" s="522">
        <v>0</v>
      </c>
      <c r="FB115" s="526">
        <v>0</v>
      </c>
      <c r="FC115" s="522">
        <v>0</v>
      </c>
      <c r="FD115" s="526">
        <v>0</v>
      </c>
      <c r="FE115" s="522">
        <v>0</v>
      </c>
      <c r="FF115" s="526">
        <v>0</v>
      </c>
      <c r="FG115" s="522">
        <v>0</v>
      </c>
      <c r="FH115" s="526">
        <v>0</v>
      </c>
      <c r="FI115" s="522">
        <v>0</v>
      </c>
      <c r="FJ115" s="522">
        <v>1</v>
      </c>
      <c r="FK115" s="522">
        <v>5</v>
      </c>
      <c r="FL115" s="522">
        <v>0</v>
      </c>
      <c r="FM115" s="522">
        <v>0</v>
      </c>
      <c r="FN115" s="522">
        <v>2</v>
      </c>
      <c r="FO115" s="522">
        <v>3</v>
      </c>
      <c r="FP115" s="522">
        <v>34</v>
      </c>
      <c r="FQ115" s="522">
        <v>93</v>
      </c>
      <c r="FR115" s="522">
        <v>71</v>
      </c>
    </row>
    <row r="116" spans="1:174" x14ac:dyDescent="0.25">
      <c r="A116" s="523" t="s">
        <v>489</v>
      </c>
      <c r="B116" s="523" t="s">
        <v>490</v>
      </c>
      <c r="C116" s="523" t="s">
        <v>2</v>
      </c>
      <c r="D116" s="522">
        <v>2110</v>
      </c>
      <c r="E116" s="522">
        <v>2065</v>
      </c>
      <c r="F116" s="522">
        <v>0</v>
      </c>
      <c r="G116" s="522">
        <v>0</v>
      </c>
      <c r="H116" s="522">
        <v>271</v>
      </c>
      <c r="I116" s="522">
        <v>175</v>
      </c>
      <c r="J116" s="522">
        <v>192</v>
      </c>
      <c r="K116" s="522">
        <v>42</v>
      </c>
      <c r="L116" s="522">
        <v>660</v>
      </c>
      <c r="M116" s="522">
        <v>8</v>
      </c>
      <c r="N116" s="522">
        <v>3233</v>
      </c>
      <c r="O116" s="522">
        <v>2290</v>
      </c>
      <c r="P116" s="522">
        <v>2573</v>
      </c>
      <c r="Q116" s="522">
        <v>4</v>
      </c>
      <c r="R116" s="523">
        <v>12</v>
      </c>
      <c r="S116" s="523">
        <v>23</v>
      </c>
      <c r="T116" s="523">
        <v>331</v>
      </c>
      <c r="U116" s="523">
        <v>2902</v>
      </c>
      <c r="V116" s="522">
        <v>2045</v>
      </c>
      <c r="W116" s="522">
        <v>21</v>
      </c>
      <c r="X116" s="522">
        <v>14</v>
      </c>
      <c r="Y116" s="522">
        <v>35</v>
      </c>
      <c r="Z116" s="524">
        <v>141.27000000000001</v>
      </c>
      <c r="AA116" s="524">
        <v>143.38</v>
      </c>
      <c r="AB116" s="524">
        <v>10.92</v>
      </c>
      <c r="AC116" s="524">
        <v>149.37</v>
      </c>
      <c r="AD116" s="524">
        <v>1474</v>
      </c>
      <c r="AE116" s="525">
        <v>112.71</v>
      </c>
      <c r="AF116" s="525">
        <v>99.13</v>
      </c>
      <c r="AG116" s="525">
        <v>150.74</v>
      </c>
      <c r="AH116" s="525">
        <v>258.10000000000002</v>
      </c>
      <c r="AI116" s="525">
        <v>197</v>
      </c>
      <c r="AJ116" s="525">
        <v>202.6</v>
      </c>
      <c r="AK116" s="525">
        <v>562</v>
      </c>
      <c r="AL116" s="525">
        <v>340.88</v>
      </c>
      <c r="AM116" s="525">
        <v>38</v>
      </c>
      <c r="AN116" s="526">
        <v>0</v>
      </c>
      <c r="AO116" s="526">
        <v>0</v>
      </c>
      <c r="AP116" s="526">
        <v>0</v>
      </c>
      <c r="AQ116" s="526">
        <v>0</v>
      </c>
      <c r="AR116" s="522">
        <v>0</v>
      </c>
      <c r="AS116" s="526">
        <v>119.53</v>
      </c>
      <c r="AT116" s="526">
        <v>114.2</v>
      </c>
      <c r="AU116" s="526">
        <v>19.59</v>
      </c>
      <c r="AV116" s="526">
        <v>139.12</v>
      </c>
      <c r="AW116" s="522">
        <v>1</v>
      </c>
      <c r="AX116" s="526">
        <v>117.37</v>
      </c>
      <c r="AY116" s="526">
        <v>117.89</v>
      </c>
      <c r="AZ116" s="526">
        <v>16.850000000000001</v>
      </c>
      <c r="BA116" s="526">
        <v>132.54</v>
      </c>
      <c r="BB116" s="522">
        <v>340</v>
      </c>
      <c r="BC116" s="526">
        <v>140.58000000000001</v>
      </c>
      <c r="BD116" s="526">
        <v>142.29</v>
      </c>
      <c r="BE116" s="526">
        <v>10.220000000000001</v>
      </c>
      <c r="BF116" s="526">
        <v>148.36000000000001</v>
      </c>
      <c r="BG116" s="522">
        <v>618</v>
      </c>
      <c r="BH116" s="526">
        <v>156.07</v>
      </c>
      <c r="BI116" s="526">
        <v>159.32</v>
      </c>
      <c r="BJ116" s="526">
        <v>6.17</v>
      </c>
      <c r="BK116" s="526">
        <v>159.87</v>
      </c>
      <c r="BL116" s="522">
        <v>463</v>
      </c>
      <c r="BM116" s="526">
        <v>174.11</v>
      </c>
      <c r="BN116" s="526">
        <v>179.36</v>
      </c>
      <c r="BO116" s="526">
        <v>5.98</v>
      </c>
      <c r="BP116" s="526">
        <v>177.51</v>
      </c>
      <c r="BQ116" s="522">
        <v>51</v>
      </c>
      <c r="BR116" s="526">
        <v>193.91</v>
      </c>
      <c r="BS116" s="526">
        <v>214.66</v>
      </c>
      <c r="BT116" s="526">
        <v>14.96</v>
      </c>
      <c r="BU116" s="526">
        <v>208.87</v>
      </c>
      <c r="BV116" s="522">
        <v>1</v>
      </c>
      <c r="BW116" s="526">
        <v>0</v>
      </c>
      <c r="BX116" s="526">
        <v>0</v>
      </c>
      <c r="BY116" s="526">
        <v>0</v>
      </c>
      <c r="BZ116" s="526">
        <v>0</v>
      </c>
      <c r="CA116" s="522">
        <v>0</v>
      </c>
      <c r="CB116" s="526">
        <v>141.27000000000001</v>
      </c>
      <c r="CC116" s="526">
        <v>143.38</v>
      </c>
      <c r="CD116" s="526">
        <v>10.92</v>
      </c>
      <c r="CE116" s="526">
        <v>149.37</v>
      </c>
      <c r="CF116" s="522">
        <v>1474</v>
      </c>
      <c r="CG116" s="526">
        <v>141.27000000000001</v>
      </c>
      <c r="CH116" s="526">
        <v>143.38</v>
      </c>
      <c r="CI116" s="526">
        <v>10.92</v>
      </c>
      <c r="CJ116" s="526">
        <v>149.37</v>
      </c>
      <c r="CK116" s="522">
        <v>1474</v>
      </c>
      <c r="CL116" s="526">
        <v>107.24</v>
      </c>
      <c r="CM116" s="526">
        <v>89.32</v>
      </c>
      <c r="CN116" s="526">
        <v>187.84</v>
      </c>
      <c r="CO116" s="526">
        <v>295.08</v>
      </c>
      <c r="CP116" s="522">
        <v>127</v>
      </c>
      <c r="CQ116" s="526">
        <v>109.34</v>
      </c>
      <c r="CR116" s="526">
        <v>99.39</v>
      </c>
      <c r="CS116" s="526">
        <v>0</v>
      </c>
      <c r="CT116" s="526">
        <v>109.34</v>
      </c>
      <c r="CU116" s="522">
        <v>7</v>
      </c>
      <c r="CV116" s="526">
        <v>121.98</v>
      </c>
      <c r="CW116" s="526">
        <v>115.86</v>
      </c>
      <c r="CX116" s="526">
        <v>73.37</v>
      </c>
      <c r="CY116" s="526">
        <v>195.35</v>
      </c>
      <c r="CZ116" s="522">
        <v>59</v>
      </c>
      <c r="DA116" s="526">
        <v>155.74</v>
      </c>
      <c r="DB116" s="526">
        <v>145.87</v>
      </c>
      <c r="DC116" s="526">
        <v>114.12</v>
      </c>
      <c r="DD116" s="526">
        <v>269.87</v>
      </c>
      <c r="DE116" s="522">
        <v>4</v>
      </c>
      <c r="DF116" s="526">
        <v>0</v>
      </c>
      <c r="DG116" s="526">
        <v>0</v>
      </c>
      <c r="DH116" s="526">
        <v>0</v>
      </c>
      <c r="DI116" s="526">
        <v>0</v>
      </c>
      <c r="DJ116" s="522">
        <v>0</v>
      </c>
      <c r="DK116" s="526">
        <v>0</v>
      </c>
      <c r="DL116" s="526">
        <v>0</v>
      </c>
      <c r="DM116" s="526">
        <v>0</v>
      </c>
      <c r="DN116" s="526">
        <v>0</v>
      </c>
      <c r="DO116" s="522">
        <v>0</v>
      </c>
      <c r="DP116" s="526">
        <v>122.65</v>
      </c>
      <c r="DQ116" s="526">
        <v>115.47</v>
      </c>
      <c r="DR116" s="526">
        <v>75.959999999999994</v>
      </c>
      <c r="DS116" s="526">
        <v>191.01</v>
      </c>
      <c r="DT116" s="522">
        <v>70</v>
      </c>
      <c r="DU116" s="526">
        <v>112.71</v>
      </c>
      <c r="DV116" s="526">
        <v>99.13</v>
      </c>
      <c r="DW116" s="526">
        <v>150.74</v>
      </c>
      <c r="DX116" s="526">
        <v>258.10000000000002</v>
      </c>
      <c r="DY116" s="522">
        <v>197</v>
      </c>
      <c r="DZ116" s="526">
        <v>0</v>
      </c>
      <c r="EA116" s="526">
        <v>0</v>
      </c>
      <c r="EB116" s="526">
        <v>0</v>
      </c>
      <c r="EC116" s="522">
        <v>0</v>
      </c>
      <c r="ED116" s="526">
        <v>169.72</v>
      </c>
      <c r="EE116" s="522">
        <v>196</v>
      </c>
      <c r="EF116" s="526">
        <v>209.17</v>
      </c>
      <c r="EG116" s="522">
        <v>274</v>
      </c>
      <c r="EH116" s="526">
        <v>249.83</v>
      </c>
      <c r="EI116" s="522">
        <v>89</v>
      </c>
      <c r="EJ116" s="526">
        <v>350.18</v>
      </c>
      <c r="EK116" s="522">
        <v>3</v>
      </c>
      <c r="EL116" s="526">
        <v>0</v>
      </c>
      <c r="EM116" s="522">
        <v>0</v>
      </c>
      <c r="EN116" s="526">
        <v>0</v>
      </c>
      <c r="EO116" s="522">
        <v>0</v>
      </c>
      <c r="EP116" s="526">
        <v>202.6</v>
      </c>
      <c r="EQ116" s="522">
        <v>562</v>
      </c>
      <c r="ER116" s="526">
        <v>202.6</v>
      </c>
      <c r="ES116" s="522">
        <v>562</v>
      </c>
      <c r="ET116" s="526">
        <v>369.01</v>
      </c>
      <c r="EU116" s="526">
        <v>11</v>
      </c>
      <c r="EV116" s="526">
        <v>365.07</v>
      </c>
      <c r="EW116" s="522">
        <v>22</v>
      </c>
      <c r="EX116" s="526">
        <v>172.53</v>
      </c>
      <c r="EY116" s="522">
        <v>5</v>
      </c>
      <c r="EZ116" s="526">
        <v>0</v>
      </c>
      <c r="FA116" s="522">
        <v>0</v>
      </c>
      <c r="FB116" s="526">
        <v>0</v>
      </c>
      <c r="FC116" s="522">
        <v>0</v>
      </c>
      <c r="FD116" s="526">
        <v>0</v>
      </c>
      <c r="FE116" s="522">
        <v>0</v>
      </c>
      <c r="FF116" s="526">
        <v>329.41</v>
      </c>
      <c r="FG116" s="522">
        <v>27</v>
      </c>
      <c r="FH116" s="526">
        <v>340.88</v>
      </c>
      <c r="FI116" s="522">
        <v>38</v>
      </c>
      <c r="FJ116" s="522">
        <v>0</v>
      </c>
      <c r="FK116" s="522">
        <v>0</v>
      </c>
      <c r="FL116" s="522">
        <v>0</v>
      </c>
      <c r="FM116" s="522">
        <v>0</v>
      </c>
      <c r="FN116" s="522">
        <v>0</v>
      </c>
      <c r="FO116" s="522">
        <v>0</v>
      </c>
      <c r="FP116" s="522">
        <v>1</v>
      </c>
      <c r="FQ116" s="522">
        <v>70</v>
      </c>
      <c r="FR116" s="522">
        <v>12</v>
      </c>
    </row>
    <row r="117" spans="1:174" x14ac:dyDescent="0.25">
      <c r="A117" s="523" t="s">
        <v>491</v>
      </c>
      <c r="B117" s="523" t="s">
        <v>492</v>
      </c>
      <c r="C117" s="523" t="s">
        <v>284</v>
      </c>
      <c r="D117" s="522">
        <v>20132</v>
      </c>
      <c r="E117" s="522">
        <v>19385</v>
      </c>
      <c r="F117" s="522">
        <v>616</v>
      </c>
      <c r="G117" s="522">
        <v>411</v>
      </c>
      <c r="H117" s="522">
        <v>1498</v>
      </c>
      <c r="I117" s="522">
        <v>909</v>
      </c>
      <c r="J117" s="522">
        <v>1801</v>
      </c>
      <c r="K117" s="522">
        <v>1543</v>
      </c>
      <c r="L117" s="522">
        <v>2404</v>
      </c>
      <c r="M117" s="522">
        <v>139</v>
      </c>
      <c r="N117" s="522">
        <v>26451</v>
      </c>
      <c r="O117" s="522">
        <v>22387</v>
      </c>
      <c r="P117" s="522">
        <v>24047</v>
      </c>
      <c r="Q117" s="522">
        <v>176</v>
      </c>
      <c r="R117" s="523">
        <v>27</v>
      </c>
      <c r="S117" s="523">
        <v>30</v>
      </c>
      <c r="T117" s="523">
        <v>1685</v>
      </c>
      <c r="U117" s="523">
        <v>24766</v>
      </c>
      <c r="V117" s="522">
        <v>18928</v>
      </c>
      <c r="W117" s="522">
        <v>96</v>
      </c>
      <c r="X117" s="522">
        <v>146</v>
      </c>
      <c r="Y117" s="522">
        <v>242</v>
      </c>
      <c r="Z117" s="524">
        <v>137.22999999999999</v>
      </c>
      <c r="AA117" s="524">
        <v>149.22</v>
      </c>
      <c r="AB117" s="524">
        <v>17.09</v>
      </c>
      <c r="AC117" s="524">
        <v>151.29</v>
      </c>
      <c r="AD117" s="524">
        <v>17316</v>
      </c>
      <c r="AE117" s="525">
        <v>128.63</v>
      </c>
      <c r="AF117" s="525">
        <v>125.69</v>
      </c>
      <c r="AG117" s="525">
        <v>73.41</v>
      </c>
      <c r="AH117" s="525">
        <v>196.82</v>
      </c>
      <c r="AI117" s="525">
        <v>2855</v>
      </c>
      <c r="AJ117" s="525">
        <v>240.4</v>
      </c>
      <c r="AK117" s="525">
        <v>1095</v>
      </c>
      <c r="AL117" s="525">
        <v>297.7</v>
      </c>
      <c r="AM117" s="525">
        <v>53</v>
      </c>
      <c r="AN117" s="526">
        <v>112.4</v>
      </c>
      <c r="AO117" s="526">
        <v>119.4</v>
      </c>
      <c r="AP117" s="526">
        <v>24.89</v>
      </c>
      <c r="AQ117" s="526">
        <v>136.1</v>
      </c>
      <c r="AR117" s="522">
        <v>63</v>
      </c>
      <c r="AS117" s="526">
        <v>96.22</v>
      </c>
      <c r="AT117" s="526">
        <v>101.08</v>
      </c>
      <c r="AU117" s="526">
        <v>15.98</v>
      </c>
      <c r="AV117" s="526">
        <v>110.86</v>
      </c>
      <c r="AW117" s="522">
        <v>180</v>
      </c>
      <c r="AX117" s="526">
        <v>118.12</v>
      </c>
      <c r="AY117" s="526">
        <v>124.6</v>
      </c>
      <c r="AZ117" s="526">
        <v>16.28</v>
      </c>
      <c r="BA117" s="526">
        <v>132</v>
      </c>
      <c r="BB117" s="522">
        <v>4421</v>
      </c>
      <c r="BC117" s="526">
        <v>132.4</v>
      </c>
      <c r="BD117" s="526">
        <v>142.57</v>
      </c>
      <c r="BE117" s="526">
        <v>16.989999999999998</v>
      </c>
      <c r="BF117" s="526">
        <v>147.30000000000001</v>
      </c>
      <c r="BG117" s="522">
        <v>6052</v>
      </c>
      <c r="BH117" s="526">
        <v>150.49</v>
      </c>
      <c r="BI117" s="526">
        <v>167.05</v>
      </c>
      <c r="BJ117" s="526">
        <v>17.28</v>
      </c>
      <c r="BK117" s="526">
        <v>163.80000000000001</v>
      </c>
      <c r="BL117" s="522">
        <v>4775</v>
      </c>
      <c r="BM117" s="526">
        <v>168.32</v>
      </c>
      <c r="BN117" s="526">
        <v>187.68</v>
      </c>
      <c r="BO117" s="526">
        <v>19.100000000000001</v>
      </c>
      <c r="BP117" s="526">
        <v>182.07</v>
      </c>
      <c r="BQ117" s="522">
        <v>1601</v>
      </c>
      <c r="BR117" s="526">
        <v>178.08</v>
      </c>
      <c r="BS117" s="526">
        <v>202.91</v>
      </c>
      <c r="BT117" s="526">
        <v>17.11</v>
      </c>
      <c r="BU117" s="526">
        <v>187.56</v>
      </c>
      <c r="BV117" s="522">
        <v>177</v>
      </c>
      <c r="BW117" s="526">
        <v>186.08</v>
      </c>
      <c r="BX117" s="526">
        <v>215.47</v>
      </c>
      <c r="BY117" s="526">
        <v>28.55</v>
      </c>
      <c r="BZ117" s="526">
        <v>199.44</v>
      </c>
      <c r="CA117" s="522">
        <v>47</v>
      </c>
      <c r="CB117" s="526">
        <v>137.32</v>
      </c>
      <c r="CC117" s="526">
        <v>149.30000000000001</v>
      </c>
      <c r="CD117" s="526">
        <v>17.059999999999999</v>
      </c>
      <c r="CE117" s="526">
        <v>151.35</v>
      </c>
      <c r="CF117" s="522">
        <v>17253</v>
      </c>
      <c r="CG117" s="526">
        <v>137.22999999999999</v>
      </c>
      <c r="CH117" s="526">
        <v>149.22</v>
      </c>
      <c r="CI117" s="526">
        <v>17.09</v>
      </c>
      <c r="CJ117" s="526">
        <v>151.29</v>
      </c>
      <c r="CK117" s="522">
        <v>17316</v>
      </c>
      <c r="CL117" s="526">
        <v>116.65</v>
      </c>
      <c r="CM117" s="526">
        <v>113.8</v>
      </c>
      <c r="CN117" s="526">
        <v>145.81</v>
      </c>
      <c r="CO117" s="526">
        <v>227.38</v>
      </c>
      <c r="CP117" s="522">
        <v>478</v>
      </c>
      <c r="CQ117" s="526">
        <v>124.72</v>
      </c>
      <c r="CR117" s="526">
        <v>115.09</v>
      </c>
      <c r="CS117" s="526">
        <v>138.80000000000001</v>
      </c>
      <c r="CT117" s="526">
        <v>253.36</v>
      </c>
      <c r="CU117" s="522">
        <v>82</v>
      </c>
      <c r="CV117" s="526">
        <v>129.91999999999999</v>
      </c>
      <c r="CW117" s="526">
        <v>126.78</v>
      </c>
      <c r="CX117" s="526">
        <v>59.12</v>
      </c>
      <c r="CY117" s="526">
        <v>186.94</v>
      </c>
      <c r="CZ117" s="522">
        <v>2165</v>
      </c>
      <c r="DA117" s="526">
        <v>151.11000000000001</v>
      </c>
      <c r="DB117" s="526">
        <v>152.13</v>
      </c>
      <c r="DC117" s="526">
        <v>67.849999999999994</v>
      </c>
      <c r="DD117" s="526">
        <v>217.04</v>
      </c>
      <c r="DE117" s="522">
        <v>106</v>
      </c>
      <c r="DF117" s="526">
        <v>161.13</v>
      </c>
      <c r="DG117" s="526">
        <v>157.31</v>
      </c>
      <c r="DH117" s="526">
        <v>36.29</v>
      </c>
      <c r="DI117" s="526">
        <v>195.69</v>
      </c>
      <c r="DJ117" s="522">
        <v>21</v>
      </c>
      <c r="DK117" s="526">
        <v>192.31</v>
      </c>
      <c r="DL117" s="526">
        <v>204.43</v>
      </c>
      <c r="DM117" s="526">
        <v>16.66</v>
      </c>
      <c r="DN117" s="526">
        <v>203.42</v>
      </c>
      <c r="DO117" s="522">
        <v>3</v>
      </c>
      <c r="DP117" s="526">
        <v>131.04</v>
      </c>
      <c r="DQ117" s="526">
        <v>128</v>
      </c>
      <c r="DR117" s="526">
        <v>61.92</v>
      </c>
      <c r="DS117" s="526">
        <v>190.67</v>
      </c>
      <c r="DT117" s="522">
        <v>2377</v>
      </c>
      <c r="DU117" s="526">
        <v>128.63</v>
      </c>
      <c r="DV117" s="526">
        <v>125.69</v>
      </c>
      <c r="DW117" s="526">
        <v>73.41</v>
      </c>
      <c r="DX117" s="526">
        <v>196.82</v>
      </c>
      <c r="DY117" s="522">
        <v>2855</v>
      </c>
      <c r="DZ117" s="526">
        <v>0</v>
      </c>
      <c r="EA117" s="526">
        <v>0</v>
      </c>
      <c r="EB117" s="526">
        <v>136.36000000000001</v>
      </c>
      <c r="EC117" s="522">
        <v>8</v>
      </c>
      <c r="ED117" s="526">
        <v>204.76</v>
      </c>
      <c r="EE117" s="522">
        <v>404</v>
      </c>
      <c r="EF117" s="526">
        <v>240.1</v>
      </c>
      <c r="EG117" s="522">
        <v>396</v>
      </c>
      <c r="EH117" s="526">
        <v>269.56</v>
      </c>
      <c r="EI117" s="522">
        <v>215</v>
      </c>
      <c r="EJ117" s="526">
        <v>362.73</v>
      </c>
      <c r="EK117" s="522">
        <v>68</v>
      </c>
      <c r="EL117" s="526">
        <v>446.14</v>
      </c>
      <c r="EM117" s="522">
        <v>1</v>
      </c>
      <c r="EN117" s="526">
        <v>425.42</v>
      </c>
      <c r="EO117" s="522">
        <v>3</v>
      </c>
      <c r="EP117" s="526">
        <v>240.4</v>
      </c>
      <c r="EQ117" s="522">
        <v>1095</v>
      </c>
      <c r="ER117" s="526">
        <v>240.4</v>
      </c>
      <c r="ES117" s="522">
        <v>1095</v>
      </c>
      <c r="ET117" s="526">
        <v>0</v>
      </c>
      <c r="EU117" s="526">
        <v>0</v>
      </c>
      <c r="EV117" s="526">
        <v>0</v>
      </c>
      <c r="EW117" s="522">
        <v>0</v>
      </c>
      <c r="EX117" s="526">
        <v>286.05</v>
      </c>
      <c r="EY117" s="522">
        <v>28</v>
      </c>
      <c r="EZ117" s="526">
        <v>317.27999999999997</v>
      </c>
      <c r="FA117" s="522">
        <v>23</v>
      </c>
      <c r="FB117" s="526">
        <v>235.68</v>
      </c>
      <c r="FC117" s="522">
        <v>2</v>
      </c>
      <c r="FD117" s="526">
        <v>0</v>
      </c>
      <c r="FE117" s="522">
        <v>0</v>
      </c>
      <c r="FF117" s="526">
        <v>297.7</v>
      </c>
      <c r="FG117" s="522">
        <v>53</v>
      </c>
      <c r="FH117" s="526">
        <v>297.7</v>
      </c>
      <c r="FI117" s="522">
        <v>53</v>
      </c>
      <c r="FJ117" s="522">
        <v>0</v>
      </c>
      <c r="FK117" s="522">
        <v>6</v>
      </c>
      <c r="FL117" s="522">
        <v>3</v>
      </c>
      <c r="FM117" s="522">
        <v>0</v>
      </c>
      <c r="FN117" s="522">
        <v>2</v>
      </c>
      <c r="FO117" s="522">
        <v>1</v>
      </c>
      <c r="FP117" s="522">
        <v>22</v>
      </c>
      <c r="FQ117" s="522">
        <v>15</v>
      </c>
      <c r="FR117" s="522">
        <v>60</v>
      </c>
    </row>
    <row r="118" spans="1:174" x14ac:dyDescent="0.25">
      <c r="A118" s="523" t="s">
        <v>493</v>
      </c>
      <c r="B118" s="523" t="s">
        <v>494</v>
      </c>
      <c r="C118" s="523" t="s">
        <v>286</v>
      </c>
      <c r="D118" s="522">
        <v>13418</v>
      </c>
      <c r="E118" s="522">
        <v>13421</v>
      </c>
      <c r="F118" s="522">
        <v>0</v>
      </c>
      <c r="G118" s="522">
        <v>0</v>
      </c>
      <c r="H118" s="522">
        <v>502</v>
      </c>
      <c r="I118" s="522">
        <v>395</v>
      </c>
      <c r="J118" s="522">
        <v>503</v>
      </c>
      <c r="K118" s="522">
        <v>503</v>
      </c>
      <c r="L118" s="522">
        <v>485</v>
      </c>
      <c r="M118" s="522">
        <v>0</v>
      </c>
      <c r="N118" s="522">
        <v>14908</v>
      </c>
      <c r="O118" s="522">
        <v>14319</v>
      </c>
      <c r="P118" s="522">
        <v>14423</v>
      </c>
      <c r="Q118" s="522">
        <v>23</v>
      </c>
      <c r="R118" s="523">
        <v>3</v>
      </c>
      <c r="S118" s="523">
        <v>19</v>
      </c>
      <c r="T118" s="523">
        <v>73</v>
      </c>
      <c r="U118" s="523">
        <v>14835</v>
      </c>
      <c r="V118" s="522">
        <v>13418</v>
      </c>
      <c r="W118" s="522">
        <v>68</v>
      </c>
      <c r="X118" s="522">
        <v>91</v>
      </c>
      <c r="Y118" s="522">
        <v>159</v>
      </c>
      <c r="Z118" s="524">
        <v>95.05</v>
      </c>
      <c r="AA118" s="524">
        <v>96.43</v>
      </c>
      <c r="AB118" s="524">
        <v>5.69</v>
      </c>
      <c r="AC118" s="524">
        <v>100.57</v>
      </c>
      <c r="AD118" s="524">
        <v>11186</v>
      </c>
      <c r="AE118" s="525">
        <v>104.11</v>
      </c>
      <c r="AF118" s="525">
        <v>88.76</v>
      </c>
      <c r="AG118" s="525">
        <v>47.68</v>
      </c>
      <c r="AH118" s="525">
        <v>150.53</v>
      </c>
      <c r="AI118" s="525">
        <v>798</v>
      </c>
      <c r="AJ118" s="525">
        <v>116.81</v>
      </c>
      <c r="AK118" s="525">
        <v>2209</v>
      </c>
      <c r="AL118" s="525">
        <v>195.04</v>
      </c>
      <c r="AM118" s="525">
        <v>134</v>
      </c>
      <c r="AN118" s="526">
        <v>0</v>
      </c>
      <c r="AO118" s="526">
        <v>0</v>
      </c>
      <c r="AP118" s="526">
        <v>0</v>
      </c>
      <c r="AQ118" s="526">
        <v>0</v>
      </c>
      <c r="AR118" s="522">
        <v>0</v>
      </c>
      <c r="AS118" s="526">
        <v>0</v>
      </c>
      <c r="AT118" s="526">
        <v>0</v>
      </c>
      <c r="AU118" s="526">
        <v>0</v>
      </c>
      <c r="AV118" s="526">
        <v>0</v>
      </c>
      <c r="AW118" s="522">
        <v>0</v>
      </c>
      <c r="AX118" s="526">
        <v>82.87</v>
      </c>
      <c r="AY118" s="526">
        <v>83.39</v>
      </c>
      <c r="AZ118" s="526">
        <v>6.84</v>
      </c>
      <c r="BA118" s="526">
        <v>89.68</v>
      </c>
      <c r="BB118" s="522">
        <v>2615</v>
      </c>
      <c r="BC118" s="526">
        <v>93.03</v>
      </c>
      <c r="BD118" s="526">
        <v>93.87</v>
      </c>
      <c r="BE118" s="526">
        <v>7.26</v>
      </c>
      <c r="BF118" s="526">
        <v>99.95</v>
      </c>
      <c r="BG118" s="522">
        <v>2980</v>
      </c>
      <c r="BH118" s="526">
        <v>101</v>
      </c>
      <c r="BI118" s="526">
        <v>103</v>
      </c>
      <c r="BJ118" s="526">
        <v>4.29</v>
      </c>
      <c r="BK118" s="526">
        <v>105.13</v>
      </c>
      <c r="BL118" s="522">
        <v>4975</v>
      </c>
      <c r="BM118" s="526">
        <v>108.37</v>
      </c>
      <c r="BN118" s="526">
        <v>110.9</v>
      </c>
      <c r="BO118" s="526">
        <v>4.45</v>
      </c>
      <c r="BP118" s="526">
        <v>112.73</v>
      </c>
      <c r="BQ118" s="522">
        <v>592</v>
      </c>
      <c r="BR118" s="526">
        <v>111.95</v>
      </c>
      <c r="BS118" s="526">
        <v>117.04</v>
      </c>
      <c r="BT118" s="526">
        <v>4.63</v>
      </c>
      <c r="BU118" s="526">
        <v>116.57</v>
      </c>
      <c r="BV118" s="522">
        <v>24</v>
      </c>
      <c r="BW118" s="526">
        <v>0</v>
      </c>
      <c r="BX118" s="526">
        <v>0</v>
      </c>
      <c r="BY118" s="526">
        <v>0</v>
      </c>
      <c r="BZ118" s="526">
        <v>0</v>
      </c>
      <c r="CA118" s="522">
        <v>0</v>
      </c>
      <c r="CB118" s="526">
        <v>95.05</v>
      </c>
      <c r="CC118" s="526">
        <v>96.43</v>
      </c>
      <c r="CD118" s="526">
        <v>5.69</v>
      </c>
      <c r="CE118" s="526">
        <v>100.57</v>
      </c>
      <c r="CF118" s="522">
        <v>11186</v>
      </c>
      <c r="CG118" s="526">
        <v>95.05</v>
      </c>
      <c r="CH118" s="526">
        <v>96.43</v>
      </c>
      <c r="CI118" s="526">
        <v>5.69</v>
      </c>
      <c r="CJ118" s="526">
        <v>100.57</v>
      </c>
      <c r="CK118" s="522">
        <v>11186</v>
      </c>
      <c r="CL118" s="526">
        <v>159.79</v>
      </c>
      <c r="CM118" s="526">
        <v>92.54</v>
      </c>
      <c r="CN118" s="526">
        <v>73.23</v>
      </c>
      <c r="CO118" s="526">
        <v>230.52</v>
      </c>
      <c r="CP118" s="522">
        <v>117</v>
      </c>
      <c r="CQ118" s="526">
        <v>96.93</v>
      </c>
      <c r="CR118" s="526">
        <v>89.11</v>
      </c>
      <c r="CS118" s="526">
        <v>47.3</v>
      </c>
      <c r="CT118" s="526">
        <v>114.67</v>
      </c>
      <c r="CU118" s="522">
        <v>8</v>
      </c>
      <c r="CV118" s="526">
        <v>93.09</v>
      </c>
      <c r="CW118" s="526">
        <v>87.17</v>
      </c>
      <c r="CX118" s="526">
        <v>43.24</v>
      </c>
      <c r="CY118" s="526">
        <v>135.83000000000001</v>
      </c>
      <c r="CZ118" s="522">
        <v>608</v>
      </c>
      <c r="DA118" s="526">
        <v>104.71</v>
      </c>
      <c r="DB118" s="526">
        <v>102.91</v>
      </c>
      <c r="DC118" s="526">
        <v>45.11</v>
      </c>
      <c r="DD118" s="526">
        <v>148.16999999999999</v>
      </c>
      <c r="DE118" s="522">
        <v>55</v>
      </c>
      <c r="DF118" s="526">
        <v>125.04</v>
      </c>
      <c r="DG118" s="526">
        <v>111.3</v>
      </c>
      <c r="DH118" s="526">
        <v>36.1</v>
      </c>
      <c r="DI118" s="526">
        <v>150.31</v>
      </c>
      <c r="DJ118" s="522">
        <v>10</v>
      </c>
      <c r="DK118" s="526">
        <v>0</v>
      </c>
      <c r="DL118" s="526">
        <v>0</v>
      </c>
      <c r="DM118" s="526">
        <v>0</v>
      </c>
      <c r="DN118" s="526">
        <v>0</v>
      </c>
      <c r="DO118" s="522">
        <v>0</v>
      </c>
      <c r="DP118" s="526">
        <v>94.54</v>
      </c>
      <c r="DQ118" s="526">
        <v>88.7</v>
      </c>
      <c r="DR118" s="526">
        <v>43.33</v>
      </c>
      <c r="DS118" s="526">
        <v>136.79</v>
      </c>
      <c r="DT118" s="522">
        <v>681</v>
      </c>
      <c r="DU118" s="526">
        <v>104.11</v>
      </c>
      <c r="DV118" s="526">
        <v>88.76</v>
      </c>
      <c r="DW118" s="526">
        <v>47.68</v>
      </c>
      <c r="DX118" s="526">
        <v>150.53</v>
      </c>
      <c r="DY118" s="522">
        <v>798</v>
      </c>
      <c r="DZ118" s="526">
        <v>0</v>
      </c>
      <c r="EA118" s="526">
        <v>0</v>
      </c>
      <c r="EB118" s="526">
        <v>0</v>
      </c>
      <c r="EC118" s="522">
        <v>0</v>
      </c>
      <c r="ED118" s="526">
        <v>100.11</v>
      </c>
      <c r="EE118" s="522">
        <v>306</v>
      </c>
      <c r="EF118" s="526">
        <v>115.46</v>
      </c>
      <c r="EG118" s="522">
        <v>1021</v>
      </c>
      <c r="EH118" s="526">
        <v>123.22</v>
      </c>
      <c r="EI118" s="522">
        <v>818</v>
      </c>
      <c r="EJ118" s="526">
        <v>135.97</v>
      </c>
      <c r="EK118" s="522">
        <v>63</v>
      </c>
      <c r="EL118" s="526">
        <v>142.91999999999999</v>
      </c>
      <c r="EM118" s="522">
        <v>1</v>
      </c>
      <c r="EN118" s="526">
        <v>0</v>
      </c>
      <c r="EO118" s="522">
        <v>0</v>
      </c>
      <c r="EP118" s="526">
        <v>116.81</v>
      </c>
      <c r="EQ118" s="522">
        <v>2209</v>
      </c>
      <c r="ER118" s="526">
        <v>116.81</v>
      </c>
      <c r="ES118" s="522">
        <v>2209</v>
      </c>
      <c r="ET118" s="526">
        <v>0</v>
      </c>
      <c r="EU118" s="526">
        <v>0</v>
      </c>
      <c r="EV118" s="526">
        <v>157.32</v>
      </c>
      <c r="EW118" s="522">
        <v>39</v>
      </c>
      <c r="EX118" s="526">
        <v>222.57</v>
      </c>
      <c r="EY118" s="522">
        <v>7</v>
      </c>
      <c r="EZ118" s="526">
        <v>209.57</v>
      </c>
      <c r="FA118" s="522">
        <v>88</v>
      </c>
      <c r="FB118" s="526">
        <v>0</v>
      </c>
      <c r="FC118" s="522">
        <v>0</v>
      </c>
      <c r="FD118" s="526">
        <v>0</v>
      </c>
      <c r="FE118" s="522">
        <v>0</v>
      </c>
      <c r="FF118" s="526">
        <v>195.04</v>
      </c>
      <c r="FG118" s="522">
        <v>134</v>
      </c>
      <c r="FH118" s="526">
        <v>195.04</v>
      </c>
      <c r="FI118" s="522">
        <v>134</v>
      </c>
      <c r="FJ118" s="522">
        <v>0</v>
      </c>
      <c r="FK118" s="522">
        <v>28</v>
      </c>
      <c r="FL118" s="522">
        <v>25</v>
      </c>
      <c r="FM118" s="522">
        <v>0</v>
      </c>
      <c r="FN118" s="522">
        <v>3</v>
      </c>
      <c r="FO118" s="522">
        <v>0</v>
      </c>
      <c r="FP118" s="522">
        <v>5</v>
      </c>
      <c r="FQ118" s="522">
        <v>53</v>
      </c>
      <c r="FR118" s="522">
        <v>11</v>
      </c>
    </row>
    <row r="119" spans="1:174" x14ac:dyDescent="0.25">
      <c r="A119" s="523" t="s">
        <v>495</v>
      </c>
      <c r="B119" s="523" t="s">
        <v>496</v>
      </c>
      <c r="C119" s="523" t="s">
        <v>284</v>
      </c>
      <c r="D119" s="522">
        <v>12178</v>
      </c>
      <c r="E119" s="522">
        <v>11754</v>
      </c>
      <c r="F119" s="522">
        <v>97</v>
      </c>
      <c r="G119" s="522">
        <v>72</v>
      </c>
      <c r="H119" s="522">
        <v>1091</v>
      </c>
      <c r="I119" s="522">
        <v>595</v>
      </c>
      <c r="J119" s="522">
        <v>565</v>
      </c>
      <c r="K119" s="522">
        <v>433</v>
      </c>
      <c r="L119" s="522">
        <v>1106</v>
      </c>
      <c r="M119" s="522">
        <v>87</v>
      </c>
      <c r="N119" s="522">
        <v>15037</v>
      </c>
      <c r="O119" s="522">
        <v>12941</v>
      </c>
      <c r="P119" s="522">
        <v>13931</v>
      </c>
      <c r="Q119" s="522">
        <v>160</v>
      </c>
      <c r="R119" s="523">
        <v>15</v>
      </c>
      <c r="S119" s="523">
        <v>28</v>
      </c>
      <c r="T119" s="523">
        <v>805</v>
      </c>
      <c r="U119" s="523">
        <v>14232</v>
      </c>
      <c r="V119" s="522">
        <v>11765</v>
      </c>
      <c r="W119" s="522">
        <v>210</v>
      </c>
      <c r="X119" s="522">
        <v>143</v>
      </c>
      <c r="Y119" s="522">
        <v>353</v>
      </c>
      <c r="Z119" s="524">
        <v>148.78</v>
      </c>
      <c r="AA119" s="524">
        <v>167.73</v>
      </c>
      <c r="AB119" s="524">
        <v>16.829999999999998</v>
      </c>
      <c r="AC119" s="524">
        <v>158.15</v>
      </c>
      <c r="AD119" s="524">
        <v>9126</v>
      </c>
      <c r="AE119" s="525">
        <v>144.97</v>
      </c>
      <c r="AF119" s="525">
        <v>140.13</v>
      </c>
      <c r="AG119" s="525">
        <v>70.989999999999995</v>
      </c>
      <c r="AH119" s="525">
        <v>209.81</v>
      </c>
      <c r="AI119" s="525">
        <v>1200</v>
      </c>
      <c r="AJ119" s="525">
        <v>233.9</v>
      </c>
      <c r="AK119" s="525">
        <v>1363</v>
      </c>
      <c r="AL119" s="525">
        <v>235.68</v>
      </c>
      <c r="AM119" s="525">
        <v>89</v>
      </c>
      <c r="AN119" s="526">
        <v>120.93</v>
      </c>
      <c r="AO119" s="526">
        <v>119.64</v>
      </c>
      <c r="AP119" s="526">
        <v>18.239999999999998</v>
      </c>
      <c r="AQ119" s="526">
        <v>139.16999999999999</v>
      </c>
      <c r="AR119" s="522">
        <v>7</v>
      </c>
      <c r="AS119" s="526">
        <v>116.53</v>
      </c>
      <c r="AT119" s="526">
        <v>123.87</v>
      </c>
      <c r="AU119" s="526">
        <v>14.32</v>
      </c>
      <c r="AV119" s="526">
        <v>124.28</v>
      </c>
      <c r="AW119" s="522">
        <v>133</v>
      </c>
      <c r="AX119" s="526">
        <v>135.59</v>
      </c>
      <c r="AY119" s="526">
        <v>147.94999999999999</v>
      </c>
      <c r="AZ119" s="526">
        <v>14.59</v>
      </c>
      <c r="BA119" s="526">
        <v>141.84</v>
      </c>
      <c r="BB119" s="522">
        <v>3143</v>
      </c>
      <c r="BC119" s="526">
        <v>150.24</v>
      </c>
      <c r="BD119" s="526">
        <v>170.13</v>
      </c>
      <c r="BE119" s="526">
        <v>17.309999999999999</v>
      </c>
      <c r="BF119" s="526">
        <v>161.53</v>
      </c>
      <c r="BG119" s="522">
        <v>3211</v>
      </c>
      <c r="BH119" s="526">
        <v>162.41</v>
      </c>
      <c r="BI119" s="526">
        <v>188.37</v>
      </c>
      <c r="BJ119" s="526">
        <v>18.27</v>
      </c>
      <c r="BK119" s="526">
        <v>173.46</v>
      </c>
      <c r="BL119" s="522">
        <v>2161</v>
      </c>
      <c r="BM119" s="526">
        <v>175.63</v>
      </c>
      <c r="BN119" s="526">
        <v>202.6</v>
      </c>
      <c r="BO119" s="526">
        <v>18.670000000000002</v>
      </c>
      <c r="BP119" s="526">
        <v>185.94</v>
      </c>
      <c r="BQ119" s="522">
        <v>424</v>
      </c>
      <c r="BR119" s="526">
        <v>151.35</v>
      </c>
      <c r="BS119" s="526">
        <v>190.18</v>
      </c>
      <c r="BT119" s="526">
        <v>7.95</v>
      </c>
      <c r="BU119" s="526">
        <v>155.22999999999999</v>
      </c>
      <c r="BV119" s="522">
        <v>41</v>
      </c>
      <c r="BW119" s="526">
        <v>197.11</v>
      </c>
      <c r="BX119" s="526">
        <v>222.73</v>
      </c>
      <c r="BY119" s="526">
        <v>26.03</v>
      </c>
      <c r="BZ119" s="526">
        <v>210.12</v>
      </c>
      <c r="CA119" s="522">
        <v>6</v>
      </c>
      <c r="CB119" s="526">
        <v>148.80000000000001</v>
      </c>
      <c r="CC119" s="526">
        <v>167.77</v>
      </c>
      <c r="CD119" s="526">
        <v>16.829999999999998</v>
      </c>
      <c r="CE119" s="526">
        <v>158.16999999999999</v>
      </c>
      <c r="CF119" s="522">
        <v>9119</v>
      </c>
      <c r="CG119" s="526">
        <v>148.78</v>
      </c>
      <c r="CH119" s="526">
        <v>167.73</v>
      </c>
      <c r="CI119" s="526">
        <v>16.829999999999998</v>
      </c>
      <c r="CJ119" s="526">
        <v>158.15</v>
      </c>
      <c r="CK119" s="522">
        <v>9126</v>
      </c>
      <c r="CL119" s="526">
        <v>135.36000000000001</v>
      </c>
      <c r="CM119" s="526">
        <v>127.56</v>
      </c>
      <c r="CN119" s="526">
        <v>108.75</v>
      </c>
      <c r="CO119" s="526">
        <v>227.56</v>
      </c>
      <c r="CP119" s="522">
        <v>276</v>
      </c>
      <c r="CQ119" s="526">
        <v>138.31</v>
      </c>
      <c r="CR119" s="526">
        <v>129.33000000000001</v>
      </c>
      <c r="CS119" s="526">
        <v>48.83</v>
      </c>
      <c r="CT119" s="526">
        <v>176.26</v>
      </c>
      <c r="CU119" s="522">
        <v>148</v>
      </c>
      <c r="CV119" s="526">
        <v>149.11000000000001</v>
      </c>
      <c r="CW119" s="526">
        <v>145.63999999999999</v>
      </c>
      <c r="CX119" s="526">
        <v>62.41</v>
      </c>
      <c r="CY119" s="526">
        <v>209.24</v>
      </c>
      <c r="CZ119" s="522">
        <v>737</v>
      </c>
      <c r="DA119" s="526">
        <v>159.9</v>
      </c>
      <c r="DB119" s="526">
        <v>162.16</v>
      </c>
      <c r="DC119" s="526">
        <v>70.05</v>
      </c>
      <c r="DD119" s="526">
        <v>229.94</v>
      </c>
      <c r="DE119" s="522">
        <v>32</v>
      </c>
      <c r="DF119" s="526">
        <v>159.74</v>
      </c>
      <c r="DG119" s="526">
        <v>182.85</v>
      </c>
      <c r="DH119" s="526">
        <v>38.69</v>
      </c>
      <c r="DI119" s="526">
        <v>187.38</v>
      </c>
      <c r="DJ119" s="522">
        <v>7</v>
      </c>
      <c r="DK119" s="526">
        <v>0</v>
      </c>
      <c r="DL119" s="526">
        <v>0</v>
      </c>
      <c r="DM119" s="526">
        <v>0</v>
      </c>
      <c r="DN119" s="526">
        <v>0</v>
      </c>
      <c r="DO119" s="522">
        <v>0</v>
      </c>
      <c r="DP119" s="526">
        <v>147.84</v>
      </c>
      <c r="DQ119" s="526">
        <v>143.88</v>
      </c>
      <c r="DR119" s="526">
        <v>60.75</v>
      </c>
      <c r="DS119" s="526">
        <v>204.51</v>
      </c>
      <c r="DT119" s="522">
        <v>924</v>
      </c>
      <c r="DU119" s="526">
        <v>144.97</v>
      </c>
      <c r="DV119" s="526">
        <v>140.13</v>
      </c>
      <c r="DW119" s="526">
        <v>70.989999999999995</v>
      </c>
      <c r="DX119" s="526">
        <v>209.81</v>
      </c>
      <c r="DY119" s="522">
        <v>1200</v>
      </c>
      <c r="DZ119" s="526">
        <v>0</v>
      </c>
      <c r="EA119" s="526">
        <v>0</v>
      </c>
      <c r="EB119" s="526">
        <v>199.16</v>
      </c>
      <c r="EC119" s="522">
        <v>34</v>
      </c>
      <c r="ED119" s="526">
        <v>221.49</v>
      </c>
      <c r="EE119" s="522">
        <v>755</v>
      </c>
      <c r="EF119" s="526">
        <v>249.56</v>
      </c>
      <c r="EG119" s="522">
        <v>477</v>
      </c>
      <c r="EH119" s="526">
        <v>262.45</v>
      </c>
      <c r="EI119" s="522">
        <v>80</v>
      </c>
      <c r="EJ119" s="526">
        <v>280.61</v>
      </c>
      <c r="EK119" s="522">
        <v>17</v>
      </c>
      <c r="EL119" s="526">
        <v>0</v>
      </c>
      <c r="EM119" s="522">
        <v>0</v>
      </c>
      <c r="EN119" s="526">
        <v>0</v>
      </c>
      <c r="EO119" s="522">
        <v>0</v>
      </c>
      <c r="EP119" s="526">
        <v>233.9</v>
      </c>
      <c r="EQ119" s="522">
        <v>1363</v>
      </c>
      <c r="ER119" s="526">
        <v>233.9</v>
      </c>
      <c r="ES119" s="522">
        <v>1363</v>
      </c>
      <c r="ET119" s="526">
        <v>0</v>
      </c>
      <c r="EU119" s="526">
        <v>0</v>
      </c>
      <c r="EV119" s="526">
        <v>0</v>
      </c>
      <c r="EW119" s="522">
        <v>0</v>
      </c>
      <c r="EX119" s="526">
        <v>235.2</v>
      </c>
      <c r="EY119" s="522">
        <v>87</v>
      </c>
      <c r="EZ119" s="526">
        <v>251.3</v>
      </c>
      <c r="FA119" s="522">
        <v>1</v>
      </c>
      <c r="FB119" s="526">
        <v>262.14999999999998</v>
      </c>
      <c r="FC119" s="522">
        <v>1</v>
      </c>
      <c r="FD119" s="526">
        <v>0</v>
      </c>
      <c r="FE119" s="522">
        <v>0</v>
      </c>
      <c r="FF119" s="526">
        <v>235.68</v>
      </c>
      <c r="FG119" s="522">
        <v>89</v>
      </c>
      <c r="FH119" s="526">
        <v>235.68</v>
      </c>
      <c r="FI119" s="522">
        <v>89</v>
      </c>
      <c r="FJ119" s="522">
        <v>236</v>
      </c>
      <c r="FK119" s="522">
        <v>0</v>
      </c>
      <c r="FL119" s="522">
        <v>0</v>
      </c>
      <c r="FM119" s="522">
        <v>0</v>
      </c>
      <c r="FN119" s="522">
        <v>0</v>
      </c>
      <c r="FO119" s="522">
        <v>0</v>
      </c>
      <c r="FP119" s="522">
        <v>28</v>
      </c>
      <c r="FQ119" s="522">
        <v>20</v>
      </c>
      <c r="FR119" s="522">
        <v>18</v>
      </c>
    </row>
    <row r="120" spans="1:174" x14ac:dyDescent="0.25">
      <c r="A120" s="523" t="s">
        <v>497</v>
      </c>
      <c r="B120" s="523" t="s">
        <v>498</v>
      </c>
      <c r="C120" s="523" t="s">
        <v>282</v>
      </c>
      <c r="D120" s="522">
        <v>3505</v>
      </c>
      <c r="E120" s="522">
        <v>3485</v>
      </c>
      <c r="F120" s="522">
        <v>0</v>
      </c>
      <c r="G120" s="522">
        <v>0</v>
      </c>
      <c r="H120" s="522">
        <v>108</v>
      </c>
      <c r="I120" s="522">
        <v>99</v>
      </c>
      <c r="J120" s="522">
        <v>284</v>
      </c>
      <c r="K120" s="522">
        <v>284</v>
      </c>
      <c r="L120" s="522">
        <v>1047</v>
      </c>
      <c r="M120" s="522">
        <v>8</v>
      </c>
      <c r="N120" s="522">
        <v>4944</v>
      </c>
      <c r="O120" s="522">
        <v>3876</v>
      </c>
      <c r="P120" s="522">
        <v>3897</v>
      </c>
      <c r="Q120" s="522">
        <v>3</v>
      </c>
      <c r="R120" s="523">
        <v>2</v>
      </c>
      <c r="S120" s="523">
        <v>21</v>
      </c>
      <c r="T120" s="523">
        <v>15</v>
      </c>
      <c r="U120" s="523">
        <v>4929</v>
      </c>
      <c r="V120" s="522">
        <v>3505</v>
      </c>
      <c r="W120" s="522">
        <v>32</v>
      </c>
      <c r="X120" s="522">
        <v>6</v>
      </c>
      <c r="Y120" s="522">
        <v>38</v>
      </c>
      <c r="Z120" s="524">
        <v>103.08</v>
      </c>
      <c r="AA120" s="524">
        <v>106.53</v>
      </c>
      <c r="AB120" s="524">
        <v>5.24</v>
      </c>
      <c r="AC120" s="524">
        <v>106.51</v>
      </c>
      <c r="AD120" s="524">
        <v>2418</v>
      </c>
      <c r="AE120" s="525">
        <v>92.28</v>
      </c>
      <c r="AF120" s="525">
        <v>88.54</v>
      </c>
      <c r="AG120" s="525">
        <v>59.81</v>
      </c>
      <c r="AH120" s="525">
        <v>150.1</v>
      </c>
      <c r="AI120" s="525">
        <v>360</v>
      </c>
      <c r="AJ120" s="525">
        <v>135</v>
      </c>
      <c r="AK120" s="525">
        <v>986</v>
      </c>
      <c r="AL120" s="525">
        <v>144.35</v>
      </c>
      <c r="AM120" s="525">
        <v>17</v>
      </c>
      <c r="AN120" s="526">
        <v>0</v>
      </c>
      <c r="AO120" s="526">
        <v>0</v>
      </c>
      <c r="AP120" s="526">
        <v>0</v>
      </c>
      <c r="AQ120" s="526">
        <v>0</v>
      </c>
      <c r="AR120" s="522">
        <v>0</v>
      </c>
      <c r="AS120" s="526">
        <v>79.260000000000005</v>
      </c>
      <c r="AT120" s="526">
        <v>83.95</v>
      </c>
      <c r="AU120" s="526">
        <v>5.97</v>
      </c>
      <c r="AV120" s="526">
        <v>83.74</v>
      </c>
      <c r="AW120" s="522">
        <v>12</v>
      </c>
      <c r="AX120" s="526">
        <v>89.47</v>
      </c>
      <c r="AY120" s="526">
        <v>91.72</v>
      </c>
      <c r="AZ120" s="526">
        <v>7.62</v>
      </c>
      <c r="BA120" s="526">
        <v>96.55</v>
      </c>
      <c r="BB120" s="522">
        <v>540</v>
      </c>
      <c r="BC120" s="526">
        <v>103.32</v>
      </c>
      <c r="BD120" s="526">
        <v>106.65</v>
      </c>
      <c r="BE120" s="526">
        <v>4.91</v>
      </c>
      <c r="BF120" s="526">
        <v>107.01</v>
      </c>
      <c r="BG120" s="522">
        <v>1069</v>
      </c>
      <c r="BH120" s="526">
        <v>111.64</v>
      </c>
      <c r="BI120" s="526">
        <v>115.99</v>
      </c>
      <c r="BJ120" s="526">
        <v>1.79</v>
      </c>
      <c r="BK120" s="526">
        <v>112.24</v>
      </c>
      <c r="BL120" s="522">
        <v>765</v>
      </c>
      <c r="BM120" s="526">
        <v>128.44999999999999</v>
      </c>
      <c r="BN120" s="526">
        <v>133.66</v>
      </c>
      <c r="BO120" s="526">
        <v>1.29</v>
      </c>
      <c r="BP120" s="526">
        <v>129</v>
      </c>
      <c r="BQ120" s="522">
        <v>31</v>
      </c>
      <c r="BR120" s="526">
        <v>157.01</v>
      </c>
      <c r="BS120" s="526">
        <v>163.02000000000001</v>
      </c>
      <c r="BT120" s="526">
        <v>0</v>
      </c>
      <c r="BU120" s="526">
        <v>157.01</v>
      </c>
      <c r="BV120" s="522">
        <v>1</v>
      </c>
      <c r="BW120" s="526">
        <v>0</v>
      </c>
      <c r="BX120" s="526">
        <v>0</v>
      </c>
      <c r="BY120" s="526">
        <v>0</v>
      </c>
      <c r="BZ120" s="526">
        <v>0</v>
      </c>
      <c r="CA120" s="522">
        <v>0</v>
      </c>
      <c r="CB120" s="526">
        <v>103.08</v>
      </c>
      <c r="CC120" s="526">
        <v>106.53</v>
      </c>
      <c r="CD120" s="526">
        <v>5.24</v>
      </c>
      <c r="CE120" s="526">
        <v>106.51</v>
      </c>
      <c r="CF120" s="522">
        <v>2418</v>
      </c>
      <c r="CG120" s="526">
        <v>103.08</v>
      </c>
      <c r="CH120" s="526">
        <v>106.53</v>
      </c>
      <c r="CI120" s="526">
        <v>5.24</v>
      </c>
      <c r="CJ120" s="526">
        <v>106.51</v>
      </c>
      <c r="CK120" s="522">
        <v>2418</v>
      </c>
      <c r="CL120" s="526">
        <v>133.82</v>
      </c>
      <c r="CM120" s="526">
        <v>99.54</v>
      </c>
      <c r="CN120" s="526">
        <v>113.21</v>
      </c>
      <c r="CO120" s="526">
        <v>247.03</v>
      </c>
      <c r="CP120" s="522">
        <v>10</v>
      </c>
      <c r="CQ120" s="526">
        <v>71.91</v>
      </c>
      <c r="CR120" s="526">
        <v>74.36</v>
      </c>
      <c r="CS120" s="526">
        <v>28.93</v>
      </c>
      <c r="CT120" s="526">
        <v>99.53</v>
      </c>
      <c r="CU120" s="522">
        <v>22</v>
      </c>
      <c r="CV120" s="526">
        <v>91.74</v>
      </c>
      <c r="CW120" s="526">
        <v>88.35</v>
      </c>
      <c r="CX120" s="526">
        <v>62.05</v>
      </c>
      <c r="CY120" s="526">
        <v>151.59</v>
      </c>
      <c r="CZ120" s="522">
        <v>310</v>
      </c>
      <c r="DA120" s="526">
        <v>103.49</v>
      </c>
      <c r="DB120" s="526">
        <v>104.25</v>
      </c>
      <c r="DC120" s="526">
        <v>28.34</v>
      </c>
      <c r="DD120" s="526">
        <v>131.83000000000001</v>
      </c>
      <c r="DE120" s="522">
        <v>17</v>
      </c>
      <c r="DF120" s="526">
        <v>101.8</v>
      </c>
      <c r="DG120" s="526">
        <v>106.02</v>
      </c>
      <c r="DH120" s="526">
        <v>40.64</v>
      </c>
      <c r="DI120" s="526">
        <v>142.44</v>
      </c>
      <c r="DJ120" s="522">
        <v>1</v>
      </c>
      <c r="DK120" s="526">
        <v>0</v>
      </c>
      <c r="DL120" s="526">
        <v>0</v>
      </c>
      <c r="DM120" s="526">
        <v>0</v>
      </c>
      <c r="DN120" s="526">
        <v>0</v>
      </c>
      <c r="DO120" s="522">
        <v>0</v>
      </c>
      <c r="DP120" s="526">
        <v>91.09</v>
      </c>
      <c r="DQ120" s="526">
        <v>88.28</v>
      </c>
      <c r="DR120" s="526">
        <v>58.23</v>
      </c>
      <c r="DS120" s="526">
        <v>147.33000000000001</v>
      </c>
      <c r="DT120" s="522">
        <v>350</v>
      </c>
      <c r="DU120" s="526">
        <v>92.28</v>
      </c>
      <c r="DV120" s="526">
        <v>88.54</v>
      </c>
      <c r="DW120" s="526">
        <v>59.81</v>
      </c>
      <c r="DX120" s="526">
        <v>150.1</v>
      </c>
      <c r="DY120" s="522">
        <v>360</v>
      </c>
      <c r="DZ120" s="526">
        <v>0</v>
      </c>
      <c r="EA120" s="526">
        <v>0</v>
      </c>
      <c r="EB120" s="526">
        <v>0</v>
      </c>
      <c r="EC120" s="522">
        <v>0</v>
      </c>
      <c r="ED120" s="526">
        <v>112.29</v>
      </c>
      <c r="EE120" s="522">
        <v>264</v>
      </c>
      <c r="EF120" s="526">
        <v>134.43</v>
      </c>
      <c r="EG120" s="522">
        <v>473</v>
      </c>
      <c r="EH120" s="526">
        <v>155.07</v>
      </c>
      <c r="EI120" s="522">
        <v>220</v>
      </c>
      <c r="EJ120" s="526">
        <v>197.58</v>
      </c>
      <c r="EK120" s="522">
        <v>28</v>
      </c>
      <c r="EL120" s="526">
        <v>229.95</v>
      </c>
      <c r="EM120" s="522">
        <v>1</v>
      </c>
      <c r="EN120" s="526">
        <v>0</v>
      </c>
      <c r="EO120" s="522">
        <v>0</v>
      </c>
      <c r="EP120" s="526">
        <v>135</v>
      </c>
      <c r="EQ120" s="522">
        <v>986</v>
      </c>
      <c r="ER120" s="526">
        <v>135</v>
      </c>
      <c r="ES120" s="522">
        <v>986</v>
      </c>
      <c r="ET120" s="526">
        <v>0</v>
      </c>
      <c r="EU120" s="526">
        <v>0</v>
      </c>
      <c r="EV120" s="526">
        <v>0</v>
      </c>
      <c r="EW120" s="522">
        <v>0</v>
      </c>
      <c r="EX120" s="526">
        <v>140.94</v>
      </c>
      <c r="EY120" s="522">
        <v>10</v>
      </c>
      <c r="EZ120" s="526">
        <v>149.22</v>
      </c>
      <c r="FA120" s="522">
        <v>7</v>
      </c>
      <c r="FB120" s="526">
        <v>0</v>
      </c>
      <c r="FC120" s="522">
        <v>0</v>
      </c>
      <c r="FD120" s="526">
        <v>0</v>
      </c>
      <c r="FE120" s="522">
        <v>0</v>
      </c>
      <c r="FF120" s="526">
        <v>144.35</v>
      </c>
      <c r="FG120" s="522">
        <v>17</v>
      </c>
      <c r="FH120" s="526">
        <v>144.35</v>
      </c>
      <c r="FI120" s="522">
        <v>17</v>
      </c>
      <c r="FJ120" s="522">
        <v>0</v>
      </c>
      <c r="FK120" s="522">
        <v>5</v>
      </c>
      <c r="FL120" s="522">
        <v>4</v>
      </c>
      <c r="FM120" s="522">
        <v>0</v>
      </c>
      <c r="FN120" s="522">
        <v>1</v>
      </c>
      <c r="FO120" s="522">
        <v>0</v>
      </c>
      <c r="FP120" s="522">
        <v>0</v>
      </c>
      <c r="FQ120" s="522">
        <v>88</v>
      </c>
      <c r="FR120" s="522">
        <v>7</v>
      </c>
    </row>
    <row r="121" spans="1:174" x14ac:dyDescent="0.25">
      <c r="A121" s="523" t="s">
        <v>499</v>
      </c>
      <c r="B121" s="523" t="s">
        <v>500</v>
      </c>
      <c r="C121" s="523" t="s">
        <v>284</v>
      </c>
      <c r="D121" s="522">
        <v>10245</v>
      </c>
      <c r="E121" s="522">
        <v>9236</v>
      </c>
      <c r="F121" s="522">
        <v>79</v>
      </c>
      <c r="G121" s="522">
        <v>21</v>
      </c>
      <c r="H121" s="522">
        <v>826</v>
      </c>
      <c r="I121" s="522">
        <v>314</v>
      </c>
      <c r="J121" s="522">
        <v>896</v>
      </c>
      <c r="K121" s="522">
        <v>790</v>
      </c>
      <c r="L121" s="522">
        <v>1961</v>
      </c>
      <c r="M121" s="522">
        <v>128</v>
      </c>
      <c r="N121" s="522">
        <v>14007</v>
      </c>
      <c r="O121" s="522">
        <v>10489</v>
      </c>
      <c r="P121" s="522">
        <v>12046</v>
      </c>
      <c r="Q121" s="522">
        <v>281</v>
      </c>
      <c r="R121" s="523">
        <v>25</v>
      </c>
      <c r="S121" s="523">
        <v>30</v>
      </c>
      <c r="T121" s="523">
        <v>1485</v>
      </c>
      <c r="U121" s="523">
        <v>12522</v>
      </c>
      <c r="V121" s="522">
        <v>9259</v>
      </c>
      <c r="W121" s="522">
        <v>61</v>
      </c>
      <c r="X121" s="522">
        <v>44</v>
      </c>
      <c r="Y121" s="522">
        <v>105</v>
      </c>
      <c r="Z121" s="524">
        <v>136.46</v>
      </c>
      <c r="AA121" s="524">
        <v>141.80000000000001</v>
      </c>
      <c r="AB121" s="524">
        <v>12.88</v>
      </c>
      <c r="AC121" s="524">
        <v>145.74</v>
      </c>
      <c r="AD121" s="524">
        <v>8152</v>
      </c>
      <c r="AE121" s="525">
        <v>129.79</v>
      </c>
      <c r="AF121" s="525">
        <v>120.72</v>
      </c>
      <c r="AG121" s="525">
        <v>85.45</v>
      </c>
      <c r="AH121" s="525">
        <v>211.02</v>
      </c>
      <c r="AI121" s="525">
        <v>1114</v>
      </c>
      <c r="AJ121" s="525">
        <v>215.68</v>
      </c>
      <c r="AK121" s="525">
        <v>784</v>
      </c>
      <c r="AL121" s="525">
        <v>294.14999999999998</v>
      </c>
      <c r="AM121" s="525">
        <v>135</v>
      </c>
      <c r="AN121" s="526">
        <v>102.93</v>
      </c>
      <c r="AO121" s="526">
        <v>99.23</v>
      </c>
      <c r="AP121" s="526">
        <v>60.78</v>
      </c>
      <c r="AQ121" s="526">
        <v>163.71</v>
      </c>
      <c r="AR121" s="522">
        <v>34</v>
      </c>
      <c r="AS121" s="526">
        <v>99.51</v>
      </c>
      <c r="AT121" s="526">
        <v>101.8</v>
      </c>
      <c r="AU121" s="526">
        <v>31.47</v>
      </c>
      <c r="AV121" s="526">
        <v>127.49</v>
      </c>
      <c r="AW121" s="522">
        <v>153</v>
      </c>
      <c r="AX121" s="526">
        <v>118.67</v>
      </c>
      <c r="AY121" s="526">
        <v>119.77</v>
      </c>
      <c r="AZ121" s="526">
        <v>12.59</v>
      </c>
      <c r="BA121" s="526">
        <v>128.77000000000001</v>
      </c>
      <c r="BB121" s="522">
        <v>2339</v>
      </c>
      <c r="BC121" s="526">
        <v>136.28</v>
      </c>
      <c r="BD121" s="526">
        <v>140.68</v>
      </c>
      <c r="BE121" s="526">
        <v>13.15</v>
      </c>
      <c r="BF121" s="526">
        <v>146.46</v>
      </c>
      <c r="BG121" s="522">
        <v>3012</v>
      </c>
      <c r="BH121" s="526">
        <v>151.5</v>
      </c>
      <c r="BI121" s="526">
        <v>161.63</v>
      </c>
      <c r="BJ121" s="526">
        <v>10.39</v>
      </c>
      <c r="BK121" s="526">
        <v>157.49</v>
      </c>
      <c r="BL121" s="522">
        <v>2122</v>
      </c>
      <c r="BM121" s="526">
        <v>167.17</v>
      </c>
      <c r="BN121" s="526">
        <v>179.42</v>
      </c>
      <c r="BO121" s="526">
        <v>8.35</v>
      </c>
      <c r="BP121" s="526">
        <v>172.07</v>
      </c>
      <c r="BQ121" s="522">
        <v>406</v>
      </c>
      <c r="BR121" s="526">
        <v>190.37</v>
      </c>
      <c r="BS121" s="526">
        <v>198.5</v>
      </c>
      <c r="BT121" s="526">
        <v>7.73</v>
      </c>
      <c r="BU121" s="526">
        <v>193.15</v>
      </c>
      <c r="BV121" s="522">
        <v>75</v>
      </c>
      <c r="BW121" s="526">
        <v>189.37</v>
      </c>
      <c r="BX121" s="526">
        <v>211.79</v>
      </c>
      <c r="BY121" s="526">
        <v>14.51</v>
      </c>
      <c r="BZ121" s="526">
        <v>194.65</v>
      </c>
      <c r="CA121" s="522">
        <v>11</v>
      </c>
      <c r="CB121" s="526">
        <v>136.61000000000001</v>
      </c>
      <c r="CC121" s="526">
        <v>141.97</v>
      </c>
      <c r="CD121" s="526">
        <v>12.6</v>
      </c>
      <c r="CE121" s="526">
        <v>145.66999999999999</v>
      </c>
      <c r="CF121" s="522">
        <v>8118</v>
      </c>
      <c r="CG121" s="526">
        <v>136.46</v>
      </c>
      <c r="CH121" s="526">
        <v>141.80000000000001</v>
      </c>
      <c r="CI121" s="526">
        <v>12.88</v>
      </c>
      <c r="CJ121" s="526">
        <v>145.74</v>
      </c>
      <c r="CK121" s="522">
        <v>8152</v>
      </c>
      <c r="CL121" s="526">
        <v>127.23</v>
      </c>
      <c r="CM121" s="526">
        <v>109.15</v>
      </c>
      <c r="CN121" s="526">
        <v>118.12</v>
      </c>
      <c r="CO121" s="526">
        <v>231.39</v>
      </c>
      <c r="CP121" s="522">
        <v>220</v>
      </c>
      <c r="CQ121" s="526">
        <v>106.15</v>
      </c>
      <c r="CR121" s="526">
        <v>104.73</v>
      </c>
      <c r="CS121" s="526">
        <v>74.42</v>
      </c>
      <c r="CT121" s="526">
        <v>180.57</v>
      </c>
      <c r="CU121" s="522">
        <v>128</v>
      </c>
      <c r="CV121" s="526">
        <v>132.19</v>
      </c>
      <c r="CW121" s="526">
        <v>123.12</v>
      </c>
      <c r="CX121" s="526">
        <v>74.83</v>
      </c>
      <c r="CY121" s="526">
        <v>204.04</v>
      </c>
      <c r="CZ121" s="522">
        <v>678</v>
      </c>
      <c r="DA121" s="526">
        <v>149.86000000000001</v>
      </c>
      <c r="DB121" s="526">
        <v>161.08000000000001</v>
      </c>
      <c r="DC121" s="526">
        <v>119.97</v>
      </c>
      <c r="DD121" s="526">
        <v>266.72000000000003</v>
      </c>
      <c r="DE121" s="522">
        <v>77</v>
      </c>
      <c r="DF121" s="526">
        <v>164.16</v>
      </c>
      <c r="DG121" s="526">
        <v>168.3</v>
      </c>
      <c r="DH121" s="526">
        <v>35.69</v>
      </c>
      <c r="DI121" s="526">
        <v>199.85</v>
      </c>
      <c r="DJ121" s="522">
        <v>9</v>
      </c>
      <c r="DK121" s="526">
        <v>183.72</v>
      </c>
      <c r="DL121" s="526">
        <v>192.42</v>
      </c>
      <c r="DM121" s="526">
        <v>9.5</v>
      </c>
      <c r="DN121" s="526">
        <v>193.22</v>
      </c>
      <c r="DO121" s="522">
        <v>2</v>
      </c>
      <c r="DP121" s="526">
        <v>130.41999999999999</v>
      </c>
      <c r="DQ121" s="526">
        <v>123.55</v>
      </c>
      <c r="DR121" s="526">
        <v>78.12</v>
      </c>
      <c r="DS121" s="526">
        <v>206.01</v>
      </c>
      <c r="DT121" s="522">
        <v>894</v>
      </c>
      <c r="DU121" s="526">
        <v>129.79</v>
      </c>
      <c r="DV121" s="526">
        <v>120.72</v>
      </c>
      <c r="DW121" s="526">
        <v>85.45</v>
      </c>
      <c r="DX121" s="526">
        <v>211.02</v>
      </c>
      <c r="DY121" s="522">
        <v>1114</v>
      </c>
      <c r="DZ121" s="526">
        <v>198.27</v>
      </c>
      <c r="EA121" s="526">
        <v>1</v>
      </c>
      <c r="EB121" s="526">
        <v>132.03</v>
      </c>
      <c r="EC121" s="522">
        <v>7</v>
      </c>
      <c r="ED121" s="526">
        <v>177.19</v>
      </c>
      <c r="EE121" s="522">
        <v>304</v>
      </c>
      <c r="EF121" s="526">
        <v>227.06</v>
      </c>
      <c r="EG121" s="522">
        <v>289</v>
      </c>
      <c r="EH121" s="526">
        <v>255.9</v>
      </c>
      <c r="EI121" s="522">
        <v>137</v>
      </c>
      <c r="EJ121" s="526">
        <v>287.82</v>
      </c>
      <c r="EK121" s="522">
        <v>43</v>
      </c>
      <c r="EL121" s="526">
        <v>0</v>
      </c>
      <c r="EM121" s="522">
        <v>0</v>
      </c>
      <c r="EN121" s="526">
        <v>349.55</v>
      </c>
      <c r="EO121" s="522">
        <v>3</v>
      </c>
      <c r="EP121" s="526">
        <v>215.7</v>
      </c>
      <c r="EQ121" s="522">
        <v>783</v>
      </c>
      <c r="ER121" s="526">
        <v>215.68</v>
      </c>
      <c r="ES121" s="522">
        <v>784</v>
      </c>
      <c r="ET121" s="526">
        <v>0</v>
      </c>
      <c r="EU121" s="526">
        <v>0</v>
      </c>
      <c r="EV121" s="526">
        <v>0</v>
      </c>
      <c r="EW121" s="522">
        <v>0</v>
      </c>
      <c r="EX121" s="526">
        <v>267.18</v>
      </c>
      <c r="EY121" s="522">
        <v>68</v>
      </c>
      <c r="EZ121" s="526">
        <v>308.82</v>
      </c>
      <c r="FA121" s="522">
        <v>52</v>
      </c>
      <c r="FB121" s="526">
        <v>365.55</v>
      </c>
      <c r="FC121" s="522">
        <v>15</v>
      </c>
      <c r="FD121" s="526">
        <v>0</v>
      </c>
      <c r="FE121" s="522">
        <v>0</v>
      </c>
      <c r="FF121" s="526">
        <v>294.14999999999998</v>
      </c>
      <c r="FG121" s="522">
        <v>135</v>
      </c>
      <c r="FH121" s="526">
        <v>294.14999999999998</v>
      </c>
      <c r="FI121" s="522">
        <v>135</v>
      </c>
      <c r="FJ121" s="522">
        <v>0</v>
      </c>
      <c r="FK121" s="522">
        <v>1</v>
      </c>
      <c r="FL121" s="522">
        <v>0</v>
      </c>
      <c r="FM121" s="522">
        <v>0</v>
      </c>
      <c r="FN121" s="522">
        <v>1</v>
      </c>
      <c r="FO121" s="522">
        <v>0</v>
      </c>
      <c r="FP121" s="522">
        <v>42</v>
      </c>
      <c r="FQ121" s="522">
        <v>165</v>
      </c>
      <c r="FR121" s="522">
        <v>27</v>
      </c>
    </row>
    <row r="122" spans="1:174" x14ac:dyDescent="0.25">
      <c r="A122" s="523" t="s">
        <v>501</v>
      </c>
      <c r="B122" s="523" t="s">
        <v>502</v>
      </c>
      <c r="C122" s="523" t="s">
        <v>283</v>
      </c>
      <c r="D122" s="522">
        <v>1721</v>
      </c>
      <c r="E122" s="522">
        <v>1718</v>
      </c>
      <c r="F122" s="522">
        <v>236</v>
      </c>
      <c r="G122" s="522">
        <v>236</v>
      </c>
      <c r="H122" s="522">
        <v>105</v>
      </c>
      <c r="I122" s="522">
        <v>99</v>
      </c>
      <c r="J122" s="522">
        <v>261</v>
      </c>
      <c r="K122" s="522">
        <v>247</v>
      </c>
      <c r="L122" s="522">
        <v>641</v>
      </c>
      <c r="M122" s="522">
        <v>41</v>
      </c>
      <c r="N122" s="522">
        <v>2964</v>
      </c>
      <c r="O122" s="522">
        <v>2341</v>
      </c>
      <c r="P122" s="522">
        <v>2323</v>
      </c>
      <c r="Q122" s="522">
        <v>8</v>
      </c>
      <c r="R122" s="523">
        <v>3</v>
      </c>
      <c r="S122" s="523">
        <v>23</v>
      </c>
      <c r="T122" s="523">
        <v>20</v>
      </c>
      <c r="U122" s="523">
        <v>2944</v>
      </c>
      <c r="V122" s="522">
        <v>1718</v>
      </c>
      <c r="W122" s="522">
        <v>24</v>
      </c>
      <c r="X122" s="522">
        <v>34</v>
      </c>
      <c r="Y122" s="522">
        <v>58</v>
      </c>
      <c r="Z122" s="524">
        <v>117.94</v>
      </c>
      <c r="AA122" s="524">
        <v>119.04</v>
      </c>
      <c r="AB122" s="524">
        <v>11.93</v>
      </c>
      <c r="AC122" s="524">
        <v>129.06</v>
      </c>
      <c r="AD122" s="524">
        <v>1159</v>
      </c>
      <c r="AE122" s="525">
        <v>110.23</v>
      </c>
      <c r="AF122" s="525">
        <v>100.29</v>
      </c>
      <c r="AG122" s="525">
        <v>58.54</v>
      </c>
      <c r="AH122" s="525">
        <v>164.58</v>
      </c>
      <c r="AI122" s="525">
        <v>349</v>
      </c>
      <c r="AJ122" s="525">
        <v>191.06</v>
      </c>
      <c r="AK122" s="525">
        <v>513</v>
      </c>
      <c r="AL122" s="525">
        <v>0</v>
      </c>
      <c r="AM122" s="525">
        <v>0</v>
      </c>
      <c r="AN122" s="526">
        <v>0</v>
      </c>
      <c r="AO122" s="526">
        <v>0</v>
      </c>
      <c r="AP122" s="526">
        <v>0</v>
      </c>
      <c r="AQ122" s="526">
        <v>0</v>
      </c>
      <c r="AR122" s="522">
        <v>0</v>
      </c>
      <c r="AS122" s="526">
        <v>79.13</v>
      </c>
      <c r="AT122" s="526">
        <v>78.44</v>
      </c>
      <c r="AU122" s="526">
        <v>22.4</v>
      </c>
      <c r="AV122" s="526">
        <v>101.53</v>
      </c>
      <c r="AW122" s="522">
        <v>20</v>
      </c>
      <c r="AX122" s="526">
        <v>100.85</v>
      </c>
      <c r="AY122" s="526">
        <v>100.94</v>
      </c>
      <c r="AZ122" s="526">
        <v>15.79</v>
      </c>
      <c r="BA122" s="526">
        <v>116.23</v>
      </c>
      <c r="BB122" s="522">
        <v>348</v>
      </c>
      <c r="BC122" s="526">
        <v>118.61</v>
      </c>
      <c r="BD122" s="526">
        <v>119.4</v>
      </c>
      <c r="BE122" s="526">
        <v>13.06</v>
      </c>
      <c r="BF122" s="526">
        <v>131.04</v>
      </c>
      <c r="BG122" s="522">
        <v>479</v>
      </c>
      <c r="BH122" s="526">
        <v>137.02000000000001</v>
      </c>
      <c r="BI122" s="526">
        <v>139.29</v>
      </c>
      <c r="BJ122" s="526">
        <v>4.3899999999999997</v>
      </c>
      <c r="BK122" s="526">
        <v>140.71</v>
      </c>
      <c r="BL122" s="522">
        <v>277</v>
      </c>
      <c r="BM122" s="526">
        <v>149.53</v>
      </c>
      <c r="BN122" s="526">
        <v>156.72</v>
      </c>
      <c r="BO122" s="526">
        <v>3.47</v>
      </c>
      <c r="BP122" s="526">
        <v>152.69999999999999</v>
      </c>
      <c r="BQ122" s="522">
        <v>34</v>
      </c>
      <c r="BR122" s="526">
        <v>163.88</v>
      </c>
      <c r="BS122" s="526">
        <v>163.62</v>
      </c>
      <c r="BT122" s="526">
        <v>2.96</v>
      </c>
      <c r="BU122" s="526">
        <v>166.84</v>
      </c>
      <c r="BV122" s="522">
        <v>1</v>
      </c>
      <c r="BW122" s="526">
        <v>0</v>
      </c>
      <c r="BX122" s="526">
        <v>0</v>
      </c>
      <c r="BY122" s="526">
        <v>0</v>
      </c>
      <c r="BZ122" s="526">
        <v>0</v>
      </c>
      <c r="CA122" s="522">
        <v>0</v>
      </c>
      <c r="CB122" s="526">
        <v>117.94</v>
      </c>
      <c r="CC122" s="526">
        <v>119.04</v>
      </c>
      <c r="CD122" s="526">
        <v>11.93</v>
      </c>
      <c r="CE122" s="526">
        <v>129.06</v>
      </c>
      <c r="CF122" s="522">
        <v>1159</v>
      </c>
      <c r="CG122" s="526">
        <v>117.94</v>
      </c>
      <c r="CH122" s="526">
        <v>119.04</v>
      </c>
      <c r="CI122" s="526">
        <v>11.93</v>
      </c>
      <c r="CJ122" s="526">
        <v>129.06</v>
      </c>
      <c r="CK122" s="522">
        <v>1159</v>
      </c>
      <c r="CL122" s="526">
        <v>146.83000000000001</v>
      </c>
      <c r="CM122" s="526">
        <v>146.55000000000001</v>
      </c>
      <c r="CN122" s="526">
        <v>70.510000000000005</v>
      </c>
      <c r="CO122" s="526">
        <v>172.01</v>
      </c>
      <c r="CP122" s="522">
        <v>28</v>
      </c>
      <c r="CQ122" s="526">
        <v>89.21</v>
      </c>
      <c r="CR122" s="526">
        <v>82.47</v>
      </c>
      <c r="CS122" s="526">
        <v>86.96</v>
      </c>
      <c r="CT122" s="526">
        <v>173.82</v>
      </c>
      <c r="CU122" s="522">
        <v>74</v>
      </c>
      <c r="CV122" s="526">
        <v>111.98</v>
      </c>
      <c r="CW122" s="526">
        <v>100.55</v>
      </c>
      <c r="CX122" s="526">
        <v>49.8</v>
      </c>
      <c r="CY122" s="526">
        <v>160.76</v>
      </c>
      <c r="CZ122" s="522">
        <v>243</v>
      </c>
      <c r="DA122" s="526">
        <v>120.66</v>
      </c>
      <c r="DB122" s="526">
        <v>109.01</v>
      </c>
      <c r="DC122" s="526">
        <v>26.4</v>
      </c>
      <c r="DD122" s="526">
        <v>147.06</v>
      </c>
      <c r="DE122" s="522">
        <v>3</v>
      </c>
      <c r="DF122" s="526">
        <v>184.62</v>
      </c>
      <c r="DG122" s="526">
        <v>175.83</v>
      </c>
      <c r="DH122" s="526">
        <v>69.45</v>
      </c>
      <c r="DI122" s="526">
        <v>254.07</v>
      </c>
      <c r="DJ122" s="522">
        <v>1</v>
      </c>
      <c r="DK122" s="526">
        <v>0</v>
      </c>
      <c r="DL122" s="526">
        <v>0</v>
      </c>
      <c r="DM122" s="526">
        <v>0</v>
      </c>
      <c r="DN122" s="526">
        <v>0</v>
      </c>
      <c r="DO122" s="522">
        <v>0</v>
      </c>
      <c r="DP122" s="526">
        <v>107.04</v>
      </c>
      <c r="DQ122" s="526">
        <v>96.6</v>
      </c>
      <c r="DR122" s="526">
        <v>58.16</v>
      </c>
      <c r="DS122" s="526">
        <v>163.93</v>
      </c>
      <c r="DT122" s="522">
        <v>321</v>
      </c>
      <c r="DU122" s="526">
        <v>110.23</v>
      </c>
      <c r="DV122" s="526">
        <v>100.29</v>
      </c>
      <c r="DW122" s="526">
        <v>58.54</v>
      </c>
      <c r="DX122" s="526">
        <v>164.58</v>
      </c>
      <c r="DY122" s="522">
        <v>349</v>
      </c>
      <c r="DZ122" s="526">
        <v>0</v>
      </c>
      <c r="EA122" s="526">
        <v>0</v>
      </c>
      <c r="EB122" s="526">
        <v>0</v>
      </c>
      <c r="EC122" s="522">
        <v>0</v>
      </c>
      <c r="ED122" s="526">
        <v>162.25</v>
      </c>
      <c r="EE122" s="522">
        <v>199</v>
      </c>
      <c r="EF122" s="526">
        <v>196.4</v>
      </c>
      <c r="EG122" s="522">
        <v>202</v>
      </c>
      <c r="EH122" s="526">
        <v>227.51</v>
      </c>
      <c r="EI122" s="522">
        <v>105</v>
      </c>
      <c r="EJ122" s="526">
        <v>308.94</v>
      </c>
      <c r="EK122" s="522">
        <v>7</v>
      </c>
      <c r="EL122" s="526">
        <v>0</v>
      </c>
      <c r="EM122" s="522">
        <v>0</v>
      </c>
      <c r="EN122" s="526">
        <v>0</v>
      </c>
      <c r="EO122" s="522">
        <v>0</v>
      </c>
      <c r="EP122" s="526">
        <v>191.06</v>
      </c>
      <c r="EQ122" s="522">
        <v>513</v>
      </c>
      <c r="ER122" s="526">
        <v>191.06</v>
      </c>
      <c r="ES122" s="522">
        <v>513</v>
      </c>
      <c r="ET122" s="526">
        <v>0</v>
      </c>
      <c r="EU122" s="526">
        <v>0</v>
      </c>
      <c r="EV122" s="526">
        <v>0</v>
      </c>
      <c r="EW122" s="522">
        <v>0</v>
      </c>
      <c r="EX122" s="526">
        <v>0</v>
      </c>
      <c r="EY122" s="522">
        <v>0</v>
      </c>
      <c r="EZ122" s="526">
        <v>0</v>
      </c>
      <c r="FA122" s="522">
        <v>0</v>
      </c>
      <c r="FB122" s="526">
        <v>0</v>
      </c>
      <c r="FC122" s="522">
        <v>0</v>
      </c>
      <c r="FD122" s="526">
        <v>0</v>
      </c>
      <c r="FE122" s="522">
        <v>0</v>
      </c>
      <c r="FF122" s="526">
        <v>0</v>
      </c>
      <c r="FG122" s="522">
        <v>0</v>
      </c>
      <c r="FH122" s="526">
        <v>0</v>
      </c>
      <c r="FI122" s="522">
        <v>0</v>
      </c>
      <c r="FJ122" s="522">
        <v>0</v>
      </c>
      <c r="FK122" s="522">
        <v>0</v>
      </c>
      <c r="FL122" s="522">
        <v>0</v>
      </c>
      <c r="FM122" s="522">
        <v>0</v>
      </c>
      <c r="FN122" s="522">
        <v>0</v>
      </c>
      <c r="FO122" s="522">
        <v>0</v>
      </c>
      <c r="FP122" s="522">
        <v>8</v>
      </c>
      <c r="FQ122" s="522">
        <v>84</v>
      </c>
      <c r="FR122" s="522">
        <v>4</v>
      </c>
    </row>
    <row r="123" spans="1:174" x14ac:dyDescent="0.25">
      <c r="A123" s="523" t="s">
        <v>503</v>
      </c>
      <c r="B123" s="523" t="s">
        <v>504</v>
      </c>
      <c r="C123" s="523" t="s">
        <v>284</v>
      </c>
      <c r="D123" s="522">
        <v>3776</v>
      </c>
      <c r="E123" s="522">
        <v>3717</v>
      </c>
      <c r="F123" s="522">
        <v>8</v>
      </c>
      <c r="G123" s="522">
        <v>0</v>
      </c>
      <c r="H123" s="522">
        <v>229</v>
      </c>
      <c r="I123" s="522">
        <v>117</v>
      </c>
      <c r="J123" s="522">
        <v>670</v>
      </c>
      <c r="K123" s="522">
        <v>319</v>
      </c>
      <c r="L123" s="522">
        <v>1081</v>
      </c>
      <c r="M123" s="522">
        <v>124</v>
      </c>
      <c r="N123" s="522">
        <v>5764</v>
      </c>
      <c r="O123" s="522">
        <v>4277</v>
      </c>
      <c r="P123" s="522">
        <v>4683</v>
      </c>
      <c r="Q123" s="522">
        <v>50</v>
      </c>
      <c r="R123" s="523">
        <v>10</v>
      </c>
      <c r="S123" s="523">
        <v>29</v>
      </c>
      <c r="T123" s="523">
        <v>482</v>
      </c>
      <c r="U123" s="523">
        <v>5282</v>
      </c>
      <c r="V123" s="522">
        <v>3699</v>
      </c>
      <c r="W123" s="522">
        <v>18</v>
      </c>
      <c r="X123" s="522">
        <v>15</v>
      </c>
      <c r="Y123" s="522">
        <v>33</v>
      </c>
      <c r="Z123" s="524">
        <v>150.6</v>
      </c>
      <c r="AA123" s="524">
        <v>149.66</v>
      </c>
      <c r="AB123" s="524">
        <v>14.24</v>
      </c>
      <c r="AC123" s="524">
        <v>160.53</v>
      </c>
      <c r="AD123" s="524">
        <v>2743</v>
      </c>
      <c r="AE123" s="525">
        <v>125.94</v>
      </c>
      <c r="AF123" s="525">
        <v>111.28</v>
      </c>
      <c r="AG123" s="525">
        <v>54.87</v>
      </c>
      <c r="AH123" s="525">
        <v>178.71</v>
      </c>
      <c r="AI123" s="525">
        <v>496</v>
      </c>
      <c r="AJ123" s="525">
        <v>208.5</v>
      </c>
      <c r="AK123" s="525">
        <v>796</v>
      </c>
      <c r="AL123" s="525">
        <v>207.79</v>
      </c>
      <c r="AM123" s="525">
        <v>86</v>
      </c>
      <c r="AN123" s="526">
        <v>113.11</v>
      </c>
      <c r="AO123" s="526">
        <v>0</v>
      </c>
      <c r="AP123" s="526">
        <v>0</v>
      </c>
      <c r="AQ123" s="526">
        <v>113.11</v>
      </c>
      <c r="AR123" s="522">
        <v>6</v>
      </c>
      <c r="AS123" s="526">
        <v>92.7</v>
      </c>
      <c r="AT123" s="526">
        <v>102.7</v>
      </c>
      <c r="AU123" s="526">
        <v>15.05</v>
      </c>
      <c r="AV123" s="526">
        <v>107.74</v>
      </c>
      <c r="AW123" s="522">
        <v>9</v>
      </c>
      <c r="AX123" s="526">
        <v>123.46</v>
      </c>
      <c r="AY123" s="526">
        <v>119.86</v>
      </c>
      <c r="AZ123" s="526">
        <v>17.84</v>
      </c>
      <c r="BA123" s="526">
        <v>139.74</v>
      </c>
      <c r="BB123" s="522">
        <v>478</v>
      </c>
      <c r="BC123" s="526">
        <v>142.54</v>
      </c>
      <c r="BD123" s="526">
        <v>139.57</v>
      </c>
      <c r="BE123" s="526">
        <v>18.11</v>
      </c>
      <c r="BF123" s="526">
        <v>156.5</v>
      </c>
      <c r="BG123" s="522">
        <v>977</v>
      </c>
      <c r="BH123" s="526">
        <v>164.09</v>
      </c>
      <c r="BI123" s="526">
        <v>163.81</v>
      </c>
      <c r="BJ123" s="526">
        <v>8.4700000000000006</v>
      </c>
      <c r="BK123" s="526">
        <v>168.58</v>
      </c>
      <c r="BL123" s="522">
        <v>992</v>
      </c>
      <c r="BM123" s="526">
        <v>177.64</v>
      </c>
      <c r="BN123" s="526">
        <v>184.85</v>
      </c>
      <c r="BO123" s="526">
        <v>6.12</v>
      </c>
      <c r="BP123" s="526">
        <v>181.85</v>
      </c>
      <c r="BQ123" s="522">
        <v>234</v>
      </c>
      <c r="BR123" s="526">
        <v>189.96</v>
      </c>
      <c r="BS123" s="526">
        <v>204.56</v>
      </c>
      <c r="BT123" s="526">
        <v>8.93</v>
      </c>
      <c r="BU123" s="526">
        <v>194.94</v>
      </c>
      <c r="BV123" s="522">
        <v>43</v>
      </c>
      <c r="BW123" s="526">
        <v>198.47</v>
      </c>
      <c r="BX123" s="526">
        <v>221.68</v>
      </c>
      <c r="BY123" s="526">
        <v>9.52</v>
      </c>
      <c r="BZ123" s="526">
        <v>207.99</v>
      </c>
      <c r="CA123" s="522">
        <v>4</v>
      </c>
      <c r="CB123" s="526">
        <v>150.68</v>
      </c>
      <c r="CC123" s="526">
        <v>149.66</v>
      </c>
      <c r="CD123" s="526">
        <v>14.24</v>
      </c>
      <c r="CE123" s="526">
        <v>160.63999999999999</v>
      </c>
      <c r="CF123" s="522">
        <v>2737</v>
      </c>
      <c r="CG123" s="526">
        <v>150.6</v>
      </c>
      <c r="CH123" s="526">
        <v>149.66</v>
      </c>
      <c r="CI123" s="526">
        <v>14.24</v>
      </c>
      <c r="CJ123" s="526">
        <v>160.53</v>
      </c>
      <c r="CK123" s="522">
        <v>2743</v>
      </c>
      <c r="CL123" s="526">
        <v>103.12</v>
      </c>
      <c r="CM123" s="526">
        <v>107.27</v>
      </c>
      <c r="CN123" s="526">
        <v>68.540000000000006</v>
      </c>
      <c r="CO123" s="526">
        <v>162.94999999999999</v>
      </c>
      <c r="CP123" s="522">
        <v>118</v>
      </c>
      <c r="CQ123" s="526">
        <v>103.11</v>
      </c>
      <c r="CR123" s="526">
        <v>96.29</v>
      </c>
      <c r="CS123" s="526">
        <v>41.43</v>
      </c>
      <c r="CT123" s="526">
        <v>144.54</v>
      </c>
      <c r="CU123" s="522">
        <v>103</v>
      </c>
      <c r="CV123" s="526">
        <v>143.97999999999999</v>
      </c>
      <c r="CW123" s="526">
        <v>118.4</v>
      </c>
      <c r="CX123" s="526">
        <v>55.11</v>
      </c>
      <c r="CY123" s="526">
        <v>198.66</v>
      </c>
      <c r="CZ123" s="522">
        <v>252</v>
      </c>
      <c r="DA123" s="526">
        <v>145.09</v>
      </c>
      <c r="DB123" s="526">
        <v>137.13999999999999</v>
      </c>
      <c r="DC123" s="526">
        <v>51.18</v>
      </c>
      <c r="DD123" s="526">
        <v>193.84</v>
      </c>
      <c r="DE123" s="522">
        <v>21</v>
      </c>
      <c r="DF123" s="526">
        <v>161.55000000000001</v>
      </c>
      <c r="DG123" s="526">
        <v>153.44</v>
      </c>
      <c r="DH123" s="526">
        <v>41.46</v>
      </c>
      <c r="DI123" s="526">
        <v>203.01</v>
      </c>
      <c r="DJ123" s="522">
        <v>1</v>
      </c>
      <c r="DK123" s="526">
        <v>187.12</v>
      </c>
      <c r="DL123" s="526">
        <v>176.63</v>
      </c>
      <c r="DM123" s="526">
        <v>0</v>
      </c>
      <c r="DN123" s="526">
        <v>187.12</v>
      </c>
      <c r="DO123" s="522">
        <v>1</v>
      </c>
      <c r="DP123" s="526">
        <v>133.07</v>
      </c>
      <c r="DQ123" s="526">
        <v>112.74</v>
      </c>
      <c r="DR123" s="526">
        <v>51.1</v>
      </c>
      <c r="DS123" s="526">
        <v>183.63</v>
      </c>
      <c r="DT123" s="522">
        <v>378</v>
      </c>
      <c r="DU123" s="526">
        <v>125.94</v>
      </c>
      <c r="DV123" s="526">
        <v>111.28</v>
      </c>
      <c r="DW123" s="526">
        <v>54.87</v>
      </c>
      <c r="DX123" s="526">
        <v>178.71</v>
      </c>
      <c r="DY123" s="522">
        <v>496</v>
      </c>
      <c r="DZ123" s="526">
        <v>140.08000000000001</v>
      </c>
      <c r="EA123" s="526">
        <v>2</v>
      </c>
      <c r="EB123" s="526">
        <v>0</v>
      </c>
      <c r="EC123" s="522">
        <v>0</v>
      </c>
      <c r="ED123" s="526">
        <v>184.37</v>
      </c>
      <c r="EE123" s="522">
        <v>276</v>
      </c>
      <c r="EF123" s="526">
        <v>213.9</v>
      </c>
      <c r="EG123" s="522">
        <v>424</v>
      </c>
      <c r="EH123" s="526">
        <v>235.37</v>
      </c>
      <c r="EI123" s="522">
        <v>76</v>
      </c>
      <c r="EJ123" s="526">
        <v>333.11</v>
      </c>
      <c r="EK123" s="522">
        <v>13</v>
      </c>
      <c r="EL123" s="526">
        <v>377.17</v>
      </c>
      <c r="EM123" s="522">
        <v>5</v>
      </c>
      <c r="EN123" s="526">
        <v>0</v>
      </c>
      <c r="EO123" s="522">
        <v>0</v>
      </c>
      <c r="EP123" s="526">
        <v>208.67</v>
      </c>
      <c r="EQ123" s="522">
        <v>794</v>
      </c>
      <c r="ER123" s="526">
        <v>208.5</v>
      </c>
      <c r="ES123" s="522">
        <v>796</v>
      </c>
      <c r="ET123" s="526">
        <v>0</v>
      </c>
      <c r="EU123" s="526">
        <v>0</v>
      </c>
      <c r="EV123" s="526">
        <v>0</v>
      </c>
      <c r="EW123" s="522">
        <v>0</v>
      </c>
      <c r="EX123" s="526">
        <v>206.3</v>
      </c>
      <c r="EY123" s="522">
        <v>84</v>
      </c>
      <c r="EZ123" s="526">
        <v>270.19</v>
      </c>
      <c r="FA123" s="522">
        <v>2</v>
      </c>
      <c r="FB123" s="526">
        <v>0</v>
      </c>
      <c r="FC123" s="522">
        <v>0</v>
      </c>
      <c r="FD123" s="526">
        <v>0</v>
      </c>
      <c r="FE123" s="522">
        <v>0</v>
      </c>
      <c r="FF123" s="526">
        <v>207.79</v>
      </c>
      <c r="FG123" s="522">
        <v>86</v>
      </c>
      <c r="FH123" s="526">
        <v>207.79</v>
      </c>
      <c r="FI123" s="522">
        <v>86</v>
      </c>
      <c r="FJ123" s="522">
        <v>2</v>
      </c>
      <c r="FK123" s="522">
        <v>1</v>
      </c>
      <c r="FL123" s="522">
        <v>0</v>
      </c>
      <c r="FM123" s="522">
        <v>0</v>
      </c>
      <c r="FN123" s="522">
        <v>0</v>
      </c>
      <c r="FO123" s="522">
        <v>1</v>
      </c>
      <c r="FP123" s="522">
        <v>1</v>
      </c>
      <c r="FQ123" s="522">
        <v>102</v>
      </c>
      <c r="FR123" s="522">
        <v>27</v>
      </c>
    </row>
    <row r="124" spans="1:174" x14ac:dyDescent="0.25">
      <c r="A124" s="523" t="s">
        <v>505</v>
      </c>
      <c r="B124" s="523" t="s">
        <v>506</v>
      </c>
      <c r="C124" s="523" t="s">
        <v>2</v>
      </c>
      <c r="D124" s="522">
        <v>3392</v>
      </c>
      <c r="E124" s="522">
        <v>3392</v>
      </c>
      <c r="F124" s="522">
        <v>0</v>
      </c>
      <c r="G124" s="522">
        <v>0</v>
      </c>
      <c r="H124" s="522">
        <v>56</v>
      </c>
      <c r="I124" s="522">
        <v>40</v>
      </c>
      <c r="J124" s="522">
        <v>299</v>
      </c>
      <c r="K124" s="522">
        <v>299</v>
      </c>
      <c r="L124" s="522">
        <v>889</v>
      </c>
      <c r="M124" s="522">
        <v>33</v>
      </c>
      <c r="N124" s="522">
        <v>4636</v>
      </c>
      <c r="O124" s="522">
        <v>3764</v>
      </c>
      <c r="P124" s="522">
        <v>3747</v>
      </c>
      <c r="Q124" s="522">
        <v>0</v>
      </c>
      <c r="R124" s="523">
        <v>2</v>
      </c>
      <c r="S124" s="523">
        <v>22</v>
      </c>
      <c r="T124" s="523">
        <v>11</v>
      </c>
      <c r="U124" s="523">
        <v>4625</v>
      </c>
      <c r="V124" s="522">
        <v>3392</v>
      </c>
      <c r="W124" s="522">
        <v>29</v>
      </c>
      <c r="X124" s="522">
        <v>19</v>
      </c>
      <c r="Y124" s="522">
        <v>48</v>
      </c>
      <c r="Z124" s="524">
        <v>133.43</v>
      </c>
      <c r="AA124" s="524">
        <v>133.94</v>
      </c>
      <c r="AB124" s="524">
        <v>8.2200000000000006</v>
      </c>
      <c r="AC124" s="524">
        <v>136.79</v>
      </c>
      <c r="AD124" s="524">
        <v>2404</v>
      </c>
      <c r="AE124" s="525">
        <v>118.15</v>
      </c>
      <c r="AF124" s="525">
        <v>115.23</v>
      </c>
      <c r="AG124" s="525">
        <v>51.56</v>
      </c>
      <c r="AH124" s="525">
        <v>169.22</v>
      </c>
      <c r="AI124" s="525">
        <v>314</v>
      </c>
      <c r="AJ124" s="525">
        <v>199.53</v>
      </c>
      <c r="AK124" s="525">
        <v>954</v>
      </c>
      <c r="AL124" s="525">
        <v>234.93</v>
      </c>
      <c r="AM124" s="525">
        <v>30</v>
      </c>
      <c r="AN124" s="526">
        <v>0</v>
      </c>
      <c r="AO124" s="526">
        <v>0</v>
      </c>
      <c r="AP124" s="526">
        <v>0</v>
      </c>
      <c r="AQ124" s="526">
        <v>0</v>
      </c>
      <c r="AR124" s="522">
        <v>0</v>
      </c>
      <c r="AS124" s="526">
        <v>90.16</v>
      </c>
      <c r="AT124" s="526">
        <v>86.71</v>
      </c>
      <c r="AU124" s="526">
        <v>4</v>
      </c>
      <c r="AV124" s="526">
        <v>94.07</v>
      </c>
      <c r="AW124" s="522">
        <v>44</v>
      </c>
      <c r="AX124" s="526">
        <v>108.39</v>
      </c>
      <c r="AY124" s="526">
        <v>107.48</v>
      </c>
      <c r="AZ124" s="526">
        <v>8.52</v>
      </c>
      <c r="BA124" s="526">
        <v>114.46</v>
      </c>
      <c r="BB124" s="522">
        <v>362</v>
      </c>
      <c r="BC124" s="526">
        <v>130.32</v>
      </c>
      <c r="BD124" s="526">
        <v>130.75</v>
      </c>
      <c r="BE124" s="526">
        <v>10.039999999999999</v>
      </c>
      <c r="BF124" s="526">
        <v>134.97999999999999</v>
      </c>
      <c r="BG124" s="522">
        <v>1048</v>
      </c>
      <c r="BH124" s="526">
        <v>147.61000000000001</v>
      </c>
      <c r="BI124" s="526">
        <v>148.86000000000001</v>
      </c>
      <c r="BJ124" s="526">
        <v>4.2300000000000004</v>
      </c>
      <c r="BK124" s="526">
        <v>148.47</v>
      </c>
      <c r="BL124" s="522">
        <v>896</v>
      </c>
      <c r="BM124" s="526">
        <v>161.81</v>
      </c>
      <c r="BN124" s="526">
        <v>163.55000000000001</v>
      </c>
      <c r="BO124" s="526">
        <v>4.01</v>
      </c>
      <c r="BP124" s="526">
        <v>162.77000000000001</v>
      </c>
      <c r="BQ124" s="522">
        <v>54</v>
      </c>
      <c r="BR124" s="526">
        <v>0</v>
      </c>
      <c r="BS124" s="526">
        <v>0</v>
      </c>
      <c r="BT124" s="526">
        <v>0</v>
      </c>
      <c r="BU124" s="526">
        <v>0</v>
      </c>
      <c r="BV124" s="522">
        <v>0</v>
      </c>
      <c r="BW124" s="526">
        <v>0</v>
      </c>
      <c r="BX124" s="526">
        <v>0</v>
      </c>
      <c r="BY124" s="526">
        <v>0</v>
      </c>
      <c r="BZ124" s="526">
        <v>0</v>
      </c>
      <c r="CA124" s="522">
        <v>0</v>
      </c>
      <c r="CB124" s="526">
        <v>133.43</v>
      </c>
      <c r="CC124" s="526">
        <v>133.94</v>
      </c>
      <c r="CD124" s="526">
        <v>8.2200000000000006</v>
      </c>
      <c r="CE124" s="526">
        <v>136.79</v>
      </c>
      <c r="CF124" s="522">
        <v>2404</v>
      </c>
      <c r="CG124" s="526">
        <v>133.43</v>
      </c>
      <c r="CH124" s="526">
        <v>133.94</v>
      </c>
      <c r="CI124" s="526">
        <v>8.2200000000000006</v>
      </c>
      <c r="CJ124" s="526">
        <v>136.79</v>
      </c>
      <c r="CK124" s="522">
        <v>2404</v>
      </c>
      <c r="CL124" s="526">
        <v>130.27000000000001</v>
      </c>
      <c r="CM124" s="526">
        <v>121.99</v>
      </c>
      <c r="CN124" s="526">
        <v>56.69</v>
      </c>
      <c r="CO124" s="526">
        <v>186.96</v>
      </c>
      <c r="CP124" s="522">
        <v>6</v>
      </c>
      <c r="CQ124" s="526">
        <v>75.59</v>
      </c>
      <c r="CR124" s="526">
        <v>0</v>
      </c>
      <c r="CS124" s="526">
        <v>46.61</v>
      </c>
      <c r="CT124" s="526">
        <v>122.2</v>
      </c>
      <c r="CU124" s="522">
        <v>7</v>
      </c>
      <c r="CV124" s="526">
        <v>111.56</v>
      </c>
      <c r="CW124" s="526">
        <v>108.95</v>
      </c>
      <c r="CX124" s="526">
        <v>42.23</v>
      </c>
      <c r="CY124" s="526">
        <v>153.4</v>
      </c>
      <c r="CZ124" s="522">
        <v>217</v>
      </c>
      <c r="DA124" s="526">
        <v>138.21</v>
      </c>
      <c r="DB124" s="526">
        <v>130.74</v>
      </c>
      <c r="DC124" s="526">
        <v>77.040000000000006</v>
      </c>
      <c r="DD124" s="526">
        <v>214.31</v>
      </c>
      <c r="DE124" s="522">
        <v>81</v>
      </c>
      <c r="DF124" s="526">
        <v>128.66</v>
      </c>
      <c r="DG124" s="526">
        <v>130.88</v>
      </c>
      <c r="DH124" s="526">
        <v>42.34</v>
      </c>
      <c r="DI124" s="526">
        <v>171</v>
      </c>
      <c r="DJ124" s="522">
        <v>3</v>
      </c>
      <c r="DK124" s="526">
        <v>0</v>
      </c>
      <c r="DL124" s="526">
        <v>0</v>
      </c>
      <c r="DM124" s="526">
        <v>0</v>
      </c>
      <c r="DN124" s="526">
        <v>0</v>
      </c>
      <c r="DO124" s="522">
        <v>0</v>
      </c>
      <c r="DP124" s="526">
        <v>117.92</v>
      </c>
      <c r="DQ124" s="526">
        <v>115.09</v>
      </c>
      <c r="DR124" s="526">
        <v>51.46</v>
      </c>
      <c r="DS124" s="526">
        <v>168.88</v>
      </c>
      <c r="DT124" s="522">
        <v>308</v>
      </c>
      <c r="DU124" s="526">
        <v>118.15</v>
      </c>
      <c r="DV124" s="526">
        <v>115.23</v>
      </c>
      <c r="DW124" s="526">
        <v>51.56</v>
      </c>
      <c r="DX124" s="526">
        <v>169.22</v>
      </c>
      <c r="DY124" s="522">
        <v>314</v>
      </c>
      <c r="DZ124" s="526">
        <v>0</v>
      </c>
      <c r="EA124" s="526">
        <v>0</v>
      </c>
      <c r="EB124" s="526">
        <v>125.16</v>
      </c>
      <c r="EC124" s="522">
        <v>8</v>
      </c>
      <c r="ED124" s="526">
        <v>157.71</v>
      </c>
      <c r="EE124" s="522">
        <v>252</v>
      </c>
      <c r="EF124" s="526">
        <v>198.61</v>
      </c>
      <c r="EG124" s="522">
        <v>427</v>
      </c>
      <c r="EH124" s="526">
        <v>239.43</v>
      </c>
      <c r="EI124" s="522">
        <v>233</v>
      </c>
      <c r="EJ124" s="526">
        <v>265.27</v>
      </c>
      <c r="EK124" s="522">
        <v>34</v>
      </c>
      <c r="EL124" s="526">
        <v>0</v>
      </c>
      <c r="EM124" s="522">
        <v>0</v>
      </c>
      <c r="EN124" s="526">
        <v>0</v>
      </c>
      <c r="EO124" s="522">
        <v>0</v>
      </c>
      <c r="EP124" s="526">
        <v>199.53</v>
      </c>
      <c r="EQ124" s="522">
        <v>954</v>
      </c>
      <c r="ER124" s="526">
        <v>199.53</v>
      </c>
      <c r="ES124" s="522">
        <v>954</v>
      </c>
      <c r="ET124" s="526">
        <v>0</v>
      </c>
      <c r="EU124" s="526">
        <v>0</v>
      </c>
      <c r="EV124" s="526">
        <v>0</v>
      </c>
      <c r="EW124" s="522">
        <v>0</v>
      </c>
      <c r="EX124" s="526">
        <v>234.93</v>
      </c>
      <c r="EY124" s="522">
        <v>30</v>
      </c>
      <c r="EZ124" s="526">
        <v>0</v>
      </c>
      <c r="FA124" s="522">
        <v>0</v>
      </c>
      <c r="FB124" s="526">
        <v>0</v>
      </c>
      <c r="FC124" s="522">
        <v>0</v>
      </c>
      <c r="FD124" s="526">
        <v>0</v>
      </c>
      <c r="FE124" s="522">
        <v>0</v>
      </c>
      <c r="FF124" s="526">
        <v>234.93</v>
      </c>
      <c r="FG124" s="522">
        <v>30</v>
      </c>
      <c r="FH124" s="526">
        <v>234.93</v>
      </c>
      <c r="FI124" s="522">
        <v>30</v>
      </c>
      <c r="FJ124" s="522">
        <v>0</v>
      </c>
      <c r="FK124" s="522">
        <v>0</v>
      </c>
      <c r="FL124" s="522">
        <v>0</v>
      </c>
      <c r="FM124" s="522">
        <v>0</v>
      </c>
      <c r="FN124" s="522">
        <v>0</v>
      </c>
      <c r="FO124" s="522">
        <v>0</v>
      </c>
      <c r="FP124" s="522">
        <v>0</v>
      </c>
      <c r="FQ124" s="522">
        <v>53</v>
      </c>
      <c r="FR124" s="522">
        <v>11</v>
      </c>
    </row>
    <row r="125" spans="1:174" x14ac:dyDescent="0.25">
      <c r="A125" s="523" t="s">
        <v>507</v>
      </c>
      <c r="B125" s="523" t="s">
        <v>508</v>
      </c>
      <c r="C125" s="523" t="s">
        <v>285</v>
      </c>
      <c r="D125" s="522">
        <v>7879</v>
      </c>
      <c r="E125" s="522">
        <v>7909</v>
      </c>
      <c r="F125" s="522">
        <v>0</v>
      </c>
      <c r="G125" s="522">
        <v>0</v>
      </c>
      <c r="H125" s="522">
        <v>265</v>
      </c>
      <c r="I125" s="522">
        <v>205</v>
      </c>
      <c r="J125" s="522">
        <v>1904</v>
      </c>
      <c r="K125" s="522">
        <v>1878</v>
      </c>
      <c r="L125" s="522">
        <v>303</v>
      </c>
      <c r="M125" s="522">
        <v>0</v>
      </c>
      <c r="N125" s="522">
        <v>10351</v>
      </c>
      <c r="O125" s="522">
        <v>9992</v>
      </c>
      <c r="P125" s="522">
        <v>10048</v>
      </c>
      <c r="Q125" s="522">
        <v>15</v>
      </c>
      <c r="R125" s="523">
        <v>5</v>
      </c>
      <c r="S125" s="523">
        <v>16</v>
      </c>
      <c r="T125" s="523">
        <v>86</v>
      </c>
      <c r="U125" s="523">
        <v>10265</v>
      </c>
      <c r="V125" s="522">
        <v>7855</v>
      </c>
      <c r="W125" s="522">
        <v>68</v>
      </c>
      <c r="X125" s="522">
        <v>91</v>
      </c>
      <c r="Y125" s="522">
        <v>159</v>
      </c>
      <c r="Z125" s="524">
        <v>94.47</v>
      </c>
      <c r="AA125" s="524">
        <v>95.56</v>
      </c>
      <c r="AB125" s="524">
        <v>5.93</v>
      </c>
      <c r="AC125" s="524">
        <v>97.04</v>
      </c>
      <c r="AD125" s="524">
        <v>6492</v>
      </c>
      <c r="AE125" s="525">
        <v>97.14</v>
      </c>
      <c r="AF125" s="525">
        <v>92.43</v>
      </c>
      <c r="AG125" s="525">
        <v>57.93</v>
      </c>
      <c r="AH125" s="525">
        <v>132.02000000000001</v>
      </c>
      <c r="AI125" s="525">
        <v>2069</v>
      </c>
      <c r="AJ125" s="525">
        <v>112.38</v>
      </c>
      <c r="AK125" s="525">
        <v>1288</v>
      </c>
      <c r="AL125" s="525">
        <v>132.78</v>
      </c>
      <c r="AM125" s="525">
        <v>38</v>
      </c>
      <c r="AN125" s="526">
        <v>0</v>
      </c>
      <c r="AO125" s="526">
        <v>0</v>
      </c>
      <c r="AP125" s="526">
        <v>0</v>
      </c>
      <c r="AQ125" s="526">
        <v>0</v>
      </c>
      <c r="AR125" s="522">
        <v>0</v>
      </c>
      <c r="AS125" s="526">
        <v>75.05</v>
      </c>
      <c r="AT125" s="526">
        <v>72.849999999999994</v>
      </c>
      <c r="AU125" s="526">
        <v>18.260000000000002</v>
      </c>
      <c r="AV125" s="526">
        <v>93.31</v>
      </c>
      <c r="AW125" s="522">
        <v>4</v>
      </c>
      <c r="AX125" s="526">
        <v>81.569999999999993</v>
      </c>
      <c r="AY125" s="526">
        <v>81.41</v>
      </c>
      <c r="AZ125" s="526">
        <v>6.42</v>
      </c>
      <c r="BA125" s="526">
        <v>87.83</v>
      </c>
      <c r="BB125" s="522">
        <v>1524</v>
      </c>
      <c r="BC125" s="526">
        <v>94.19</v>
      </c>
      <c r="BD125" s="526">
        <v>94.73</v>
      </c>
      <c r="BE125" s="526">
        <v>7.04</v>
      </c>
      <c r="BF125" s="526">
        <v>96.95</v>
      </c>
      <c r="BG125" s="522">
        <v>2343</v>
      </c>
      <c r="BH125" s="526">
        <v>101.71</v>
      </c>
      <c r="BI125" s="526">
        <v>103.99</v>
      </c>
      <c r="BJ125" s="526">
        <v>1.47</v>
      </c>
      <c r="BK125" s="526">
        <v>101.95</v>
      </c>
      <c r="BL125" s="522">
        <v>2459</v>
      </c>
      <c r="BM125" s="526">
        <v>110.03</v>
      </c>
      <c r="BN125" s="526">
        <v>112.58</v>
      </c>
      <c r="BO125" s="526">
        <v>0.7</v>
      </c>
      <c r="BP125" s="526">
        <v>110.06</v>
      </c>
      <c r="BQ125" s="522">
        <v>152</v>
      </c>
      <c r="BR125" s="526">
        <v>115.48</v>
      </c>
      <c r="BS125" s="526">
        <v>121.9</v>
      </c>
      <c r="BT125" s="526">
        <v>0</v>
      </c>
      <c r="BU125" s="526">
        <v>115.48</v>
      </c>
      <c r="BV125" s="522">
        <v>9</v>
      </c>
      <c r="BW125" s="526">
        <v>134.63</v>
      </c>
      <c r="BX125" s="526">
        <v>138.52000000000001</v>
      </c>
      <c r="BY125" s="526">
        <v>0</v>
      </c>
      <c r="BZ125" s="526">
        <v>134.63</v>
      </c>
      <c r="CA125" s="522">
        <v>1</v>
      </c>
      <c r="CB125" s="526">
        <v>94.47</v>
      </c>
      <c r="CC125" s="526">
        <v>95.56</v>
      </c>
      <c r="CD125" s="526">
        <v>5.93</v>
      </c>
      <c r="CE125" s="526">
        <v>97.04</v>
      </c>
      <c r="CF125" s="522">
        <v>6492</v>
      </c>
      <c r="CG125" s="526">
        <v>94.47</v>
      </c>
      <c r="CH125" s="526">
        <v>95.56</v>
      </c>
      <c r="CI125" s="526">
        <v>5.93</v>
      </c>
      <c r="CJ125" s="526">
        <v>97.04</v>
      </c>
      <c r="CK125" s="522">
        <v>6492</v>
      </c>
      <c r="CL125" s="526">
        <v>142.88999999999999</v>
      </c>
      <c r="CM125" s="526">
        <v>95.63</v>
      </c>
      <c r="CN125" s="526">
        <v>118.7</v>
      </c>
      <c r="CO125" s="526">
        <v>261.58999999999997</v>
      </c>
      <c r="CP125" s="522">
        <v>47</v>
      </c>
      <c r="CQ125" s="526">
        <v>83.21</v>
      </c>
      <c r="CR125" s="526">
        <v>77.349999999999994</v>
      </c>
      <c r="CS125" s="526">
        <v>73.959999999999994</v>
      </c>
      <c r="CT125" s="526">
        <v>157.16</v>
      </c>
      <c r="CU125" s="522">
        <v>94</v>
      </c>
      <c r="CV125" s="526">
        <v>90.76</v>
      </c>
      <c r="CW125" s="526">
        <v>86.19</v>
      </c>
      <c r="CX125" s="526">
        <v>58.59</v>
      </c>
      <c r="CY125" s="526">
        <v>126.75</v>
      </c>
      <c r="CZ125" s="522">
        <v>1058</v>
      </c>
      <c r="DA125" s="526">
        <v>103.64</v>
      </c>
      <c r="DB125" s="526">
        <v>101.25</v>
      </c>
      <c r="DC125" s="526">
        <v>47.63</v>
      </c>
      <c r="DD125" s="526">
        <v>128.46</v>
      </c>
      <c r="DE125" s="522">
        <v>856</v>
      </c>
      <c r="DF125" s="526">
        <v>121.09</v>
      </c>
      <c r="DG125" s="526">
        <v>115.78</v>
      </c>
      <c r="DH125" s="526">
        <v>37.99</v>
      </c>
      <c r="DI125" s="526">
        <v>144.47</v>
      </c>
      <c r="DJ125" s="522">
        <v>13</v>
      </c>
      <c r="DK125" s="526">
        <v>128.88</v>
      </c>
      <c r="DL125" s="526">
        <v>128.85</v>
      </c>
      <c r="DM125" s="526">
        <v>16.579999999999998</v>
      </c>
      <c r="DN125" s="526">
        <v>145.46</v>
      </c>
      <c r="DO125" s="522">
        <v>1</v>
      </c>
      <c r="DP125" s="526">
        <v>96.07</v>
      </c>
      <c r="DQ125" s="526">
        <v>92.39</v>
      </c>
      <c r="DR125" s="526">
        <v>55.54</v>
      </c>
      <c r="DS125" s="526">
        <v>129.01</v>
      </c>
      <c r="DT125" s="522">
        <v>2022</v>
      </c>
      <c r="DU125" s="526">
        <v>97.14</v>
      </c>
      <c r="DV125" s="526">
        <v>92.43</v>
      </c>
      <c r="DW125" s="526">
        <v>57.93</v>
      </c>
      <c r="DX125" s="526">
        <v>132.02000000000001</v>
      </c>
      <c r="DY125" s="522">
        <v>2069</v>
      </c>
      <c r="DZ125" s="526">
        <v>0</v>
      </c>
      <c r="EA125" s="526">
        <v>0</v>
      </c>
      <c r="EB125" s="526">
        <v>0</v>
      </c>
      <c r="EC125" s="522">
        <v>0</v>
      </c>
      <c r="ED125" s="526">
        <v>87.54</v>
      </c>
      <c r="EE125" s="522">
        <v>27</v>
      </c>
      <c r="EF125" s="526">
        <v>108.03</v>
      </c>
      <c r="EG125" s="522">
        <v>686</v>
      </c>
      <c r="EH125" s="526">
        <v>117.81</v>
      </c>
      <c r="EI125" s="522">
        <v>529</v>
      </c>
      <c r="EJ125" s="526">
        <v>129.54</v>
      </c>
      <c r="EK125" s="522">
        <v>41</v>
      </c>
      <c r="EL125" s="526">
        <v>124.55</v>
      </c>
      <c r="EM125" s="522">
        <v>4</v>
      </c>
      <c r="EN125" s="526">
        <v>143.5</v>
      </c>
      <c r="EO125" s="522">
        <v>1</v>
      </c>
      <c r="EP125" s="526">
        <v>112.38</v>
      </c>
      <c r="EQ125" s="522">
        <v>1288</v>
      </c>
      <c r="ER125" s="526">
        <v>112.38</v>
      </c>
      <c r="ES125" s="522">
        <v>1288</v>
      </c>
      <c r="ET125" s="526">
        <v>0</v>
      </c>
      <c r="EU125" s="526">
        <v>0</v>
      </c>
      <c r="EV125" s="526">
        <v>0</v>
      </c>
      <c r="EW125" s="522">
        <v>0</v>
      </c>
      <c r="EX125" s="526">
        <v>104.14</v>
      </c>
      <c r="EY125" s="522">
        <v>3</v>
      </c>
      <c r="EZ125" s="526">
        <v>135.27000000000001</v>
      </c>
      <c r="FA125" s="522">
        <v>34</v>
      </c>
      <c r="FB125" s="526">
        <v>133.80000000000001</v>
      </c>
      <c r="FC125" s="522">
        <v>1</v>
      </c>
      <c r="FD125" s="526">
        <v>0</v>
      </c>
      <c r="FE125" s="522">
        <v>0</v>
      </c>
      <c r="FF125" s="526">
        <v>132.78</v>
      </c>
      <c r="FG125" s="522">
        <v>38</v>
      </c>
      <c r="FH125" s="526">
        <v>132.78</v>
      </c>
      <c r="FI125" s="522">
        <v>38</v>
      </c>
      <c r="FJ125" s="522">
        <v>0</v>
      </c>
      <c r="FK125" s="522">
        <v>18</v>
      </c>
      <c r="FL125" s="522">
        <v>14</v>
      </c>
      <c r="FM125" s="522">
        <v>0</v>
      </c>
      <c r="FN125" s="522">
        <v>4</v>
      </c>
      <c r="FO125" s="522">
        <v>0</v>
      </c>
      <c r="FP125" s="522">
        <v>0</v>
      </c>
      <c r="FQ125" s="522">
        <v>28</v>
      </c>
      <c r="FR125" s="522">
        <v>2</v>
      </c>
    </row>
    <row r="126" spans="1:174" x14ac:dyDescent="0.25">
      <c r="A126" s="523" t="s">
        <v>509</v>
      </c>
      <c r="B126" s="523" t="s">
        <v>510</v>
      </c>
      <c r="C126" s="523" t="s">
        <v>2</v>
      </c>
      <c r="D126" s="522">
        <v>5137</v>
      </c>
      <c r="E126" s="522">
        <v>5067</v>
      </c>
      <c r="F126" s="522">
        <v>0</v>
      </c>
      <c r="G126" s="522">
        <v>0</v>
      </c>
      <c r="H126" s="522">
        <v>212</v>
      </c>
      <c r="I126" s="522">
        <v>60</v>
      </c>
      <c r="J126" s="522">
        <v>753</v>
      </c>
      <c r="K126" s="522">
        <v>741</v>
      </c>
      <c r="L126" s="522">
        <v>232</v>
      </c>
      <c r="M126" s="522">
        <v>163</v>
      </c>
      <c r="N126" s="522">
        <v>6334</v>
      </c>
      <c r="O126" s="522">
        <v>6031</v>
      </c>
      <c r="P126" s="522">
        <v>6102</v>
      </c>
      <c r="Q126" s="522">
        <v>29</v>
      </c>
      <c r="R126" s="523">
        <v>5</v>
      </c>
      <c r="S126" s="523">
        <v>14</v>
      </c>
      <c r="T126" s="523">
        <v>203</v>
      </c>
      <c r="U126" s="523">
        <v>6131</v>
      </c>
      <c r="V126" s="522">
        <v>5068</v>
      </c>
      <c r="W126" s="522">
        <v>41</v>
      </c>
      <c r="X126" s="522">
        <v>102</v>
      </c>
      <c r="Y126" s="522">
        <v>143</v>
      </c>
      <c r="Z126" s="524">
        <v>97.89</v>
      </c>
      <c r="AA126" s="524">
        <v>95.89</v>
      </c>
      <c r="AB126" s="524">
        <v>8.82</v>
      </c>
      <c r="AC126" s="524">
        <v>105.25</v>
      </c>
      <c r="AD126" s="524">
        <v>4149</v>
      </c>
      <c r="AE126" s="525">
        <v>82.87</v>
      </c>
      <c r="AF126" s="525">
        <v>78.45</v>
      </c>
      <c r="AG126" s="525">
        <v>56.24</v>
      </c>
      <c r="AH126" s="525">
        <v>138.41</v>
      </c>
      <c r="AI126" s="525">
        <v>811</v>
      </c>
      <c r="AJ126" s="525">
        <v>132.47</v>
      </c>
      <c r="AK126" s="525">
        <v>793</v>
      </c>
      <c r="AL126" s="525">
        <v>108.13</v>
      </c>
      <c r="AM126" s="525">
        <v>20</v>
      </c>
      <c r="AN126" s="526">
        <v>0</v>
      </c>
      <c r="AO126" s="526">
        <v>0</v>
      </c>
      <c r="AP126" s="526">
        <v>0</v>
      </c>
      <c r="AQ126" s="526">
        <v>0</v>
      </c>
      <c r="AR126" s="522">
        <v>0</v>
      </c>
      <c r="AS126" s="526">
        <v>71.33</v>
      </c>
      <c r="AT126" s="526">
        <v>68.64</v>
      </c>
      <c r="AU126" s="526">
        <v>8.16</v>
      </c>
      <c r="AV126" s="526">
        <v>75.7</v>
      </c>
      <c r="AW126" s="522">
        <v>28</v>
      </c>
      <c r="AX126" s="526">
        <v>82.04</v>
      </c>
      <c r="AY126" s="526">
        <v>80.53</v>
      </c>
      <c r="AZ126" s="526">
        <v>10.56</v>
      </c>
      <c r="BA126" s="526">
        <v>92.06</v>
      </c>
      <c r="BB126" s="522">
        <v>928</v>
      </c>
      <c r="BC126" s="526">
        <v>92.04</v>
      </c>
      <c r="BD126" s="526">
        <v>90.2</v>
      </c>
      <c r="BE126" s="526">
        <v>14.03</v>
      </c>
      <c r="BF126" s="526">
        <v>104.4</v>
      </c>
      <c r="BG126" s="522">
        <v>1430</v>
      </c>
      <c r="BH126" s="526">
        <v>110.12</v>
      </c>
      <c r="BI126" s="526">
        <v>107.88</v>
      </c>
      <c r="BJ126" s="526">
        <v>2.64</v>
      </c>
      <c r="BK126" s="526">
        <v>112.12</v>
      </c>
      <c r="BL126" s="522">
        <v>1593</v>
      </c>
      <c r="BM126" s="526">
        <v>121.79</v>
      </c>
      <c r="BN126" s="526">
        <v>118.57</v>
      </c>
      <c r="BO126" s="526">
        <v>2.83</v>
      </c>
      <c r="BP126" s="526">
        <v>123.65</v>
      </c>
      <c r="BQ126" s="522">
        <v>155</v>
      </c>
      <c r="BR126" s="526">
        <v>137.77000000000001</v>
      </c>
      <c r="BS126" s="526">
        <v>130.55000000000001</v>
      </c>
      <c r="BT126" s="526">
        <v>1.62</v>
      </c>
      <c r="BU126" s="526">
        <v>138.69999999999999</v>
      </c>
      <c r="BV126" s="522">
        <v>14</v>
      </c>
      <c r="BW126" s="526">
        <v>149.85</v>
      </c>
      <c r="BX126" s="526">
        <v>142.71</v>
      </c>
      <c r="BY126" s="526">
        <v>0</v>
      </c>
      <c r="BZ126" s="526">
        <v>149.85</v>
      </c>
      <c r="CA126" s="522">
        <v>1</v>
      </c>
      <c r="CB126" s="526">
        <v>97.89</v>
      </c>
      <c r="CC126" s="526">
        <v>95.89</v>
      </c>
      <c r="CD126" s="526">
        <v>8.82</v>
      </c>
      <c r="CE126" s="526">
        <v>105.25</v>
      </c>
      <c r="CF126" s="522">
        <v>4149</v>
      </c>
      <c r="CG126" s="526">
        <v>97.89</v>
      </c>
      <c r="CH126" s="526">
        <v>95.89</v>
      </c>
      <c r="CI126" s="526">
        <v>8.82</v>
      </c>
      <c r="CJ126" s="526">
        <v>105.25</v>
      </c>
      <c r="CK126" s="522">
        <v>4149</v>
      </c>
      <c r="CL126" s="526">
        <v>89.02</v>
      </c>
      <c r="CM126" s="526">
        <v>72.61</v>
      </c>
      <c r="CN126" s="526">
        <v>176.96</v>
      </c>
      <c r="CO126" s="526">
        <v>242.69</v>
      </c>
      <c r="CP126" s="522">
        <v>76</v>
      </c>
      <c r="CQ126" s="526">
        <v>75.31</v>
      </c>
      <c r="CR126" s="526">
        <v>72.67</v>
      </c>
      <c r="CS126" s="526">
        <v>95.92</v>
      </c>
      <c r="CT126" s="526">
        <v>171.23</v>
      </c>
      <c r="CU126" s="522">
        <v>22</v>
      </c>
      <c r="CV126" s="526">
        <v>81.709999999999994</v>
      </c>
      <c r="CW126" s="526">
        <v>78.349999999999994</v>
      </c>
      <c r="CX126" s="526">
        <v>43.56</v>
      </c>
      <c r="CY126" s="526">
        <v>125.28</v>
      </c>
      <c r="CZ126" s="522">
        <v>517</v>
      </c>
      <c r="DA126" s="526">
        <v>84.13</v>
      </c>
      <c r="DB126" s="526">
        <v>80.95</v>
      </c>
      <c r="DC126" s="526">
        <v>44.61</v>
      </c>
      <c r="DD126" s="526">
        <v>128.74</v>
      </c>
      <c r="DE126" s="522">
        <v>194</v>
      </c>
      <c r="DF126" s="526">
        <v>109.62</v>
      </c>
      <c r="DG126" s="526">
        <v>103.47</v>
      </c>
      <c r="DH126" s="526">
        <v>38.92</v>
      </c>
      <c r="DI126" s="526">
        <v>148.54</v>
      </c>
      <c r="DJ126" s="522">
        <v>2</v>
      </c>
      <c r="DK126" s="526">
        <v>0</v>
      </c>
      <c r="DL126" s="526">
        <v>0</v>
      </c>
      <c r="DM126" s="526">
        <v>0</v>
      </c>
      <c r="DN126" s="526">
        <v>0</v>
      </c>
      <c r="DO126" s="522">
        <v>0</v>
      </c>
      <c r="DP126" s="526">
        <v>82.24</v>
      </c>
      <c r="DQ126" s="526">
        <v>78.94</v>
      </c>
      <c r="DR126" s="526">
        <v>45.39</v>
      </c>
      <c r="DS126" s="526">
        <v>127.63</v>
      </c>
      <c r="DT126" s="522">
        <v>735</v>
      </c>
      <c r="DU126" s="526">
        <v>82.87</v>
      </c>
      <c r="DV126" s="526">
        <v>78.45</v>
      </c>
      <c r="DW126" s="526">
        <v>56.24</v>
      </c>
      <c r="DX126" s="526">
        <v>138.41</v>
      </c>
      <c r="DY126" s="522">
        <v>811</v>
      </c>
      <c r="DZ126" s="526">
        <v>0</v>
      </c>
      <c r="EA126" s="526">
        <v>0</v>
      </c>
      <c r="EB126" s="526">
        <v>102.5</v>
      </c>
      <c r="EC126" s="522">
        <v>1</v>
      </c>
      <c r="ED126" s="526">
        <v>99.22</v>
      </c>
      <c r="EE126" s="522">
        <v>138</v>
      </c>
      <c r="EF126" s="526">
        <v>122.28</v>
      </c>
      <c r="EG126" s="522">
        <v>364</v>
      </c>
      <c r="EH126" s="526">
        <v>152.79</v>
      </c>
      <c r="EI126" s="522">
        <v>239</v>
      </c>
      <c r="EJ126" s="526">
        <v>200.28</v>
      </c>
      <c r="EK126" s="522">
        <v>48</v>
      </c>
      <c r="EL126" s="526">
        <v>203.14</v>
      </c>
      <c r="EM126" s="522">
        <v>3</v>
      </c>
      <c r="EN126" s="526">
        <v>0</v>
      </c>
      <c r="EO126" s="522">
        <v>0</v>
      </c>
      <c r="EP126" s="526">
        <v>132.47</v>
      </c>
      <c r="EQ126" s="522">
        <v>793</v>
      </c>
      <c r="ER126" s="526">
        <v>132.47</v>
      </c>
      <c r="ES126" s="522">
        <v>793</v>
      </c>
      <c r="ET126" s="526">
        <v>0</v>
      </c>
      <c r="EU126" s="526">
        <v>0</v>
      </c>
      <c r="EV126" s="526">
        <v>0</v>
      </c>
      <c r="EW126" s="522">
        <v>0</v>
      </c>
      <c r="EX126" s="526">
        <v>102.68</v>
      </c>
      <c r="EY126" s="522">
        <v>15</v>
      </c>
      <c r="EZ126" s="526">
        <v>124.49</v>
      </c>
      <c r="FA126" s="522">
        <v>5</v>
      </c>
      <c r="FB126" s="526">
        <v>0</v>
      </c>
      <c r="FC126" s="522">
        <v>0</v>
      </c>
      <c r="FD126" s="526">
        <v>0</v>
      </c>
      <c r="FE126" s="522">
        <v>0</v>
      </c>
      <c r="FF126" s="526">
        <v>108.13</v>
      </c>
      <c r="FG126" s="522">
        <v>20</v>
      </c>
      <c r="FH126" s="526">
        <v>108.13</v>
      </c>
      <c r="FI126" s="522">
        <v>20</v>
      </c>
      <c r="FJ126" s="522">
        <v>0</v>
      </c>
      <c r="FK126" s="522">
        <v>0</v>
      </c>
      <c r="FL126" s="522">
        <v>0</v>
      </c>
      <c r="FM126" s="522">
        <v>0</v>
      </c>
      <c r="FN126" s="522">
        <v>0</v>
      </c>
      <c r="FO126" s="522">
        <v>0</v>
      </c>
      <c r="FP126" s="522">
        <v>12</v>
      </c>
      <c r="FQ126" s="522">
        <v>1</v>
      </c>
      <c r="FR126" s="522">
        <v>1</v>
      </c>
    </row>
    <row r="127" spans="1:174" x14ac:dyDescent="0.25">
      <c r="A127" s="523" t="s">
        <v>511</v>
      </c>
      <c r="B127" s="523" t="s">
        <v>512</v>
      </c>
      <c r="C127" s="523" t="s">
        <v>2</v>
      </c>
      <c r="D127" s="522">
        <v>4600</v>
      </c>
      <c r="E127" s="522">
        <v>4540</v>
      </c>
      <c r="F127" s="522">
        <v>0</v>
      </c>
      <c r="G127" s="522">
        <v>0</v>
      </c>
      <c r="H127" s="522">
        <v>256</v>
      </c>
      <c r="I127" s="522">
        <v>69</v>
      </c>
      <c r="J127" s="522">
        <v>1029</v>
      </c>
      <c r="K127" s="522">
        <v>1004</v>
      </c>
      <c r="L127" s="522">
        <v>538</v>
      </c>
      <c r="M127" s="522">
        <v>23</v>
      </c>
      <c r="N127" s="522">
        <v>6423</v>
      </c>
      <c r="O127" s="522">
        <v>5636</v>
      </c>
      <c r="P127" s="522">
        <v>5885</v>
      </c>
      <c r="Q127" s="522">
        <v>0</v>
      </c>
      <c r="R127" s="523">
        <v>8</v>
      </c>
      <c r="S127" s="523">
        <v>26</v>
      </c>
      <c r="T127" s="523">
        <v>247</v>
      </c>
      <c r="U127" s="523">
        <v>6176</v>
      </c>
      <c r="V127" s="522">
        <v>4549</v>
      </c>
      <c r="W127" s="522">
        <v>16</v>
      </c>
      <c r="X127" s="522">
        <v>12</v>
      </c>
      <c r="Y127" s="522">
        <v>28</v>
      </c>
      <c r="Z127" s="524">
        <v>121.37</v>
      </c>
      <c r="AA127" s="524">
        <v>120.11</v>
      </c>
      <c r="AB127" s="524">
        <v>11.47</v>
      </c>
      <c r="AC127" s="524">
        <v>126.69</v>
      </c>
      <c r="AD127" s="524">
        <v>3562</v>
      </c>
      <c r="AE127" s="525">
        <v>112.89</v>
      </c>
      <c r="AF127" s="525">
        <v>102.63</v>
      </c>
      <c r="AG127" s="525">
        <v>27.2</v>
      </c>
      <c r="AH127" s="525">
        <v>137.63999999999999</v>
      </c>
      <c r="AI127" s="525">
        <v>1089</v>
      </c>
      <c r="AJ127" s="525">
        <v>170.3</v>
      </c>
      <c r="AK127" s="525">
        <v>905</v>
      </c>
      <c r="AL127" s="525">
        <v>190.76</v>
      </c>
      <c r="AM127" s="525">
        <v>14</v>
      </c>
      <c r="AN127" s="526">
        <v>0</v>
      </c>
      <c r="AO127" s="526">
        <v>0</v>
      </c>
      <c r="AP127" s="526">
        <v>0</v>
      </c>
      <c r="AQ127" s="526">
        <v>0</v>
      </c>
      <c r="AR127" s="522">
        <v>0</v>
      </c>
      <c r="AS127" s="526">
        <v>81.92</v>
      </c>
      <c r="AT127" s="526">
        <v>80.83</v>
      </c>
      <c r="AU127" s="526">
        <v>14.52</v>
      </c>
      <c r="AV127" s="526">
        <v>96.29</v>
      </c>
      <c r="AW127" s="522">
        <v>193</v>
      </c>
      <c r="AX127" s="526">
        <v>96.96</v>
      </c>
      <c r="AY127" s="526">
        <v>96.19</v>
      </c>
      <c r="AZ127" s="526">
        <v>11.09</v>
      </c>
      <c r="BA127" s="526">
        <v>106.58</v>
      </c>
      <c r="BB127" s="522">
        <v>225</v>
      </c>
      <c r="BC127" s="526">
        <v>113.61</v>
      </c>
      <c r="BD127" s="526">
        <v>112.66</v>
      </c>
      <c r="BE127" s="526">
        <v>13.39</v>
      </c>
      <c r="BF127" s="526">
        <v>123.26</v>
      </c>
      <c r="BG127" s="522">
        <v>1346</v>
      </c>
      <c r="BH127" s="526">
        <v>133.02000000000001</v>
      </c>
      <c r="BI127" s="526">
        <v>131.41999999999999</v>
      </c>
      <c r="BJ127" s="526">
        <v>3.4</v>
      </c>
      <c r="BK127" s="526">
        <v>133.57</v>
      </c>
      <c r="BL127" s="522">
        <v>1648</v>
      </c>
      <c r="BM127" s="526">
        <v>149.54</v>
      </c>
      <c r="BN127" s="526">
        <v>147.94999999999999</v>
      </c>
      <c r="BO127" s="526">
        <v>3.95</v>
      </c>
      <c r="BP127" s="526">
        <v>150.35</v>
      </c>
      <c r="BQ127" s="522">
        <v>137</v>
      </c>
      <c r="BR127" s="526">
        <v>157.91999999999999</v>
      </c>
      <c r="BS127" s="526">
        <v>159.65</v>
      </c>
      <c r="BT127" s="526">
        <v>0</v>
      </c>
      <c r="BU127" s="526">
        <v>157.91999999999999</v>
      </c>
      <c r="BV127" s="522">
        <v>12</v>
      </c>
      <c r="BW127" s="526">
        <v>165.83</v>
      </c>
      <c r="BX127" s="526">
        <v>163.98</v>
      </c>
      <c r="BY127" s="526">
        <v>0</v>
      </c>
      <c r="BZ127" s="526">
        <v>165.83</v>
      </c>
      <c r="CA127" s="522">
        <v>1</v>
      </c>
      <c r="CB127" s="526">
        <v>121.37</v>
      </c>
      <c r="CC127" s="526">
        <v>120.11</v>
      </c>
      <c r="CD127" s="526">
        <v>11.47</v>
      </c>
      <c r="CE127" s="526">
        <v>126.69</v>
      </c>
      <c r="CF127" s="522">
        <v>3562</v>
      </c>
      <c r="CG127" s="526">
        <v>121.37</v>
      </c>
      <c r="CH127" s="526">
        <v>120.11</v>
      </c>
      <c r="CI127" s="526">
        <v>11.47</v>
      </c>
      <c r="CJ127" s="526">
        <v>126.69</v>
      </c>
      <c r="CK127" s="522">
        <v>3562</v>
      </c>
      <c r="CL127" s="526">
        <v>129.29</v>
      </c>
      <c r="CM127" s="526">
        <v>90.1</v>
      </c>
      <c r="CN127" s="526">
        <v>105.57</v>
      </c>
      <c r="CO127" s="526">
        <v>234.87</v>
      </c>
      <c r="CP127" s="522">
        <v>65</v>
      </c>
      <c r="CQ127" s="526">
        <v>96.87</v>
      </c>
      <c r="CR127" s="526">
        <v>93.18</v>
      </c>
      <c r="CS127" s="526">
        <v>22.63</v>
      </c>
      <c r="CT127" s="526">
        <v>119.5</v>
      </c>
      <c r="CU127" s="522">
        <v>36</v>
      </c>
      <c r="CV127" s="526">
        <v>107.75</v>
      </c>
      <c r="CW127" s="526">
        <v>98.27</v>
      </c>
      <c r="CX127" s="526">
        <v>22.74</v>
      </c>
      <c r="CY127" s="526">
        <v>130.46</v>
      </c>
      <c r="CZ127" s="522">
        <v>767</v>
      </c>
      <c r="DA127" s="526">
        <v>128.52000000000001</v>
      </c>
      <c r="DB127" s="526">
        <v>121.42</v>
      </c>
      <c r="DC127" s="526">
        <v>15</v>
      </c>
      <c r="DD127" s="526">
        <v>136.94</v>
      </c>
      <c r="DE127" s="522">
        <v>221</v>
      </c>
      <c r="DF127" s="526">
        <v>0</v>
      </c>
      <c r="DG127" s="526">
        <v>0</v>
      </c>
      <c r="DH127" s="526">
        <v>0</v>
      </c>
      <c r="DI127" s="526">
        <v>0</v>
      </c>
      <c r="DJ127" s="522">
        <v>0</v>
      </c>
      <c r="DK127" s="526">
        <v>0</v>
      </c>
      <c r="DL127" s="526">
        <v>0</v>
      </c>
      <c r="DM127" s="526">
        <v>0</v>
      </c>
      <c r="DN127" s="526">
        <v>0</v>
      </c>
      <c r="DO127" s="522">
        <v>0</v>
      </c>
      <c r="DP127" s="526">
        <v>111.85</v>
      </c>
      <c r="DQ127" s="526">
        <v>103.13</v>
      </c>
      <c r="DR127" s="526">
        <v>21.7</v>
      </c>
      <c r="DS127" s="526">
        <v>131.47</v>
      </c>
      <c r="DT127" s="522">
        <v>1024</v>
      </c>
      <c r="DU127" s="526">
        <v>112.89</v>
      </c>
      <c r="DV127" s="526">
        <v>102.63</v>
      </c>
      <c r="DW127" s="526">
        <v>27.2</v>
      </c>
      <c r="DX127" s="526">
        <v>137.63999999999999</v>
      </c>
      <c r="DY127" s="522">
        <v>1089</v>
      </c>
      <c r="DZ127" s="526">
        <v>0</v>
      </c>
      <c r="EA127" s="526">
        <v>0</v>
      </c>
      <c r="EB127" s="526">
        <v>131.44</v>
      </c>
      <c r="EC127" s="522">
        <v>20</v>
      </c>
      <c r="ED127" s="526">
        <v>132.84</v>
      </c>
      <c r="EE127" s="522">
        <v>107</v>
      </c>
      <c r="EF127" s="526">
        <v>162.19999999999999</v>
      </c>
      <c r="EG127" s="522">
        <v>461</v>
      </c>
      <c r="EH127" s="526">
        <v>188.91</v>
      </c>
      <c r="EI127" s="522">
        <v>268</v>
      </c>
      <c r="EJ127" s="526">
        <v>242.3</v>
      </c>
      <c r="EK127" s="522">
        <v>49</v>
      </c>
      <c r="EL127" s="526">
        <v>0</v>
      </c>
      <c r="EM127" s="522">
        <v>0</v>
      </c>
      <c r="EN127" s="526">
        <v>0</v>
      </c>
      <c r="EO127" s="522">
        <v>0</v>
      </c>
      <c r="EP127" s="526">
        <v>170.3</v>
      </c>
      <c r="EQ127" s="522">
        <v>905</v>
      </c>
      <c r="ER127" s="526">
        <v>170.3</v>
      </c>
      <c r="ES127" s="522">
        <v>905</v>
      </c>
      <c r="ET127" s="526">
        <v>0</v>
      </c>
      <c r="EU127" s="526">
        <v>0</v>
      </c>
      <c r="EV127" s="526">
        <v>0</v>
      </c>
      <c r="EW127" s="522">
        <v>0</v>
      </c>
      <c r="EX127" s="526">
        <v>190.76</v>
      </c>
      <c r="EY127" s="522">
        <v>14</v>
      </c>
      <c r="EZ127" s="526">
        <v>0</v>
      </c>
      <c r="FA127" s="522">
        <v>0</v>
      </c>
      <c r="FB127" s="526">
        <v>0</v>
      </c>
      <c r="FC127" s="522">
        <v>0</v>
      </c>
      <c r="FD127" s="526">
        <v>0</v>
      </c>
      <c r="FE127" s="522">
        <v>0</v>
      </c>
      <c r="FF127" s="526">
        <v>190.76</v>
      </c>
      <c r="FG127" s="522">
        <v>14</v>
      </c>
      <c r="FH127" s="526">
        <v>190.76</v>
      </c>
      <c r="FI127" s="522">
        <v>14</v>
      </c>
      <c r="FJ127" s="522">
        <v>103</v>
      </c>
      <c r="FK127" s="522">
        <v>1</v>
      </c>
      <c r="FL127" s="522">
        <v>1</v>
      </c>
      <c r="FM127" s="522">
        <v>0</v>
      </c>
      <c r="FN127" s="522">
        <v>0</v>
      </c>
      <c r="FO127" s="522">
        <v>0</v>
      </c>
      <c r="FP127" s="522">
        <v>5</v>
      </c>
      <c r="FQ127" s="522">
        <v>50</v>
      </c>
      <c r="FR127" s="522">
        <v>8</v>
      </c>
    </row>
    <row r="128" spans="1:174" x14ac:dyDescent="0.25">
      <c r="A128" s="523" t="s">
        <v>513</v>
      </c>
      <c r="B128" s="523" t="s">
        <v>514</v>
      </c>
      <c r="C128" s="523" t="s">
        <v>284</v>
      </c>
      <c r="D128" s="522">
        <v>3953</v>
      </c>
      <c r="E128" s="522">
        <v>3799</v>
      </c>
      <c r="F128" s="522">
        <v>290</v>
      </c>
      <c r="G128" s="522">
        <v>290</v>
      </c>
      <c r="H128" s="522">
        <v>188</v>
      </c>
      <c r="I128" s="522">
        <v>116</v>
      </c>
      <c r="J128" s="522">
        <v>492</v>
      </c>
      <c r="K128" s="522">
        <v>492</v>
      </c>
      <c r="L128" s="522">
        <v>1092</v>
      </c>
      <c r="M128" s="522">
        <v>42</v>
      </c>
      <c r="N128" s="522">
        <v>6015</v>
      </c>
      <c r="O128" s="522">
        <v>4739</v>
      </c>
      <c r="P128" s="522">
        <v>4923</v>
      </c>
      <c r="Q128" s="522">
        <v>18</v>
      </c>
      <c r="R128" s="523">
        <v>6</v>
      </c>
      <c r="S128" s="523">
        <v>26</v>
      </c>
      <c r="T128" s="523">
        <v>114</v>
      </c>
      <c r="U128" s="523">
        <v>5901</v>
      </c>
      <c r="V128" s="522">
        <v>3872</v>
      </c>
      <c r="W128" s="522">
        <v>64</v>
      </c>
      <c r="X128" s="522">
        <v>22</v>
      </c>
      <c r="Y128" s="522">
        <v>86</v>
      </c>
      <c r="Z128" s="524">
        <v>133.38999999999999</v>
      </c>
      <c r="AA128" s="524">
        <v>137.22</v>
      </c>
      <c r="AB128" s="524">
        <v>15.58</v>
      </c>
      <c r="AC128" s="524">
        <v>145.49</v>
      </c>
      <c r="AD128" s="524">
        <v>2384</v>
      </c>
      <c r="AE128" s="525">
        <v>125.37</v>
      </c>
      <c r="AF128" s="525">
        <v>115.95</v>
      </c>
      <c r="AG128" s="525">
        <v>56.66</v>
      </c>
      <c r="AH128" s="525">
        <v>180.63</v>
      </c>
      <c r="AI128" s="525">
        <v>644</v>
      </c>
      <c r="AJ128" s="525">
        <v>211.01</v>
      </c>
      <c r="AK128" s="525">
        <v>1223</v>
      </c>
      <c r="AL128" s="525">
        <v>243.96</v>
      </c>
      <c r="AM128" s="525">
        <v>3</v>
      </c>
      <c r="AN128" s="526">
        <v>0</v>
      </c>
      <c r="AO128" s="526">
        <v>0</v>
      </c>
      <c r="AP128" s="526">
        <v>0</v>
      </c>
      <c r="AQ128" s="526">
        <v>0</v>
      </c>
      <c r="AR128" s="522">
        <v>0</v>
      </c>
      <c r="AS128" s="526">
        <v>99.94</v>
      </c>
      <c r="AT128" s="526">
        <v>94</v>
      </c>
      <c r="AU128" s="526">
        <v>17.670000000000002</v>
      </c>
      <c r="AV128" s="526">
        <v>117.6</v>
      </c>
      <c r="AW128" s="522">
        <v>8</v>
      </c>
      <c r="AX128" s="526">
        <v>108.53</v>
      </c>
      <c r="AY128" s="526">
        <v>112.03</v>
      </c>
      <c r="AZ128" s="526">
        <v>17.79</v>
      </c>
      <c r="BA128" s="526">
        <v>125.43</v>
      </c>
      <c r="BB128" s="522">
        <v>483</v>
      </c>
      <c r="BC128" s="526">
        <v>124.34</v>
      </c>
      <c r="BD128" s="526">
        <v>127.51</v>
      </c>
      <c r="BE128" s="526">
        <v>19.73</v>
      </c>
      <c r="BF128" s="526">
        <v>142.66</v>
      </c>
      <c r="BG128" s="522">
        <v>788</v>
      </c>
      <c r="BH128" s="526">
        <v>148.74</v>
      </c>
      <c r="BI128" s="526">
        <v>152.91999999999999</v>
      </c>
      <c r="BJ128" s="526">
        <v>9.66</v>
      </c>
      <c r="BK128" s="526">
        <v>154.32</v>
      </c>
      <c r="BL128" s="522">
        <v>968</v>
      </c>
      <c r="BM128" s="526">
        <v>165.05</v>
      </c>
      <c r="BN128" s="526">
        <v>172.25</v>
      </c>
      <c r="BO128" s="526">
        <v>7.63</v>
      </c>
      <c r="BP128" s="526">
        <v>170.18</v>
      </c>
      <c r="BQ128" s="522">
        <v>128</v>
      </c>
      <c r="BR128" s="526">
        <v>187.35</v>
      </c>
      <c r="BS128" s="526">
        <v>201.03</v>
      </c>
      <c r="BT128" s="526">
        <v>7.09</v>
      </c>
      <c r="BU128" s="526">
        <v>194.44</v>
      </c>
      <c r="BV128" s="522">
        <v>9</v>
      </c>
      <c r="BW128" s="526">
        <v>0</v>
      </c>
      <c r="BX128" s="526">
        <v>0</v>
      </c>
      <c r="BY128" s="526">
        <v>0</v>
      </c>
      <c r="BZ128" s="526">
        <v>0</v>
      </c>
      <c r="CA128" s="522">
        <v>0</v>
      </c>
      <c r="CB128" s="526">
        <v>133.38999999999999</v>
      </c>
      <c r="CC128" s="526">
        <v>137.22</v>
      </c>
      <c r="CD128" s="526">
        <v>15.58</v>
      </c>
      <c r="CE128" s="526">
        <v>145.49</v>
      </c>
      <c r="CF128" s="522">
        <v>2384</v>
      </c>
      <c r="CG128" s="526">
        <v>133.38999999999999</v>
      </c>
      <c r="CH128" s="526">
        <v>137.22</v>
      </c>
      <c r="CI128" s="526">
        <v>15.58</v>
      </c>
      <c r="CJ128" s="526">
        <v>145.49</v>
      </c>
      <c r="CK128" s="522">
        <v>2384</v>
      </c>
      <c r="CL128" s="526">
        <v>136.84</v>
      </c>
      <c r="CM128" s="526">
        <v>107.32</v>
      </c>
      <c r="CN128" s="526">
        <v>60.34</v>
      </c>
      <c r="CO128" s="526">
        <v>185.68</v>
      </c>
      <c r="CP128" s="522">
        <v>42</v>
      </c>
      <c r="CQ128" s="526">
        <v>127.35</v>
      </c>
      <c r="CR128" s="526">
        <v>97.52</v>
      </c>
      <c r="CS128" s="526">
        <v>72.650000000000006</v>
      </c>
      <c r="CT128" s="526">
        <v>198.27</v>
      </c>
      <c r="CU128" s="522">
        <v>84</v>
      </c>
      <c r="CV128" s="526">
        <v>121.45</v>
      </c>
      <c r="CW128" s="526">
        <v>115.69</v>
      </c>
      <c r="CX128" s="526">
        <v>51.55</v>
      </c>
      <c r="CY128" s="526">
        <v>172.32</v>
      </c>
      <c r="CZ128" s="522">
        <v>455</v>
      </c>
      <c r="DA128" s="526">
        <v>142.53</v>
      </c>
      <c r="DB128" s="526">
        <v>141.43</v>
      </c>
      <c r="DC128" s="526">
        <v>72.84</v>
      </c>
      <c r="DD128" s="526">
        <v>215.38</v>
      </c>
      <c r="DE128" s="522">
        <v>58</v>
      </c>
      <c r="DF128" s="526">
        <v>154.26</v>
      </c>
      <c r="DG128" s="526">
        <v>148.78</v>
      </c>
      <c r="DH128" s="526">
        <v>41.3</v>
      </c>
      <c r="DI128" s="526">
        <v>195.57</v>
      </c>
      <c r="DJ128" s="522">
        <v>5</v>
      </c>
      <c r="DK128" s="526">
        <v>0</v>
      </c>
      <c r="DL128" s="526">
        <v>0</v>
      </c>
      <c r="DM128" s="526">
        <v>0</v>
      </c>
      <c r="DN128" s="526">
        <v>0</v>
      </c>
      <c r="DO128" s="522">
        <v>0</v>
      </c>
      <c r="DP128" s="526">
        <v>124.57</v>
      </c>
      <c r="DQ128" s="526">
        <v>116.52</v>
      </c>
      <c r="DR128" s="526">
        <v>56.45</v>
      </c>
      <c r="DS128" s="526">
        <v>180.28</v>
      </c>
      <c r="DT128" s="522">
        <v>602</v>
      </c>
      <c r="DU128" s="526">
        <v>125.37</v>
      </c>
      <c r="DV128" s="526">
        <v>115.95</v>
      </c>
      <c r="DW128" s="526">
        <v>56.66</v>
      </c>
      <c r="DX128" s="526">
        <v>180.63</v>
      </c>
      <c r="DY128" s="522">
        <v>644</v>
      </c>
      <c r="DZ128" s="526">
        <v>0</v>
      </c>
      <c r="EA128" s="526">
        <v>0</v>
      </c>
      <c r="EB128" s="526">
        <v>184.81</v>
      </c>
      <c r="EC128" s="522">
        <v>1</v>
      </c>
      <c r="ED128" s="526">
        <v>172.23</v>
      </c>
      <c r="EE128" s="522">
        <v>293</v>
      </c>
      <c r="EF128" s="526">
        <v>202.91</v>
      </c>
      <c r="EG128" s="522">
        <v>514</v>
      </c>
      <c r="EH128" s="526">
        <v>241.65</v>
      </c>
      <c r="EI128" s="522">
        <v>297</v>
      </c>
      <c r="EJ128" s="526">
        <v>266.36</v>
      </c>
      <c r="EK128" s="522">
        <v>113</v>
      </c>
      <c r="EL128" s="526">
        <v>250.94</v>
      </c>
      <c r="EM128" s="522">
        <v>4</v>
      </c>
      <c r="EN128" s="526">
        <v>254.15</v>
      </c>
      <c r="EO128" s="522">
        <v>1</v>
      </c>
      <c r="EP128" s="526">
        <v>211.01</v>
      </c>
      <c r="EQ128" s="522">
        <v>1223</v>
      </c>
      <c r="ER128" s="526">
        <v>211.01</v>
      </c>
      <c r="ES128" s="522">
        <v>1223</v>
      </c>
      <c r="ET128" s="526">
        <v>0</v>
      </c>
      <c r="EU128" s="526">
        <v>0</v>
      </c>
      <c r="EV128" s="526">
        <v>0</v>
      </c>
      <c r="EW128" s="522">
        <v>0</v>
      </c>
      <c r="EX128" s="526">
        <v>0</v>
      </c>
      <c r="EY128" s="522">
        <v>0</v>
      </c>
      <c r="EZ128" s="526">
        <v>243.96</v>
      </c>
      <c r="FA128" s="522">
        <v>3</v>
      </c>
      <c r="FB128" s="526">
        <v>0</v>
      </c>
      <c r="FC128" s="522">
        <v>0</v>
      </c>
      <c r="FD128" s="526">
        <v>0</v>
      </c>
      <c r="FE128" s="522">
        <v>0</v>
      </c>
      <c r="FF128" s="526">
        <v>243.96</v>
      </c>
      <c r="FG128" s="522">
        <v>3</v>
      </c>
      <c r="FH128" s="526">
        <v>243.96</v>
      </c>
      <c r="FI128" s="522">
        <v>3</v>
      </c>
      <c r="FJ128" s="522">
        <v>0</v>
      </c>
      <c r="FK128" s="522">
        <v>1</v>
      </c>
      <c r="FL128" s="522">
        <v>1</v>
      </c>
      <c r="FM128" s="522">
        <v>0</v>
      </c>
      <c r="FN128" s="522">
        <v>0</v>
      </c>
      <c r="FO128" s="522">
        <v>0</v>
      </c>
      <c r="FP128" s="522">
        <v>4</v>
      </c>
      <c r="FQ128" s="522">
        <v>62</v>
      </c>
      <c r="FR128" s="522">
        <v>16</v>
      </c>
    </row>
    <row r="129" spans="1:174" x14ac:dyDescent="0.25">
      <c r="A129" s="523" t="s">
        <v>515</v>
      </c>
      <c r="B129" s="523" t="s">
        <v>516</v>
      </c>
      <c r="C129" s="523" t="s">
        <v>288</v>
      </c>
      <c r="D129" s="522">
        <v>9695</v>
      </c>
      <c r="E129" s="522">
        <v>9625</v>
      </c>
      <c r="F129" s="522">
        <v>0</v>
      </c>
      <c r="G129" s="522">
        <v>0</v>
      </c>
      <c r="H129" s="522">
        <v>461</v>
      </c>
      <c r="I129" s="522">
        <v>416</v>
      </c>
      <c r="J129" s="522">
        <v>1544</v>
      </c>
      <c r="K129" s="522">
        <v>1510</v>
      </c>
      <c r="L129" s="522">
        <v>1167</v>
      </c>
      <c r="M129" s="522">
        <v>11</v>
      </c>
      <c r="N129" s="522">
        <v>12867</v>
      </c>
      <c r="O129" s="522">
        <v>11562</v>
      </c>
      <c r="P129" s="522">
        <v>11700</v>
      </c>
      <c r="Q129" s="522">
        <v>104</v>
      </c>
      <c r="R129" s="523">
        <v>6</v>
      </c>
      <c r="S129" s="523">
        <v>26</v>
      </c>
      <c r="T129" s="523">
        <v>77</v>
      </c>
      <c r="U129" s="523">
        <v>12790</v>
      </c>
      <c r="V129" s="522">
        <v>9656</v>
      </c>
      <c r="W129" s="522">
        <v>46</v>
      </c>
      <c r="X129" s="522">
        <v>181</v>
      </c>
      <c r="Y129" s="522">
        <v>227</v>
      </c>
      <c r="Z129" s="524">
        <v>102.74</v>
      </c>
      <c r="AA129" s="524">
        <v>103.07</v>
      </c>
      <c r="AB129" s="524">
        <v>5.46</v>
      </c>
      <c r="AC129" s="524">
        <v>105.71</v>
      </c>
      <c r="AD129" s="524">
        <v>8442</v>
      </c>
      <c r="AE129" s="525">
        <v>98.93</v>
      </c>
      <c r="AF129" s="525">
        <v>95</v>
      </c>
      <c r="AG129" s="525">
        <v>46.86</v>
      </c>
      <c r="AH129" s="525">
        <v>135.75</v>
      </c>
      <c r="AI129" s="525">
        <v>1940</v>
      </c>
      <c r="AJ129" s="525">
        <v>128.21</v>
      </c>
      <c r="AK129" s="525">
        <v>1136</v>
      </c>
      <c r="AL129" s="525">
        <v>155.07</v>
      </c>
      <c r="AM129" s="525">
        <v>27</v>
      </c>
      <c r="AN129" s="526">
        <v>0</v>
      </c>
      <c r="AO129" s="526">
        <v>0</v>
      </c>
      <c r="AP129" s="526">
        <v>0</v>
      </c>
      <c r="AQ129" s="526">
        <v>0</v>
      </c>
      <c r="AR129" s="522">
        <v>0</v>
      </c>
      <c r="AS129" s="526">
        <v>74.55</v>
      </c>
      <c r="AT129" s="526">
        <v>73.58</v>
      </c>
      <c r="AU129" s="526">
        <v>7.01</v>
      </c>
      <c r="AV129" s="526">
        <v>81.55</v>
      </c>
      <c r="AW129" s="522">
        <v>14</v>
      </c>
      <c r="AX129" s="526">
        <v>85.62</v>
      </c>
      <c r="AY129" s="526">
        <v>85.58</v>
      </c>
      <c r="AZ129" s="526">
        <v>7.91</v>
      </c>
      <c r="BA129" s="526">
        <v>90.96</v>
      </c>
      <c r="BB129" s="522">
        <v>1619</v>
      </c>
      <c r="BC129" s="526">
        <v>99.86</v>
      </c>
      <c r="BD129" s="526">
        <v>100.18</v>
      </c>
      <c r="BE129" s="526">
        <v>5.57</v>
      </c>
      <c r="BF129" s="526">
        <v>103.43</v>
      </c>
      <c r="BG129" s="522">
        <v>2999</v>
      </c>
      <c r="BH129" s="526">
        <v>111.47</v>
      </c>
      <c r="BI129" s="526">
        <v>111.93</v>
      </c>
      <c r="BJ129" s="526">
        <v>3.61</v>
      </c>
      <c r="BK129" s="526">
        <v>112.95</v>
      </c>
      <c r="BL129" s="522">
        <v>3564</v>
      </c>
      <c r="BM129" s="526">
        <v>124.9</v>
      </c>
      <c r="BN129" s="526">
        <v>125.59</v>
      </c>
      <c r="BO129" s="526">
        <v>3.27</v>
      </c>
      <c r="BP129" s="526">
        <v>126.14</v>
      </c>
      <c r="BQ129" s="522">
        <v>231</v>
      </c>
      <c r="BR129" s="526">
        <v>135.88</v>
      </c>
      <c r="BS129" s="526">
        <v>138.18</v>
      </c>
      <c r="BT129" s="526">
        <v>4.04</v>
      </c>
      <c r="BU129" s="526">
        <v>136.82</v>
      </c>
      <c r="BV129" s="522">
        <v>13</v>
      </c>
      <c r="BW129" s="526">
        <v>143.87</v>
      </c>
      <c r="BX129" s="526">
        <v>150.51</v>
      </c>
      <c r="BY129" s="526">
        <v>8.41</v>
      </c>
      <c r="BZ129" s="526">
        <v>152.28</v>
      </c>
      <c r="CA129" s="522">
        <v>2</v>
      </c>
      <c r="CB129" s="526">
        <v>102.74</v>
      </c>
      <c r="CC129" s="526">
        <v>103.07</v>
      </c>
      <c r="CD129" s="526">
        <v>5.46</v>
      </c>
      <c r="CE129" s="526">
        <v>105.71</v>
      </c>
      <c r="CF129" s="522">
        <v>8442</v>
      </c>
      <c r="CG129" s="526">
        <v>102.74</v>
      </c>
      <c r="CH129" s="526">
        <v>103.07</v>
      </c>
      <c r="CI129" s="526">
        <v>5.46</v>
      </c>
      <c r="CJ129" s="526">
        <v>105.71</v>
      </c>
      <c r="CK129" s="522">
        <v>8442</v>
      </c>
      <c r="CL129" s="526">
        <v>104.71</v>
      </c>
      <c r="CM129" s="526">
        <v>71.69</v>
      </c>
      <c r="CN129" s="526">
        <v>87.34</v>
      </c>
      <c r="CO129" s="526">
        <v>189.01</v>
      </c>
      <c r="CP129" s="522">
        <v>86</v>
      </c>
      <c r="CQ129" s="526">
        <v>82.69</v>
      </c>
      <c r="CR129" s="526">
        <v>79.959999999999994</v>
      </c>
      <c r="CS129" s="526">
        <v>98.58</v>
      </c>
      <c r="CT129" s="526">
        <v>181.26</v>
      </c>
      <c r="CU129" s="522">
        <v>124</v>
      </c>
      <c r="CV129" s="526">
        <v>97.04</v>
      </c>
      <c r="CW129" s="526">
        <v>94.24</v>
      </c>
      <c r="CX129" s="526">
        <v>41.52</v>
      </c>
      <c r="CY129" s="526">
        <v>130.07</v>
      </c>
      <c r="CZ129" s="522">
        <v>1413</v>
      </c>
      <c r="DA129" s="526">
        <v>111.54</v>
      </c>
      <c r="DB129" s="526">
        <v>109</v>
      </c>
      <c r="DC129" s="526">
        <v>27.54</v>
      </c>
      <c r="DD129" s="526">
        <v>128.16</v>
      </c>
      <c r="DE129" s="522">
        <v>300</v>
      </c>
      <c r="DF129" s="526">
        <v>121.92</v>
      </c>
      <c r="DG129" s="526">
        <v>120.91</v>
      </c>
      <c r="DH129" s="526">
        <v>23.92</v>
      </c>
      <c r="DI129" s="526">
        <v>139.86000000000001</v>
      </c>
      <c r="DJ129" s="522">
        <v>16</v>
      </c>
      <c r="DK129" s="526">
        <v>140.11000000000001</v>
      </c>
      <c r="DL129" s="526">
        <v>132.25</v>
      </c>
      <c r="DM129" s="526">
        <v>0</v>
      </c>
      <c r="DN129" s="526">
        <v>140.11000000000001</v>
      </c>
      <c r="DO129" s="522">
        <v>1</v>
      </c>
      <c r="DP129" s="526">
        <v>98.67</v>
      </c>
      <c r="DQ129" s="526">
        <v>95.91</v>
      </c>
      <c r="DR129" s="526">
        <v>44.53</v>
      </c>
      <c r="DS129" s="526">
        <v>133.28</v>
      </c>
      <c r="DT129" s="522">
        <v>1854</v>
      </c>
      <c r="DU129" s="526">
        <v>98.93</v>
      </c>
      <c r="DV129" s="526">
        <v>95</v>
      </c>
      <c r="DW129" s="526">
        <v>46.86</v>
      </c>
      <c r="DX129" s="526">
        <v>135.75</v>
      </c>
      <c r="DY129" s="522">
        <v>1940</v>
      </c>
      <c r="DZ129" s="526">
        <v>0</v>
      </c>
      <c r="EA129" s="526">
        <v>0</v>
      </c>
      <c r="EB129" s="526">
        <v>0</v>
      </c>
      <c r="EC129" s="522">
        <v>0</v>
      </c>
      <c r="ED129" s="526">
        <v>103.82</v>
      </c>
      <c r="EE129" s="522">
        <v>261</v>
      </c>
      <c r="EF129" s="526">
        <v>126.1</v>
      </c>
      <c r="EG129" s="522">
        <v>543</v>
      </c>
      <c r="EH129" s="526">
        <v>147.31</v>
      </c>
      <c r="EI129" s="522">
        <v>297</v>
      </c>
      <c r="EJ129" s="526">
        <v>180.62</v>
      </c>
      <c r="EK129" s="522">
        <v>35</v>
      </c>
      <c r="EL129" s="526">
        <v>0</v>
      </c>
      <c r="EM129" s="522">
        <v>0</v>
      </c>
      <c r="EN129" s="526">
        <v>0</v>
      </c>
      <c r="EO129" s="522">
        <v>0</v>
      </c>
      <c r="EP129" s="526">
        <v>128.21</v>
      </c>
      <c r="EQ129" s="522">
        <v>1136</v>
      </c>
      <c r="ER129" s="526">
        <v>128.21</v>
      </c>
      <c r="ES129" s="522">
        <v>1136</v>
      </c>
      <c r="ET129" s="526">
        <v>0</v>
      </c>
      <c r="EU129" s="526">
        <v>0</v>
      </c>
      <c r="EV129" s="526">
        <v>0</v>
      </c>
      <c r="EW129" s="522">
        <v>0</v>
      </c>
      <c r="EX129" s="526">
        <v>161.77000000000001</v>
      </c>
      <c r="EY129" s="522">
        <v>12</v>
      </c>
      <c r="EZ129" s="526">
        <v>126.22</v>
      </c>
      <c r="FA129" s="522">
        <v>5</v>
      </c>
      <c r="FB129" s="526">
        <v>156.49</v>
      </c>
      <c r="FC129" s="522">
        <v>9</v>
      </c>
      <c r="FD129" s="526">
        <v>205.98</v>
      </c>
      <c r="FE129" s="522">
        <v>1</v>
      </c>
      <c r="FF129" s="526">
        <v>155.07</v>
      </c>
      <c r="FG129" s="522">
        <v>27</v>
      </c>
      <c r="FH129" s="526">
        <v>155.07</v>
      </c>
      <c r="FI129" s="522">
        <v>27</v>
      </c>
      <c r="FJ129" s="522">
        <v>0</v>
      </c>
      <c r="FK129" s="522">
        <v>9</v>
      </c>
      <c r="FL129" s="522">
        <v>6</v>
      </c>
      <c r="FM129" s="522">
        <v>0</v>
      </c>
      <c r="FN129" s="522">
        <v>2</v>
      </c>
      <c r="FO129" s="522">
        <v>1</v>
      </c>
      <c r="FP129" s="522">
        <v>19</v>
      </c>
      <c r="FQ129" s="522">
        <v>90</v>
      </c>
      <c r="FR129" s="522">
        <v>8</v>
      </c>
    </row>
    <row r="130" spans="1:174" x14ac:dyDescent="0.25">
      <c r="A130" s="523" t="s">
        <v>517</v>
      </c>
      <c r="B130" s="523" t="s">
        <v>518</v>
      </c>
      <c r="C130" s="523" t="s">
        <v>283</v>
      </c>
      <c r="D130" s="522">
        <v>6503</v>
      </c>
      <c r="E130" s="522">
        <v>6345</v>
      </c>
      <c r="F130" s="522">
        <v>0</v>
      </c>
      <c r="G130" s="522">
        <v>0</v>
      </c>
      <c r="H130" s="522">
        <v>177</v>
      </c>
      <c r="I130" s="522">
        <v>155</v>
      </c>
      <c r="J130" s="522">
        <v>807</v>
      </c>
      <c r="K130" s="522">
        <v>807</v>
      </c>
      <c r="L130" s="522">
        <v>707</v>
      </c>
      <c r="M130" s="522">
        <v>0</v>
      </c>
      <c r="N130" s="522">
        <v>8194</v>
      </c>
      <c r="O130" s="522">
        <v>7307</v>
      </c>
      <c r="P130" s="522">
        <v>7487</v>
      </c>
      <c r="Q130" s="522">
        <v>46</v>
      </c>
      <c r="R130" s="523">
        <v>8</v>
      </c>
      <c r="S130" s="523">
        <v>27</v>
      </c>
      <c r="T130" s="523">
        <v>253</v>
      </c>
      <c r="U130" s="523">
        <v>7941</v>
      </c>
      <c r="V130" s="522">
        <v>6331</v>
      </c>
      <c r="W130" s="522">
        <v>50</v>
      </c>
      <c r="X130" s="522">
        <v>59</v>
      </c>
      <c r="Y130" s="522">
        <v>109</v>
      </c>
      <c r="Z130" s="524">
        <v>138.86000000000001</v>
      </c>
      <c r="AA130" s="524">
        <v>149.81</v>
      </c>
      <c r="AB130" s="524">
        <v>10.69</v>
      </c>
      <c r="AC130" s="524">
        <v>144.47999999999999</v>
      </c>
      <c r="AD130" s="524">
        <v>5416</v>
      </c>
      <c r="AE130" s="525">
        <v>126.27</v>
      </c>
      <c r="AF130" s="525">
        <v>125.04</v>
      </c>
      <c r="AG130" s="525">
        <v>40.950000000000003</v>
      </c>
      <c r="AH130" s="525">
        <v>165.31</v>
      </c>
      <c r="AI130" s="525">
        <v>899</v>
      </c>
      <c r="AJ130" s="525">
        <v>213.2</v>
      </c>
      <c r="AK130" s="525">
        <v>882</v>
      </c>
      <c r="AL130" s="525">
        <v>246.81</v>
      </c>
      <c r="AM130" s="525">
        <v>4</v>
      </c>
      <c r="AN130" s="526">
        <v>0</v>
      </c>
      <c r="AO130" s="526">
        <v>0</v>
      </c>
      <c r="AP130" s="526">
        <v>0</v>
      </c>
      <c r="AQ130" s="526">
        <v>0</v>
      </c>
      <c r="AR130" s="522">
        <v>0</v>
      </c>
      <c r="AS130" s="526">
        <v>103.25</v>
      </c>
      <c r="AT130" s="526">
        <v>110.99</v>
      </c>
      <c r="AU130" s="526">
        <v>11.24</v>
      </c>
      <c r="AV130" s="526">
        <v>114.26</v>
      </c>
      <c r="AW130" s="522">
        <v>48</v>
      </c>
      <c r="AX130" s="526">
        <v>114.49</v>
      </c>
      <c r="AY130" s="526">
        <v>121.09</v>
      </c>
      <c r="AZ130" s="526">
        <v>11.12</v>
      </c>
      <c r="BA130" s="526">
        <v>124.58</v>
      </c>
      <c r="BB130" s="522">
        <v>1208</v>
      </c>
      <c r="BC130" s="526">
        <v>134.93</v>
      </c>
      <c r="BD130" s="526">
        <v>141.83000000000001</v>
      </c>
      <c r="BE130" s="526">
        <v>12.23</v>
      </c>
      <c r="BF130" s="526">
        <v>142.41999999999999</v>
      </c>
      <c r="BG130" s="522">
        <v>1900</v>
      </c>
      <c r="BH130" s="526">
        <v>154.6</v>
      </c>
      <c r="BI130" s="526">
        <v>171.68</v>
      </c>
      <c r="BJ130" s="526">
        <v>6.16</v>
      </c>
      <c r="BK130" s="526">
        <v>156.01</v>
      </c>
      <c r="BL130" s="522">
        <v>2047</v>
      </c>
      <c r="BM130" s="526">
        <v>168.79</v>
      </c>
      <c r="BN130" s="526">
        <v>181.44</v>
      </c>
      <c r="BO130" s="526">
        <v>8.3800000000000008</v>
      </c>
      <c r="BP130" s="526">
        <v>171.96</v>
      </c>
      <c r="BQ130" s="522">
        <v>201</v>
      </c>
      <c r="BR130" s="526">
        <v>165.49</v>
      </c>
      <c r="BS130" s="526">
        <v>202.65</v>
      </c>
      <c r="BT130" s="526">
        <v>0</v>
      </c>
      <c r="BU130" s="526">
        <v>165.49</v>
      </c>
      <c r="BV130" s="522">
        <v>11</v>
      </c>
      <c r="BW130" s="526">
        <v>200.82</v>
      </c>
      <c r="BX130" s="526">
        <v>223.37</v>
      </c>
      <c r="BY130" s="526">
        <v>0</v>
      </c>
      <c r="BZ130" s="526">
        <v>200.82</v>
      </c>
      <c r="CA130" s="522">
        <v>1</v>
      </c>
      <c r="CB130" s="526">
        <v>138.86000000000001</v>
      </c>
      <c r="CC130" s="526">
        <v>149.81</v>
      </c>
      <c r="CD130" s="526">
        <v>10.69</v>
      </c>
      <c r="CE130" s="526">
        <v>144.47999999999999</v>
      </c>
      <c r="CF130" s="522">
        <v>5416</v>
      </c>
      <c r="CG130" s="526">
        <v>138.86000000000001</v>
      </c>
      <c r="CH130" s="526">
        <v>149.81</v>
      </c>
      <c r="CI130" s="526">
        <v>10.69</v>
      </c>
      <c r="CJ130" s="526">
        <v>144.47999999999999</v>
      </c>
      <c r="CK130" s="522">
        <v>5416</v>
      </c>
      <c r="CL130" s="526">
        <v>103.11</v>
      </c>
      <c r="CM130" s="526">
        <v>102.93</v>
      </c>
      <c r="CN130" s="526">
        <v>115.55</v>
      </c>
      <c r="CO130" s="526">
        <v>189.77</v>
      </c>
      <c r="CP130" s="522">
        <v>60</v>
      </c>
      <c r="CQ130" s="526">
        <v>0</v>
      </c>
      <c r="CR130" s="526">
        <v>0</v>
      </c>
      <c r="CS130" s="526">
        <v>0</v>
      </c>
      <c r="CT130" s="526">
        <v>0</v>
      </c>
      <c r="CU130" s="522">
        <v>0</v>
      </c>
      <c r="CV130" s="526">
        <v>125.21</v>
      </c>
      <c r="CW130" s="526">
        <v>123.59</v>
      </c>
      <c r="CX130" s="526">
        <v>36.909999999999997</v>
      </c>
      <c r="CY130" s="526">
        <v>160.88999999999999</v>
      </c>
      <c r="CZ130" s="522">
        <v>721</v>
      </c>
      <c r="DA130" s="526">
        <v>144.19999999999999</v>
      </c>
      <c r="DB130" s="526">
        <v>142.72999999999999</v>
      </c>
      <c r="DC130" s="526">
        <v>36.07</v>
      </c>
      <c r="DD130" s="526">
        <v>179.35</v>
      </c>
      <c r="DE130" s="522">
        <v>117</v>
      </c>
      <c r="DF130" s="526">
        <v>185.55</v>
      </c>
      <c r="DG130" s="526">
        <v>176.56</v>
      </c>
      <c r="DH130" s="526">
        <v>58.74</v>
      </c>
      <c r="DI130" s="526">
        <v>244.29</v>
      </c>
      <c r="DJ130" s="522">
        <v>1</v>
      </c>
      <c r="DK130" s="526">
        <v>0</v>
      </c>
      <c r="DL130" s="526">
        <v>0</v>
      </c>
      <c r="DM130" s="526">
        <v>0</v>
      </c>
      <c r="DN130" s="526">
        <v>0</v>
      </c>
      <c r="DO130" s="522">
        <v>0</v>
      </c>
      <c r="DP130" s="526">
        <v>127.93</v>
      </c>
      <c r="DQ130" s="526">
        <v>126.31</v>
      </c>
      <c r="DR130" s="526">
        <v>36.82</v>
      </c>
      <c r="DS130" s="526">
        <v>163.56</v>
      </c>
      <c r="DT130" s="522">
        <v>839</v>
      </c>
      <c r="DU130" s="526">
        <v>126.27</v>
      </c>
      <c r="DV130" s="526">
        <v>125.04</v>
      </c>
      <c r="DW130" s="526">
        <v>40.950000000000003</v>
      </c>
      <c r="DX130" s="526">
        <v>165.31</v>
      </c>
      <c r="DY130" s="522">
        <v>899</v>
      </c>
      <c r="DZ130" s="526">
        <v>0</v>
      </c>
      <c r="EA130" s="526">
        <v>0</v>
      </c>
      <c r="EB130" s="526">
        <v>0</v>
      </c>
      <c r="EC130" s="522">
        <v>0</v>
      </c>
      <c r="ED130" s="526">
        <v>176.78</v>
      </c>
      <c r="EE130" s="522">
        <v>297</v>
      </c>
      <c r="EF130" s="526">
        <v>220.39</v>
      </c>
      <c r="EG130" s="522">
        <v>406</v>
      </c>
      <c r="EH130" s="526">
        <v>256.69</v>
      </c>
      <c r="EI130" s="522">
        <v>166</v>
      </c>
      <c r="EJ130" s="526">
        <v>265.08</v>
      </c>
      <c r="EK130" s="522">
        <v>13</v>
      </c>
      <c r="EL130" s="526">
        <v>0</v>
      </c>
      <c r="EM130" s="522">
        <v>0</v>
      </c>
      <c r="EN130" s="526">
        <v>0</v>
      </c>
      <c r="EO130" s="522">
        <v>0</v>
      </c>
      <c r="EP130" s="526">
        <v>213.2</v>
      </c>
      <c r="EQ130" s="522">
        <v>882</v>
      </c>
      <c r="ER130" s="526">
        <v>213.2</v>
      </c>
      <c r="ES130" s="522">
        <v>882</v>
      </c>
      <c r="ET130" s="526">
        <v>0</v>
      </c>
      <c r="EU130" s="526">
        <v>0</v>
      </c>
      <c r="EV130" s="526">
        <v>0</v>
      </c>
      <c r="EW130" s="522">
        <v>0</v>
      </c>
      <c r="EX130" s="526">
        <v>246.81</v>
      </c>
      <c r="EY130" s="522">
        <v>4</v>
      </c>
      <c r="EZ130" s="526">
        <v>0</v>
      </c>
      <c r="FA130" s="522">
        <v>0</v>
      </c>
      <c r="FB130" s="526">
        <v>0</v>
      </c>
      <c r="FC130" s="522">
        <v>0</v>
      </c>
      <c r="FD130" s="526">
        <v>0</v>
      </c>
      <c r="FE130" s="522">
        <v>0</v>
      </c>
      <c r="FF130" s="526">
        <v>246.81</v>
      </c>
      <c r="FG130" s="522">
        <v>4</v>
      </c>
      <c r="FH130" s="526">
        <v>246.81</v>
      </c>
      <c r="FI130" s="522">
        <v>4</v>
      </c>
      <c r="FJ130" s="522">
        <v>64</v>
      </c>
      <c r="FK130" s="522">
        <v>2</v>
      </c>
      <c r="FL130" s="522">
        <v>1</v>
      </c>
      <c r="FM130" s="522">
        <v>0</v>
      </c>
      <c r="FN130" s="522">
        <v>1</v>
      </c>
      <c r="FO130" s="522">
        <v>0</v>
      </c>
      <c r="FP130" s="522">
        <v>9</v>
      </c>
      <c r="FQ130" s="522">
        <v>6</v>
      </c>
      <c r="FR130" s="522">
        <v>4</v>
      </c>
    </row>
    <row r="131" spans="1:174" x14ac:dyDescent="0.25">
      <c r="A131" s="523" t="s">
        <v>519</v>
      </c>
      <c r="B131" s="523" t="s">
        <v>520</v>
      </c>
      <c r="C131" s="523" t="s">
        <v>282</v>
      </c>
      <c r="D131" s="522">
        <v>1176</v>
      </c>
      <c r="E131" s="522">
        <v>1141</v>
      </c>
      <c r="F131" s="522">
        <v>1</v>
      </c>
      <c r="G131" s="522">
        <v>1</v>
      </c>
      <c r="H131" s="522">
        <v>72</v>
      </c>
      <c r="I131" s="522">
        <v>35</v>
      </c>
      <c r="J131" s="522">
        <v>318</v>
      </c>
      <c r="K131" s="522">
        <v>318</v>
      </c>
      <c r="L131" s="522">
        <v>275</v>
      </c>
      <c r="M131" s="522">
        <v>0</v>
      </c>
      <c r="N131" s="522">
        <v>1842</v>
      </c>
      <c r="O131" s="522">
        <v>1495</v>
      </c>
      <c r="P131" s="522">
        <v>1567</v>
      </c>
      <c r="Q131" s="522">
        <v>5</v>
      </c>
      <c r="R131" s="523">
        <v>3</v>
      </c>
      <c r="S131" s="523">
        <v>21</v>
      </c>
      <c r="T131" s="523">
        <v>41</v>
      </c>
      <c r="U131" s="523">
        <v>1801</v>
      </c>
      <c r="V131" s="522">
        <v>1156</v>
      </c>
      <c r="W131" s="522">
        <v>9</v>
      </c>
      <c r="X131" s="522">
        <v>2</v>
      </c>
      <c r="Y131" s="522">
        <v>11</v>
      </c>
      <c r="Z131" s="524">
        <v>109.91</v>
      </c>
      <c r="AA131" s="524">
        <v>109.82</v>
      </c>
      <c r="AB131" s="524">
        <v>10.96</v>
      </c>
      <c r="AC131" s="524">
        <v>115.79</v>
      </c>
      <c r="AD131" s="524">
        <v>789</v>
      </c>
      <c r="AE131" s="525">
        <v>109.99</v>
      </c>
      <c r="AF131" s="525">
        <v>95.96</v>
      </c>
      <c r="AG131" s="525">
        <v>68.650000000000006</v>
      </c>
      <c r="AH131" s="525">
        <v>178.09</v>
      </c>
      <c r="AI131" s="525">
        <v>369</v>
      </c>
      <c r="AJ131" s="525">
        <v>132.84</v>
      </c>
      <c r="AK131" s="525">
        <v>360</v>
      </c>
      <c r="AL131" s="525">
        <v>0</v>
      </c>
      <c r="AM131" s="525">
        <v>0</v>
      </c>
      <c r="AN131" s="526">
        <v>0</v>
      </c>
      <c r="AO131" s="526">
        <v>0</v>
      </c>
      <c r="AP131" s="526">
        <v>0</v>
      </c>
      <c r="AQ131" s="526">
        <v>0</v>
      </c>
      <c r="AR131" s="522">
        <v>0</v>
      </c>
      <c r="AS131" s="526">
        <v>0</v>
      </c>
      <c r="AT131" s="526">
        <v>0</v>
      </c>
      <c r="AU131" s="526">
        <v>0</v>
      </c>
      <c r="AV131" s="526">
        <v>0</v>
      </c>
      <c r="AW131" s="522">
        <v>0</v>
      </c>
      <c r="AX131" s="526">
        <v>93.46</v>
      </c>
      <c r="AY131" s="526">
        <v>93.63</v>
      </c>
      <c r="AZ131" s="526">
        <v>12.17</v>
      </c>
      <c r="BA131" s="526">
        <v>104.44</v>
      </c>
      <c r="BB131" s="522">
        <v>174</v>
      </c>
      <c r="BC131" s="526">
        <v>107.61</v>
      </c>
      <c r="BD131" s="526">
        <v>107.61</v>
      </c>
      <c r="BE131" s="526">
        <v>12.73</v>
      </c>
      <c r="BF131" s="526">
        <v>115.2</v>
      </c>
      <c r="BG131" s="522">
        <v>334</v>
      </c>
      <c r="BH131" s="526">
        <v>122.87</v>
      </c>
      <c r="BI131" s="526">
        <v>122.48</v>
      </c>
      <c r="BJ131" s="526">
        <v>2.8</v>
      </c>
      <c r="BK131" s="526">
        <v>123.54</v>
      </c>
      <c r="BL131" s="522">
        <v>275</v>
      </c>
      <c r="BM131" s="526">
        <v>120.04</v>
      </c>
      <c r="BN131" s="526">
        <v>119.74</v>
      </c>
      <c r="BO131" s="526">
        <v>9.06</v>
      </c>
      <c r="BP131" s="526">
        <v>123.06</v>
      </c>
      <c r="BQ131" s="522">
        <v>6</v>
      </c>
      <c r="BR131" s="526">
        <v>0</v>
      </c>
      <c r="BS131" s="526">
        <v>0</v>
      </c>
      <c r="BT131" s="526">
        <v>0</v>
      </c>
      <c r="BU131" s="526">
        <v>0</v>
      </c>
      <c r="BV131" s="522">
        <v>0</v>
      </c>
      <c r="BW131" s="526">
        <v>0</v>
      </c>
      <c r="BX131" s="526">
        <v>0</v>
      </c>
      <c r="BY131" s="526">
        <v>0</v>
      </c>
      <c r="BZ131" s="526">
        <v>0</v>
      </c>
      <c r="CA131" s="522">
        <v>0</v>
      </c>
      <c r="CB131" s="526">
        <v>109.91</v>
      </c>
      <c r="CC131" s="526">
        <v>109.82</v>
      </c>
      <c r="CD131" s="526">
        <v>10.96</v>
      </c>
      <c r="CE131" s="526">
        <v>115.79</v>
      </c>
      <c r="CF131" s="522">
        <v>789</v>
      </c>
      <c r="CG131" s="526">
        <v>109.91</v>
      </c>
      <c r="CH131" s="526">
        <v>109.82</v>
      </c>
      <c r="CI131" s="526">
        <v>10.96</v>
      </c>
      <c r="CJ131" s="526">
        <v>115.79</v>
      </c>
      <c r="CK131" s="522">
        <v>789</v>
      </c>
      <c r="CL131" s="526">
        <v>103.52</v>
      </c>
      <c r="CM131" s="526">
        <v>83.14</v>
      </c>
      <c r="CN131" s="526">
        <v>36.08</v>
      </c>
      <c r="CO131" s="526">
        <v>139.6</v>
      </c>
      <c r="CP131" s="522">
        <v>18</v>
      </c>
      <c r="CQ131" s="526">
        <v>82.02</v>
      </c>
      <c r="CR131" s="526">
        <v>81.209999999999994</v>
      </c>
      <c r="CS131" s="526">
        <v>53.4</v>
      </c>
      <c r="CT131" s="526">
        <v>134.02000000000001</v>
      </c>
      <c r="CU131" s="522">
        <v>76</v>
      </c>
      <c r="CV131" s="526">
        <v>118.21</v>
      </c>
      <c r="CW131" s="526">
        <v>96.32</v>
      </c>
      <c r="CX131" s="526">
        <v>76.52</v>
      </c>
      <c r="CY131" s="526">
        <v>194.73</v>
      </c>
      <c r="CZ131" s="522">
        <v>222</v>
      </c>
      <c r="DA131" s="526">
        <v>119.4</v>
      </c>
      <c r="DB131" s="526">
        <v>119.23</v>
      </c>
      <c r="DC131" s="526">
        <v>66.849999999999994</v>
      </c>
      <c r="DD131" s="526">
        <v>186.26</v>
      </c>
      <c r="DE131" s="522">
        <v>47</v>
      </c>
      <c r="DF131" s="526">
        <v>96.77</v>
      </c>
      <c r="DG131" s="526">
        <v>113.31</v>
      </c>
      <c r="DH131" s="526">
        <v>97.44</v>
      </c>
      <c r="DI131" s="526">
        <v>174.72</v>
      </c>
      <c r="DJ131" s="522">
        <v>5</v>
      </c>
      <c r="DK131" s="526">
        <v>151.62</v>
      </c>
      <c r="DL131" s="526">
        <v>152.83000000000001</v>
      </c>
      <c r="DM131" s="526">
        <v>5.8</v>
      </c>
      <c r="DN131" s="526">
        <v>157.41999999999999</v>
      </c>
      <c r="DO131" s="522">
        <v>1</v>
      </c>
      <c r="DP131" s="526">
        <v>110.32</v>
      </c>
      <c r="DQ131" s="526">
        <v>96.52</v>
      </c>
      <c r="DR131" s="526">
        <v>70.34</v>
      </c>
      <c r="DS131" s="526">
        <v>180.06</v>
      </c>
      <c r="DT131" s="522">
        <v>351</v>
      </c>
      <c r="DU131" s="526">
        <v>109.99</v>
      </c>
      <c r="DV131" s="526">
        <v>95.96</v>
      </c>
      <c r="DW131" s="526">
        <v>68.650000000000006</v>
      </c>
      <c r="DX131" s="526">
        <v>178.09</v>
      </c>
      <c r="DY131" s="522">
        <v>369</v>
      </c>
      <c r="DZ131" s="526">
        <v>0</v>
      </c>
      <c r="EA131" s="526">
        <v>0</v>
      </c>
      <c r="EB131" s="526">
        <v>0</v>
      </c>
      <c r="EC131" s="522">
        <v>0</v>
      </c>
      <c r="ED131" s="526">
        <v>107.38</v>
      </c>
      <c r="EE131" s="522">
        <v>54</v>
      </c>
      <c r="EF131" s="526">
        <v>127.15</v>
      </c>
      <c r="EG131" s="522">
        <v>174</v>
      </c>
      <c r="EH131" s="526">
        <v>149.93</v>
      </c>
      <c r="EI131" s="522">
        <v>129</v>
      </c>
      <c r="EJ131" s="526">
        <v>186.34</v>
      </c>
      <c r="EK131" s="522">
        <v>3</v>
      </c>
      <c r="EL131" s="526">
        <v>0</v>
      </c>
      <c r="EM131" s="522">
        <v>0</v>
      </c>
      <c r="EN131" s="526">
        <v>0</v>
      </c>
      <c r="EO131" s="522">
        <v>0</v>
      </c>
      <c r="EP131" s="526">
        <v>132.84</v>
      </c>
      <c r="EQ131" s="522">
        <v>360</v>
      </c>
      <c r="ER131" s="526">
        <v>132.84</v>
      </c>
      <c r="ES131" s="522">
        <v>360</v>
      </c>
      <c r="ET131" s="526">
        <v>0</v>
      </c>
      <c r="EU131" s="526">
        <v>0</v>
      </c>
      <c r="EV131" s="526">
        <v>0</v>
      </c>
      <c r="EW131" s="522">
        <v>0</v>
      </c>
      <c r="EX131" s="526">
        <v>0</v>
      </c>
      <c r="EY131" s="522">
        <v>0</v>
      </c>
      <c r="EZ131" s="526">
        <v>0</v>
      </c>
      <c r="FA131" s="522">
        <v>0</v>
      </c>
      <c r="FB131" s="526">
        <v>0</v>
      </c>
      <c r="FC131" s="522">
        <v>0</v>
      </c>
      <c r="FD131" s="526">
        <v>0</v>
      </c>
      <c r="FE131" s="522">
        <v>0</v>
      </c>
      <c r="FF131" s="526">
        <v>0</v>
      </c>
      <c r="FG131" s="522">
        <v>0</v>
      </c>
      <c r="FH131" s="526">
        <v>0</v>
      </c>
      <c r="FI131" s="522">
        <v>0</v>
      </c>
      <c r="FJ131" s="522">
        <v>0</v>
      </c>
      <c r="FK131" s="522">
        <v>0</v>
      </c>
      <c r="FL131" s="522">
        <v>0</v>
      </c>
      <c r="FM131" s="522">
        <v>0</v>
      </c>
      <c r="FN131" s="522">
        <v>0</v>
      </c>
      <c r="FO131" s="522">
        <v>0</v>
      </c>
      <c r="FP131" s="522">
        <v>0</v>
      </c>
      <c r="FQ131" s="522">
        <v>10</v>
      </c>
      <c r="FR131" s="522">
        <v>7</v>
      </c>
    </row>
    <row r="132" spans="1:174" x14ac:dyDescent="0.25">
      <c r="A132" s="523" t="s">
        <v>521</v>
      </c>
      <c r="B132" s="523" t="s">
        <v>522</v>
      </c>
      <c r="C132" s="523" t="s">
        <v>284</v>
      </c>
      <c r="D132" s="522">
        <v>6861</v>
      </c>
      <c r="E132" s="522">
        <v>6574</v>
      </c>
      <c r="F132" s="522">
        <v>4</v>
      </c>
      <c r="G132" s="522">
        <v>0</v>
      </c>
      <c r="H132" s="522">
        <v>497</v>
      </c>
      <c r="I132" s="522">
        <v>315</v>
      </c>
      <c r="J132" s="522">
        <v>615</v>
      </c>
      <c r="K132" s="522">
        <v>538</v>
      </c>
      <c r="L132" s="522">
        <v>1434</v>
      </c>
      <c r="M132" s="522">
        <v>9</v>
      </c>
      <c r="N132" s="522">
        <v>9411</v>
      </c>
      <c r="O132" s="522">
        <v>7436</v>
      </c>
      <c r="P132" s="522">
        <v>7977</v>
      </c>
      <c r="Q132" s="522">
        <v>26</v>
      </c>
      <c r="R132" s="523">
        <v>15</v>
      </c>
      <c r="S132" s="523">
        <v>31</v>
      </c>
      <c r="T132" s="523">
        <v>329</v>
      </c>
      <c r="U132" s="523">
        <v>9082</v>
      </c>
      <c r="V132" s="522">
        <v>6591</v>
      </c>
      <c r="W132" s="522">
        <v>111</v>
      </c>
      <c r="X132" s="522">
        <v>33</v>
      </c>
      <c r="Y132" s="522">
        <v>144</v>
      </c>
      <c r="Z132" s="524">
        <v>141.24</v>
      </c>
      <c r="AA132" s="524">
        <v>143.03</v>
      </c>
      <c r="AB132" s="524">
        <v>15.11</v>
      </c>
      <c r="AC132" s="524">
        <v>152.04</v>
      </c>
      <c r="AD132" s="524">
        <v>5161</v>
      </c>
      <c r="AE132" s="525">
        <v>129.12</v>
      </c>
      <c r="AF132" s="525">
        <v>123.39</v>
      </c>
      <c r="AG132" s="525">
        <v>75.760000000000005</v>
      </c>
      <c r="AH132" s="525">
        <v>196.39</v>
      </c>
      <c r="AI132" s="525">
        <v>1000</v>
      </c>
      <c r="AJ132" s="525">
        <v>215.65</v>
      </c>
      <c r="AK132" s="525">
        <v>1025</v>
      </c>
      <c r="AL132" s="525">
        <v>186.48</v>
      </c>
      <c r="AM132" s="525">
        <v>57</v>
      </c>
      <c r="AN132" s="526">
        <v>0</v>
      </c>
      <c r="AO132" s="526">
        <v>0</v>
      </c>
      <c r="AP132" s="526">
        <v>0</v>
      </c>
      <c r="AQ132" s="526">
        <v>0</v>
      </c>
      <c r="AR132" s="522">
        <v>0</v>
      </c>
      <c r="AS132" s="526">
        <v>94.52</v>
      </c>
      <c r="AT132" s="526">
        <v>93.76</v>
      </c>
      <c r="AU132" s="526">
        <v>18.579999999999998</v>
      </c>
      <c r="AV132" s="526">
        <v>113.1</v>
      </c>
      <c r="AW132" s="522">
        <v>23</v>
      </c>
      <c r="AX132" s="526">
        <v>116.9</v>
      </c>
      <c r="AY132" s="526">
        <v>117.92</v>
      </c>
      <c r="AZ132" s="526">
        <v>16.059999999999999</v>
      </c>
      <c r="BA132" s="526">
        <v>132.38999999999999</v>
      </c>
      <c r="BB132" s="522">
        <v>938</v>
      </c>
      <c r="BC132" s="526">
        <v>138.75</v>
      </c>
      <c r="BD132" s="526">
        <v>139.16999999999999</v>
      </c>
      <c r="BE132" s="526">
        <v>14.78</v>
      </c>
      <c r="BF132" s="526">
        <v>149.69</v>
      </c>
      <c r="BG132" s="522">
        <v>2323</v>
      </c>
      <c r="BH132" s="526">
        <v>154.6</v>
      </c>
      <c r="BI132" s="526">
        <v>157.21</v>
      </c>
      <c r="BJ132" s="526">
        <v>14.11</v>
      </c>
      <c r="BK132" s="526">
        <v>162.02000000000001</v>
      </c>
      <c r="BL132" s="522">
        <v>1588</v>
      </c>
      <c r="BM132" s="526">
        <v>168.76</v>
      </c>
      <c r="BN132" s="526">
        <v>176.74</v>
      </c>
      <c r="BO132" s="526">
        <v>17.97</v>
      </c>
      <c r="BP132" s="526">
        <v>181.61</v>
      </c>
      <c r="BQ132" s="522">
        <v>260</v>
      </c>
      <c r="BR132" s="526">
        <v>186.28</v>
      </c>
      <c r="BS132" s="526">
        <v>203.84</v>
      </c>
      <c r="BT132" s="526">
        <v>11.05</v>
      </c>
      <c r="BU132" s="526">
        <v>194.29</v>
      </c>
      <c r="BV132" s="522">
        <v>29</v>
      </c>
      <c r="BW132" s="526">
        <v>0</v>
      </c>
      <c r="BX132" s="526">
        <v>0</v>
      </c>
      <c r="BY132" s="526">
        <v>0</v>
      </c>
      <c r="BZ132" s="526">
        <v>0</v>
      </c>
      <c r="CA132" s="522">
        <v>0</v>
      </c>
      <c r="CB132" s="526">
        <v>141.24</v>
      </c>
      <c r="CC132" s="526">
        <v>143.03</v>
      </c>
      <c r="CD132" s="526">
        <v>15.11</v>
      </c>
      <c r="CE132" s="526">
        <v>152.04</v>
      </c>
      <c r="CF132" s="522">
        <v>5161</v>
      </c>
      <c r="CG132" s="526">
        <v>141.24</v>
      </c>
      <c r="CH132" s="526">
        <v>143.03</v>
      </c>
      <c r="CI132" s="526">
        <v>15.11</v>
      </c>
      <c r="CJ132" s="526">
        <v>152.04</v>
      </c>
      <c r="CK132" s="522">
        <v>5161</v>
      </c>
      <c r="CL132" s="526">
        <v>125.2</v>
      </c>
      <c r="CM132" s="526">
        <v>130.22</v>
      </c>
      <c r="CN132" s="526">
        <v>134.47</v>
      </c>
      <c r="CO132" s="526">
        <v>249.71</v>
      </c>
      <c r="CP132" s="522">
        <v>189</v>
      </c>
      <c r="CQ132" s="526">
        <v>106.05</v>
      </c>
      <c r="CR132" s="526">
        <v>102.96</v>
      </c>
      <c r="CS132" s="526">
        <v>71.599999999999994</v>
      </c>
      <c r="CT132" s="526">
        <v>177.65</v>
      </c>
      <c r="CU132" s="522">
        <v>218</v>
      </c>
      <c r="CV132" s="526">
        <v>130.94</v>
      </c>
      <c r="CW132" s="526">
        <v>118.8</v>
      </c>
      <c r="CX132" s="526">
        <v>57.8</v>
      </c>
      <c r="CY132" s="526">
        <v>176.36</v>
      </c>
      <c r="CZ132" s="522">
        <v>453</v>
      </c>
      <c r="DA132" s="526">
        <v>164.57</v>
      </c>
      <c r="DB132" s="526">
        <v>156.36000000000001</v>
      </c>
      <c r="DC132" s="526">
        <v>56.2</v>
      </c>
      <c r="DD132" s="526">
        <v>220.34</v>
      </c>
      <c r="DE132" s="522">
        <v>131</v>
      </c>
      <c r="DF132" s="526">
        <v>162.29</v>
      </c>
      <c r="DG132" s="526">
        <v>163.94</v>
      </c>
      <c r="DH132" s="526">
        <v>27.56</v>
      </c>
      <c r="DI132" s="526">
        <v>189.85</v>
      </c>
      <c r="DJ132" s="522">
        <v>9</v>
      </c>
      <c r="DK132" s="526">
        <v>0</v>
      </c>
      <c r="DL132" s="526">
        <v>0</v>
      </c>
      <c r="DM132" s="526">
        <v>0</v>
      </c>
      <c r="DN132" s="526">
        <v>0</v>
      </c>
      <c r="DO132" s="522">
        <v>0</v>
      </c>
      <c r="DP132" s="526">
        <v>130.03</v>
      </c>
      <c r="DQ132" s="526">
        <v>121.8</v>
      </c>
      <c r="DR132" s="526">
        <v>61.35</v>
      </c>
      <c r="DS132" s="526">
        <v>183.96</v>
      </c>
      <c r="DT132" s="522">
        <v>811</v>
      </c>
      <c r="DU132" s="526">
        <v>129.12</v>
      </c>
      <c r="DV132" s="526">
        <v>123.39</v>
      </c>
      <c r="DW132" s="526">
        <v>75.760000000000005</v>
      </c>
      <c r="DX132" s="526">
        <v>196.39</v>
      </c>
      <c r="DY132" s="522">
        <v>1000</v>
      </c>
      <c r="DZ132" s="526">
        <v>140.08000000000001</v>
      </c>
      <c r="EA132" s="526">
        <v>4</v>
      </c>
      <c r="EB132" s="526">
        <v>182.9</v>
      </c>
      <c r="EC132" s="522">
        <v>10</v>
      </c>
      <c r="ED132" s="526">
        <v>187.59</v>
      </c>
      <c r="EE132" s="522">
        <v>307</v>
      </c>
      <c r="EF132" s="526">
        <v>220.53</v>
      </c>
      <c r="EG132" s="522">
        <v>518</v>
      </c>
      <c r="EH132" s="526">
        <v>253.25</v>
      </c>
      <c r="EI132" s="522">
        <v>173</v>
      </c>
      <c r="EJ132" s="526">
        <v>232.19</v>
      </c>
      <c r="EK132" s="522">
        <v>13</v>
      </c>
      <c r="EL132" s="526">
        <v>0</v>
      </c>
      <c r="EM132" s="522">
        <v>0</v>
      </c>
      <c r="EN132" s="526">
        <v>0</v>
      </c>
      <c r="EO132" s="522">
        <v>0</v>
      </c>
      <c r="EP132" s="526">
        <v>215.95</v>
      </c>
      <c r="EQ132" s="522">
        <v>1021</v>
      </c>
      <c r="ER132" s="526">
        <v>215.65</v>
      </c>
      <c r="ES132" s="522">
        <v>1025</v>
      </c>
      <c r="ET132" s="526">
        <v>0</v>
      </c>
      <c r="EU132" s="526">
        <v>0</v>
      </c>
      <c r="EV132" s="526">
        <v>0</v>
      </c>
      <c r="EW132" s="522">
        <v>0</v>
      </c>
      <c r="EX132" s="526">
        <v>185.14</v>
      </c>
      <c r="EY132" s="522">
        <v>54</v>
      </c>
      <c r="EZ132" s="526">
        <v>210.61</v>
      </c>
      <c r="FA132" s="522">
        <v>3</v>
      </c>
      <c r="FB132" s="526">
        <v>0</v>
      </c>
      <c r="FC132" s="522">
        <v>0</v>
      </c>
      <c r="FD132" s="526">
        <v>0</v>
      </c>
      <c r="FE132" s="522">
        <v>0</v>
      </c>
      <c r="FF132" s="526">
        <v>186.48</v>
      </c>
      <c r="FG132" s="522">
        <v>57</v>
      </c>
      <c r="FH132" s="526">
        <v>186.48</v>
      </c>
      <c r="FI132" s="522">
        <v>57</v>
      </c>
      <c r="FJ132" s="522">
        <v>33</v>
      </c>
      <c r="FK132" s="522">
        <v>0</v>
      </c>
      <c r="FL132" s="522">
        <v>0</v>
      </c>
      <c r="FM132" s="522">
        <v>0</v>
      </c>
      <c r="FN132" s="522">
        <v>0</v>
      </c>
      <c r="FO132" s="522">
        <v>0</v>
      </c>
      <c r="FP132" s="522">
        <v>3</v>
      </c>
      <c r="FQ132" s="522">
        <v>113</v>
      </c>
      <c r="FR132" s="522">
        <v>23</v>
      </c>
    </row>
    <row r="133" spans="1:174" x14ac:dyDescent="0.25">
      <c r="A133" s="523" t="s">
        <v>523</v>
      </c>
      <c r="B133" s="523" t="s">
        <v>524</v>
      </c>
      <c r="C133" s="523" t="s">
        <v>282</v>
      </c>
      <c r="D133" s="522">
        <v>2255</v>
      </c>
      <c r="E133" s="522">
        <v>2185</v>
      </c>
      <c r="F133" s="522">
        <v>1</v>
      </c>
      <c r="G133" s="522">
        <v>0</v>
      </c>
      <c r="H133" s="522">
        <v>181</v>
      </c>
      <c r="I133" s="522">
        <v>93</v>
      </c>
      <c r="J133" s="522">
        <v>148</v>
      </c>
      <c r="K133" s="522">
        <v>148</v>
      </c>
      <c r="L133" s="522">
        <v>614</v>
      </c>
      <c r="M133" s="522">
        <v>51</v>
      </c>
      <c r="N133" s="522">
        <v>3199</v>
      </c>
      <c r="O133" s="522">
        <v>2477</v>
      </c>
      <c r="P133" s="522">
        <v>2585</v>
      </c>
      <c r="Q133" s="522">
        <v>2</v>
      </c>
      <c r="R133" s="523">
        <v>5</v>
      </c>
      <c r="S133" s="523">
        <v>22</v>
      </c>
      <c r="T133" s="523">
        <v>61</v>
      </c>
      <c r="U133" s="523">
        <v>3138</v>
      </c>
      <c r="V133" s="522">
        <v>2255</v>
      </c>
      <c r="W133" s="522">
        <v>15</v>
      </c>
      <c r="X133" s="522">
        <v>8</v>
      </c>
      <c r="Y133" s="522">
        <v>23</v>
      </c>
      <c r="Z133" s="524">
        <v>104.19</v>
      </c>
      <c r="AA133" s="524">
        <v>104.61</v>
      </c>
      <c r="AB133" s="524">
        <v>6.58</v>
      </c>
      <c r="AC133" s="524">
        <v>107.83</v>
      </c>
      <c r="AD133" s="524">
        <v>1386</v>
      </c>
      <c r="AE133" s="525">
        <v>133.22999999999999</v>
      </c>
      <c r="AF133" s="525">
        <v>87.07</v>
      </c>
      <c r="AG133" s="525">
        <v>65.319999999999993</v>
      </c>
      <c r="AH133" s="525">
        <v>194.3</v>
      </c>
      <c r="AI133" s="525">
        <v>246</v>
      </c>
      <c r="AJ133" s="525">
        <v>133.30000000000001</v>
      </c>
      <c r="AK133" s="525">
        <v>832</v>
      </c>
      <c r="AL133" s="525">
        <v>217.52</v>
      </c>
      <c r="AM133" s="525">
        <v>23</v>
      </c>
      <c r="AN133" s="526">
        <v>0</v>
      </c>
      <c r="AO133" s="526">
        <v>0</v>
      </c>
      <c r="AP133" s="526">
        <v>0</v>
      </c>
      <c r="AQ133" s="526">
        <v>0</v>
      </c>
      <c r="AR133" s="522">
        <v>0</v>
      </c>
      <c r="AS133" s="526">
        <v>0</v>
      </c>
      <c r="AT133" s="526">
        <v>0</v>
      </c>
      <c r="AU133" s="526">
        <v>0</v>
      </c>
      <c r="AV133" s="526">
        <v>0</v>
      </c>
      <c r="AW133" s="522">
        <v>0</v>
      </c>
      <c r="AX133" s="526">
        <v>88.14</v>
      </c>
      <c r="AY133" s="526">
        <v>88.53</v>
      </c>
      <c r="AZ133" s="526">
        <v>11.45</v>
      </c>
      <c r="BA133" s="526">
        <v>97.64</v>
      </c>
      <c r="BB133" s="522">
        <v>264</v>
      </c>
      <c r="BC133" s="526">
        <v>103.58</v>
      </c>
      <c r="BD133" s="526">
        <v>103.82</v>
      </c>
      <c r="BE133" s="526">
        <v>5.5</v>
      </c>
      <c r="BF133" s="526">
        <v>106.51</v>
      </c>
      <c r="BG133" s="522">
        <v>687</v>
      </c>
      <c r="BH133" s="526">
        <v>113.66</v>
      </c>
      <c r="BI133" s="526">
        <v>114.43</v>
      </c>
      <c r="BJ133" s="526">
        <v>2.96</v>
      </c>
      <c r="BK133" s="526">
        <v>114.88</v>
      </c>
      <c r="BL133" s="522">
        <v>416</v>
      </c>
      <c r="BM133" s="526">
        <v>141.19999999999999</v>
      </c>
      <c r="BN133" s="526">
        <v>141.34</v>
      </c>
      <c r="BO133" s="526">
        <v>1.8</v>
      </c>
      <c r="BP133" s="526">
        <v>142.19999999999999</v>
      </c>
      <c r="BQ133" s="522">
        <v>18</v>
      </c>
      <c r="BR133" s="526">
        <v>151.97</v>
      </c>
      <c r="BS133" s="526">
        <v>150.30000000000001</v>
      </c>
      <c r="BT133" s="526">
        <v>0</v>
      </c>
      <c r="BU133" s="526">
        <v>151.97</v>
      </c>
      <c r="BV133" s="522">
        <v>1</v>
      </c>
      <c r="BW133" s="526">
        <v>0</v>
      </c>
      <c r="BX133" s="526">
        <v>0</v>
      </c>
      <c r="BY133" s="526">
        <v>0</v>
      </c>
      <c r="BZ133" s="526">
        <v>0</v>
      </c>
      <c r="CA133" s="522">
        <v>0</v>
      </c>
      <c r="CB133" s="526">
        <v>104.19</v>
      </c>
      <c r="CC133" s="526">
        <v>104.61</v>
      </c>
      <c r="CD133" s="526">
        <v>6.58</v>
      </c>
      <c r="CE133" s="526">
        <v>107.83</v>
      </c>
      <c r="CF133" s="522">
        <v>1386</v>
      </c>
      <c r="CG133" s="526">
        <v>104.19</v>
      </c>
      <c r="CH133" s="526">
        <v>104.61</v>
      </c>
      <c r="CI133" s="526">
        <v>6.58</v>
      </c>
      <c r="CJ133" s="526">
        <v>107.83</v>
      </c>
      <c r="CK133" s="522">
        <v>1386</v>
      </c>
      <c r="CL133" s="526">
        <v>176.74</v>
      </c>
      <c r="CM133" s="526">
        <v>71.599999999999994</v>
      </c>
      <c r="CN133" s="526">
        <v>125.97</v>
      </c>
      <c r="CO133" s="526">
        <v>279.27</v>
      </c>
      <c r="CP133" s="522">
        <v>86</v>
      </c>
      <c r="CQ133" s="526">
        <v>0</v>
      </c>
      <c r="CR133" s="526">
        <v>0</v>
      </c>
      <c r="CS133" s="526">
        <v>0</v>
      </c>
      <c r="CT133" s="526">
        <v>0</v>
      </c>
      <c r="CU133" s="522">
        <v>0</v>
      </c>
      <c r="CV133" s="526">
        <v>111.74</v>
      </c>
      <c r="CW133" s="526">
        <v>88.6</v>
      </c>
      <c r="CX133" s="526">
        <v>43.73</v>
      </c>
      <c r="CY133" s="526">
        <v>155.47</v>
      </c>
      <c r="CZ133" s="522">
        <v>124</v>
      </c>
      <c r="DA133" s="526">
        <v>103.32</v>
      </c>
      <c r="DB133" s="526">
        <v>95.83</v>
      </c>
      <c r="DC133" s="526">
        <v>21.73</v>
      </c>
      <c r="DD133" s="526">
        <v>125.06</v>
      </c>
      <c r="DE133" s="522">
        <v>36</v>
      </c>
      <c r="DF133" s="526">
        <v>0</v>
      </c>
      <c r="DG133" s="526">
        <v>0</v>
      </c>
      <c r="DH133" s="526">
        <v>0</v>
      </c>
      <c r="DI133" s="526">
        <v>0</v>
      </c>
      <c r="DJ133" s="522">
        <v>0</v>
      </c>
      <c r="DK133" s="526">
        <v>0</v>
      </c>
      <c r="DL133" s="526">
        <v>0</v>
      </c>
      <c r="DM133" s="526">
        <v>0</v>
      </c>
      <c r="DN133" s="526">
        <v>0</v>
      </c>
      <c r="DO133" s="522">
        <v>0</v>
      </c>
      <c r="DP133" s="526">
        <v>109.85</v>
      </c>
      <c r="DQ133" s="526">
        <v>90.42</v>
      </c>
      <c r="DR133" s="526">
        <v>38.78</v>
      </c>
      <c r="DS133" s="526">
        <v>148.63</v>
      </c>
      <c r="DT133" s="522">
        <v>160</v>
      </c>
      <c r="DU133" s="526">
        <v>133.22999999999999</v>
      </c>
      <c r="DV133" s="526">
        <v>87.07</v>
      </c>
      <c r="DW133" s="526">
        <v>65.319999999999993</v>
      </c>
      <c r="DX133" s="526">
        <v>194.3</v>
      </c>
      <c r="DY133" s="522">
        <v>246</v>
      </c>
      <c r="DZ133" s="526">
        <v>0</v>
      </c>
      <c r="EA133" s="526">
        <v>0</v>
      </c>
      <c r="EB133" s="526">
        <v>0</v>
      </c>
      <c r="EC133" s="522">
        <v>0</v>
      </c>
      <c r="ED133" s="526">
        <v>104.95</v>
      </c>
      <c r="EE133" s="522">
        <v>149</v>
      </c>
      <c r="EF133" s="526">
        <v>130.71</v>
      </c>
      <c r="EG133" s="522">
        <v>451</v>
      </c>
      <c r="EH133" s="526">
        <v>150.43</v>
      </c>
      <c r="EI133" s="522">
        <v>201</v>
      </c>
      <c r="EJ133" s="526">
        <v>196.02</v>
      </c>
      <c r="EK133" s="522">
        <v>31</v>
      </c>
      <c r="EL133" s="526">
        <v>0</v>
      </c>
      <c r="EM133" s="522">
        <v>0</v>
      </c>
      <c r="EN133" s="526">
        <v>0</v>
      </c>
      <c r="EO133" s="522">
        <v>0</v>
      </c>
      <c r="EP133" s="526">
        <v>133.30000000000001</v>
      </c>
      <c r="EQ133" s="522">
        <v>832</v>
      </c>
      <c r="ER133" s="526">
        <v>133.30000000000001</v>
      </c>
      <c r="ES133" s="522">
        <v>832</v>
      </c>
      <c r="ET133" s="526">
        <v>0</v>
      </c>
      <c r="EU133" s="526">
        <v>0</v>
      </c>
      <c r="EV133" s="526">
        <v>0</v>
      </c>
      <c r="EW133" s="522">
        <v>0</v>
      </c>
      <c r="EX133" s="526">
        <v>217.52</v>
      </c>
      <c r="EY133" s="522">
        <v>23</v>
      </c>
      <c r="EZ133" s="526">
        <v>0</v>
      </c>
      <c r="FA133" s="522">
        <v>0</v>
      </c>
      <c r="FB133" s="526">
        <v>0</v>
      </c>
      <c r="FC133" s="522">
        <v>0</v>
      </c>
      <c r="FD133" s="526">
        <v>0</v>
      </c>
      <c r="FE133" s="522">
        <v>0</v>
      </c>
      <c r="FF133" s="526">
        <v>217.52</v>
      </c>
      <c r="FG133" s="522">
        <v>23</v>
      </c>
      <c r="FH133" s="526">
        <v>217.52</v>
      </c>
      <c r="FI133" s="522">
        <v>23</v>
      </c>
      <c r="FJ133" s="522">
        <v>0</v>
      </c>
      <c r="FK133" s="522">
        <v>0</v>
      </c>
      <c r="FL133" s="522">
        <v>0</v>
      </c>
      <c r="FM133" s="522">
        <v>0</v>
      </c>
      <c r="FN133" s="522">
        <v>0</v>
      </c>
      <c r="FO133" s="522">
        <v>0</v>
      </c>
      <c r="FP133" s="522">
        <v>10</v>
      </c>
      <c r="FQ133" s="522">
        <v>73</v>
      </c>
      <c r="FR133" s="522">
        <v>4</v>
      </c>
    </row>
    <row r="134" spans="1:174" x14ac:dyDescent="0.25">
      <c r="A134" s="523" t="s">
        <v>525</v>
      </c>
      <c r="B134" s="523" t="s">
        <v>526</v>
      </c>
      <c r="C134" s="523" t="s">
        <v>2</v>
      </c>
      <c r="D134" s="522">
        <v>6244</v>
      </c>
      <c r="E134" s="522">
        <v>6082</v>
      </c>
      <c r="F134" s="522">
        <v>0</v>
      </c>
      <c r="G134" s="522">
        <v>0</v>
      </c>
      <c r="H134" s="522">
        <v>103</v>
      </c>
      <c r="I134" s="522">
        <v>5</v>
      </c>
      <c r="J134" s="522">
        <v>1039</v>
      </c>
      <c r="K134" s="522">
        <v>1005</v>
      </c>
      <c r="L134" s="522">
        <v>1182</v>
      </c>
      <c r="M134" s="522">
        <v>153</v>
      </c>
      <c r="N134" s="522">
        <v>8568</v>
      </c>
      <c r="O134" s="522">
        <v>7245</v>
      </c>
      <c r="P134" s="522">
        <v>7386</v>
      </c>
      <c r="Q134" s="522">
        <v>8</v>
      </c>
      <c r="R134" s="523">
        <v>5</v>
      </c>
      <c r="S134" s="523">
        <v>31</v>
      </c>
      <c r="T134" s="523">
        <v>157</v>
      </c>
      <c r="U134" s="523">
        <v>8411</v>
      </c>
      <c r="V134" s="522">
        <v>6210</v>
      </c>
      <c r="W134" s="522">
        <v>26</v>
      </c>
      <c r="X134" s="522">
        <v>90</v>
      </c>
      <c r="Y134" s="522">
        <v>116</v>
      </c>
      <c r="Z134" s="524">
        <v>127.41</v>
      </c>
      <c r="AA134" s="524">
        <v>130.5</v>
      </c>
      <c r="AB134" s="524">
        <v>7.28</v>
      </c>
      <c r="AC134" s="524">
        <v>131.77000000000001</v>
      </c>
      <c r="AD134" s="524">
        <v>4637</v>
      </c>
      <c r="AE134" s="525">
        <v>111.99</v>
      </c>
      <c r="AF134" s="525">
        <v>111.9</v>
      </c>
      <c r="AG134" s="525">
        <v>39.49</v>
      </c>
      <c r="AH134" s="525">
        <v>151.04</v>
      </c>
      <c r="AI134" s="525">
        <v>902</v>
      </c>
      <c r="AJ134" s="525">
        <v>195.9</v>
      </c>
      <c r="AK134" s="525">
        <v>1555</v>
      </c>
      <c r="AL134" s="525">
        <v>262.77</v>
      </c>
      <c r="AM134" s="525">
        <v>117</v>
      </c>
      <c r="AN134" s="526">
        <v>0</v>
      </c>
      <c r="AO134" s="526">
        <v>0</v>
      </c>
      <c r="AP134" s="526">
        <v>0</v>
      </c>
      <c r="AQ134" s="526">
        <v>0</v>
      </c>
      <c r="AR134" s="522">
        <v>0</v>
      </c>
      <c r="AS134" s="526">
        <v>90.3</v>
      </c>
      <c r="AT134" s="526">
        <v>90.54</v>
      </c>
      <c r="AU134" s="526">
        <v>12.87</v>
      </c>
      <c r="AV134" s="526">
        <v>100.41</v>
      </c>
      <c r="AW134" s="522">
        <v>112</v>
      </c>
      <c r="AX134" s="526">
        <v>106.66</v>
      </c>
      <c r="AY134" s="526">
        <v>107.95</v>
      </c>
      <c r="AZ134" s="526">
        <v>8.3699999999999992</v>
      </c>
      <c r="BA134" s="526">
        <v>114.43</v>
      </c>
      <c r="BB134" s="522">
        <v>1052</v>
      </c>
      <c r="BC134" s="526">
        <v>124.96</v>
      </c>
      <c r="BD134" s="526">
        <v>127.79</v>
      </c>
      <c r="BE134" s="526">
        <v>8.11</v>
      </c>
      <c r="BF134" s="526">
        <v>130.44999999999999</v>
      </c>
      <c r="BG134" s="522">
        <v>1665</v>
      </c>
      <c r="BH134" s="526">
        <v>143.55000000000001</v>
      </c>
      <c r="BI134" s="526">
        <v>148.02000000000001</v>
      </c>
      <c r="BJ134" s="526">
        <v>2.97</v>
      </c>
      <c r="BK134" s="526">
        <v>144.5</v>
      </c>
      <c r="BL134" s="522">
        <v>1754</v>
      </c>
      <c r="BM134" s="526">
        <v>160.02000000000001</v>
      </c>
      <c r="BN134" s="526">
        <v>166.77</v>
      </c>
      <c r="BO134" s="526">
        <v>3.47</v>
      </c>
      <c r="BP134" s="526">
        <v>161.75</v>
      </c>
      <c r="BQ134" s="522">
        <v>54</v>
      </c>
      <c r="BR134" s="526">
        <v>0</v>
      </c>
      <c r="BS134" s="526">
        <v>0</v>
      </c>
      <c r="BT134" s="526">
        <v>0</v>
      </c>
      <c r="BU134" s="526">
        <v>0</v>
      </c>
      <c r="BV134" s="522">
        <v>0</v>
      </c>
      <c r="BW134" s="526">
        <v>0</v>
      </c>
      <c r="BX134" s="526">
        <v>0</v>
      </c>
      <c r="BY134" s="526">
        <v>0</v>
      </c>
      <c r="BZ134" s="526">
        <v>0</v>
      </c>
      <c r="CA134" s="522">
        <v>0</v>
      </c>
      <c r="CB134" s="526">
        <v>127.41</v>
      </c>
      <c r="CC134" s="526">
        <v>130.5</v>
      </c>
      <c r="CD134" s="526">
        <v>7.28</v>
      </c>
      <c r="CE134" s="526">
        <v>131.77000000000001</v>
      </c>
      <c r="CF134" s="522">
        <v>4637</v>
      </c>
      <c r="CG134" s="526">
        <v>127.41</v>
      </c>
      <c r="CH134" s="526">
        <v>130.5</v>
      </c>
      <c r="CI134" s="526">
        <v>7.28</v>
      </c>
      <c r="CJ134" s="526">
        <v>131.77000000000001</v>
      </c>
      <c r="CK134" s="522">
        <v>4637</v>
      </c>
      <c r="CL134" s="526">
        <v>95.73</v>
      </c>
      <c r="CM134" s="526">
        <v>95.73</v>
      </c>
      <c r="CN134" s="526">
        <v>29.21</v>
      </c>
      <c r="CO134" s="526">
        <v>124.94</v>
      </c>
      <c r="CP134" s="522">
        <v>2</v>
      </c>
      <c r="CQ134" s="526">
        <v>88.97</v>
      </c>
      <c r="CR134" s="526">
        <v>90.09</v>
      </c>
      <c r="CS134" s="526">
        <v>45.46</v>
      </c>
      <c r="CT134" s="526">
        <v>134.43</v>
      </c>
      <c r="CU134" s="522">
        <v>173</v>
      </c>
      <c r="CV134" s="526">
        <v>113.53</v>
      </c>
      <c r="CW134" s="526">
        <v>113</v>
      </c>
      <c r="CX134" s="526">
        <v>37.67</v>
      </c>
      <c r="CY134" s="526">
        <v>150.62</v>
      </c>
      <c r="CZ134" s="522">
        <v>583</v>
      </c>
      <c r="DA134" s="526">
        <v>133.02000000000001</v>
      </c>
      <c r="DB134" s="526">
        <v>133.28</v>
      </c>
      <c r="DC134" s="526">
        <v>39.659999999999997</v>
      </c>
      <c r="DD134" s="526">
        <v>172.39</v>
      </c>
      <c r="DE134" s="522">
        <v>137</v>
      </c>
      <c r="DF134" s="526">
        <v>145.29</v>
      </c>
      <c r="DG134" s="526">
        <v>145.65</v>
      </c>
      <c r="DH134" s="526">
        <v>40.549999999999997</v>
      </c>
      <c r="DI134" s="526">
        <v>185.84</v>
      </c>
      <c r="DJ134" s="522">
        <v>7</v>
      </c>
      <c r="DK134" s="526">
        <v>0</v>
      </c>
      <c r="DL134" s="526">
        <v>0</v>
      </c>
      <c r="DM134" s="526">
        <v>0</v>
      </c>
      <c r="DN134" s="526">
        <v>0</v>
      </c>
      <c r="DO134" s="522">
        <v>0</v>
      </c>
      <c r="DP134" s="526">
        <v>112.03</v>
      </c>
      <c r="DQ134" s="526">
        <v>111.94</v>
      </c>
      <c r="DR134" s="526">
        <v>39.51</v>
      </c>
      <c r="DS134" s="526">
        <v>151.09</v>
      </c>
      <c r="DT134" s="522">
        <v>900</v>
      </c>
      <c r="DU134" s="526">
        <v>111.99</v>
      </c>
      <c r="DV134" s="526">
        <v>111.9</v>
      </c>
      <c r="DW134" s="526">
        <v>39.49</v>
      </c>
      <c r="DX134" s="526">
        <v>151.04</v>
      </c>
      <c r="DY134" s="522">
        <v>902</v>
      </c>
      <c r="DZ134" s="526">
        <v>0</v>
      </c>
      <c r="EA134" s="526">
        <v>0</v>
      </c>
      <c r="EB134" s="526">
        <v>111.55</v>
      </c>
      <c r="EC134" s="522">
        <v>5</v>
      </c>
      <c r="ED134" s="526">
        <v>158.54</v>
      </c>
      <c r="EE134" s="522">
        <v>349</v>
      </c>
      <c r="EF134" s="526">
        <v>196.6</v>
      </c>
      <c r="EG134" s="522">
        <v>810</v>
      </c>
      <c r="EH134" s="526">
        <v>224.49</v>
      </c>
      <c r="EI134" s="522">
        <v>341</v>
      </c>
      <c r="EJ134" s="526">
        <v>258.66000000000003</v>
      </c>
      <c r="EK134" s="522">
        <v>50</v>
      </c>
      <c r="EL134" s="526">
        <v>0</v>
      </c>
      <c r="EM134" s="522">
        <v>0</v>
      </c>
      <c r="EN134" s="526">
        <v>0</v>
      </c>
      <c r="EO134" s="522">
        <v>0</v>
      </c>
      <c r="EP134" s="526">
        <v>195.9</v>
      </c>
      <c r="EQ134" s="522">
        <v>1555</v>
      </c>
      <c r="ER134" s="526">
        <v>195.9</v>
      </c>
      <c r="ES134" s="522">
        <v>1555</v>
      </c>
      <c r="ET134" s="526">
        <v>0</v>
      </c>
      <c r="EU134" s="526">
        <v>0</v>
      </c>
      <c r="EV134" s="526">
        <v>0</v>
      </c>
      <c r="EW134" s="522">
        <v>0</v>
      </c>
      <c r="EX134" s="526">
        <v>239.3</v>
      </c>
      <c r="EY134" s="522">
        <v>72</v>
      </c>
      <c r="EZ134" s="526">
        <v>300.33</v>
      </c>
      <c r="FA134" s="522">
        <v>45</v>
      </c>
      <c r="FB134" s="526">
        <v>0</v>
      </c>
      <c r="FC134" s="522">
        <v>0</v>
      </c>
      <c r="FD134" s="526">
        <v>0</v>
      </c>
      <c r="FE134" s="522">
        <v>0</v>
      </c>
      <c r="FF134" s="526">
        <v>262.77</v>
      </c>
      <c r="FG134" s="522">
        <v>117</v>
      </c>
      <c r="FH134" s="526">
        <v>262.77</v>
      </c>
      <c r="FI134" s="522">
        <v>117</v>
      </c>
      <c r="FJ134" s="522">
        <v>10</v>
      </c>
      <c r="FK134" s="522">
        <v>4</v>
      </c>
      <c r="FL134" s="522">
        <v>3</v>
      </c>
      <c r="FM134" s="522">
        <v>0</v>
      </c>
      <c r="FN134" s="522">
        <v>1</v>
      </c>
      <c r="FO134" s="522">
        <v>0</v>
      </c>
      <c r="FP134" s="522">
        <v>18</v>
      </c>
      <c r="FQ134" s="522">
        <v>64</v>
      </c>
      <c r="FR134" s="522">
        <v>21</v>
      </c>
    </row>
    <row r="135" spans="1:174" x14ac:dyDescent="0.25">
      <c r="A135" s="523" t="s">
        <v>527</v>
      </c>
      <c r="B135" s="523" t="s">
        <v>528</v>
      </c>
      <c r="C135" s="523" t="s">
        <v>284</v>
      </c>
      <c r="D135" s="522">
        <v>8427</v>
      </c>
      <c r="E135" s="522">
        <v>7794</v>
      </c>
      <c r="F135" s="522">
        <v>47</v>
      </c>
      <c r="G135" s="522">
        <v>24</v>
      </c>
      <c r="H135" s="522">
        <v>304</v>
      </c>
      <c r="I135" s="522">
        <v>187</v>
      </c>
      <c r="J135" s="522">
        <v>242</v>
      </c>
      <c r="K135" s="522">
        <v>89</v>
      </c>
      <c r="L135" s="522">
        <v>2295</v>
      </c>
      <c r="M135" s="522">
        <v>12</v>
      </c>
      <c r="N135" s="522">
        <v>11315</v>
      </c>
      <c r="O135" s="522">
        <v>8106</v>
      </c>
      <c r="P135" s="522">
        <v>9020</v>
      </c>
      <c r="Q135" s="522">
        <v>45</v>
      </c>
      <c r="R135" s="523">
        <v>23</v>
      </c>
      <c r="S135" s="523">
        <v>34</v>
      </c>
      <c r="T135" s="523">
        <v>860</v>
      </c>
      <c r="U135" s="523">
        <v>10455</v>
      </c>
      <c r="V135" s="522">
        <v>7794</v>
      </c>
      <c r="W135" s="522">
        <v>101</v>
      </c>
      <c r="X135" s="522">
        <v>120</v>
      </c>
      <c r="Y135" s="522">
        <v>221</v>
      </c>
      <c r="Z135" s="524">
        <v>142.13999999999999</v>
      </c>
      <c r="AA135" s="524">
        <v>146.96</v>
      </c>
      <c r="AB135" s="524">
        <v>14.23</v>
      </c>
      <c r="AC135" s="524">
        <v>153.28</v>
      </c>
      <c r="AD135" s="524">
        <v>5839</v>
      </c>
      <c r="AE135" s="525">
        <v>137.31</v>
      </c>
      <c r="AF135" s="525">
        <v>136.1</v>
      </c>
      <c r="AG135" s="525">
        <v>122.3</v>
      </c>
      <c r="AH135" s="525">
        <v>256.18</v>
      </c>
      <c r="AI135" s="525">
        <v>250</v>
      </c>
      <c r="AJ135" s="525">
        <v>222.58</v>
      </c>
      <c r="AK135" s="525">
        <v>1575</v>
      </c>
      <c r="AL135" s="525">
        <v>176.22</v>
      </c>
      <c r="AM135" s="525">
        <v>36</v>
      </c>
      <c r="AN135" s="526">
        <v>0</v>
      </c>
      <c r="AO135" s="526">
        <v>0</v>
      </c>
      <c r="AP135" s="526">
        <v>0</v>
      </c>
      <c r="AQ135" s="526">
        <v>0</v>
      </c>
      <c r="AR135" s="522">
        <v>0</v>
      </c>
      <c r="AS135" s="526">
        <v>101.04</v>
      </c>
      <c r="AT135" s="526">
        <v>102.66</v>
      </c>
      <c r="AU135" s="526">
        <v>12.71</v>
      </c>
      <c r="AV135" s="526">
        <v>112.58</v>
      </c>
      <c r="AW135" s="522">
        <v>65</v>
      </c>
      <c r="AX135" s="526">
        <v>120.35</v>
      </c>
      <c r="AY135" s="526">
        <v>123.79</v>
      </c>
      <c r="AZ135" s="526">
        <v>16.2</v>
      </c>
      <c r="BA135" s="526">
        <v>134.38999999999999</v>
      </c>
      <c r="BB135" s="522">
        <v>1121</v>
      </c>
      <c r="BC135" s="526">
        <v>138.99</v>
      </c>
      <c r="BD135" s="526">
        <v>142.37</v>
      </c>
      <c r="BE135" s="526">
        <v>15.51</v>
      </c>
      <c r="BF135" s="526">
        <v>151.88</v>
      </c>
      <c r="BG135" s="522">
        <v>2415</v>
      </c>
      <c r="BH135" s="526">
        <v>154.56</v>
      </c>
      <c r="BI135" s="526">
        <v>160.88</v>
      </c>
      <c r="BJ135" s="526">
        <v>12.03</v>
      </c>
      <c r="BK135" s="526">
        <v>162.63</v>
      </c>
      <c r="BL135" s="522">
        <v>1854</v>
      </c>
      <c r="BM135" s="526">
        <v>170.8</v>
      </c>
      <c r="BN135" s="526">
        <v>180.86</v>
      </c>
      <c r="BO135" s="526">
        <v>8.14</v>
      </c>
      <c r="BP135" s="526">
        <v>177.01</v>
      </c>
      <c r="BQ135" s="522">
        <v>342</v>
      </c>
      <c r="BR135" s="526">
        <v>186.21</v>
      </c>
      <c r="BS135" s="526">
        <v>206.57</v>
      </c>
      <c r="BT135" s="526">
        <v>11.24</v>
      </c>
      <c r="BU135" s="526">
        <v>194.07</v>
      </c>
      <c r="BV135" s="522">
        <v>40</v>
      </c>
      <c r="BW135" s="526">
        <v>202.5</v>
      </c>
      <c r="BX135" s="526">
        <v>207.12</v>
      </c>
      <c r="BY135" s="526">
        <v>0</v>
      </c>
      <c r="BZ135" s="526">
        <v>202.5</v>
      </c>
      <c r="CA135" s="522">
        <v>2</v>
      </c>
      <c r="CB135" s="526">
        <v>142.13999999999999</v>
      </c>
      <c r="CC135" s="526">
        <v>146.96</v>
      </c>
      <c r="CD135" s="526">
        <v>14.23</v>
      </c>
      <c r="CE135" s="526">
        <v>153.28</v>
      </c>
      <c r="CF135" s="522">
        <v>5839</v>
      </c>
      <c r="CG135" s="526">
        <v>142.13999999999999</v>
      </c>
      <c r="CH135" s="526">
        <v>146.96</v>
      </c>
      <c r="CI135" s="526">
        <v>14.23</v>
      </c>
      <c r="CJ135" s="526">
        <v>153.28</v>
      </c>
      <c r="CK135" s="522">
        <v>5839</v>
      </c>
      <c r="CL135" s="526">
        <v>128.66999999999999</v>
      </c>
      <c r="CM135" s="526">
        <v>129.61000000000001</v>
      </c>
      <c r="CN135" s="526">
        <v>159.29</v>
      </c>
      <c r="CO135" s="526">
        <v>279.92</v>
      </c>
      <c r="CP135" s="522">
        <v>99</v>
      </c>
      <c r="CQ135" s="526">
        <v>114.58</v>
      </c>
      <c r="CR135" s="526">
        <v>106.08</v>
      </c>
      <c r="CS135" s="526">
        <v>48.66</v>
      </c>
      <c r="CT135" s="526">
        <v>163.25</v>
      </c>
      <c r="CU135" s="522">
        <v>23</v>
      </c>
      <c r="CV135" s="526">
        <v>145.55000000000001</v>
      </c>
      <c r="CW135" s="526">
        <v>145.94999999999999</v>
      </c>
      <c r="CX135" s="526">
        <v>111.99</v>
      </c>
      <c r="CY135" s="526">
        <v>255.62</v>
      </c>
      <c r="CZ135" s="522">
        <v>117</v>
      </c>
      <c r="DA135" s="526">
        <v>174.84</v>
      </c>
      <c r="DB135" s="526">
        <v>169.74</v>
      </c>
      <c r="DC135" s="526">
        <v>68.06</v>
      </c>
      <c r="DD135" s="526">
        <v>242.9</v>
      </c>
      <c r="DE135" s="522">
        <v>11</v>
      </c>
      <c r="DF135" s="526">
        <v>0</v>
      </c>
      <c r="DG135" s="526">
        <v>0</v>
      </c>
      <c r="DH135" s="526">
        <v>0</v>
      </c>
      <c r="DI135" s="526">
        <v>0</v>
      </c>
      <c r="DJ135" s="522">
        <v>0</v>
      </c>
      <c r="DK135" s="526">
        <v>0</v>
      </c>
      <c r="DL135" s="526">
        <v>0</v>
      </c>
      <c r="DM135" s="526">
        <v>0</v>
      </c>
      <c r="DN135" s="526">
        <v>0</v>
      </c>
      <c r="DO135" s="522">
        <v>0</v>
      </c>
      <c r="DP135" s="526">
        <v>142.96</v>
      </c>
      <c r="DQ135" s="526">
        <v>140.87</v>
      </c>
      <c r="DR135" s="526">
        <v>98.97</v>
      </c>
      <c r="DS135" s="526">
        <v>240.62</v>
      </c>
      <c r="DT135" s="522">
        <v>151</v>
      </c>
      <c r="DU135" s="526">
        <v>137.31</v>
      </c>
      <c r="DV135" s="526">
        <v>136.1</v>
      </c>
      <c r="DW135" s="526">
        <v>122.3</v>
      </c>
      <c r="DX135" s="526">
        <v>256.18</v>
      </c>
      <c r="DY135" s="522">
        <v>250</v>
      </c>
      <c r="DZ135" s="526">
        <v>0</v>
      </c>
      <c r="EA135" s="526">
        <v>0</v>
      </c>
      <c r="EB135" s="526">
        <v>180.17</v>
      </c>
      <c r="EC135" s="522">
        <v>5</v>
      </c>
      <c r="ED135" s="526">
        <v>190.72</v>
      </c>
      <c r="EE135" s="522">
        <v>470</v>
      </c>
      <c r="EF135" s="526">
        <v>230.86</v>
      </c>
      <c r="EG135" s="522">
        <v>793</v>
      </c>
      <c r="EH135" s="526">
        <v>251.89</v>
      </c>
      <c r="EI135" s="522">
        <v>288</v>
      </c>
      <c r="EJ135" s="526">
        <v>227.58</v>
      </c>
      <c r="EK135" s="522">
        <v>16</v>
      </c>
      <c r="EL135" s="526">
        <v>254.74</v>
      </c>
      <c r="EM135" s="522">
        <v>3</v>
      </c>
      <c r="EN135" s="526">
        <v>0</v>
      </c>
      <c r="EO135" s="522">
        <v>0</v>
      </c>
      <c r="EP135" s="526">
        <v>222.58</v>
      </c>
      <c r="EQ135" s="522">
        <v>1575</v>
      </c>
      <c r="ER135" s="526">
        <v>222.58</v>
      </c>
      <c r="ES135" s="522">
        <v>1575</v>
      </c>
      <c r="ET135" s="526">
        <v>0</v>
      </c>
      <c r="EU135" s="526">
        <v>0</v>
      </c>
      <c r="EV135" s="526">
        <v>0</v>
      </c>
      <c r="EW135" s="522">
        <v>0</v>
      </c>
      <c r="EX135" s="526">
        <v>171.68</v>
      </c>
      <c r="EY135" s="522">
        <v>32</v>
      </c>
      <c r="EZ135" s="526">
        <v>212.57</v>
      </c>
      <c r="FA135" s="522">
        <v>4</v>
      </c>
      <c r="FB135" s="526">
        <v>0</v>
      </c>
      <c r="FC135" s="522">
        <v>0</v>
      </c>
      <c r="FD135" s="526">
        <v>0</v>
      </c>
      <c r="FE135" s="522">
        <v>0</v>
      </c>
      <c r="FF135" s="526">
        <v>176.22</v>
      </c>
      <c r="FG135" s="522">
        <v>36</v>
      </c>
      <c r="FH135" s="526">
        <v>176.22</v>
      </c>
      <c r="FI135" s="522">
        <v>36</v>
      </c>
      <c r="FJ135" s="522">
        <v>139</v>
      </c>
      <c r="FK135" s="522">
        <v>2</v>
      </c>
      <c r="FL135" s="522">
        <v>0</v>
      </c>
      <c r="FM135" s="522">
        <v>0</v>
      </c>
      <c r="FN135" s="522">
        <v>2</v>
      </c>
      <c r="FO135" s="522">
        <v>0</v>
      </c>
      <c r="FP135" s="522">
        <v>1</v>
      </c>
      <c r="FQ135" s="522">
        <v>136</v>
      </c>
      <c r="FR135" s="522">
        <v>58</v>
      </c>
    </row>
    <row r="136" spans="1:174" x14ac:dyDescent="0.25">
      <c r="A136" s="523" t="s">
        <v>529</v>
      </c>
      <c r="B136" s="523" t="s">
        <v>530</v>
      </c>
      <c r="C136" s="523" t="s">
        <v>283</v>
      </c>
      <c r="D136" s="522">
        <v>9626</v>
      </c>
      <c r="E136" s="522">
        <v>9692</v>
      </c>
      <c r="F136" s="522">
        <v>0</v>
      </c>
      <c r="G136" s="522">
        <v>0</v>
      </c>
      <c r="H136" s="522">
        <v>456</v>
      </c>
      <c r="I136" s="522">
        <v>300</v>
      </c>
      <c r="J136" s="522">
        <v>1038</v>
      </c>
      <c r="K136" s="522">
        <v>994</v>
      </c>
      <c r="L136" s="522">
        <v>1382</v>
      </c>
      <c r="M136" s="522">
        <v>53</v>
      </c>
      <c r="N136" s="522">
        <v>12502</v>
      </c>
      <c r="O136" s="522">
        <v>11039</v>
      </c>
      <c r="P136" s="522">
        <v>11120</v>
      </c>
      <c r="Q136" s="522">
        <v>6</v>
      </c>
      <c r="R136" s="523">
        <v>4</v>
      </c>
      <c r="S136" s="523">
        <v>35</v>
      </c>
      <c r="T136" s="523">
        <v>86</v>
      </c>
      <c r="U136" s="523">
        <v>12416</v>
      </c>
      <c r="V136" s="522">
        <v>9626</v>
      </c>
      <c r="W136" s="522">
        <v>86</v>
      </c>
      <c r="X136" s="522">
        <v>108</v>
      </c>
      <c r="Y136" s="522">
        <v>194</v>
      </c>
      <c r="Z136" s="524">
        <v>109.45</v>
      </c>
      <c r="AA136" s="524">
        <v>112.71</v>
      </c>
      <c r="AB136" s="524">
        <v>4.26</v>
      </c>
      <c r="AC136" s="524">
        <v>113.46</v>
      </c>
      <c r="AD136" s="524">
        <v>7983</v>
      </c>
      <c r="AE136" s="525">
        <v>115.11</v>
      </c>
      <c r="AF136" s="525">
        <v>96.91</v>
      </c>
      <c r="AG136" s="525">
        <v>69.61</v>
      </c>
      <c r="AH136" s="525">
        <v>181.02</v>
      </c>
      <c r="AI136" s="525">
        <v>1394</v>
      </c>
      <c r="AJ136" s="525">
        <v>157.46</v>
      </c>
      <c r="AK136" s="525">
        <v>1507</v>
      </c>
      <c r="AL136" s="525">
        <v>168.99</v>
      </c>
      <c r="AM136" s="525">
        <v>14</v>
      </c>
      <c r="AN136" s="526">
        <v>0</v>
      </c>
      <c r="AO136" s="526">
        <v>0</v>
      </c>
      <c r="AP136" s="526">
        <v>0</v>
      </c>
      <c r="AQ136" s="526">
        <v>0</v>
      </c>
      <c r="AR136" s="522">
        <v>0</v>
      </c>
      <c r="AS136" s="526">
        <v>77.61</v>
      </c>
      <c r="AT136" s="526">
        <v>79.569999999999993</v>
      </c>
      <c r="AU136" s="526">
        <v>14</v>
      </c>
      <c r="AV136" s="526">
        <v>91.61</v>
      </c>
      <c r="AW136" s="522">
        <v>9</v>
      </c>
      <c r="AX136" s="526">
        <v>92.63</v>
      </c>
      <c r="AY136" s="526">
        <v>94.41</v>
      </c>
      <c r="AZ136" s="526">
        <v>8.14</v>
      </c>
      <c r="BA136" s="526">
        <v>100.44</v>
      </c>
      <c r="BB136" s="522">
        <v>1375</v>
      </c>
      <c r="BC136" s="526">
        <v>106.97</v>
      </c>
      <c r="BD136" s="526">
        <v>110.17</v>
      </c>
      <c r="BE136" s="526">
        <v>4.74</v>
      </c>
      <c r="BF136" s="526">
        <v>111.51</v>
      </c>
      <c r="BG136" s="522">
        <v>3360</v>
      </c>
      <c r="BH136" s="526">
        <v>117.44</v>
      </c>
      <c r="BI136" s="526">
        <v>121.35</v>
      </c>
      <c r="BJ136" s="526">
        <v>1.91</v>
      </c>
      <c r="BK136" s="526">
        <v>119.19</v>
      </c>
      <c r="BL136" s="522">
        <v>2920</v>
      </c>
      <c r="BM136" s="526">
        <v>134.5</v>
      </c>
      <c r="BN136" s="526">
        <v>138.65</v>
      </c>
      <c r="BO136" s="526">
        <v>2.61</v>
      </c>
      <c r="BP136" s="526">
        <v>136.82</v>
      </c>
      <c r="BQ136" s="522">
        <v>298</v>
      </c>
      <c r="BR136" s="526">
        <v>154.75</v>
      </c>
      <c r="BS136" s="526">
        <v>160.94</v>
      </c>
      <c r="BT136" s="526">
        <v>3.47</v>
      </c>
      <c r="BU136" s="526">
        <v>157.4</v>
      </c>
      <c r="BV136" s="522">
        <v>17</v>
      </c>
      <c r="BW136" s="526">
        <v>153.36000000000001</v>
      </c>
      <c r="BX136" s="526">
        <v>164.36</v>
      </c>
      <c r="BY136" s="526">
        <v>4.6399999999999997</v>
      </c>
      <c r="BZ136" s="526">
        <v>155.66999999999999</v>
      </c>
      <c r="CA136" s="522">
        <v>4</v>
      </c>
      <c r="CB136" s="526">
        <v>109.45</v>
      </c>
      <c r="CC136" s="526">
        <v>112.71</v>
      </c>
      <c r="CD136" s="526">
        <v>4.26</v>
      </c>
      <c r="CE136" s="526">
        <v>113.46</v>
      </c>
      <c r="CF136" s="522">
        <v>7983</v>
      </c>
      <c r="CG136" s="526">
        <v>109.45</v>
      </c>
      <c r="CH136" s="526">
        <v>112.71</v>
      </c>
      <c r="CI136" s="526">
        <v>4.26</v>
      </c>
      <c r="CJ136" s="526">
        <v>113.46</v>
      </c>
      <c r="CK136" s="522">
        <v>7983</v>
      </c>
      <c r="CL136" s="526">
        <v>134.75</v>
      </c>
      <c r="CM136" s="526">
        <v>83.78</v>
      </c>
      <c r="CN136" s="526">
        <v>129.02000000000001</v>
      </c>
      <c r="CO136" s="526">
        <v>227.58</v>
      </c>
      <c r="CP136" s="522">
        <v>246</v>
      </c>
      <c r="CQ136" s="526">
        <v>87.26</v>
      </c>
      <c r="CR136" s="526">
        <v>82.86</v>
      </c>
      <c r="CS136" s="526">
        <v>40.04</v>
      </c>
      <c r="CT136" s="526">
        <v>127.31</v>
      </c>
      <c r="CU136" s="522">
        <v>9</v>
      </c>
      <c r="CV136" s="526">
        <v>106.25</v>
      </c>
      <c r="CW136" s="526">
        <v>97.11</v>
      </c>
      <c r="CX136" s="526">
        <v>62.57</v>
      </c>
      <c r="CY136" s="526">
        <v>168.62</v>
      </c>
      <c r="CZ136" s="522">
        <v>914</v>
      </c>
      <c r="DA136" s="526">
        <v>126.98</v>
      </c>
      <c r="DB136" s="526">
        <v>108.34</v>
      </c>
      <c r="DC136" s="526">
        <v>57.88</v>
      </c>
      <c r="DD136" s="526">
        <v>184.54</v>
      </c>
      <c r="DE136" s="522">
        <v>182</v>
      </c>
      <c r="DF136" s="526">
        <v>133.18</v>
      </c>
      <c r="DG136" s="526">
        <v>116.89</v>
      </c>
      <c r="DH136" s="526">
        <v>38.49</v>
      </c>
      <c r="DI136" s="526">
        <v>171.67</v>
      </c>
      <c r="DJ136" s="522">
        <v>11</v>
      </c>
      <c r="DK136" s="526">
        <v>151.13</v>
      </c>
      <c r="DL136" s="526">
        <v>80.62</v>
      </c>
      <c r="DM136" s="526">
        <v>25.3</v>
      </c>
      <c r="DN136" s="526">
        <v>175.64</v>
      </c>
      <c r="DO136" s="522">
        <v>32</v>
      </c>
      <c r="DP136" s="526">
        <v>110.9</v>
      </c>
      <c r="DQ136" s="526">
        <v>98.22</v>
      </c>
      <c r="DR136" s="526">
        <v>60.4</v>
      </c>
      <c r="DS136" s="526">
        <v>171.04</v>
      </c>
      <c r="DT136" s="522">
        <v>1148</v>
      </c>
      <c r="DU136" s="526">
        <v>115.11</v>
      </c>
      <c r="DV136" s="526">
        <v>96.91</v>
      </c>
      <c r="DW136" s="526">
        <v>69.61</v>
      </c>
      <c r="DX136" s="526">
        <v>181.02</v>
      </c>
      <c r="DY136" s="522">
        <v>1394</v>
      </c>
      <c r="DZ136" s="526">
        <v>0</v>
      </c>
      <c r="EA136" s="526">
        <v>0</v>
      </c>
      <c r="EB136" s="526">
        <v>0</v>
      </c>
      <c r="EC136" s="522">
        <v>0</v>
      </c>
      <c r="ED136" s="526">
        <v>126.83</v>
      </c>
      <c r="EE136" s="522">
        <v>370</v>
      </c>
      <c r="EF136" s="526">
        <v>153.59</v>
      </c>
      <c r="EG136" s="522">
        <v>724</v>
      </c>
      <c r="EH136" s="526">
        <v>181.58</v>
      </c>
      <c r="EI136" s="522">
        <v>322</v>
      </c>
      <c r="EJ136" s="526">
        <v>226.91</v>
      </c>
      <c r="EK136" s="522">
        <v>86</v>
      </c>
      <c r="EL136" s="526">
        <v>236.85</v>
      </c>
      <c r="EM136" s="522">
        <v>5</v>
      </c>
      <c r="EN136" s="526">
        <v>0</v>
      </c>
      <c r="EO136" s="522">
        <v>0</v>
      </c>
      <c r="EP136" s="526">
        <v>157.46</v>
      </c>
      <c r="EQ136" s="522">
        <v>1507</v>
      </c>
      <c r="ER136" s="526">
        <v>157.46</v>
      </c>
      <c r="ES136" s="522">
        <v>1507</v>
      </c>
      <c r="ET136" s="526">
        <v>0</v>
      </c>
      <c r="EU136" s="526">
        <v>0</v>
      </c>
      <c r="EV136" s="526">
        <v>0</v>
      </c>
      <c r="EW136" s="522">
        <v>0</v>
      </c>
      <c r="EX136" s="526">
        <v>0</v>
      </c>
      <c r="EY136" s="522">
        <v>0</v>
      </c>
      <c r="EZ136" s="526">
        <v>158.08000000000001</v>
      </c>
      <c r="FA136" s="522">
        <v>8</v>
      </c>
      <c r="FB136" s="526">
        <v>159.94999999999999</v>
      </c>
      <c r="FC136" s="522">
        <v>3</v>
      </c>
      <c r="FD136" s="526">
        <v>207.13</v>
      </c>
      <c r="FE136" s="522">
        <v>3</v>
      </c>
      <c r="FF136" s="526">
        <v>168.99</v>
      </c>
      <c r="FG136" s="522">
        <v>14</v>
      </c>
      <c r="FH136" s="526">
        <v>168.99</v>
      </c>
      <c r="FI136" s="522">
        <v>14</v>
      </c>
      <c r="FJ136" s="522">
        <v>18</v>
      </c>
      <c r="FK136" s="522">
        <v>2</v>
      </c>
      <c r="FL136" s="522">
        <v>2</v>
      </c>
      <c r="FM136" s="522">
        <v>0</v>
      </c>
      <c r="FN136" s="522">
        <v>0</v>
      </c>
      <c r="FO136" s="522">
        <v>0</v>
      </c>
      <c r="FP136" s="522">
        <v>18</v>
      </c>
      <c r="FQ136" s="522">
        <v>193</v>
      </c>
      <c r="FR136" s="522">
        <v>11</v>
      </c>
    </row>
    <row r="137" spans="1:174" x14ac:dyDescent="0.25">
      <c r="A137" s="523" t="s">
        <v>531</v>
      </c>
      <c r="B137" s="523" t="s">
        <v>532</v>
      </c>
      <c r="C137" s="523" t="s">
        <v>286</v>
      </c>
      <c r="D137" s="522">
        <v>3163</v>
      </c>
      <c r="E137" s="522">
        <v>3169</v>
      </c>
      <c r="F137" s="522">
        <v>0</v>
      </c>
      <c r="G137" s="522">
        <v>0</v>
      </c>
      <c r="H137" s="522">
        <v>326</v>
      </c>
      <c r="I137" s="522">
        <v>118</v>
      </c>
      <c r="J137" s="522">
        <v>1546</v>
      </c>
      <c r="K137" s="522">
        <v>1546</v>
      </c>
      <c r="L137" s="522">
        <v>97</v>
      </c>
      <c r="M137" s="522">
        <v>0</v>
      </c>
      <c r="N137" s="522">
        <v>5132</v>
      </c>
      <c r="O137" s="522">
        <v>4833</v>
      </c>
      <c r="P137" s="522">
        <v>5035</v>
      </c>
      <c r="Q137" s="522">
        <v>0</v>
      </c>
      <c r="R137" s="523">
        <v>10</v>
      </c>
      <c r="S137" s="523">
        <v>17</v>
      </c>
      <c r="T137" s="523">
        <v>133</v>
      </c>
      <c r="U137" s="523">
        <v>4999</v>
      </c>
      <c r="V137" s="522">
        <v>3163</v>
      </c>
      <c r="W137" s="522">
        <v>22</v>
      </c>
      <c r="X137" s="522">
        <v>4</v>
      </c>
      <c r="Y137" s="522">
        <v>26</v>
      </c>
      <c r="Z137" s="524">
        <v>87.99</v>
      </c>
      <c r="AA137" s="524">
        <v>88.59</v>
      </c>
      <c r="AB137" s="524">
        <v>3.66</v>
      </c>
      <c r="AC137" s="524">
        <v>90</v>
      </c>
      <c r="AD137" s="524">
        <v>2875</v>
      </c>
      <c r="AE137" s="525">
        <v>88.86</v>
      </c>
      <c r="AF137" s="525">
        <v>80.510000000000005</v>
      </c>
      <c r="AG137" s="525">
        <v>29.28</v>
      </c>
      <c r="AH137" s="525">
        <v>117.19</v>
      </c>
      <c r="AI137" s="525">
        <v>1725</v>
      </c>
      <c r="AJ137" s="525">
        <v>112.01</v>
      </c>
      <c r="AK137" s="525">
        <v>273</v>
      </c>
      <c r="AL137" s="525">
        <v>303.98</v>
      </c>
      <c r="AM137" s="525">
        <v>14</v>
      </c>
      <c r="AN137" s="526">
        <v>0</v>
      </c>
      <c r="AO137" s="526">
        <v>0</v>
      </c>
      <c r="AP137" s="526">
        <v>0</v>
      </c>
      <c r="AQ137" s="526">
        <v>0</v>
      </c>
      <c r="AR137" s="522">
        <v>0</v>
      </c>
      <c r="AS137" s="526">
        <v>65.28</v>
      </c>
      <c r="AT137" s="526">
        <v>64.94</v>
      </c>
      <c r="AU137" s="526">
        <v>3.16</v>
      </c>
      <c r="AV137" s="526">
        <v>68.44</v>
      </c>
      <c r="AW137" s="522">
        <v>2</v>
      </c>
      <c r="AX137" s="526">
        <v>75.88</v>
      </c>
      <c r="AY137" s="526">
        <v>75.67</v>
      </c>
      <c r="AZ137" s="526">
        <v>4.46</v>
      </c>
      <c r="BA137" s="526">
        <v>80.17</v>
      </c>
      <c r="BB137" s="522">
        <v>493</v>
      </c>
      <c r="BC137" s="526">
        <v>86.09</v>
      </c>
      <c r="BD137" s="526">
        <v>86.65</v>
      </c>
      <c r="BE137" s="526">
        <v>3.89</v>
      </c>
      <c r="BF137" s="526">
        <v>88.08</v>
      </c>
      <c r="BG137" s="522">
        <v>1395</v>
      </c>
      <c r="BH137" s="526">
        <v>95.58</v>
      </c>
      <c r="BI137" s="526">
        <v>96.71</v>
      </c>
      <c r="BJ137" s="526">
        <v>2.17</v>
      </c>
      <c r="BK137" s="526">
        <v>96.38</v>
      </c>
      <c r="BL137" s="522">
        <v>885</v>
      </c>
      <c r="BM137" s="526">
        <v>106.68</v>
      </c>
      <c r="BN137" s="526">
        <v>107.39</v>
      </c>
      <c r="BO137" s="526">
        <v>2.87</v>
      </c>
      <c r="BP137" s="526">
        <v>108.46</v>
      </c>
      <c r="BQ137" s="522">
        <v>95</v>
      </c>
      <c r="BR137" s="526">
        <v>124.16</v>
      </c>
      <c r="BS137" s="526">
        <v>123.52</v>
      </c>
      <c r="BT137" s="526">
        <v>2.12</v>
      </c>
      <c r="BU137" s="526">
        <v>125.22</v>
      </c>
      <c r="BV137" s="522">
        <v>4</v>
      </c>
      <c r="BW137" s="526">
        <v>114.01</v>
      </c>
      <c r="BX137" s="526">
        <v>112.75</v>
      </c>
      <c r="BY137" s="526">
        <v>0</v>
      </c>
      <c r="BZ137" s="526">
        <v>114.01</v>
      </c>
      <c r="CA137" s="522">
        <v>1</v>
      </c>
      <c r="CB137" s="526">
        <v>87.99</v>
      </c>
      <c r="CC137" s="526">
        <v>88.59</v>
      </c>
      <c r="CD137" s="526">
        <v>3.66</v>
      </c>
      <c r="CE137" s="526">
        <v>90</v>
      </c>
      <c r="CF137" s="522">
        <v>2875</v>
      </c>
      <c r="CG137" s="526">
        <v>87.99</v>
      </c>
      <c r="CH137" s="526">
        <v>88.59</v>
      </c>
      <c r="CI137" s="526">
        <v>3.66</v>
      </c>
      <c r="CJ137" s="526">
        <v>90</v>
      </c>
      <c r="CK137" s="522">
        <v>2875</v>
      </c>
      <c r="CL137" s="526">
        <v>151.65</v>
      </c>
      <c r="CM137" s="526">
        <v>92.35</v>
      </c>
      <c r="CN137" s="526">
        <v>80.760000000000005</v>
      </c>
      <c r="CO137" s="526">
        <v>209.01</v>
      </c>
      <c r="CP137" s="522">
        <v>107</v>
      </c>
      <c r="CQ137" s="526">
        <v>70.88</v>
      </c>
      <c r="CR137" s="526">
        <v>69.72</v>
      </c>
      <c r="CS137" s="526">
        <v>50.13</v>
      </c>
      <c r="CT137" s="526">
        <v>121.01</v>
      </c>
      <c r="CU137" s="522">
        <v>83</v>
      </c>
      <c r="CV137" s="526">
        <v>84.91</v>
      </c>
      <c r="CW137" s="526">
        <v>80.39</v>
      </c>
      <c r="CX137" s="526">
        <v>25.79</v>
      </c>
      <c r="CY137" s="526">
        <v>110.32</v>
      </c>
      <c r="CZ137" s="522">
        <v>1477</v>
      </c>
      <c r="DA137" s="526">
        <v>86.4</v>
      </c>
      <c r="DB137" s="526">
        <v>87.12</v>
      </c>
      <c r="DC137" s="526">
        <v>14.4</v>
      </c>
      <c r="DD137" s="526">
        <v>99.91</v>
      </c>
      <c r="DE137" s="522">
        <v>49</v>
      </c>
      <c r="DF137" s="526">
        <v>169.69</v>
      </c>
      <c r="DG137" s="526">
        <v>105.84</v>
      </c>
      <c r="DH137" s="526">
        <v>42.11</v>
      </c>
      <c r="DI137" s="526">
        <v>211.8</v>
      </c>
      <c r="DJ137" s="522">
        <v>9</v>
      </c>
      <c r="DK137" s="526">
        <v>0</v>
      </c>
      <c r="DL137" s="526">
        <v>0</v>
      </c>
      <c r="DM137" s="526">
        <v>0</v>
      </c>
      <c r="DN137" s="526">
        <v>0</v>
      </c>
      <c r="DO137" s="522">
        <v>0</v>
      </c>
      <c r="DP137" s="526">
        <v>84.71</v>
      </c>
      <c r="DQ137" s="526">
        <v>80.150000000000006</v>
      </c>
      <c r="DR137" s="526">
        <v>26.82</v>
      </c>
      <c r="DS137" s="526">
        <v>111.12</v>
      </c>
      <c r="DT137" s="522">
        <v>1618</v>
      </c>
      <c r="DU137" s="526">
        <v>88.86</v>
      </c>
      <c r="DV137" s="526">
        <v>80.510000000000005</v>
      </c>
      <c r="DW137" s="526">
        <v>29.28</v>
      </c>
      <c r="DX137" s="526">
        <v>117.19</v>
      </c>
      <c r="DY137" s="522">
        <v>1725</v>
      </c>
      <c r="DZ137" s="526">
        <v>0</v>
      </c>
      <c r="EA137" s="526">
        <v>0</v>
      </c>
      <c r="EB137" s="526">
        <v>0</v>
      </c>
      <c r="EC137" s="522">
        <v>0</v>
      </c>
      <c r="ED137" s="526">
        <v>98.22</v>
      </c>
      <c r="EE137" s="522">
        <v>12</v>
      </c>
      <c r="EF137" s="526">
        <v>105.82</v>
      </c>
      <c r="EG137" s="522">
        <v>157</v>
      </c>
      <c r="EH137" s="526">
        <v>118.59</v>
      </c>
      <c r="EI137" s="522">
        <v>82</v>
      </c>
      <c r="EJ137" s="526">
        <v>139.16</v>
      </c>
      <c r="EK137" s="522">
        <v>22</v>
      </c>
      <c r="EL137" s="526">
        <v>0</v>
      </c>
      <c r="EM137" s="522">
        <v>0</v>
      </c>
      <c r="EN137" s="526">
        <v>0</v>
      </c>
      <c r="EO137" s="522">
        <v>0</v>
      </c>
      <c r="EP137" s="526">
        <v>112.01</v>
      </c>
      <c r="EQ137" s="522">
        <v>273</v>
      </c>
      <c r="ER137" s="526">
        <v>112.01</v>
      </c>
      <c r="ES137" s="522">
        <v>273</v>
      </c>
      <c r="ET137" s="526">
        <v>380.2</v>
      </c>
      <c r="EU137" s="526">
        <v>2</v>
      </c>
      <c r="EV137" s="526">
        <v>0</v>
      </c>
      <c r="EW137" s="522">
        <v>0</v>
      </c>
      <c r="EX137" s="526">
        <v>293.97000000000003</v>
      </c>
      <c r="EY137" s="522">
        <v>10</v>
      </c>
      <c r="EZ137" s="526">
        <v>277.81</v>
      </c>
      <c r="FA137" s="522">
        <v>2</v>
      </c>
      <c r="FB137" s="526">
        <v>0</v>
      </c>
      <c r="FC137" s="522">
        <v>0</v>
      </c>
      <c r="FD137" s="526">
        <v>0</v>
      </c>
      <c r="FE137" s="522">
        <v>0</v>
      </c>
      <c r="FF137" s="526">
        <v>291.27999999999997</v>
      </c>
      <c r="FG137" s="522">
        <v>12</v>
      </c>
      <c r="FH137" s="526">
        <v>303.98</v>
      </c>
      <c r="FI137" s="522">
        <v>14</v>
      </c>
      <c r="FJ137" s="522">
        <v>0</v>
      </c>
      <c r="FK137" s="522">
        <v>7</v>
      </c>
      <c r="FL137" s="522">
        <v>6</v>
      </c>
      <c r="FM137" s="522">
        <v>0</v>
      </c>
      <c r="FN137" s="522">
        <v>1</v>
      </c>
      <c r="FO137" s="522">
        <v>0</v>
      </c>
      <c r="FP137" s="522">
        <v>3</v>
      </c>
      <c r="FQ137" s="522">
        <v>9</v>
      </c>
      <c r="FR137" s="522">
        <v>0</v>
      </c>
    </row>
    <row r="138" spans="1:174" x14ac:dyDescent="0.25">
      <c r="A138" s="523" t="s">
        <v>533</v>
      </c>
      <c r="B138" s="523" t="s">
        <v>534</v>
      </c>
      <c r="C138" s="523" t="s">
        <v>283</v>
      </c>
      <c r="D138" s="522">
        <v>3732</v>
      </c>
      <c r="E138" s="522">
        <v>3603</v>
      </c>
      <c r="F138" s="522">
        <v>0</v>
      </c>
      <c r="G138" s="522">
        <v>0</v>
      </c>
      <c r="H138" s="522">
        <v>545</v>
      </c>
      <c r="I138" s="522">
        <v>344</v>
      </c>
      <c r="J138" s="522">
        <v>708</v>
      </c>
      <c r="K138" s="522">
        <v>672</v>
      </c>
      <c r="L138" s="522">
        <v>308</v>
      </c>
      <c r="M138" s="522">
        <v>18</v>
      </c>
      <c r="N138" s="522">
        <v>5293</v>
      </c>
      <c r="O138" s="522">
        <v>4637</v>
      </c>
      <c r="P138" s="522">
        <v>4985</v>
      </c>
      <c r="Q138" s="522">
        <v>46</v>
      </c>
      <c r="R138" s="523">
        <v>10</v>
      </c>
      <c r="S138" s="523">
        <v>24</v>
      </c>
      <c r="T138" s="523">
        <v>378</v>
      </c>
      <c r="U138" s="523">
        <v>4915</v>
      </c>
      <c r="V138" s="522">
        <v>3603</v>
      </c>
      <c r="W138" s="522">
        <v>18</v>
      </c>
      <c r="X138" s="522">
        <v>57</v>
      </c>
      <c r="Y138" s="522">
        <v>75</v>
      </c>
      <c r="Z138" s="524">
        <v>101.77</v>
      </c>
      <c r="AA138" s="524">
        <v>104.22</v>
      </c>
      <c r="AB138" s="524">
        <v>9.2799999999999994</v>
      </c>
      <c r="AC138" s="524">
        <v>109.12</v>
      </c>
      <c r="AD138" s="524">
        <v>2988</v>
      </c>
      <c r="AE138" s="525">
        <v>94.68</v>
      </c>
      <c r="AF138" s="525">
        <v>86.88</v>
      </c>
      <c r="AG138" s="525">
        <v>82.9</v>
      </c>
      <c r="AH138" s="525">
        <v>177.25</v>
      </c>
      <c r="AI138" s="525">
        <v>1004</v>
      </c>
      <c r="AJ138" s="525">
        <v>121.6</v>
      </c>
      <c r="AK138" s="525">
        <v>554</v>
      </c>
      <c r="AL138" s="525">
        <v>0</v>
      </c>
      <c r="AM138" s="525">
        <v>0</v>
      </c>
      <c r="AN138" s="526">
        <v>0</v>
      </c>
      <c r="AO138" s="526">
        <v>0</v>
      </c>
      <c r="AP138" s="526">
        <v>0</v>
      </c>
      <c r="AQ138" s="526">
        <v>0</v>
      </c>
      <c r="AR138" s="522">
        <v>0</v>
      </c>
      <c r="AS138" s="526">
        <v>70.67</v>
      </c>
      <c r="AT138" s="526">
        <v>77.510000000000005</v>
      </c>
      <c r="AU138" s="526">
        <v>7.84</v>
      </c>
      <c r="AV138" s="526">
        <v>78.36</v>
      </c>
      <c r="AW138" s="522">
        <v>52</v>
      </c>
      <c r="AX138" s="526">
        <v>83.48</v>
      </c>
      <c r="AY138" s="526">
        <v>85.84</v>
      </c>
      <c r="AZ138" s="526">
        <v>9.82</v>
      </c>
      <c r="BA138" s="526">
        <v>92.53</v>
      </c>
      <c r="BB138" s="522">
        <v>678</v>
      </c>
      <c r="BC138" s="526">
        <v>101.5</v>
      </c>
      <c r="BD138" s="526">
        <v>103.1</v>
      </c>
      <c r="BE138" s="526">
        <v>11.07</v>
      </c>
      <c r="BF138" s="526">
        <v>110.68</v>
      </c>
      <c r="BG138" s="522">
        <v>1423</v>
      </c>
      <c r="BH138" s="526">
        <v>116.2</v>
      </c>
      <c r="BI138" s="526">
        <v>120.04</v>
      </c>
      <c r="BJ138" s="526">
        <v>4.18</v>
      </c>
      <c r="BK138" s="526">
        <v>118.81</v>
      </c>
      <c r="BL138" s="522">
        <v>710</v>
      </c>
      <c r="BM138" s="526">
        <v>132.63</v>
      </c>
      <c r="BN138" s="526">
        <v>135.51</v>
      </c>
      <c r="BO138" s="526">
        <v>8.17</v>
      </c>
      <c r="BP138" s="526">
        <v>137.18</v>
      </c>
      <c r="BQ138" s="522">
        <v>104</v>
      </c>
      <c r="BR138" s="526">
        <v>145.78</v>
      </c>
      <c r="BS138" s="526">
        <v>148.32</v>
      </c>
      <c r="BT138" s="526">
        <v>1.79</v>
      </c>
      <c r="BU138" s="526">
        <v>146.58000000000001</v>
      </c>
      <c r="BV138" s="522">
        <v>18</v>
      </c>
      <c r="BW138" s="526">
        <v>156.26</v>
      </c>
      <c r="BX138" s="526">
        <v>160.1</v>
      </c>
      <c r="BY138" s="526">
        <v>0</v>
      </c>
      <c r="BZ138" s="526">
        <v>156.26</v>
      </c>
      <c r="CA138" s="522">
        <v>3</v>
      </c>
      <c r="CB138" s="526">
        <v>101.77</v>
      </c>
      <c r="CC138" s="526">
        <v>104.22</v>
      </c>
      <c r="CD138" s="526">
        <v>9.2799999999999994</v>
      </c>
      <c r="CE138" s="526">
        <v>109.12</v>
      </c>
      <c r="CF138" s="522">
        <v>2988</v>
      </c>
      <c r="CG138" s="526">
        <v>101.77</v>
      </c>
      <c r="CH138" s="526">
        <v>104.22</v>
      </c>
      <c r="CI138" s="526">
        <v>9.2799999999999994</v>
      </c>
      <c r="CJ138" s="526">
        <v>109.12</v>
      </c>
      <c r="CK138" s="522">
        <v>2988</v>
      </c>
      <c r="CL138" s="526">
        <v>105.09</v>
      </c>
      <c r="CM138" s="526">
        <v>85.4</v>
      </c>
      <c r="CN138" s="526">
        <v>145.09</v>
      </c>
      <c r="CO138" s="526">
        <v>248.54</v>
      </c>
      <c r="CP138" s="522">
        <v>266</v>
      </c>
      <c r="CQ138" s="526">
        <v>80.78</v>
      </c>
      <c r="CR138" s="526">
        <v>75.8</v>
      </c>
      <c r="CS138" s="526">
        <v>41.63</v>
      </c>
      <c r="CT138" s="526">
        <v>122.4</v>
      </c>
      <c r="CU138" s="522">
        <v>107</v>
      </c>
      <c r="CV138" s="526">
        <v>91.33</v>
      </c>
      <c r="CW138" s="526">
        <v>87.88</v>
      </c>
      <c r="CX138" s="526">
        <v>63.93</v>
      </c>
      <c r="CY138" s="526">
        <v>155.16</v>
      </c>
      <c r="CZ138" s="522">
        <v>589</v>
      </c>
      <c r="DA138" s="526">
        <v>108.18</v>
      </c>
      <c r="DB138" s="526">
        <v>104.11</v>
      </c>
      <c r="DC138" s="526">
        <v>67.010000000000005</v>
      </c>
      <c r="DD138" s="526">
        <v>175.19</v>
      </c>
      <c r="DE138" s="522">
        <v>36</v>
      </c>
      <c r="DF138" s="526">
        <v>128.80000000000001</v>
      </c>
      <c r="DG138" s="526">
        <v>128.71</v>
      </c>
      <c r="DH138" s="526">
        <v>47.33</v>
      </c>
      <c r="DI138" s="526">
        <v>176.13</v>
      </c>
      <c r="DJ138" s="522">
        <v>6</v>
      </c>
      <c r="DK138" s="526">
        <v>0</v>
      </c>
      <c r="DL138" s="526">
        <v>0</v>
      </c>
      <c r="DM138" s="526">
        <v>0</v>
      </c>
      <c r="DN138" s="526">
        <v>0</v>
      </c>
      <c r="DO138" s="522">
        <v>0</v>
      </c>
      <c r="DP138" s="526">
        <v>90.93</v>
      </c>
      <c r="DQ138" s="526">
        <v>87.29</v>
      </c>
      <c r="DR138" s="526">
        <v>60.71</v>
      </c>
      <c r="DS138" s="526">
        <v>151.56</v>
      </c>
      <c r="DT138" s="522">
        <v>738</v>
      </c>
      <c r="DU138" s="526">
        <v>94.68</v>
      </c>
      <c r="DV138" s="526">
        <v>86.88</v>
      </c>
      <c r="DW138" s="526">
        <v>82.9</v>
      </c>
      <c r="DX138" s="526">
        <v>177.25</v>
      </c>
      <c r="DY138" s="522">
        <v>1004</v>
      </c>
      <c r="DZ138" s="526">
        <v>0</v>
      </c>
      <c r="EA138" s="526">
        <v>0</v>
      </c>
      <c r="EB138" s="526">
        <v>93.85</v>
      </c>
      <c r="EC138" s="522">
        <v>2</v>
      </c>
      <c r="ED138" s="526">
        <v>104.24</v>
      </c>
      <c r="EE138" s="522">
        <v>190</v>
      </c>
      <c r="EF138" s="526">
        <v>127.25</v>
      </c>
      <c r="EG138" s="522">
        <v>265</v>
      </c>
      <c r="EH138" s="526">
        <v>138.51</v>
      </c>
      <c r="EI138" s="522">
        <v>87</v>
      </c>
      <c r="EJ138" s="526">
        <v>159.88999999999999</v>
      </c>
      <c r="EK138" s="522">
        <v>10</v>
      </c>
      <c r="EL138" s="526">
        <v>0</v>
      </c>
      <c r="EM138" s="522">
        <v>0</v>
      </c>
      <c r="EN138" s="526">
        <v>0</v>
      </c>
      <c r="EO138" s="522">
        <v>0</v>
      </c>
      <c r="EP138" s="526">
        <v>121.6</v>
      </c>
      <c r="EQ138" s="522">
        <v>554</v>
      </c>
      <c r="ER138" s="526">
        <v>121.6</v>
      </c>
      <c r="ES138" s="522">
        <v>554</v>
      </c>
      <c r="ET138" s="526">
        <v>0</v>
      </c>
      <c r="EU138" s="526">
        <v>0</v>
      </c>
      <c r="EV138" s="526">
        <v>0</v>
      </c>
      <c r="EW138" s="522">
        <v>0</v>
      </c>
      <c r="EX138" s="526">
        <v>0</v>
      </c>
      <c r="EY138" s="522">
        <v>0</v>
      </c>
      <c r="EZ138" s="526">
        <v>0</v>
      </c>
      <c r="FA138" s="522">
        <v>0</v>
      </c>
      <c r="FB138" s="526">
        <v>0</v>
      </c>
      <c r="FC138" s="522">
        <v>0</v>
      </c>
      <c r="FD138" s="526">
        <v>0</v>
      </c>
      <c r="FE138" s="522">
        <v>0</v>
      </c>
      <c r="FF138" s="526">
        <v>0</v>
      </c>
      <c r="FG138" s="522">
        <v>0</v>
      </c>
      <c r="FH138" s="526">
        <v>0</v>
      </c>
      <c r="FI138" s="522">
        <v>0</v>
      </c>
      <c r="FJ138" s="522">
        <v>3</v>
      </c>
      <c r="FK138" s="522">
        <v>0</v>
      </c>
      <c r="FL138" s="522">
        <v>0</v>
      </c>
      <c r="FM138" s="522">
        <v>0</v>
      </c>
      <c r="FN138" s="522">
        <v>0</v>
      </c>
      <c r="FO138" s="522">
        <v>0</v>
      </c>
      <c r="FP138" s="522">
        <v>12</v>
      </c>
      <c r="FQ138" s="522">
        <v>17</v>
      </c>
      <c r="FR138" s="522">
        <v>2</v>
      </c>
    </row>
    <row r="139" spans="1:174" x14ac:dyDescent="0.25">
      <c r="A139" s="523" t="s">
        <v>535</v>
      </c>
      <c r="B139" s="523" t="s">
        <v>536</v>
      </c>
      <c r="C139" s="523" t="s">
        <v>2</v>
      </c>
      <c r="D139" s="522">
        <v>6316</v>
      </c>
      <c r="E139" s="522">
        <v>5838</v>
      </c>
      <c r="F139" s="522">
        <v>0</v>
      </c>
      <c r="G139" s="522">
        <v>0</v>
      </c>
      <c r="H139" s="522">
        <v>498</v>
      </c>
      <c r="I139" s="522">
        <v>476</v>
      </c>
      <c r="J139" s="522">
        <v>626</v>
      </c>
      <c r="K139" s="522">
        <v>626</v>
      </c>
      <c r="L139" s="522">
        <v>354</v>
      </c>
      <c r="M139" s="522">
        <v>0</v>
      </c>
      <c r="N139" s="522">
        <v>7794</v>
      </c>
      <c r="O139" s="522">
        <v>6940</v>
      </c>
      <c r="P139" s="522">
        <v>7440</v>
      </c>
      <c r="Q139" s="522">
        <v>24</v>
      </c>
      <c r="R139" s="523">
        <v>5</v>
      </c>
      <c r="S139" s="523">
        <v>11</v>
      </c>
      <c r="T139" s="523">
        <v>527</v>
      </c>
      <c r="U139" s="523">
        <v>7267</v>
      </c>
      <c r="V139" s="522">
        <v>5838</v>
      </c>
      <c r="W139" s="522">
        <v>84</v>
      </c>
      <c r="X139" s="522">
        <v>40</v>
      </c>
      <c r="Y139" s="522">
        <v>124</v>
      </c>
      <c r="Z139" s="524">
        <v>101.58</v>
      </c>
      <c r="AA139" s="524">
        <v>104.64</v>
      </c>
      <c r="AB139" s="524">
        <v>7.92</v>
      </c>
      <c r="AC139" s="524">
        <v>106.26</v>
      </c>
      <c r="AD139" s="524">
        <v>5457</v>
      </c>
      <c r="AE139" s="525">
        <v>97.61</v>
      </c>
      <c r="AF139" s="525">
        <v>88.78</v>
      </c>
      <c r="AG139" s="525">
        <v>49.4</v>
      </c>
      <c r="AH139" s="525">
        <v>145.80000000000001</v>
      </c>
      <c r="AI139" s="525">
        <v>1063</v>
      </c>
      <c r="AJ139" s="525">
        <v>140.55000000000001</v>
      </c>
      <c r="AK139" s="525">
        <v>334</v>
      </c>
      <c r="AL139" s="525">
        <v>103.31</v>
      </c>
      <c r="AM139" s="525">
        <v>12</v>
      </c>
      <c r="AN139" s="526">
        <v>0</v>
      </c>
      <c r="AO139" s="526">
        <v>0</v>
      </c>
      <c r="AP139" s="526">
        <v>0</v>
      </c>
      <c r="AQ139" s="526">
        <v>0</v>
      </c>
      <c r="AR139" s="522">
        <v>0</v>
      </c>
      <c r="AS139" s="526">
        <v>72.989999999999995</v>
      </c>
      <c r="AT139" s="526">
        <v>74.8</v>
      </c>
      <c r="AU139" s="526">
        <v>5.66</v>
      </c>
      <c r="AV139" s="526">
        <v>78.650000000000006</v>
      </c>
      <c r="AW139" s="522">
        <v>65</v>
      </c>
      <c r="AX139" s="526">
        <v>85.94</v>
      </c>
      <c r="AY139" s="526">
        <v>88.8</v>
      </c>
      <c r="AZ139" s="526">
        <v>9.08</v>
      </c>
      <c r="BA139" s="526">
        <v>94</v>
      </c>
      <c r="BB139" s="522">
        <v>1260</v>
      </c>
      <c r="BC139" s="526">
        <v>100.37</v>
      </c>
      <c r="BD139" s="526">
        <v>102.9</v>
      </c>
      <c r="BE139" s="526">
        <v>9.11</v>
      </c>
      <c r="BF139" s="526">
        <v>106.06</v>
      </c>
      <c r="BG139" s="522">
        <v>2139</v>
      </c>
      <c r="BH139" s="526">
        <v>112.9</v>
      </c>
      <c r="BI139" s="526">
        <v>116.43</v>
      </c>
      <c r="BJ139" s="526">
        <v>4.05</v>
      </c>
      <c r="BK139" s="526">
        <v>114.34</v>
      </c>
      <c r="BL139" s="522">
        <v>1865</v>
      </c>
      <c r="BM139" s="526">
        <v>124.6</v>
      </c>
      <c r="BN139" s="526">
        <v>131.22999999999999</v>
      </c>
      <c r="BO139" s="526">
        <v>3.91</v>
      </c>
      <c r="BP139" s="526">
        <v>125.94</v>
      </c>
      <c r="BQ139" s="522">
        <v>120</v>
      </c>
      <c r="BR139" s="526">
        <v>132.38999999999999</v>
      </c>
      <c r="BS139" s="526">
        <v>140.16</v>
      </c>
      <c r="BT139" s="526">
        <v>2.85</v>
      </c>
      <c r="BU139" s="526">
        <v>133.53</v>
      </c>
      <c r="BV139" s="522">
        <v>5</v>
      </c>
      <c r="BW139" s="526">
        <v>134.72</v>
      </c>
      <c r="BX139" s="526">
        <v>147.09</v>
      </c>
      <c r="BY139" s="526">
        <v>6.91</v>
      </c>
      <c r="BZ139" s="526">
        <v>139.32</v>
      </c>
      <c r="CA139" s="522">
        <v>3</v>
      </c>
      <c r="CB139" s="526">
        <v>101.58</v>
      </c>
      <c r="CC139" s="526">
        <v>104.64</v>
      </c>
      <c r="CD139" s="526">
        <v>7.92</v>
      </c>
      <c r="CE139" s="526">
        <v>106.26</v>
      </c>
      <c r="CF139" s="522">
        <v>5457</v>
      </c>
      <c r="CG139" s="526">
        <v>101.58</v>
      </c>
      <c r="CH139" s="526">
        <v>104.64</v>
      </c>
      <c r="CI139" s="526">
        <v>7.92</v>
      </c>
      <c r="CJ139" s="526">
        <v>106.26</v>
      </c>
      <c r="CK139" s="522">
        <v>5457</v>
      </c>
      <c r="CL139" s="526">
        <v>85.64</v>
      </c>
      <c r="CM139" s="526">
        <v>74.73</v>
      </c>
      <c r="CN139" s="526">
        <v>82.78</v>
      </c>
      <c r="CO139" s="526">
        <v>167.16</v>
      </c>
      <c r="CP139" s="522">
        <v>197</v>
      </c>
      <c r="CQ139" s="526">
        <v>85.97</v>
      </c>
      <c r="CR139" s="526">
        <v>84.43</v>
      </c>
      <c r="CS139" s="526">
        <v>66.2</v>
      </c>
      <c r="CT139" s="526">
        <v>146.21</v>
      </c>
      <c r="CU139" s="522">
        <v>111</v>
      </c>
      <c r="CV139" s="526">
        <v>100.21</v>
      </c>
      <c r="CW139" s="526">
        <v>91.31</v>
      </c>
      <c r="CX139" s="526">
        <v>37.93</v>
      </c>
      <c r="CY139" s="526">
        <v>137.47999999999999</v>
      </c>
      <c r="CZ139" s="522">
        <v>690</v>
      </c>
      <c r="DA139" s="526">
        <v>126.91</v>
      </c>
      <c r="DB139" s="526">
        <v>102.59</v>
      </c>
      <c r="DC139" s="526">
        <v>43.27</v>
      </c>
      <c r="DD139" s="526">
        <v>170.18</v>
      </c>
      <c r="DE139" s="522">
        <v>60</v>
      </c>
      <c r="DF139" s="526">
        <v>117.55</v>
      </c>
      <c r="DG139" s="526">
        <v>111.19</v>
      </c>
      <c r="DH139" s="526">
        <v>41.71</v>
      </c>
      <c r="DI139" s="526">
        <v>159.26</v>
      </c>
      <c r="DJ139" s="522">
        <v>4</v>
      </c>
      <c r="DK139" s="526">
        <v>122.33</v>
      </c>
      <c r="DL139" s="526">
        <v>141.18</v>
      </c>
      <c r="DM139" s="526">
        <v>0</v>
      </c>
      <c r="DN139" s="526">
        <v>122.33</v>
      </c>
      <c r="DO139" s="522">
        <v>1</v>
      </c>
      <c r="DP139" s="526">
        <v>100.34</v>
      </c>
      <c r="DQ139" s="526">
        <v>91.01</v>
      </c>
      <c r="DR139" s="526">
        <v>41.72</v>
      </c>
      <c r="DS139" s="526">
        <v>140.94</v>
      </c>
      <c r="DT139" s="522">
        <v>866</v>
      </c>
      <c r="DU139" s="526">
        <v>97.61</v>
      </c>
      <c r="DV139" s="526">
        <v>88.78</v>
      </c>
      <c r="DW139" s="526">
        <v>49.4</v>
      </c>
      <c r="DX139" s="526">
        <v>145.80000000000001</v>
      </c>
      <c r="DY139" s="522">
        <v>1063</v>
      </c>
      <c r="DZ139" s="526">
        <v>0</v>
      </c>
      <c r="EA139" s="526">
        <v>0</v>
      </c>
      <c r="EB139" s="526">
        <v>0</v>
      </c>
      <c r="EC139" s="522">
        <v>0</v>
      </c>
      <c r="ED139" s="526">
        <v>110.33</v>
      </c>
      <c r="EE139" s="522">
        <v>31</v>
      </c>
      <c r="EF139" s="526">
        <v>129.69999999999999</v>
      </c>
      <c r="EG139" s="522">
        <v>151</v>
      </c>
      <c r="EH139" s="526">
        <v>156.01</v>
      </c>
      <c r="EI139" s="522">
        <v>142</v>
      </c>
      <c r="EJ139" s="526">
        <v>178.38</v>
      </c>
      <c r="EK139" s="522">
        <v>9</v>
      </c>
      <c r="EL139" s="526">
        <v>178.03</v>
      </c>
      <c r="EM139" s="522">
        <v>1</v>
      </c>
      <c r="EN139" s="526">
        <v>0</v>
      </c>
      <c r="EO139" s="522">
        <v>0</v>
      </c>
      <c r="EP139" s="526">
        <v>140.55000000000001</v>
      </c>
      <c r="EQ139" s="522">
        <v>334</v>
      </c>
      <c r="ER139" s="526">
        <v>140.55000000000001</v>
      </c>
      <c r="ES139" s="522">
        <v>334</v>
      </c>
      <c r="ET139" s="526">
        <v>0</v>
      </c>
      <c r="EU139" s="526">
        <v>0</v>
      </c>
      <c r="EV139" s="526">
        <v>0</v>
      </c>
      <c r="EW139" s="522">
        <v>0</v>
      </c>
      <c r="EX139" s="526">
        <v>103.31</v>
      </c>
      <c r="EY139" s="522">
        <v>12</v>
      </c>
      <c r="EZ139" s="526">
        <v>0</v>
      </c>
      <c r="FA139" s="522">
        <v>0</v>
      </c>
      <c r="FB139" s="526">
        <v>0</v>
      </c>
      <c r="FC139" s="522">
        <v>0</v>
      </c>
      <c r="FD139" s="526">
        <v>0</v>
      </c>
      <c r="FE139" s="522">
        <v>0</v>
      </c>
      <c r="FF139" s="526">
        <v>103.31</v>
      </c>
      <c r="FG139" s="522">
        <v>12</v>
      </c>
      <c r="FH139" s="526">
        <v>103.31</v>
      </c>
      <c r="FI139" s="522">
        <v>12</v>
      </c>
      <c r="FJ139" s="522">
        <v>0</v>
      </c>
      <c r="FK139" s="522">
        <v>0</v>
      </c>
      <c r="FL139" s="522">
        <v>0</v>
      </c>
      <c r="FM139" s="522">
        <v>0</v>
      </c>
      <c r="FN139" s="522">
        <v>0</v>
      </c>
      <c r="FO139" s="522">
        <v>0</v>
      </c>
      <c r="FP139" s="522">
        <v>2</v>
      </c>
      <c r="FQ139" s="522">
        <v>0</v>
      </c>
      <c r="FR139" s="522">
        <v>2</v>
      </c>
    </row>
    <row r="140" spans="1:174" x14ac:dyDescent="0.25">
      <c r="A140" s="523" t="s">
        <v>537</v>
      </c>
      <c r="B140" s="523" t="s">
        <v>538</v>
      </c>
      <c r="C140" s="523" t="s">
        <v>287</v>
      </c>
      <c r="D140" s="522">
        <v>54</v>
      </c>
      <c r="E140" s="522">
        <v>27</v>
      </c>
      <c r="F140" s="522">
        <v>0</v>
      </c>
      <c r="G140" s="522">
        <v>0</v>
      </c>
      <c r="H140" s="522">
        <v>0</v>
      </c>
      <c r="I140" s="522">
        <v>0</v>
      </c>
      <c r="J140" s="522">
        <v>7</v>
      </c>
      <c r="K140" s="522">
        <v>7</v>
      </c>
      <c r="L140" s="522">
        <v>0</v>
      </c>
      <c r="M140" s="522">
        <v>0</v>
      </c>
      <c r="N140" s="522">
        <v>61</v>
      </c>
      <c r="O140" s="522">
        <v>34</v>
      </c>
      <c r="P140" s="522">
        <v>61</v>
      </c>
      <c r="Q140" s="522">
        <v>1</v>
      </c>
      <c r="R140" s="523">
        <v>1</v>
      </c>
      <c r="S140" s="523">
        <v>2</v>
      </c>
      <c r="T140" s="523">
        <v>27</v>
      </c>
      <c r="U140" s="523">
        <v>34</v>
      </c>
      <c r="V140" s="522">
        <v>27</v>
      </c>
      <c r="W140" s="522">
        <v>3</v>
      </c>
      <c r="X140" s="522">
        <v>0</v>
      </c>
      <c r="Y140" s="522">
        <v>3</v>
      </c>
      <c r="Z140" s="524">
        <v>117.63</v>
      </c>
      <c r="AA140" s="524">
        <v>122.79</v>
      </c>
      <c r="AB140" s="524">
        <v>6.51</v>
      </c>
      <c r="AC140" s="524">
        <v>120.53</v>
      </c>
      <c r="AD140" s="524">
        <v>27</v>
      </c>
      <c r="AE140" s="525">
        <v>109.65</v>
      </c>
      <c r="AF140" s="525">
        <v>103.5</v>
      </c>
      <c r="AG140" s="525">
        <v>38.549999999999997</v>
      </c>
      <c r="AH140" s="525">
        <v>148.19999999999999</v>
      </c>
      <c r="AI140" s="525">
        <v>7</v>
      </c>
      <c r="AJ140" s="525">
        <v>132.29</v>
      </c>
      <c r="AK140" s="525">
        <v>2</v>
      </c>
      <c r="AL140" s="525">
        <v>0</v>
      </c>
      <c r="AM140" s="525">
        <v>0</v>
      </c>
      <c r="AN140" s="526">
        <v>0</v>
      </c>
      <c r="AO140" s="526">
        <v>0</v>
      </c>
      <c r="AP140" s="526">
        <v>0</v>
      </c>
      <c r="AQ140" s="526">
        <v>0</v>
      </c>
      <c r="AR140" s="522">
        <v>0</v>
      </c>
      <c r="AS140" s="526">
        <v>0</v>
      </c>
      <c r="AT140" s="526">
        <v>0</v>
      </c>
      <c r="AU140" s="526">
        <v>0</v>
      </c>
      <c r="AV140" s="526">
        <v>0</v>
      </c>
      <c r="AW140" s="522">
        <v>0</v>
      </c>
      <c r="AX140" s="526">
        <v>106.05</v>
      </c>
      <c r="AY140" s="526">
        <v>107.61</v>
      </c>
      <c r="AZ140" s="526">
        <v>8.24</v>
      </c>
      <c r="BA140" s="526">
        <v>112.92</v>
      </c>
      <c r="BB140" s="522">
        <v>6</v>
      </c>
      <c r="BC140" s="526">
        <v>119.15</v>
      </c>
      <c r="BD140" s="526">
        <v>123.43</v>
      </c>
      <c r="BE140" s="526">
        <v>8.9600000000000009</v>
      </c>
      <c r="BF140" s="526">
        <v>120.73</v>
      </c>
      <c r="BG140" s="522">
        <v>17</v>
      </c>
      <c r="BH140" s="526">
        <v>128.57</v>
      </c>
      <c r="BI140" s="526">
        <v>142.87</v>
      </c>
      <c r="BJ140" s="526">
        <v>2.5</v>
      </c>
      <c r="BK140" s="526">
        <v>131.07</v>
      </c>
      <c r="BL140" s="522">
        <v>4</v>
      </c>
      <c r="BM140" s="526">
        <v>0</v>
      </c>
      <c r="BN140" s="526">
        <v>0</v>
      </c>
      <c r="BO140" s="526">
        <v>0</v>
      </c>
      <c r="BP140" s="526">
        <v>0</v>
      </c>
      <c r="BQ140" s="522">
        <v>0</v>
      </c>
      <c r="BR140" s="526">
        <v>0</v>
      </c>
      <c r="BS140" s="526">
        <v>0</v>
      </c>
      <c r="BT140" s="526">
        <v>0</v>
      </c>
      <c r="BU140" s="526">
        <v>0</v>
      </c>
      <c r="BV140" s="522">
        <v>0</v>
      </c>
      <c r="BW140" s="526">
        <v>0</v>
      </c>
      <c r="BX140" s="526">
        <v>0</v>
      </c>
      <c r="BY140" s="526">
        <v>0</v>
      </c>
      <c r="BZ140" s="526">
        <v>0</v>
      </c>
      <c r="CA140" s="522">
        <v>0</v>
      </c>
      <c r="CB140" s="526">
        <v>117.63</v>
      </c>
      <c r="CC140" s="526">
        <v>122.79</v>
      </c>
      <c r="CD140" s="526">
        <v>6.51</v>
      </c>
      <c r="CE140" s="526">
        <v>120.53</v>
      </c>
      <c r="CF140" s="522">
        <v>27</v>
      </c>
      <c r="CG140" s="526">
        <v>117.63</v>
      </c>
      <c r="CH140" s="526">
        <v>122.79</v>
      </c>
      <c r="CI140" s="526">
        <v>6.51</v>
      </c>
      <c r="CJ140" s="526">
        <v>120.53</v>
      </c>
      <c r="CK140" s="522">
        <v>27</v>
      </c>
      <c r="CL140" s="526">
        <v>0</v>
      </c>
      <c r="CM140" s="526">
        <v>0</v>
      </c>
      <c r="CN140" s="526">
        <v>0</v>
      </c>
      <c r="CO140" s="526">
        <v>0</v>
      </c>
      <c r="CP140" s="522">
        <v>0</v>
      </c>
      <c r="CQ140" s="526">
        <v>0</v>
      </c>
      <c r="CR140" s="526">
        <v>0</v>
      </c>
      <c r="CS140" s="526">
        <v>0</v>
      </c>
      <c r="CT140" s="526">
        <v>0</v>
      </c>
      <c r="CU140" s="522">
        <v>0</v>
      </c>
      <c r="CV140" s="526">
        <v>109.65</v>
      </c>
      <c r="CW140" s="526">
        <v>103.5</v>
      </c>
      <c r="CX140" s="526">
        <v>38.549999999999997</v>
      </c>
      <c r="CY140" s="526">
        <v>148.19999999999999</v>
      </c>
      <c r="CZ140" s="522">
        <v>7</v>
      </c>
      <c r="DA140" s="526">
        <v>0</v>
      </c>
      <c r="DB140" s="526">
        <v>0</v>
      </c>
      <c r="DC140" s="526">
        <v>0</v>
      </c>
      <c r="DD140" s="526">
        <v>0</v>
      </c>
      <c r="DE140" s="522">
        <v>0</v>
      </c>
      <c r="DF140" s="526">
        <v>0</v>
      </c>
      <c r="DG140" s="526">
        <v>0</v>
      </c>
      <c r="DH140" s="526">
        <v>0</v>
      </c>
      <c r="DI140" s="526">
        <v>0</v>
      </c>
      <c r="DJ140" s="522">
        <v>0</v>
      </c>
      <c r="DK140" s="526">
        <v>0</v>
      </c>
      <c r="DL140" s="526">
        <v>0</v>
      </c>
      <c r="DM140" s="526">
        <v>0</v>
      </c>
      <c r="DN140" s="526">
        <v>0</v>
      </c>
      <c r="DO140" s="522">
        <v>0</v>
      </c>
      <c r="DP140" s="526">
        <v>109.65</v>
      </c>
      <c r="DQ140" s="526">
        <v>103.5</v>
      </c>
      <c r="DR140" s="526">
        <v>38.549999999999997</v>
      </c>
      <c r="DS140" s="526">
        <v>148.19999999999999</v>
      </c>
      <c r="DT140" s="522">
        <v>7</v>
      </c>
      <c r="DU140" s="526">
        <v>109.65</v>
      </c>
      <c r="DV140" s="526">
        <v>103.5</v>
      </c>
      <c r="DW140" s="526">
        <v>38.549999999999997</v>
      </c>
      <c r="DX140" s="526">
        <v>148.19999999999999</v>
      </c>
      <c r="DY140" s="522">
        <v>7</v>
      </c>
      <c r="DZ140" s="526">
        <v>0</v>
      </c>
      <c r="EA140" s="526">
        <v>0</v>
      </c>
      <c r="EB140" s="526">
        <v>0</v>
      </c>
      <c r="EC140" s="522">
        <v>0</v>
      </c>
      <c r="ED140" s="526">
        <v>116.98</v>
      </c>
      <c r="EE140" s="522">
        <v>1</v>
      </c>
      <c r="EF140" s="526">
        <v>147.59</v>
      </c>
      <c r="EG140" s="522">
        <v>1</v>
      </c>
      <c r="EH140" s="526">
        <v>0</v>
      </c>
      <c r="EI140" s="522">
        <v>0</v>
      </c>
      <c r="EJ140" s="526">
        <v>0</v>
      </c>
      <c r="EK140" s="522">
        <v>0</v>
      </c>
      <c r="EL140" s="526">
        <v>0</v>
      </c>
      <c r="EM140" s="522">
        <v>0</v>
      </c>
      <c r="EN140" s="526">
        <v>0</v>
      </c>
      <c r="EO140" s="522">
        <v>0</v>
      </c>
      <c r="EP140" s="526">
        <v>132.29</v>
      </c>
      <c r="EQ140" s="522">
        <v>2</v>
      </c>
      <c r="ER140" s="526">
        <v>132.29</v>
      </c>
      <c r="ES140" s="522">
        <v>2</v>
      </c>
      <c r="ET140" s="526">
        <v>0</v>
      </c>
      <c r="EU140" s="526">
        <v>0</v>
      </c>
      <c r="EV140" s="526">
        <v>0</v>
      </c>
      <c r="EW140" s="522">
        <v>0</v>
      </c>
      <c r="EX140" s="526">
        <v>0</v>
      </c>
      <c r="EY140" s="522">
        <v>0</v>
      </c>
      <c r="EZ140" s="526">
        <v>0</v>
      </c>
      <c r="FA140" s="522">
        <v>0</v>
      </c>
      <c r="FB140" s="526">
        <v>0</v>
      </c>
      <c r="FC140" s="522">
        <v>0</v>
      </c>
      <c r="FD140" s="526">
        <v>0</v>
      </c>
      <c r="FE140" s="522">
        <v>0</v>
      </c>
      <c r="FF140" s="526">
        <v>0</v>
      </c>
      <c r="FG140" s="522">
        <v>0</v>
      </c>
      <c r="FH140" s="526">
        <v>0</v>
      </c>
      <c r="FI140" s="522">
        <v>0</v>
      </c>
      <c r="FJ140" s="522">
        <v>0</v>
      </c>
      <c r="FK140" s="522">
        <v>0</v>
      </c>
      <c r="FL140" s="522">
        <v>0</v>
      </c>
      <c r="FM140" s="522">
        <v>0</v>
      </c>
      <c r="FN140" s="522">
        <v>0</v>
      </c>
      <c r="FO140" s="522">
        <v>0</v>
      </c>
      <c r="FP140" s="522">
        <v>0</v>
      </c>
      <c r="FQ140" s="522">
        <v>0</v>
      </c>
      <c r="FR140" s="522">
        <v>0</v>
      </c>
    </row>
    <row r="141" spans="1:174" x14ac:dyDescent="0.25">
      <c r="A141" s="523" t="s">
        <v>539</v>
      </c>
      <c r="B141" s="523" t="s">
        <v>540</v>
      </c>
      <c r="C141" s="523" t="s">
        <v>284</v>
      </c>
      <c r="D141" s="522">
        <v>14024</v>
      </c>
      <c r="E141" s="522">
        <v>14591</v>
      </c>
      <c r="F141" s="522">
        <v>298</v>
      </c>
      <c r="G141" s="522">
        <v>171</v>
      </c>
      <c r="H141" s="522">
        <v>1366</v>
      </c>
      <c r="I141" s="522">
        <v>805</v>
      </c>
      <c r="J141" s="522">
        <v>772</v>
      </c>
      <c r="K141" s="522">
        <v>705</v>
      </c>
      <c r="L141" s="522">
        <v>1589</v>
      </c>
      <c r="M141" s="522">
        <v>111</v>
      </c>
      <c r="N141" s="522">
        <v>18049</v>
      </c>
      <c r="O141" s="522">
        <v>16383</v>
      </c>
      <c r="P141" s="522">
        <v>16460</v>
      </c>
      <c r="Q141" s="522">
        <v>188</v>
      </c>
      <c r="R141" s="523">
        <v>27</v>
      </c>
      <c r="S141" s="523">
        <v>24</v>
      </c>
      <c r="T141" s="523">
        <v>1457</v>
      </c>
      <c r="U141" s="523">
        <v>16592</v>
      </c>
      <c r="V141" s="522">
        <v>13096</v>
      </c>
      <c r="W141" s="522">
        <v>132</v>
      </c>
      <c r="X141" s="522">
        <v>92</v>
      </c>
      <c r="Y141" s="522">
        <v>224</v>
      </c>
      <c r="Z141" s="524">
        <v>145.77000000000001</v>
      </c>
      <c r="AA141" s="524">
        <v>159.84</v>
      </c>
      <c r="AB141" s="524">
        <v>15.43</v>
      </c>
      <c r="AC141" s="524">
        <v>159.12</v>
      </c>
      <c r="AD141" s="524">
        <v>12250</v>
      </c>
      <c r="AE141" s="525">
        <v>135.66999999999999</v>
      </c>
      <c r="AF141" s="525">
        <v>133.88999999999999</v>
      </c>
      <c r="AG141" s="525">
        <v>91.44</v>
      </c>
      <c r="AH141" s="525">
        <v>218.4</v>
      </c>
      <c r="AI141" s="525">
        <v>1680</v>
      </c>
      <c r="AJ141" s="525">
        <v>210.52</v>
      </c>
      <c r="AK141" s="525">
        <v>561</v>
      </c>
      <c r="AL141" s="525">
        <v>225.28</v>
      </c>
      <c r="AM141" s="525">
        <v>13</v>
      </c>
      <c r="AN141" s="526">
        <v>114.87</v>
      </c>
      <c r="AO141" s="526">
        <v>110.67</v>
      </c>
      <c r="AP141" s="526">
        <v>31.71</v>
      </c>
      <c r="AQ141" s="526">
        <v>141.29</v>
      </c>
      <c r="AR141" s="522">
        <v>48</v>
      </c>
      <c r="AS141" s="526">
        <v>103.37</v>
      </c>
      <c r="AT141" s="526">
        <v>106.72</v>
      </c>
      <c r="AU141" s="526">
        <v>21.38</v>
      </c>
      <c r="AV141" s="526">
        <v>123.38</v>
      </c>
      <c r="AW141" s="522">
        <v>140</v>
      </c>
      <c r="AX141" s="526">
        <v>129.04</v>
      </c>
      <c r="AY141" s="526">
        <v>137.72</v>
      </c>
      <c r="AZ141" s="526">
        <v>13.61</v>
      </c>
      <c r="BA141" s="526">
        <v>141.19999999999999</v>
      </c>
      <c r="BB141" s="522">
        <v>4053</v>
      </c>
      <c r="BC141" s="526">
        <v>148.44</v>
      </c>
      <c r="BD141" s="526">
        <v>161.55000000000001</v>
      </c>
      <c r="BE141" s="526">
        <v>16.55</v>
      </c>
      <c r="BF141" s="526">
        <v>162.97999999999999</v>
      </c>
      <c r="BG141" s="522">
        <v>4437</v>
      </c>
      <c r="BH141" s="526">
        <v>158.56</v>
      </c>
      <c r="BI141" s="526">
        <v>179.73</v>
      </c>
      <c r="BJ141" s="526">
        <v>15.91</v>
      </c>
      <c r="BK141" s="526">
        <v>171.76</v>
      </c>
      <c r="BL141" s="522">
        <v>2676</v>
      </c>
      <c r="BM141" s="526">
        <v>176.17</v>
      </c>
      <c r="BN141" s="526">
        <v>200.4</v>
      </c>
      <c r="BO141" s="526">
        <v>15.52</v>
      </c>
      <c r="BP141" s="526">
        <v>188.23</v>
      </c>
      <c r="BQ141" s="522">
        <v>713</v>
      </c>
      <c r="BR141" s="526">
        <v>185.01</v>
      </c>
      <c r="BS141" s="526">
        <v>210.36</v>
      </c>
      <c r="BT141" s="526">
        <v>12.92</v>
      </c>
      <c r="BU141" s="526">
        <v>194.48</v>
      </c>
      <c r="BV141" s="522">
        <v>161</v>
      </c>
      <c r="BW141" s="526">
        <v>197.05</v>
      </c>
      <c r="BX141" s="526">
        <v>225.91</v>
      </c>
      <c r="BY141" s="526">
        <v>16.07</v>
      </c>
      <c r="BZ141" s="526">
        <v>207.28</v>
      </c>
      <c r="CA141" s="522">
        <v>22</v>
      </c>
      <c r="CB141" s="526">
        <v>145.88999999999999</v>
      </c>
      <c r="CC141" s="526">
        <v>160</v>
      </c>
      <c r="CD141" s="526">
        <v>15.37</v>
      </c>
      <c r="CE141" s="526">
        <v>159.19</v>
      </c>
      <c r="CF141" s="522">
        <v>12202</v>
      </c>
      <c r="CG141" s="526">
        <v>145.77000000000001</v>
      </c>
      <c r="CH141" s="526">
        <v>159.84</v>
      </c>
      <c r="CI141" s="526">
        <v>15.43</v>
      </c>
      <c r="CJ141" s="526">
        <v>159.12</v>
      </c>
      <c r="CK141" s="522">
        <v>12250</v>
      </c>
      <c r="CL141" s="526">
        <v>117.07</v>
      </c>
      <c r="CM141" s="526">
        <v>116.42</v>
      </c>
      <c r="CN141" s="526">
        <v>185.2</v>
      </c>
      <c r="CO141" s="526">
        <v>267.57</v>
      </c>
      <c r="CP141" s="522">
        <v>379</v>
      </c>
      <c r="CQ141" s="526">
        <v>121.82</v>
      </c>
      <c r="CR141" s="526">
        <v>117.64</v>
      </c>
      <c r="CS141" s="526">
        <v>111.99</v>
      </c>
      <c r="CT141" s="526">
        <v>215.14</v>
      </c>
      <c r="CU141" s="522">
        <v>162</v>
      </c>
      <c r="CV141" s="526">
        <v>143.44999999999999</v>
      </c>
      <c r="CW141" s="526">
        <v>140.27000000000001</v>
      </c>
      <c r="CX141" s="526">
        <v>62.26</v>
      </c>
      <c r="CY141" s="526">
        <v>202.43</v>
      </c>
      <c r="CZ141" s="522">
        <v>1098</v>
      </c>
      <c r="DA141" s="526">
        <v>154.28</v>
      </c>
      <c r="DB141" s="526">
        <v>159.57</v>
      </c>
      <c r="DC141" s="526">
        <v>58.35</v>
      </c>
      <c r="DD141" s="526">
        <v>206.33</v>
      </c>
      <c r="DE141" s="522">
        <v>37</v>
      </c>
      <c r="DF141" s="526">
        <v>151.08000000000001</v>
      </c>
      <c r="DG141" s="526">
        <v>156.13</v>
      </c>
      <c r="DH141" s="526">
        <v>36.049999999999997</v>
      </c>
      <c r="DI141" s="526">
        <v>187.14</v>
      </c>
      <c r="DJ141" s="522">
        <v>4</v>
      </c>
      <c r="DK141" s="526">
        <v>0</v>
      </c>
      <c r="DL141" s="526">
        <v>0</v>
      </c>
      <c r="DM141" s="526">
        <v>0</v>
      </c>
      <c r="DN141" s="526">
        <v>0</v>
      </c>
      <c r="DO141" s="522">
        <v>0</v>
      </c>
      <c r="DP141" s="526">
        <v>141.09</v>
      </c>
      <c r="DQ141" s="526">
        <v>138.05000000000001</v>
      </c>
      <c r="DR141" s="526">
        <v>67.61</v>
      </c>
      <c r="DS141" s="526">
        <v>204.07</v>
      </c>
      <c r="DT141" s="522">
        <v>1301</v>
      </c>
      <c r="DU141" s="526">
        <v>135.66999999999999</v>
      </c>
      <c r="DV141" s="526">
        <v>133.88999999999999</v>
      </c>
      <c r="DW141" s="526">
        <v>91.44</v>
      </c>
      <c r="DX141" s="526">
        <v>218.4</v>
      </c>
      <c r="DY141" s="522">
        <v>1680</v>
      </c>
      <c r="DZ141" s="526">
        <v>0</v>
      </c>
      <c r="EA141" s="526">
        <v>0</v>
      </c>
      <c r="EB141" s="526">
        <v>175.21</v>
      </c>
      <c r="EC141" s="522">
        <v>3</v>
      </c>
      <c r="ED141" s="526">
        <v>194.86</v>
      </c>
      <c r="EE141" s="522">
        <v>277</v>
      </c>
      <c r="EF141" s="526">
        <v>219.93</v>
      </c>
      <c r="EG141" s="522">
        <v>199</v>
      </c>
      <c r="EH141" s="526">
        <v>233.03</v>
      </c>
      <c r="EI141" s="522">
        <v>60</v>
      </c>
      <c r="EJ141" s="526">
        <v>263.45</v>
      </c>
      <c r="EK141" s="522">
        <v>21</v>
      </c>
      <c r="EL141" s="526">
        <v>322.48</v>
      </c>
      <c r="EM141" s="522">
        <v>1</v>
      </c>
      <c r="EN141" s="526">
        <v>0</v>
      </c>
      <c r="EO141" s="522">
        <v>0</v>
      </c>
      <c r="EP141" s="526">
        <v>210.52</v>
      </c>
      <c r="EQ141" s="522">
        <v>561</v>
      </c>
      <c r="ER141" s="526">
        <v>210.52</v>
      </c>
      <c r="ES141" s="522">
        <v>561</v>
      </c>
      <c r="ET141" s="526">
        <v>0</v>
      </c>
      <c r="EU141" s="526">
        <v>0</v>
      </c>
      <c r="EV141" s="526">
        <v>0</v>
      </c>
      <c r="EW141" s="522">
        <v>0</v>
      </c>
      <c r="EX141" s="526">
        <v>220.87</v>
      </c>
      <c r="EY141" s="522">
        <v>11</v>
      </c>
      <c r="EZ141" s="526">
        <v>249.57</v>
      </c>
      <c r="FA141" s="522">
        <v>2</v>
      </c>
      <c r="FB141" s="526">
        <v>0</v>
      </c>
      <c r="FC141" s="522">
        <v>0</v>
      </c>
      <c r="FD141" s="526">
        <v>0</v>
      </c>
      <c r="FE141" s="522">
        <v>0</v>
      </c>
      <c r="FF141" s="526">
        <v>225.28</v>
      </c>
      <c r="FG141" s="522">
        <v>13</v>
      </c>
      <c r="FH141" s="526">
        <v>225.28</v>
      </c>
      <c r="FI141" s="522">
        <v>13</v>
      </c>
      <c r="FJ141" s="522">
        <v>0</v>
      </c>
      <c r="FK141" s="522">
        <v>1</v>
      </c>
      <c r="FL141" s="522">
        <v>1</v>
      </c>
      <c r="FM141" s="522">
        <v>0</v>
      </c>
      <c r="FN141" s="522">
        <v>0</v>
      </c>
      <c r="FO141" s="522">
        <v>0</v>
      </c>
      <c r="FP141" s="522">
        <v>57</v>
      </c>
      <c r="FQ141" s="522">
        <v>24</v>
      </c>
      <c r="FR141" s="522">
        <v>23</v>
      </c>
    </row>
    <row r="142" spans="1:174" x14ac:dyDescent="0.25">
      <c r="A142" s="523" t="s">
        <v>541</v>
      </c>
      <c r="B142" s="523" t="s">
        <v>542</v>
      </c>
      <c r="C142" s="523" t="s">
        <v>284</v>
      </c>
      <c r="D142" s="522">
        <v>10573</v>
      </c>
      <c r="E142" s="522">
        <v>9677</v>
      </c>
      <c r="F142" s="522">
        <v>222</v>
      </c>
      <c r="G142" s="522">
        <v>195</v>
      </c>
      <c r="H142" s="522">
        <v>1015</v>
      </c>
      <c r="I142" s="522">
        <v>631</v>
      </c>
      <c r="J142" s="522">
        <v>930</v>
      </c>
      <c r="K142" s="522">
        <v>664</v>
      </c>
      <c r="L142" s="522">
        <v>520</v>
      </c>
      <c r="M142" s="522">
        <v>26</v>
      </c>
      <c r="N142" s="522">
        <v>13260</v>
      </c>
      <c r="O142" s="522">
        <v>11193</v>
      </c>
      <c r="P142" s="522">
        <v>12740</v>
      </c>
      <c r="Q142" s="522">
        <v>215</v>
      </c>
      <c r="R142" s="523">
        <v>13</v>
      </c>
      <c r="S142" s="523">
        <v>21</v>
      </c>
      <c r="T142" s="523">
        <v>1214</v>
      </c>
      <c r="U142" s="523">
        <v>12046</v>
      </c>
      <c r="V142" s="522">
        <v>9771</v>
      </c>
      <c r="W142" s="522">
        <v>45</v>
      </c>
      <c r="X142" s="522">
        <v>88</v>
      </c>
      <c r="Y142" s="522">
        <v>133</v>
      </c>
      <c r="Z142" s="524">
        <v>147.69999999999999</v>
      </c>
      <c r="AA142" s="524">
        <v>171.08</v>
      </c>
      <c r="AB142" s="524">
        <v>16.440000000000001</v>
      </c>
      <c r="AC142" s="524">
        <v>159.54</v>
      </c>
      <c r="AD142" s="524">
        <v>8297</v>
      </c>
      <c r="AE142" s="525">
        <v>145.38</v>
      </c>
      <c r="AF142" s="525">
        <v>145.96</v>
      </c>
      <c r="AG142" s="525">
        <v>60.66</v>
      </c>
      <c r="AH142" s="525">
        <v>195.41</v>
      </c>
      <c r="AI142" s="525">
        <v>1284</v>
      </c>
      <c r="AJ142" s="525">
        <v>240.62</v>
      </c>
      <c r="AK142" s="525">
        <v>597</v>
      </c>
      <c r="AL142" s="525">
        <v>239.1</v>
      </c>
      <c r="AM142" s="525">
        <v>31</v>
      </c>
      <c r="AN142" s="526">
        <v>172.18</v>
      </c>
      <c r="AO142" s="526">
        <v>172.18</v>
      </c>
      <c r="AP142" s="526">
        <v>0.83</v>
      </c>
      <c r="AQ142" s="526">
        <v>172.6</v>
      </c>
      <c r="AR142" s="522">
        <v>6</v>
      </c>
      <c r="AS142" s="526">
        <v>119.99</v>
      </c>
      <c r="AT142" s="526">
        <v>129.38</v>
      </c>
      <c r="AU142" s="526">
        <v>15.79</v>
      </c>
      <c r="AV142" s="526">
        <v>131.91</v>
      </c>
      <c r="AW142" s="522">
        <v>347</v>
      </c>
      <c r="AX142" s="526">
        <v>139</v>
      </c>
      <c r="AY142" s="526">
        <v>157.52000000000001</v>
      </c>
      <c r="AZ142" s="526">
        <v>14.75</v>
      </c>
      <c r="BA142" s="526">
        <v>149.71</v>
      </c>
      <c r="BB142" s="522">
        <v>3354</v>
      </c>
      <c r="BC142" s="526">
        <v>149.97999999999999</v>
      </c>
      <c r="BD142" s="526">
        <v>178.03</v>
      </c>
      <c r="BE142" s="526">
        <v>17.600000000000001</v>
      </c>
      <c r="BF142" s="526">
        <v>163.04</v>
      </c>
      <c r="BG142" s="522">
        <v>2823</v>
      </c>
      <c r="BH142" s="526">
        <v>162.46</v>
      </c>
      <c r="BI142" s="526">
        <v>191.12</v>
      </c>
      <c r="BJ142" s="526">
        <v>18.239999999999998</v>
      </c>
      <c r="BK142" s="526">
        <v>175.31</v>
      </c>
      <c r="BL142" s="522">
        <v>1397</v>
      </c>
      <c r="BM142" s="526">
        <v>177.95</v>
      </c>
      <c r="BN142" s="526">
        <v>203</v>
      </c>
      <c r="BO142" s="526">
        <v>16.75</v>
      </c>
      <c r="BP142" s="526">
        <v>186.72</v>
      </c>
      <c r="BQ142" s="522">
        <v>336</v>
      </c>
      <c r="BR142" s="526">
        <v>190.15</v>
      </c>
      <c r="BS142" s="526">
        <v>227.2</v>
      </c>
      <c r="BT142" s="526">
        <v>20.29</v>
      </c>
      <c r="BU142" s="526">
        <v>203.24</v>
      </c>
      <c r="BV142" s="522">
        <v>31</v>
      </c>
      <c r="BW142" s="526">
        <v>193.33</v>
      </c>
      <c r="BX142" s="526">
        <v>302.75</v>
      </c>
      <c r="BY142" s="526">
        <v>25.98</v>
      </c>
      <c r="BZ142" s="526">
        <v>201.99</v>
      </c>
      <c r="CA142" s="522">
        <v>3</v>
      </c>
      <c r="CB142" s="526">
        <v>147.68</v>
      </c>
      <c r="CC142" s="526">
        <v>171.08</v>
      </c>
      <c r="CD142" s="526">
        <v>16.45</v>
      </c>
      <c r="CE142" s="526">
        <v>159.54</v>
      </c>
      <c r="CF142" s="522">
        <v>8291</v>
      </c>
      <c r="CG142" s="526">
        <v>147.69999999999999</v>
      </c>
      <c r="CH142" s="526">
        <v>171.08</v>
      </c>
      <c r="CI142" s="526">
        <v>16.440000000000001</v>
      </c>
      <c r="CJ142" s="526">
        <v>159.54</v>
      </c>
      <c r="CK142" s="522">
        <v>8297</v>
      </c>
      <c r="CL142" s="526">
        <v>134.82</v>
      </c>
      <c r="CM142" s="526">
        <v>130.66</v>
      </c>
      <c r="CN142" s="526">
        <v>107.15</v>
      </c>
      <c r="CO142" s="526">
        <v>220.05</v>
      </c>
      <c r="CP142" s="522">
        <v>347</v>
      </c>
      <c r="CQ142" s="526">
        <v>138.56</v>
      </c>
      <c r="CR142" s="526">
        <v>137.85</v>
      </c>
      <c r="CS142" s="526">
        <v>51.29</v>
      </c>
      <c r="CT142" s="526">
        <v>177.89</v>
      </c>
      <c r="CU142" s="522">
        <v>283</v>
      </c>
      <c r="CV142" s="526">
        <v>152.91</v>
      </c>
      <c r="CW142" s="526">
        <v>155.55000000000001</v>
      </c>
      <c r="CX142" s="526">
        <v>41.05</v>
      </c>
      <c r="CY142" s="526">
        <v>188.01</v>
      </c>
      <c r="CZ142" s="522">
        <v>587</v>
      </c>
      <c r="DA142" s="526">
        <v>164.45</v>
      </c>
      <c r="DB142" s="526">
        <v>175.64</v>
      </c>
      <c r="DC142" s="526">
        <v>45.32</v>
      </c>
      <c r="DD142" s="526">
        <v>207.62</v>
      </c>
      <c r="DE142" s="522">
        <v>63</v>
      </c>
      <c r="DF142" s="526">
        <v>137.33000000000001</v>
      </c>
      <c r="DG142" s="526">
        <v>157.59</v>
      </c>
      <c r="DH142" s="526">
        <v>52.33</v>
      </c>
      <c r="DI142" s="526">
        <v>189.66</v>
      </c>
      <c r="DJ142" s="522">
        <v>4</v>
      </c>
      <c r="DK142" s="526">
        <v>0</v>
      </c>
      <c r="DL142" s="526">
        <v>0</v>
      </c>
      <c r="DM142" s="526">
        <v>0</v>
      </c>
      <c r="DN142" s="526">
        <v>0</v>
      </c>
      <c r="DO142" s="522">
        <v>0</v>
      </c>
      <c r="DP142" s="526">
        <v>149.28</v>
      </c>
      <c r="DQ142" s="526">
        <v>151.69</v>
      </c>
      <c r="DR142" s="526">
        <v>44.27</v>
      </c>
      <c r="DS142" s="526">
        <v>186.28</v>
      </c>
      <c r="DT142" s="522">
        <v>937</v>
      </c>
      <c r="DU142" s="526">
        <v>145.38</v>
      </c>
      <c r="DV142" s="526">
        <v>145.96</v>
      </c>
      <c r="DW142" s="526">
        <v>60.66</v>
      </c>
      <c r="DX142" s="526">
        <v>195.41</v>
      </c>
      <c r="DY142" s="522">
        <v>1284</v>
      </c>
      <c r="DZ142" s="526">
        <v>0</v>
      </c>
      <c r="EA142" s="526">
        <v>0</v>
      </c>
      <c r="EB142" s="526">
        <v>217.34</v>
      </c>
      <c r="EC142" s="522">
        <v>72</v>
      </c>
      <c r="ED142" s="526">
        <v>236.27</v>
      </c>
      <c r="EE142" s="522">
        <v>313</v>
      </c>
      <c r="EF142" s="526">
        <v>253.26</v>
      </c>
      <c r="EG142" s="522">
        <v>179</v>
      </c>
      <c r="EH142" s="526">
        <v>259.27999999999997</v>
      </c>
      <c r="EI142" s="522">
        <v>27</v>
      </c>
      <c r="EJ142" s="526">
        <v>301.91000000000003</v>
      </c>
      <c r="EK142" s="522">
        <v>4</v>
      </c>
      <c r="EL142" s="526">
        <v>253.95</v>
      </c>
      <c r="EM142" s="522">
        <v>2</v>
      </c>
      <c r="EN142" s="526">
        <v>0</v>
      </c>
      <c r="EO142" s="522">
        <v>0</v>
      </c>
      <c r="EP142" s="526">
        <v>240.62</v>
      </c>
      <c r="EQ142" s="522">
        <v>597</v>
      </c>
      <c r="ER142" s="526">
        <v>240.62</v>
      </c>
      <c r="ES142" s="522">
        <v>597</v>
      </c>
      <c r="ET142" s="526">
        <v>0</v>
      </c>
      <c r="EU142" s="526">
        <v>0</v>
      </c>
      <c r="EV142" s="526">
        <v>227.09</v>
      </c>
      <c r="EW142" s="522">
        <v>9</v>
      </c>
      <c r="EX142" s="526">
        <v>244.02</v>
      </c>
      <c r="EY142" s="522">
        <v>22</v>
      </c>
      <c r="EZ142" s="526">
        <v>0</v>
      </c>
      <c r="FA142" s="522">
        <v>0</v>
      </c>
      <c r="FB142" s="526">
        <v>0</v>
      </c>
      <c r="FC142" s="522">
        <v>0</v>
      </c>
      <c r="FD142" s="526">
        <v>0</v>
      </c>
      <c r="FE142" s="522">
        <v>0</v>
      </c>
      <c r="FF142" s="526">
        <v>239.1</v>
      </c>
      <c r="FG142" s="522">
        <v>31</v>
      </c>
      <c r="FH142" s="526">
        <v>239.1</v>
      </c>
      <c r="FI142" s="522">
        <v>31</v>
      </c>
      <c r="FJ142" s="522">
        <v>1</v>
      </c>
      <c r="FK142" s="522">
        <v>0</v>
      </c>
      <c r="FL142" s="522">
        <v>0</v>
      </c>
      <c r="FM142" s="522">
        <v>0</v>
      </c>
      <c r="FN142" s="522">
        <v>0</v>
      </c>
      <c r="FO142" s="522">
        <v>0</v>
      </c>
      <c r="FP142" s="522">
        <v>16</v>
      </c>
      <c r="FQ142" s="522">
        <v>0</v>
      </c>
      <c r="FR142" s="522">
        <v>7</v>
      </c>
    </row>
    <row r="143" spans="1:174" x14ac:dyDescent="0.25">
      <c r="A143" s="523" t="s">
        <v>543</v>
      </c>
      <c r="B143" s="523" t="s">
        <v>544</v>
      </c>
      <c r="C143" s="523" t="s">
        <v>283</v>
      </c>
      <c r="D143" s="522">
        <v>8485</v>
      </c>
      <c r="E143" s="522">
        <v>8423</v>
      </c>
      <c r="F143" s="522">
        <v>22</v>
      </c>
      <c r="G143" s="522">
        <v>0</v>
      </c>
      <c r="H143" s="522">
        <v>283</v>
      </c>
      <c r="I143" s="522">
        <v>198</v>
      </c>
      <c r="J143" s="522">
        <v>1011</v>
      </c>
      <c r="K143" s="522">
        <v>1011</v>
      </c>
      <c r="L143" s="522">
        <v>243</v>
      </c>
      <c r="M143" s="522">
        <v>11</v>
      </c>
      <c r="N143" s="522">
        <v>10044</v>
      </c>
      <c r="O143" s="522">
        <v>9643</v>
      </c>
      <c r="P143" s="522">
        <v>9801</v>
      </c>
      <c r="Q143" s="522">
        <v>106</v>
      </c>
      <c r="R143" s="523">
        <v>8</v>
      </c>
      <c r="S143" s="523">
        <v>19</v>
      </c>
      <c r="T143" s="523">
        <v>160</v>
      </c>
      <c r="U143" s="523">
        <v>9884</v>
      </c>
      <c r="V143" s="522">
        <v>8382</v>
      </c>
      <c r="W143" s="522">
        <v>157</v>
      </c>
      <c r="X143" s="522">
        <v>178</v>
      </c>
      <c r="Y143" s="522">
        <v>335</v>
      </c>
      <c r="Z143" s="524">
        <v>95.66</v>
      </c>
      <c r="AA143" s="524">
        <v>92.7</v>
      </c>
      <c r="AB143" s="524">
        <v>6.15</v>
      </c>
      <c r="AC143" s="524">
        <v>97.86</v>
      </c>
      <c r="AD143" s="524">
        <v>7574</v>
      </c>
      <c r="AE143" s="525">
        <v>103.84</v>
      </c>
      <c r="AF143" s="525">
        <v>87.52</v>
      </c>
      <c r="AG143" s="525">
        <v>39.450000000000003</v>
      </c>
      <c r="AH143" s="525">
        <v>141.77000000000001</v>
      </c>
      <c r="AI143" s="525">
        <v>1215</v>
      </c>
      <c r="AJ143" s="525">
        <v>124.47</v>
      </c>
      <c r="AK143" s="525">
        <v>802</v>
      </c>
      <c r="AL143" s="525">
        <v>100.68</v>
      </c>
      <c r="AM143" s="525">
        <v>22</v>
      </c>
      <c r="AN143" s="526">
        <v>54.72</v>
      </c>
      <c r="AO143" s="526">
        <v>55.82</v>
      </c>
      <c r="AP143" s="526">
        <v>120.46</v>
      </c>
      <c r="AQ143" s="526">
        <v>175.18</v>
      </c>
      <c r="AR143" s="522">
        <v>22</v>
      </c>
      <c r="AS143" s="526">
        <v>76.459999999999994</v>
      </c>
      <c r="AT143" s="526">
        <v>73.94</v>
      </c>
      <c r="AU143" s="526">
        <v>11.97</v>
      </c>
      <c r="AV143" s="526">
        <v>86.65</v>
      </c>
      <c r="AW143" s="522">
        <v>47</v>
      </c>
      <c r="AX143" s="526">
        <v>82.76</v>
      </c>
      <c r="AY143" s="526">
        <v>80.39</v>
      </c>
      <c r="AZ143" s="526">
        <v>6.51</v>
      </c>
      <c r="BA143" s="526">
        <v>86.53</v>
      </c>
      <c r="BB143" s="522">
        <v>1525</v>
      </c>
      <c r="BC143" s="526">
        <v>94.64</v>
      </c>
      <c r="BD143" s="526">
        <v>91.24</v>
      </c>
      <c r="BE143" s="526">
        <v>5.22</v>
      </c>
      <c r="BF143" s="526">
        <v>96.51</v>
      </c>
      <c r="BG143" s="522">
        <v>3181</v>
      </c>
      <c r="BH143" s="526">
        <v>103.78</v>
      </c>
      <c r="BI143" s="526">
        <v>100.77</v>
      </c>
      <c r="BJ143" s="526">
        <v>3</v>
      </c>
      <c r="BK143" s="526">
        <v>104.44</v>
      </c>
      <c r="BL143" s="522">
        <v>2638</v>
      </c>
      <c r="BM143" s="526">
        <v>115.81</v>
      </c>
      <c r="BN143" s="526">
        <v>116.47</v>
      </c>
      <c r="BO143" s="526">
        <v>2.5499999999999998</v>
      </c>
      <c r="BP143" s="526">
        <v>116.64</v>
      </c>
      <c r="BQ143" s="522">
        <v>143</v>
      </c>
      <c r="BR143" s="526">
        <v>115.96</v>
      </c>
      <c r="BS143" s="526">
        <v>116.3</v>
      </c>
      <c r="BT143" s="526">
        <v>3.31</v>
      </c>
      <c r="BU143" s="526">
        <v>116.18</v>
      </c>
      <c r="BV143" s="522">
        <v>15</v>
      </c>
      <c r="BW143" s="526">
        <v>121.85</v>
      </c>
      <c r="BX143" s="526">
        <v>126.13</v>
      </c>
      <c r="BY143" s="526">
        <v>0</v>
      </c>
      <c r="BZ143" s="526">
        <v>121.85</v>
      </c>
      <c r="CA143" s="522">
        <v>3</v>
      </c>
      <c r="CB143" s="526">
        <v>95.78</v>
      </c>
      <c r="CC143" s="526">
        <v>92.81</v>
      </c>
      <c r="CD143" s="526">
        <v>5.22</v>
      </c>
      <c r="CE143" s="526">
        <v>97.63</v>
      </c>
      <c r="CF143" s="522">
        <v>7552</v>
      </c>
      <c r="CG143" s="526">
        <v>95.66</v>
      </c>
      <c r="CH143" s="526">
        <v>92.7</v>
      </c>
      <c r="CI143" s="526">
        <v>6.15</v>
      </c>
      <c r="CJ143" s="526">
        <v>97.86</v>
      </c>
      <c r="CK143" s="522">
        <v>7574</v>
      </c>
      <c r="CL143" s="526">
        <v>150.91</v>
      </c>
      <c r="CM143" s="526">
        <v>91.41</v>
      </c>
      <c r="CN143" s="526">
        <v>79.599999999999994</v>
      </c>
      <c r="CO143" s="526">
        <v>220.37</v>
      </c>
      <c r="CP143" s="522">
        <v>102</v>
      </c>
      <c r="CQ143" s="526">
        <v>86.7</v>
      </c>
      <c r="CR143" s="526">
        <v>75.92</v>
      </c>
      <c r="CS143" s="526">
        <v>36.79</v>
      </c>
      <c r="CT143" s="526">
        <v>122.25</v>
      </c>
      <c r="CU143" s="522">
        <v>89</v>
      </c>
      <c r="CV143" s="526">
        <v>98.02</v>
      </c>
      <c r="CW143" s="526">
        <v>86.31</v>
      </c>
      <c r="CX143" s="526">
        <v>38.79</v>
      </c>
      <c r="CY143" s="526">
        <v>135.6</v>
      </c>
      <c r="CZ143" s="522">
        <v>865</v>
      </c>
      <c r="DA143" s="526">
        <v>106.76</v>
      </c>
      <c r="DB143" s="526">
        <v>97.91</v>
      </c>
      <c r="DC143" s="526">
        <v>20.64</v>
      </c>
      <c r="DD143" s="526">
        <v>127.12</v>
      </c>
      <c r="DE143" s="522">
        <v>146</v>
      </c>
      <c r="DF143" s="526">
        <v>206.42</v>
      </c>
      <c r="DG143" s="526">
        <v>108.39</v>
      </c>
      <c r="DH143" s="526">
        <v>31.56</v>
      </c>
      <c r="DI143" s="526">
        <v>233.13</v>
      </c>
      <c r="DJ143" s="522">
        <v>13</v>
      </c>
      <c r="DK143" s="526">
        <v>0</v>
      </c>
      <c r="DL143" s="526">
        <v>0</v>
      </c>
      <c r="DM143" s="526">
        <v>0</v>
      </c>
      <c r="DN143" s="526">
        <v>0</v>
      </c>
      <c r="DO143" s="522">
        <v>0</v>
      </c>
      <c r="DP143" s="526">
        <v>99.53</v>
      </c>
      <c r="DQ143" s="526">
        <v>87.36</v>
      </c>
      <c r="DR143" s="526">
        <v>36.14</v>
      </c>
      <c r="DS143" s="526">
        <v>134.56</v>
      </c>
      <c r="DT143" s="522">
        <v>1113</v>
      </c>
      <c r="DU143" s="526">
        <v>103.84</v>
      </c>
      <c r="DV143" s="526">
        <v>87.52</v>
      </c>
      <c r="DW143" s="526">
        <v>39.450000000000003</v>
      </c>
      <c r="DX143" s="526">
        <v>141.77000000000001</v>
      </c>
      <c r="DY143" s="522">
        <v>1215</v>
      </c>
      <c r="DZ143" s="526">
        <v>0</v>
      </c>
      <c r="EA143" s="526">
        <v>0</v>
      </c>
      <c r="EB143" s="526">
        <v>67.290000000000006</v>
      </c>
      <c r="EC143" s="522">
        <v>7</v>
      </c>
      <c r="ED143" s="526">
        <v>98.8</v>
      </c>
      <c r="EE143" s="522">
        <v>119</v>
      </c>
      <c r="EF143" s="526">
        <v>123.48</v>
      </c>
      <c r="EG143" s="522">
        <v>345</v>
      </c>
      <c r="EH143" s="526">
        <v>133.68</v>
      </c>
      <c r="EI143" s="522">
        <v>302</v>
      </c>
      <c r="EJ143" s="526">
        <v>161.08000000000001</v>
      </c>
      <c r="EK143" s="522">
        <v>25</v>
      </c>
      <c r="EL143" s="526">
        <v>150.34</v>
      </c>
      <c r="EM143" s="522">
        <v>4</v>
      </c>
      <c r="EN143" s="526">
        <v>0</v>
      </c>
      <c r="EO143" s="522">
        <v>0</v>
      </c>
      <c r="EP143" s="526">
        <v>124.47</v>
      </c>
      <c r="EQ143" s="522">
        <v>802</v>
      </c>
      <c r="ER143" s="526">
        <v>124.47</v>
      </c>
      <c r="ES143" s="522">
        <v>802</v>
      </c>
      <c r="ET143" s="526">
        <v>0</v>
      </c>
      <c r="EU143" s="526">
        <v>0</v>
      </c>
      <c r="EV143" s="526">
        <v>0</v>
      </c>
      <c r="EW143" s="522">
        <v>0</v>
      </c>
      <c r="EX143" s="526">
        <v>100.68</v>
      </c>
      <c r="EY143" s="522">
        <v>22</v>
      </c>
      <c r="EZ143" s="526">
        <v>0</v>
      </c>
      <c r="FA143" s="522">
        <v>0</v>
      </c>
      <c r="FB143" s="526">
        <v>0</v>
      </c>
      <c r="FC143" s="522">
        <v>0</v>
      </c>
      <c r="FD143" s="526">
        <v>0</v>
      </c>
      <c r="FE143" s="522">
        <v>0</v>
      </c>
      <c r="FF143" s="526">
        <v>100.68</v>
      </c>
      <c r="FG143" s="522">
        <v>22</v>
      </c>
      <c r="FH143" s="526">
        <v>100.68</v>
      </c>
      <c r="FI143" s="522">
        <v>22</v>
      </c>
      <c r="FJ143" s="522">
        <v>0</v>
      </c>
      <c r="FK143" s="522">
        <v>8</v>
      </c>
      <c r="FL143" s="522">
        <v>6</v>
      </c>
      <c r="FM143" s="522">
        <v>0</v>
      </c>
      <c r="FN143" s="522">
        <v>1</v>
      </c>
      <c r="FO143" s="522">
        <v>1</v>
      </c>
      <c r="FP143" s="522">
        <v>20</v>
      </c>
      <c r="FQ143" s="522">
        <v>14</v>
      </c>
      <c r="FR143" s="522">
        <v>5</v>
      </c>
    </row>
    <row r="144" spans="1:174" x14ac:dyDescent="0.25">
      <c r="A144" s="523" t="s">
        <v>545</v>
      </c>
      <c r="B144" s="523" t="s">
        <v>546</v>
      </c>
      <c r="C144" s="523" t="s">
        <v>289</v>
      </c>
      <c r="D144" s="522">
        <v>7423</v>
      </c>
      <c r="E144" s="522">
        <v>7199</v>
      </c>
      <c r="F144" s="522">
        <v>0</v>
      </c>
      <c r="G144" s="522">
        <v>0</v>
      </c>
      <c r="H144" s="522">
        <v>907</v>
      </c>
      <c r="I144" s="522">
        <v>809</v>
      </c>
      <c r="J144" s="522">
        <v>1261</v>
      </c>
      <c r="K144" s="522">
        <v>1039</v>
      </c>
      <c r="L144" s="522">
        <v>398</v>
      </c>
      <c r="M144" s="522">
        <v>0</v>
      </c>
      <c r="N144" s="522">
        <v>9989</v>
      </c>
      <c r="O144" s="522">
        <v>9047</v>
      </c>
      <c r="P144" s="522">
        <v>9591</v>
      </c>
      <c r="Q144" s="522">
        <v>116</v>
      </c>
      <c r="R144" s="523">
        <v>15</v>
      </c>
      <c r="S144" s="523">
        <v>20</v>
      </c>
      <c r="T144" s="523">
        <v>814</v>
      </c>
      <c r="U144" s="523">
        <v>9175</v>
      </c>
      <c r="V144" s="522">
        <v>7188</v>
      </c>
      <c r="W144" s="522">
        <v>43</v>
      </c>
      <c r="X144" s="522">
        <v>57</v>
      </c>
      <c r="Y144" s="522">
        <v>100</v>
      </c>
      <c r="Z144" s="524">
        <v>94.22</v>
      </c>
      <c r="AA144" s="524">
        <v>96.49</v>
      </c>
      <c r="AB144" s="524">
        <v>6.75</v>
      </c>
      <c r="AC144" s="524">
        <v>99.54</v>
      </c>
      <c r="AD144" s="524">
        <v>6173</v>
      </c>
      <c r="AE144" s="525">
        <v>97.71</v>
      </c>
      <c r="AF144" s="525">
        <v>87.73</v>
      </c>
      <c r="AG144" s="525">
        <v>59.09</v>
      </c>
      <c r="AH144" s="525">
        <v>152.82</v>
      </c>
      <c r="AI144" s="525">
        <v>1559</v>
      </c>
      <c r="AJ144" s="525">
        <v>110.5</v>
      </c>
      <c r="AK144" s="525">
        <v>1058</v>
      </c>
      <c r="AL144" s="525">
        <v>230.32</v>
      </c>
      <c r="AM144" s="525">
        <v>31</v>
      </c>
      <c r="AN144" s="526">
        <v>0</v>
      </c>
      <c r="AO144" s="526">
        <v>0</v>
      </c>
      <c r="AP144" s="526">
        <v>0</v>
      </c>
      <c r="AQ144" s="526">
        <v>0</v>
      </c>
      <c r="AR144" s="522">
        <v>0</v>
      </c>
      <c r="AS144" s="526">
        <v>70.73</v>
      </c>
      <c r="AT144" s="526">
        <v>73.16</v>
      </c>
      <c r="AU144" s="526">
        <v>13.75</v>
      </c>
      <c r="AV144" s="526">
        <v>84.48</v>
      </c>
      <c r="AW144" s="522">
        <v>30</v>
      </c>
      <c r="AX144" s="526">
        <v>80.89</v>
      </c>
      <c r="AY144" s="526">
        <v>82.6</v>
      </c>
      <c r="AZ144" s="526">
        <v>9.7200000000000006</v>
      </c>
      <c r="BA144" s="526">
        <v>90.49</v>
      </c>
      <c r="BB144" s="522">
        <v>1586</v>
      </c>
      <c r="BC144" s="526">
        <v>99.24</v>
      </c>
      <c r="BD144" s="526">
        <v>101.53</v>
      </c>
      <c r="BE144" s="526">
        <v>7</v>
      </c>
      <c r="BF144" s="526">
        <v>104.65</v>
      </c>
      <c r="BG144" s="522">
        <v>2720</v>
      </c>
      <c r="BH144" s="526">
        <v>96.98</v>
      </c>
      <c r="BI144" s="526">
        <v>99.61</v>
      </c>
      <c r="BJ144" s="526">
        <v>2.13</v>
      </c>
      <c r="BK144" s="526">
        <v>98.38</v>
      </c>
      <c r="BL144" s="522">
        <v>1621</v>
      </c>
      <c r="BM144" s="526">
        <v>110.93</v>
      </c>
      <c r="BN144" s="526">
        <v>114.3</v>
      </c>
      <c r="BO144" s="526">
        <v>2.2599999999999998</v>
      </c>
      <c r="BP144" s="526">
        <v>111.97</v>
      </c>
      <c r="BQ144" s="522">
        <v>206</v>
      </c>
      <c r="BR144" s="526">
        <v>122.63</v>
      </c>
      <c r="BS144" s="526">
        <v>125.74</v>
      </c>
      <c r="BT144" s="526">
        <v>3.48</v>
      </c>
      <c r="BU144" s="526">
        <v>124.56</v>
      </c>
      <c r="BV144" s="522">
        <v>9</v>
      </c>
      <c r="BW144" s="526">
        <v>124.05</v>
      </c>
      <c r="BX144" s="526">
        <v>128.34</v>
      </c>
      <c r="BY144" s="526">
        <v>0</v>
      </c>
      <c r="BZ144" s="526">
        <v>124.05</v>
      </c>
      <c r="CA144" s="522">
        <v>1</v>
      </c>
      <c r="CB144" s="526">
        <v>94.22</v>
      </c>
      <c r="CC144" s="526">
        <v>96.49</v>
      </c>
      <c r="CD144" s="526">
        <v>6.75</v>
      </c>
      <c r="CE144" s="526">
        <v>99.54</v>
      </c>
      <c r="CF144" s="522">
        <v>6173</v>
      </c>
      <c r="CG144" s="526">
        <v>94.22</v>
      </c>
      <c r="CH144" s="526">
        <v>96.49</v>
      </c>
      <c r="CI144" s="526">
        <v>6.75</v>
      </c>
      <c r="CJ144" s="526">
        <v>99.54</v>
      </c>
      <c r="CK144" s="522">
        <v>6173</v>
      </c>
      <c r="CL144" s="526">
        <v>100.88</v>
      </c>
      <c r="CM144" s="526">
        <v>87.98</v>
      </c>
      <c r="CN144" s="526">
        <v>154.94999999999999</v>
      </c>
      <c r="CO144" s="526">
        <v>209.03</v>
      </c>
      <c r="CP144" s="522">
        <v>149</v>
      </c>
      <c r="CQ144" s="526">
        <v>81.13</v>
      </c>
      <c r="CR144" s="526">
        <v>76.739999999999995</v>
      </c>
      <c r="CS144" s="526">
        <v>51.59</v>
      </c>
      <c r="CT144" s="526">
        <v>132.72</v>
      </c>
      <c r="CU144" s="522">
        <v>85</v>
      </c>
      <c r="CV144" s="526">
        <v>96.8</v>
      </c>
      <c r="CW144" s="526">
        <v>86.76</v>
      </c>
      <c r="CX144" s="526">
        <v>51.68</v>
      </c>
      <c r="CY144" s="526">
        <v>145.96</v>
      </c>
      <c r="CZ144" s="522">
        <v>1189</v>
      </c>
      <c r="DA144" s="526">
        <v>101.58</v>
      </c>
      <c r="DB144" s="526">
        <v>97.73</v>
      </c>
      <c r="DC144" s="526">
        <v>40.85</v>
      </c>
      <c r="DD144" s="526">
        <v>142.43</v>
      </c>
      <c r="DE144" s="522">
        <v>115</v>
      </c>
      <c r="DF144" s="526">
        <v>158.47</v>
      </c>
      <c r="DG144" s="526">
        <v>131.35</v>
      </c>
      <c r="DH144" s="526">
        <v>128</v>
      </c>
      <c r="DI144" s="526">
        <v>273</v>
      </c>
      <c r="DJ144" s="522">
        <v>19</v>
      </c>
      <c r="DK144" s="526">
        <v>307.18</v>
      </c>
      <c r="DL144" s="526">
        <v>166.81</v>
      </c>
      <c r="DM144" s="526">
        <v>49.91</v>
      </c>
      <c r="DN144" s="526">
        <v>357.08</v>
      </c>
      <c r="DO144" s="522">
        <v>2</v>
      </c>
      <c r="DP144" s="526">
        <v>97.38</v>
      </c>
      <c r="DQ144" s="526">
        <v>87.71</v>
      </c>
      <c r="DR144" s="526">
        <v>51.71</v>
      </c>
      <c r="DS144" s="526">
        <v>146.88</v>
      </c>
      <c r="DT144" s="522">
        <v>1410</v>
      </c>
      <c r="DU144" s="526">
        <v>97.71</v>
      </c>
      <c r="DV144" s="526">
        <v>87.73</v>
      </c>
      <c r="DW144" s="526">
        <v>59.09</v>
      </c>
      <c r="DX144" s="526">
        <v>152.82</v>
      </c>
      <c r="DY144" s="522">
        <v>1559</v>
      </c>
      <c r="DZ144" s="526">
        <v>0</v>
      </c>
      <c r="EA144" s="526">
        <v>0</v>
      </c>
      <c r="EB144" s="526">
        <v>133.38</v>
      </c>
      <c r="EC144" s="522">
        <v>1</v>
      </c>
      <c r="ED144" s="526">
        <v>83.86</v>
      </c>
      <c r="EE144" s="522">
        <v>37</v>
      </c>
      <c r="EF144" s="526">
        <v>104.09</v>
      </c>
      <c r="EG144" s="522">
        <v>521</v>
      </c>
      <c r="EH144" s="526">
        <v>117.55</v>
      </c>
      <c r="EI144" s="522">
        <v>442</v>
      </c>
      <c r="EJ144" s="526">
        <v>131.47</v>
      </c>
      <c r="EK144" s="522">
        <v>56</v>
      </c>
      <c r="EL144" s="526">
        <v>120.03</v>
      </c>
      <c r="EM144" s="522">
        <v>1</v>
      </c>
      <c r="EN144" s="526">
        <v>0</v>
      </c>
      <c r="EO144" s="522">
        <v>0</v>
      </c>
      <c r="EP144" s="526">
        <v>110.5</v>
      </c>
      <c r="EQ144" s="522">
        <v>1058</v>
      </c>
      <c r="ER144" s="526">
        <v>110.5</v>
      </c>
      <c r="ES144" s="522">
        <v>1058</v>
      </c>
      <c r="ET144" s="526">
        <v>0</v>
      </c>
      <c r="EU144" s="526">
        <v>0</v>
      </c>
      <c r="EV144" s="526">
        <v>232</v>
      </c>
      <c r="EW144" s="522">
        <v>30</v>
      </c>
      <c r="EX144" s="526">
        <v>0</v>
      </c>
      <c r="EY144" s="522">
        <v>0</v>
      </c>
      <c r="EZ144" s="526">
        <v>179.97</v>
      </c>
      <c r="FA144" s="522">
        <v>1</v>
      </c>
      <c r="FB144" s="526">
        <v>0</v>
      </c>
      <c r="FC144" s="522">
        <v>0</v>
      </c>
      <c r="FD144" s="526">
        <v>0</v>
      </c>
      <c r="FE144" s="522">
        <v>0</v>
      </c>
      <c r="FF144" s="526">
        <v>230.32</v>
      </c>
      <c r="FG144" s="522">
        <v>31</v>
      </c>
      <c r="FH144" s="526">
        <v>230.32</v>
      </c>
      <c r="FI144" s="522">
        <v>31</v>
      </c>
      <c r="FJ144" s="522">
        <v>0</v>
      </c>
      <c r="FK144" s="522">
        <v>4</v>
      </c>
      <c r="FL144" s="522">
        <v>2</v>
      </c>
      <c r="FM144" s="522">
        <v>0</v>
      </c>
      <c r="FN144" s="522">
        <v>2</v>
      </c>
      <c r="FO144" s="522">
        <v>0</v>
      </c>
      <c r="FP144" s="522">
        <v>2</v>
      </c>
      <c r="FQ144" s="522">
        <v>41</v>
      </c>
      <c r="FR144" s="522">
        <v>5</v>
      </c>
    </row>
    <row r="145" spans="1:174" x14ac:dyDescent="0.25">
      <c r="A145" s="523" t="s">
        <v>547</v>
      </c>
      <c r="B145" s="523" t="s">
        <v>548</v>
      </c>
      <c r="C145" s="523" t="s">
        <v>284</v>
      </c>
      <c r="D145" s="522">
        <v>2272</v>
      </c>
      <c r="E145" s="522">
        <v>1927</v>
      </c>
      <c r="F145" s="522">
        <v>93</v>
      </c>
      <c r="G145" s="522">
        <v>83</v>
      </c>
      <c r="H145" s="522">
        <v>293</v>
      </c>
      <c r="I145" s="522">
        <v>221</v>
      </c>
      <c r="J145" s="522">
        <v>213</v>
      </c>
      <c r="K145" s="522">
        <v>119</v>
      </c>
      <c r="L145" s="522">
        <v>643</v>
      </c>
      <c r="M145" s="522">
        <v>1</v>
      </c>
      <c r="N145" s="522">
        <v>3514</v>
      </c>
      <c r="O145" s="522">
        <v>2351</v>
      </c>
      <c r="P145" s="522">
        <v>2871</v>
      </c>
      <c r="Q145" s="522">
        <v>3</v>
      </c>
      <c r="R145" s="523">
        <v>12</v>
      </c>
      <c r="S145" s="523">
        <v>28</v>
      </c>
      <c r="T145" s="523">
        <v>402</v>
      </c>
      <c r="U145" s="523">
        <v>3112</v>
      </c>
      <c r="V145" s="522">
        <v>1917</v>
      </c>
      <c r="W145" s="522">
        <v>16</v>
      </c>
      <c r="X145" s="522">
        <v>9</v>
      </c>
      <c r="Y145" s="522">
        <v>25</v>
      </c>
      <c r="Z145" s="524">
        <v>148.47</v>
      </c>
      <c r="AA145" s="524">
        <v>154.86000000000001</v>
      </c>
      <c r="AB145" s="524">
        <v>16.73</v>
      </c>
      <c r="AC145" s="524">
        <v>163.19999999999999</v>
      </c>
      <c r="AD145" s="524">
        <v>1465</v>
      </c>
      <c r="AE145" s="525">
        <v>143.30000000000001</v>
      </c>
      <c r="AF145" s="525">
        <v>127.81</v>
      </c>
      <c r="AG145" s="525">
        <v>90.5</v>
      </c>
      <c r="AH145" s="525">
        <v>232.06</v>
      </c>
      <c r="AI145" s="525">
        <v>469</v>
      </c>
      <c r="AJ145" s="525">
        <v>250.82</v>
      </c>
      <c r="AK145" s="525">
        <v>454</v>
      </c>
      <c r="AL145" s="525">
        <v>0</v>
      </c>
      <c r="AM145" s="525">
        <v>0</v>
      </c>
      <c r="AN145" s="526">
        <v>109.37</v>
      </c>
      <c r="AO145" s="526">
        <v>127.97</v>
      </c>
      <c r="AP145" s="526">
        <v>13.78</v>
      </c>
      <c r="AQ145" s="526">
        <v>120.39</v>
      </c>
      <c r="AR145" s="522">
        <v>5</v>
      </c>
      <c r="AS145" s="526">
        <v>109.14</v>
      </c>
      <c r="AT145" s="526">
        <v>113.88</v>
      </c>
      <c r="AU145" s="526">
        <v>14.08</v>
      </c>
      <c r="AV145" s="526">
        <v>123.22</v>
      </c>
      <c r="AW145" s="522">
        <v>17</v>
      </c>
      <c r="AX145" s="526">
        <v>124.16</v>
      </c>
      <c r="AY145" s="526">
        <v>127.13</v>
      </c>
      <c r="AZ145" s="526">
        <v>17.579999999999998</v>
      </c>
      <c r="BA145" s="526">
        <v>141.34</v>
      </c>
      <c r="BB145" s="522">
        <v>363</v>
      </c>
      <c r="BC145" s="526">
        <v>150.19</v>
      </c>
      <c r="BD145" s="526">
        <v>153.68</v>
      </c>
      <c r="BE145" s="526">
        <v>19.61</v>
      </c>
      <c r="BF145" s="526">
        <v>167.83</v>
      </c>
      <c r="BG145" s="522">
        <v>666</v>
      </c>
      <c r="BH145" s="526">
        <v>165.22</v>
      </c>
      <c r="BI145" s="526">
        <v>176.51</v>
      </c>
      <c r="BJ145" s="526">
        <v>12.11</v>
      </c>
      <c r="BK145" s="526">
        <v>173.66</v>
      </c>
      <c r="BL145" s="522">
        <v>284</v>
      </c>
      <c r="BM145" s="526">
        <v>176.91</v>
      </c>
      <c r="BN145" s="526">
        <v>195.42</v>
      </c>
      <c r="BO145" s="526">
        <v>7.7</v>
      </c>
      <c r="BP145" s="526">
        <v>183.76</v>
      </c>
      <c r="BQ145" s="522">
        <v>117</v>
      </c>
      <c r="BR145" s="526">
        <v>182.89</v>
      </c>
      <c r="BS145" s="526">
        <v>212.52</v>
      </c>
      <c r="BT145" s="526">
        <v>7.94</v>
      </c>
      <c r="BU145" s="526">
        <v>190.83</v>
      </c>
      <c r="BV145" s="522">
        <v>12</v>
      </c>
      <c r="BW145" s="526">
        <v>200.81</v>
      </c>
      <c r="BX145" s="526">
        <v>224.87</v>
      </c>
      <c r="BY145" s="526">
        <v>2.2400000000000002</v>
      </c>
      <c r="BZ145" s="526">
        <v>203.05</v>
      </c>
      <c r="CA145" s="522">
        <v>1</v>
      </c>
      <c r="CB145" s="526">
        <v>148.61000000000001</v>
      </c>
      <c r="CC145" s="526">
        <v>154.96</v>
      </c>
      <c r="CD145" s="526">
        <v>16.739999999999998</v>
      </c>
      <c r="CE145" s="526">
        <v>163.35</v>
      </c>
      <c r="CF145" s="522">
        <v>1460</v>
      </c>
      <c r="CG145" s="526">
        <v>148.47</v>
      </c>
      <c r="CH145" s="526">
        <v>154.86000000000001</v>
      </c>
      <c r="CI145" s="526">
        <v>16.73</v>
      </c>
      <c r="CJ145" s="526">
        <v>163.19999999999999</v>
      </c>
      <c r="CK145" s="522">
        <v>1465</v>
      </c>
      <c r="CL145" s="526">
        <v>167.23</v>
      </c>
      <c r="CM145" s="526">
        <v>141.36000000000001</v>
      </c>
      <c r="CN145" s="526">
        <v>131.58000000000001</v>
      </c>
      <c r="CO145" s="526">
        <v>298.81</v>
      </c>
      <c r="CP145" s="522">
        <v>181</v>
      </c>
      <c r="CQ145" s="526">
        <v>104.99</v>
      </c>
      <c r="CR145" s="526">
        <v>100.57</v>
      </c>
      <c r="CS145" s="526">
        <v>85.36</v>
      </c>
      <c r="CT145" s="526">
        <v>183.84</v>
      </c>
      <c r="CU145" s="522">
        <v>105</v>
      </c>
      <c r="CV145" s="526">
        <v>140.16999999999999</v>
      </c>
      <c r="CW145" s="526">
        <v>129.07</v>
      </c>
      <c r="CX145" s="526">
        <v>51.58</v>
      </c>
      <c r="CY145" s="526">
        <v>191.43</v>
      </c>
      <c r="CZ145" s="522">
        <v>162</v>
      </c>
      <c r="DA145" s="526">
        <v>151.07</v>
      </c>
      <c r="DB145" s="526">
        <v>155.61000000000001</v>
      </c>
      <c r="DC145" s="526">
        <v>59.12</v>
      </c>
      <c r="DD145" s="526">
        <v>210.2</v>
      </c>
      <c r="DE145" s="522">
        <v>20</v>
      </c>
      <c r="DF145" s="526">
        <v>184.89</v>
      </c>
      <c r="DG145" s="526">
        <v>176.56</v>
      </c>
      <c r="DH145" s="526">
        <v>45.88</v>
      </c>
      <c r="DI145" s="526">
        <v>230.77</v>
      </c>
      <c r="DJ145" s="522">
        <v>1</v>
      </c>
      <c r="DK145" s="526">
        <v>0</v>
      </c>
      <c r="DL145" s="526">
        <v>0</v>
      </c>
      <c r="DM145" s="526">
        <v>0</v>
      </c>
      <c r="DN145" s="526">
        <v>0</v>
      </c>
      <c r="DO145" s="522">
        <v>0</v>
      </c>
      <c r="DP145" s="526">
        <v>128.25</v>
      </c>
      <c r="DQ145" s="526">
        <v>120.54</v>
      </c>
      <c r="DR145" s="526">
        <v>63.85</v>
      </c>
      <c r="DS145" s="526">
        <v>190.1</v>
      </c>
      <c r="DT145" s="522">
        <v>288</v>
      </c>
      <c r="DU145" s="526">
        <v>143.30000000000001</v>
      </c>
      <c r="DV145" s="526">
        <v>127.81</v>
      </c>
      <c r="DW145" s="526">
        <v>90.5</v>
      </c>
      <c r="DX145" s="526">
        <v>232.06</v>
      </c>
      <c r="DY145" s="522">
        <v>469</v>
      </c>
      <c r="DZ145" s="526">
        <v>0</v>
      </c>
      <c r="EA145" s="526">
        <v>0</v>
      </c>
      <c r="EB145" s="526">
        <v>160.38</v>
      </c>
      <c r="EC145" s="522">
        <v>2</v>
      </c>
      <c r="ED145" s="526">
        <v>209.35</v>
      </c>
      <c r="EE145" s="522">
        <v>168</v>
      </c>
      <c r="EF145" s="526">
        <v>259.64</v>
      </c>
      <c r="EG145" s="522">
        <v>167</v>
      </c>
      <c r="EH145" s="526">
        <v>297.45</v>
      </c>
      <c r="EI145" s="522">
        <v>96</v>
      </c>
      <c r="EJ145" s="526">
        <v>306</v>
      </c>
      <c r="EK145" s="522">
        <v>19</v>
      </c>
      <c r="EL145" s="526">
        <v>326.75</v>
      </c>
      <c r="EM145" s="522">
        <v>2</v>
      </c>
      <c r="EN145" s="526">
        <v>0</v>
      </c>
      <c r="EO145" s="522">
        <v>0</v>
      </c>
      <c r="EP145" s="526">
        <v>250.82</v>
      </c>
      <c r="EQ145" s="522">
        <v>454</v>
      </c>
      <c r="ER145" s="526">
        <v>250.82</v>
      </c>
      <c r="ES145" s="522">
        <v>454</v>
      </c>
      <c r="ET145" s="526">
        <v>0</v>
      </c>
      <c r="EU145" s="526">
        <v>0</v>
      </c>
      <c r="EV145" s="526">
        <v>0</v>
      </c>
      <c r="EW145" s="522">
        <v>0</v>
      </c>
      <c r="EX145" s="526">
        <v>0</v>
      </c>
      <c r="EY145" s="522">
        <v>0</v>
      </c>
      <c r="EZ145" s="526">
        <v>0</v>
      </c>
      <c r="FA145" s="522">
        <v>0</v>
      </c>
      <c r="FB145" s="526">
        <v>0</v>
      </c>
      <c r="FC145" s="522">
        <v>0</v>
      </c>
      <c r="FD145" s="526">
        <v>0</v>
      </c>
      <c r="FE145" s="522">
        <v>0</v>
      </c>
      <c r="FF145" s="526">
        <v>0</v>
      </c>
      <c r="FG145" s="522">
        <v>0</v>
      </c>
      <c r="FH145" s="526">
        <v>0</v>
      </c>
      <c r="FI145" s="522">
        <v>0</v>
      </c>
      <c r="FJ145" s="522">
        <v>49</v>
      </c>
      <c r="FK145" s="522">
        <v>0</v>
      </c>
      <c r="FL145" s="522">
        <v>0</v>
      </c>
      <c r="FM145" s="522">
        <v>0</v>
      </c>
      <c r="FN145" s="522">
        <v>0</v>
      </c>
      <c r="FO145" s="522">
        <v>0</v>
      </c>
      <c r="FP145" s="522">
        <v>3</v>
      </c>
      <c r="FQ145" s="522">
        <v>80</v>
      </c>
      <c r="FR145" s="522">
        <v>9</v>
      </c>
    </row>
    <row r="146" spans="1:174" x14ac:dyDescent="0.25">
      <c r="A146" s="523" t="s">
        <v>549</v>
      </c>
      <c r="B146" s="523" t="s">
        <v>550</v>
      </c>
      <c r="C146" s="523" t="s">
        <v>289</v>
      </c>
      <c r="D146" s="522">
        <v>4449</v>
      </c>
      <c r="E146" s="522">
        <v>4443</v>
      </c>
      <c r="F146" s="522">
        <v>0</v>
      </c>
      <c r="G146" s="522">
        <v>0</v>
      </c>
      <c r="H146" s="522">
        <v>473</v>
      </c>
      <c r="I146" s="522">
        <v>231</v>
      </c>
      <c r="J146" s="522">
        <v>1269</v>
      </c>
      <c r="K146" s="522">
        <v>1177</v>
      </c>
      <c r="L146" s="522">
        <v>601</v>
      </c>
      <c r="M146" s="522">
        <v>0</v>
      </c>
      <c r="N146" s="522">
        <v>6792</v>
      </c>
      <c r="O146" s="522">
        <v>5851</v>
      </c>
      <c r="P146" s="522">
        <v>6191</v>
      </c>
      <c r="Q146" s="522">
        <v>6</v>
      </c>
      <c r="R146" s="523">
        <v>14</v>
      </c>
      <c r="S146" s="523">
        <v>27</v>
      </c>
      <c r="T146" s="523">
        <v>237</v>
      </c>
      <c r="U146" s="523">
        <v>6555</v>
      </c>
      <c r="V146" s="522">
        <v>4437</v>
      </c>
      <c r="W146" s="522">
        <v>19</v>
      </c>
      <c r="X146" s="522">
        <v>12</v>
      </c>
      <c r="Y146" s="522">
        <v>31</v>
      </c>
      <c r="Z146" s="524">
        <v>97.1</v>
      </c>
      <c r="AA146" s="524">
        <v>95.91</v>
      </c>
      <c r="AB146" s="524">
        <v>5.52</v>
      </c>
      <c r="AC146" s="524">
        <v>101.25</v>
      </c>
      <c r="AD146" s="524">
        <v>3569</v>
      </c>
      <c r="AE146" s="525">
        <v>94.91</v>
      </c>
      <c r="AF146" s="525">
        <v>88.09</v>
      </c>
      <c r="AG146" s="525">
        <v>46.24</v>
      </c>
      <c r="AH146" s="525">
        <v>140.49</v>
      </c>
      <c r="AI146" s="525">
        <v>1473</v>
      </c>
      <c r="AJ146" s="525">
        <v>115.74</v>
      </c>
      <c r="AK146" s="525">
        <v>739</v>
      </c>
      <c r="AL146" s="525">
        <v>189.69</v>
      </c>
      <c r="AM146" s="525">
        <v>83</v>
      </c>
      <c r="AN146" s="526">
        <v>0</v>
      </c>
      <c r="AO146" s="526">
        <v>0</v>
      </c>
      <c r="AP146" s="526">
        <v>0</v>
      </c>
      <c r="AQ146" s="526">
        <v>0</v>
      </c>
      <c r="AR146" s="522">
        <v>0</v>
      </c>
      <c r="AS146" s="526">
        <v>67.77</v>
      </c>
      <c r="AT146" s="526">
        <v>68.099999999999994</v>
      </c>
      <c r="AU146" s="526">
        <v>12.05</v>
      </c>
      <c r="AV146" s="526">
        <v>79.81</v>
      </c>
      <c r="AW146" s="522">
        <v>6</v>
      </c>
      <c r="AX146" s="526">
        <v>81.790000000000006</v>
      </c>
      <c r="AY146" s="526">
        <v>80.56</v>
      </c>
      <c r="AZ146" s="526">
        <v>7.03</v>
      </c>
      <c r="BA146" s="526">
        <v>88.31</v>
      </c>
      <c r="BB146" s="522">
        <v>1073</v>
      </c>
      <c r="BC146" s="526">
        <v>95.41</v>
      </c>
      <c r="BD146" s="526">
        <v>94.47</v>
      </c>
      <c r="BE146" s="526">
        <v>6.74</v>
      </c>
      <c r="BF146" s="526">
        <v>100.36</v>
      </c>
      <c r="BG146" s="522">
        <v>1190</v>
      </c>
      <c r="BH146" s="526">
        <v>108.22</v>
      </c>
      <c r="BI146" s="526">
        <v>106.73</v>
      </c>
      <c r="BJ146" s="526">
        <v>2.5</v>
      </c>
      <c r="BK146" s="526">
        <v>109.78</v>
      </c>
      <c r="BL146" s="522">
        <v>924</v>
      </c>
      <c r="BM146" s="526">
        <v>117.22</v>
      </c>
      <c r="BN146" s="526">
        <v>116.23</v>
      </c>
      <c r="BO146" s="526">
        <v>1.96</v>
      </c>
      <c r="BP146" s="526">
        <v>118.42</v>
      </c>
      <c r="BQ146" s="522">
        <v>314</v>
      </c>
      <c r="BR146" s="526">
        <v>129.66</v>
      </c>
      <c r="BS146" s="526">
        <v>127.5</v>
      </c>
      <c r="BT146" s="526">
        <v>1.18</v>
      </c>
      <c r="BU146" s="526">
        <v>130.44999999999999</v>
      </c>
      <c r="BV146" s="522">
        <v>62</v>
      </c>
      <c r="BW146" s="526">
        <v>0</v>
      </c>
      <c r="BX146" s="526">
        <v>0</v>
      </c>
      <c r="BY146" s="526">
        <v>0</v>
      </c>
      <c r="BZ146" s="526">
        <v>0</v>
      </c>
      <c r="CA146" s="522">
        <v>0</v>
      </c>
      <c r="CB146" s="526">
        <v>97.1</v>
      </c>
      <c r="CC146" s="526">
        <v>95.91</v>
      </c>
      <c r="CD146" s="526">
        <v>5.52</v>
      </c>
      <c r="CE146" s="526">
        <v>101.25</v>
      </c>
      <c r="CF146" s="522">
        <v>3569</v>
      </c>
      <c r="CG146" s="526">
        <v>97.1</v>
      </c>
      <c r="CH146" s="526">
        <v>95.91</v>
      </c>
      <c r="CI146" s="526">
        <v>5.52</v>
      </c>
      <c r="CJ146" s="526">
        <v>101.25</v>
      </c>
      <c r="CK146" s="522">
        <v>3569</v>
      </c>
      <c r="CL146" s="526">
        <v>94.31</v>
      </c>
      <c r="CM146" s="526">
        <v>79.81</v>
      </c>
      <c r="CN146" s="526">
        <v>157.30000000000001</v>
      </c>
      <c r="CO146" s="526">
        <v>248.15</v>
      </c>
      <c r="CP146" s="522">
        <v>91</v>
      </c>
      <c r="CQ146" s="526">
        <v>86.7</v>
      </c>
      <c r="CR146" s="526">
        <v>82.83</v>
      </c>
      <c r="CS146" s="526">
        <v>154.66</v>
      </c>
      <c r="CT146" s="526">
        <v>226.27</v>
      </c>
      <c r="CU146" s="522">
        <v>41</v>
      </c>
      <c r="CV146" s="526">
        <v>94.41</v>
      </c>
      <c r="CW146" s="526">
        <v>85.96</v>
      </c>
      <c r="CX146" s="526">
        <v>39.299999999999997</v>
      </c>
      <c r="CY146" s="526">
        <v>133.68</v>
      </c>
      <c r="CZ146" s="522">
        <v>1121</v>
      </c>
      <c r="DA146" s="526">
        <v>98.6</v>
      </c>
      <c r="DB146" s="526">
        <v>101.93</v>
      </c>
      <c r="DC146" s="526">
        <v>15.83</v>
      </c>
      <c r="DD146" s="526">
        <v>113.47</v>
      </c>
      <c r="DE146" s="522">
        <v>215</v>
      </c>
      <c r="DF146" s="526">
        <v>126.27</v>
      </c>
      <c r="DG146" s="526">
        <v>116.73</v>
      </c>
      <c r="DH146" s="526">
        <v>49.38</v>
      </c>
      <c r="DI146" s="526">
        <v>165.77</v>
      </c>
      <c r="DJ146" s="522">
        <v>5</v>
      </c>
      <c r="DK146" s="526">
        <v>0</v>
      </c>
      <c r="DL146" s="526">
        <v>0</v>
      </c>
      <c r="DM146" s="526">
        <v>0</v>
      </c>
      <c r="DN146" s="526">
        <v>0</v>
      </c>
      <c r="DO146" s="522">
        <v>0</v>
      </c>
      <c r="DP146" s="526">
        <v>94.95</v>
      </c>
      <c r="DQ146" s="526">
        <v>88.53</v>
      </c>
      <c r="DR146" s="526">
        <v>38.979999999999997</v>
      </c>
      <c r="DS146" s="526">
        <v>133.4</v>
      </c>
      <c r="DT146" s="522">
        <v>1382</v>
      </c>
      <c r="DU146" s="526">
        <v>94.91</v>
      </c>
      <c r="DV146" s="526">
        <v>88.09</v>
      </c>
      <c r="DW146" s="526">
        <v>46.24</v>
      </c>
      <c r="DX146" s="526">
        <v>140.49</v>
      </c>
      <c r="DY146" s="522">
        <v>1473</v>
      </c>
      <c r="DZ146" s="526">
        <v>0</v>
      </c>
      <c r="EA146" s="526">
        <v>0</v>
      </c>
      <c r="EB146" s="526">
        <v>0</v>
      </c>
      <c r="EC146" s="522">
        <v>0</v>
      </c>
      <c r="ED146" s="526">
        <v>92.07</v>
      </c>
      <c r="EE146" s="522">
        <v>100</v>
      </c>
      <c r="EF146" s="526">
        <v>110.84</v>
      </c>
      <c r="EG146" s="522">
        <v>356</v>
      </c>
      <c r="EH146" s="526">
        <v>129.5</v>
      </c>
      <c r="EI146" s="522">
        <v>261</v>
      </c>
      <c r="EJ146" s="526">
        <v>139.31</v>
      </c>
      <c r="EK146" s="522">
        <v>22</v>
      </c>
      <c r="EL146" s="526">
        <v>0</v>
      </c>
      <c r="EM146" s="522">
        <v>0</v>
      </c>
      <c r="EN146" s="526">
        <v>0</v>
      </c>
      <c r="EO146" s="522">
        <v>0</v>
      </c>
      <c r="EP146" s="526">
        <v>115.74</v>
      </c>
      <c r="EQ146" s="522">
        <v>739</v>
      </c>
      <c r="ER146" s="526">
        <v>115.74</v>
      </c>
      <c r="ES146" s="522">
        <v>739</v>
      </c>
      <c r="ET146" s="526">
        <v>226.7</v>
      </c>
      <c r="EU146" s="526">
        <v>22</v>
      </c>
      <c r="EV146" s="526">
        <v>0</v>
      </c>
      <c r="EW146" s="522">
        <v>0</v>
      </c>
      <c r="EX146" s="526">
        <v>156.15</v>
      </c>
      <c r="EY146" s="522">
        <v>49</v>
      </c>
      <c r="EZ146" s="526">
        <v>258.81</v>
      </c>
      <c r="FA146" s="522">
        <v>12</v>
      </c>
      <c r="FB146" s="526">
        <v>0</v>
      </c>
      <c r="FC146" s="522">
        <v>0</v>
      </c>
      <c r="FD146" s="526">
        <v>0</v>
      </c>
      <c r="FE146" s="522">
        <v>0</v>
      </c>
      <c r="FF146" s="526">
        <v>176.35</v>
      </c>
      <c r="FG146" s="522">
        <v>61</v>
      </c>
      <c r="FH146" s="526">
        <v>189.69</v>
      </c>
      <c r="FI146" s="522">
        <v>83</v>
      </c>
      <c r="FJ146" s="522">
        <v>0</v>
      </c>
      <c r="FK146" s="522">
        <v>6</v>
      </c>
      <c r="FL146" s="522">
        <v>0</v>
      </c>
      <c r="FM146" s="522">
        <v>0</v>
      </c>
      <c r="FN146" s="522">
        <v>6</v>
      </c>
      <c r="FO146" s="522">
        <v>0</v>
      </c>
      <c r="FP146" s="522">
        <v>5</v>
      </c>
      <c r="FQ146" s="522">
        <v>65</v>
      </c>
      <c r="FR146" s="522">
        <v>9</v>
      </c>
    </row>
    <row r="147" spans="1:174" x14ac:dyDescent="0.25">
      <c r="A147" s="523" t="s">
        <v>551</v>
      </c>
      <c r="B147" s="523" t="s">
        <v>552</v>
      </c>
      <c r="C147" s="523" t="s">
        <v>286</v>
      </c>
      <c r="D147" s="522">
        <v>16017</v>
      </c>
      <c r="E147" s="522">
        <v>15855</v>
      </c>
      <c r="F147" s="522">
        <v>4</v>
      </c>
      <c r="G147" s="522">
        <v>4</v>
      </c>
      <c r="H147" s="522">
        <v>732</v>
      </c>
      <c r="I147" s="522">
        <v>447</v>
      </c>
      <c r="J147" s="522">
        <v>1379</v>
      </c>
      <c r="K147" s="522">
        <v>1379</v>
      </c>
      <c r="L147" s="522">
        <v>814</v>
      </c>
      <c r="M147" s="522">
        <v>1</v>
      </c>
      <c r="N147" s="522">
        <v>18946</v>
      </c>
      <c r="O147" s="522">
        <v>17686</v>
      </c>
      <c r="P147" s="522">
        <v>18132</v>
      </c>
      <c r="Q147" s="522">
        <v>33</v>
      </c>
      <c r="R147" s="523">
        <v>14</v>
      </c>
      <c r="S147" s="523">
        <v>19</v>
      </c>
      <c r="T147" s="523">
        <v>314</v>
      </c>
      <c r="U147" s="523">
        <v>18632</v>
      </c>
      <c r="V147" s="522">
        <v>15855</v>
      </c>
      <c r="W147" s="522">
        <v>114</v>
      </c>
      <c r="X147" s="522">
        <v>106</v>
      </c>
      <c r="Y147" s="522">
        <v>220</v>
      </c>
      <c r="Z147" s="524">
        <v>96.36</v>
      </c>
      <c r="AA147" s="524">
        <v>99.92</v>
      </c>
      <c r="AB147" s="524">
        <v>11.97</v>
      </c>
      <c r="AC147" s="524">
        <v>99.18</v>
      </c>
      <c r="AD147" s="524">
        <v>14028</v>
      </c>
      <c r="AE147" s="525">
        <v>100.86</v>
      </c>
      <c r="AF147" s="525">
        <v>88.64</v>
      </c>
      <c r="AG147" s="525">
        <v>42.07</v>
      </c>
      <c r="AH147" s="525">
        <v>141.21</v>
      </c>
      <c r="AI147" s="525">
        <v>1490</v>
      </c>
      <c r="AJ147" s="525">
        <v>124.41</v>
      </c>
      <c r="AK147" s="525">
        <v>1584</v>
      </c>
      <c r="AL147" s="525">
        <v>165.98</v>
      </c>
      <c r="AM147" s="525">
        <v>475</v>
      </c>
      <c r="AN147" s="526">
        <v>73.64</v>
      </c>
      <c r="AO147" s="526">
        <v>76.459999999999994</v>
      </c>
      <c r="AP147" s="526">
        <v>31</v>
      </c>
      <c r="AQ147" s="526">
        <v>104.64</v>
      </c>
      <c r="AR147" s="522">
        <v>4</v>
      </c>
      <c r="AS147" s="526">
        <v>81.34</v>
      </c>
      <c r="AT147" s="526">
        <v>96.14</v>
      </c>
      <c r="AU147" s="526">
        <v>50.97</v>
      </c>
      <c r="AV147" s="526">
        <v>132.31</v>
      </c>
      <c r="AW147" s="522">
        <v>4</v>
      </c>
      <c r="AX147" s="526">
        <v>79.59</v>
      </c>
      <c r="AY147" s="526">
        <v>82.4</v>
      </c>
      <c r="AZ147" s="526">
        <v>11.73</v>
      </c>
      <c r="BA147" s="526">
        <v>89.41</v>
      </c>
      <c r="BB147" s="522">
        <v>2402</v>
      </c>
      <c r="BC147" s="526">
        <v>92.04</v>
      </c>
      <c r="BD147" s="526">
        <v>95.29</v>
      </c>
      <c r="BE147" s="526">
        <v>13.19</v>
      </c>
      <c r="BF147" s="526">
        <v>95.61</v>
      </c>
      <c r="BG147" s="522">
        <v>3887</v>
      </c>
      <c r="BH147" s="526">
        <v>102.93</v>
      </c>
      <c r="BI147" s="526">
        <v>106.81</v>
      </c>
      <c r="BJ147" s="526">
        <v>7.38</v>
      </c>
      <c r="BK147" s="526">
        <v>103.14</v>
      </c>
      <c r="BL147" s="522">
        <v>6721</v>
      </c>
      <c r="BM147" s="526">
        <v>108.93</v>
      </c>
      <c r="BN147" s="526">
        <v>113.29</v>
      </c>
      <c r="BO147" s="526">
        <v>8.5399999999999991</v>
      </c>
      <c r="BP147" s="526">
        <v>109.35</v>
      </c>
      <c r="BQ147" s="522">
        <v>983</v>
      </c>
      <c r="BR147" s="526">
        <v>116.88</v>
      </c>
      <c r="BS147" s="526">
        <v>121.37</v>
      </c>
      <c r="BT147" s="526">
        <v>0</v>
      </c>
      <c r="BU147" s="526">
        <v>116.88</v>
      </c>
      <c r="BV147" s="522">
        <v>23</v>
      </c>
      <c r="BW147" s="526">
        <v>139.44999999999999</v>
      </c>
      <c r="BX147" s="526">
        <v>147.99</v>
      </c>
      <c r="BY147" s="526">
        <v>0</v>
      </c>
      <c r="BZ147" s="526">
        <v>139.44999999999999</v>
      </c>
      <c r="CA147" s="522">
        <v>4</v>
      </c>
      <c r="CB147" s="526">
        <v>96.36</v>
      </c>
      <c r="CC147" s="526">
        <v>99.92</v>
      </c>
      <c r="CD147" s="526">
        <v>11.94</v>
      </c>
      <c r="CE147" s="526">
        <v>99.18</v>
      </c>
      <c r="CF147" s="522">
        <v>14024</v>
      </c>
      <c r="CG147" s="526">
        <v>96.36</v>
      </c>
      <c r="CH147" s="526">
        <v>99.92</v>
      </c>
      <c r="CI147" s="526">
        <v>11.97</v>
      </c>
      <c r="CJ147" s="526">
        <v>99.18</v>
      </c>
      <c r="CK147" s="522">
        <v>14028</v>
      </c>
      <c r="CL147" s="526">
        <v>147.6</v>
      </c>
      <c r="CM147" s="526">
        <v>72.14</v>
      </c>
      <c r="CN147" s="526">
        <v>90.08</v>
      </c>
      <c r="CO147" s="526">
        <v>231.96</v>
      </c>
      <c r="CP147" s="522">
        <v>173</v>
      </c>
      <c r="CQ147" s="526">
        <v>81.25</v>
      </c>
      <c r="CR147" s="526">
        <v>76.180000000000007</v>
      </c>
      <c r="CS147" s="526">
        <v>110.85</v>
      </c>
      <c r="CT147" s="526">
        <v>192.1</v>
      </c>
      <c r="CU147" s="522">
        <v>23</v>
      </c>
      <c r="CV147" s="526">
        <v>94.01</v>
      </c>
      <c r="CW147" s="526">
        <v>86.68</v>
      </c>
      <c r="CX147" s="526">
        <v>32.9</v>
      </c>
      <c r="CY147" s="526">
        <v>125.37</v>
      </c>
      <c r="CZ147" s="522">
        <v>912</v>
      </c>
      <c r="DA147" s="526">
        <v>95.44</v>
      </c>
      <c r="DB147" s="526">
        <v>96.63</v>
      </c>
      <c r="DC147" s="526">
        <v>37.840000000000003</v>
      </c>
      <c r="DD147" s="526">
        <v>133.16999999999999</v>
      </c>
      <c r="DE147" s="522">
        <v>350</v>
      </c>
      <c r="DF147" s="526">
        <v>112.43</v>
      </c>
      <c r="DG147" s="526">
        <v>108.32</v>
      </c>
      <c r="DH147" s="526">
        <v>44.86</v>
      </c>
      <c r="DI147" s="526">
        <v>148.32</v>
      </c>
      <c r="DJ147" s="522">
        <v>30</v>
      </c>
      <c r="DK147" s="526">
        <v>182.14</v>
      </c>
      <c r="DL147" s="526">
        <v>115.26</v>
      </c>
      <c r="DM147" s="526">
        <v>50.59</v>
      </c>
      <c r="DN147" s="526">
        <v>232.72</v>
      </c>
      <c r="DO147" s="522">
        <v>2</v>
      </c>
      <c r="DP147" s="526">
        <v>94.72</v>
      </c>
      <c r="DQ147" s="526">
        <v>89.6</v>
      </c>
      <c r="DR147" s="526">
        <v>35.93</v>
      </c>
      <c r="DS147" s="526">
        <v>129.29</v>
      </c>
      <c r="DT147" s="522">
        <v>1317</v>
      </c>
      <c r="DU147" s="526">
        <v>100.86</v>
      </c>
      <c r="DV147" s="526">
        <v>88.64</v>
      </c>
      <c r="DW147" s="526">
        <v>42.07</v>
      </c>
      <c r="DX147" s="526">
        <v>141.21</v>
      </c>
      <c r="DY147" s="522">
        <v>1490</v>
      </c>
      <c r="DZ147" s="526">
        <v>0</v>
      </c>
      <c r="EA147" s="526">
        <v>0</v>
      </c>
      <c r="EB147" s="526">
        <v>0</v>
      </c>
      <c r="EC147" s="522">
        <v>0</v>
      </c>
      <c r="ED147" s="526">
        <v>101.95</v>
      </c>
      <c r="EE147" s="522">
        <v>154</v>
      </c>
      <c r="EF147" s="526">
        <v>119.13</v>
      </c>
      <c r="EG147" s="522">
        <v>741</v>
      </c>
      <c r="EH147" s="526">
        <v>134</v>
      </c>
      <c r="EI147" s="522">
        <v>636</v>
      </c>
      <c r="EJ147" s="526">
        <v>148.36000000000001</v>
      </c>
      <c r="EK147" s="522">
        <v>52</v>
      </c>
      <c r="EL147" s="526">
        <v>160.77000000000001</v>
      </c>
      <c r="EM147" s="522">
        <v>1</v>
      </c>
      <c r="EN147" s="526">
        <v>0</v>
      </c>
      <c r="EO147" s="522">
        <v>0</v>
      </c>
      <c r="EP147" s="526">
        <v>124.41</v>
      </c>
      <c r="EQ147" s="522">
        <v>1584</v>
      </c>
      <c r="ER147" s="526">
        <v>124.41</v>
      </c>
      <c r="ES147" s="522">
        <v>1584</v>
      </c>
      <c r="ET147" s="526">
        <v>0</v>
      </c>
      <c r="EU147" s="526">
        <v>0</v>
      </c>
      <c r="EV147" s="526">
        <v>0</v>
      </c>
      <c r="EW147" s="522">
        <v>0</v>
      </c>
      <c r="EX147" s="526">
        <v>162.03</v>
      </c>
      <c r="EY147" s="522">
        <v>266</v>
      </c>
      <c r="EZ147" s="526">
        <v>171.01</v>
      </c>
      <c r="FA147" s="522">
        <v>209</v>
      </c>
      <c r="FB147" s="526">
        <v>0</v>
      </c>
      <c r="FC147" s="522">
        <v>0</v>
      </c>
      <c r="FD147" s="526">
        <v>0</v>
      </c>
      <c r="FE147" s="522">
        <v>0</v>
      </c>
      <c r="FF147" s="526">
        <v>165.98</v>
      </c>
      <c r="FG147" s="522">
        <v>475</v>
      </c>
      <c r="FH147" s="526">
        <v>165.98</v>
      </c>
      <c r="FI147" s="522">
        <v>475</v>
      </c>
      <c r="FJ147" s="522">
        <v>0</v>
      </c>
      <c r="FK147" s="522">
        <v>49</v>
      </c>
      <c r="FL147" s="522">
        <v>39</v>
      </c>
      <c r="FM147" s="522">
        <v>0</v>
      </c>
      <c r="FN147" s="522">
        <v>10</v>
      </c>
      <c r="FO147" s="522">
        <v>0</v>
      </c>
      <c r="FP147" s="522">
        <v>0</v>
      </c>
      <c r="FQ147" s="522">
        <v>174</v>
      </c>
      <c r="FR147" s="522">
        <v>8</v>
      </c>
    </row>
    <row r="148" spans="1:174" x14ac:dyDescent="0.25">
      <c r="A148" s="523" t="s">
        <v>553</v>
      </c>
      <c r="B148" s="523" t="s">
        <v>554</v>
      </c>
      <c r="C148" s="523" t="s">
        <v>284</v>
      </c>
      <c r="D148" s="522">
        <v>21510</v>
      </c>
      <c r="E148" s="522">
        <v>19185</v>
      </c>
      <c r="F148" s="522">
        <v>89</v>
      </c>
      <c r="G148" s="522">
        <v>80</v>
      </c>
      <c r="H148" s="522">
        <v>1856</v>
      </c>
      <c r="I148" s="522">
        <v>1081</v>
      </c>
      <c r="J148" s="522">
        <v>1542</v>
      </c>
      <c r="K148" s="522">
        <v>1405</v>
      </c>
      <c r="L148" s="522">
        <v>2069</v>
      </c>
      <c r="M148" s="522">
        <v>219</v>
      </c>
      <c r="N148" s="522">
        <v>27066</v>
      </c>
      <c r="O148" s="522">
        <v>21970</v>
      </c>
      <c r="P148" s="522">
        <v>24997</v>
      </c>
      <c r="Q148" s="522">
        <v>403</v>
      </c>
      <c r="R148" s="523">
        <v>41</v>
      </c>
      <c r="S148" s="523">
        <v>33</v>
      </c>
      <c r="T148" s="523">
        <v>1842</v>
      </c>
      <c r="U148" s="523">
        <v>25224</v>
      </c>
      <c r="V148" s="522">
        <v>20040</v>
      </c>
      <c r="W148" s="522">
        <v>123</v>
      </c>
      <c r="X148" s="522">
        <v>170</v>
      </c>
      <c r="Y148" s="522">
        <v>293</v>
      </c>
      <c r="Z148" s="524">
        <v>136.09</v>
      </c>
      <c r="AA148" s="524">
        <v>148.1</v>
      </c>
      <c r="AB148" s="524">
        <v>19.53</v>
      </c>
      <c r="AC148" s="524">
        <v>152.69999999999999</v>
      </c>
      <c r="AD148" s="524">
        <v>18356</v>
      </c>
      <c r="AE148" s="525">
        <v>130.76</v>
      </c>
      <c r="AF148" s="525">
        <v>125.66</v>
      </c>
      <c r="AG148" s="525">
        <v>64.66</v>
      </c>
      <c r="AH148" s="525">
        <v>188.81</v>
      </c>
      <c r="AI148" s="525">
        <v>2942</v>
      </c>
      <c r="AJ148" s="525">
        <v>219.89</v>
      </c>
      <c r="AK148" s="525">
        <v>1455</v>
      </c>
      <c r="AL148" s="525">
        <v>319.22000000000003</v>
      </c>
      <c r="AM148" s="525">
        <v>95</v>
      </c>
      <c r="AN148" s="526">
        <v>113.32</v>
      </c>
      <c r="AO148" s="526">
        <v>124.32</v>
      </c>
      <c r="AP148" s="526">
        <v>10.08</v>
      </c>
      <c r="AQ148" s="526">
        <v>123.4</v>
      </c>
      <c r="AR148" s="522">
        <v>2</v>
      </c>
      <c r="AS148" s="526">
        <v>100.74</v>
      </c>
      <c r="AT148" s="526">
        <v>103.9</v>
      </c>
      <c r="AU148" s="526">
        <v>19.07</v>
      </c>
      <c r="AV148" s="526">
        <v>118.68</v>
      </c>
      <c r="AW148" s="522">
        <v>388</v>
      </c>
      <c r="AX148" s="526">
        <v>121.12</v>
      </c>
      <c r="AY148" s="526">
        <v>127.78</v>
      </c>
      <c r="AZ148" s="526">
        <v>17</v>
      </c>
      <c r="BA148" s="526">
        <v>135.76</v>
      </c>
      <c r="BB148" s="522">
        <v>5171</v>
      </c>
      <c r="BC148" s="526">
        <v>134.54</v>
      </c>
      <c r="BD148" s="526">
        <v>146.1</v>
      </c>
      <c r="BE148" s="526">
        <v>21.13</v>
      </c>
      <c r="BF148" s="526">
        <v>153.26</v>
      </c>
      <c r="BG148" s="522">
        <v>6703</v>
      </c>
      <c r="BH148" s="526">
        <v>149.43</v>
      </c>
      <c r="BI148" s="526">
        <v>165.84</v>
      </c>
      <c r="BJ148" s="526">
        <v>20.059999999999999</v>
      </c>
      <c r="BK148" s="526">
        <v>165.7</v>
      </c>
      <c r="BL148" s="522">
        <v>4707</v>
      </c>
      <c r="BM148" s="526">
        <v>161.85</v>
      </c>
      <c r="BN148" s="526">
        <v>183.1</v>
      </c>
      <c r="BO148" s="526">
        <v>20.13</v>
      </c>
      <c r="BP148" s="526">
        <v>177.28</v>
      </c>
      <c r="BQ148" s="522">
        <v>1222</v>
      </c>
      <c r="BR148" s="526">
        <v>178.75</v>
      </c>
      <c r="BS148" s="526">
        <v>206.65</v>
      </c>
      <c r="BT148" s="526">
        <v>13.41</v>
      </c>
      <c r="BU148" s="526">
        <v>187.13</v>
      </c>
      <c r="BV148" s="522">
        <v>136</v>
      </c>
      <c r="BW148" s="526">
        <v>191.92</v>
      </c>
      <c r="BX148" s="526">
        <v>221.63</v>
      </c>
      <c r="BY148" s="526">
        <v>11.21</v>
      </c>
      <c r="BZ148" s="526">
        <v>194.82</v>
      </c>
      <c r="CA148" s="522">
        <v>27</v>
      </c>
      <c r="CB148" s="526">
        <v>136.09</v>
      </c>
      <c r="CC148" s="526">
        <v>148.1</v>
      </c>
      <c r="CD148" s="526">
        <v>19.53</v>
      </c>
      <c r="CE148" s="526">
        <v>152.69999999999999</v>
      </c>
      <c r="CF148" s="522">
        <v>18354</v>
      </c>
      <c r="CG148" s="526">
        <v>136.09</v>
      </c>
      <c r="CH148" s="526">
        <v>148.1</v>
      </c>
      <c r="CI148" s="526">
        <v>19.53</v>
      </c>
      <c r="CJ148" s="526">
        <v>152.69999999999999</v>
      </c>
      <c r="CK148" s="522">
        <v>18356</v>
      </c>
      <c r="CL148" s="526">
        <v>123.57</v>
      </c>
      <c r="CM148" s="526">
        <v>113.07</v>
      </c>
      <c r="CN148" s="526">
        <v>78.09</v>
      </c>
      <c r="CO148" s="526">
        <v>182.45</v>
      </c>
      <c r="CP148" s="522">
        <v>760</v>
      </c>
      <c r="CQ148" s="526">
        <v>113.35</v>
      </c>
      <c r="CR148" s="526">
        <v>107.79</v>
      </c>
      <c r="CS148" s="526">
        <v>94.85</v>
      </c>
      <c r="CT148" s="526">
        <v>190.43</v>
      </c>
      <c r="CU148" s="522">
        <v>283</v>
      </c>
      <c r="CV148" s="526">
        <v>134.44999999999999</v>
      </c>
      <c r="CW148" s="526">
        <v>130.94999999999999</v>
      </c>
      <c r="CX148" s="526">
        <v>56.58</v>
      </c>
      <c r="CY148" s="526">
        <v>189.47</v>
      </c>
      <c r="CZ148" s="522">
        <v>1740</v>
      </c>
      <c r="DA148" s="526">
        <v>154.54</v>
      </c>
      <c r="DB148" s="526">
        <v>155.62</v>
      </c>
      <c r="DC148" s="526">
        <v>58.66</v>
      </c>
      <c r="DD148" s="526">
        <v>209.45</v>
      </c>
      <c r="DE148" s="522">
        <v>141</v>
      </c>
      <c r="DF148" s="526">
        <v>163.65</v>
      </c>
      <c r="DG148" s="526">
        <v>175.91</v>
      </c>
      <c r="DH148" s="526">
        <v>52.36</v>
      </c>
      <c r="DI148" s="526">
        <v>206.77</v>
      </c>
      <c r="DJ148" s="522">
        <v>17</v>
      </c>
      <c r="DK148" s="526">
        <v>195.36</v>
      </c>
      <c r="DL148" s="526">
        <v>204.42</v>
      </c>
      <c r="DM148" s="526">
        <v>0</v>
      </c>
      <c r="DN148" s="526">
        <v>195.36</v>
      </c>
      <c r="DO148" s="522">
        <v>1</v>
      </c>
      <c r="DP148" s="526">
        <v>133.26</v>
      </c>
      <c r="DQ148" s="526">
        <v>129.91</v>
      </c>
      <c r="DR148" s="526">
        <v>60.94</v>
      </c>
      <c r="DS148" s="526">
        <v>191.02</v>
      </c>
      <c r="DT148" s="522">
        <v>2182</v>
      </c>
      <c r="DU148" s="526">
        <v>130.76</v>
      </c>
      <c r="DV148" s="526">
        <v>125.66</v>
      </c>
      <c r="DW148" s="526">
        <v>64.66</v>
      </c>
      <c r="DX148" s="526">
        <v>188.81</v>
      </c>
      <c r="DY148" s="522">
        <v>2942</v>
      </c>
      <c r="DZ148" s="526">
        <v>140.08000000000001</v>
      </c>
      <c r="EA148" s="526">
        <v>1</v>
      </c>
      <c r="EB148" s="526">
        <v>156.9</v>
      </c>
      <c r="EC148" s="522">
        <v>80</v>
      </c>
      <c r="ED148" s="526">
        <v>201.14</v>
      </c>
      <c r="EE148" s="522">
        <v>576</v>
      </c>
      <c r="EF148" s="526">
        <v>237.64</v>
      </c>
      <c r="EG148" s="522">
        <v>555</v>
      </c>
      <c r="EH148" s="526">
        <v>243.54</v>
      </c>
      <c r="EI148" s="522">
        <v>187</v>
      </c>
      <c r="EJ148" s="526">
        <v>249.51</v>
      </c>
      <c r="EK148" s="522">
        <v>48</v>
      </c>
      <c r="EL148" s="526">
        <v>248.12</v>
      </c>
      <c r="EM148" s="522">
        <v>8</v>
      </c>
      <c r="EN148" s="526">
        <v>0</v>
      </c>
      <c r="EO148" s="522">
        <v>0</v>
      </c>
      <c r="EP148" s="526">
        <v>219.95</v>
      </c>
      <c r="EQ148" s="522">
        <v>1454</v>
      </c>
      <c r="ER148" s="526">
        <v>219.89</v>
      </c>
      <c r="ES148" s="522">
        <v>1455</v>
      </c>
      <c r="ET148" s="526">
        <v>0</v>
      </c>
      <c r="EU148" s="526">
        <v>0</v>
      </c>
      <c r="EV148" s="526">
        <v>0</v>
      </c>
      <c r="EW148" s="522">
        <v>0</v>
      </c>
      <c r="EX148" s="526">
        <v>300.88</v>
      </c>
      <c r="EY148" s="522">
        <v>71</v>
      </c>
      <c r="EZ148" s="526">
        <v>373.49</v>
      </c>
      <c r="FA148" s="522">
        <v>24</v>
      </c>
      <c r="FB148" s="526">
        <v>0</v>
      </c>
      <c r="FC148" s="522">
        <v>0</v>
      </c>
      <c r="FD148" s="526">
        <v>0</v>
      </c>
      <c r="FE148" s="522">
        <v>0</v>
      </c>
      <c r="FF148" s="526">
        <v>319.22000000000003</v>
      </c>
      <c r="FG148" s="522">
        <v>95</v>
      </c>
      <c r="FH148" s="526">
        <v>319.22000000000003</v>
      </c>
      <c r="FI148" s="522">
        <v>95</v>
      </c>
      <c r="FJ148" s="522">
        <v>113</v>
      </c>
      <c r="FK148" s="522">
        <v>13</v>
      </c>
      <c r="FL148" s="522">
        <v>10</v>
      </c>
      <c r="FM148" s="522">
        <v>0</v>
      </c>
      <c r="FN148" s="522">
        <v>3</v>
      </c>
      <c r="FO148" s="522">
        <v>0</v>
      </c>
      <c r="FP148" s="522">
        <v>40</v>
      </c>
      <c r="FQ148" s="522">
        <v>31</v>
      </c>
      <c r="FR148" s="522">
        <v>51</v>
      </c>
    </row>
    <row r="149" spans="1:174" x14ac:dyDescent="0.25">
      <c r="A149" s="523" t="s">
        <v>555</v>
      </c>
      <c r="B149" s="523" t="s">
        <v>556</v>
      </c>
      <c r="C149" s="523" t="s">
        <v>286</v>
      </c>
      <c r="D149" s="522">
        <v>2066</v>
      </c>
      <c r="E149" s="522">
        <v>2059</v>
      </c>
      <c r="F149" s="522">
        <v>0</v>
      </c>
      <c r="G149" s="522">
        <v>0</v>
      </c>
      <c r="H149" s="522">
        <v>427</v>
      </c>
      <c r="I149" s="522">
        <v>186</v>
      </c>
      <c r="J149" s="522">
        <v>526</v>
      </c>
      <c r="K149" s="522">
        <v>526</v>
      </c>
      <c r="L149" s="522">
        <v>404</v>
      </c>
      <c r="M149" s="522">
        <v>7</v>
      </c>
      <c r="N149" s="522">
        <v>3423</v>
      </c>
      <c r="O149" s="522">
        <v>2778</v>
      </c>
      <c r="P149" s="522">
        <v>3019</v>
      </c>
      <c r="Q149" s="522">
        <v>3</v>
      </c>
      <c r="R149" s="523">
        <v>13</v>
      </c>
      <c r="S149" s="523">
        <v>23</v>
      </c>
      <c r="T149" s="523">
        <v>187</v>
      </c>
      <c r="U149" s="523">
        <v>3236</v>
      </c>
      <c r="V149" s="522">
        <v>2020</v>
      </c>
      <c r="W149" s="522">
        <v>17</v>
      </c>
      <c r="X149" s="522">
        <v>5</v>
      </c>
      <c r="Y149" s="522">
        <v>22</v>
      </c>
      <c r="Z149" s="524">
        <v>95.6</v>
      </c>
      <c r="AA149" s="524">
        <v>95.05</v>
      </c>
      <c r="AB149" s="524">
        <v>7.89</v>
      </c>
      <c r="AC149" s="524">
        <v>102.51</v>
      </c>
      <c r="AD149" s="524">
        <v>1253</v>
      </c>
      <c r="AE149" s="525">
        <v>106.45</v>
      </c>
      <c r="AF149" s="525">
        <v>85.04</v>
      </c>
      <c r="AG149" s="525">
        <v>74.56</v>
      </c>
      <c r="AH149" s="525">
        <v>178.32</v>
      </c>
      <c r="AI149" s="525">
        <v>776</v>
      </c>
      <c r="AJ149" s="525">
        <v>120.31</v>
      </c>
      <c r="AK149" s="525">
        <v>758</v>
      </c>
      <c r="AL149" s="525">
        <v>358.07</v>
      </c>
      <c r="AM149" s="525">
        <v>36</v>
      </c>
      <c r="AN149" s="526">
        <v>0</v>
      </c>
      <c r="AO149" s="526">
        <v>0</v>
      </c>
      <c r="AP149" s="526">
        <v>0</v>
      </c>
      <c r="AQ149" s="526">
        <v>0</v>
      </c>
      <c r="AR149" s="522">
        <v>0</v>
      </c>
      <c r="AS149" s="526">
        <v>0</v>
      </c>
      <c r="AT149" s="526">
        <v>0</v>
      </c>
      <c r="AU149" s="526">
        <v>0</v>
      </c>
      <c r="AV149" s="526">
        <v>0</v>
      </c>
      <c r="AW149" s="522">
        <v>0</v>
      </c>
      <c r="AX149" s="526">
        <v>81.03</v>
      </c>
      <c r="AY149" s="526">
        <v>80.88</v>
      </c>
      <c r="AZ149" s="526">
        <v>11.06</v>
      </c>
      <c r="BA149" s="526">
        <v>91.71</v>
      </c>
      <c r="BB149" s="522">
        <v>340</v>
      </c>
      <c r="BC149" s="526">
        <v>95.41</v>
      </c>
      <c r="BD149" s="526">
        <v>95.08</v>
      </c>
      <c r="BE149" s="526">
        <v>7.74</v>
      </c>
      <c r="BF149" s="526">
        <v>102.01</v>
      </c>
      <c r="BG149" s="522">
        <v>534</v>
      </c>
      <c r="BH149" s="526">
        <v>108.24</v>
      </c>
      <c r="BI149" s="526">
        <v>107.19</v>
      </c>
      <c r="BJ149" s="526">
        <v>4.8600000000000003</v>
      </c>
      <c r="BK149" s="526">
        <v>112.39</v>
      </c>
      <c r="BL149" s="522">
        <v>360</v>
      </c>
      <c r="BM149" s="526">
        <v>118.63</v>
      </c>
      <c r="BN149" s="526">
        <v>121.15</v>
      </c>
      <c r="BO149" s="526">
        <v>2.09</v>
      </c>
      <c r="BP149" s="526">
        <v>119.6</v>
      </c>
      <c r="BQ149" s="522">
        <v>15</v>
      </c>
      <c r="BR149" s="526">
        <v>134.38</v>
      </c>
      <c r="BS149" s="526">
        <v>141.83000000000001</v>
      </c>
      <c r="BT149" s="526">
        <v>0</v>
      </c>
      <c r="BU149" s="526">
        <v>134.38</v>
      </c>
      <c r="BV149" s="522">
        <v>4</v>
      </c>
      <c r="BW149" s="526">
        <v>0</v>
      </c>
      <c r="BX149" s="526">
        <v>0</v>
      </c>
      <c r="BY149" s="526">
        <v>0</v>
      </c>
      <c r="BZ149" s="526">
        <v>0</v>
      </c>
      <c r="CA149" s="522">
        <v>0</v>
      </c>
      <c r="CB149" s="526">
        <v>95.6</v>
      </c>
      <c r="CC149" s="526">
        <v>95.05</v>
      </c>
      <c r="CD149" s="526">
        <v>7.89</v>
      </c>
      <c r="CE149" s="526">
        <v>102.51</v>
      </c>
      <c r="CF149" s="522">
        <v>1253</v>
      </c>
      <c r="CG149" s="526">
        <v>95.6</v>
      </c>
      <c r="CH149" s="526">
        <v>95.05</v>
      </c>
      <c r="CI149" s="526">
        <v>7.89</v>
      </c>
      <c r="CJ149" s="526">
        <v>102.51</v>
      </c>
      <c r="CK149" s="522">
        <v>1253</v>
      </c>
      <c r="CL149" s="526">
        <v>147.33000000000001</v>
      </c>
      <c r="CM149" s="526">
        <v>92.9</v>
      </c>
      <c r="CN149" s="526">
        <v>123.98</v>
      </c>
      <c r="CO149" s="526">
        <v>262.95</v>
      </c>
      <c r="CP149" s="522">
        <v>163</v>
      </c>
      <c r="CQ149" s="526">
        <v>77.180000000000007</v>
      </c>
      <c r="CR149" s="526">
        <v>74.97</v>
      </c>
      <c r="CS149" s="526">
        <v>41.24</v>
      </c>
      <c r="CT149" s="526">
        <v>118.42</v>
      </c>
      <c r="CU149" s="522">
        <v>185</v>
      </c>
      <c r="CV149" s="526">
        <v>103.86</v>
      </c>
      <c r="CW149" s="526">
        <v>87.07</v>
      </c>
      <c r="CX149" s="526">
        <v>75.319999999999993</v>
      </c>
      <c r="CY149" s="526">
        <v>175.94</v>
      </c>
      <c r="CZ149" s="522">
        <v>395</v>
      </c>
      <c r="DA149" s="526">
        <v>98.21</v>
      </c>
      <c r="DB149" s="526">
        <v>96.5</v>
      </c>
      <c r="DC149" s="526">
        <v>22.79</v>
      </c>
      <c r="DD149" s="526">
        <v>121.01</v>
      </c>
      <c r="DE149" s="522">
        <v>27</v>
      </c>
      <c r="DF149" s="526">
        <v>105.69</v>
      </c>
      <c r="DG149" s="526">
        <v>103.78</v>
      </c>
      <c r="DH149" s="526">
        <v>35.119999999999997</v>
      </c>
      <c r="DI149" s="526">
        <v>140.81</v>
      </c>
      <c r="DJ149" s="522">
        <v>6</v>
      </c>
      <c r="DK149" s="526">
        <v>0</v>
      </c>
      <c r="DL149" s="526">
        <v>0</v>
      </c>
      <c r="DM149" s="526">
        <v>0</v>
      </c>
      <c r="DN149" s="526">
        <v>0</v>
      </c>
      <c r="DO149" s="522">
        <v>0</v>
      </c>
      <c r="DP149" s="526">
        <v>95.58</v>
      </c>
      <c r="DQ149" s="526">
        <v>83.85</v>
      </c>
      <c r="DR149" s="526">
        <v>61.96</v>
      </c>
      <c r="DS149" s="526">
        <v>155.81</v>
      </c>
      <c r="DT149" s="522">
        <v>613</v>
      </c>
      <c r="DU149" s="526">
        <v>106.45</v>
      </c>
      <c r="DV149" s="526">
        <v>85.04</v>
      </c>
      <c r="DW149" s="526">
        <v>74.56</v>
      </c>
      <c r="DX149" s="526">
        <v>178.32</v>
      </c>
      <c r="DY149" s="522">
        <v>776</v>
      </c>
      <c r="DZ149" s="526">
        <v>0</v>
      </c>
      <c r="EA149" s="526">
        <v>0</v>
      </c>
      <c r="EB149" s="526">
        <v>89.46</v>
      </c>
      <c r="EC149" s="522">
        <v>1</v>
      </c>
      <c r="ED149" s="526">
        <v>98.19</v>
      </c>
      <c r="EE149" s="522">
        <v>183</v>
      </c>
      <c r="EF149" s="526">
        <v>120.05</v>
      </c>
      <c r="EG149" s="522">
        <v>314</v>
      </c>
      <c r="EH149" s="526">
        <v>133.57</v>
      </c>
      <c r="EI149" s="522">
        <v>235</v>
      </c>
      <c r="EJ149" s="526">
        <v>162.06</v>
      </c>
      <c r="EK149" s="522">
        <v>25</v>
      </c>
      <c r="EL149" s="526">
        <v>0</v>
      </c>
      <c r="EM149" s="522">
        <v>0</v>
      </c>
      <c r="EN149" s="526">
        <v>0</v>
      </c>
      <c r="EO149" s="522">
        <v>0</v>
      </c>
      <c r="EP149" s="526">
        <v>120.31</v>
      </c>
      <c r="EQ149" s="522">
        <v>758</v>
      </c>
      <c r="ER149" s="526">
        <v>120.31</v>
      </c>
      <c r="ES149" s="522">
        <v>758</v>
      </c>
      <c r="ET149" s="526">
        <v>455.1</v>
      </c>
      <c r="EU149" s="526">
        <v>19</v>
      </c>
      <c r="EV149" s="526">
        <v>0</v>
      </c>
      <c r="EW149" s="522">
        <v>0</v>
      </c>
      <c r="EX149" s="526">
        <v>249.63</v>
      </c>
      <c r="EY149" s="522">
        <v>17</v>
      </c>
      <c r="EZ149" s="526">
        <v>0</v>
      </c>
      <c r="FA149" s="522">
        <v>0</v>
      </c>
      <c r="FB149" s="526">
        <v>0</v>
      </c>
      <c r="FC149" s="522">
        <v>0</v>
      </c>
      <c r="FD149" s="526">
        <v>0</v>
      </c>
      <c r="FE149" s="522">
        <v>0</v>
      </c>
      <c r="FF149" s="526">
        <v>249.63</v>
      </c>
      <c r="FG149" s="522">
        <v>17</v>
      </c>
      <c r="FH149" s="526">
        <v>358.07</v>
      </c>
      <c r="FI149" s="522">
        <v>36</v>
      </c>
      <c r="FJ149" s="522">
        <v>0</v>
      </c>
      <c r="FK149" s="522">
        <v>0</v>
      </c>
      <c r="FL149" s="522">
        <v>0</v>
      </c>
      <c r="FM149" s="522">
        <v>0</v>
      </c>
      <c r="FN149" s="522">
        <v>0</v>
      </c>
      <c r="FO149" s="522">
        <v>0</v>
      </c>
      <c r="FP149" s="522">
        <v>2</v>
      </c>
      <c r="FQ149" s="522">
        <v>23</v>
      </c>
      <c r="FR149" s="522">
        <v>8</v>
      </c>
    </row>
    <row r="150" spans="1:174" x14ac:dyDescent="0.25">
      <c r="A150" s="523" t="s">
        <v>557</v>
      </c>
      <c r="B150" s="523" t="s">
        <v>558</v>
      </c>
      <c r="C150" s="523" t="s">
        <v>289</v>
      </c>
      <c r="D150" s="522">
        <v>13908</v>
      </c>
      <c r="E150" s="522">
        <v>13466</v>
      </c>
      <c r="F150" s="522">
        <v>8</v>
      </c>
      <c r="G150" s="522">
        <v>8</v>
      </c>
      <c r="H150" s="522">
        <v>1578</v>
      </c>
      <c r="I150" s="522">
        <v>845</v>
      </c>
      <c r="J150" s="522">
        <v>3040</v>
      </c>
      <c r="K150" s="522">
        <v>2508</v>
      </c>
      <c r="L150" s="522">
        <v>1806</v>
      </c>
      <c r="M150" s="522">
        <v>25</v>
      </c>
      <c r="N150" s="522">
        <v>20340</v>
      </c>
      <c r="O150" s="522">
        <v>16852</v>
      </c>
      <c r="P150" s="522">
        <v>18534</v>
      </c>
      <c r="Q150" s="522">
        <v>51</v>
      </c>
      <c r="R150" s="523">
        <v>27</v>
      </c>
      <c r="S150" s="523">
        <v>34</v>
      </c>
      <c r="T150" s="523">
        <v>1364</v>
      </c>
      <c r="U150" s="523">
        <v>18976</v>
      </c>
      <c r="V150" s="522">
        <v>13498</v>
      </c>
      <c r="W150" s="522">
        <v>105</v>
      </c>
      <c r="X150" s="522">
        <v>64</v>
      </c>
      <c r="Y150" s="522">
        <v>169</v>
      </c>
      <c r="Z150" s="524">
        <v>96.44</v>
      </c>
      <c r="AA150" s="524">
        <v>98.26</v>
      </c>
      <c r="AB150" s="524">
        <v>8.3699999999999992</v>
      </c>
      <c r="AC150" s="524">
        <v>101.85</v>
      </c>
      <c r="AD150" s="524">
        <v>11445</v>
      </c>
      <c r="AE150" s="525">
        <v>111.66</v>
      </c>
      <c r="AF150" s="525">
        <v>85.99</v>
      </c>
      <c r="AG150" s="525">
        <v>64.64</v>
      </c>
      <c r="AH150" s="525">
        <v>174.26</v>
      </c>
      <c r="AI150" s="525">
        <v>3448</v>
      </c>
      <c r="AJ150" s="525">
        <v>126.44</v>
      </c>
      <c r="AK150" s="525">
        <v>1543</v>
      </c>
      <c r="AL150" s="525">
        <v>248.21</v>
      </c>
      <c r="AM150" s="525">
        <v>219</v>
      </c>
      <c r="AN150" s="526">
        <v>47.29</v>
      </c>
      <c r="AO150" s="526">
        <v>47.55</v>
      </c>
      <c r="AP150" s="526">
        <v>12.92</v>
      </c>
      <c r="AQ150" s="526">
        <v>60.21</v>
      </c>
      <c r="AR150" s="522">
        <v>8</v>
      </c>
      <c r="AS150" s="526">
        <v>71.02</v>
      </c>
      <c r="AT150" s="526">
        <v>71.3</v>
      </c>
      <c r="AU150" s="526">
        <v>11.15</v>
      </c>
      <c r="AV150" s="526">
        <v>82.17</v>
      </c>
      <c r="AW150" s="522">
        <v>154</v>
      </c>
      <c r="AX150" s="526">
        <v>82.92</v>
      </c>
      <c r="AY150" s="526">
        <v>84.08</v>
      </c>
      <c r="AZ150" s="526">
        <v>10.77</v>
      </c>
      <c r="BA150" s="526">
        <v>93.32</v>
      </c>
      <c r="BB150" s="522">
        <v>2938</v>
      </c>
      <c r="BC150" s="526">
        <v>96.84</v>
      </c>
      <c r="BD150" s="526">
        <v>98.22</v>
      </c>
      <c r="BE150" s="526">
        <v>8.16</v>
      </c>
      <c r="BF150" s="526">
        <v>102.07</v>
      </c>
      <c r="BG150" s="522">
        <v>4769</v>
      </c>
      <c r="BH150" s="526">
        <v>106.15</v>
      </c>
      <c r="BI150" s="526">
        <v>108.92</v>
      </c>
      <c r="BJ150" s="526">
        <v>3.25</v>
      </c>
      <c r="BK150" s="526">
        <v>107.59</v>
      </c>
      <c r="BL150" s="522">
        <v>2572</v>
      </c>
      <c r="BM150" s="526">
        <v>111.68</v>
      </c>
      <c r="BN150" s="526">
        <v>115.39</v>
      </c>
      <c r="BO150" s="526">
        <v>4.3899999999999997</v>
      </c>
      <c r="BP150" s="526">
        <v>112.64</v>
      </c>
      <c r="BQ150" s="522">
        <v>877</v>
      </c>
      <c r="BR150" s="526">
        <v>125.09</v>
      </c>
      <c r="BS150" s="526">
        <v>128.29</v>
      </c>
      <c r="BT150" s="526">
        <v>3.67</v>
      </c>
      <c r="BU150" s="526">
        <v>125.57</v>
      </c>
      <c r="BV150" s="522">
        <v>116</v>
      </c>
      <c r="BW150" s="526">
        <v>133.5</v>
      </c>
      <c r="BX150" s="526">
        <v>143.91</v>
      </c>
      <c r="BY150" s="526">
        <v>0</v>
      </c>
      <c r="BZ150" s="526">
        <v>133.5</v>
      </c>
      <c r="CA150" s="522">
        <v>11</v>
      </c>
      <c r="CB150" s="526">
        <v>96.47</v>
      </c>
      <c r="CC150" s="526">
        <v>98.3</v>
      </c>
      <c r="CD150" s="526">
        <v>8.36</v>
      </c>
      <c r="CE150" s="526">
        <v>101.88</v>
      </c>
      <c r="CF150" s="522">
        <v>11437</v>
      </c>
      <c r="CG150" s="526">
        <v>96.44</v>
      </c>
      <c r="CH150" s="526">
        <v>98.26</v>
      </c>
      <c r="CI150" s="526">
        <v>8.3699999999999992</v>
      </c>
      <c r="CJ150" s="526">
        <v>101.85</v>
      </c>
      <c r="CK150" s="522">
        <v>11445</v>
      </c>
      <c r="CL150" s="526">
        <v>161.93</v>
      </c>
      <c r="CM150" s="526">
        <v>76.91</v>
      </c>
      <c r="CN150" s="526">
        <v>114.97</v>
      </c>
      <c r="CO150" s="526">
        <v>275.2</v>
      </c>
      <c r="CP150" s="522">
        <v>539</v>
      </c>
      <c r="CQ150" s="526">
        <v>76.5</v>
      </c>
      <c r="CR150" s="526">
        <v>72.709999999999994</v>
      </c>
      <c r="CS150" s="526">
        <v>64.17</v>
      </c>
      <c r="CT150" s="526">
        <v>140.66999999999999</v>
      </c>
      <c r="CU150" s="522">
        <v>266</v>
      </c>
      <c r="CV150" s="526">
        <v>104.01</v>
      </c>
      <c r="CW150" s="526">
        <v>85.54</v>
      </c>
      <c r="CX150" s="526">
        <v>57.13</v>
      </c>
      <c r="CY150" s="526">
        <v>160.93</v>
      </c>
      <c r="CZ150" s="522">
        <v>2093</v>
      </c>
      <c r="DA150" s="526">
        <v>104.85</v>
      </c>
      <c r="DB150" s="526">
        <v>96.49</v>
      </c>
      <c r="DC150" s="526">
        <v>38.96</v>
      </c>
      <c r="DD150" s="526">
        <v>136.85</v>
      </c>
      <c r="DE150" s="522">
        <v>515</v>
      </c>
      <c r="DF150" s="526">
        <v>163.02000000000001</v>
      </c>
      <c r="DG150" s="526">
        <v>110.75</v>
      </c>
      <c r="DH150" s="526">
        <v>64.17</v>
      </c>
      <c r="DI150" s="526">
        <v>225.24</v>
      </c>
      <c r="DJ150" s="522">
        <v>33</v>
      </c>
      <c r="DK150" s="526">
        <v>154.85</v>
      </c>
      <c r="DL150" s="526">
        <v>154.85</v>
      </c>
      <c r="DM150" s="526">
        <v>27.11</v>
      </c>
      <c r="DN150" s="526">
        <v>181.96</v>
      </c>
      <c r="DO150" s="522">
        <v>2</v>
      </c>
      <c r="DP150" s="526">
        <v>102.35</v>
      </c>
      <c r="DQ150" s="526">
        <v>86.64</v>
      </c>
      <c r="DR150" s="526">
        <v>55.12</v>
      </c>
      <c r="DS150" s="526">
        <v>155.56</v>
      </c>
      <c r="DT150" s="522">
        <v>2909</v>
      </c>
      <c r="DU150" s="526">
        <v>111.66</v>
      </c>
      <c r="DV150" s="526">
        <v>85.99</v>
      </c>
      <c r="DW150" s="526">
        <v>64.64</v>
      </c>
      <c r="DX150" s="526">
        <v>174.26</v>
      </c>
      <c r="DY150" s="522">
        <v>3448</v>
      </c>
      <c r="DZ150" s="526">
        <v>0</v>
      </c>
      <c r="EA150" s="526">
        <v>0</v>
      </c>
      <c r="EB150" s="526">
        <v>107.64</v>
      </c>
      <c r="EC150" s="522">
        <v>7</v>
      </c>
      <c r="ED150" s="526">
        <v>103.66</v>
      </c>
      <c r="EE150" s="522">
        <v>250</v>
      </c>
      <c r="EF150" s="526">
        <v>126.21</v>
      </c>
      <c r="EG150" s="522">
        <v>792</v>
      </c>
      <c r="EH150" s="526">
        <v>137.63</v>
      </c>
      <c r="EI150" s="522">
        <v>445</v>
      </c>
      <c r="EJ150" s="526">
        <v>147</v>
      </c>
      <c r="EK150" s="522">
        <v>47</v>
      </c>
      <c r="EL150" s="526">
        <v>156.78</v>
      </c>
      <c r="EM150" s="522">
        <v>2</v>
      </c>
      <c r="EN150" s="526">
        <v>0</v>
      </c>
      <c r="EO150" s="522">
        <v>0</v>
      </c>
      <c r="EP150" s="526">
        <v>126.44</v>
      </c>
      <c r="EQ150" s="522">
        <v>1543</v>
      </c>
      <c r="ER150" s="526">
        <v>126.44</v>
      </c>
      <c r="ES150" s="522">
        <v>1543</v>
      </c>
      <c r="ET150" s="526">
        <v>0</v>
      </c>
      <c r="EU150" s="526">
        <v>0</v>
      </c>
      <c r="EV150" s="526">
        <v>0</v>
      </c>
      <c r="EW150" s="522">
        <v>0</v>
      </c>
      <c r="EX150" s="526">
        <v>250.2</v>
      </c>
      <c r="EY150" s="522">
        <v>148</v>
      </c>
      <c r="EZ150" s="526">
        <v>244.06</v>
      </c>
      <c r="FA150" s="522">
        <v>71</v>
      </c>
      <c r="FB150" s="526">
        <v>0</v>
      </c>
      <c r="FC150" s="522">
        <v>0</v>
      </c>
      <c r="FD150" s="526">
        <v>0</v>
      </c>
      <c r="FE150" s="522">
        <v>0</v>
      </c>
      <c r="FF150" s="526">
        <v>248.21</v>
      </c>
      <c r="FG150" s="522">
        <v>219</v>
      </c>
      <c r="FH150" s="526">
        <v>248.21</v>
      </c>
      <c r="FI150" s="522">
        <v>219</v>
      </c>
      <c r="FJ150" s="522">
        <v>0</v>
      </c>
      <c r="FK150" s="522">
        <v>4</v>
      </c>
      <c r="FL150" s="522">
        <v>1</v>
      </c>
      <c r="FM150" s="522">
        <v>0</v>
      </c>
      <c r="FN150" s="522">
        <v>3</v>
      </c>
      <c r="FO150" s="522">
        <v>0</v>
      </c>
      <c r="FP150" s="522">
        <v>33</v>
      </c>
      <c r="FQ150" s="522">
        <v>120</v>
      </c>
      <c r="FR150" s="522">
        <v>21</v>
      </c>
    </row>
    <row r="151" spans="1:174" x14ac:dyDescent="0.25">
      <c r="A151" s="523" t="s">
        <v>559</v>
      </c>
      <c r="B151" s="523" t="s">
        <v>560</v>
      </c>
      <c r="C151" s="523" t="s">
        <v>282</v>
      </c>
      <c r="D151" s="522">
        <v>8975</v>
      </c>
      <c r="E151" s="522">
        <v>8494</v>
      </c>
      <c r="F151" s="522">
        <v>0</v>
      </c>
      <c r="G151" s="522">
        <v>0</v>
      </c>
      <c r="H151" s="522">
        <v>995</v>
      </c>
      <c r="I151" s="522">
        <v>560</v>
      </c>
      <c r="J151" s="522">
        <v>887</v>
      </c>
      <c r="K151" s="522">
        <v>852</v>
      </c>
      <c r="L151" s="522">
        <v>533</v>
      </c>
      <c r="M151" s="522">
        <v>0</v>
      </c>
      <c r="N151" s="522">
        <v>11390</v>
      </c>
      <c r="O151" s="522">
        <v>9906</v>
      </c>
      <c r="P151" s="522">
        <v>10857</v>
      </c>
      <c r="Q151" s="522">
        <v>29</v>
      </c>
      <c r="R151" s="523">
        <v>16</v>
      </c>
      <c r="S151" s="523">
        <v>25</v>
      </c>
      <c r="T151" s="523">
        <v>1002</v>
      </c>
      <c r="U151" s="523">
        <v>10388</v>
      </c>
      <c r="V151" s="522">
        <v>8254</v>
      </c>
      <c r="W151" s="522">
        <v>33</v>
      </c>
      <c r="X151" s="522">
        <v>51</v>
      </c>
      <c r="Y151" s="522">
        <v>84</v>
      </c>
      <c r="Z151" s="524">
        <v>95.74</v>
      </c>
      <c r="AA151" s="524">
        <v>97.49</v>
      </c>
      <c r="AB151" s="524">
        <v>11.77</v>
      </c>
      <c r="AC151" s="524">
        <v>104.6</v>
      </c>
      <c r="AD151" s="524">
        <v>6947</v>
      </c>
      <c r="AE151" s="525">
        <v>105.02</v>
      </c>
      <c r="AF151" s="525">
        <v>88.24</v>
      </c>
      <c r="AG151" s="525">
        <v>78.2</v>
      </c>
      <c r="AH151" s="525">
        <v>178.15</v>
      </c>
      <c r="AI151" s="525">
        <v>1575</v>
      </c>
      <c r="AJ151" s="525">
        <v>129.54</v>
      </c>
      <c r="AK151" s="525">
        <v>1154</v>
      </c>
      <c r="AL151" s="525">
        <v>194.02</v>
      </c>
      <c r="AM151" s="525">
        <v>26</v>
      </c>
      <c r="AN151" s="526">
        <v>0</v>
      </c>
      <c r="AO151" s="526">
        <v>0</v>
      </c>
      <c r="AP151" s="526">
        <v>0</v>
      </c>
      <c r="AQ151" s="526">
        <v>0</v>
      </c>
      <c r="AR151" s="522">
        <v>0</v>
      </c>
      <c r="AS151" s="526">
        <v>67.17</v>
      </c>
      <c r="AT151" s="526">
        <v>68.900000000000006</v>
      </c>
      <c r="AU151" s="526">
        <v>27.87</v>
      </c>
      <c r="AV151" s="526">
        <v>95.05</v>
      </c>
      <c r="AW151" s="522">
        <v>215</v>
      </c>
      <c r="AX151" s="526">
        <v>80.790000000000006</v>
      </c>
      <c r="AY151" s="526">
        <v>81.260000000000005</v>
      </c>
      <c r="AZ151" s="526">
        <v>20.079999999999998</v>
      </c>
      <c r="BA151" s="526">
        <v>100.63</v>
      </c>
      <c r="BB151" s="522">
        <v>1715</v>
      </c>
      <c r="BC151" s="526">
        <v>95.49</v>
      </c>
      <c r="BD151" s="526">
        <v>96.97</v>
      </c>
      <c r="BE151" s="526">
        <v>9.59</v>
      </c>
      <c r="BF151" s="526">
        <v>101.71</v>
      </c>
      <c r="BG151" s="522">
        <v>2685</v>
      </c>
      <c r="BH151" s="526">
        <v>104.54</v>
      </c>
      <c r="BI151" s="526">
        <v>107.86</v>
      </c>
      <c r="BJ151" s="526">
        <v>2.87</v>
      </c>
      <c r="BK151" s="526">
        <v>106.47</v>
      </c>
      <c r="BL151" s="522">
        <v>1787</v>
      </c>
      <c r="BM151" s="526">
        <v>124.32</v>
      </c>
      <c r="BN151" s="526">
        <v>126.18</v>
      </c>
      <c r="BO151" s="526">
        <v>3.67</v>
      </c>
      <c r="BP151" s="526">
        <v>127.1</v>
      </c>
      <c r="BQ151" s="522">
        <v>410</v>
      </c>
      <c r="BR151" s="526">
        <v>129.09</v>
      </c>
      <c r="BS151" s="526">
        <v>131.76</v>
      </c>
      <c r="BT151" s="526">
        <v>3.55</v>
      </c>
      <c r="BU151" s="526">
        <v>130.91</v>
      </c>
      <c r="BV151" s="522">
        <v>107</v>
      </c>
      <c r="BW151" s="526">
        <v>146.1</v>
      </c>
      <c r="BX151" s="526">
        <v>148.49</v>
      </c>
      <c r="BY151" s="526">
        <v>4.21</v>
      </c>
      <c r="BZ151" s="526">
        <v>148.05000000000001</v>
      </c>
      <c r="CA151" s="522">
        <v>28</v>
      </c>
      <c r="CB151" s="526">
        <v>95.74</v>
      </c>
      <c r="CC151" s="526">
        <v>97.49</v>
      </c>
      <c r="CD151" s="526">
        <v>11.77</v>
      </c>
      <c r="CE151" s="526">
        <v>104.6</v>
      </c>
      <c r="CF151" s="522">
        <v>6947</v>
      </c>
      <c r="CG151" s="526">
        <v>95.74</v>
      </c>
      <c r="CH151" s="526">
        <v>97.49</v>
      </c>
      <c r="CI151" s="526">
        <v>11.77</v>
      </c>
      <c r="CJ151" s="526">
        <v>104.6</v>
      </c>
      <c r="CK151" s="522">
        <v>6947</v>
      </c>
      <c r="CL151" s="526">
        <v>120.53</v>
      </c>
      <c r="CM151" s="526">
        <v>75.59</v>
      </c>
      <c r="CN151" s="526">
        <v>153.83000000000001</v>
      </c>
      <c r="CO151" s="526">
        <v>195.61</v>
      </c>
      <c r="CP151" s="522">
        <v>168</v>
      </c>
      <c r="CQ151" s="526">
        <v>77.849999999999994</v>
      </c>
      <c r="CR151" s="526">
        <v>71.59</v>
      </c>
      <c r="CS151" s="526">
        <v>120.87</v>
      </c>
      <c r="CT151" s="526">
        <v>191.65</v>
      </c>
      <c r="CU151" s="522">
        <v>171</v>
      </c>
      <c r="CV151" s="526">
        <v>105.66</v>
      </c>
      <c r="CW151" s="526">
        <v>88.96</v>
      </c>
      <c r="CX151" s="526">
        <v>69.739999999999995</v>
      </c>
      <c r="CY151" s="526">
        <v>175</v>
      </c>
      <c r="CZ151" s="522">
        <v>1047</v>
      </c>
      <c r="DA151" s="526">
        <v>112.32</v>
      </c>
      <c r="DB151" s="526">
        <v>105.73</v>
      </c>
      <c r="DC151" s="526">
        <v>55.91</v>
      </c>
      <c r="DD151" s="526">
        <v>168.24</v>
      </c>
      <c r="DE151" s="522">
        <v>182</v>
      </c>
      <c r="DF151" s="526">
        <v>108.51</v>
      </c>
      <c r="DG151" s="526">
        <v>109.36</v>
      </c>
      <c r="DH151" s="526">
        <v>47.65</v>
      </c>
      <c r="DI151" s="526">
        <v>156.16</v>
      </c>
      <c r="DJ151" s="522">
        <v>6</v>
      </c>
      <c r="DK151" s="526">
        <v>131.93</v>
      </c>
      <c r="DL151" s="526">
        <v>0</v>
      </c>
      <c r="DM151" s="526">
        <v>43.12</v>
      </c>
      <c r="DN151" s="526">
        <v>175.05</v>
      </c>
      <c r="DO151" s="522">
        <v>1</v>
      </c>
      <c r="DP151" s="526">
        <v>103.17</v>
      </c>
      <c r="DQ151" s="526">
        <v>89.22</v>
      </c>
      <c r="DR151" s="526">
        <v>73.739999999999995</v>
      </c>
      <c r="DS151" s="526">
        <v>176.07</v>
      </c>
      <c r="DT151" s="522">
        <v>1407</v>
      </c>
      <c r="DU151" s="526">
        <v>105.02</v>
      </c>
      <c r="DV151" s="526">
        <v>88.24</v>
      </c>
      <c r="DW151" s="526">
        <v>78.2</v>
      </c>
      <c r="DX151" s="526">
        <v>178.15</v>
      </c>
      <c r="DY151" s="522">
        <v>1575</v>
      </c>
      <c r="DZ151" s="526">
        <v>0</v>
      </c>
      <c r="EA151" s="526">
        <v>0</v>
      </c>
      <c r="EB151" s="526">
        <v>90.23</v>
      </c>
      <c r="EC151" s="522">
        <v>1</v>
      </c>
      <c r="ED151" s="526">
        <v>107.21</v>
      </c>
      <c r="EE151" s="522">
        <v>99</v>
      </c>
      <c r="EF151" s="526">
        <v>121.04</v>
      </c>
      <c r="EG151" s="522">
        <v>597</v>
      </c>
      <c r="EH151" s="526">
        <v>140.71</v>
      </c>
      <c r="EI151" s="522">
        <v>371</v>
      </c>
      <c r="EJ151" s="526">
        <v>167.69</v>
      </c>
      <c r="EK151" s="522">
        <v>80</v>
      </c>
      <c r="EL151" s="526">
        <v>150.56</v>
      </c>
      <c r="EM151" s="522">
        <v>5</v>
      </c>
      <c r="EN151" s="526">
        <v>151.9</v>
      </c>
      <c r="EO151" s="522">
        <v>1</v>
      </c>
      <c r="EP151" s="526">
        <v>129.54</v>
      </c>
      <c r="EQ151" s="522">
        <v>1154</v>
      </c>
      <c r="ER151" s="526">
        <v>129.54</v>
      </c>
      <c r="ES151" s="522">
        <v>1154</v>
      </c>
      <c r="ET151" s="526">
        <v>0</v>
      </c>
      <c r="EU151" s="526">
        <v>0</v>
      </c>
      <c r="EV151" s="526">
        <v>149.9</v>
      </c>
      <c r="EW151" s="522">
        <v>1</v>
      </c>
      <c r="EX151" s="526">
        <v>192.32</v>
      </c>
      <c r="EY151" s="522">
        <v>23</v>
      </c>
      <c r="EZ151" s="526">
        <v>235.63</v>
      </c>
      <c r="FA151" s="522">
        <v>2</v>
      </c>
      <c r="FB151" s="526">
        <v>0</v>
      </c>
      <c r="FC151" s="522">
        <v>0</v>
      </c>
      <c r="FD151" s="526">
        <v>0</v>
      </c>
      <c r="FE151" s="522">
        <v>0</v>
      </c>
      <c r="FF151" s="526">
        <v>194.02</v>
      </c>
      <c r="FG151" s="522">
        <v>26</v>
      </c>
      <c r="FH151" s="526">
        <v>194.02</v>
      </c>
      <c r="FI151" s="522">
        <v>26</v>
      </c>
      <c r="FJ151" s="522">
        <v>0</v>
      </c>
      <c r="FK151" s="522">
        <v>4</v>
      </c>
      <c r="FL151" s="522">
        <v>1</v>
      </c>
      <c r="FM151" s="522">
        <v>0</v>
      </c>
      <c r="FN151" s="522">
        <v>2</v>
      </c>
      <c r="FO151" s="522">
        <v>1</v>
      </c>
      <c r="FP151" s="522">
        <v>8</v>
      </c>
      <c r="FQ151" s="522">
        <v>7</v>
      </c>
      <c r="FR151" s="522">
        <v>13</v>
      </c>
    </row>
    <row r="152" spans="1:174" x14ac:dyDescent="0.25">
      <c r="A152" s="523" t="s">
        <v>561</v>
      </c>
      <c r="B152" s="523" t="s">
        <v>562</v>
      </c>
      <c r="C152" s="523" t="s">
        <v>2</v>
      </c>
      <c r="D152" s="522">
        <v>1321</v>
      </c>
      <c r="E152" s="522">
        <v>1319</v>
      </c>
      <c r="F152" s="522">
        <v>0</v>
      </c>
      <c r="G152" s="522">
        <v>0</v>
      </c>
      <c r="H152" s="522">
        <v>153</v>
      </c>
      <c r="I152" s="522">
        <v>75</v>
      </c>
      <c r="J152" s="522">
        <v>442</v>
      </c>
      <c r="K152" s="522">
        <v>236</v>
      </c>
      <c r="L152" s="522">
        <v>548</v>
      </c>
      <c r="M152" s="522">
        <v>99</v>
      </c>
      <c r="N152" s="522">
        <v>2464</v>
      </c>
      <c r="O152" s="522">
        <v>1729</v>
      </c>
      <c r="P152" s="522">
        <v>1916</v>
      </c>
      <c r="Q152" s="522">
        <v>6</v>
      </c>
      <c r="R152" s="523">
        <v>8</v>
      </c>
      <c r="S152" s="523">
        <v>28</v>
      </c>
      <c r="T152" s="523">
        <v>277</v>
      </c>
      <c r="U152" s="523">
        <v>2187</v>
      </c>
      <c r="V152" s="522">
        <v>1321</v>
      </c>
      <c r="W152" s="522">
        <v>32</v>
      </c>
      <c r="X152" s="522">
        <v>5</v>
      </c>
      <c r="Y152" s="522">
        <v>37</v>
      </c>
      <c r="Z152" s="524">
        <v>107.56</v>
      </c>
      <c r="AA152" s="524">
        <v>109.55</v>
      </c>
      <c r="AB152" s="524">
        <v>11.58</v>
      </c>
      <c r="AC152" s="524">
        <v>117.58</v>
      </c>
      <c r="AD152" s="524">
        <v>872</v>
      </c>
      <c r="AE152" s="525">
        <v>96.44</v>
      </c>
      <c r="AF152" s="525">
        <v>91.05</v>
      </c>
      <c r="AG152" s="525">
        <v>81.36</v>
      </c>
      <c r="AH152" s="525">
        <v>175.96</v>
      </c>
      <c r="AI152" s="525">
        <v>309</v>
      </c>
      <c r="AJ152" s="525">
        <v>198.16</v>
      </c>
      <c r="AK152" s="525">
        <v>399</v>
      </c>
      <c r="AL152" s="525">
        <v>191.59</v>
      </c>
      <c r="AM152" s="525">
        <v>9</v>
      </c>
      <c r="AN152" s="526">
        <v>0</v>
      </c>
      <c r="AO152" s="526">
        <v>0</v>
      </c>
      <c r="AP152" s="526">
        <v>0</v>
      </c>
      <c r="AQ152" s="526">
        <v>0</v>
      </c>
      <c r="AR152" s="522">
        <v>0</v>
      </c>
      <c r="AS152" s="526">
        <v>71.77</v>
      </c>
      <c r="AT152" s="526">
        <v>73.150000000000006</v>
      </c>
      <c r="AU152" s="526">
        <v>14.42</v>
      </c>
      <c r="AV152" s="526">
        <v>86.19</v>
      </c>
      <c r="AW152" s="522">
        <v>28</v>
      </c>
      <c r="AX152" s="526">
        <v>88.74</v>
      </c>
      <c r="AY152" s="526">
        <v>90.55</v>
      </c>
      <c r="AZ152" s="526">
        <v>15.07</v>
      </c>
      <c r="BA152" s="526">
        <v>103.28</v>
      </c>
      <c r="BB152" s="522">
        <v>201</v>
      </c>
      <c r="BC152" s="526">
        <v>104.04</v>
      </c>
      <c r="BD152" s="526">
        <v>106.01</v>
      </c>
      <c r="BE152" s="526">
        <v>13.58</v>
      </c>
      <c r="BF152" s="526">
        <v>115.73</v>
      </c>
      <c r="BG152" s="522">
        <v>344</v>
      </c>
      <c r="BH152" s="526">
        <v>127.06</v>
      </c>
      <c r="BI152" s="526">
        <v>130.02000000000001</v>
      </c>
      <c r="BJ152" s="526">
        <v>5.97</v>
      </c>
      <c r="BK152" s="526">
        <v>131.86000000000001</v>
      </c>
      <c r="BL152" s="522">
        <v>285</v>
      </c>
      <c r="BM152" s="526">
        <v>138.61000000000001</v>
      </c>
      <c r="BN152" s="526">
        <v>139.31</v>
      </c>
      <c r="BO152" s="526">
        <v>3.96</v>
      </c>
      <c r="BP152" s="526">
        <v>140.87</v>
      </c>
      <c r="BQ152" s="522">
        <v>14</v>
      </c>
      <c r="BR152" s="526">
        <v>0</v>
      </c>
      <c r="BS152" s="526">
        <v>0</v>
      </c>
      <c r="BT152" s="526">
        <v>0</v>
      </c>
      <c r="BU152" s="526">
        <v>0</v>
      </c>
      <c r="BV152" s="522">
        <v>0</v>
      </c>
      <c r="BW152" s="526">
        <v>0</v>
      </c>
      <c r="BX152" s="526">
        <v>0</v>
      </c>
      <c r="BY152" s="526">
        <v>0</v>
      </c>
      <c r="BZ152" s="526">
        <v>0</v>
      </c>
      <c r="CA152" s="522">
        <v>0</v>
      </c>
      <c r="CB152" s="526">
        <v>107.56</v>
      </c>
      <c r="CC152" s="526">
        <v>109.55</v>
      </c>
      <c r="CD152" s="526">
        <v>11.58</v>
      </c>
      <c r="CE152" s="526">
        <v>117.58</v>
      </c>
      <c r="CF152" s="522">
        <v>872</v>
      </c>
      <c r="CG152" s="526">
        <v>107.56</v>
      </c>
      <c r="CH152" s="526">
        <v>109.55</v>
      </c>
      <c r="CI152" s="526">
        <v>11.58</v>
      </c>
      <c r="CJ152" s="526">
        <v>117.58</v>
      </c>
      <c r="CK152" s="522">
        <v>872</v>
      </c>
      <c r="CL152" s="526">
        <v>122.11</v>
      </c>
      <c r="CM152" s="526">
        <v>97.6</v>
      </c>
      <c r="CN152" s="526">
        <v>187.53</v>
      </c>
      <c r="CO152" s="526">
        <v>288.41000000000003</v>
      </c>
      <c r="CP152" s="522">
        <v>53</v>
      </c>
      <c r="CQ152" s="526">
        <v>80.72</v>
      </c>
      <c r="CR152" s="526">
        <v>77.900000000000006</v>
      </c>
      <c r="CS152" s="526">
        <v>34.24</v>
      </c>
      <c r="CT152" s="526">
        <v>114.96</v>
      </c>
      <c r="CU152" s="522">
        <v>40</v>
      </c>
      <c r="CV152" s="526">
        <v>90.01</v>
      </c>
      <c r="CW152" s="526">
        <v>89.63</v>
      </c>
      <c r="CX152" s="526">
        <v>65.95</v>
      </c>
      <c r="CY152" s="526">
        <v>155.97</v>
      </c>
      <c r="CZ152" s="522">
        <v>190</v>
      </c>
      <c r="DA152" s="526">
        <v>114.09</v>
      </c>
      <c r="DB152" s="526">
        <v>109.67</v>
      </c>
      <c r="DC152" s="526">
        <v>75.5</v>
      </c>
      <c r="DD152" s="526">
        <v>186.56</v>
      </c>
      <c r="DE152" s="522">
        <v>25</v>
      </c>
      <c r="DF152" s="526">
        <v>145.21</v>
      </c>
      <c r="DG152" s="526">
        <v>132.01</v>
      </c>
      <c r="DH152" s="526">
        <v>44.66</v>
      </c>
      <c r="DI152" s="526">
        <v>189.87</v>
      </c>
      <c r="DJ152" s="522">
        <v>1</v>
      </c>
      <c r="DK152" s="526">
        <v>0</v>
      </c>
      <c r="DL152" s="526">
        <v>0</v>
      </c>
      <c r="DM152" s="526">
        <v>0</v>
      </c>
      <c r="DN152" s="526">
        <v>0</v>
      </c>
      <c r="DO152" s="522">
        <v>0</v>
      </c>
      <c r="DP152" s="526">
        <v>91.13</v>
      </c>
      <c r="DQ152" s="526">
        <v>89.92</v>
      </c>
      <c r="DR152" s="526">
        <v>61.79</v>
      </c>
      <c r="DS152" s="526">
        <v>152.68</v>
      </c>
      <c r="DT152" s="522">
        <v>256</v>
      </c>
      <c r="DU152" s="526">
        <v>96.44</v>
      </c>
      <c r="DV152" s="526">
        <v>91.05</v>
      </c>
      <c r="DW152" s="526">
        <v>81.36</v>
      </c>
      <c r="DX152" s="526">
        <v>175.96</v>
      </c>
      <c r="DY152" s="522">
        <v>309</v>
      </c>
      <c r="DZ152" s="526">
        <v>0</v>
      </c>
      <c r="EA152" s="526">
        <v>0</v>
      </c>
      <c r="EB152" s="526">
        <v>0</v>
      </c>
      <c r="EC152" s="522">
        <v>0</v>
      </c>
      <c r="ED152" s="526">
        <v>165.08</v>
      </c>
      <c r="EE152" s="522">
        <v>133</v>
      </c>
      <c r="EF152" s="526">
        <v>202.86</v>
      </c>
      <c r="EG152" s="522">
        <v>203</v>
      </c>
      <c r="EH152" s="526">
        <v>252.4</v>
      </c>
      <c r="EI152" s="522">
        <v>62</v>
      </c>
      <c r="EJ152" s="526">
        <v>281.25</v>
      </c>
      <c r="EK152" s="522">
        <v>1</v>
      </c>
      <c r="EL152" s="526">
        <v>0</v>
      </c>
      <c r="EM152" s="522">
        <v>0</v>
      </c>
      <c r="EN152" s="526">
        <v>0</v>
      </c>
      <c r="EO152" s="522">
        <v>0</v>
      </c>
      <c r="EP152" s="526">
        <v>198.16</v>
      </c>
      <c r="EQ152" s="522">
        <v>399</v>
      </c>
      <c r="ER152" s="526">
        <v>198.16</v>
      </c>
      <c r="ES152" s="522">
        <v>399</v>
      </c>
      <c r="ET152" s="526">
        <v>0</v>
      </c>
      <c r="EU152" s="526">
        <v>0</v>
      </c>
      <c r="EV152" s="526">
        <v>0</v>
      </c>
      <c r="EW152" s="522">
        <v>0</v>
      </c>
      <c r="EX152" s="526">
        <v>191.59</v>
      </c>
      <c r="EY152" s="522">
        <v>9</v>
      </c>
      <c r="EZ152" s="526">
        <v>0</v>
      </c>
      <c r="FA152" s="522">
        <v>0</v>
      </c>
      <c r="FB152" s="526">
        <v>0</v>
      </c>
      <c r="FC152" s="522">
        <v>0</v>
      </c>
      <c r="FD152" s="526">
        <v>0</v>
      </c>
      <c r="FE152" s="522">
        <v>0</v>
      </c>
      <c r="FF152" s="526">
        <v>191.59</v>
      </c>
      <c r="FG152" s="522">
        <v>9</v>
      </c>
      <c r="FH152" s="526">
        <v>191.59</v>
      </c>
      <c r="FI152" s="522">
        <v>9</v>
      </c>
      <c r="FJ152" s="522">
        <v>6</v>
      </c>
      <c r="FK152" s="522">
        <v>0</v>
      </c>
      <c r="FL152" s="522">
        <v>0</v>
      </c>
      <c r="FM152" s="522">
        <v>0</v>
      </c>
      <c r="FN152" s="522">
        <v>0</v>
      </c>
      <c r="FO152" s="522">
        <v>0</v>
      </c>
      <c r="FP152" s="522">
        <v>0</v>
      </c>
      <c r="FQ152" s="522">
        <v>85</v>
      </c>
      <c r="FR152" s="522">
        <v>4</v>
      </c>
    </row>
    <row r="153" spans="1:174" x14ac:dyDescent="0.25">
      <c r="A153" s="523" t="s">
        <v>563</v>
      </c>
      <c r="B153" s="523" t="s">
        <v>564</v>
      </c>
      <c r="C153" s="523" t="s">
        <v>284</v>
      </c>
      <c r="D153" s="522">
        <v>21028</v>
      </c>
      <c r="E153" s="522">
        <v>19857</v>
      </c>
      <c r="F153" s="522">
        <v>196</v>
      </c>
      <c r="G153" s="522">
        <v>0</v>
      </c>
      <c r="H153" s="522">
        <v>1833</v>
      </c>
      <c r="I153" s="522">
        <v>808</v>
      </c>
      <c r="J153" s="522">
        <v>813</v>
      </c>
      <c r="K153" s="522">
        <v>765</v>
      </c>
      <c r="L153" s="522">
        <v>2067</v>
      </c>
      <c r="M153" s="522">
        <v>110</v>
      </c>
      <c r="N153" s="522">
        <v>25937</v>
      </c>
      <c r="O153" s="522">
        <v>21540</v>
      </c>
      <c r="P153" s="522">
        <v>23870</v>
      </c>
      <c r="Q153" s="522">
        <v>261</v>
      </c>
      <c r="R153" s="523">
        <v>28</v>
      </c>
      <c r="S153" s="523">
        <v>26</v>
      </c>
      <c r="T153" s="523">
        <v>1961</v>
      </c>
      <c r="U153" s="523">
        <v>23976</v>
      </c>
      <c r="V153" s="522">
        <v>19988</v>
      </c>
      <c r="W153" s="522">
        <v>160</v>
      </c>
      <c r="X153" s="522">
        <v>68</v>
      </c>
      <c r="Y153" s="522">
        <v>228</v>
      </c>
      <c r="Z153" s="524">
        <v>125.93</v>
      </c>
      <c r="AA153" s="524">
        <v>132.72</v>
      </c>
      <c r="AB153" s="524">
        <v>14.7</v>
      </c>
      <c r="AC153" s="524">
        <v>135.07</v>
      </c>
      <c r="AD153" s="524">
        <v>18128</v>
      </c>
      <c r="AE153" s="525">
        <v>124.01</v>
      </c>
      <c r="AF153" s="525">
        <v>117.33</v>
      </c>
      <c r="AG153" s="525">
        <v>101.44</v>
      </c>
      <c r="AH153" s="525">
        <v>216.3</v>
      </c>
      <c r="AI153" s="525">
        <v>1752</v>
      </c>
      <c r="AJ153" s="525">
        <v>207.14</v>
      </c>
      <c r="AK153" s="525">
        <v>1711</v>
      </c>
      <c r="AL153" s="525">
        <v>329.57</v>
      </c>
      <c r="AM153" s="525">
        <v>119</v>
      </c>
      <c r="AN153" s="526">
        <v>79.27</v>
      </c>
      <c r="AO153" s="526">
        <v>74.08</v>
      </c>
      <c r="AP153" s="526">
        <v>0</v>
      </c>
      <c r="AQ153" s="526">
        <v>79.27</v>
      </c>
      <c r="AR153" s="522">
        <v>26</v>
      </c>
      <c r="AS153" s="526">
        <v>88.29</v>
      </c>
      <c r="AT153" s="526">
        <v>91.18</v>
      </c>
      <c r="AU153" s="526">
        <v>12.96</v>
      </c>
      <c r="AV153" s="526">
        <v>100.29</v>
      </c>
      <c r="AW153" s="522">
        <v>391</v>
      </c>
      <c r="AX153" s="526">
        <v>108.9</v>
      </c>
      <c r="AY153" s="526">
        <v>112.2</v>
      </c>
      <c r="AZ153" s="526">
        <v>14.98</v>
      </c>
      <c r="BA153" s="526">
        <v>121.06</v>
      </c>
      <c r="BB153" s="522">
        <v>4543</v>
      </c>
      <c r="BC153" s="526">
        <v>124.04</v>
      </c>
      <c r="BD153" s="526">
        <v>130.16999999999999</v>
      </c>
      <c r="BE153" s="526">
        <v>15.79</v>
      </c>
      <c r="BF153" s="526">
        <v>134.44</v>
      </c>
      <c r="BG153" s="522">
        <v>6754</v>
      </c>
      <c r="BH153" s="526">
        <v>138.74</v>
      </c>
      <c r="BI153" s="526">
        <v>148.41</v>
      </c>
      <c r="BJ153" s="526">
        <v>13.19</v>
      </c>
      <c r="BK153" s="526">
        <v>144.25</v>
      </c>
      <c r="BL153" s="522">
        <v>5317</v>
      </c>
      <c r="BM153" s="526">
        <v>158.97999999999999</v>
      </c>
      <c r="BN153" s="526">
        <v>171.17</v>
      </c>
      <c r="BO153" s="526">
        <v>11.48</v>
      </c>
      <c r="BP153" s="526">
        <v>165.01</v>
      </c>
      <c r="BQ153" s="522">
        <v>979</v>
      </c>
      <c r="BR153" s="526">
        <v>173.88</v>
      </c>
      <c r="BS153" s="526">
        <v>192.99</v>
      </c>
      <c r="BT153" s="526">
        <v>7.9</v>
      </c>
      <c r="BU153" s="526">
        <v>176.54</v>
      </c>
      <c r="BV153" s="522">
        <v>101</v>
      </c>
      <c r="BW153" s="526">
        <v>173.84</v>
      </c>
      <c r="BX153" s="526">
        <v>194.73</v>
      </c>
      <c r="BY153" s="526">
        <v>2.35</v>
      </c>
      <c r="BZ153" s="526">
        <v>174.26</v>
      </c>
      <c r="CA153" s="522">
        <v>17</v>
      </c>
      <c r="CB153" s="526">
        <v>126</v>
      </c>
      <c r="CC153" s="526">
        <v>132.80000000000001</v>
      </c>
      <c r="CD153" s="526">
        <v>14.7</v>
      </c>
      <c r="CE153" s="526">
        <v>135.15</v>
      </c>
      <c r="CF153" s="522">
        <v>18102</v>
      </c>
      <c r="CG153" s="526">
        <v>125.93</v>
      </c>
      <c r="CH153" s="526">
        <v>132.72</v>
      </c>
      <c r="CI153" s="526">
        <v>14.7</v>
      </c>
      <c r="CJ153" s="526">
        <v>135.07</v>
      </c>
      <c r="CK153" s="522">
        <v>18128</v>
      </c>
      <c r="CL153" s="526">
        <v>116.53</v>
      </c>
      <c r="CM153" s="526">
        <v>109.34</v>
      </c>
      <c r="CN153" s="526">
        <v>165.96</v>
      </c>
      <c r="CO153" s="526">
        <v>251.4</v>
      </c>
      <c r="CP153" s="522">
        <v>566</v>
      </c>
      <c r="CQ153" s="526">
        <v>111.95</v>
      </c>
      <c r="CR153" s="526">
        <v>103.78</v>
      </c>
      <c r="CS153" s="526">
        <v>106.57</v>
      </c>
      <c r="CT153" s="526">
        <v>190.48</v>
      </c>
      <c r="CU153" s="522">
        <v>57</v>
      </c>
      <c r="CV153" s="526">
        <v>124.95</v>
      </c>
      <c r="CW153" s="526">
        <v>118.87</v>
      </c>
      <c r="CX153" s="526">
        <v>71.77</v>
      </c>
      <c r="CY153" s="526">
        <v>194.49</v>
      </c>
      <c r="CZ153" s="522">
        <v>1031</v>
      </c>
      <c r="DA153" s="526">
        <v>164.23</v>
      </c>
      <c r="DB153" s="526">
        <v>153.86000000000001</v>
      </c>
      <c r="DC153" s="526">
        <v>101.96</v>
      </c>
      <c r="DD153" s="526">
        <v>260.76</v>
      </c>
      <c r="DE153" s="522">
        <v>94</v>
      </c>
      <c r="DF153" s="526">
        <v>159.72</v>
      </c>
      <c r="DG153" s="526">
        <v>160.13</v>
      </c>
      <c r="DH153" s="526">
        <v>36.68</v>
      </c>
      <c r="DI153" s="526">
        <v>196.4</v>
      </c>
      <c r="DJ153" s="522">
        <v>3</v>
      </c>
      <c r="DK153" s="526">
        <v>195.36</v>
      </c>
      <c r="DL153" s="526">
        <v>199.02</v>
      </c>
      <c r="DM153" s="526">
        <v>1.69</v>
      </c>
      <c r="DN153" s="526">
        <v>197.05</v>
      </c>
      <c r="DO153" s="522">
        <v>1</v>
      </c>
      <c r="DP153" s="526">
        <v>127.58</v>
      </c>
      <c r="DQ153" s="526">
        <v>121.08</v>
      </c>
      <c r="DR153" s="526">
        <v>75.27</v>
      </c>
      <c r="DS153" s="526">
        <v>199.55</v>
      </c>
      <c r="DT153" s="522">
        <v>1186</v>
      </c>
      <c r="DU153" s="526">
        <v>124.01</v>
      </c>
      <c r="DV153" s="526">
        <v>117.33</v>
      </c>
      <c r="DW153" s="526">
        <v>101.44</v>
      </c>
      <c r="DX153" s="526">
        <v>216.3</v>
      </c>
      <c r="DY153" s="522">
        <v>1752</v>
      </c>
      <c r="DZ153" s="526">
        <v>93.25</v>
      </c>
      <c r="EA153" s="526">
        <v>4</v>
      </c>
      <c r="EB153" s="526">
        <v>121.15</v>
      </c>
      <c r="EC153" s="522">
        <v>40</v>
      </c>
      <c r="ED153" s="526">
        <v>180.28</v>
      </c>
      <c r="EE153" s="522">
        <v>574</v>
      </c>
      <c r="EF153" s="526">
        <v>210.16</v>
      </c>
      <c r="EG153" s="522">
        <v>678</v>
      </c>
      <c r="EH153" s="526">
        <v>240.81</v>
      </c>
      <c r="EI153" s="522">
        <v>323</v>
      </c>
      <c r="EJ153" s="526">
        <v>276.64</v>
      </c>
      <c r="EK153" s="522">
        <v>92</v>
      </c>
      <c r="EL153" s="526">
        <v>0</v>
      </c>
      <c r="EM153" s="522">
        <v>0</v>
      </c>
      <c r="EN153" s="526">
        <v>0</v>
      </c>
      <c r="EO153" s="522">
        <v>0</v>
      </c>
      <c r="EP153" s="526">
        <v>207.41</v>
      </c>
      <c r="EQ153" s="522">
        <v>1707</v>
      </c>
      <c r="ER153" s="526">
        <v>207.14</v>
      </c>
      <c r="ES153" s="522">
        <v>1711</v>
      </c>
      <c r="ET153" s="526">
        <v>0</v>
      </c>
      <c r="EU153" s="526">
        <v>0</v>
      </c>
      <c r="EV153" s="526">
        <v>0</v>
      </c>
      <c r="EW153" s="522">
        <v>0</v>
      </c>
      <c r="EX153" s="526">
        <v>323.02999999999997</v>
      </c>
      <c r="EY153" s="522">
        <v>111</v>
      </c>
      <c r="EZ153" s="526">
        <v>420.32</v>
      </c>
      <c r="FA153" s="522">
        <v>8</v>
      </c>
      <c r="FB153" s="526">
        <v>0</v>
      </c>
      <c r="FC153" s="522">
        <v>0</v>
      </c>
      <c r="FD153" s="526">
        <v>0</v>
      </c>
      <c r="FE153" s="522">
        <v>0</v>
      </c>
      <c r="FF153" s="526">
        <v>329.57</v>
      </c>
      <c r="FG153" s="522">
        <v>119</v>
      </c>
      <c r="FH153" s="526">
        <v>329.57</v>
      </c>
      <c r="FI153" s="522">
        <v>119</v>
      </c>
      <c r="FJ153" s="522">
        <v>0</v>
      </c>
      <c r="FK153" s="522">
        <v>15</v>
      </c>
      <c r="FL153" s="522">
        <v>12</v>
      </c>
      <c r="FM153" s="522">
        <v>0</v>
      </c>
      <c r="FN153" s="522">
        <v>3</v>
      </c>
      <c r="FO153" s="522">
        <v>0</v>
      </c>
      <c r="FP153" s="522">
        <v>64</v>
      </c>
      <c r="FQ153" s="522">
        <v>23</v>
      </c>
      <c r="FR153" s="522">
        <v>43</v>
      </c>
    </row>
    <row r="154" spans="1:174" x14ac:dyDescent="0.25">
      <c r="A154" s="523" t="s">
        <v>565</v>
      </c>
      <c r="B154" s="523" t="s">
        <v>566</v>
      </c>
      <c r="C154" s="523" t="s">
        <v>288</v>
      </c>
      <c r="D154" s="522">
        <v>5939</v>
      </c>
      <c r="E154" s="522">
        <v>5877</v>
      </c>
      <c r="F154" s="522">
        <v>0</v>
      </c>
      <c r="G154" s="522">
        <v>0</v>
      </c>
      <c r="H154" s="522">
        <v>126</v>
      </c>
      <c r="I154" s="522">
        <v>109</v>
      </c>
      <c r="J154" s="522">
        <v>298</v>
      </c>
      <c r="K154" s="522">
        <v>298</v>
      </c>
      <c r="L154" s="522">
        <v>736</v>
      </c>
      <c r="M154" s="522">
        <v>149</v>
      </c>
      <c r="N154" s="522">
        <v>7099</v>
      </c>
      <c r="O154" s="522">
        <v>6433</v>
      </c>
      <c r="P154" s="522">
        <v>6363</v>
      </c>
      <c r="Q154" s="522">
        <v>1</v>
      </c>
      <c r="R154" s="523">
        <v>4</v>
      </c>
      <c r="S154" s="523">
        <v>22</v>
      </c>
      <c r="T154" s="523">
        <v>65</v>
      </c>
      <c r="U154" s="523">
        <v>7034</v>
      </c>
      <c r="V154" s="522">
        <v>5877</v>
      </c>
      <c r="W154" s="522">
        <v>14</v>
      </c>
      <c r="X154" s="522">
        <v>52</v>
      </c>
      <c r="Y154" s="522">
        <v>66</v>
      </c>
      <c r="Z154" s="524">
        <v>103.13</v>
      </c>
      <c r="AA154" s="524">
        <v>102.64</v>
      </c>
      <c r="AB154" s="524">
        <v>3.71</v>
      </c>
      <c r="AC154" s="524">
        <v>106</v>
      </c>
      <c r="AD154" s="524">
        <v>5264</v>
      </c>
      <c r="AE154" s="525">
        <v>117.37</v>
      </c>
      <c r="AF154" s="525">
        <v>104.86</v>
      </c>
      <c r="AG154" s="525">
        <v>41.2</v>
      </c>
      <c r="AH154" s="525">
        <v>157.97999999999999</v>
      </c>
      <c r="AI154" s="525">
        <v>421</v>
      </c>
      <c r="AJ154" s="525">
        <v>128.21</v>
      </c>
      <c r="AK154" s="525">
        <v>594</v>
      </c>
      <c r="AL154" s="525">
        <v>0</v>
      </c>
      <c r="AM154" s="525">
        <v>0</v>
      </c>
      <c r="AN154" s="526">
        <v>0</v>
      </c>
      <c r="AO154" s="526">
        <v>0</v>
      </c>
      <c r="AP154" s="526">
        <v>0</v>
      </c>
      <c r="AQ154" s="526">
        <v>0</v>
      </c>
      <c r="AR154" s="522">
        <v>0</v>
      </c>
      <c r="AS154" s="526">
        <v>78.150000000000006</v>
      </c>
      <c r="AT154" s="526">
        <v>77.540000000000006</v>
      </c>
      <c r="AU154" s="526">
        <v>12.13</v>
      </c>
      <c r="AV154" s="526">
        <v>90.27</v>
      </c>
      <c r="AW154" s="522">
        <v>16</v>
      </c>
      <c r="AX154" s="526">
        <v>88.05</v>
      </c>
      <c r="AY154" s="526">
        <v>87.29</v>
      </c>
      <c r="AZ154" s="526">
        <v>4.71</v>
      </c>
      <c r="BA154" s="526">
        <v>92.51</v>
      </c>
      <c r="BB154" s="522">
        <v>1268</v>
      </c>
      <c r="BC154" s="526">
        <v>102.53</v>
      </c>
      <c r="BD154" s="526">
        <v>102.11</v>
      </c>
      <c r="BE154" s="526">
        <v>3.99</v>
      </c>
      <c r="BF154" s="526">
        <v>105.93</v>
      </c>
      <c r="BG154" s="522">
        <v>2147</v>
      </c>
      <c r="BH154" s="526">
        <v>113.77</v>
      </c>
      <c r="BI154" s="526">
        <v>113.4</v>
      </c>
      <c r="BJ154" s="526">
        <v>1.92</v>
      </c>
      <c r="BK154" s="526">
        <v>114.83</v>
      </c>
      <c r="BL154" s="522">
        <v>1751</v>
      </c>
      <c r="BM154" s="526">
        <v>129.78</v>
      </c>
      <c r="BN154" s="526">
        <v>128.69999999999999</v>
      </c>
      <c r="BO154" s="526">
        <v>1.61</v>
      </c>
      <c r="BP154" s="526">
        <v>130.94</v>
      </c>
      <c r="BQ154" s="522">
        <v>79</v>
      </c>
      <c r="BR154" s="526">
        <v>132.38999999999999</v>
      </c>
      <c r="BS154" s="526">
        <v>134.74</v>
      </c>
      <c r="BT154" s="526">
        <v>0.71</v>
      </c>
      <c r="BU154" s="526">
        <v>133.1</v>
      </c>
      <c r="BV154" s="522">
        <v>3</v>
      </c>
      <c r="BW154" s="526">
        <v>0</v>
      </c>
      <c r="BX154" s="526">
        <v>0</v>
      </c>
      <c r="BY154" s="526">
        <v>0</v>
      </c>
      <c r="BZ154" s="526">
        <v>0</v>
      </c>
      <c r="CA154" s="522">
        <v>0</v>
      </c>
      <c r="CB154" s="526">
        <v>103.13</v>
      </c>
      <c r="CC154" s="526">
        <v>102.64</v>
      </c>
      <c r="CD154" s="526">
        <v>3.71</v>
      </c>
      <c r="CE154" s="526">
        <v>106</v>
      </c>
      <c r="CF154" s="522">
        <v>5264</v>
      </c>
      <c r="CG154" s="526">
        <v>103.13</v>
      </c>
      <c r="CH154" s="526">
        <v>102.64</v>
      </c>
      <c r="CI154" s="526">
        <v>3.71</v>
      </c>
      <c r="CJ154" s="526">
        <v>106</v>
      </c>
      <c r="CK154" s="522">
        <v>5264</v>
      </c>
      <c r="CL154" s="526">
        <v>88.85</v>
      </c>
      <c r="CM154" s="526">
        <v>77.849999999999994</v>
      </c>
      <c r="CN154" s="526">
        <v>47.68</v>
      </c>
      <c r="CO154" s="526">
        <v>125.93</v>
      </c>
      <c r="CP154" s="522">
        <v>18</v>
      </c>
      <c r="CQ154" s="526">
        <v>98.69</v>
      </c>
      <c r="CR154" s="526">
        <v>89.42</v>
      </c>
      <c r="CS154" s="526">
        <v>46.75</v>
      </c>
      <c r="CT154" s="526">
        <v>145.44</v>
      </c>
      <c r="CU154" s="522">
        <v>29</v>
      </c>
      <c r="CV154" s="526">
        <v>115.72</v>
      </c>
      <c r="CW154" s="526">
        <v>101.66</v>
      </c>
      <c r="CX154" s="526">
        <v>42.9</v>
      </c>
      <c r="CY154" s="526">
        <v>158.44</v>
      </c>
      <c r="CZ154" s="522">
        <v>251</v>
      </c>
      <c r="DA154" s="526">
        <v>128.47</v>
      </c>
      <c r="DB154" s="526">
        <v>119.99</v>
      </c>
      <c r="DC154" s="526">
        <v>35.4</v>
      </c>
      <c r="DD154" s="526">
        <v>163.56</v>
      </c>
      <c r="DE154" s="522">
        <v>118</v>
      </c>
      <c r="DF154" s="526">
        <v>150.57</v>
      </c>
      <c r="DG154" s="526">
        <v>0</v>
      </c>
      <c r="DH154" s="526">
        <v>39.83</v>
      </c>
      <c r="DI154" s="526">
        <v>190.4</v>
      </c>
      <c r="DJ154" s="522">
        <v>4</v>
      </c>
      <c r="DK154" s="526">
        <v>145.44</v>
      </c>
      <c r="DL154" s="526">
        <v>0</v>
      </c>
      <c r="DM154" s="526">
        <v>49.25</v>
      </c>
      <c r="DN154" s="526">
        <v>194.69</v>
      </c>
      <c r="DO154" s="522">
        <v>1</v>
      </c>
      <c r="DP154" s="526">
        <v>118.64</v>
      </c>
      <c r="DQ154" s="526">
        <v>106.18</v>
      </c>
      <c r="DR154" s="526">
        <v>40.97</v>
      </c>
      <c r="DS154" s="526">
        <v>159.41</v>
      </c>
      <c r="DT154" s="522">
        <v>403</v>
      </c>
      <c r="DU154" s="526">
        <v>117.37</v>
      </c>
      <c r="DV154" s="526">
        <v>104.86</v>
      </c>
      <c r="DW154" s="526">
        <v>41.2</v>
      </c>
      <c r="DX154" s="526">
        <v>157.97999999999999</v>
      </c>
      <c r="DY154" s="522">
        <v>421</v>
      </c>
      <c r="DZ154" s="526">
        <v>0</v>
      </c>
      <c r="EA154" s="526">
        <v>0</v>
      </c>
      <c r="EB154" s="526">
        <v>0</v>
      </c>
      <c r="EC154" s="522">
        <v>0</v>
      </c>
      <c r="ED154" s="526">
        <v>104.9</v>
      </c>
      <c r="EE154" s="522">
        <v>83</v>
      </c>
      <c r="EF154" s="526">
        <v>125.57</v>
      </c>
      <c r="EG154" s="522">
        <v>327</v>
      </c>
      <c r="EH154" s="526">
        <v>141.33000000000001</v>
      </c>
      <c r="EI154" s="522">
        <v>175</v>
      </c>
      <c r="EJ154" s="526">
        <v>183.99</v>
      </c>
      <c r="EK154" s="522">
        <v>9</v>
      </c>
      <c r="EL154" s="526">
        <v>0</v>
      </c>
      <c r="EM154" s="522">
        <v>0</v>
      </c>
      <c r="EN154" s="526">
        <v>0</v>
      </c>
      <c r="EO154" s="522">
        <v>0</v>
      </c>
      <c r="EP154" s="526">
        <v>128.21</v>
      </c>
      <c r="EQ154" s="522">
        <v>594</v>
      </c>
      <c r="ER154" s="526">
        <v>128.21</v>
      </c>
      <c r="ES154" s="522">
        <v>594</v>
      </c>
      <c r="ET154" s="526">
        <v>0</v>
      </c>
      <c r="EU154" s="526">
        <v>0</v>
      </c>
      <c r="EV154" s="526">
        <v>0</v>
      </c>
      <c r="EW154" s="522">
        <v>0</v>
      </c>
      <c r="EX154" s="526">
        <v>0</v>
      </c>
      <c r="EY154" s="522">
        <v>0</v>
      </c>
      <c r="EZ154" s="526">
        <v>0</v>
      </c>
      <c r="FA154" s="522">
        <v>0</v>
      </c>
      <c r="FB154" s="526">
        <v>0</v>
      </c>
      <c r="FC154" s="522">
        <v>0</v>
      </c>
      <c r="FD154" s="526">
        <v>0</v>
      </c>
      <c r="FE154" s="522">
        <v>0</v>
      </c>
      <c r="FF154" s="526">
        <v>0</v>
      </c>
      <c r="FG154" s="522">
        <v>0</v>
      </c>
      <c r="FH154" s="526">
        <v>0</v>
      </c>
      <c r="FI154" s="522">
        <v>0</v>
      </c>
      <c r="FJ154" s="522">
        <v>0</v>
      </c>
      <c r="FK154" s="522">
        <v>7</v>
      </c>
      <c r="FL154" s="522">
        <v>6</v>
      </c>
      <c r="FM154" s="522">
        <v>0</v>
      </c>
      <c r="FN154" s="522">
        <v>1</v>
      </c>
      <c r="FO154" s="522">
        <v>0</v>
      </c>
      <c r="FP154" s="522">
        <v>17</v>
      </c>
      <c r="FQ154" s="522">
        <v>61</v>
      </c>
      <c r="FR154" s="522">
        <v>9</v>
      </c>
    </row>
    <row r="155" spans="1:174" x14ac:dyDescent="0.25">
      <c r="A155" s="523" t="s">
        <v>567</v>
      </c>
      <c r="B155" s="523" t="s">
        <v>568</v>
      </c>
      <c r="C155" s="523" t="s">
        <v>282</v>
      </c>
      <c r="D155" s="522">
        <v>1347</v>
      </c>
      <c r="E155" s="522">
        <v>1307</v>
      </c>
      <c r="F155" s="522">
        <v>0</v>
      </c>
      <c r="G155" s="522">
        <v>0</v>
      </c>
      <c r="H155" s="522">
        <v>482</v>
      </c>
      <c r="I155" s="522">
        <v>172</v>
      </c>
      <c r="J155" s="522">
        <v>161</v>
      </c>
      <c r="K155" s="522">
        <v>101</v>
      </c>
      <c r="L155" s="522">
        <v>269</v>
      </c>
      <c r="M155" s="522">
        <v>0</v>
      </c>
      <c r="N155" s="522">
        <v>2259</v>
      </c>
      <c r="O155" s="522">
        <v>1580</v>
      </c>
      <c r="P155" s="522">
        <v>1990</v>
      </c>
      <c r="Q155" s="522">
        <v>3</v>
      </c>
      <c r="R155" s="523">
        <v>8</v>
      </c>
      <c r="S155" s="523">
        <v>20</v>
      </c>
      <c r="T155" s="523">
        <v>368</v>
      </c>
      <c r="U155" s="523">
        <v>1891</v>
      </c>
      <c r="V155" s="522">
        <v>1307</v>
      </c>
      <c r="W155" s="522">
        <v>6</v>
      </c>
      <c r="X155" s="522">
        <v>22</v>
      </c>
      <c r="Y155" s="522">
        <v>28</v>
      </c>
      <c r="Z155" s="524">
        <v>92.23</v>
      </c>
      <c r="AA155" s="524">
        <v>91.9</v>
      </c>
      <c r="AB155" s="524">
        <v>9.76</v>
      </c>
      <c r="AC155" s="524">
        <v>100.49</v>
      </c>
      <c r="AD155" s="524">
        <v>1015</v>
      </c>
      <c r="AE155" s="525">
        <v>113.22</v>
      </c>
      <c r="AF155" s="525">
        <v>88.07</v>
      </c>
      <c r="AG155" s="525">
        <v>131.1</v>
      </c>
      <c r="AH155" s="525">
        <v>242.88</v>
      </c>
      <c r="AI155" s="525">
        <v>272</v>
      </c>
      <c r="AJ155" s="525">
        <v>116.95</v>
      </c>
      <c r="AK155" s="525">
        <v>225</v>
      </c>
      <c r="AL155" s="525">
        <v>352.41</v>
      </c>
      <c r="AM155" s="525">
        <v>31</v>
      </c>
      <c r="AN155" s="526">
        <v>0</v>
      </c>
      <c r="AO155" s="526">
        <v>0</v>
      </c>
      <c r="AP155" s="526">
        <v>0</v>
      </c>
      <c r="AQ155" s="526">
        <v>0</v>
      </c>
      <c r="AR155" s="522">
        <v>0</v>
      </c>
      <c r="AS155" s="526">
        <v>70.13</v>
      </c>
      <c r="AT155" s="526">
        <v>69.680000000000007</v>
      </c>
      <c r="AU155" s="526">
        <v>22.86</v>
      </c>
      <c r="AV155" s="526">
        <v>92.99</v>
      </c>
      <c r="AW155" s="522">
        <v>26</v>
      </c>
      <c r="AX155" s="526">
        <v>80.2</v>
      </c>
      <c r="AY155" s="526">
        <v>79.31</v>
      </c>
      <c r="AZ155" s="526">
        <v>12.81</v>
      </c>
      <c r="BA155" s="526">
        <v>92.83</v>
      </c>
      <c r="BB155" s="522">
        <v>341</v>
      </c>
      <c r="BC155" s="526">
        <v>96.19</v>
      </c>
      <c r="BD155" s="526">
        <v>95.8</v>
      </c>
      <c r="BE155" s="526">
        <v>8.33</v>
      </c>
      <c r="BF155" s="526">
        <v>103.1</v>
      </c>
      <c r="BG155" s="522">
        <v>429</v>
      </c>
      <c r="BH155" s="526">
        <v>105.19</v>
      </c>
      <c r="BI155" s="526">
        <v>105.78</v>
      </c>
      <c r="BJ155" s="526">
        <v>3.74</v>
      </c>
      <c r="BK155" s="526">
        <v>107.59</v>
      </c>
      <c r="BL155" s="522">
        <v>209</v>
      </c>
      <c r="BM155" s="526">
        <v>119.27</v>
      </c>
      <c r="BN155" s="526">
        <v>121.5</v>
      </c>
      <c r="BO155" s="526">
        <v>2.08</v>
      </c>
      <c r="BP155" s="526">
        <v>120.52</v>
      </c>
      <c r="BQ155" s="522">
        <v>10</v>
      </c>
      <c r="BR155" s="526">
        <v>0</v>
      </c>
      <c r="BS155" s="526">
        <v>0</v>
      </c>
      <c r="BT155" s="526">
        <v>0</v>
      </c>
      <c r="BU155" s="526">
        <v>0</v>
      </c>
      <c r="BV155" s="522">
        <v>0</v>
      </c>
      <c r="BW155" s="526">
        <v>0</v>
      </c>
      <c r="BX155" s="526">
        <v>0</v>
      </c>
      <c r="BY155" s="526">
        <v>0</v>
      </c>
      <c r="BZ155" s="526">
        <v>0</v>
      </c>
      <c r="CA155" s="522">
        <v>0</v>
      </c>
      <c r="CB155" s="526">
        <v>92.23</v>
      </c>
      <c r="CC155" s="526">
        <v>91.9</v>
      </c>
      <c r="CD155" s="526">
        <v>9.76</v>
      </c>
      <c r="CE155" s="526">
        <v>100.49</v>
      </c>
      <c r="CF155" s="522">
        <v>1015</v>
      </c>
      <c r="CG155" s="526">
        <v>92.23</v>
      </c>
      <c r="CH155" s="526">
        <v>91.9</v>
      </c>
      <c r="CI155" s="526">
        <v>9.76</v>
      </c>
      <c r="CJ155" s="526">
        <v>100.49</v>
      </c>
      <c r="CK155" s="522">
        <v>1015</v>
      </c>
      <c r="CL155" s="526">
        <v>137.44</v>
      </c>
      <c r="CM155" s="526">
        <v>89.02</v>
      </c>
      <c r="CN155" s="526">
        <v>190.85</v>
      </c>
      <c r="CO155" s="526">
        <v>319.20999999999998</v>
      </c>
      <c r="CP155" s="522">
        <v>63</v>
      </c>
      <c r="CQ155" s="526">
        <v>83.09</v>
      </c>
      <c r="CR155" s="526">
        <v>75.540000000000006</v>
      </c>
      <c r="CS155" s="526">
        <v>259.06</v>
      </c>
      <c r="CT155" s="526">
        <v>342.15</v>
      </c>
      <c r="CU155" s="522">
        <v>2</v>
      </c>
      <c r="CV155" s="526">
        <v>106.39</v>
      </c>
      <c r="CW155" s="526">
        <v>87.61</v>
      </c>
      <c r="CX155" s="526">
        <v>111.18</v>
      </c>
      <c r="CY155" s="526">
        <v>217.57</v>
      </c>
      <c r="CZ155" s="522">
        <v>198</v>
      </c>
      <c r="DA155" s="526">
        <v>100.71</v>
      </c>
      <c r="DB155" s="526">
        <v>94.89</v>
      </c>
      <c r="DC155" s="526">
        <v>142.55000000000001</v>
      </c>
      <c r="DD155" s="526">
        <v>243.26</v>
      </c>
      <c r="DE155" s="522">
        <v>9</v>
      </c>
      <c r="DF155" s="526">
        <v>0</v>
      </c>
      <c r="DG155" s="526">
        <v>0</v>
      </c>
      <c r="DH155" s="526">
        <v>0</v>
      </c>
      <c r="DI155" s="526">
        <v>0</v>
      </c>
      <c r="DJ155" s="522">
        <v>0</v>
      </c>
      <c r="DK155" s="526">
        <v>0</v>
      </c>
      <c r="DL155" s="526">
        <v>0</v>
      </c>
      <c r="DM155" s="526">
        <v>0</v>
      </c>
      <c r="DN155" s="526">
        <v>0</v>
      </c>
      <c r="DO155" s="522">
        <v>0</v>
      </c>
      <c r="DP155" s="526">
        <v>105.92</v>
      </c>
      <c r="DQ155" s="526">
        <v>87.84</v>
      </c>
      <c r="DR155" s="526">
        <v>113.95</v>
      </c>
      <c r="DS155" s="526">
        <v>219.87</v>
      </c>
      <c r="DT155" s="522">
        <v>209</v>
      </c>
      <c r="DU155" s="526">
        <v>113.22</v>
      </c>
      <c r="DV155" s="526">
        <v>88.07</v>
      </c>
      <c r="DW155" s="526">
        <v>131.1</v>
      </c>
      <c r="DX155" s="526">
        <v>242.88</v>
      </c>
      <c r="DY155" s="522">
        <v>272</v>
      </c>
      <c r="DZ155" s="526">
        <v>0</v>
      </c>
      <c r="EA155" s="526">
        <v>0</v>
      </c>
      <c r="EB155" s="526">
        <v>0</v>
      </c>
      <c r="EC155" s="522">
        <v>0</v>
      </c>
      <c r="ED155" s="526">
        <v>101.33</v>
      </c>
      <c r="EE155" s="522">
        <v>32</v>
      </c>
      <c r="EF155" s="526">
        <v>115.66</v>
      </c>
      <c r="EG155" s="522">
        <v>142</v>
      </c>
      <c r="EH155" s="526">
        <v>129.16999999999999</v>
      </c>
      <c r="EI155" s="522">
        <v>49</v>
      </c>
      <c r="EJ155" s="526">
        <v>159.13999999999999</v>
      </c>
      <c r="EK155" s="522">
        <v>2</v>
      </c>
      <c r="EL155" s="526">
        <v>0</v>
      </c>
      <c r="EM155" s="522">
        <v>0</v>
      </c>
      <c r="EN155" s="526">
        <v>0</v>
      </c>
      <c r="EO155" s="522">
        <v>0</v>
      </c>
      <c r="EP155" s="526">
        <v>116.95</v>
      </c>
      <c r="EQ155" s="522">
        <v>225</v>
      </c>
      <c r="ER155" s="526">
        <v>116.95</v>
      </c>
      <c r="ES155" s="522">
        <v>225</v>
      </c>
      <c r="ET155" s="526">
        <v>0</v>
      </c>
      <c r="EU155" s="526">
        <v>0</v>
      </c>
      <c r="EV155" s="526">
        <v>0</v>
      </c>
      <c r="EW155" s="522">
        <v>0</v>
      </c>
      <c r="EX155" s="526">
        <v>352.41</v>
      </c>
      <c r="EY155" s="522">
        <v>31</v>
      </c>
      <c r="EZ155" s="526">
        <v>0</v>
      </c>
      <c r="FA155" s="522">
        <v>0</v>
      </c>
      <c r="FB155" s="526">
        <v>0</v>
      </c>
      <c r="FC155" s="522">
        <v>0</v>
      </c>
      <c r="FD155" s="526">
        <v>0</v>
      </c>
      <c r="FE155" s="522">
        <v>0</v>
      </c>
      <c r="FF155" s="526">
        <v>352.41</v>
      </c>
      <c r="FG155" s="522">
        <v>31</v>
      </c>
      <c r="FH155" s="526">
        <v>352.41</v>
      </c>
      <c r="FI155" s="522">
        <v>31</v>
      </c>
      <c r="FJ155" s="522">
        <v>0</v>
      </c>
      <c r="FK155" s="522">
        <v>1</v>
      </c>
      <c r="FL155" s="522">
        <v>1</v>
      </c>
      <c r="FM155" s="522">
        <v>0</v>
      </c>
      <c r="FN155" s="522">
        <v>0</v>
      </c>
      <c r="FO155" s="522">
        <v>0</v>
      </c>
      <c r="FP155" s="522">
        <v>5</v>
      </c>
      <c r="FQ155" s="522">
        <v>0</v>
      </c>
      <c r="FR155" s="522">
        <v>2</v>
      </c>
    </row>
    <row r="156" spans="1:174" x14ac:dyDescent="0.25">
      <c r="A156" s="523" t="s">
        <v>569</v>
      </c>
      <c r="B156" s="523" t="s">
        <v>570</v>
      </c>
      <c r="C156" s="523" t="s">
        <v>286</v>
      </c>
      <c r="D156" s="522">
        <v>52027</v>
      </c>
      <c r="E156" s="522">
        <v>48875</v>
      </c>
      <c r="F156" s="522">
        <v>16</v>
      </c>
      <c r="G156" s="522">
        <v>6</v>
      </c>
      <c r="H156" s="522">
        <v>2518</v>
      </c>
      <c r="I156" s="522">
        <v>1334</v>
      </c>
      <c r="J156" s="522">
        <v>3774</v>
      </c>
      <c r="K156" s="522">
        <v>3483</v>
      </c>
      <c r="L156" s="522">
        <v>1002</v>
      </c>
      <c r="M156" s="522">
        <v>136</v>
      </c>
      <c r="N156" s="522">
        <v>59337</v>
      </c>
      <c r="O156" s="522">
        <v>53834</v>
      </c>
      <c r="P156" s="522">
        <v>58335</v>
      </c>
      <c r="Q156" s="522">
        <v>146</v>
      </c>
      <c r="R156" s="523">
        <v>52</v>
      </c>
      <c r="S156" s="523">
        <v>27</v>
      </c>
      <c r="T156" s="523">
        <v>3869</v>
      </c>
      <c r="U156" s="523">
        <v>55468</v>
      </c>
      <c r="V156" s="522">
        <v>49370</v>
      </c>
      <c r="W156" s="522">
        <v>260</v>
      </c>
      <c r="X156" s="522">
        <v>420</v>
      </c>
      <c r="Y156" s="522">
        <v>680</v>
      </c>
      <c r="Z156" s="524">
        <v>95.74</v>
      </c>
      <c r="AA156" s="524">
        <v>97.74</v>
      </c>
      <c r="AB156" s="524">
        <v>12.45</v>
      </c>
      <c r="AC156" s="524">
        <v>99.19</v>
      </c>
      <c r="AD156" s="524">
        <v>42708</v>
      </c>
      <c r="AE156" s="525">
        <v>104.78</v>
      </c>
      <c r="AF156" s="525">
        <v>91.53</v>
      </c>
      <c r="AG156" s="525">
        <v>69.709999999999994</v>
      </c>
      <c r="AH156" s="525">
        <v>172.94</v>
      </c>
      <c r="AI156" s="525">
        <v>4951</v>
      </c>
      <c r="AJ156" s="525">
        <v>118.53</v>
      </c>
      <c r="AK156" s="525">
        <v>6268</v>
      </c>
      <c r="AL156" s="525">
        <v>156.41</v>
      </c>
      <c r="AM156" s="525">
        <v>173</v>
      </c>
      <c r="AN156" s="526">
        <v>76.13</v>
      </c>
      <c r="AO156" s="526">
        <v>72.510000000000005</v>
      </c>
      <c r="AP156" s="526">
        <v>3.02</v>
      </c>
      <c r="AQ156" s="526">
        <v>79.150000000000006</v>
      </c>
      <c r="AR156" s="522">
        <v>6</v>
      </c>
      <c r="AS156" s="526">
        <v>75.290000000000006</v>
      </c>
      <c r="AT156" s="526">
        <v>76.349999999999994</v>
      </c>
      <c r="AU156" s="526">
        <v>20.5</v>
      </c>
      <c r="AV156" s="526">
        <v>91.6</v>
      </c>
      <c r="AW156" s="522">
        <v>191</v>
      </c>
      <c r="AX156" s="526">
        <v>83.18</v>
      </c>
      <c r="AY156" s="526">
        <v>84.54</v>
      </c>
      <c r="AZ156" s="526">
        <v>14.26</v>
      </c>
      <c r="BA156" s="526">
        <v>91.96</v>
      </c>
      <c r="BB156" s="522">
        <v>7937</v>
      </c>
      <c r="BC156" s="526">
        <v>93.55</v>
      </c>
      <c r="BD156" s="526">
        <v>95.06</v>
      </c>
      <c r="BE156" s="526">
        <v>12.66</v>
      </c>
      <c r="BF156" s="526">
        <v>97.55</v>
      </c>
      <c r="BG156" s="522">
        <v>13167</v>
      </c>
      <c r="BH156" s="526">
        <v>101.12</v>
      </c>
      <c r="BI156" s="526">
        <v>103.61</v>
      </c>
      <c r="BJ156" s="526">
        <v>8.61</v>
      </c>
      <c r="BK156" s="526">
        <v>102.16</v>
      </c>
      <c r="BL156" s="522">
        <v>19663</v>
      </c>
      <c r="BM156" s="526">
        <v>110.58</v>
      </c>
      <c r="BN156" s="526">
        <v>113.49</v>
      </c>
      <c r="BO156" s="526">
        <v>5.53</v>
      </c>
      <c r="BP156" s="526">
        <v>111.44</v>
      </c>
      <c r="BQ156" s="522">
        <v>1638</v>
      </c>
      <c r="BR156" s="526">
        <v>115.74</v>
      </c>
      <c r="BS156" s="526">
        <v>123.4</v>
      </c>
      <c r="BT156" s="526">
        <v>5.56</v>
      </c>
      <c r="BU156" s="526">
        <v>116.32</v>
      </c>
      <c r="BV156" s="522">
        <v>86</v>
      </c>
      <c r="BW156" s="526">
        <v>127.29</v>
      </c>
      <c r="BX156" s="526">
        <v>143.25</v>
      </c>
      <c r="BY156" s="526">
        <v>5.32</v>
      </c>
      <c r="BZ156" s="526">
        <v>127.55</v>
      </c>
      <c r="CA156" s="522">
        <v>20</v>
      </c>
      <c r="CB156" s="526">
        <v>95.74</v>
      </c>
      <c r="CC156" s="526">
        <v>97.75</v>
      </c>
      <c r="CD156" s="526">
        <v>12.45</v>
      </c>
      <c r="CE156" s="526">
        <v>99.19</v>
      </c>
      <c r="CF156" s="522">
        <v>42702</v>
      </c>
      <c r="CG156" s="526">
        <v>95.74</v>
      </c>
      <c r="CH156" s="526">
        <v>97.74</v>
      </c>
      <c r="CI156" s="526">
        <v>12.45</v>
      </c>
      <c r="CJ156" s="526">
        <v>99.19</v>
      </c>
      <c r="CK156" s="522">
        <v>42708</v>
      </c>
      <c r="CL156" s="526">
        <v>133.81</v>
      </c>
      <c r="CM156" s="526">
        <v>81.5</v>
      </c>
      <c r="CN156" s="526">
        <v>116.4</v>
      </c>
      <c r="CO156" s="526">
        <v>240.67</v>
      </c>
      <c r="CP156" s="522">
        <v>598</v>
      </c>
      <c r="CQ156" s="526">
        <v>83.59</v>
      </c>
      <c r="CR156" s="526">
        <v>77.69</v>
      </c>
      <c r="CS156" s="526">
        <v>97.61</v>
      </c>
      <c r="CT156" s="526">
        <v>179.04</v>
      </c>
      <c r="CU156" s="522">
        <v>316</v>
      </c>
      <c r="CV156" s="526">
        <v>100.67</v>
      </c>
      <c r="CW156" s="526">
        <v>90.95</v>
      </c>
      <c r="CX156" s="526">
        <v>60.34</v>
      </c>
      <c r="CY156" s="526">
        <v>160.53</v>
      </c>
      <c r="CZ156" s="522">
        <v>3332</v>
      </c>
      <c r="DA156" s="526">
        <v>106.35</v>
      </c>
      <c r="DB156" s="526">
        <v>104.47</v>
      </c>
      <c r="DC156" s="526">
        <v>63.39</v>
      </c>
      <c r="DD156" s="526">
        <v>168.53</v>
      </c>
      <c r="DE156" s="522">
        <v>628</v>
      </c>
      <c r="DF156" s="526">
        <v>128.68</v>
      </c>
      <c r="DG156" s="526">
        <v>111.11</v>
      </c>
      <c r="DH156" s="526">
        <v>81.05</v>
      </c>
      <c r="DI156" s="526">
        <v>194.68</v>
      </c>
      <c r="DJ156" s="522">
        <v>70</v>
      </c>
      <c r="DK156" s="526">
        <v>154.66999999999999</v>
      </c>
      <c r="DL156" s="526">
        <v>118.92</v>
      </c>
      <c r="DM156" s="526">
        <v>61.51</v>
      </c>
      <c r="DN156" s="526">
        <v>198.61</v>
      </c>
      <c r="DO156" s="522">
        <v>7</v>
      </c>
      <c r="DP156" s="526">
        <v>100.79</v>
      </c>
      <c r="DQ156" s="526">
        <v>92.21</v>
      </c>
      <c r="DR156" s="526">
        <v>63.74</v>
      </c>
      <c r="DS156" s="526">
        <v>163.63999999999999</v>
      </c>
      <c r="DT156" s="522">
        <v>4353</v>
      </c>
      <c r="DU156" s="526">
        <v>104.78</v>
      </c>
      <c r="DV156" s="526">
        <v>91.53</v>
      </c>
      <c r="DW156" s="526">
        <v>69.709999999999994</v>
      </c>
      <c r="DX156" s="526">
        <v>172.94</v>
      </c>
      <c r="DY156" s="522">
        <v>4951</v>
      </c>
      <c r="DZ156" s="526">
        <v>0</v>
      </c>
      <c r="EA156" s="526">
        <v>0</v>
      </c>
      <c r="EB156" s="526">
        <v>0</v>
      </c>
      <c r="EC156" s="522">
        <v>0</v>
      </c>
      <c r="ED156" s="526">
        <v>102.66</v>
      </c>
      <c r="EE156" s="522">
        <v>509</v>
      </c>
      <c r="EF156" s="526">
        <v>116.38</v>
      </c>
      <c r="EG156" s="522">
        <v>2959</v>
      </c>
      <c r="EH156" s="526">
        <v>122.61</v>
      </c>
      <c r="EI156" s="522">
        <v>2618</v>
      </c>
      <c r="EJ156" s="526">
        <v>138.82</v>
      </c>
      <c r="EK156" s="522">
        <v>177</v>
      </c>
      <c r="EL156" s="526">
        <v>158.38</v>
      </c>
      <c r="EM156" s="522">
        <v>4</v>
      </c>
      <c r="EN156" s="526">
        <v>141.16</v>
      </c>
      <c r="EO156" s="522">
        <v>1</v>
      </c>
      <c r="EP156" s="526">
        <v>118.53</v>
      </c>
      <c r="EQ156" s="522">
        <v>6268</v>
      </c>
      <c r="ER156" s="526">
        <v>118.53</v>
      </c>
      <c r="ES156" s="522">
        <v>6268</v>
      </c>
      <c r="ET156" s="526">
        <v>0</v>
      </c>
      <c r="EU156" s="526">
        <v>0</v>
      </c>
      <c r="EV156" s="526">
        <v>0</v>
      </c>
      <c r="EW156" s="522">
        <v>0</v>
      </c>
      <c r="EX156" s="526">
        <v>146.72</v>
      </c>
      <c r="EY156" s="522">
        <v>102</v>
      </c>
      <c r="EZ156" s="526">
        <v>170.32</v>
      </c>
      <c r="FA156" s="522">
        <v>71</v>
      </c>
      <c r="FB156" s="526">
        <v>0</v>
      </c>
      <c r="FC156" s="522">
        <v>0</v>
      </c>
      <c r="FD156" s="526">
        <v>0</v>
      </c>
      <c r="FE156" s="522">
        <v>0</v>
      </c>
      <c r="FF156" s="526">
        <v>156.41</v>
      </c>
      <c r="FG156" s="522">
        <v>173</v>
      </c>
      <c r="FH156" s="526">
        <v>156.41</v>
      </c>
      <c r="FI156" s="522">
        <v>173</v>
      </c>
      <c r="FJ156" s="522">
        <v>5</v>
      </c>
      <c r="FK156" s="522">
        <v>113</v>
      </c>
      <c r="FL156" s="522">
        <v>81</v>
      </c>
      <c r="FM156" s="522">
        <v>1</v>
      </c>
      <c r="FN156" s="522">
        <v>31</v>
      </c>
      <c r="FO156" s="522">
        <v>0</v>
      </c>
      <c r="FP156" s="522">
        <v>52</v>
      </c>
      <c r="FQ156" s="522">
        <v>15</v>
      </c>
      <c r="FR156" s="522">
        <v>13</v>
      </c>
    </row>
    <row r="157" spans="1:174" x14ac:dyDescent="0.25">
      <c r="A157" s="523" t="s">
        <v>571</v>
      </c>
      <c r="B157" s="523" t="s">
        <v>572</v>
      </c>
      <c r="C157" s="523" t="s">
        <v>283</v>
      </c>
      <c r="D157" s="522">
        <v>3930</v>
      </c>
      <c r="E157" s="522">
        <v>3597</v>
      </c>
      <c r="F157" s="522">
        <v>175</v>
      </c>
      <c r="G157" s="522">
        <v>175</v>
      </c>
      <c r="H157" s="522">
        <v>263</v>
      </c>
      <c r="I157" s="522">
        <v>114</v>
      </c>
      <c r="J157" s="522">
        <v>392</v>
      </c>
      <c r="K157" s="522">
        <v>304</v>
      </c>
      <c r="L157" s="522">
        <v>321</v>
      </c>
      <c r="M157" s="522">
        <v>0</v>
      </c>
      <c r="N157" s="522">
        <v>5081</v>
      </c>
      <c r="O157" s="522">
        <v>4190</v>
      </c>
      <c r="P157" s="522">
        <v>4760</v>
      </c>
      <c r="Q157" s="522">
        <v>8</v>
      </c>
      <c r="R157" s="523">
        <v>10</v>
      </c>
      <c r="S157" s="523">
        <v>22</v>
      </c>
      <c r="T157" s="523">
        <v>550</v>
      </c>
      <c r="U157" s="523">
        <v>4531</v>
      </c>
      <c r="V157" s="522">
        <v>3599</v>
      </c>
      <c r="W157" s="522">
        <v>14</v>
      </c>
      <c r="X157" s="522">
        <v>17</v>
      </c>
      <c r="Y157" s="522">
        <v>31</v>
      </c>
      <c r="Z157" s="524">
        <v>114.87</v>
      </c>
      <c r="AA157" s="524">
        <v>119.47</v>
      </c>
      <c r="AB157" s="524">
        <v>8.83</v>
      </c>
      <c r="AC157" s="524">
        <v>121.47</v>
      </c>
      <c r="AD157" s="524">
        <v>2777</v>
      </c>
      <c r="AE157" s="525">
        <v>118.49</v>
      </c>
      <c r="AF157" s="525">
        <v>112.94</v>
      </c>
      <c r="AG157" s="525">
        <v>60.99</v>
      </c>
      <c r="AH157" s="525">
        <v>174.57</v>
      </c>
      <c r="AI157" s="525">
        <v>423</v>
      </c>
      <c r="AJ157" s="525">
        <v>168.46</v>
      </c>
      <c r="AK157" s="525">
        <v>693</v>
      </c>
      <c r="AL157" s="525">
        <v>164.5</v>
      </c>
      <c r="AM157" s="525">
        <v>13</v>
      </c>
      <c r="AN157" s="526">
        <v>0</v>
      </c>
      <c r="AO157" s="526">
        <v>0</v>
      </c>
      <c r="AP157" s="526">
        <v>0</v>
      </c>
      <c r="AQ157" s="526">
        <v>0</v>
      </c>
      <c r="AR157" s="522">
        <v>0</v>
      </c>
      <c r="AS157" s="526">
        <v>85.59</v>
      </c>
      <c r="AT157" s="526">
        <v>90.18</v>
      </c>
      <c r="AU157" s="526">
        <v>15.78</v>
      </c>
      <c r="AV157" s="526">
        <v>101.37</v>
      </c>
      <c r="AW157" s="522">
        <v>13</v>
      </c>
      <c r="AX157" s="526">
        <v>92.16</v>
      </c>
      <c r="AY157" s="526">
        <v>95.78</v>
      </c>
      <c r="AZ157" s="526">
        <v>11.53</v>
      </c>
      <c r="BA157" s="526">
        <v>103.33</v>
      </c>
      <c r="BB157" s="522">
        <v>467</v>
      </c>
      <c r="BC157" s="526">
        <v>110.37</v>
      </c>
      <c r="BD157" s="526">
        <v>113.56</v>
      </c>
      <c r="BE157" s="526">
        <v>11</v>
      </c>
      <c r="BF157" s="526">
        <v>119.32</v>
      </c>
      <c r="BG157" s="522">
        <v>1080</v>
      </c>
      <c r="BH157" s="526">
        <v>124.54</v>
      </c>
      <c r="BI157" s="526">
        <v>130.6</v>
      </c>
      <c r="BJ157" s="526">
        <v>4.38</v>
      </c>
      <c r="BK157" s="526">
        <v>127</v>
      </c>
      <c r="BL157" s="522">
        <v>967</v>
      </c>
      <c r="BM157" s="526">
        <v>138.74</v>
      </c>
      <c r="BN157" s="526">
        <v>144.08000000000001</v>
      </c>
      <c r="BO157" s="526">
        <v>3.63</v>
      </c>
      <c r="BP157" s="526">
        <v>141.47999999999999</v>
      </c>
      <c r="BQ157" s="522">
        <v>195</v>
      </c>
      <c r="BR157" s="526">
        <v>146.05000000000001</v>
      </c>
      <c r="BS157" s="526">
        <v>157.47</v>
      </c>
      <c r="BT157" s="526">
        <v>8.1</v>
      </c>
      <c r="BU157" s="526">
        <v>152.38999999999999</v>
      </c>
      <c r="BV157" s="522">
        <v>46</v>
      </c>
      <c r="BW157" s="526">
        <v>161.75</v>
      </c>
      <c r="BX157" s="526">
        <v>176.92</v>
      </c>
      <c r="BY157" s="526">
        <v>4.05</v>
      </c>
      <c r="BZ157" s="526">
        <v>163.11000000000001</v>
      </c>
      <c r="CA157" s="522">
        <v>9</v>
      </c>
      <c r="CB157" s="526">
        <v>114.87</v>
      </c>
      <c r="CC157" s="526">
        <v>119.47</v>
      </c>
      <c r="CD157" s="526">
        <v>8.83</v>
      </c>
      <c r="CE157" s="526">
        <v>121.47</v>
      </c>
      <c r="CF157" s="522">
        <v>2777</v>
      </c>
      <c r="CG157" s="526">
        <v>114.87</v>
      </c>
      <c r="CH157" s="526">
        <v>119.47</v>
      </c>
      <c r="CI157" s="526">
        <v>8.83</v>
      </c>
      <c r="CJ157" s="526">
        <v>121.47</v>
      </c>
      <c r="CK157" s="522">
        <v>2777</v>
      </c>
      <c r="CL157" s="526">
        <v>113.31</v>
      </c>
      <c r="CM157" s="526">
        <v>102.93</v>
      </c>
      <c r="CN157" s="526">
        <v>103.35</v>
      </c>
      <c r="CO157" s="526">
        <v>176.29</v>
      </c>
      <c r="CP157" s="522">
        <v>64</v>
      </c>
      <c r="CQ157" s="526">
        <v>87.62</v>
      </c>
      <c r="CR157" s="526">
        <v>84.86</v>
      </c>
      <c r="CS157" s="526">
        <v>67.91</v>
      </c>
      <c r="CT157" s="526">
        <v>155.53</v>
      </c>
      <c r="CU157" s="522">
        <v>4</v>
      </c>
      <c r="CV157" s="526">
        <v>116.19</v>
      </c>
      <c r="CW157" s="526">
        <v>110.33</v>
      </c>
      <c r="CX157" s="526">
        <v>56.95</v>
      </c>
      <c r="CY157" s="526">
        <v>171.46</v>
      </c>
      <c r="CZ157" s="522">
        <v>305</v>
      </c>
      <c r="DA157" s="526">
        <v>141.38</v>
      </c>
      <c r="DB157" s="526">
        <v>136.41999999999999</v>
      </c>
      <c r="DC157" s="526">
        <v>51.34</v>
      </c>
      <c r="DD157" s="526">
        <v>192.72</v>
      </c>
      <c r="DE157" s="522">
        <v>48</v>
      </c>
      <c r="DF157" s="526">
        <v>147.07</v>
      </c>
      <c r="DG157" s="526">
        <v>140.63</v>
      </c>
      <c r="DH157" s="526">
        <v>49.86</v>
      </c>
      <c r="DI157" s="526">
        <v>196.93</v>
      </c>
      <c r="DJ157" s="522">
        <v>2</v>
      </c>
      <c r="DK157" s="526">
        <v>0</v>
      </c>
      <c r="DL157" s="526">
        <v>0</v>
      </c>
      <c r="DM157" s="526">
        <v>0</v>
      </c>
      <c r="DN157" s="526">
        <v>0</v>
      </c>
      <c r="DO157" s="522">
        <v>0</v>
      </c>
      <c r="DP157" s="526">
        <v>119.41</v>
      </c>
      <c r="DQ157" s="526">
        <v>113.79</v>
      </c>
      <c r="DR157" s="526">
        <v>56.27</v>
      </c>
      <c r="DS157" s="526">
        <v>174.27</v>
      </c>
      <c r="DT157" s="522">
        <v>359</v>
      </c>
      <c r="DU157" s="526">
        <v>118.49</v>
      </c>
      <c r="DV157" s="526">
        <v>112.94</v>
      </c>
      <c r="DW157" s="526">
        <v>60.99</v>
      </c>
      <c r="DX157" s="526">
        <v>174.57</v>
      </c>
      <c r="DY157" s="522">
        <v>423</v>
      </c>
      <c r="DZ157" s="526">
        <v>0</v>
      </c>
      <c r="EA157" s="526">
        <v>0</v>
      </c>
      <c r="EB157" s="526">
        <v>0</v>
      </c>
      <c r="EC157" s="522">
        <v>0</v>
      </c>
      <c r="ED157" s="526">
        <v>141.4</v>
      </c>
      <c r="EE157" s="522">
        <v>220</v>
      </c>
      <c r="EF157" s="526">
        <v>173.34</v>
      </c>
      <c r="EG157" s="522">
        <v>356</v>
      </c>
      <c r="EH157" s="526">
        <v>203.8</v>
      </c>
      <c r="EI157" s="522">
        <v>108</v>
      </c>
      <c r="EJ157" s="526">
        <v>213.4</v>
      </c>
      <c r="EK157" s="522">
        <v>9</v>
      </c>
      <c r="EL157" s="526">
        <v>0</v>
      </c>
      <c r="EM157" s="522">
        <v>0</v>
      </c>
      <c r="EN157" s="526">
        <v>0</v>
      </c>
      <c r="EO157" s="522">
        <v>0</v>
      </c>
      <c r="EP157" s="526">
        <v>168.46</v>
      </c>
      <c r="EQ157" s="522">
        <v>693</v>
      </c>
      <c r="ER157" s="526">
        <v>168.46</v>
      </c>
      <c r="ES157" s="522">
        <v>693</v>
      </c>
      <c r="ET157" s="526">
        <v>93.94</v>
      </c>
      <c r="EU157" s="526">
        <v>5</v>
      </c>
      <c r="EV157" s="526">
        <v>209.44</v>
      </c>
      <c r="EW157" s="522">
        <v>6</v>
      </c>
      <c r="EX157" s="526">
        <v>206.08</v>
      </c>
      <c r="EY157" s="522">
        <v>2</v>
      </c>
      <c r="EZ157" s="526">
        <v>0</v>
      </c>
      <c r="FA157" s="522">
        <v>0</v>
      </c>
      <c r="FB157" s="526">
        <v>0</v>
      </c>
      <c r="FC157" s="522">
        <v>0</v>
      </c>
      <c r="FD157" s="526">
        <v>0</v>
      </c>
      <c r="FE157" s="522">
        <v>0</v>
      </c>
      <c r="FF157" s="526">
        <v>208.6</v>
      </c>
      <c r="FG157" s="522">
        <v>8</v>
      </c>
      <c r="FH157" s="526">
        <v>164.5</v>
      </c>
      <c r="FI157" s="522">
        <v>13</v>
      </c>
      <c r="FJ157" s="522">
        <v>0</v>
      </c>
      <c r="FK157" s="522">
        <v>1</v>
      </c>
      <c r="FL157" s="522">
        <v>0</v>
      </c>
      <c r="FM157" s="522">
        <v>0</v>
      </c>
      <c r="FN157" s="522">
        <v>1</v>
      </c>
      <c r="FO157" s="522">
        <v>0</v>
      </c>
      <c r="FP157" s="522">
        <v>0</v>
      </c>
      <c r="FQ157" s="522">
        <v>8</v>
      </c>
      <c r="FR157" s="522">
        <v>6</v>
      </c>
    </row>
    <row r="158" spans="1:174" x14ac:dyDescent="0.25">
      <c r="A158" s="523" t="s">
        <v>573</v>
      </c>
      <c r="B158" s="523" t="s">
        <v>574</v>
      </c>
      <c r="C158" s="523" t="s">
        <v>2</v>
      </c>
      <c r="D158" s="522">
        <v>8788</v>
      </c>
      <c r="E158" s="522">
        <v>8262</v>
      </c>
      <c r="F158" s="522">
        <v>0</v>
      </c>
      <c r="G158" s="522">
        <v>0</v>
      </c>
      <c r="H158" s="522">
        <v>311</v>
      </c>
      <c r="I158" s="522">
        <v>138</v>
      </c>
      <c r="J158" s="522">
        <v>1142</v>
      </c>
      <c r="K158" s="522">
        <v>1165</v>
      </c>
      <c r="L158" s="522">
        <v>1530</v>
      </c>
      <c r="M158" s="522">
        <v>165</v>
      </c>
      <c r="N158" s="522">
        <v>11771</v>
      </c>
      <c r="O158" s="522">
        <v>9730</v>
      </c>
      <c r="P158" s="522">
        <v>10241</v>
      </c>
      <c r="Q158" s="522">
        <v>18</v>
      </c>
      <c r="R158" s="523">
        <v>15</v>
      </c>
      <c r="S158" s="523">
        <v>29</v>
      </c>
      <c r="T158" s="523">
        <v>415</v>
      </c>
      <c r="U158" s="523">
        <v>11356</v>
      </c>
      <c r="V158" s="522">
        <v>8505</v>
      </c>
      <c r="W158" s="522">
        <v>109</v>
      </c>
      <c r="X158" s="522">
        <v>55</v>
      </c>
      <c r="Y158" s="522">
        <v>164</v>
      </c>
      <c r="Z158" s="524">
        <v>110.85</v>
      </c>
      <c r="AA158" s="524">
        <v>113.17</v>
      </c>
      <c r="AB158" s="524">
        <v>8.35</v>
      </c>
      <c r="AC158" s="524">
        <v>117.31</v>
      </c>
      <c r="AD158" s="524">
        <v>6087</v>
      </c>
      <c r="AE158" s="525">
        <v>111.32</v>
      </c>
      <c r="AF158" s="525">
        <v>102.94</v>
      </c>
      <c r="AG158" s="525">
        <v>35.35</v>
      </c>
      <c r="AH158" s="525">
        <v>146.62</v>
      </c>
      <c r="AI158" s="525">
        <v>1286</v>
      </c>
      <c r="AJ158" s="525">
        <v>182.33</v>
      </c>
      <c r="AK158" s="525">
        <v>2343</v>
      </c>
      <c r="AL158" s="525">
        <v>272.23</v>
      </c>
      <c r="AM158" s="525">
        <v>35</v>
      </c>
      <c r="AN158" s="526">
        <v>0</v>
      </c>
      <c r="AO158" s="526">
        <v>0</v>
      </c>
      <c r="AP158" s="526">
        <v>0</v>
      </c>
      <c r="AQ158" s="526">
        <v>0</v>
      </c>
      <c r="AR158" s="522">
        <v>0</v>
      </c>
      <c r="AS158" s="526">
        <v>76.760000000000005</v>
      </c>
      <c r="AT158" s="526">
        <v>77.069999999999993</v>
      </c>
      <c r="AU158" s="526">
        <v>7.11</v>
      </c>
      <c r="AV158" s="526">
        <v>83.88</v>
      </c>
      <c r="AW158" s="522">
        <v>90</v>
      </c>
      <c r="AX158" s="526">
        <v>94.27</v>
      </c>
      <c r="AY158" s="526">
        <v>94.75</v>
      </c>
      <c r="AZ158" s="526">
        <v>11.67</v>
      </c>
      <c r="BA158" s="526">
        <v>105.44</v>
      </c>
      <c r="BB158" s="522">
        <v>1185</v>
      </c>
      <c r="BC158" s="526">
        <v>107.71</v>
      </c>
      <c r="BD158" s="526">
        <v>109.13</v>
      </c>
      <c r="BE158" s="526">
        <v>10.53</v>
      </c>
      <c r="BF158" s="526">
        <v>116.59</v>
      </c>
      <c r="BG158" s="522">
        <v>2427</v>
      </c>
      <c r="BH158" s="526">
        <v>122.38</v>
      </c>
      <c r="BI158" s="526">
        <v>126.62</v>
      </c>
      <c r="BJ158" s="526">
        <v>2.67</v>
      </c>
      <c r="BK158" s="526">
        <v>123.98</v>
      </c>
      <c r="BL158" s="522">
        <v>2190</v>
      </c>
      <c r="BM158" s="526">
        <v>136.46</v>
      </c>
      <c r="BN158" s="526">
        <v>140.44999999999999</v>
      </c>
      <c r="BO158" s="526">
        <v>3.15</v>
      </c>
      <c r="BP158" s="526">
        <v>138.57</v>
      </c>
      <c r="BQ158" s="522">
        <v>191</v>
      </c>
      <c r="BR158" s="526">
        <v>157.15</v>
      </c>
      <c r="BS158" s="526">
        <v>167.09</v>
      </c>
      <c r="BT158" s="526">
        <v>3.37</v>
      </c>
      <c r="BU158" s="526">
        <v>159.38999999999999</v>
      </c>
      <c r="BV158" s="522">
        <v>3</v>
      </c>
      <c r="BW158" s="526">
        <v>148.72999999999999</v>
      </c>
      <c r="BX158" s="526">
        <v>154.43</v>
      </c>
      <c r="BY158" s="526">
        <v>7.0000000000000007E-2</v>
      </c>
      <c r="BZ158" s="526">
        <v>148.80000000000001</v>
      </c>
      <c r="CA158" s="522">
        <v>1</v>
      </c>
      <c r="CB158" s="526">
        <v>110.85</v>
      </c>
      <c r="CC158" s="526">
        <v>113.17</v>
      </c>
      <c r="CD158" s="526">
        <v>8.35</v>
      </c>
      <c r="CE158" s="526">
        <v>117.31</v>
      </c>
      <c r="CF158" s="522">
        <v>6087</v>
      </c>
      <c r="CG158" s="526">
        <v>110.85</v>
      </c>
      <c r="CH158" s="526">
        <v>113.17</v>
      </c>
      <c r="CI158" s="526">
        <v>8.35</v>
      </c>
      <c r="CJ158" s="526">
        <v>117.31</v>
      </c>
      <c r="CK158" s="522">
        <v>6087</v>
      </c>
      <c r="CL158" s="526">
        <v>146.62</v>
      </c>
      <c r="CM158" s="526">
        <v>93.83</v>
      </c>
      <c r="CN158" s="526">
        <v>125.49</v>
      </c>
      <c r="CO158" s="526">
        <v>272.12</v>
      </c>
      <c r="CP158" s="522">
        <v>107</v>
      </c>
      <c r="CQ158" s="526">
        <v>88.58</v>
      </c>
      <c r="CR158" s="526">
        <v>91.84</v>
      </c>
      <c r="CS158" s="526">
        <v>58.14</v>
      </c>
      <c r="CT158" s="526">
        <v>146.72</v>
      </c>
      <c r="CU158" s="522">
        <v>33</v>
      </c>
      <c r="CV158" s="526">
        <v>103.78</v>
      </c>
      <c r="CW158" s="526">
        <v>99.59</v>
      </c>
      <c r="CX158" s="526">
        <v>23.53</v>
      </c>
      <c r="CY158" s="526">
        <v>127.29</v>
      </c>
      <c r="CZ158" s="522">
        <v>937</v>
      </c>
      <c r="DA158" s="526">
        <v>129.19</v>
      </c>
      <c r="DB158" s="526">
        <v>122.62</v>
      </c>
      <c r="DC158" s="526">
        <v>38.520000000000003</v>
      </c>
      <c r="DD158" s="526">
        <v>167.71</v>
      </c>
      <c r="DE158" s="522">
        <v>206</v>
      </c>
      <c r="DF158" s="526">
        <v>230.15</v>
      </c>
      <c r="DG158" s="526">
        <v>127.56</v>
      </c>
      <c r="DH158" s="526">
        <v>40.81</v>
      </c>
      <c r="DI158" s="526">
        <v>257.36</v>
      </c>
      <c r="DJ158" s="522">
        <v>3</v>
      </c>
      <c r="DK158" s="526">
        <v>0</v>
      </c>
      <c r="DL158" s="526">
        <v>0</v>
      </c>
      <c r="DM158" s="526">
        <v>0</v>
      </c>
      <c r="DN158" s="526">
        <v>0</v>
      </c>
      <c r="DO158" s="522">
        <v>0</v>
      </c>
      <c r="DP158" s="526">
        <v>108.12</v>
      </c>
      <c r="DQ158" s="526">
        <v>103.56</v>
      </c>
      <c r="DR158" s="526">
        <v>27.15</v>
      </c>
      <c r="DS158" s="526">
        <v>135.22999999999999</v>
      </c>
      <c r="DT158" s="522">
        <v>1179</v>
      </c>
      <c r="DU158" s="526">
        <v>111.32</v>
      </c>
      <c r="DV158" s="526">
        <v>102.94</v>
      </c>
      <c r="DW158" s="526">
        <v>35.35</v>
      </c>
      <c r="DX158" s="526">
        <v>146.62</v>
      </c>
      <c r="DY158" s="522">
        <v>1286</v>
      </c>
      <c r="DZ158" s="526">
        <v>0</v>
      </c>
      <c r="EA158" s="526">
        <v>0</v>
      </c>
      <c r="EB158" s="526">
        <v>0</v>
      </c>
      <c r="EC158" s="522">
        <v>0</v>
      </c>
      <c r="ED158" s="526">
        <v>144.81</v>
      </c>
      <c r="EE158" s="522">
        <v>533</v>
      </c>
      <c r="EF158" s="526">
        <v>178.94</v>
      </c>
      <c r="EG158" s="522">
        <v>1074</v>
      </c>
      <c r="EH158" s="526">
        <v>206.36</v>
      </c>
      <c r="EI158" s="522">
        <v>611</v>
      </c>
      <c r="EJ158" s="526">
        <v>253.96</v>
      </c>
      <c r="EK158" s="522">
        <v>125</v>
      </c>
      <c r="EL158" s="526">
        <v>0</v>
      </c>
      <c r="EM158" s="522">
        <v>0</v>
      </c>
      <c r="EN158" s="526">
        <v>0</v>
      </c>
      <c r="EO158" s="522">
        <v>0</v>
      </c>
      <c r="EP158" s="526">
        <v>182.33</v>
      </c>
      <c r="EQ158" s="522">
        <v>2343</v>
      </c>
      <c r="ER158" s="526">
        <v>182.33</v>
      </c>
      <c r="ES158" s="522">
        <v>2343</v>
      </c>
      <c r="ET158" s="526">
        <v>0</v>
      </c>
      <c r="EU158" s="526">
        <v>0</v>
      </c>
      <c r="EV158" s="526">
        <v>0</v>
      </c>
      <c r="EW158" s="522">
        <v>0</v>
      </c>
      <c r="EX158" s="526">
        <v>272.42</v>
      </c>
      <c r="EY158" s="522">
        <v>31</v>
      </c>
      <c r="EZ158" s="526">
        <v>270.76</v>
      </c>
      <c r="FA158" s="522">
        <v>4</v>
      </c>
      <c r="FB158" s="526">
        <v>0</v>
      </c>
      <c r="FC158" s="522">
        <v>0</v>
      </c>
      <c r="FD158" s="526">
        <v>0</v>
      </c>
      <c r="FE158" s="522">
        <v>0</v>
      </c>
      <c r="FF158" s="526">
        <v>272.23</v>
      </c>
      <c r="FG158" s="522">
        <v>35</v>
      </c>
      <c r="FH158" s="526">
        <v>272.23</v>
      </c>
      <c r="FI158" s="522">
        <v>35</v>
      </c>
      <c r="FJ158" s="522">
        <v>0</v>
      </c>
      <c r="FK158" s="522">
        <v>3</v>
      </c>
      <c r="FL158" s="522">
        <v>2</v>
      </c>
      <c r="FM158" s="522">
        <v>0</v>
      </c>
      <c r="FN158" s="522">
        <v>1</v>
      </c>
      <c r="FO158" s="522">
        <v>0</v>
      </c>
      <c r="FP158" s="522">
        <v>23</v>
      </c>
      <c r="FQ158" s="522">
        <v>59</v>
      </c>
      <c r="FR158" s="522">
        <v>27</v>
      </c>
    </row>
    <row r="159" spans="1:174" x14ac:dyDescent="0.25">
      <c r="A159" s="523" t="s">
        <v>575</v>
      </c>
      <c r="B159" s="523" t="s">
        <v>576</v>
      </c>
      <c r="C159" s="523" t="s">
        <v>283</v>
      </c>
      <c r="D159" s="522">
        <v>2629</v>
      </c>
      <c r="E159" s="522">
        <v>2612</v>
      </c>
      <c r="F159" s="522">
        <v>0</v>
      </c>
      <c r="G159" s="522">
        <v>0</v>
      </c>
      <c r="H159" s="522">
        <v>25</v>
      </c>
      <c r="I159" s="522">
        <v>21</v>
      </c>
      <c r="J159" s="522">
        <v>795</v>
      </c>
      <c r="K159" s="522">
        <v>738</v>
      </c>
      <c r="L159" s="522">
        <v>285</v>
      </c>
      <c r="M159" s="522">
        <v>116</v>
      </c>
      <c r="N159" s="522">
        <v>3734</v>
      </c>
      <c r="O159" s="522">
        <v>3487</v>
      </c>
      <c r="P159" s="522">
        <v>3449</v>
      </c>
      <c r="Q159" s="522">
        <v>5</v>
      </c>
      <c r="R159" s="523">
        <v>2</v>
      </c>
      <c r="S159" s="523">
        <v>23</v>
      </c>
      <c r="T159" s="523">
        <v>73</v>
      </c>
      <c r="U159" s="523">
        <v>3661</v>
      </c>
      <c r="V159" s="522">
        <v>2613</v>
      </c>
      <c r="W159" s="522">
        <v>42</v>
      </c>
      <c r="X159" s="522">
        <v>6</v>
      </c>
      <c r="Y159" s="522">
        <v>48</v>
      </c>
      <c r="Z159" s="524">
        <v>118.02</v>
      </c>
      <c r="AA159" s="524">
        <v>120.08</v>
      </c>
      <c r="AB159" s="524">
        <v>5.88</v>
      </c>
      <c r="AC159" s="524">
        <v>121.77</v>
      </c>
      <c r="AD159" s="524">
        <v>2004</v>
      </c>
      <c r="AE159" s="525">
        <v>102.88</v>
      </c>
      <c r="AF159" s="525">
        <v>101.86</v>
      </c>
      <c r="AG159" s="525">
        <v>19.78</v>
      </c>
      <c r="AH159" s="525">
        <v>122.51</v>
      </c>
      <c r="AI159" s="525">
        <v>762</v>
      </c>
      <c r="AJ159" s="525">
        <v>168.19</v>
      </c>
      <c r="AK159" s="525">
        <v>597</v>
      </c>
      <c r="AL159" s="525">
        <v>125.46</v>
      </c>
      <c r="AM159" s="525">
        <v>1</v>
      </c>
      <c r="AN159" s="526">
        <v>0</v>
      </c>
      <c r="AO159" s="526">
        <v>0</v>
      </c>
      <c r="AP159" s="526">
        <v>0</v>
      </c>
      <c r="AQ159" s="526">
        <v>0</v>
      </c>
      <c r="AR159" s="522">
        <v>0</v>
      </c>
      <c r="AS159" s="526">
        <v>0</v>
      </c>
      <c r="AT159" s="526">
        <v>0</v>
      </c>
      <c r="AU159" s="526">
        <v>0</v>
      </c>
      <c r="AV159" s="526">
        <v>0</v>
      </c>
      <c r="AW159" s="522">
        <v>0</v>
      </c>
      <c r="AX159" s="526">
        <v>94.54</v>
      </c>
      <c r="AY159" s="526">
        <v>94.42</v>
      </c>
      <c r="AZ159" s="526">
        <v>13.36</v>
      </c>
      <c r="BA159" s="526">
        <v>105.49</v>
      </c>
      <c r="BB159" s="522">
        <v>261</v>
      </c>
      <c r="BC159" s="526">
        <v>112.17</v>
      </c>
      <c r="BD159" s="526">
        <v>113.48</v>
      </c>
      <c r="BE159" s="526">
        <v>6.16</v>
      </c>
      <c r="BF159" s="526">
        <v>116.35</v>
      </c>
      <c r="BG159" s="522">
        <v>784</v>
      </c>
      <c r="BH159" s="526">
        <v>128.63999999999999</v>
      </c>
      <c r="BI159" s="526">
        <v>131.86000000000001</v>
      </c>
      <c r="BJ159" s="526">
        <v>2.61</v>
      </c>
      <c r="BK159" s="526">
        <v>130.09</v>
      </c>
      <c r="BL159" s="522">
        <v>927</v>
      </c>
      <c r="BM159" s="526">
        <v>143.28</v>
      </c>
      <c r="BN159" s="526">
        <v>147.44999999999999</v>
      </c>
      <c r="BO159" s="526">
        <v>2.3199999999999998</v>
      </c>
      <c r="BP159" s="526">
        <v>144.72</v>
      </c>
      <c r="BQ159" s="522">
        <v>29</v>
      </c>
      <c r="BR159" s="526">
        <v>159.71</v>
      </c>
      <c r="BS159" s="526">
        <v>157.91</v>
      </c>
      <c r="BT159" s="526">
        <v>0.72</v>
      </c>
      <c r="BU159" s="526">
        <v>159.94999999999999</v>
      </c>
      <c r="BV159" s="522">
        <v>3</v>
      </c>
      <c r="BW159" s="526">
        <v>0</v>
      </c>
      <c r="BX159" s="526">
        <v>0</v>
      </c>
      <c r="BY159" s="526">
        <v>0</v>
      </c>
      <c r="BZ159" s="526">
        <v>0</v>
      </c>
      <c r="CA159" s="522">
        <v>0</v>
      </c>
      <c r="CB159" s="526">
        <v>118.02</v>
      </c>
      <c r="CC159" s="526">
        <v>120.08</v>
      </c>
      <c r="CD159" s="526">
        <v>5.88</v>
      </c>
      <c r="CE159" s="526">
        <v>121.77</v>
      </c>
      <c r="CF159" s="522">
        <v>2004</v>
      </c>
      <c r="CG159" s="526">
        <v>118.02</v>
      </c>
      <c r="CH159" s="526">
        <v>120.08</v>
      </c>
      <c r="CI159" s="526">
        <v>5.88</v>
      </c>
      <c r="CJ159" s="526">
        <v>121.77</v>
      </c>
      <c r="CK159" s="522">
        <v>2004</v>
      </c>
      <c r="CL159" s="526">
        <v>186.48</v>
      </c>
      <c r="CM159" s="526">
        <v>108.92</v>
      </c>
      <c r="CN159" s="526">
        <v>59.05</v>
      </c>
      <c r="CO159" s="526">
        <v>245.53</v>
      </c>
      <c r="CP159" s="522">
        <v>7</v>
      </c>
      <c r="CQ159" s="526">
        <v>89</v>
      </c>
      <c r="CR159" s="526">
        <v>84.96</v>
      </c>
      <c r="CS159" s="526">
        <v>52.92</v>
      </c>
      <c r="CT159" s="526">
        <v>141.93</v>
      </c>
      <c r="CU159" s="522">
        <v>19</v>
      </c>
      <c r="CV159" s="526">
        <v>98.36</v>
      </c>
      <c r="CW159" s="526">
        <v>97.37</v>
      </c>
      <c r="CX159" s="526">
        <v>21.82</v>
      </c>
      <c r="CY159" s="526">
        <v>120.19</v>
      </c>
      <c r="CZ159" s="522">
        <v>556</v>
      </c>
      <c r="DA159" s="526">
        <v>114.98</v>
      </c>
      <c r="DB159" s="526">
        <v>117.29</v>
      </c>
      <c r="DC159" s="526">
        <v>7.96</v>
      </c>
      <c r="DD159" s="526">
        <v>122.67</v>
      </c>
      <c r="DE159" s="522">
        <v>179</v>
      </c>
      <c r="DF159" s="526">
        <v>125.4</v>
      </c>
      <c r="DG159" s="526">
        <v>130.11000000000001</v>
      </c>
      <c r="DH159" s="526">
        <v>25.88</v>
      </c>
      <c r="DI159" s="526">
        <v>151.28</v>
      </c>
      <c r="DJ159" s="522">
        <v>1</v>
      </c>
      <c r="DK159" s="526">
        <v>0</v>
      </c>
      <c r="DL159" s="526">
        <v>0</v>
      </c>
      <c r="DM159" s="526">
        <v>0</v>
      </c>
      <c r="DN159" s="526">
        <v>0</v>
      </c>
      <c r="DO159" s="522">
        <v>0</v>
      </c>
      <c r="DP159" s="526">
        <v>102.1</v>
      </c>
      <c r="DQ159" s="526">
        <v>101.82</v>
      </c>
      <c r="DR159" s="526">
        <v>19.420000000000002</v>
      </c>
      <c r="DS159" s="526">
        <v>121.37</v>
      </c>
      <c r="DT159" s="522">
        <v>755</v>
      </c>
      <c r="DU159" s="526">
        <v>102.88</v>
      </c>
      <c r="DV159" s="526">
        <v>101.86</v>
      </c>
      <c r="DW159" s="526">
        <v>19.78</v>
      </c>
      <c r="DX159" s="526">
        <v>122.51</v>
      </c>
      <c r="DY159" s="522">
        <v>762</v>
      </c>
      <c r="DZ159" s="526">
        <v>0</v>
      </c>
      <c r="EA159" s="526">
        <v>0</v>
      </c>
      <c r="EB159" s="526">
        <v>0</v>
      </c>
      <c r="EC159" s="522">
        <v>0</v>
      </c>
      <c r="ED159" s="526">
        <v>141.44</v>
      </c>
      <c r="EE159" s="522">
        <v>166</v>
      </c>
      <c r="EF159" s="526">
        <v>172.68</v>
      </c>
      <c r="EG159" s="522">
        <v>346</v>
      </c>
      <c r="EH159" s="526">
        <v>199.54</v>
      </c>
      <c r="EI159" s="522">
        <v>80</v>
      </c>
      <c r="EJ159" s="526">
        <v>244.02</v>
      </c>
      <c r="EK159" s="522">
        <v>5</v>
      </c>
      <c r="EL159" s="526">
        <v>0</v>
      </c>
      <c r="EM159" s="522">
        <v>0</v>
      </c>
      <c r="EN159" s="526">
        <v>0</v>
      </c>
      <c r="EO159" s="522">
        <v>0</v>
      </c>
      <c r="EP159" s="526">
        <v>168.19</v>
      </c>
      <c r="EQ159" s="522">
        <v>597</v>
      </c>
      <c r="ER159" s="526">
        <v>168.19</v>
      </c>
      <c r="ES159" s="522">
        <v>597</v>
      </c>
      <c r="ET159" s="526">
        <v>0</v>
      </c>
      <c r="EU159" s="526">
        <v>0</v>
      </c>
      <c r="EV159" s="526">
        <v>0</v>
      </c>
      <c r="EW159" s="522">
        <v>0</v>
      </c>
      <c r="EX159" s="526">
        <v>125.46</v>
      </c>
      <c r="EY159" s="522">
        <v>1</v>
      </c>
      <c r="EZ159" s="526">
        <v>0</v>
      </c>
      <c r="FA159" s="522">
        <v>0</v>
      </c>
      <c r="FB159" s="526">
        <v>0</v>
      </c>
      <c r="FC159" s="522">
        <v>0</v>
      </c>
      <c r="FD159" s="526">
        <v>0</v>
      </c>
      <c r="FE159" s="522">
        <v>0</v>
      </c>
      <c r="FF159" s="526">
        <v>125.46</v>
      </c>
      <c r="FG159" s="522">
        <v>1</v>
      </c>
      <c r="FH159" s="526">
        <v>125.46</v>
      </c>
      <c r="FI159" s="522">
        <v>1</v>
      </c>
      <c r="FJ159" s="522">
        <v>86</v>
      </c>
      <c r="FK159" s="522">
        <v>0</v>
      </c>
      <c r="FL159" s="522">
        <v>0</v>
      </c>
      <c r="FM159" s="522">
        <v>0</v>
      </c>
      <c r="FN159" s="522">
        <v>0</v>
      </c>
      <c r="FO159" s="522">
        <v>0</v>
      </c>
      <c r="FP159" s="522">
        <v>2</v>
      </c>
      <c r="FQ159" s="522">
        <v>30</v>
      </c>
      <c r="FR159" s="522">
        <v>1</v>
      </c>
    </row>
    <row r="160" spans="1:174" x14ac:dyDescent="0.25">
      <c r="A160" s="523" t="s">
        <v>577</v>
      </c>
      <c r="B160" s="523" t="s">
        <v>578</v>
      </c>
      <c r="C160" s="523" t="s">
        <v>288</v>
      </c>
      <c r="D160" s="522">
        <v>4883</v>
      </c>
      <c r="E160" s="522">
        <v>4816</v>
      </c>
      <c r="F160" s="522">
        <v>0</v>
      </c>
      <c r="G160" s="522">
        <v>0</v>
      </c>
      <c r="H160" s="522">
        <v>160</v>
      </c>
      <c r="I160" s="522">
        <v>156</v>
      </c>
      <c r="J160" s="522">
        <v>512</v>
      </c>
      <c r="K160" s="522">
        <v>512</v>
      </c>
      <c r="L160" s="522">
        <v>608</v>
      </c>
      <c r="M160" s="522">
        <v>28</v>
      </c>
      <c r="N160" s="522">
        <v>6163</v>
      </c>
      <c r="O160" s="522">
        <v>5512</v>
      </c>
      <c r="P160" s="522">
        <v>5555</v>
      </c>
      <c r="Q160" s="522">
        <v>5</v>
      </c>
      <c r="R160" s="523">
        <v>3</v>
      </c>
      <c r="S160" s="523">
        <v>15</v>
      </c>
      <c r="T160" s="523">
        <v>54</v>
      </c>
      <c r="U160" s="523">
        <v>6109</v>
      </c>
      <c r="V160" s="522">
        <v>4833</v>
      </c>
      <c r="W160" s="522">
        <v>44</v>
      </c>
      <c r="X160" s="522">
        <v>19</v>
      </c>
      <c r="Y160" s="522">
        <v>63</v>
      </c>
      <c r="Z160" s="524">
        <v>110.86</v>
      </c>
      <c r="AA160" s="524">
        <v>113.92</v>
      </c>
      <c r="AB160" s="524">
        <v>4.97</v>
      </c>
      <c r="AC160" s="524">
        <v>115.39</v>
      </c>
      <c r="AD160" s="524">
        <v>4325</v>
      </c>
      <c r="AE160" s="525">
        <v>105.57</v>
      </c>
      <c r="AF160" s="525">
        <v>107.76</v>
      </c>
      <c r="AG160" s="525">
        <v>34.69</v>
      </c>
      <c r="AH160" s="525">
        <v>139.97</v>
      </c>
      <c r="AI160" s="525">
        <v>608</v>
      </c>
      <c r="AJ160" s="525">
        <v>137.51</v>
      </c>
      <c r="AK160" s="525">
        <v>438</v>
      </c>
      <c r="AL160" s="525">
        <v>236.19</v>
      </c>
      <c r="AM160" s="525">
        <v>60</v>
      </c>
      <c r="AN160" s="526">
        <v>0</v>
      </c>
      <c r="AO160" s="526">
        <v>0</v>
      </c>
      <c r="AP160" s="526">
        <v>0</v>
      </c>
      <c r="AQ160" s="526">
        <v>0</v>
      </c>
      <c r="AR160" s="522">
        <v>0</v>
      </c>
      <c r="AS160" s="526">
        <v>74.680000000000007</v>
      </c>
      <c r="AT160" s="526">
        <v>78.239999999999995</v>
      </c>
      <c r="AU160" s="526">
        <v>13.81</v>
      </c>
      <c r="AV160" s="526">
        <v>88.49</v>
      </c>
      <c r="AW160" s="522">
        <v>13</v>
      </c>
      <c r="AX160" s="526">
        <v>95.05</v>
      </c>
      <c r="AY160" s="526">
        <v>97.51</v>
      </c>
      <c r="AZ160" s="526">
        <v>6.42</v>
      </c>
      <c r="BA160" s="526">
        <v>101.31</v>
      </c>
      <c r="BB160" s="522">
        <v>962</v>
      </c>
      <c r="BC160" s="526">
        <v>108.64</v>
      </c>
      <c r="BD160" s="526">
        <v>111.29</v>
      </c>
      <c r="BE160" s="526">
        <v>5.85</v>
      </c>
      <c r="BF160" s="526">
        <v>114.06</v>
      </c>
      <c r="BG160" s="522">
        <v>1809</v>
      </c>
      <c r="BH160" s="526">
        <v>122.71</v>
      </c>
      <c r="BI160" s="526">
        <v>126.53</v>
      </c>
      <c r="BJ160" s="526">
        <v>2.72</v>
      </c>
      <c r="BK160" s="526">
        <v>125</v>
      </c>
      <c r="BL160" s="522">
        <v>1444</v>
      </c>
      <c r="BM160" s="526">
        <v>137.63999999999999</v>
      </c>
      <c r="BN160" s="526">
        <v>142.32</v>
      </c>
      <c r="BO160" s="526">
        <v>2.77</v>
      </c>
      <c r="BP160" s="526">
        <v>140.30000000000001</v>
      </c>
      <c r="BQ160" s="522">
        <v>97</v>
      </c>
      <c r="BR160" s="526">
        <v>0</v>
      </c>
      <c r="BS160" s="526">
        <v>0</v>
      </c>
      <c r="BT160" s="526">
        <v>0</v>
      </c>
      <c r="BU160" s="526">
        <v>0</v>
      </c>
      <c r="BV160" s="522">
        <v>0</v>
      </c>
      <c r="BW160" s="526">
        <v>0</v>
      </c>
      <c r="BX160" s="526">
        <v>0</v>
      </c>
      <c r="BY160" s="526">
        <v>0</v>
      </c>
      <c r="BZ160" s="526">
        <v>0</v>
      </c>
      <c r="CA160" s="522">
        <v>0</v>
      </c>
      <c r="CB160" s="526">
        <v>110.86</v>
      </c>
      <c r="CC160" s="526">
        <v>113.92</v>
      </c>
      <c r="CD160" s="526">
        <v>4.97</v>
      </c>
      <c r="CE160" s="526">
        <v>115.39</v>
      </c>
      <c r="CF160" s="522">
        <v>4325</v>
      </c>
      <c r="CG160" s="526">
        <v>110.86</v>
      </c>
      <c r="CH160" s="526">
        <v>113.92</v>
      </c>
      <c r="CI160" s="526">
        <v>4.97</v>
      </c>
      <c r="CJ160" s="526">
        <v>115.39</v>
      </c>
      <c r="CK160" s="522">
        <v>4325</v>
      </c>
      <c r="CL160" s="526">
        <v>120.07</v>
      </c>
      <c r="CM160" s="526">
        <v>130.08000000000001</v>
      </c>
      <c r="CN160" s="526">
        <v>95.79</v>
      </c>
      <c r="CO160" s="526">
        <v>208.3</v>
      </c>
      <c r="CP160" s="522">
        <v>38</v>
      </c>
      <c r="CQ160" s="526">
        <v>76.430000000000007</v>
      </c>
      <c r="CR160" s="526">
        <v>71.69</v>
      </c>
      <c r="CS160" s="526">
        <v>41.87</v>
      </c>
      <c r="CT160" s="526">
        <v>118.31</v>
      </c>
      <c r="CU160" s="522">
        <v>25</v>
      </c>
      <c r="CV160" s="526">
        <v>102.21</v>
      </c>
      <c r="CW160" s="526">
        <v>104.51</v>
      </c>
      <c r="CX160" s="526">
        <v>33.31</v>
      </c>
      <c r="CY160" s="526">
        <v>135.36000000000001</v>
      </c>
      <c r="CZ160" s="522">
        <v>439</v>
      </c>
      <c r="DA160" s="526">
        <v>121.17</v>
      </c>
      <c r="DB160" s="526">
        <v>128.16999999999999</v>
      </c>
      <c r="DC160" s="526">
        <v>18.53</v>
      </c>
      <c r="DD160" s="526">
        <v>139.69999999999999</v>
      </c>
      <c r="DE160" s="522">
        <v>106</v>
      </c>
      <c r="DF160" s="526">
        <v>0</v>
      </c>
      <c r="DG160" s="526">
        <v>0</v>
      </c>
      <c r="DH160" s="526">
        <v>0</v>
      </c>
      <c r="DI160" s="526">
        <v>0</v>
      </c>
      <c r="DJ160" s="522">
        <v>0</v>
      </c>
      <c r="DK160" s="526">
        <v>0</v>
      </c>
      <c r="DL160" s="526">
        <v>0</v>
      </c>
      <c r="DM160" s="526">
        <v>0</v>
      </c>
      <c r="DN160" s="526">
        <v>0</v>
      </c>
      <c r="DO160" s="522">
        <v>0</v>
      </c>
      <c r="DP160" s="526">
        <v>104.6</v>
      </c>
      <c r="DQ160" s="526">
        <v>107.48</v>
      </c>
      <c r="DR160" s="526">
        <v>30.92</v>
      </c>
      <c r="DS160" s="526">
        <v>135.41999999999999</v>
      </c>
      <c r="DT160" s="522">
        <v>570</v>
      </c>
      <c r="DU160" s="526">
        <v>105.57</v>
      </c>
      <c r="DV160" s="526">
        <v>107.76</v>
      </c>
      <c r="DW160" s="526">
        <v>34.69</v>
      </c>
      <c r="DX160" s="526">
        <v>139.97</v>
      </c>
      <c r="DY160" s="522">
        <v>608</v>
      </c>
      <c r="DZ160" s="526">
        <v>0</v>
      </c>
      <c r="EA160" s="526">
        <v>0</v>
      </c>
      <c r="EB160" s="526">
        <v>0</v>
      </c>
      <c r="EC160" s="522">
        <v>0</v>
      </c>
      <c r="ED160" s="526">
        <v>110.75</v>
      </c>
      <c r="EE160" s="522">
        <v>56</v>
      </c>
      <c r="EF160" s="526">
        <v>133.46</v>
      </c>
      <c r="EG160" s="522">
        <v>218</v>
      </c>
      <c r="EH160" s="526">
        <v>149.78</v>
      </c>
      <c r="EI160" s="522">
        <v>156</v>
      </c>
      <c r="EJ160" s="526">
        <v>195.93</v>
      </c>
      <c r="EK160" s="522">
        <v>8</v>
      </c>
      <c r="EL160" s="526">
        <v>0</v>
      </c>
      <c r="EM160" s="522">
        <v>0</v>
      </c>
      <c r="EN160" s="526">
        <v>0</v>
      </c>
      <c r="EO160" s="522">
        <v>0</v>
      </c>
      <c r="EP160" s="526">
        <v>137.51</v>
      </c>
      <c r="EQ160" s="522">
        <v>438</v>
      </c>
      <c r="ER160" s="526">
        <v>137.51</v>
      </c>
      <c r="ES160" s="522">
        <v>438</v>
      </c>
      <c r="ET160" s="526">
        <v>0</v>
      </c>
      <c r="EU160" s="526">
        <v>0</v>
      </c>
      <c r="EV160" s="526">
        <v>0</v>
      </c>
      <c r="EW160" s="522">
        <v>0</v>
      </c>
      <c r="EX160" s="526">
        <v>255.68</v>
      </c>
      <c r="EY160" s="522">
        <v>24</v>
      </c>
      <c r="EZ160" s="526">
        <v>223.2</v>
      </c>
      <c r="FA160" s="522">
        <v>36</v>
      </c>
      <c r="FB160" s="526">
        <v>0</v>
      </c>
      <c r="FC160" s="522">
        <v>0</v>
      </c>
      <c r="FD160" s="526">
        <v>0</v>
      </c>
      <c r="FE160" s="522">
        <v>0</v>
      </c>
      <c r="FF160" s="526">
        <v>236.19</v>
      </c>
      <c r="FG160" s="522">
        <v>60</v>
      </c>
      <c r="FH160" s="526">
        <v>236.19</v>
      </c>
      <c r="FI160" s="522">
        <v>60</v>
      </c>
      <c r="FJ160" s="522">
        <v>0</v>
      </c>
      <c r="FK160" s="522">
        <v>2</v>
      </c>
      <c r="FL160" s="522">
        <v>1</v>
      </c>
      <c r="FM160" s="522">
        <v>0</v>
      </c>
      <c r="FN160" s="522">
        <v>0</v>
      </c>
      <c r="FO160" s="522">
        <v>1</v>
      </c>
      <c r="FP160" s="522">
        <v>0</v>
      </c>
      <c r="FQ160" s="522">
        <v>89</v>
      </c>
      <c r="FR160" s="522">
        <v>3</v>
      </c>
    </row>
    <row r="161" spans="1:174" x14ac:dyDescent="0.25">
      <c r="A161" s="523" t="s">
        <v>579</v>
      </c>
      <c r="B161" s="523" t="s">
        <v>580</v>
      </c>
      <c r="C161" s="523" t="s">
        <v>286</v>
      </c>
      <c r="D161" s="522">
        <v>46291</v>
      </c>
      <c r="E161" s="522">
        <v>47128</v>
      </c>
      <c r="F161" s="522">
        <v>256</v>
      </c>
      <c r="G161" s="522">
        <v>580</v>
      </c>
      <c r="H161" s="522">
        <v>1909</v>
      </c>
      <c r="I161" s="522">
        <v>1031</v>
      </c>
      <c r="J161" s="522">
        <v>3376</v>
      </c>
      <c r="K161" s="522">
        <v>3439</v>
      </c>
      <c r="L161" s="522">
        <v>1856</v>
      </c>
      <c r="M161" s="522">
        <v>10</v>
      </c>
      <c r="N161" s="522">
        <v>53688</v>
      </c>
      <c r="O161" s="522">
        <v>52188</v>
      </c>
      <c r="P161" s="522">
        <v>51832</v>
      </c>
      <c r="Q161" s="522">
        <v>302</v>
      </c>
      <c r="R161" s="523">
        <v>20</v>
      </c>
      <c r="S161" s="523">
        <v>31</v>
      </c>
      <c r="T161" s="523">
        <v>945</v>
      </c>
      <c r="U161" s="523">
        <v>52743</v>
      </c>
      <c r="V161" s="522">
        <v>45868</v>
      </c>
      <c r="W161" s="522">
        <v>155</v>
      </c>
      <c r="X161" s="522">
        <v>198</v>
      </c>
      <c r="Y161" s="522">
        <v>353</v>
      </c>
      <c r="Z161" s="524">
        <v>93.24</v>
      </c>
      <c r="AA161" s="524">
        <v>98.68</v>
      </c>
      <c r="AB161" s="524">
        <v>7.58</v>
      </c>
      <c r="AC161" s="524">
        <v>96.28</v>
      </c>
      <c r="AD161" s="524">
        <v>41892</v>
      </c>
      <c r="AE161" s="525">
        <v>93.02</v>
      </c>
      <c r="AF161" s="525">
        <v>89.05</v>
      </c>
      <c r="AG161" s="525">
        <v>56.83</v>
      </c>
      <c r="AH161" s="525">
        <v>146.15</v>
      </c>
      <c r="AI161" s="525">
        <v>4771</v>
      </c>
      <c r="AJ161" s="525">
        <v>130.29</v>
      </c>
      <c r="AK161" s="525">
        <v>3426</v>
      </c>
      <c r="AL161" s="525">
        <v>148.34</v>
      </c>
      <c r="AM161" s="525">
        <v>126</v>
      </c>
      <c r="AN161" s="526">
        <v>49.07</v>
      </c>
      <c r="AO161" s="526">
        <v>69.900000000000006</v>
      </c>
      <c r="AP161" s="526">
        <v>8.6999999999999993</v>
      </c>
      <c r="AQ161" s="526">
        <v>55.79</v>
      </c>
      <c r="AR161" s="522">
        <v>22</v>
      </c>
      <c r="AS161" s="526">
        <v>75.73</v>
      </c>
      <c r="AT161" s="526">
        <v>81.209999999999994</v>
      </c>
      <c r="AU161" s="526">
        <v>15.48</v>
      </c>
      <c r="AV161" s="526">
        <v>90.55</v>
      </c>
      <c r="AW161" s="522">
        <v>232</v>
      </c>
      <c r="AX161" s="526">
        <v>80.55</v>
      </c>
      <c r="AY161" s="526">
        <v>84.15</v>
      </c>
      <c r="AZ161" s="526">
        <v>10.75</v>
      </c>
      <c r="BA161" s="526">
        <v>88.98</v>
      </c>
      <c r="BB161" s="522">
        <v>8536</v>
      </c>
      <c r="BC161" s="526">
        <v>89.43</v>
      </c>
      <c r="BD161" s="526">
        <v>94.32</v>
      </c>
      <c r="BE161" s="526">
        <v>8.2799999999999994</v>
      </c>
      <c r="BF161" s="526">
        <v>92.63</v>
      </c>
      <c r="BG161" s="522">
        <v>13180</v>
      </c>
      <c r="BH161" s="526">
        <v>100.45</v>
      </c>
      <c r="BI161" s="526">
        <v>106.94</v>
      </c>
      <c r="BJ161" s="526">
        <v>1.88</v>
      </c>
      <c r="BK161" s="526">
        <v>100.88</v>
      </c>
      <c r="BL161" s="522">
        <v>18231</v>
      </c>
      <c r="BM161" s="526">
        <v>111.1</v>
      </c>
      <c r="BN161" s="526">
        <v>118.6</v>
      </c>
      <c r="BO161" s="526">
        <v>2.27</v>
      </c>
      <c r="BP161" s="526">
        <v>111.85</v>
      </c>
      <c r="BQ161" s="522">
        <v>1486</v>
      </c>
      <c r="BR161" s="526">
        <v>119.3</v>
      </c>
      <c r="BS161" s="526">
        <v>127.03</v>
      </c>
      <c r="BT161" s="526">
        <v>4.37</v>
      </c>
      <c r="BU161" s="526">
        <v>120.61</v>
      </c>
      <c r="BV161" s="522">
        <v>156</v>
      </c>
      <c r="BW161" s="526">
        <v>129.84</v>
      </c>
      <c r="BX161" s="526">
        <v>137.85</v>
      </c>
      <c r="BY161" s="526">
        <v>7.52</v>
      </c>
      <c r="BZ161" s="526">
        <v>133.37</v>
      </c>
      <c r="CA161" s="522">
        <v>49</v>
      </c>
      <c r="CB161" s="526">
        <v>93.27</v>
      </c>
      <c r="CC161" s="526">
        <v>98.7</v>
      </c>
      <c r="CD161" s="526">
        <v>7.58</v>
      </c>
      <c r="CE161" s="526">
        <v>96.3</v>
      </c>
      <c r="CF161" s="522">
        <v>41870</v>
      </c>
      <c r="CG161" s="526">
        <v>93.24</v>
      </c>
      <c r="CH161" s="526">
        <v>98.68</v>
      </c>
      <c r="CI161" s="526">
        <v>7.58</v>
      </c>
      <c r="CJ161" s="526">
        <v>96.28</v>
      </c>
      <c r="CK161" s="522">
        <v>41892</v>
      </c>
      <c r="CL161" s="526">
        <v>95.5</v>
      </c>
      <c r="CM161" s="526">
        <v>85.11</v>
      </c>
      <c r="CN161" s="526">
        <v>119.42</v>
      </c>
      <c r="CO161" s="526">
        <v>193.07</v>
      </c>
      <c r="CP161" s="522">
        <v>645</v>
      </c>
      <c r="CQ161" s="526">
        <v>79.8</v>
      </c>
      <c r="CR161" s="526">
        <v>77.55</v>
      </c>
      <c r="CS161" s="526">
        <v>47.6</v>
      </c>
      <c r="CT161" s="526">
        <v>126.53</v>
      </c>
      <c r="CU161" s="522">
        <v>604</v>
      </c>
      <c r="CV161" s="526">
        <v>92.4</v>
      </c>
      <c r="CW161" s="526">
        <v>88.44</v>
      </c>
      <c r="CX161" s="526">
        <v>49.11</v>
      </c>
      <c r="CY161" s="526">
        <v>139.72999999999999</v>
      </c>
      <c r="CZ161" s="522">
        <v>2914</v>
      </c>
      <c r="DA161" s="526">
        <v>105.85</v>
      </c>
      <c r="DB161" s="526">
        <v>106.36</v>
      </c>
      <c r="DC161" s="526">
        <v>46.29</v>
      </c>
      <c r="DD161" s="526">
        <v>147.03</v>
      </c>
      <c r="DE161" s="522">
        <v>571</v>
      </c>
      <c r="DF161" s="526">
        <v>114.01</v>
      </c>
      <c r="DG161" s="526">
        <v>112.33</v>
      </c>
      <c r="DH161" s="526">
        <v>37.130000000000003</v>
      </c>
      <c r="DI161" s="526">
        <v>139.13</v>
      </c>
      <c r="DJ161" s="522">
        <v>34</v>
      </c>
      <c r="DK161" s="526">
        <v>142.66</v>
      </c>
      <c r="DL161" s="526">
        <v>134.36000000000001</v>
      </c>
      <c r="DM161" s="526">
        <v>30.44</v>
      </c>
      <c r="DN161" s="526">
        <v>152.81</v>
      </c>
      <c r="DO161" s="522">
        <v>3</v>
      </c>
      <c r="DP161" s="526">
        <v>92.64</v>
      </c>
      <c r="DQ161" s="526">
        <v>89.57</v>
      </c>
      <c r="DR161" s="526">
        <v>48.44</v>
      </c>
      <c r="DS161" s="526">
        <v>138.81</v>
      </c>
      <c r="DT161" s="522">
        <v>4126</v>
      </c>
      <c r="DU161" s="526">
        <v>93.02</v>
      </c>
      <c r="DV161" s="526">
        <v>89.05</v>
      </c>
      <c r="DW161" s="526">
        <v>56.83</v>
      </c>
      <c r="DX161" s="526">
        <v>146.15</v>
      </c>
      <c r="DY161" s="522">
        <v>4771</v>
      </c>
      <c r="DZ161" s="526">
        <v>56.25</v>
      </c>
      <c r="EA161" s="526">
        <v>12</v>
      </c>
      <c r="EB161" s="526">
        <v>119.99</v>
      </c>
      <c r="EC161" s="522">
        <v>1</v>
      </c>
      <c r="ED161" s="526">
        <v>115.66</v>
      </c>
      <c r="EE161" s="522">
        <v>466</v>
      </c>
      <c r="EF161" s="526">
        <v>128.69</v>
      </c>
      <c r="EG161" s="522">
        <v>1604</v>
      </c>
      <c r="EH161" s="526">
        <v>134.72</v>
      </c>
      <c r="EI161" s="522">
        <v>1195</v>
      </c>
      <c r="EJ161" s="526">
        <v>164.04</v>
      </c>
      <c r="EK161" s="522">
        <v>134</v>
      </c>
      <c r="EL161" s="526">
        <v>161.16999999999999</v>
      </c>
      <c r="EM161" s="522">
        <v>13</v>
      </c>
      <c r="EN161" s="526">
        <v>195.37</v>
      </c>
      <c r="EO161" s="522">
        <v>1</v>
      </c>
      <c r="EP161" s="526">
        <v>130.55000000000001</v>
      </c>
      <c r="EQ161" s="522">
        <v>3414</v>
      </c>
      <c r="ER161" s="526">
        <v>130.29</v>
      </c>
      <c r="ES161" s="522">
        <v>3426</v>
      </c>
      <c r="ET161" s="526">
        <v>118.47</v>
      </c>
      <c r="EU161" s="526">
        <v>21</v>
      </c>
      <c r="EV161" s="526">
        <v>0</v>
      </c>
      <c r="EW161" s="522">
        <v>0</v>
      </c>
      <c r="EX161" s="526">
        <v>129.91999999999999</v>
      </c>
      <c r="EY161" s="522">
        <v>24</v>
      </c>
      <c r="EZ161" s="526">
        <v>161.54</v>
      </c>
      <c r="FA161" s="522">
        <v>81</v>
      </c>
      <c r="FB161" s="526">
        <v>0</v>
      </c>
      <c r="FC161" s="522">
        <v>0</v>
      </c>
      <c r="FD161" s="526">
        <v>0</v>
      </c>
      <c r="FE161" s="522">
        <v>0</v>
      </c>
      <c r="FF161" s="526">
        <v>154.31</v>
      </c>
      <c r="FG161" s="522">
        <v>105</v>
      </c>
      <c r="FH161" s="526">
        <v>148.34</v>
      </c>
      <c r="FI161" s="522">
        <v>126</v>
      </c>
      <c r="FJ161" s="522">
        <v>0</v>
      </c>
      <c r="FK161" s="522">
        <v>112</v>
      </c>
      <c r="FL161" s="522">
        <v>61</v>
      </c>
      <c r="FM161" s="522">
        <v>0</v>
      </c>
      <c r="FN161" s="522">
        <v>51</v>
      </c>
      <c r="FO161" s="522">
        <v>0</v>
      </c>
      <c r="FP161" s="522">
        <v>7</v>
      </c>
      <c r="FQ161" s="522">
        <v>119</v>
      </c>
      <c r="FR161" s="522">
        <v>39</v>
      </c>
    </row>
    <row r="162" spans="1:174" x14ac:dyDescent="0.25">
      <c r="A162" s="523" t="s">
        <v>581</v>
      </c>
      <c r="B162" s="523" t="s">
        <v>582</v>
      </c>
      <c r="C162" s="523" t="s">
        <v>282</v>
      </c>
      <c r="D162" s="522">
        <v>1751</v>
      </c>
      <c r="E162" s="522">
        <v>1745</v>
      </c>
      <c r="F162" s="522">
        <v>0</v>
      </c>
      <c r="G162" s="522">
        <v>0</v>
      </c>
      <c r="H162" s="522">
        <v>338</v>
      </c>
      <c r="I162" s="522">
        <v>262</v>
      </c>
      <c r="J162" s="522">
        <v>237</v>
      </c>
      <c r="K162" s="522">
        <v>84</v>
      </c>
      <c r="L162" s="522">
        <v>151</v>
      </c>
      <c r="M162" s="522">
        <v>0</v>
      </c>
      <c r="N162" s="522">
        <v>2477</v>
      </c>
      <c r="O162" s="522">
        <v>2091</v>
      </c>
      <c r="P162" s="522">
        <v>2326</v>
      </c>
      <c r="Q162" s="522">
        <v>2</v>
      </c>
      <c r="R162" s="523">
        <v>5</v>
      </c>
      <c r="S162" s="523">
        <v>24</v>
      </c>
      <c r="T162" s="523">
        <v>222</v>
      </c>
      <c r="U162" s="523">
        <v>2255</v>
      </c>
      <c r="V162" s="522">
        <v>1751</v>
      </c>
      <c r="W162" s="522">
        <v>5</v>
      </c>
      <c r="X162" s="522">
        <v>6</v>
      </c>
      <c r="Y162" s="522">
        <v>11</v>
      </c>
      <c r="Z162" s="524">
        <v>93.59</v>
      </c>
      <c r="AA162" s="524">
        <v>93.3</v>
      </c>
      <c r="AB162" s="524">
        <v>8.2100000000000009</v>
      </c>
      <c r="AC162" s="524">
        <v>97.56</v>
      </c>
      <c r="AD162" s="524">
        <v>1629</v>
      </c>
      <c r="AE162" s="525">
        <v>138.09</v>
      </c>
      <c r="AF162" s="525">
        <v>91.91</v>
      </c>
      <c r="AG162" s="525">
        <v>98.28</v>
      </c>
      <c r="AH162" s="525">
        <v>231.92</v>
      </c>
      <c r="AI162" s="525">
        <v>353</v>
      </c>
      <c r="AJ162" s="525">
        <v>112.48</v>
      </c>
      <c r="AK162" s="525">
        <v>117</v>
      </c>
      <c r="AL162" s="525">
        <v>282.61</v>
      </c>
      <c r="AM162" s="525">
        <v>5</v>
      </c>
      <c r="AN162" s="526">
        <v>0</v>
      </c>
      <c r="AO162" s="526">
        <v>0</v>
      </c>
      <c r="AP162" s="526">
        <v>0</v>
      </c>
      <c r="AQ162" s="526">
        <v>0</v>
      </c>
      <c r="AR162" s="522">
        <v>0</v>
      </c>
      <c r="AS162" s="526">
        <v>66.45</v>
      </c>
      <c r="AT162" s="526">
        <v>65.540000000000006</v>
      </c>
      <c r="AU162" s="526">
        <v>14.58</v>
      </c>
      <c r="AV162" s="526">
        <v>81.03</v>
      </c>
      <c r="AW162" s="522">
        <v>13</v>
      </c>
      <c r="AX162" s="526">
        <v>78.459999999999994</v>
      </c>
      <c r="AY162" s="526">
        <v>77.7</v>
      </c>
      <c r="AZ162" s="526">
        <v>11.85</v>
      </c>
      <c r="BA162" s="526">
        <v>89.83</v>
      </c>
      <c r="BB162" s="522">
        <v>221</v>
      </c>
      <c r="BC162" s="526">
        <v>92.31</v>
      </c>
      <c r="BD162" s="526">
        <v>91.61</v>
      </c>
      <c r="BE162" s="526">
        <v>7.85</v>
      </c>
      <c r="BF162" s="526">
        <v>96.41</v>
      </c>
      <c r="BG162" s="522">
        <v>694</v>
      </c>
      <c r="BH162" s="526">
        <v>99.64</v>
      </c>
      <c r="BI162" s="526">
        <v>99.95</v>
      </c>
      <c r="BJ162" s="526">
        <v>4.6500000000000004</v>
      </c>
      <c r="BK162" s="526">
        <v>100.99</v>
      </c>
      <c r="BL162" s="522">
        <v>668</v>
      </c>
      <c r="BM162" s="526">
        <v>109.72</v>
      </c>
      <c r="BN162" s="526">
        <v>109.38</v>
      </c>
      <c r="BO162" s="526">
        <v>3.61</v>
      </c>
      <c r="BP162" s="526">
        <v>110.59</v>
      </c>
      <c r="BQ162" s="522">
        <v>33</v>
      </c>
      <c r="BR162" s="526">
        <v>0</v>
      </c>
      <c r="BS162" s="526">
        <v>0</v>
      </c>
      <c r="BT162" s="526">
        <v>0</v>
      </c>
      <c r="BU162" s="526">
        <v>0</v>
      </c>
      <c r="BV162" s="522">
        <v>0</v>
      </c>
      <c r="BW162" s="526">
        <v>0</v>
      </c>
      <c r="BX162" s="526">
        <v>0</v>
      </c>
      <c r="BY162" s="526">
        <v>0</v>
      </c>
      <c r="BZ162" s="526">
        <v>0</v>
      </c>
      <c r="CA162" s="522">
        <v>0</v>
      </c>
      <c r="CB162" s="526">
        <v>93.59</v>
      </c>
      <c r="CC162" s="526">
        <v>93.3</v>
      </c>
      <c r="CD162" s="526">
        <v>8.2100000000000009</v>
      </c>
      <c r="CE162" s="526">
        <v>97.56</v>
      </c>
      <c r="CF162" s="522">
        <v>1629</v>
      </c>
      <c r="CG162" s="526">
        <v>93.59</v>
      </c>
      <c r="CH162" s="526">
        <v>93.3</v>
      </c>
      <c r="CI162" s="526">
        <v>8.2100000000000009</v>
      </c>
      <c r="CJ162" s="526">
        <v>97.56</v>
      </c>
      <c r="CK162" s="522">
        <v>1629</v>
      </c>
      <c r="CL162" s="526">
        <v>184.41</v>
      </c>
      <c r="CM162" s="526">
        <v>81.77</v>
      </c>
      <c r="CN162" s="526">
        <v>74.94</v>
      </c>
      <c r="CO162" s="526">
        <v>259.35000000000002</v>
      </c>
      <c r="CP162" s="522">
        <v>92</v>
      </c>
      <c r="CQ162" s="526">
        <v>88.01</v>
      </c>
      <c r="CR162" s="526">
        <v>80.489999999999995</v>
      </c>
      <c r="CS162" s="526">
        <v>92.91</v>
      </c>
      <c r="CT162" s="526">
        <v>180.92</v>
      </c>
      <c r="CU162" s="522">
        <v>14</v>
      </c>
      <c r="CV162" s="526">
        <v>127.05</v>
      </c>
      <c r="CW162" s="526">
        <v>94.37</v>
      </c>
      <c r="CX162" s="526">
        <v>119.21</v>
      </c>
      <c r="CY162" s="526">
        <v>239.55</v>
      </c>
      <c r="CZ162" s="522">
        <v>213</v>
      </c>
      <c r="DA162" s="526">
        <v>99.66</v>
      </c>
      <c r="DB162" s="526">
        <v>91.36</v>
      </c>
      <c r="DC162" s="526">
        <v>31.46</v>
      </c>
      <c r="DD162" s="526">
        <v>130.07</v>
      </c>
      <c r="DE162" s="522">
        <v>30</v>
      </c>
      <c r="DF162" s="526">
        <v>124.29</v>
      </c>
      <c r="DG162" s="526">
        <v>119.23</v>
      </c>
      <c r="DH162" s="526">
        <v>50.3</v>
      </c>
      <c r="DI162" s="526">
        <v>136.87</v>
      </c>
      <c r="DJ162" s="522">
        <v>4</v>
      </c>
      <c r="DK162" s="526">
        <v>0</v>
      </c>
      <c r="DL162" s="526">
        <v>0</v>
      </c>
      <c r="DM162" s="526">
        <v>0</v>
      </c>
      <c r="DN162" s="526">
        <v>0</v>
      </c>
      <c r="DO162" s="522">
        <v>0</v>
      </c>
      <c r="DP162" s="526">
        <v>121.77</v>
      </c>
      <c r="DQ162" s="526">
        <v>93.33</v>
      </c>
      <c r="DR162" s="526">
        <v>107.04</v>
      </c>
      <c r="DS162" s="526">
        <v>222.25</v>
      </c>
      <c r="DT162" s="522">
        <v>261</v>
      </c>
      <c r="DU162" s="526">
        <v>138.09</v>
      </c>
      <c r="DV162" s="526">
        <v>91.91</v>
      </c>
      <c r="DW162" s="526">
        <v>98.28</v>
      </c>
      <c r="DX162" s="526">
        <v>231.92</v>
      </c>
      <c r="DY162" s="522">
        <v>353</v>
      </c>
      <c r="DZ162" s="526">
        <v>0</v>
      </c>
      <c r="EA162" s="526">
        <v>0</v>
      </c>
      <c r="EB162" s="526">
        <v>0</v>
      </c>
      <c r="EC162" s="522">
        <v>0</v>
      </c>
      <c r="ED162" s="526">
        <v>98.84</v>
      </c>
      <c r="EE162" s="522">
        <v>25</v>
      </c>
      <c r="EF162" s="526">
        <v>113.52</v>
      </c>
      <c r="EG162" s="522">
        <v>51</v>
      </c>
      <c r="EH162" s="526">
        <v>119.24</v>
      </c>
      <c r="EI162" s="522">
        <v>37</v>
      </c>
      <c r="EJ162" s="526">
        <v>122.03</v>
      </c>
      <c r="EK162" s="522">
        <v>4</v>
      </c>
      <c r="EL162" s="526">
        <v>0</v>
      </c>
      <c r="EM162" s="522">
        <v>0</v>
      </c>
      <c r="EN162" s="526">
        <v>0</v>
      </c>
      <c r="EO162" s="522">
        <v>0</v>
      </c>
      <c r="EP162" s="526">
        <v>112.48</v>
      </c>
      <c r="EQ162" s="522">
        <v>117</v>
      </c>
      <c r="ER162" s="526">
        <v>112.48</v>
      </c>
      <c r="ES162" s="522">
        <v>117</v>
      </c>
      <c r="ET162" s="526">
        <v>0</v>
      </c>
      <c r="EU162" s="526">
        <v>0</v>
      </c>
      <c r="EV162" s="526">
        <v>0</v>
      </c>
      <c r="EW162" s="522">
        <v>0</v>
      </c>
      <c r="EX162" s="526">
        <v>282.61</v>
      </c>
      <c r="EY162" s="522">
        <v>5</v>
      </c>
      <c r="EZ162" s="526">
        <v>0</v>
      </c>
      <c r="FA162" s="522">
        <v>0</v>
      </c>
      <c r="FB162" s="526">
        <v>0</v>
      </c>
      <c r="FC162" s="522">
        <v>0</v>
      </c>
      <c r="FD162" s="526">
        <v>0</v>
      </c>
      <c r="FE162" s="522">
        <v>0</v>
      </c>
      <c r="FF162" s="526">
        <v>282.61</v>
      </c>
      <c r="FG162" s="522">
        <v>5</v>
      </c>
      <c r="FH162" s="526">
        <v>282.61</v>
      </c>
      <c r="FI162" s="522">
        <v>5</v>
      </c>
      <c r="FJ162" s="522">
        <v>39</v>
      </c>
      <c r="FK162" s="522">
        <v>0</v>
      </c>
      <c r="FL162" s="522">
        <v>0</v>
      </c>
      <c r="FM162" s="522">
        <v>0</v>
      </c>
      <c r="FN162" s="522">
        <v>0</v>
      </c>
      <c r="FO162" s="522">
        <v>0</v>
      </c>
      <c r="FP162" s="522">
        <v>3</v>
      </c>
      <c r="FQ162" s="522">
        <v>15</v>
      </c>
      <c r="FR162" s="522">
        <v>2</v>
      </c>
    </row>
    <row r="163" spans="1:174" x14ac:dyDescent="0.25">
      <c r="A163" s="523" t="s">
        <v>583</v>
      </c>
      <c r="B163" s="523" t="s">
        <v>584</v>
      </c>
      <c r="C163" s="523" t="s">
        <v>2</v>
      </c>
      <c r="D163" s="522">
        <v>4227</v>
      </c>
      <c r="E163" s="522">
        <v>3731</v>
      </c>
      <c r="F163" s="522">
        <v>0</v>
      </c>
      <c r="G163" s="522">
        <v>14</v>
      </c>
      <c r="H163" s="522">
        <v>370</v>
      </c>
      <c r="I163" s="522">
        <v>152</v>
      </c>
      <c r="J163" s="522">
        <v>937</v>
      </c>
      <c r="K163" s="522">
        <v>883</v>
      </c>
      <c r="L163" s="522">
        <v>1774</v>
      </c>
      <c r="M163" s="522">
        <v>460</v>
      </c>
      <c r="N163" s="522">
        <v>7308</v>
      </c>
      <c r="O163" s="522">
        <v>5240</v>
      </c>
      <c r="P163" s="522">
        <v>5534</v>
      </c>
      <c r="Q163" s="522">
        <v>33</v>
      </c>
      <c r="R163" s="523">
        <v>4</v>
      </c>
      <c r="S163" s="523">
        <v>27</v>
      </c>
      <c r="T163" s="523">
        <v>182</v>
      </c>
      <c r="U163" s="523">
        <v>7126</v>
      </c>
      <c r="V163" s="522">
        <v>4196</v>
      </c>
      <c r="W163" s="522">
        <v>84</v>
      </c>
      <c r="X163" s="522">
        <v>38</v>
      </c>
      <c r="Y163" s="522">
        <v>122</v>
      </c>
      <c r="Z163" s="524">
        <v>113.95</v>
      </c>
      <c r="AA163" s="524">
        <v>114.64</v>
      </c>
      <c r="AB163" s="524">
        <v>10.65</v>
      </c>
      <c r="AC163" s="524">
        <v>122.66</v>
      </c>
      <c r="AD163" s="524">
        <v>3059</v>
      </c>
      <c r="AE163" s="525">
        <v>110.2</v>
      </c>
      <c r="AF163" s="525">
        <v>98.89</v>
      </c>
      <c r="AG163" s="525">
        <v>55.17</v>
      </c>
      <c r="AH163" s="525">
        <v>163.61000000000001</v>
      </c>
      <c r="AI163" s="525">
        <v>1101</v>
      </c>
      <c r="AJ163" s="525">
        <v>155.33000000000001</v>
      </c>
      <c r="AK163" s="525">
        <v>971</v>
      </c>
      <c r="AL163" s="525">
        <v>146.01</v>
      </c>
      <c r="AM163" s="525">
        <v>55</v>
      </c>
      <c r="AN163" s="526">
        <v>0</v>
      </c>
      <c r="AO163" s="526">
        <v>0</v>
      </c>
      <c r="AP163" s="526">
        <v>0</v>
      </c>
      <c r="AQ163" s="526">
        <v>0</v>
      </c>
      <c r="AR163" s="522">
        <v>0</v>
      </c>
      <c r="AS163" s="526">
        <v>79.66</v>
      </c>
      <c r="AT163" s="526">
        <v>78.459999999999994</v>
      </c>
      <c r="AU163" s="526">
        <v>9.92</v>
      </c>
      <c r="AV163" s="526">
        <v>88.48</v>
      </c>
      <c r="AW163" s="522">
        <v>9</v>
      </c>
      <c r="AX163" s="526">
        <v>94.08</v>
      </c>
      <c r="AY163" s="526">
        <v>94.63</v>
      </c>
      <c r="AZ163" s="526">
        <v>15.82</v>
      </c>
      <c r="BA163" s="526">
        <v>109.49</v>
      </c>
      <c r="BB163" s="522">
        <v>540</v>
      </c>
      <c r="BC163" s="526">
        <v>108.8</v>
      </c>
      <c r="BD163" s="526">
        <v>109.51</v>
      </c>
      <c r="BE163" s="526">
        <v>12.97</v>
      </c>
      <c r="BF163" s="526">
        <v>119.66</v>
      </c>
      <c r="BG163" s="522">
        <v>1251</v>
      </c>
      <c r="BH163" s="526">
        <v>126.15</v>
      </c>
      <c r="BI163" s="526">
        <v>126.77</v>
      </c>
      <c r="BJ163" s="526">
        <v>4.99</v>
      </c>
      <c r="BK163" s="526">
        <v>129.76</v>
      </c>
      <c r="BL163" s="522">
        <v>1136</v>
      </c>
      <c r="BM163" s="526">
        <v>142.72999999999999</v>
      </c>
      <c r="BN163" s="526">
        <v>144.66</v>
      </c>
      <c r="BO163" s="526">
        <v>5.69</v>
      </c>
      <c r="BP163" s="526">
        <v>147.38999999999999</v>
      </c>
      <c r="BQ163" s="522">
        <v>116</v>
      </c>
      <c r="BR163" s="526">
        <v>150.34</v>
      </c>
      <c r="BS163" s="526">
        <v>153.04</v>
      </c>
      <c r="BT163" s="526">
        <v>5.88</v>
      </c>
      <c r="BU163" s="526">
        <v>155.24</v>
      </c>
      <c r="BV163" s="522">
        <v>6</v>
      </c>
      <c r="BW163" s="526">
        <v>169.92</v>
      </c>
      <c r="BX163" s="526">
        <v>161.83000000000001</v>
      </c>
      <c r="BY163" s="526">
        <v>0</v>
      </c>
      <c r="BZ163" s="526">
        <v>169.92</v>
      </c>
      <c r="CA163" s="522">
        <v>1</v>
      </c>
      <c r="CB163" s="526">
        <v>113.95</v>
      </c>
      <c r="CC163" s="526">
        <v>114.64</v>
      </c>
      <c r="CD163" s="526">
        <v>10.65</v>
      </c>
      <c r="CE163" s="526">
        <v>122.66</v>
      </c>
      <c r="CF163" s="522">
        <v>3059</v>
      </c>
      <c r="CG163" s="526">
        <v>113.95</v>
      </c>
      <c r="CH163" s="526">
        <v>114.64</v>
      </c>
      <c r="CI163" s="526">
        <v>10.65</v>
      </c>
      <c r="CJ163" s="526">
        <v>122.66</v>
      </c>
      <c r="CK163" s="522">
        <v>3059</v>
      </c>
      <c r="CL163" s="526">
        <v>137.69</v>
      </c>
      <c r="CM163" s="526">
        <v>89.7</v>
      </c>
      <c r="CN163" s="526">
        <v>138.69999999999999</v>
      </c>
      <c r="CO163" s="526">
        <v>252.74</v>
      </c>
      <c r="CP163" s="522">
        <v>129</v>
      </c>
      <c r="CQ163" s="526">
        <v>81.03</v>
      </c>
      <c r="CR163" s="526">
        <v>77.239999999999995</v>
      </c>
      <c r="CS163" s="526">
        <v>53.67</v>
      </c>
      <c r="CT163" s="526">
        <v>134.29</v>
      </c>
      <c r="CU163" s="522">
        <v>133</v>
      </c>
      <c r="CV163" s="526">
        <v>104.83</v>
      </c>
      <c r="CW163" s="526">
        <v>99.09</v>
      </c>
      <c r="CX163" s="526">
        <v>45.35</v>
      </c>
      <c r="CY163" s="526">
        <v>149.4</v>
      </c>
      <c r="CZ163" s="522">
        <v>645</v>
      </c>
      <c r="DA163" s="526">
        <v>128.78</v>
      </c>
      <c r="DB163" s="526">
        <v>117.87</v>
      </c>
      <c r="DC163" s="526">
        <v>42.99</v>
      </c>
      <c r="DD163" s="526">
        <v>171.53</v>
      </c>
      <c r="DE163" s="522">
        <v>184</v>
      </c>
      <c r="DF163" s="526">
        <v>147.81</v>
      </c>
      <c r="DG163" s="526">
        <v>120.21</v>
      </c>
      <c r="DH163" s="526">
        <v>26.96</v>
      </c>
      <c r="DI163" s="526">
        <v>174.77</v>
      </c>
      <c r="DJ163" s="522">
        <v>10</v>
      </c>
      <c r="DK163" s="526">
        <v>0</v>
      </c>
      <c r="DL163" s="526">
        <v>0</v>
      </c>
      <c r="DM163" s="526">
        <v>0</v>
      </c>
      <c r="DN163" s="526">
        <v>0</v>
      </c>
      <c r="DO163" s="522">
        <v>0</v>
      </c>
      <c r="DP163" s="526">
        <v>106.55</v>
      </c>
      <c r="DQ163" s="526">
        <v>99.78</v>
      </c>
      <c r="DR163" s="526">
        <v>45.85</v>
      </c>
      <c r="DS163" s="526">
        <v>151.78</v>
      </c>
      <c r="DT163" s="522">
        <v>972</v>
      </c>
      <c r="DU163" s="526">
        <v>110.2</v>
      </c>
      <c r="DV163" s="526">
        <v>98.89</v>
      </c>
      <c r="DW163" s="526">
        <v>55.17</v>
      </c>
      <c r="DX163" s="526">
        <v>163.61000000000001</v>
      </c>
      <c r="DY163" s="522">
        <v>1101</v>
      </c>
      <c r="DZ163" s="526">
        <v>0</v>
      </c>
      <c r="EA163" s="526">
        <v>0</v>
      </c>
      <c r="EB163" s="526">
        <v>76.94</v>
      </c>
      <c r="EC163" s="522">
        <v>1</v>
      </c>
      <c r="ED163" s="526">
        <v>130.34</v>
      </c>
      <c r="EE163" s="522">
        <v>228</v>
      </c>
      <c r="EF163" s="526">
        <v>153.81</v>
      </c>
      <c r="EG163" s="522">
        <v>507</v>
      </c>
      <c r="EH163" s="526">
        <v>171.47</v>
      </c>
      <c r="EI163" s="522">
        <v>185</v>
      </c>
      <c r="EJ163" s="526">
        <v>226.68</v>
      </c>
      <c r="EK163" s="522">
        <v>50</v>
      </c>
      <c r="EL163" s="526">
        <v>0</v>
      </c>
      <c r="EM163" s="522">
        <v>0</v>
      </c>
      <c r="EN163" s="526">
        <v>0</v>
      </c>
      <c r="EO163" s="522">
        <v>0</v>
      </c>
      <c r="EP163" s="526">
        <v>155.33000000000001</v>
      </c>
      <c r="EQ163" s="522">
        <v>971</v>
      </c>
      <c r="ER163" s="526">
        <v>155.33000000000001</v>
      </c>
      <c r="ES163" s="522">
        <v>971</v>
      </c>
      <c r="ET163" s="526">
        <v>0</v>
      </c>
      <c r="EU163" s="526">
        <v>0</v>
      </c>
      <c r="EV163" s="526">
        <v>0</v>
      </c>
      <c r="EW163" s="522">
        <v>0</v>
      </c>
      <c r="EX163" s="526">
        <v>136.87</v>
      </c>
      <c r="EY163" s="522">
        <v>41</v>
      </c>
      <c r="EZ163" s="526">
        <v>172.77</v>
      </c>
      <c r="FA163" s="522">
        <v>14</v>
      </c>
      <c r="FB163" s="526">
        <v>0</v>
      </c>
      <c r="FC163" s="522">
        <v>0</v>
      </c>
      <c r="FD163" s="526">
        <v>0</v>
      </c>
      <c r="FE163" s="522">
        <v>0</v>
      </c>
      <c r="FF163" s="526">
        <v>146.01</v>
      </c>
      <c r="FG163" s="522">
        <v>55</v>
      </c>
      <c r="FH163" s="526">
        <v>146.01</v>
      </c>
      <c r="FI163" s="522">
        <v>55</v>
      </c>
      <c r="FJ163" s="522">
        <v>0</v>
      </c>
      <c r="FK163" s="522">
        <v>0</v>
      </c>
      <c r="FL163" s="522">
        <v>0</v>
      </c>
      <c r="FM163" s="522">
        <v>0</v>
      </c>
      <c r="FN163" s="522">
        <v>0</v>
      </c>
      <c r="FO163" s="522">
        <v>0</v>
      </c>
      <c r="FP163" s="522">
        <v>8</v>
      </c>
      <c r="FQ163" s="522">
        <v>86</v>
      </c>
      <c r="FR163" s="522">
        <v>18</v>
      </c>
    </row>
    <row r="164" spans="1:174" x14ac:dyDescent="0.25">
      <c r="A164" s="523" t="s">
        <v>585</v>
      </c>
      <c r="B164" s="523" t="s">
        <v>586</v>
      </c>
      <c r="C164" s="523" t="s">
        <v>282</v>
      </c>
      <c r="D164" s="522">
        <v>772</v>
      </c>
      <c r="E164" s="522">
        <v>763</v>
      </c>
      <c r="F164" s="522">
        <v>0</v>
      </c>
      <c r="G164" s="522">
        <v>0</v>
      </c>
      <c r="H164" s="522">
        <v>82</v>
      </c>
      <c r="I164" s="522">
        <v>69</v>
      </c>
      <c r="J164" s="522">
        <v>77</v>
      </c>
      <c r="K164" s="522">
        <v>77</v>
      </c>
      <c r="L164" s="522">
        <v>298</v>
      </c>
      <c r="M164" s="522">
        <v>0</v>
      </c>
      <c r="N164" s="522">
        <v>1229</v>
      </c>
      <c r="O164" s="522">
        <v>909</v>
      </c>
      <c r="P164" s="522">
        <v>931</v>
      </c>
      <c r="Q164" s="522">
        <v>1</v>
      </c>
      <c r="R164" s="523">
        <v>1</v>
      </c>
      <c r="S164" s="523">
        <v>17</v>
      </c>
      <c r="T164" s="523">
        <v>13</v>
      </c>
      <c r="U164" s="523">
        <v>1216</v>
      </c>
      <c r="V164" s="522">
        <v>772</v>
      </c>
      <c r="W164" s="522">
        <v>5</v>
      </c>
      <c r="X164" s="522">
        <v>4</v>
      </c>
      <c r="Y164" s="522">
        <v>9</v>
      </c>
      <c r="Z164" s="524">
        <v>104.93</v>
      </c>
      <c r="AA164" s="524">
        <v>105.4</v>
      </c>
      <c r="AB164" s="524">
        <v>3.79</v>
      </c>
      <c r="AC164" s="524">
        <v>107.86</v>
      </c>
      <c r="AD164" s="524">
        <v>380</v>
      </c>
      <c r="AE164" s="525">
        <v>101.84</v>
      </c>
      <c r="AF164" s="525">
        <v>89.82</v>
      </c>
      <c r="AG164" s="525">
        <v>73.010000000000005</v>
      </c>
      <c r="AH164" s="525">
        <v>172.35</v>
      </c>
      <c r="AI164" s="525">
        <v>146</v>
      </c>
      <c r="AJ164" s="525">
        <v>131.11000000000001</v>
      </c>
      <c r="AK164" s="525">
        <v>340</v>
      </c>
      <c r="AL164" s="525">
        <v>0</v>
      </c>
      <c r="AM164" s="525">
        <v>0</v>
      </c>
      <c r="AN164" s="526">
        <v>0</v>
      </c>
      <c r="AO164" s="526">
        <v>0</v>
      </c>
      <c r="AP164" s="526">
        <v>0</v>
      </c>
      <c r="AQ164" s="526">
        <v>0</v>
      </c>
      <c r="AR164" s="522">
        <v>0</v>
      </c>
      <c r="AS164" s="526">
        <v>0</v>
      </c>
      <c r="AT164" s="526">
        <v>0</v>
      </c>
      <c r="AU164" s="526">
        <v>0</v>
      </c>
      <c r="AV164" s="526">
        <v>0</v>
      </c>
      <c r="AW164" s="522">
        <v>0</v>
      </c>
      <c r="AX164" s="526">
        <v>83.9</v>
      </c>
      <c r="AY164" s="526">
        <v>83.81</v>
      </c>
      <c r="AZ164" s="526">
        <v>7</v>
      </c>
      <c r="BA164" s="526">
        <v>89.88</v>
      </c>
      <c r="BB164" s="522">
        <v>41</v>
      </c>
      <c r="BC164" s="526">
        <v>104.77</v>
      </c>
      <c r="BD164" s="526">
        <v>105.14</v>
      </c>
      <c r="BE164" s="526">
        <v>3.31</v>
      </c>
      <c r="BF164" s="526">
        <v>107.25</v>
      </c>
      <c r="BG164" s="522">
        <v>239</v>
      </c>
      <c r="BH164" s="526">
        <v>113.59</v>
      </c>
      <c r="BI164" s="526">
        <v>114.35</v>
      </c>
      <c r="BJ164" s="526">
        <v>3.46</v>
      </c>
      <c r="BK164" s="526">
        <v>116.44</v>
      </c>
      <c r="BL164" s="522">
        <v>97</v>
      </c>
      <c r="BM164" s="526">
        <v>124.35</v>
      </c>
      <c r="BN164" s="526">
        <v>131.68</v>
      </c>
      <c r="BO164" s="526">
        <v>0</v>
      </c>
      <c r="BP164" s="526">
        <v>124.35</v>
      </c>
      <c r="BQ164" s="522">
        <v>3</v>
      </c>
      <c r="BR164" s="526">
        <v>0</v>
      </c>
      <c r="BS164" s="526">
        <v>0</v>
      </c>
      <c r="BT164" s="526">
        <v>0</v>
      </c>
      <c r="BU164" s="526">
        <v>0</v>
      </c>
      <c r="BV164" s="522">
        <v>0</v>
      </c>
      <c r="BW164" s="526">
        <v>0</v>
      </c>
      <c r="BX164" s="526">
        <v>0</v>
      </c>
      <c r="BY164" s="526">
        <v>0</v>
      </c>
      <c r="BZ164" s="526">
        <v>0</v>
      </c>
      <c r="CA164" s="522">
        <v>0</v>
      </c>
      <c r="CB164" s="526">
        <v>104.93</v>
      </c>
      <c r="CC164" s="526">
        <v>105.4</v>
      </c>
      <c r="CD164" s="526">
        <v>3.79</v>
      </c>
      <c r="CE164" s="526">
        <v>107.86</v>
      </c>
      <c r="CF164" s="522">
        <v>380</v>
      </c>
      <c r="CG164" s="526">
        <v>104.93</v>
      </c>
      <c r="CH164" s="526">
        <v>105.4</v>
      </c>
      <c r="CI164" s="526">
        <v>3.79</v>
      </c>
      <c r="CJ164" s="526">
        <v>107.86</v>
      </c>
      <c r="CK164" s="522">
        <v>380</v>
      </c>
      <c r="CL164" s="526">
        <v>182.35</v>
      </c>
      <c r="CM164" s="526">
        <v>81.709999999999994</v>
      </c>
      <c r="CN164" s="526">
        <v>59.44</v>
      </c>
      <c r="CO164" s="526">
        <v>241.79</v>
      </c>
      <c r="CP164" s="522">
        <v>10</v>
      </c>
      <c r="CQ164" s="526">
        <v>88.72</v>
      </c>
      <c r="CR164" s="526">
        <v>87.9</v>
      </c>
      <c r="CS164" s="526">
        <v>91.09</v>
      </c>
      <c r="CT164" s="526">
        <v>177.13</v>
      </c>
      <c r="CU164" s="522">
        <v>34</v>
      </c>
      <c r="CV164" s="526">
        <v>98.15</v>
      </c>
      <c r="CW164" s="526">
        <v>90.4</v>
      </c>
      <c r="CX164" s="526">
        <v>66.86</v>
      </c>
      <c r="CY164" s="526">
        <v>162.57</v>
      </c>
      <c r="CZ164" s="522">
        <v>82</v>
      </c>
      <c r="DA164" s="526">
        <v>98.47</v>
      </c>
      <c r="DB164" s="526">
        <v>94.31</v>
      </c>
      <c r="DC164" s="526">
        <v>74.3</v>
      </c>
      <c r="DD164" s="526">
        <v>172.77</v>
      </c>
      <c r="DE164" s="522">
        <v>19</v>
      </c>
      <c r="DF164" s="526">
        <v>109.77</v>
      </c>
      <c r="DG164" s="526">
        <v>0</v>
      </c>
      <c r="DH164" s="526">
        <v>0</v>
      </c>
      <c r="DI164" s="526">
        <v>109.77</v>
      </c>
      <c r="DJ164" s="522">
        <v>1</v>
      </c>
      <c r="DK164" s="526">
        <v>0</v>
      </c>
      <c r="DL164" s="526">
        <v>0</v>
      </c>
      <c r="DM164" s="526">
        <v>0</v>
      </c>
      <c r="DN164" s="526">
        <v>0</v>
      </c>
      <c r="DO164" s="522">
        <v>0</v>
      </c>
      <c r="DP164" s="526">
        <v>95.92</v>
      </c>
      <c r="DQ164" s="526">
        <v>90.27</v>
      </c>
      <c r="DR164" s="526">
        <v>74.05</v>
      </c>
      <c r="DS164" s="526">
        <v>167.24</v>
      </c>
      <c r="DT164" s="522">
        <v>136</v>
      </c>
      <c r="DU164" s="526">
        <v>101.84</v>
      </c>
      <c r="DV164" s="526">
        <v>89.82</v>
      </c>
      <c r="DW164" s="526">
        <v>73.010000000000005</v>
      </c>
      <c r="DX164" s="526">
        <v>172.35</v>
      </c>
      <c r="DY164" s="522">
        <v>146</v>
      </c>
      <c r="DZ164" s="526">
        <v>0</v>
      </c>
      <c r="EA164" s="526">
        <v>0</v>
      </c>
      <c r="EB164" s="526">
        <v>0</v>
      </c>
      <c r="EC164" s="522">
        <v>0</v>
      </c>
      <c r="ED164" s="526">
        <v>104.04</v>
      </c>
      <c r="EE164" s="522">
        <v>45</v>
      </c>
      <c r="EF164" s="526">
        <v>127.48</v>
      </c>
      <c r="EG164" s="522">
        <v>200</v>
      </c>
      <c r="EH164" s="526">
        <v>145.80000000000001</v>
      </c>
      <c r="EI164" s="522">
        <v>80</v>
      </c>
      <c r="EJ164" s="526">
        <v>182.38</v>
      </c>
      <c r="EK164" s="522">
        <v>15</v>
      </c>
      <c r="EL164" s="526">
        <v>0</v>
      </c>
      <c r="EM164" s="522">
        <v>0</v>
      </c>
      <c r="EN164" s="526">
        <v>0</v>
      </c>
      <c r="EO164" s="522">
        <v>0</v>
      </c>
      <c r="EP164" s="526">
        <v>131.11000000000001</v>
      </c>
      <c r="EQ164" s="522">
        <v>340</v>
      </c>
      <c r="ER164" s="526">
        <v>131.11000000000001</v>
      </c>
      <c r="ES164" s="522">
        <v>340</v>
      </c>
      <c r="ET164" s="526">
        <v>0</v>
      </c>
      <c r="EU164" s="526">
        <v>0</v>
      </c>
      <c r="EV164" s="526">
        <v>0</v>
      </c>
      <c r="EW164" s="522">
        <v>0</v>
      </c>
      <c r="EX164" s="526">
        <v>0</v>
      </c>
      <c r="EY164" s="522">
        <v>0</v>
      </c>
      <c r="EZ164" s="526">
        <v>0</v>
      </c>
      <c r="FA164" s="522">
        <v>0</v>
      </c>
      <c r="FB164" s="526">
        <v>0</v>
      </c>
      <c r="FC164" s="522">
        <v>0</v>
      </c>
      <c r="FD164" s="526">
        <v>0</v>
      </c>
      <c r="FE164" s="522">
        <v>0</v>
      </c>
      <c r="FF164" s="526">
        <v>0</v>
      </c>
      <c r="FG164" s="522">
        <v>0</v>
      </c>
      <c r="FH164" s="526">
        <v>0</v>
      </c>
      <c r="FI164" s="522">
        <v>0</v>
      </c>
      <c r="FJ164" s="522">
        <v>0</v>
      </c>
      <c r="FK164" s="522">
        <v>0</v>
      </c>
      <c r="FL164" s="522">
        <v>0</v>
      </c>
      <c r="FM164" s="522">
        <v>0</v>
      </c>
      <c r="FN164" s="522">
        <v>0</v>
      </c>
      <c r="FO164" s="522">
        <v>0</v>
      </c>
      <c r="FP164" s="522">
        <v>2</v>
      </c>
      <c r="FQ164" s="522">
        <v>22</v>
      </c>
      <c r="FR164" s="522">
        <v>0</v>
      </c>
    </row>
    <row r="165" spans="1:174" x14ac:dyDescent="0.25">
      <c r="A165" s="523" t="s">
        <v>587</v>
      </c>
      <c r="B165" s="523" t="s">
        <v>588</v>
      </c>
      <c r="C165" s="523" t="s">
        <v>284</v>
      </c>
      <c r="D165" s="522">
        <v>10201</v>
      </c>
      <c r="E165" s="522">
        <v>10103</v>
      </c>
      <c r="F165" s="522">
        <v>35</v>
      </c>
      <c r="G165" s="522">
        <v>0</v>
      </c>
      <c r="H165" s="522">
        <v>392</v>
      </c>
      <c r="I165" s="522">
        <v>234</v>
      </c>
      <c r="J165" s="522">
        <v>757</v>
      </c>
      <c r="K165" s="522">
        <v>682</v>
      </c>
      <c r="L165" s="522">
        <v>1069</v>
      </c>
      <c r="M165" s="522">
        <v>30</v>
      </c>
      <c r="N165" s="522">
        <v>12454</v>
      </c>
      <c r="O165" s="522">
        <v>11049</v>
      </c>
      <c r="P165" s="522">
        <v>11385</v>
      </c>
      <c r="Q165" s="522">
        <v>78</v>
      </c>
      <c r="R165" s="523">
        <v>11</v>
      </c>
      <c r="S165" s="523">
        <v>24</v>
      </c>
      <c r="T165" s="523">
        <v>268</v>
      </c>
      <c r="U165" s="523">
        <v>12186</v>
      </c>
      <c r="V165" s="522">
        <v>10117</v>
      </c>
      <c r="W165" s="522">
        <v>123</v>
      </c>
      <c r="X165" s="522">
        <v>86</v>
      </c>
      <c r="Y165" s="522">
        <v>209</v>
      </c>
      <c r="Z165" s="524">
        <v>130.69999999999999</v>
      </c>
      <c r="AA165" s="524">
        <v>135.69</v>
      </c>
      <c r="AB165" s="524">
        <v>9.64</v>
      </c>
      <c r="AC165" s="524">
        <v>137.44999999999999</v>
      </c>
      <c r="AD165" s="524">
        <v>8867</v>
      </c>
      <c r="AE165" s="525">
        <v>124.86</v>
      </c>
      <c r="AF165" s="525">
        <v>119.84</v>
      </c>
      <c r="AG165" s="525">
        <v>51.72</v>
      </c>
      <c r="AH165" s="525">
        <v>175.99</v>
      </c>
      <c r="AI165" s="525">
        <v>865</v>
      </c>
      <c r="AJ165" s="525">
        <v>187.13</v>
      </c>
      <c r="AK165" s="525">
        <v>1106</v>
      </c>
      <c r="AL165" s="525">
        <v>344.09</v>
      </c>
      <c r="AM165" s="525">
        <v>125</v>
      </c>
      <c r="AN165" s="526">
        <v>0</v>
      </c>
      <c r="AO165" s="526">
        <v>0</v>
      </c>
      <c r="AP165" s="526">
        <v>0</v>
      </c>
      <c r="AQ165" s="526">
        <v>0</v>
      </c>
      <c r="AR165" s="522">
        <v>0</v>
      </c>
      <c r="AS165" s="526">
        <v>95.81</v>
      </c>
      <c r="AT165" s="526">
        <v>103.69</v>
      </c>
      <c r="AU165" s="526">
        <v>12.06</v>
      </c>
      <c r="AV165" s="526">
        <v>107.17</v>
      </c>
      <c r="AW165" s="522">
        <v>34</v>
      </c>
      <c r="AX165" s="526">
        <v>107.89</v>
      </c>
      <c r="AY165" s="526">
        <v>109.94</v>
      </c>
      <c r="AZ165" s="526">
        <v>10.15</v>
      </c>
      <c r="BA165" s="526">
        <v>116.86</v>
      </c>
      <c r="BB165" s="522">
        <v>2172</v>
      </c>
      <c r="BC165" s="526">
        <v>129.49</v>
      </c>
      <c r="BD165" s="526">
        <v>133.68</v>
      </c>
      <c r="BE165" s="526">
        <v>12.13</v>
      </c>
      <c r="BF165" s="526">
        <v>137.65</v>
      </c>
      <c r="BG165" s="522">
        <v>3170</v>
      </c>
      <c r="BH165" s="526">
        <v>144.53</v>
      </c>
      <c r="BI165" s="526">
        <v>151.71</v>
      </c>
      <c r="BJ165" s="526">
        <v>6.61</v>
      </c>
      <c r="BK165" s="526">
        <v>148.47</v>
      </c>
      <c r="BL165" s="522">
        <v>3186</v>
      </c>
      <c r="BM165" s="526">
        <v>164.07</v>
      </c>
      <c r="BN165" s="526">
        <v>174.31</v>
      </c>
      <c r="BO165" s="526">
        <v>7.11</v>
      </c>
      <c r="BP165" s="526">
        <v>169.21</v>
      </c>
      <c r="BQ165" s="522">
        <v>282</v>
      </c>
      <c r="BR165" s="526">
        <v>176.73</v>
      </c>
      <c r="BS165" s="526">
        <v>197.9</v>
      </c>
      <c r="BT165" s="526">
        <v>5.81</v>
      </c>
      <c r="BU165" s="526">
        <v>181.93</v>
      </c>
      <c r="BV165" s="522">
        <v>19</v>
      </c>
      <c r="BW165" s="526">
        <v>183.02</v>
      </c>
      <c r="BX165" s="526">
        <v>205.99</v>
      </c>
      <c r="BY165" s="526">
        <v>3.53</v>
      </c>
      <c r="BZ165" s="526">
        <v>186.55</v>
      </c>
      <c r="CA165" s="522">
        <v>4</v>
      </c>
      <c r="CB165" s="526">
        <v>130.69999999999999</v>
      </c>
      <c r="CC165" s="526">
        <v>135.69</v>
      </c>
      <c r="CD165" s="526">
        <v>9.64</v>
      </c>
      <c r="CE165" s="526">
        <v>137.44999999999999</v>
      </c>
      <c r="CF165" s="522">
        <v>8867</v>
      </c>
      <c r="CG165" s="526">
        <v>130.69999999999999</v>
      </c>
      <c r="CH165" s="526">
        <v>135.69</v>
      </c>
      <c r="CI165" s="526">
        <v>9.64</v>
      </c>
      <c r="CJ165" s="526">
        <v>137.44999999999999</v>
      </c>
      <c r="CK165" s="522">
        <v>8867</v>
      </c>
      <c r="CL165" s="526">
        <v>114.36</v>
      </c>
      <c r="CM165" s="526">
        <v>102.76</v>
      </c>
      <c r="CN165" s="526">
        <v>41.58</v>
      </c>
      <c r="CO165" s="526">
        <v>151.94</v>
      </c>
      <c r="CP165" s="522">
        <v>83</v>
      </c>
      <c r="CQ165" s="526">
        <v>105.01</v>
      </c>
      <c r="CR165" s="526">
        <v>97.01</v>
      </c>
      <c r="CS165" s="526">
        <v>42.77</v>
      </c>
      <c r="CT165" s="526">
        <v>147.77000000000001</v>
      </c>
      <c r="CU165" s="522">
        <v>104</v>
      </c>
      <c r="CV165" s="526">
        <v>128.32</v>
      </c>
      <c r="CW165" s="526">
        <v>123.91</v>
      </c>
      <c r="CX165" s="526">
        <v>54.55</v>
      </c>
      <c r="CY165" s="526">
        <v>182.69</v>
      </c>
      <c r="CZ165" s="522">
        <v>615</v>
      </c>
      <c r="DA165" s="526">
        <v>137.36000000000001</v>
      </c>
      <c r="DB165" s="526">
        <v>140.44999999999999</v>
      </c>
      <c r="DC165" s="526">
        <v>52.63</v>
      </c>
      <c r="DD165" s="526">
        <v>189.99</v>
      </c>
      <c r="DE165" s="522">
        <v>57</v>
      </c>
      <c r="DF165" s="526">
        <v>141.44</v>
      </c>
      <c r="DG165" s="526">
        <v>139.44</v>
      </c>
      <c r="DH165" s="526">
        <v>36.22</v>
      </c>
      <c r="DI165" s="526">
        <v>177.66</v>
      </c>
      <c r="DJ165" s="522">
        <v>6</v>
      </c>
      <c r="DK165" s="526">
        <v>0</v>
      </c>
      <c r="DL165" s="526">
        <v>0</v>
      </c>
      <c r="DM165" s="526">
        <v>0</v>
      </c>
      <c r="DN165" s="526">
        <v>0</v>
      </c>
      <c r="DO165" s="522">
        <v>0</v>
      </c>
      <c r="DP165" s="526">
        <v>125.98</v>
      </c>
      <c r="DQ165" s="526">
        <v>121.65</v>
      </c>
      <c r="DR165" s="526">
        <v>52.7</v>
      </c>
      <c r="DS165" s="526">
        <v>178.54</v>
      </c>
      <c r="DT165" s="522">
        <v>782</v>
      </c>
      <c r="DU165" s="526">
        <v>124.86</v>
      </c>
      <c r="DV165" s="526">
        <v>119.84</v>
      </c>
      <c r="DW165" s="526">
        <v>51.72</v>
      </c>
      <c r="DX165" s="526">
        <v>175.99</v>
      </c>
      <c r="DY165" s="522">
        <v>865</v>
      </c>
      <c r="DZ165" s="526">
        <v>140.08000000000001</v>
      </c>
      <c r="EA165" s="526">
        <v>3</v>
      </c>
      <c r="EB165" s="526">
        <v>189.12</v>
      </c>
      <c r="EC165" s="522">
        <v>38</v>
      </c>
      <c r="ED165" s="526">
        <v>155.47</v>
      </c>
      <c r="EE165" s="522">
        <v>457</v>
      </c>
      <c r="EF165" s="526">
        <v>195.72</v>
      </c>
      <c r="EG165" s="522">
        <v>379</v>
      </c>
      <c r="EH165" s="526">
        <v>231.61</v>
      </c>
      <c r="EI165" s="522">
        <v>204</v>
      </c>
      <c r="EJ165" s="526">
        <v>275.39</v>
      </c>
      <c r="EK165" s="522">
        <v>25</v>
      </c>
      <c r="EL165" s="526">
        <v>0</v>
      </c>
      <c r="EM165" s="522">
        <v>0</v>
      </c>
      <c r="EN165" s="526">
        <v>0</v>
      </c>
      <c r="EO165" s="522">
        <v>0</v>
      </c>
      <c r="EP165" s="526">
        <v>187.26</v>
      </c>
      <c r="EQ165" s="522">
        <v>1103</v>
      </c>
      <c r="ER165" s="526">
        <v>187.13</v>
      </c>
      <c r="ES165" s="522">
        <v>1106</v>
      </c>
      <c r="ET165" s="526">
        <v>347.83</v>
      </c>
      <c r="EU165" s="526">
        <v>121</v>
      </c>
      <c r="EV165" s="526">
        <v>265</v>
      </c>
      <c r="EW165" s="522">
        <v>1</v>
      </c>
      <c r="EX165" s="526">
        <v>206.35</v>
      </c>
      <c r="EY165" s="522">
        <v>2</v>
      </c>
      <c r="EZ165" s="526">
        <v>246.41</v>
      </c>
      <c r="FA165" s="522">
        <v>1</v>
      </c>
      <c r="FB165" s="526">
        <v>0</v>
      </c>
      <c r="FC165" s="522">
        <v>0</v>
      </c>
      <c r="FD165" s="526">
        <v>0</v>
      </c>
      <c r="FE165" s="522">
        <v>0</v>
      </c>
      <c r="FF165" s="526">
        <v>231.03</v>
      </c>
      <c r="FG165" s="522">
        <v>4</v>
      </c>
      <c r="FH165" s="526">
        <v>344.09</v>
      </c>
      <c r="FI165" s="522">
        <v>125</v>
      </c>
      <c r="FJ165" s="522">
        <v>321</v>
      </c>
      <c r="FK165" s="522">
        <v>19</v>
      </c>
      <c r="FL165" s="522">
        <v>14</v>
      </c>
      <c r="FM165" s="522">
        <v>0</v>
      </c>
      <c r="FN165" s="522">
        <v>5</v>
      </c>
      <c r="FO165" s="522">
        <v>0</v>
      </c>
      <c r="FP165" s="522">
        <v>123</v>
      </c>
      <c r="FQ165" s="522">
        <v>33</v>
      </c>
      <c r="FR165" s="522">
        <v>20</v>
      </c>
    </row>
    <row r="166" spans="1:174" x14ac:dyDescent="0.25">
      <c r="A166" s="523" t="s">
        <v>589</v>
      </c>
      <c r="B166" s="523" t="s">
        <v>590</v>
      </c>
      <c r="C166" s="523" t="s">
        <v>287</v>
      </c>
      <c r="D166" s="522">
        <v>1288</v>
      </c>
      <c r="E166" s="522">
        <v>1257</v>
      </c>
      <c r="F166" s="522">
        <v>0</v>
      </c>
      <c r="G166" s="522">
        <v>0</v>
      </c>
      <c r="H166" s="522">
        <v>75</v>
      </c>
      <c r="I166" s="522">
        <v>24</v>
      </c>
      <c r="J166" s="522">
        <v>284</v>
      </c>
      <c r="K166" s="522">
        <v>193</v>
      </c>
      <c r="L166" s="522">
        <v>320</v>
      </c>
      <c r="M166" s="522">
        <v>0</v>
      </c>
      <c r="N166" s="522">
        <v>1967</v>
      </c>
      <c r="O166" s="522">
        <v>1474</v>
      </c>
      <c r="P166" s="522">
        <v>1647</v>
      </c>
      <c r="Q166" s="522">
        <v>0</v>
      </c>
      <c r="R166" s="523">
        <v>9</v>
      </c>
      <c r="S166" s="523">
        <v>18</v>
      </c>
      <c r="T166" s="523">
        <v>195</v>
      </c>
      <c r="U166" s="523">
        <v>1772</v>
      </c>
      <c r="V166" s="522">
        <v>1239</v>
      </c>
      <c r="W166" s="522">
        <v>22</v>
      </c>
      <c r="X166" s="522">
        <v>13</v>
      </c>
      <c r="Y166" s="522">
        <v>35</v>
      </c>
      <c r="Z166" s="524">
        <v>100.56</v>
      </c>
      <c r="AA166" s="524">
        <v>99.88</v>
      </c>
      <c r="AB166" s="524">
        <v>6.93</v>
      </c>
      <c r="AC166" s="524">
        <v>106.63</v>
      </c>
      <c r="AD166" s="524">
        <v>841</v>
      </c>
      <c r="AE166" s="525">
        <v>93.63</v>
      </c>
      <c r="AF166" s="525">
        <v>82.58</v>
      </c>
      <c r="AG166" s="525">
        <v>25.45</v>
      </c>
      <c r="AH166" s="525">
        <v>118.48</v>
      </c>
      <c r="AI166" s="525">
        <v>213</v>
      </c>
      <c r="AJ166" s="525">
        <v>144.19999999999999</v>
      </c>
      <c r="AK166" s="525">
        <v>380</v>
      </c>
      <c r="AL166" s="525">
        <v>0</v>
      </c>
      <c r="AM166" s="525">
        <v>0</v>
      </c>
      <c r="AN166" s="526">
        <v>0</v>
      </c>
      <c r="AO166" s="526">
        <v>0</v>
      </c>
      <c r="AP166" s="526">
        <v>0</v>
      </c>
      <c r="AQ166" s="526">
        <v>0</v>
      </c>
      <c r="AR166" s="522">
        <v>0</v>
      </c>
      <c r="AS166" s="526">
        <v>67.61</v>
      </c>
      <c r="AT166" s="526">
        <v>70.209999999999994</v>
      </c>
      <c r="AU166" s="526">
        <v>16.149999999999999</v>
      </c>
      <c r="AV166" s="526">
        <v>83.76</v>
      </c>
      <c r="AW166" s="522">
        <v>8</v>
      </c>
      <c r="AX166" s="526">
        <v>84.35</v>
      </c>
      <c r="AY166" s="526">
        <v>84.15</v>
      </c>
      <c r="AZ166" s="526">
        <v>13</v>
      </c>
      <c r="BA166" s="526">
        <v>97.21</v>
      </c>
      <c r="BB166" s="522">
        <v>193</v>
      </c>
      <c r="BC166" s="526">
        <v>98.47</v>
      </c>
      <c r="BD166" s="526">
        <v>97.58</v>
      </c>
      <c r="BE166" s="526">
        <v>6.1</v>
      </c>
      <c r="BF166" s="526">
        <v>103.59</v>
      </c>
      <c r="BG166" s="522">
        <v>324</v>
      </c>
      <c r="BH166" s="526">
        <v>111.97</v>
      </c>
      <c r="BI166" s="526">
        <v>111</v>
      </c>
      <c r="BJ166" s="526">
        <v>3.12</v>
      </c>
      <c r="BK166" s="526">
        <v>114.59</v>
      </c>
      <c r="BL166" s="522">
        <v>279</v>
      </c>
      <c r="BM166" s="526">
        <v>124.54</v>
      </c>
      <c r="BN166" s="526">
        <v>124.64</v>
      </c>
      <c r="BO166" s="526">
        <v>3.34</v>
      </c>
      <c r="BP166" s="526">
        <v>127.34</v>
      </c>
      <c r="BQ166" s="522">
        <v>37</v>
      </c>
      <c r="BR166" s="526">
        <v>0</v>
      </c>
      <c r="BS166" s="526">
        <v>0</v>
      </c>
      <c r="BT166" s="526">
        <v>0</v>
      </c>
      <c r="BU166" s="526">
        <v>0</v>
      </c>
      <c r="BV166" s="522">
        <v>0</v>
      </c>
      <c r="BW166" s="526">
        <v>0</v>
      </c>
      <c r="BX166" s="526">
        <v>0</v>
      </c>
      <c r="BY166" s="526">
        <v>0</v>
      </c>
      <c r="BZ166" s="526">
        <v>0</v>
      </c>
      <c r="CA166" s="522">
        <v>0</v>
      </c>
      <c r="CB166" s="526">
        <v>100.56</v>
      </c>
      <c r="CC166" s="526">
        <v>99.88</v>
      </c>
      <c r="CD166" s="526">
        <v>6.93</v>
      </c>
      <c r="CE166" s="526">
        <v>106.63</v>
      </c>
      <c r="CF166" s="522">
        <v>841</v>
      </c>
      <c r="CG166" s="526">
        <v>100.56</v>
      </c>
      <c r="CH166" s="526">
        <v>99.88</v>
      </c>
      <c r="CI166" s="526">
        <v>6.93</v>
      </c>
      <c r="CJ166" s="526">
        <v>106.63</v>
      </c>
      <c r="CK166" s="522">
        <v>841</v>
      </c>
      <c r="CL166" s="526">
        <v>150.56</v>
      </c>
      <c r="CM166" s="526">
        <v>0</v>
      </c>
      <c r="CN166" s="526">
        <v>53.05</v>
      </c>
      <c r="CO166" s="526">
        <v>203.61</v>
      </c>
      <c r="CP166" s="522">
        <v>3</v>
      </c>
      <c r="CQ166" s="526">
        <v>87.43</v>
      </c>
      <c r="CR166" s="526">
        <v>79.7</v>
      </c>
      <c r="CS166" s="526">
        <v>37</v>
      </c>
      <c r="CT166" s="526">
        <v>124.43</v>
      </c>
      <c r="CU166" s="522">
        <v>10</v>
      </c>
      <c r="CV166" s="526">
        <v>91.3</v>
      </c>
      <c r="CW166" s="526">
        <v>80.069999999999993</v>
      </c>
      <c r="CX166" s="526">
        <v>26.09</v>
      </c>
      <c r="CY166" s="526">
        <v>116.92</v>
      </c>
      <c r="CZ166" s="522">
        <v>169</v>
      </c>
      <c r="DA166" s="526">
        <v>102.34</v>
      </c>
      <c r="DB166" s="526">
        <v>97.13</v>
      </c>
      <c r="DC166" s="526">
        <v>15.43</v>
      </c>
      <c r="DD166" s="526">
        <v>116.67</v>
      </c>
      <c r="DE166" s="522">
        <v>28</v>
      </c>
      <c r="DF166" s="526">
        <v>107.41</v>
      </c>
      <c r="DG166" s="526">
        <v>102.53</v>
      </c>
      <c r="DH166" s="526">
        <v>10.88</v>
      </c>
      <c r="DI166" s="526">
        <v>118.29</v>
      </c>
      <c r="DJ166" s="522">
        <v>3</v>
      </c>
      <c r="DK166" s="526">
        <v>0</v>
      </c>
      <c r="DL166" s="526">
        <v>0</v>
      </c>
      <c r="DM166" s="526">
        <v>0</v>
      </c>
      <c r="DN166" s="526">
        <v>0</v>
      </c>
      <c r="DO166" s="522">
        <v>0</v>
      </c>
      <c r="DP166" s="526">
        <v>92.81</v>
      </c>
      <c r="DQ166" s="526">
        <v>82.58</v>
      </c>
      <c r="DR166" s="526">
        <v>25.05</v>
      </c>
      <c r="DS166" s="526">
        <v>117.27</v>
      </c>
      <c r="DT166" s="522">
        <v>210</v>
      </c>
      <c r="DU166" s="526">
        <v>93.63</v>
      </c>
      <c r="DV166" s="526">
        <v>82.58</v>
      </c>
      <c r="DW166" s="526">
        <v>25.45</v>
      </c>
      <c r="DX166" s="526">
        <v>118.48</v>
      </c>
      <c r="DY166" s="522">
        <v>213</v>
      </c>
      <c r="DZ166" s="526">
        <v>0</v>
      </c>
      <c r="EA166" s="526">
        <v>0</v>
      </c>
      <c r="EB166" s="526">
        <v>0</v>
      </c>
      <c r="EC166" s="522">
        <v>0</v>
      </c>
      <c r="ED166" s="526">
        <v>108.94</v>
      </c>
      <c r="EE166" s="522">
        <v>64</v>
      </c>
      <c r="EF166" s="526">
        <v>138.1</v>
      </c>
      <c r="EG166" s="522">
        <v>164</v>
      </c>
      <c r="EH166" s="526">
        <v>160.34</v>
      </c>
      <c r="EI166" s="522">
        <v>129</v>
      </c>
      <c r="EJ166" s="526">
        <v>195.28</v>
      </c>
      <c r="EK166" s="522">
        <v>23</v>
      </c>
      <c r="EL166" s="526">
        <v>0</v>
      </c>
      <c r="EM166" s="522">
        <v>0</v>
      </c>
      <c r="EN166" s="526">
        <v>0</v>
      </c>
      <c r="EO166" s="522">
        <v>0</v>
      </c>
      <c r="EP166" s="526">
        <v>144.19999999999999</v>
      </c>
      <c r="EQ166" s="522">
        <v>380</v>
      </c>
      <c r="ER166" s="526">
        <v>144.19999999999999</v>
      </c>
      <c r="ES166" s="522">
        <v>380</v>
      </c>
      <c r="ET166" s="526">
        <v>0</v>
      </c>
      <c r="EU166" s="526">
        <v>0</v>
      </c>
      <c r="EV166" s="526">
        <v>0</v>
      </c>
      <c r="EW166" s="522">
        <v>0</v>
      </c>
      <c r="EX166" s="526">
        <v>0</v>
      </c>
      <c r="EY166" s="522">
        <v>0</v>
      </c>
      <c r="EZ166" s="526">
        <v>0</v>
      </c>
      <c r="FA166" s="522">
        <v>0</v>
      </c>
      <c r="FB166" s="526">
        <v>0</v>
      </c>
      <c r="FC166" s="522">
        <v>0</v>
      </c>
      <c r="FD166" s="526">
        <v>0</v>
      </c>
      <c r="FE166" s="522">
        <v>0</v>
      </c>
      <c r="FF166" s="526">
        <v>0</v>
      </c>
      <c r="FG166" s="522">
        <v>0</v>
      </c>
      <c r="FH166" s="526">
        <v>0</v>
      </c>
      <c r="FI166" s="522">
        <v>0</v>
      </c>
      <c r="FJ166" s="522">
        <v>1</v>
      </c>
      <c r="FK166" s="522">
        <v>0</v>
      </c>
      <c r="FL166" s="522">
        <v>0</v>
      </c>
      <c r="FM166" s="522">
        <v>0</v>
      </c>
      <c r="FN166" s="522">
        <v>0</v>
      </c>
      <c r="FO166" s="522">
        <v>0</v>
      </c>
      <c r="FP166" s="522">
        <v>0</v>
      </c>
      <c r="FQ166" s="522">
        <v>25</v>
      </c>
      <c r="FR166" s="522">
        <v>5</v>
      </c>
    </row>
    <row r="167" spans="1:174" x14ac:dyDescent="0.25">
      <c r="A167" s="523" t="s">
        <v>591</v>
      </c>
      <c r="B167" s="523" t="s">
        <v>592</v>
      </c>
      <c r="C167" s="523" t="s">
        <v>283</v>
      </c>
      <c r="D167" s="522">
        <v>2061</v>
      </c>
      <c r="E167" s="522">
        <v>2057</v>
      </c>
      <c r="F167" s="522">
        <v>0</v>
      </c>
      <c r="G167" s="522">
        <v>0</v>
      </c>
      <c r="H167" s="522">
        <v>94</v>
      </c>
      <c r="I167" s="522">
        <v>64</v>
      </c>
      <c r="J167" s="522">
        <v>202</v>
      </c>
      <c r="K167" s="522">
        <v>202</v>
      </c>
      <c r="L167" s="522">
        <v>776</v>
      </c>
      <c r="M167" s="522">
        <v>107</v>
      </c>
      <c r="N167" s="522">
        <v>3133</v>
      </c>
      <c r="O167" s="522">
        <v>2430</v>
      </c>
      <c r="P167" s="522">
        <v>2357</v>
      </c>
      <c r="Q167" s="522">
        <v>21</v>
      </c>
      <c r="R167" s="523">
        <v>4</v>
      </c>
      <c r="S167" s="523">
        <v>23</v>
      </c>
      <c r="T167" s="523">
        <v>27</v>
      </c>
      <c r="U167" s="523">
        <v>3106</v>
      </c>
      <c r="V167" s="522">
        <v>2057</v>
      </c>
      <c r="W167" s="522">
        <v>25</v>
      </c>
      <c r="X167" s="522">
        <v>7</v>
      </c>
      <c r="Y167" s="522">
        <v>32</v>
      </c>
      <c r="Z167" s="524">
        <v>106.08</v>
      </c>
      <c r="AA167" s="524">
        <v>107.75</v>
      </c>
      <c r="AB167" s="524">
        <v>6.02</v>
      </c>
      <c r="AC167" s="524">
        <v>110.63</v>
      </c>
      <c r="AD167" s="524">
        <v>956</v>
      </c>
      <c r="AE167" s="525">
        <v>95.63</v>
      </c>
      <c r="AF167" s="525">
        <v>90.95</v>
      </c>
      <c r="AG167" s="525">
        <v>44.59</v>
      </c>
      <c r="AH167" s="525">
        <v>140.05000000000001</v>
      </c>
      <c r="AI167" s="525">
        <v>272</v>
      </c>
      <c r="AJ167" s="525">
        <v>138.53</v>
      </c>
      <c r="AK167" s="525">
        <v>1040</v>
      </c>
      <c r="AL167" s="525">
        <v>136.63999999999999</v>
      </c>
      <c r="AM167" s="525">
        <v>1</v>
      </c>
      <c r="AN167" s="526">
        <v>0</v>
      </c>
      <c r="AO167" s="526">
        <v>0</v>
      </c>
      <c r="AP167" s="526">
        <v>0</v>
      </c>
      <c r="AQ167" s="526">
        <v>0</v>
      </c>
      <c r="AR167" s="522">
        <v>0</v>
      </c>
      <c r="AS167" s="526">
        <v>61.48</v>
      </c>
      <c r="AT167" s="526">
        <v>63.84</v>
      </c>
      <c r="AU167" s="526">
        <v>10.92</v>
      </c>
      <c r="AV167" s="526">
        <v>72.400000000000006</v>
      </c>
      <c r="AW167" s="522">
        <v>1</v>
      </c>
      <c r="AX167" s="526">
        <v>84.53</v>
      </c>
      <c r="AY167" s="526">
        <v>86.12</v>
      </c>
      <c r="AZ167" s="526">
        <v>12.04</v>
      </c>
      <c r="BA167" s="526">
        <v>95.56</v>
      </c>
      <c r="BB167" s="522">
        <v>118</v>
      </c>
      <c r="BC167" s="526">
        <v>103.79</v>
      </c>
      <c r="BD167" s="526">
        <v>105.46</v>
      </c>
      <c r="BE167" s="526">
        <v>5.5</v>
      </c>
      <c r="BF167" s="526">
        <v>108.23</v>
      </c>
      <c r="BG167" s="522">
        <v>561</v>
      </c>
      <c r="BH167" s="526">
        <v>118.55</v>
      </c>
      <c r="BI167" s="526">
        <v>120.16</v>
      </c>
      <c r="BJ167" s="526">
        <v>3.51</v>
      </c>
      <c r="BK167" s="526">
        <v>120.58</v>
      </c>
      <c r="BL167" s="522">
        <v>247</v>
      </c>
      <c r="BM167" s="526">
        <v>130.6</v>
      </c>
      <c r="BN167" s="526">
        <v>133.06</v>
      </c>
      <c r="BO167" s="526">
        <v>2.73</v>
      </c>
      <c r="BP167" s="526">
        <v>132.41</v>
      </c>
      <c r="BQ167" s="522">
        <v>24</v>
      </c>
      <c r="BR167" s="526">
        <v>144.58000000000001</v>
      </c>
      <c r="BS167" s="526">
        <v>146.78</v>
      </c>
      <c r="BT167" s="526">
        <v>1.21</v>
      </c>
      <c r="BU167" s="526">
        <v>144.88999999999999</v>
      </c>
      <c r="BV167" s="522">
        <v>4</v>
      </c>
      <c r="BW167" s="526">
        <v>156.6</v>
      </c>
      <c r="BX167" s="526">
        <v>156.5</v>
      </c>
      <c r="BY167" s="526">
        <v>1.4</v>
      </c>
      <c r="BZ167" s="526">
        <v>158</v>
      </c>
      <c r="CA167" s="522">
        <v>1</v>
      </c>
      <c r="CB167" s="526">
        <v>106.08</v>
      </c>
      <c r="CC167" s="526">
        <v>107.75</v>
      </c>
      <c r="CD167" s="526">
        <v>6.02</v>
      </c>
      <c r="CE167" s="526">
        <v>110.63</v>
      </c>
      <c r="CF167" s="522">
        <v>956</v>
      </c>
      <c r="CG167" s="526">
        <v>106.08</v>
      </c>
      <c r="CH167" s="526">
        <v>107.75</v>
      </c>
      <c r="CI167" s="526">
        <v>6.02</v>
      </c>
      <c r="CJ167" s="526">
        <v>110.63</v>
      </c>
      <c r="CK167" s="522">
        <v>956</v>
      </c>
      <c r="CL167" s="526">
        <v>88.76</v>
      </c>
      <c r="CM167" s="526">
        <v>82.32</v>
      </c>
      <c r="CN167" s="526">
        <v>87.37</v>
      </c>
      <c r="CO167" s="526">
        <v>176.13</v>
      </c>
      <c r="CP167" s="522">
        <v>38</v>
      </c>
      <c r="CQ167" s="526">
        <v>0</v>
      </c>
      <c r="CR167" s="526">
        <v>0</v>
      </c>
      <c r="CS167" s="526">
        <v>0</v>
      </c>
      <c r="CT167" s="526">
        <v>0</v>
      </c>
      <c r="CU167" s="522">
        <v>0</v>
      </c>
      <c r="CV167" s="526">
        <v>94.15</v>
      </c>
      <c r="CW167" s="526">
        <v>89.68</v>
      </c>
      <c r="CX167" s="526">
        <v>39.380000000000003</v>
      </c>
      <c r="CY167" s="526">
        <v>133.52000000000001</v>
      </c>
      <c r="CZ167" s="522">
        <v>188</v>
      </c>
      <c r="DA167" s="526">
        <v>107.38</v>
      </c>
      <c r="DB167" s="526">
        <v>102.27</v>
      </c>
      <c r="DC167" s="526">
        <v>30.2</v>
      </c>
      <c r="DD167" s="526">
        <v>136.91</v>
      </c>
      <c r="DE167" s="522">
        <v>45</v>
      </c>
      <c r="DF167" s="526">
        <v>105.26</v>
      </c>
      <c r="DG167" s="526">
        <v>109.3</v>
      </c>
      <c r="DH167" s="526">
        <v>30.86</v>
      </c>
      <c r="DI167" s="526">
        <v>136.12</v>
      </c>
      <c r="DJ167" s="522">
        <v>1</v>
      </c>
      <c r="DK167" s="526">
        <v>0</v>
      </c>
      <c r="DL167" s="526">
        <v>0</v>
      </c>
      <c r="DM167" s="526">
        <v>0</v>
      </c>
      <c r="DN167" s="526">
        <v>0</v>
      </c>
      <c r="DO167" s="522">
        <v>0</v>
      </c>
      <c r="DP167" s="526">
        <v>96.74</v>
      </c>
      <c r="DQ167" s="526">
        <v>92.11</v>
      </c>
      <c r="DR167" s="526">
        <v>37.61</v>
      </c>
      <c r="DS167" s="526">
        <v>134.19</v>
      </c>
      <c r="DT167" s="522">
        <v>234</v>
      </c>
      <c r="DU167" s="526">
        <v>95.63</v>
      </c>
      <c r="DV167" s="526">
        <v>90.95</v>
      </c>
      <c r="DW167" s="526">
        <v>44.59</v>
      </c>
      <c r="DX167" s="526">
        <v>140.05000000000001</v>
      </c>
      <c r="DY167" s="522">
        <v>272</v>
      </c>
      <c r="DZ167" s="526">
        <v>0</v>
      </c>
      <c r="EA167" s="526">
        <v>0</v>
      </c>
      <c r="EB167" s="526">
        <v>0</v>
      </c>
      <c r="EC167" s="522">
        <v>0</v>
      </c>
      <c r="ED167" s="526">
        <v>115.85</v>
      </c>
      <c r="EE167" s="522">
        <v>341</v>
      </c>
      <c r="EF167" s="526">
        <v>144.26</v>
      </c>
      <c r="EG167" s="522">
        <v>510</v>
      </c>
      <c r="EH167" s="526">
        <v>162.35</v>
      </c>
      <c r="EI167" s="522">
        <v>176</v>
      </c>
      <c r="EJ167" s="526">
        <v>183.04</v>
      </c>
      <c r="EK167" s="522">
        <v>12</v>
      </c>
      <c r="EL167" s="526">
        <v>226.5</v>
      </c>
      <c r="EM167" s="522">
        <v>1</v>
      </c>
      <c r="EN167" s="526">
        <v>0</v>
      </c>
      <c r="EO167" s="522">
        <v>0</v>
      </c>
      <c r="EP167" s="526">
        <v>138.53</v>
      </c>
      <c r="EQ167" s="522">
        <v>1040</v>
      </c>
      <c r="ER167" s="526">
        <v>138.53</v>
      </c>
      <c r="ES167" s="522">
        <v>1040</v>
      </c>
      <c r="ET167" s="526">
        <v>0</v>
      </c>
      <c r="EU167" s="526">
        <v>0</v>
      </c>
      <c r="EV167" s="526">
        <v>0</v>
      </c>
      <c r="EW167" s="522">
        <v>0</v>
      </c>
      <c r="EX167" s="526">
        <v>0</v>
      </c>
      <c r="EY167" s="522">
        <v>0</v>
      </c>
      <c r="EZ167" s="526">
        <v>136.63999999999999</v>
      </c>
      <c r="FA167" s="522">
        <v>1</v>
      </c>
      <c r="FB167" s="526">
        <v>0</v>
      </c>
      <c r="FC167" s="522">
        <v>0</v>
      </c>
      <c r="FD167" s="526">
        <v>0</v>
      </c>
      <c r="FE167" s="522">
        <v>0</v>
      </c>
      <c r="FF167" s="526">
        <v>136.63999999999999</v>
      </c>
      <c r="FG167" s="522">
        <v>1</v>
      </c>
      <c r="FH167" s="526">
        <v>136.63999999999999</v>
      </c>
      <c r="FI167" s="522">
        <v>1</v>
      </c>
      <c r="FJ167" s="522">
        <v>15</v>
      </c>
      <c r="FK167" s="522">
        <v>0</v>
      </c>
      <c r="FL167" s="522">
        <v>0</v>
      </c>
      <c r="FM167" s="522">
        <v>0</v>
      </c>
      <c r="FN167" s="522">
        <v>0</v>
      </c>
      <c r="FO167" s="522">
        <v>0</v>
      </c>
      <c r="FP167" s="522">
        <v>0</v>
      </c>
      <c r="FQ167" s="522">
        <v>119</v>
      </c>
      <c r="FR167" s="522">
        <v>4</v>
      </c>
    </row>
    <row r="168" spans="1:174" x14ac:dyDescent="0.25">
      <c r="A168" s="523" t="s">
        <v>593</v>
      </c>
      <c r="B168" s="523" t="s">
        <v>594</v>
      </c>
      <c r="C168" s="523" t="s">
        <v>2</v>
      </c>
      <c r="D168" s="522">
        <v>6931</v>
      </c>
      <c r="E168" s="522">
        <v>6590</v>
      </c>
      <c r="F168" s="522">
        <v>3</v>
      </c>
      <c r="G168" s="522">
        <v>3</v>
      </c>
      <c r="H168" s="522">
        <v>90</v>
      </c>
      <c r="I168" s="522">
        <v>27</v>
      </c>
      <c r="J168" s="522">
        <v>885</v>
      </c>
      <c r="K168" s="522">
        <v>720</v>
      </c>
      <c r="L168" s="522">
        <v>969</v>
      </c>
      <c r="M168" s="522">
        <v>23</v>
      </c>
      <c r="N168" s="522">
        <v>8878</v>
      </c>
      <c r="O168" s="522">
        <v>7363</v>
      </c>
      <c r="P168" s="522">
        <v>7909</v>
      </c>
      <c r="Q168" s="522">
        <v>57</v>
      </c>
      <c r="R168" s="523">
        <v>9</v>
      </c>
      <c r="S168" s="523">
        <v>32</v>
      </c>
      <c r="T168" s="523">
        <v>485</v>
      </c>
      <c r="U168" s="523">
        <v>8393</v>
      </c>
      <c r="V168" s="522">
        <v>6628</v>
      </c>
      <c r="W168" s="522">
        <v>102</v>
      </c>
      <c r="X168" s="522">
        <v>18</v>
      </c>
      <c r="Y168" s="522">
        <v>120</v>
      </c>
      <c r="Z168" s="524">
        <v>131.59</v>
      </c>
      <c r="AA168" s="524">
        <v>131.97</v>
      </c>
      <c r="AB168" s="524">
        <v>7.11</v>
      </c>
      <c r="AC168" s="524">
        <v>137.15</v>
      </c>
      <c r="AD168" s="524">
        <v>4140</v>
      </c>
      <c r="AE168" s="525">
        <v>113.92</v>
      </c>
      <c r="AF168" s="525">
        <v>109.69</v>
      </c>
      <c r="AG168" s="525">
        <v>57.12</v>
      </c>
      <c r="AH168" s="525">
        <v>169.38</v>
      </c>
      <c r="AI168" s="525">
        <v>758</v>
      </c>
      <c r="AJ168" s="525">
        <v>200.25</v>
      </c>
      <c r="AK168" s="525">
        <v>2339</v>
      </c>
      <c r="AL168" s="525">
        <v>183.05</v>
      </c>
      <c r="AM168" s="525">
        <v>35</v>
      </c>
      <c r="AN168" s="526">
        <v>90.18</v>
      </c>
      <c r="AO168" s="526">
        <v>91.88</v>
      </c>
      <c r="AP168" s="526">
        <v>23.06</v>
      </c>
      <c r="AQ168" s="526">
        <v>113.24</v>
      </c>
      <c r="AR168" s="522">
        <v>2</v>
      </c>
      <c r="AS168" s="526">
        <v>87.72</v>
      </c>
      <c r="AT168" s="526">
        <v>86.99</v>
      </c>
      <c r="AU168" s="526">
        <v>41.64</v>
      </c>
      <c r="AV168" s="526">
        <v>129.36000000000001</v>
      </c>
      <c r="AW168" s="522">
        <v>18</v>
      </c>
      <c r="AX168" s="526">
        <v>108.18</v>
      </c>
      <c r="AY168" s="526">
        <v>108.71</v>
      </c>
      <c r="AZ168" s="526">
        <v>10.11</v>
      </c>
      <c r="BA168" s="526">
        <v>117.99</v>
      </c>
      <c r="BB168" s="522">
        <v>1128</v>
      </c>
      <c r="BC168" s="526">
        <v>128.66999999999999</v>
      </c>
      <c r="BD168" s="526">
        <v>128.94999999999999</v>
      </c>
      <c r="BE168" s="526">
        <v>7.02</v>
      </c>
      <c r="BF168" s="526">
        <v>134.44</v>
      </c>
      <c r="BG168" s="522">
        <v>1396</v>
      </c>
      <c r="BH168" s="526">
        <v>150.06</v>
      </c>
      <c r="BI168" s="526">
        <v>150.24</v>
      </c>
      <c r="BJ168" s="526">
        <v>3.03</v>
      </c>
      <c r="BK168" s="526">
        <v>151.87</v>
      </c>
      <c r="BL168" s="522">
        <v>1486</v>
      </c>
      <c r="BM168" s="526">
        <v>167.2</v>
      </c>
      <c r="BN168" s="526">
        <v>169.46</v>
      </c>
      <c r="BO168" s="526">
        <v>4.63</v>
      </c>
      <c r="BP168" s="526">
        <v>170.81</v>
      </c>
      <c r="BQ168" s="522">
        <v>109</v>
      </c>
      <c r="BR168" s="526">
        <v>158.72999999999999</v>
      </c>
      <c r="BS168" s="526">
        <v>157.96</v>
      </c>
      <c r="BT168" s="526">
        <v>2.41</v>
      </c>
      <c r="BU168" s="526">
        <v>161.13999999999999</v>
      </c>
      <c r="BV168" s="522">
        <v>1</v>
      </c>
      <c r="BW168" s="526">
        <v>0</v>
      </c>
      <c r="BX168" s="526">
        <v>0</v>
      </c>
      <c r="BY168" s="526">
        <v>0</v>
      </c>
      <c r="BZ168" s="526">
        <v>0</v>
      </c>
      <c r="CA168" s="522">
        <v>0</v>
      </c>
      <c r="CB168" s="526">
        <v>131.61000000000001</v>
      </c>
      <c r="CC168" s="526">
        <v>131.99</v>
      </c>
      <c r="CD168" s="526">
        <v>7.1</v>
      </c>
      <c r="CE168" s="526">
        <v>137.16</v>
      </c>
      <c r="CF168" s="522">
        <v>4138</v>
      </c>
      <c r="CG168" s="526">
        <v>131.59</v>
      </c>
      <c r="CH168" s="526">
        <v>131.97</v>
      </c>
      <c r="CI168" s="526">
        <v>7.11</v>
      </c>
      <c r="CJ168" s="526">
        <v>137.15</v>
      </c>
      <c r="CK168" s="522">
        <v>4140</v>
      </c>
      <c r="CL168" s="526">
        <v>120.52</v>
      </c>
      <c r="CM168" s="526">
        <v>92.62</v>
      </c>
      <c r="CN168" s="526">
        <v>96.23</v>
      </c>
      <c r="CO168" s="526">
        <v>194.54</v>
      </c>
      <c r="CP168" s="522">
        <v>26</v>
      </c>
      <c r="CQ168" s="526">
        <v>84.12</v>
      </c>
      <c r="CR168" s="526">
        <v>101.87</v>
      </c>
      <c r="CS168" s="526">
        <v>80.58</v>
      </c>
      <c r="CT168" s="526">
        <v>164.7</v>
      </c>
      <c r="CU168" s="522">
        <v>22</v>
      </c>
      <c r="CV168" s="526">
        <v>113.87</v>
      </c>
      <c r="CW168" s="526">
        <v>109.42</v>
      </c>
      <c r="CX168" s="526">
        <v>55.7</v>
      </c>
      <c r="CY168" s="526">
        <v>168.32</v>
      </c>
      <c r="CZ168" s="522">
        <v>666</v>
      </c>
      <c r="DA168" s="526">
        <v>125.08</v>
      </c>
      <c r="DB168" s="526">
        <v>124.8</v>
      </c>
      <c r="DC168" s="526">
        <v>48.07</v>
      </c>
      <c r="DD168" s="526">
        <v>172.03</v>
      </c>
      <c r="DE168" s="522">
        <v>43</v>
      </c>
      <c r="DF168" s="526">
        <v>148.69999999999999</v>
      </c>
      <c r="DG168" s="526">
        <v>171.39</v>
      </c>
      <c r="DH168" s="526">
        <v>58.17</v>
      </c>
      <c r="DI168" s="526">
        <v>206.87</v>
      </c>
      <c r="DJ168" s="522">
        <v>1</v>
      </c>
      <c r="DK168" s="526">
        <v>0</v>
      </c>
      <c r="DL168" s="526">
        <v>0</v>
      </c>
      <c r="DM168" s="526">
        <v>0</v>
      </c>
      <c r="DN168" s="526">
        <v>0</v>
      </c>
      <c r="DO168" s="522">
        <v>0</v>
      </c>
      <c r="DP168" s="526">
        <v>113.69</v>
      </c>
      <c r="DQ168" s="526">
        <v>110.18</v>
      </c>
      <c r="DR168" s="526">
        <v>56.02</v>
      </c>
      <c r="DS168" s="526">
        <v>168.49</v>
      </c>
      <c r="DT168" s="522">
        <v>732</v>
      </c>
      <c r="DU168" s="526">
        <v>113.92</v>
      </c>
      <c r="DV168" s="526">
        <v>109.69</v>
      </c>
      <c r="DW168" s="526">
        <v>57.12</v>
      </c>
      <c r="DX168" s="526">
        <v>169.38</v>
      </c>
      <c r="DY168" s="522">
        <v>758</v>
      </c>
      <c r="DZ168" s="526">
        <v>0</v>
      </c>
      <c r="EA168" s="526">
        <v>0</v>
      </c>
      <c r="EB168" s="526">
        <v>121.52</v>
      </c>
      <c r="EC168" s="522">
        <v>2</v>
      </c>
      <c r="ED168" s="526">
        <v>161.62</v>
      </c>
      <c r="EE168" s="522">
        <v>672</v>
      </c>
      <c r="EF168" s="526">
        <v>208.23</v>
      </c>
      <c r="EG168" s="522">
        <v>1171</v>
      </c>
      <c r="EH168" s="526">
        <v>230.34</v>
      </c>
      <c r="EI168" s="522">
        <v>459</v>
      </c>
      <c r="EJ168" s="526">
        <v>284.64999999999998</v>
      </c>
      <c r="EK168" s="522">
        <v>35</v>
      </c>
      <c r="EL168" s="526">
        <v>0</v>
      </c>
      <c r="EM168" s="522">
        <v>0</v>
      </c>
      <c r="EN168" s="526">
        <v>0</v>
      </c>
      <c r="EO168" s="522">
        <v>0</v>
      </c>
      <c r="EP168" s="526">
        <v>200.25</v>
      </c>
      <c r="EQ168" s="522">
        <v>2339</v>
      </c>
      <c r="ER168" s="526">
        <v>200.25</v>
      </c>
      <c r="ES168" s="522">
        <v>2339</v>
      </c>
      <c r="ET168" s="526">
        <v>0</v>
      </c>
      <c r="EU168" s="526">
        <v>0</v>
      </c>
      <c r="EV168" s="526">
        <v>0</v>
      </c>
      <c r="EW168" s="522">
        <v>0</v>
      </c>
      <c r="EX168" s="526">
        <v>177.38</v>
      </c>
      <c r="EY168" s="522">
        <v>31</v>
      </c>
      <c r="EZ168" s="526">
        <v>226.95</v>
      </c>
      <c r="FA168" s="522">
        <v>4</v>
      </c>
      <c r="FB168" s="526">
        <v>0</v>
      </c>
      <c r="FC168" s="522">
        <v>0</v>
      </c>
      <c r="FD168" s="526">
        <v>0</v>
      </c>
      <c r="FE168" s="522">
        <v>0</v>
      </c>
      <c r="FF168" s="526">
        <v>183.05</v>
      </c>
      <c r="FG168" s="522">
        <v>35</v>
      </c>
      <c r="FH168" s="526">
        <v>183.05</v>
      </c>
      <c r="FI168" s="522">
        <v>35</v>
      </c>
      <c r="FJ168" s="522">
        <v>57</v>
      </c>
      <c r="FK168" s="522">
        <v>0</v>
      </c>
      <c r="FL168" s="522">
        <v>0</v>
      </c>
      <c r="FM168" s="522">
        <v>0</v>
      </c>
      <c r="FN168" s="522">
        <v>0</v>
      </c>
      <c r="FO168" s="522">
        <v>0</v>
      </c>
      <c r="FP168" s="522">
        <v>1</v>
      </c>
      <c r="FQ168" s="522">
        <v>63</v>
      </c>
      <c r="FR168" s="522">
        <v>6</v>
      </c>
    </row>
    <row r="169" spans="1:174" x14ac:dyDescent="0.25">
      <c r="A169" s="523" t="s">
        <v>595</v>
      </c>
      <c r="B169" s="523" t="s">
        <v>596</v>
      </c>
      <c r="C169" s="523" t="s">
        <v>285</v>
      </c>
      <c r="D169" s="522">
        <v>13199</v>
      </c>
      <c r="E169" s="522">
        <v>13193</v>
      </c>
      <c r="F169" s="522">
        <v>2</v>
      </c>
      <c r="G169" s="522">
        <v>2</v>
      </c>
      <c r="H169" s="522">
        <v>568</v>
      </c>
      <c r="I169" s="522">
        <v>392</v>
      </c>
      <c r="J169" s="522">
        <v>1369</v>
      </c>
      <c r="K169" s="522">
        <v>1369</v>
      </c>
      <c r="L169" s="522">
        <v>391</v>
      </c>
      <c r="M169" s="522">
        <v>0</v>
      </c>
      <c r="N169" s="522">
        <v>15529</v>
      </c>
      <c r="O169" s="522">
        <v>14956</v>
      </c>
      <c r="P169" s="522">
        <v>15138</v>
      </c>
      <c r="Q169" s="522">
        <v>25</v>
      </c>
      <c r="R169" s="523">
        <v>8</v>
      </c>
      <c r="S169" s="523">
        <v>23</v>
      </c>
      <c r="T169" s="523">
        <v>115</v>
      </c>
      <c r="U169" s="523">
        <v>15414</v>
      </c>
      <c r="V169" s="522">
        <v>13169</v>
      </c>
      <c r="W169" s="522">
        <v>72</v>
      </c>
      <c r="X169" s="522">
        <v>544</v>
      </c>
      <c r="Y169" s="522">
        <v>616</v>
      </c>
      <c r="Z169" s="524">
        <v>98.3</v>
      </c>
      <c r="AA169" s="524">
        <v>97.61</v>
      </c>
      <c r="AB169" s="524">
        <v>9.51</v>
      </c>
      <c r="AC169" s="524">
        <v>101.41</v>
      </c>
      <c r="AD169" s="524">
        <v>12113</v>
      </c>
      <c r="AE169" s="525">
        <v>103.58</v>
      </c>
      <c r="AF169" s="525">
        <v>92.83</v>
      </c>
      <c r="AG169" s="525">
        <v>73.34</v>
      </c>
      <c r="AH169" s="525">
        <v>161</v>
      </c>
      <c r="AI169" s="525">
        <v>1751</v>
      </c>
      <c r="AJ169" s="525">
        <v>117.34</v>
      </c>
      <c r="AK169" s="525">
        <v>962</v>
      </c>
      <c r="AL169" s="525">
        <v>190.23</v>
      </c>
      <c r="AM169" s="525">
        <v>110</v>
      </c>
      <c r="AN169" s="526">
        <v>74.099999999999994</v>
      </c>
      <c r="AO169" s="526">
        <v>0</v>
      </c>
      <c r="AP169" s="526">
        <v>20.100000000000001</v>
      </c>
      <c r="AQ169" s="526">
        <v>94.2</v>
      </c>
      <c r="AR169" s="522">
        <v>2</v>
      </c>
      <c r="AS169" s="526">
        <v>73.37</v>
      </c>
      <c r="AT169" s="526">
        <v>73.12</v>
      </c>
      <c r="AU169" s="526">
        <v>9.99</v>
      </c>
      <c r="AV169" s="526">
        <v>83.1</v>
      </c>
      <c r="AW169" s="522">
        <v>38</v>
      </c>
      <c r="AX169" s="526">
        <v>84.89</v>
      </c>
      <c r="AY169" s="526">
        <v>83.98</v>
      </c>
      <c r="AZ169" s="526">
        <v>13.85</v>
      </c>
      <c r="BA169" s="526">
        <v>94.26</v>
      </c>
      <c r="BB169" s="522">
        <v>2804</v>
      </c>
      <c r="BC169" s="526">
        <v>96.19</v>
      </c>
      <c r="BD169" s="526">
        <v>95.29</v>
      </c>
      <c r="BE169" s="526">
        <v>6.2</v>
      </c>
      <c r="BF169" s="526">
        <v>98.39</v>
      </c>
      <c r="BG169" s="522">
        <v>3417</v>
      </c>
      <c r="BH169" s="526">
        <v>105.5</v>
      </c>
      <c r="BI169" s="526">
        <v>104.98</v>
      </c>
      <c r="BJ169" s="526">
        <v>4.08</v>
      </c>
      <c r="BK169" s="526">
        <v>106.07</v>
      </c>
      <c r="BL169" s="522">
        <v>5501</v>
      </c>
      <c r="BM169" s="526">
        <v>114.88</v>
      </c>
      <c r="BN169" s="526">
        <v>114.93</v>
      </c>
      <c r="BO169" s="526">
        <v>6.57</v>
      </c>
      <c r="BP169" s="526">
        <v>115.8</v>
      </c>
      <c r="BQ169" s="522">
        <v>308</v>
      </c>
      <c r="BR169" s="526">
        <v>123.94</v>
      </c>
      <c r="BS169" s="526">
        <v>126.28</v>
      </c>
      <c r="BT169" s="526">
        <v>10.16</v>
      </c>
      <c r="BU169" s="526">
        <v>124.93</v>
      </c>
      <c r="BV169" s="522">
        <v>41</v>
      </c>
      <c r="BW169" s="526">
        <v>129.36000000000001</v>
      </c>
      <c r="BX169" s="526">
        <v>130.85</v>
      </c>
      <c r="BY169" s="526">
        <v>0</v>
      </c>
      <c r="BZ169" s="526">
        <v>129.36000000000001</v>
      </c>
      <c r="CA169" s="522">
        <v>2</v>
      </c>
      <c r="CB169" s="526">
        <v>98.31</v>
      </c>
      <c r="CC169" s="526">
        <v>97.61</v>
      </c>
      <c r="CD169" s="526">
        <v>9.5</v>
      </c>
      <c r="CE169" s="526">
        <v>101.41</v>
      </c>
      <c r="CF169" s="522">
        <v>12111</v>
      </c>
      <c r="CG169" s="526">
        <v>98.3</v>
      </c>
      <c r="CH169" s="526">
        <v>97.61</v>
      </c>
      <c r="CI169" s="526">
        <v>9.51</v>
      </c>
      <c r="CJ169" s="526">
        <v>101.41</v>
      </c>
      <c r="CK169" s="522">
        <v>12113</v>
      </c>
      <c r="CL169" s="526">
        <v>151.44</v>
      </c>
      <c r="CM169" s="526">
        <v>98.72</v>
      </c>
      <c r="CN169" s="526">
        <v>111.92</v>
      </c>
      <c r="CO169" s="526">
        <v>261.99</v>
      </c>
      <c r="CP169" s="522">
        <v>163</v>
      </c>
      <c r="CQ169" s="526">
        <v>88.38</v>
      </c>
      <c r="CR169" s="526">
        <v>82.3</v>
      </c>
      <c r="CS169" s="526">
        <v>71.959999999999994</v>
      </c>
      <c r="CT169" s="526">
        <v>160.34</v>
      </c>
      <c r="CU169" s="522">
        <v>105</v>
      </c>
      <c r="CV169" s="526">
        <v>96.73</v>
      </c>
      <c r="CW169" s="526">
        <v>90.78</v>
      </c>
      <c r="CX169" s="526">
        <v>65.45</v>
      </c>
      <c r="CY169" s="526">
        <v>146.13999999999999</v>
      </c>
      <c r="CZ169" s="522">
        <v>1057</v>
      </c>
      <c r="DA169" s="526">
        <v>105.39</v>
      </c>
      <c r="DB169" s="526">
        <v>98.08</v>
      </c>
      <c r="DC169" s="526">
        <v>73.3</v>
      </c>
      <c r="DD169" s="526">
        <v>157.54</v>
      </c>
      <c r="DE169" s="522">
        <v>409</v>
      </c>
      <c r="DF169" s="526">
        <v>120.65</v>
      </c>
      <c r="DG169" s="526">
        <v>122.9</v>
      </c>
      <c r="DH169" s="526">
        <v>88.28</v>
      </c>
      <c r="DI169" s="526">
        <v>203.74</v>
      </c>
      <c r="DJ169" s="522">
        <v>17</v>
      </c>
      <c r="DK169" s="526">
        <v>0</v>
      </c>
      <c r="DL169" s="526">
        <v>0</v>
      </c>
      <c r="DM169" s="526">
        <v>0</v>
      </c>
      <c r="DN169" s="526">
        <v>0</v>
      </c>
      <c r="DO169" s="522">
        <v>0</v>
      </c>
      <c r="DP169" s="526">
        <v>98.66</v>
      </c>
      <c r="DQ169" s="526">
        <v>92.45</v>
      </c>
      <c r="DR169" s="526">
        <v>68.209999999999994</v>
      </c>
      <c r="DS169" s="526">
        <v>150.63</v>
      </c>
      <c r="DT169" s="522">
        <v>1588</v>
      </c>
      <c r="DU169" s="526">
        <v>103.58</v>
      </c>
      <c r="DV169" s="526">
        <v>92.83</v>
      </c>
      <c r="DW169" s="526">
        <v>73.34</v>
      </c>
      <c r="DX169" s="526">
        <v>161</v>
      </c>
      <c r="DY169" s="522">
        <v>1751</v>
      </c>
      <c r="DZ169" s="526">
        <v>0</v>
      </c>
      <c r="EA169" s="526">
        <v>0</v>
      </c>
      <c r="EB169" s="526">
        <v>0</v>
      </c>
      <c r="EC169" s="522">
        <v>0</v>
      </c>
      <c r="ED169" s="526">
        <v>99.88</v>
      </c>
      <c r="EE169" s="522">
        <v>36</v>
      </c>
      <c r="EF169" s="526">
        <v>113.45</v>
      </c>
      <c r="EG169" s="522">
        <v>620</v>
      </c>
      <c r="EH169" s="526">
        <v>126.54</v>
      </c>
      <c r="EI169" s="522">
        <v>291</v>
      </c>
      <c r="EJ169" s="526">
        <v>141.77000000000001</v>
      </c>
      <c r="EK169" s="522">
        <v>15</v>
      </c>
      <c r="EL169" s="526">
        <v>0</v>
      </c>
      <c r="EM169" s="522">
        <v>0</v>
      </c>
      <c r="EN169" s="526">
        <v>0</v>
      </c>
      <c r="EO169" s="522">
        <v>0</v>
      </c>
      <c r="EP169" s="526">
        <v>117.34</v>
      </c>
      <c r="EQ169" s="522">
        <v>962</v>
      </c>
      <c r="ER169" s="526">
        <v>117.34</v>
      </c>
      <c r="ES169" s="522">
        <v>962</v>
      </c>
      <c r="ET169" s="526">
        <v>205.98</v>
      </c>
      <c r="EU169" s="526">
        <v>4</v>
      </c>
      <c r="EV169" s="526">
        <v>0</v>
      </c>
      <c r="EW169" s="522">
        <v>0</v>
      </c>
      <c r="EX169" s="526">
        <v>177.83</v>
      </c>
      <c r="EY169" s="522">
        <v>17</v>
      </c>
      <c r="EZ169" s="526">
        <v>191.9</v>
      </c>
      <c r="FA169" s="522">
        <v>87</v>
      </c>
      <c r="FB169" s="526">
        <v>191.46</v>
      </c>
      <c r="FC169" s="522">
        <v>2</v>
      </c>
      <c r="FD169" s="526">
        <v>0</v>
      </c>
      <c r="FE169" s="522">
        <v>0</v>
      </c>
      <c r="FF169" s="526">
        <v>189.64</v>
      </c>
      <c r="FG169" s="522">
        <v>106</v>
      </c>
      <c r="FH169" s="526">
        <v>190.23</v>
      </c>
      <c r="FI169" s="522">
        <v>110</v>
      </c>
      <c r="FJ169" s="522">
        <v>0</v>
      </c>
      <c r="FK169" s="522">
        <v>32</v>
      </c>
      <c r="FL169" s="522">
        <v>18</v>
      </c>
      <c r="FM169" s="522">
        <v>0</v>
      </c>
      <c r="FN169" s="522">
        <v>12</v>
      </c>
      <c r="FO169" s="522">
        <v>2</v>
      </c>
      <c r="FP169" s="522">
        <v>4</v>
      </c>
      <c r="FQ169" s="522">
        <v>47</v>
      </c>
      <c r="FR169" s="522">
        <v>2</v>
      </c>
    </row>
    <row r="170" spans="1:174" x14ac:dyDescent="0.25">
      <c r="A170" s="523" t="s">
        <v>597</v>
      </c>
      <c r="B170" s="523" t="s">
        <v>598</v>
      </c>
      <c r="C170" s="523" t="s">
        <v>2</v>
      </c>
      <c r="D170" s="522">
        <v>9878</v>
      </c>
      <c r="E170" s="522">
        <v>9669</v>
      </c>
      <c r="F170" s="522">
        <v>114</v>
      </c>
      <c r="G170" s="522">
        <v>14</v>
      </c>
      <c r="H170" s="522">
        <v>552</v>
      </c>
      <c r="I170" s="522">
        <v>254</v>
      </c>
      <c r="J170" s="522">
        <v>586</v>
      </c>
      <c r="K170" s="522">
        <v>411</v>
      </c>
      <c r="L170" s="522">
        <v>6400</v>
      </c>
      <c r="M170" s="522">
        <v>345</v>
      </c>
      <c r="N170" s="522">
        <v>17530</v>
      </c>
      <c r="O170" s="522">
        <v>10693</v>
      </c>
      <c r="P170" s="522">
        <v>11130</v>
      </c>
      <c r="Q170" s="522">
        <v>59</v>
      </c>
      <c r="R170" s="523">
        <v>10</v>
      </c>
      <c r="S170" s="523">
        <v>43</v>
      </c>
      <c r="T170" s="523">
        <v>588</v>
      </c>
      <c r="U170" s="523">
        <v>16942</v>
      </c>
      <c r="V170" s="522">
        <v>9604</v>
      </c>
      <c r="W170" s="522">
        <v>60</v>
      </c>
      <c r="X170" s="522">
        <v>31</v>
      </c>
      <c r="Y170" s="522">
        <v>91</v>
      </c>
      <c r="Z170" s="524">
        <v>113.72</v>
      </c>
      <c r="AA170" s="524">
        <v>114.52</v>
      </c>
      <c r="AB170" s="524">
        <v>8.7799999999999994</v>
      </c>
      <c r="AC170" s="524">
        <v>119.81</v>
      </c>
      <c r="AD170" s="524">
        <v>6763</v>
      </c>
      <c r="AE170" s="525">
        <v>125.3</v>
      </c>
      <c r="AF170" s="525">
        <v>110.2</v>
      </c>
      <c r="AG170" s="525">
        <v>67.099999999999994</v>
      </c>
      <c r="AH170" s="525">
        <v>190.28</v>
      </c>
      <c r="AI170" s="525">
        <v>820</v>
      </c>
      <c r="AJ170" s="525">
        <v>183.62</v>
      </c>
      <c r="AK170" s="525">
        <v>2512</v>
      </c>
      <c r="AL170" s="525">
        <v>227.81</v>
      </c>
      <c r="AM170" s="525">
        <v>210</v>
      </c>
      <c r="AN170" s="526">
        <v>0</v>
      </c>
      <c r="AO170" s="526">
        <v>0</v>
      </c>
      <c r="AP170" s="526">
        <v>0</v>
      </c>
      <c r="AQ170" s="526">
        <v>0</v>
      </c>
      <c r="AR170" s="522">
        <v>0</v>
      </c>
      <c r="AS170" s="526">
        <v>82.33</v>
      </c>
      <c r="AT170" s="526">
        <v>81.96</v>
      </c>
      <c r="AU170" s="526">
        <v>9.33</v>
      </c>
      <c r="AV170" s="526">
        <v>91.37</v>
      </c>
      <c r="AW170" s="522">
        <v>63</v>
      </c>
      <c r="AX170" s="526">
        <v>95.51</v>
      </c>
      <c r="AY170" s="526">
        <v>95.74</v>
      </c>
      <c r="AZ170" s="526">
        <v>10.84</v>
      </c>
      <c r="BA170" s="526">
        <v>104.83</v>
      </c>
      <c r="BB170" s="522">
        <v>1488</v>
      </c>
      <c r="BC170" s="526">
        <v>114.15</v>
      </c>
      <c r="BD170" s="526">
        <v>114.53</v>
      </c>
      <c r="BE170" s="526">
        <v>9.4499999999999993</v>
      </c>
      <c r="BF170" s="526">
        <v>121.07</v>
      </c>
      <c r="BG170" s="522">
        <v>3367</v>
      </c>
      <c r="BH170" s="526">
        <v>126.26</v>
      </c>
      <c r="BI170" s="526">
        <v>128.4</v>
      </c>
      <c r="BJ170" s="526">
        <v>3.87</v>
      </c>
      <c r="BK170" s="526">
        <v>128.11000000000001</v>
      </c>
      <c r="BL170" s="522">
        <v>1610</v>
      </c>
      <c r="BM170" s="526">
        <v>145.38999999999999</v>
      </c>
      <c r="BN170" s="526">
        <v>147.18</v>
      </c>
      <c r="BO170" s="526">
        <v>4.04</v>
      </c>
      <c r="BP170" s="526">
        <v>147.35</v>
      </c>
      <c r="BQ170" s="522">
        <v>227</v>
      </c>
      <c r="BR170" s="526">
        <v>147.44999999999999</v>
      </c>
      <c r="BS170" s="526">
        <v>156.66999999999999</v>
      </c>
      <c r="BT170" s="526">
        <v>1.54</v>
      </c>
      <c r="BU170" s="526">
        <v>148.03</v>
      </c>
      <c r="BV170" s="522">
        <v>8</v>
      </c>
      <c r="BW170" s="526">
        <v>0</v>
      </c>
      <c r="BX170" s="526">
        <v>0</v>
      </c>
      <c r="BY170" s="526">
        <v>0</v>
      </c>
      <c r="BZ170" s="526">
        <v>0</v>
      </c>
      <c r="CA170" s="522">
        <v>0</v>
      </c>
      <c r="CB170" s="526">
        <v>113.72</v>
      </c>
      <c r="CC170" s="526">
        <v>114.52</v>
      </c>
      <c r="CD170" s="526">
        <v>8.7799999999999994</v>
      </c>
      <c r="CE170" s="526">
        <v>119.81</v>
      </c>
      <c r="CF170" s="522">
        <v>6763</v>
      </c>
      <c r="CG170" s="526">
        <v>113.72</v>
      </c>
      <c r="CH170" s="526">
        <v>114.52</v>
      </c>
      <c r="CI170" s="526">
        <v>8.7799999999999994</v>
      </c>
      <c r="CJ170" s="526">
        <v>119.81</v>
      </c>
      <c r="CK170" s="522">
        <v>6763</v>
      </c>
      <c r="CL170" s="526">
        <v>151.85</v>
      </c>
      <c r="CM170" s="526">
        <v>116.78</v>
      </c>
      <c r="CN170" s="526">
        <v>90.22</v>
      </c>
      <c r="CO170" s="526">
        <v>223.86</v>
      </c>
      <c r="CP170" s="522">
        <v>114</v>
      </c>
      <c r="CQ170" s="526">
        <v>98.41</v>
      </c>
      <c r="CR170" s="526">
        <v>89.42</v>
      </c>
      <c r="CS170" s="526">
        <v>159.1</v>
      </c>
      <c r="CT170" s="526">
        <v>257.51</v>
      </c>
      <c r="CU170" s="522">
        <v>36</v>
      </c>
      <c r="CV170" s="526">
        <v>119.3</v>
      </c>
      <c r="CW170" s="526">
        <v>107.55</v>
      </c>
      <c r="CX170" s="526">
        <v>62.98</v>
      </c>
      <c r="CY170" s="526">
        <v>182.03</v>
      </c>
      <c r="CZ170" s="522">
        <v>514</v>
      </c>
      <c r="DA170" s="526">
        <v>131.57</v>
      </c>
      <c r="DB170" s="526">
        <v>120.73</v>
      </c>
      <c r="DC170" s="526">
        <v>45.78</v>
      </c>
      <c r="DD170" s="526">
        <v>177.05</v>
      </c>
      <c r="DE170" s="522">
        <v>153</v>
      </c>
      <c r="DF170" s="526">
        <v>148.96</v>
      </c>
      <c r="DG170" s="526">
        <v>142.6</v>
      </c>
      <c r="DH170" s="526">
        <v>46.11</v>
      </c>
      <c r="DI170" s="526">
        <v>195.07</v>
      </c>
      <c r="DJ170" s="522">
        <v>3</v>
      </c>
      <c r="DK170" s="526">
        <v>0</v>
      </c>
      <c r="DL170" s="526">
        <v>0</v>
      </c>
      <c r="DM170" s="526">
        <v>0</v>
      </c>
      <c r="DN170" s="526">
        <v>0</v>
      </c>
      <c r="DO170" s="522">
        <v>0</v>
      </c>
      <c r="DP170" s="526">
        <v>121.02</v>
      </c>
      <c r="DQ170" s="526">
        <v>109.33</v>
      </c>
      <c r="DR170" s="526">
        <v>64.11</v>
      </c>
      <c r="DS170" s="526">
        <v>184.85</v>
      </c>
      <c r="DT170" s="522">
        <v>706</v>
      </c>
      <c r="DU170" s="526">
        <v>125.3</v>
      </c>
      <c r="DV170" s="526">
        <v>110.2</v>
      </c>
      <c r="DW170" s="526">
        <v>67.099999999999994</v>
      </c>
      <c r="DX170" s="526">
        <v>190.28</v>
      </c>
      <c r="DY170" s="522">
        <v>820</v>
      </c>
      <c r="DZ170" s="526">
        <v>0</v>
      </c>
      <c r="EA170" s="526">
        <v>0</v>
      </c>
      <c r="EB170" s="526">
        <v>114.6</v>
      </c>
      <c r="EC170" s="522">
        <v>6</v>
      </c>
      <c r="ED170" s="526">
        <v>146.81</v>
      </c>
      <c r="EE170" s="522">
        <v>647</v>
      </c>
      <c r="EF170" s="526">
        <v>181.95</v>
      </c>
      <c r="EG170" s="522">
        <v>1354</v>
      </c>
      <c r="EH170" s="526">
        <v>219.55</v>
      </c>
      <c r="EI170" s="522">
        <v>350</v>
      </c>
      <c r="EJ170" s="526">
        <v>275.04000000000002</v>
      </c>
      <c r="EK170" s="522">
        <v>146</v>
      </c>
      <c r="EL170" s="526">
        <v>246.49</v>
      </c>
      <c r="EM170" s="522">
        <v>9</v>
      </c>
      <c r="EN170" s="526">
        <v>0</v>
      </c>
      <c r="EO170" s="522">
        <v>0</v>
      </c>
      <c r="EP170" s="526">
        <v>183.62</v>
      </c>
      <c r="EQ170" s="522">
        <v>2512</v>
      </c>
      <c r="ER170" s="526">
        <v>183.62</v>
      </c>
      <c r="ES170" s="522">
        <v>2512</v>
      </c>
      <c r="ET170" s="526">
        <v>320.68</v>
      </c>
      <c r="EU170" s="526">
        <v>100</v>
      </c>
      <c r="EV170" s="526">
        <v>141.80000000000001</v>
      </c>
      <c r="EW170" s="522">
        <v>79</v>
      </c>
      <c r="EX170" s="526">
        <v>147.41999999999999</v>
      </c>
      <c r="EY170" s="522">
        <v>31</v>
      </c>
      <c r="EZ170" s="526">
        <v>0</v>
      </c>
      <c r="FA170" s="522">
        <v>0</v>
      </c>
      <c r="FB170" s="526">
        <v>0</v>
      </c>
      <c r="FC170" s="522">
        <v>0</v>
      </c>
      <c r="FD170" s="526">
        <v>0</v>
      </c>
      <c r="FE170" s="522">
        <v>0</v>
      </c>
      <c r="FF170" s="526">
        <v>143.38</v>
      </c>
      <c r="FG170" s="522">
        <v>110</v>
      </c>
      <c r="FH170" s="526">
        <v>227.81</v>
      </c>
      <c r="FI170" s="522">
        <v>210</v>
      </c>
      <c r="FJ170" s="522">
        <v>0</v>
      </c>
      <c r="FK170" s="522">
        <v>0</v>
      </c>
      <c r="FL170" s="522">
        <v>0</v>
      </c>
      <c r="FM170" s="522">
        <v>0</v>
      </c>
      <c r="FN170" s="522">
        <v>0</v>
      </c>
      <c r="FO170" s="522">
        <v>0</v>
      </c>
      <c r="FP170" s="522">
        <v>2</v>
      </c>
      <c r="FQ170" s="522">
        <v>290</v>
      </c>
      <c r="FR170" s="522">
        <v>41</v>
      </c>
    </row>
    <row r="171" spans="1:174" x14ac:dyDescent="0.25">
      <c r="A171" s="523" t="s">
        <v>599</v>
      </c>
      <c r="B171" s="523" t="s">
        <v>600</v>
      </c>
      <c r="C171" s="523" t="s">
        <v>2</v>
      </c>
      <c r="D171" s="522">
        <v>3500</v>
      </c>
      <c r="E171" s="522">
        <v>3485</v>
      </c>
      <c r="F171" s="522">
        <v>0</v>
      </c>
      <c r="G171" s="522">
        <v>0</v>
      </c>
      <c r="H171" s="522">
        <v>243</v>
      </c>
      <c r="I171" s="522">
        <v>69</v>
      </c>
      <c r="J171" s="522">
        <v>628</v>
      </c>
      <c r="K171" s="522">
        <v>616</v>
      </c>
      <c r="L171" s="522">
        <v>314</v>
      </c>
      <c r="M171" s="522">
        <v>0</v>
      </c>
      <c r="N171" s="522">
        <v>4685</v>
      </c>
      <c r="O171" s="522">
        <v>4170</v>
      </c>
      <c r="P171" s="522">
        <v>4371</v>
      </c>
      <c r="Q171" s="522">
        <v>84</v>
      </c>
      <c r="R171" s="523">
        <v>7</v>
      </c>
      <c r="S171" s="523">
        <v>21</v>
      </c>
      <c r="T171" s="523">
        <v>190</v>
      </c>
      <c r="U171" s="523">
        <v>4495</v>
      </c>
      <c r="V171" s="522">
        <v>3496</v>
      </c>
      <c r="W171" s="522">
        <v>44</v>
      </c>
      <c r="X171" s="522">
        <v>16</v>
      </c>
      <c r="Y171" s="522">
        <v>60</v>
      </c>
      <c r="Z171" s="524">
        <v>129.21</v>
      </c>
      <c r="AA171" s="524">
        <v>135.97999999999999</v>
      </c>
      <c r="AB171" s="524">
        <v>8.02</v>
      </c>
      <c r="AC171" s="524">
        <v>135.30000000000001</v>
      </c>
      <c r="AD171" s="524">
        <v>2971</v>
      </c>
      <c r="AE171" s="525">
        <v>117.09</v>
      </c>
      <c r="AF171" s="525">
        <v>112.88</v>
      </c>
      <c r="AG171" s="525">
        <v>52.61</v>
      </c>
      <c r="AH171" s="525">
        <v>169.55</v>
      </c>
      <c r="AI171" s="525">
        <v>685</v>
      </c>
      <c r="AJ171" s="525">
        <v>189.4</v>
      </c>
      <c r="AK171" s="525">
        <v>491</v>
      </c>
      <c r="AL171" s="525">
        <v>0</v>
      </c>
      <c r="AM171" s="525">
        <v>0</v>
      </c>
      <c r="AN171" s="526">
        <v>0</v>
      </c>
      <c r="AO171" s="526">
        <v>0</v>
      </c>
      <c r="AP171" s="526">
        <v>0</v>
      </c>
      <c r="AQ171" s="526">
        <v>0</v>
      </c>
      <c r="AR171" s="522">
        <v>0</v>
      </c>
      <c r="AS171" s="526">
        <v>113.95</v>
      </c>
      <c r="AT171" s="526">
        <v>102.13</v>
      </c>
      <c r="AU171" s="526">
        <v>25.59</v>
      </c>
      <c r="AV171" s="526">
        <v>139.16999999999999</v>
      </c>
      <c r="AW171" s="522">
        <v>68</v>
      </c>
      <c r="AX171" s="526">
        <v>110.22</v>
      </c>
      <c r="AY171" s="526">
        <v>113.28</v>
      </c>
      <c r="AZ171" s="526">
        <v>9.18</v>
      </c>
      <c r="BA171" s="526">
        <v>118.62</v>
      </c>
      <c r="BB171" s="522">
        <v>998</v>
      </c>
      <c r="BC171" s="526">
        <v>130.80000000000001</v>
      </c>
      <c r="BD171" s="526">
        <v>137</v>
      </c>
      <c r="BE171" s="526">
        <v>9.64</v>
      </c>
      <c r="BF171" s="526">
        <v>138.33000000000001</v>
      </c>
      <c r="BG171" s="522">
        <v>829</v>
      </c>
      <c r="BH171" s="526">
        <v>145.58000000000001</v>
      </c>
      <c r="BI171" s="526">
        <v>156.83000000000001</v>
      </c>
      <c r="BJ171" s="526">
        <v>2.74</v>
      </c>
      <c r="BK171" s="526">
        <v>147.16</v>
      </c>
      <c r="BL171" s="522">
        <v>1020</v>
      </c>
      <c r="BM171" s="526">
        <v>164.13</v>
      </c>
      <c r="BN171" s="526">
        <v>179</v>
      </c>
      <c r="BO171" s="526">
        <v>3.26</v>
      </c>
      <c r="BP171" s="526">
        <v>166.38</v>
      </c>
      <c r="BQ171" s="522">
        <v>55</v>
      </c>
      <c r="BR171" s="526">
        <v>178.35</v>
      </c>
      <c r="BS171" s="526">
        <v>182.81</v>
      </c>
      <c r="BT171" s="526">
        <v>0.32</v>
      </c>
      <c r="BU171" s="526">
        <v>178.67</v>
      </c>
      <c r="BV171" s="522">
        <v>1</v>
      </c>
      <c r="BW171" s="526">
        <v>0</v>
      </c>
      <c r="BX171" s="526">
        <v>0</v>
      </c>
      <c r="BY171" s="526">
        <v>0</v>
      </c>
      <c r="BZ171" s="526">
        <v>0</v>
      </c>
      <c r="CA171" s="522">
        <v>0</v>
      </c>
      <c r="CB171" s="526">
        <v>129.21</v>
      </c>
      <c r="CC171" s="526">
        <v>135.97999999999999</v>
      </c>
      <c r="CD171" s="526">
        <v>8.02</v>
      </c>
      <c r="CE171" s="526">
        <v>135.30000000000001</v>
      </c>
      <c r="CF171" s="522">
        <v>2971</v>
      </c>
      <c r="CG171" s="526">
        <v>129.21</v>
      </c>
      <c r="CH171" s="526">
        <v>135.97999999999999</v>
      </c>
      <c r="CI171" s="526">
        <v>8.02</v>
      </c>
      <c r="CJ171" s="526">
        <v>135.30000000000001</v>
      </c>
      <c r="CK171" s="522">
        <v>2971</v>
      </c>
      <c r="CL171" s="526">
        <v>131.83000000000001</v>
      </c>
      <c r="CM171" s="526">
        <v>105.93</v>
      </c>
      <c r="CN171" s="526">
        <v>117.82</v>
      </c>
      <c r="CO171" s="526">
        <v>247.24</v>
      </c>
      <c r="CP171" s="522">
        <v>49</v>
      </c>
      <c r="CQ171" s="526">
        <v>103.93</v>
      </c>
      <c r="CR171" s="526">
        <v>106.57</v>
      </c>
      <c r="CS171" s="526">
        <v>50.99</v>
      </c>
      <c r="CT171" s="526">
        <v>154.91999999999999</v>
      </c>
      <c r="CU171" s="522">
        <v>229</v>
      </c>
      <c r="CV171" s="526">
        <v>122.05</v>
      </c>
      <c r="CW171" s="526">
        <v>115.68</v>
      </c>
      <c r="CX171" s="526">
        <v>46.29</v>
      </c>
      <c r="CY171" s="526">
        <v>168.22</v>
      </c>
      <c r="CZ171" s="522">
        <v>378</v>
      </c>
      <c r="DA171" s="526">
        <v>130.88</v>
      </c>
      <c r="DB171" s="526">
        <v>135.94999999999999</v>
      </c>
      <c r="DC171" s="526">
        <v>37.450000000000003</v>
      </c>
      <c r="DD171" s="526">
        <v>168.33</v>
      </c>
      <c r="DE171" s="522">
        <v>27</v>
      </c>
      <c r="DF171" s="526">
        <v>138.66999999999999</v>
      </c>
      <c r="DG171" s="526">
        <v>154.38</v>
      </c>
      <c r="DH171" s="526">
        <v>70.95</v>
      </c>
      <c r="DI171" s="526">
        <v>209.62</v>
      </c>
      <c r="DJ171" s="522">
        <v>2</v>
      </c>
      <c r="DK171" s="526">
        <v>0</v>
      </c>
      <c r="DL171" s="526">
        <v>0</v>
      </c>
      <c r="DM171" s="526">
        <v>0</v>
      </c>
      <c r="DN171" s="526">
        <v>0</v>
      </c>
      <c r="DO171" s="522">
        <v>0</v>
      </c>
      <c r="DP171" s="526">
        <v>115.95</v>
      </c>
      <c r="DQ171" s="526">
        <v>113.35</v>
      </c>
      <c r="DR171" s="526">
        <v>47.68</v>
      </c>
      <c r="DS171" s="526">
        <v>163.56</v>
      </c>
      <c r="DT171" s="522">
        <v>636</v>
      </c>
      <c r="DU171" s="526">
        <v>117.09</v>
      </c>
      <c r="DV171" s="526">
        <v>112.88</v>
      </c>
      <c r="DW171" s="526">
        <v>52.61</v>
      </c>
      <c r="DX171" s="526">
        <v>169.55</v>
      </c>
      <c r="DY171" s="522">
        <v>685</v>
      </c>
      <c r="DZ171" s="526">
        <v>0</v>
      </c>
      <c r="EA171" s="526">
        <v>0</v>
      </c>
      <c r="EB171" s="526">
        <v>0</v>
      </c>
      <c r="EC171" s="522">
        <v>0</v>
      </c>
      <c r="ED171" s="526">
        <v>148.37</v>
      </c>
      <c r="EE171" s="522">
        <v>199</v>
      </c>
      <c r="EF171" s="526">
        <v>200.59</v>
      </c>
      <c r="EG171" s="522">
        <v>204</v>
      </c>
      <c r="EH171" s="526">
        <v>248.61</v>
      </c>
      <c r="EI171" s="522">
        <v>82</v>
      </c>
      <c r="EJ171" s="526">
        <v>360.56</v>
      </c>
      <c r="EK171" s="522">
        <v>6</v>
      </c>
      <c r="EL171" s="526">
        <v>0</v>
      </c>
      <c r="EM171" s="522">
        <v>0</v>
      </c>
      <c r="EN171" s="526">
        <v>0</v>
      </c>
      <c r="EO171" s="522">
        <v>0</v>
      </c>
      <c r="EP171" s="526">
        <v>189.4</v>
      </c>
      <c r="EQ171" s="522">
        <v>491</v>
      </c>
      <c r="ER171" s="526">
        <v>189.4</v>
      </c>
      <c r="ES171" s="522">
        <v>491</v>
      </c>
      <c r="ET171" s="526">
        <v>0</v>
      </c>
      <c r="EU171" s="526">
        <v>0</v>
      </c>
      <c r="EV171" s="526">
        <v>0</v>
      </c>
      <c r="EW171" s="522">
        <v>0</v>
      </c>
      <c r="EX171" s="526">
        <v>0</v>
      </c>
      <c r="EY171" s="522">
        <v>0</v>
      </c>
      <c r="EZ171" s="526">
        <v>0</v>
      </c>
      <c r="FA171" s="522">
        <v>0</v>
      </c>
      <c r="FB171" s="526">
        <v>0</v>
      </c>
      <c r="FC171" s="522">
        <v>0</v>
      </c>
      <c r="FD171" s="526">
        <v>0</v>
      </c>
      <c r="FE171" s="522">
        <v>0</v>
      </c>
      <c r="FF171" s="526">
        <v>0</v>
      </c>
      <c r="FG171" s="522">
        <v>0</v>
      </c>
      <c r="FH171" s="526">
        <v>0</v>
      </c>
      <c r="FI171" s="522">
        <v>0</v>
      </c>
      <c r="FJ171" s="522">
        <v>0</v>
      </c>
      <c r="FK171" s="522">
        <v>4</v>
      </c>
      <c r="FL171" s="522">
        <v>4</v>
      </c>
      <c r="FM171" s="522">
        <v>0</v>
      </c>
      <c r="FN171" s="522">
        <v>0</v>
      </c>
      <c r="FO171" s="522">
        <v>0</v>
      </c>
      <c r="FP171" s="522">
        <v>1</v>
      </c>
      <c r="FQ171" s="522">
        <v>6</v>
      </c>
      <c r="FR171" s="522">
        <v>10</v>
      </c>
    </row>
    <row r="172" spans="1:174" x14ac:dyDescent="0.25">
      <c r="A172" s="523" t="s">
        <v>1</v>
      </c>
      <c r="B172" s="523" t="s">
        <v>601</v>
      </c>
      <c r="C172" s="523" t="s">
        <v>2</v>
      </c>
      <c r="D172" s="522">
        <v>2904</v>
      </c>
      <c r="E172" s="522">
        <v>2858</v>
      </c>
      <c r="F172" s="522">
        <v>8</v>
      </c>
      <c r="G172" s="522">
        <v>8</v>
      </c>
      <c r="H172" s="522">
        <v>224</v>
      </c>
      <c r="I172" s="522">
        <v>188</v>
      </c>
      <c r="J172" s="522">
        <v>394</v>
      </c>
      <c r="K172" s="522">
        <v>296</v>
      </c>
      <c r="L172" s="522">
        <v>434</v>
      </c>
      <c r="M172" s="522">
        <v>43</v>
      </c>
      <c r="N172" s="522">
        <v>3964</v>
      </c>
      <c r="O172" s="522">
        <v>3393</v>
      </c>
      <c r="P172" s="522">
        <v>3530</v>
      </c>
      <c r="Q172" s="522">
        <v>9</v>
      </c>
      <c r="R172" s="523">
        <v>4</v>
      </c>
      <c r="S172" s="523">
        <v>22</v>
      </c>
      <c r="T172" s="523">
        <v>159</v>
      </c>
      <c r="U172" s="523">
        <v>3805</v>
      </c>
      <c r="V172" s="522">
        <v>2859</v>
      </c>
      <c r="W172" s="522">
        <v>21</v>
      </c>
      <c r="X172" s="522">
        <v>16</v>
      </c>
      <c r="Y172" s="522">
        <v>37</v>
      </c>
      <c r="Z172" s="524">
        <v>128.5</v>
      </c>
      <c r="AA172" s="524">
        <v>130.05000000000001</v>
      </c>
      <c r="AB172" s="524">
        <v>5.71</v>
      </c>
      <c r="AC172" s="524">
        <v>133.09</v>
      </c>
      <c r="AD172" s="524">
        <v>2475</v>
      </c>
      <c r="AE172" s="525">
        <v>118.89</v>
      </c>
      <c r="AF172" s="525">
        <v>103.99</v>
      </c>
      <c r="AG172" s="525">
        <v>50.3</v>
      </c>
      <c r="AH172" s="525">
        <v>168.18</v>
      </c>
      <c r="AI172" s="525">
        <v>450</v>
      </c>
      <c r="AJ172" s="525">
        <v>168.07</v>
      </c>
      <c r="AK172" s="525">
        <v>318</v>
      </c>
      <c r="AL172" s="525">
        <v>390.06</v>
      </c>
      <c r="AM172" s="525">
        <v>54</v>
      </c>
      <c r="AN172" s="526">
        <v>103</v>
      </c>
      <c r="AO172" s="526">
        <v>101.38</v>
      </c>
      <c r="AP172" s="526">
        <v>79.45</v>
      </c>
      <c r="AQ172" s="526">
        <v>182.45</v>
      </c>
      <c r="AR172" s="522">
        <v>8</v>
      </c>
      <c r="AS172" s="526">
        <v>93.3</v>
      </c>
      <c r="AT172" s="526">
        <v>90.52</v>
      </c>
      <c r="AU172" s="526">
        <v>1.42</v>
      </c>
      <c r="AV172" s="526">
        <v>94.72</v>
      </c>
      <c r="AW172" s="522">
        <v>2</v>
      </c>
      <c r="AX172" s="526">
        <v>105.71</v>
      </c>
      <c r="AY172" s="526">
        <v>106.7</v>
      </c>
      <c r="AZ172" s="526">
        <v>10.199999999999999</v>
      </c>
      <c r="BA172" s="526">
        <v>114.7</v>
      </c>
      <c r="BB172" s="522">
        <v>414</v>
      </c>
      <c r="BC172" s="526">
        <v>124.78</v>
      </c>
      <c r="BD172" s="526">
        <v>126.13</v>
      </c>
      <c r="BE172" s="526">
        <v>5.86</v>
      </c>
      <c r="BF172" s="526">
        <v>129.80000000000001</v>
      </c>
      <c r="BG172" s="522">
        <v>1039</v>
      </c>
      <c r="BH172" s="526">
        <v>140.61000000000001</v>
      </c>
      <c r="BI172" s="526">
        <v>142.29</v>
      </c>
      <c r="BJ172" s="526">
        <v>2.5</v>
      </c>
      <c r="BK172" s="526">
        <v>142.38</v>
      </c>
      <c r="BL172" s="522">
        <v>927</v>
      </c>
      <c r="BM172" s="526">
        <v>156.13999999999999</v>
      </c>
      <c r="BN172" s="526">
        <v>159.56</v>
      </c>
      <c r="BO172" s="526">
        <v>2.06</v>
      </c>
      <c r="BP172" s="526">
        <v>157.84</v>
      </c>
      <c r="BQ172" s="522">
        <v>85</v>
      </c>
      <c r="BR172" s="526">
        <v>0</v>
      </c>
      <c r="BS172" s="526">
        <v>0</v>
      </c>
      <c r="BT172" s="526">
        <v>0</v>
      </c>
      <c r="BU172" s="526">
        <v>0</v>
      </c>
      <c r="BV172" s="522">
        <v>0</v>
      </c>
      <c r="BW172" s="526">
        <v>0</v>
      </c>
      <c r="BX172" s="526">
        <v>0</v>
      </c>
      <c r="BY172" s="526">
        <v>0</v>
      </c>
      <c r="BZ172" s="526">
        <v>0</v>
      </c>
      <c r="CA172" s="522">
        <v>0</v>
      </c>
      <c r="CB172" s="526">
        <v>128.58000000000001</v>
      </c>
      <c r="CC172" s="526">
        <v>130.13999999999999</v>
      </c>
      <c r="CD172" s="526">
        <v>5.41</v>
      </c>
      <c r="CE172" s="526">
        <v>132.93</v>
      </c>
      <c r="CF172" s="522">
        <v>2467</v>
      </c>
      <c r="CG172" s="526">
        <v>128.5</v>
      </c>
      <c r="CH172" s="526">
        <v>130.05000000000001</v>
      </c>
      <c r="CI172" s="526">
        <v>5.71</v>
      </c>
      <c r="CJ172" s="526">
        <v>133.09</v>
      </c>
      <c r="CK172" s="522">
        <v>2475</v>
      </c>
      <c r="CL172" s="526">
        <v>120.39</v>
      </c>
      <c r="CM172" s="526">
        <v>109.5</v>
      </c>
      <c r="CN172" s="526">
        <v>79.89</v>
      </c>
      <c r="CO172" s="526">
        <v>200.27</v>
      </c>
      <c r="CP172" s="522">
        <v>89</v>
      </c>
      <c r="CQ172" s="526">
        <v>97.11</v>
      </c>
      <c r="CR172" s="526">
        <v>90.44</v>
      </c>
      <c r="CS172" s="526">
        <v>47.61</v>
      </c>
      <c r="CT172" s="526">
        <v>144.72999999999999</v>
      </c>
      <c r="CU172" s="522">
        <v>101</v>
      </c>
      <c r="CV172" s="526">
        <v>124.25</v>
      </c>
      <c r="CW172" s="526">
        <v>106.43</v>
      </c>
      <c r="CX172" s="526">
        <v>41.19</v>
      </c>
      <c r="CY172" s="526">
        <v>164.38</v>
      </c>
      <c r="CZ172" s="522">
        <v>232</v>
      </c>
      <c r="DA172" s="526">
        <v>145.75</v>
      </c>
      <c r="DB172" s="526">
        <v>120.66</v>
      </c>
      <c r="DC172" s="526">
        <v>36.64</v>
      </c>
      <c r="DD172" s="526">
        <v>180.8</v>
      </c>
      <c r="DE172" s="522">
        <v>23</v>
      </c>
      <c r="DF172" s="526">
        <v>159.36000000000001</v>
      </c>
      <c r="DG172" s="526">
        <v>134.97999999999999</v>
      </c>
      <c r="DH172" s="526">
        <v>49.5</v>
      </c>
      <c r="DI172" s="526">
        <v>189.06</v>
      </c>
      <c r="DJ172" s="522">
        <v>5</v>
      </c>
      <c r="DK172" s="526">
        <v>0</v>
      </c>
      <c r="DL172" s="526">
        <v>0</v>
      </c>
      <c r="DM172" s="526">
        <v>0</v>
      </c>
      <c r="DN172" s="526">
        <v>0</v>
      </c>
      <c r="DO172" s="522">
        <v>0</v>
      </c>
      <c r="DP172" s="526">
        <v>118.52</v>
      </c>
      <c r="DQ172" s="526">
        <v>102.7</v>
      </c>
      <c r="DR172" s="526">
        <v>42.82</v>
      </c>
      <c r="DS172" s="526">
        <v>160.27000000000001</v>
      </c>
      <c r="DT172" s="522">
        <v>361</v>
      </c>
      <c r="DU172" s="526">
        <v>118.89</v>
      </c>
      <c r="DV172" s="526">
        <v>103.99</v>
      </c>
      <c r="DW172" s="526">
        <v>50.3</v>
      </c>
      <c r="DX172" s="526">
        <v>168.18</v>
      </c>
      <c r="DY172" s="522">
        <v>450</v>
      </c>
      <c r="DZ172" s="526">
        <v>0</v>
      </c>
      <c r="EA172" s="526">
        <v>0</v>
      </c>
      <c r="EB172" s="526">
        <v>0</v>
      </c>
      <c r="EC172" s="522">
        <v>0</v>
      </c>
      <c r="ED172" s="526">
        <v>134.18</v>
      </c>
      <c r="EE172" s="522">
        <v>67</v>
      </c>
      <c r="EF172" s="526">
        <v>166.32</v>
      </c>
      <c r="EG172" s="522">
        <v>169</v>
      </c>
      <c r="EH172" s="526">
        <v>199.38</v>
      </c>
      <c r="EI172" s="522">
        <v>82</v>
      </c>
      <c r="EJ172" s="526">
        <v>0</v>
      </c>
      <c r="EK172" s="522">
        <v>0</v>
      </c>
      <c r="EL172" s="526">
        <v>0</v>
      </c>
      <c r="EM172" s="522">
        <v>0</v>
      </c>
      <c r="EN172" s="526">
        <v>0</v>
      </c>
      <c r="EO172" s="522">
        <v>0</v>
      </c>
      <c r="EP172" s="526">
        <v>168.07</v>
      </c>
      <c r="EQ172" s="522">
        <v>318</v>
      </c>
      <c r="ER172" s="526">
        <v>168.07</v>
      </c>
      <c r="ES172" s="522">
        <v>318</v>
      </c>
      <c r="ET172" s="526">
        <v>183.63</v>
      </c>
      <c r="EU172" s="526">
        <v>1</v>
      </c>
      <c r="EV172" s="526">
        <v>0</v>
      </c>
      <c r="EW172" s="522">
        <v>0</v>
      </c>
      <c r="EX172" s="526">
        <v>385.47</v>
      </c>
      <c r="EY172" s="522">
        <v>36</v>
      </c>
      <c r="EZ172" s="526">
        <v>411.94</v>
      </c>
      <c r="FA172" s="522">
        <v>17</v>
      </c>
      <c r="FB172" s="526">
        <v>0</v>
      </c>
      <c r="FC172" s="522">
        <v>0</v>
      </c>
      <c r="FD172" s="526">
        <v>0</v>
      </c>
      <c r="FE172" s="522">
        <v>0</v>
      </c>
      <c r="FF172" s="526">
        <v>393.96</v>
      </c>
      <c r="FG172" s="522">
        <v>53</v>
      </c>
      <c r="FH172" s="526">
        <v>390.06</v>
      </c>
      <c r="FI172" s="522">
        <v>54</v>
      </c>
      <c r="FJ172" s="522">
        <v>0</v>
      </c>
      <c r="FK172" s="522">
        <v>0</v>
      </c>
      <c r="FL172" s="522">
        <v>0</v>
      </c>
      <c r="FM172" s="522">
        <v>0</v>
      </c>
      <c r="FN172" s="522">
        <v>0</v>
      </c>
      <c r="FO172" s="522">
        <v>0</v>
      </c>
      <c r="FP172" s="522">
        <v>11</v>
      </c>
      <c r="FQ172" s="522">
        <v>20</v>
      </c>
      <c r="FR172" s="522">
        <v>4</v>
      </c>
    </row>
    <row r="173" spans="1:174" x14ac:dyDescent="0.25">
      <c r="A173" s="523" t="s">
        <v>602</v>
      </c>
      <c r="B173" s="523" t="s">
        <v>603</v>
      </c>
      <c r="C173" s="523" t="s">
        <v>282</v>
      </c>
      <c r="D173" s="522">
        <v>2086</v>
      </c>
      <c r="E173" s="522">
        <v>2083</v>
      </c>
      <c r="F173" s="522">
        <v>0</v>
      </c>
      <c r="G173" s="522">
        <v>0</v>
      </c>
      <c r="H173" s="522">
        <v>357</v>
      </c>
      <c r="I173" s="522">
        <v>301</v>
      </c>
      <c r="J173" s="522">
        <v>268</v>
      </c>
      <c r="K173" s="522">
        <v>171</v>
      </c>
      <c r="L173" s="522">
        <v>473</v>
      </c>
      <c r="M173" s="522">
        <v>0</v>
      </c>
      <c r="N173" s="522">
        <v>3184</v>
      </c>
      <c r="O173" s="522">
        <v>2555</v>
      </c>
      <c r="P173" s="522">
        <v>2711</v>
      </c>
      <c r="Q173" s="522">
        <v>0</v>
      </c>
      <c r="R173" s="523">
        <v>5</v>
      </c>
      <c r="S173" s="523">
        <v>26</v>
      </c>
      <c r="T173" s="523">
        <v>147</v>
      </c>
      <c r="U173" s="523">
        <v>3037</v>
      </c>
      <c r="V173" s="522">
        <v>2086</v>
      </c>
      <c r="W173" s="522">
        <v>17</v>
      </c>
      <c r="X173" s="522">
        <v>5</v>
      </c>
      <c r="Y173" s="522">
        <v>22</v>
      </c>
      <c r="Z173" s="524">
        <v>100.07</v>
      </c>
      <c r="AA173" s="524">
        <v>99.79</v>
      </c>
      <c r="AB173" s="524">
        <v>6.38</v>
      </c>
      <c r="AC173" s="524">
        <v>103.88</v>
      </c>
      <c r="AD173" s="524">
        <v>1525</v>
      </c>
      <c r="AE173" s="525">
        <v>135.93</v>
      </c>
      <c r="AF173" s="525">
        <v>90.93</v>
      </c>
      <c r="AG173" s="525">
        <v>85.86</v>
      </c>
      <c r="AH173" s="525">
        <v>221.61</v>
      </c>
      <c r="AI173" s="525">
        <v>474</v>
      </c>
      <c r="AJ173" s="525">
        <v>113.55</v>
      </c>
      <c r="AK173" s="525">
        <v>475</v>
      </c>
      <c r="AL173" s="525">
        <v>189.61</v>
      </c>
      <c r="AM173" s="525">
        <v>5</v>
      </c>
      <c r="AN173" s="526">
        <v>0</v>
      </c>
      <c r="AO173" s="526">
        <v>0</v>
      </c>
      <c r="AP173" s="526">
        <v>0</v>
      </c>
      <c r="AQ173" s="526">
        <v>0</v>
      </c>
      <c r="AR173" s="522">
        <v>0</v>
      </c>
      <c r="AS173" s="526">
        <v>66.489999999999995</v>
      </c>
      <c r="AT173" s="526">
        <v>65.75</v>
      </c>
      <c r="AU173" s="526">
        <v>15.94</v>
      </c>
      <c r="AV173" s="526">
        <v>82.43</v>
      </c>
      <c r="AW173" s="522">
        <v>6</v>
      </c>
      <c r="AX173" s="526">
        <v>86.16</v>
      </c>
      <c r="AY173" s="526">
        <v>84.61</v>
      </c>
      <c r="AZ173" s="526">
        <v>7.98</v>
      </c>
      <c r="BA173" s="526">
        <v>94.05</v>
      </c>
      <c r="BB173" s="522">
        <v>273</v>
      </c>
      <c r="BC173" s="526">
        <v>101.92</v>
      </c>
      <c r="BD173" s="526">
        <v>101.77</v>
      </c>
      <c r="BE173" s="526">
        <v>6.4</v>
      </c>
      <c r="BF173" s="526">
        <v>106.48</v>
      </c>
      <c r="BG173" s="522">
        <v>679</v>
      </c>
      <c r="BH173" s="526">
        <v>104.33</v>
      </c>
      <c r="BI173" s="526">
        <v>104.52</v>
      </c>
      <c r="BJ173" s="526">
        <v>3.12</v>
      </c>
      <c r="BK173" s="526">
        <v>105.17</v>
      </c>
      <c r="BL173" s="522">
        <v>536</v>
      </c>
      <c r="BM173" s="526">
        <v>114.95</v>
      </c>
      <c r="BN173" s="526">
        <v>114.96</v>
      </c>
      <c r="BO173" s="526">
        <v>3.09</v>
      </c>
      <c r="BP173" s="526">
        <v>115.87</v>
      </c>
      <c r="BQ173" s="522">
        <v>30</v>
      </c>
      <c r="BR173" s="526">
        <v>109.04</v>
      </c>
      <c r="BS173" s="526">
        <v>107.84</v>
      </c>
      <c r="BT173" s="526">
        <v>0</v>
      </c>
      <c r="BU173" s="526">
        <v>109.04</v>
      </c>
      <c r="BV173" s="522">
        <v>1</v>
      </c>
      <c r="BW173" s="526">
        <v>0</v>
      </c>
      <c r="BX173" s="526">
        <v>0</v>
      </c>
      <c r="BY173" s="526">
        <v>0</v>
      </c>
      <c r="BZ173" s="526">
        <v>0</v>
      </c>
      <c r="CA173" s="522">
        <v>0</v>
      </c>
      <c r="CB173" s="526">
        <v>100.07</v>
      </c>
      <c r="CC173" s="526">
        <v>99.79</v>
      </c>
      <c r="CD173" s="526">
        <v>6.38</v>
      </c>
      <c r="CE173" s="526">
        <v>103.88</v>
      </c>
      <c r="CF173" s="522">
        <v>1525</v>
      </c>
      <c r="CG173" s="526">
        <v>100.07</v>
      </c>
      <c r="CH173" s="526">
        <v>99.79</v>
      </c>
      <c r="CI173" s="526">
        <v>6.38</v>
      </c>
      <c r="CJ173" s="526">
        <v>103.88</v>
      </c>
      <c r="CK173" s="522">
        <v>1525</v>
      </c>
      <c r="CL173" s="526">
        <v>192.78</v>
      </c>
      <c r="CM173" s="526">
        <v>92.16</v>
      </c>
      <c r="CN173" s="526">
        <v>54.6</v>
      </c>
      <c r="CO173" s="526">
        <v>246.92</v>
      </c>
      <c r="CP173" s="522">
        <v>118</v>
      </c>
      <c r="CQ173" s="526">
        <v>128.66999999999999</v>
      </c>
      <c r="CR173" s="526">
        <v>84.63</v>
      </c>
      <c r="CS173" s="526">
        <v>228.77</v>
      </c>
      <c r="CT173" s="526">
        <v>357.44</v>
      </c>
      <c r="CU173" s="522">
        <v>27</v>
      </c>
      <c r="CV173" s="526">
        <v>118.46</v>
      </c>
      <c r="CW173" s="526">
        <v>87.29</v>
      </c>
      <c r="CX173" s="526">
        <v>93.61</v>
      </c>
      <c r="CY173" s="526">
        <v>212.07</v>
      </c>
      <c r="CZ173" s="522">
        <v>266</v>
      </c>
      <c r="DA173" s="526">
        <v>105.94</v>
      </c>
      <c r="DB173" s="526">
        <v>102.52</v>
      </c>
      <c r="DC173" s="526">
        <v>49.1</v>
      </c>
      <c r="DD173" s="526">
        <v>155.04</v>
      </c>
      <c r="DE173" s="522">
        <v>62</v>
      </c>
      <c r="DF173" s="526">
        <v>128.75</v>
      </c>
      <c r="DG173" s="526">
        <v>117.05</v>
      </c>
      <c r="DH173" s="526">
        <v>101.22</v>
      </c>
      <c r="DI173" s="526">
        <v>229.97</v>
      </c>
      <c r="DJ173" s="522">
        <v>1</v>
      </c>
      <c r="DK173" s="526">
        <v>0</v>
      </c>
      <c r="DL173" s="526">
        <v>0</v>
      </c>
      <c r="DM173" s="526">
        <v>0</v>
      </c>
      <c r="DN173" s="526">
        <v>0</v>
      </c>
      <c r="DO173" s="522">
        <v>0</v>
      </c>
      <c r="DP173" s="526">
        <v>117.08</v>
      </c>
      <c r="DQ173" s="526">
        <v>90.84</v>
      </c>
      <c r="DR173" s="526">
        <v>96.13</v>
      </c>
      <c r="DS173" s="526">
        <v>213.22</v>
      </c>
      <c r="DT173" s="522">
        <v>356</v>
      </c>
      <c r="DU173" s="526">
        <v>135.93</v>
      </c>
      <c r="DV173" s="526">
        <v>90.93</v>
      </c>
      <c r="DW173" s="526">
        <v>85.86</v>
      </c>
      <c r="DX173" s="526">
        <v>221.61</v>
      </c>
      <c r="DY173" s="522">
        <v>474</v>
      </c>
      <c r="DZ173" s="526">
        <v>0</v>
      </c>
      <c r="EA173" s="526">
        <v>0</v>
      </c>
      <c r="EB173" s="526">
        <v>87.53</v>
      </c>
      <c r="EC173" s="522">
        <v>2</v>
      </c>
      <c r="ED173" s="526">
        <v>98.76</v>
      </c>
      <c r="EE173" s="522">
        <v>106</v>
      </c>
      <c r="EF173" s="526">
        <v>114.71</v>
      </c>
      <c r="EG173" s="522">
        <v>253</v>
      </c>
      <c r="EH173" s="526">
        <v>122.37</v>
      </c>
      <c r="EI173" s="522">
        <v>107</v>
      </c>
      <c r="EJ173" s="526">
        <v>168.15</v>
      </c>
      <c r="EK173" s="522">
        <v>7</v>
      </c>
      <c r="EL173" s="526">
        <v>0</v>
      </c>
      <c r="EM173" s="522">
        <v>0</v>
      </c>
      <c r="EN173" s="526">
        <v>0</v>
      </c>
      <c r="EO173" s="522">
        <v>0</v>
      </c>
      <c r="EP173" s="526">
        <v>113.55</v>
      </c>
      <c r="EQ173" s="522">
        <v>475</v>
      </c>
      <c r="ER173" s="526">
        <v>113.55</v>
      </c>
      <c r="ES173" s="522">
        <v>475</v>
      </c>
      <c r="ET173" s="526">
        <v>0</v>
      </c>
      <c r="EU173" s="526">
        <v>0</v>
      </c>
      <c r="EV173" s="526">
        <v>0</v>
      </c>
      <c r="EW173" s="522">
        <v>0</v>
      </c>
      <c r="EX173" s="526">
        <v>189.61</v>
      </c>
      <c r="EY173" s="522">
        <v>5</v>
      </c>
      <c r="EZ173" s="526">
        <v>0</v>
      </c>
      <c r="FA173" s="522">
        <v>0</v>
      </c>
      <c r="FB173" s="526">
        <v>0</v>
      </c>
      <c r="FC173" s="522">
        <v>0</v>
      </c>
      <c r="FD173" s="526">
        <v>0</v>
      </c>
      <c r="FE173" s="522">
        <v>0</v>
      </c>
      <c r="FF173" s="526">
        <v>189.61</v>
      </c>
      <c r="FG173" s="522">
        <v>5</v>
      </c>
      <c r="FH173" s="526">
        <v>189.61</v>
      </c>
      <c r="FI173" s="522">
        <v>5</v>
      </c>
      <c r="FJ173" s="522">
        <v>9</v>
      </c>
      <c r="FK173" s="522">
        <v>0</v>
      </c>
      <c r="FL173" s="522">
        <v>0</v>
      </c>
      <c r="FM173" s="522">
        <v>0</v>
      </c>
      <c r="FN173" s="522">
        <v>0</v>
      </c>
      <c r="FO173" s="522">
        <v>0</v>
      </c>
      <c r="FP173" s="522">
        <v>4</v>
      </c>
      <c r="FQ173" s="522">
        <v>56</v>
      </c>
      <c r="FR173" s="522">
        <v>2</v>
      </c>
    </row>
    <row r="174" spans="1:174" x14ac:dyDescent="0.25">
      <c r="A174" s="523" t="s">
        <v>604</v>
      </c>
      <c r="B174" s="523" t="s">
        <v>605</v>
      </c>
      <c r="C174" s="523" t="s">
        <v>285</v>
      </c>
      <c r="D174" s="522">
        <v>7393</v>
      </c>
      <c r="E174" s="522">
        <v>6806</v>
      </c>
      <c r="F174" s="522">
        <v>125</v>
      </c>
      <c r="G174" s="522">
        <v>0</v>
      </c>
      <c r="H174" s="522">
        <v>1499</v>
      </c>
      <c r="I174" s="522">
        <v>638</v>
      </c>
      <c r="J174" s="522">
        <v>1615</v>
      </c>
      <c r="K174" s="522">
        <v>1522</v>
      </c>
      <c r="L174" s="522">
        <v>486</v>
      </c>
      <c r="M174" s="522">
        <v>0</v>
      </c>
      <c r="N174" s="522">
        <v>11118</v>
      </c>
      <c r="O174" s="522">
        <v>8966</v>
      </c>
      <c r="P174" s="522">
        <v>10632</v>
      </c>
      <c r="Q174" s="522">
        <v>41</v>
      </c>
      <c r="R174" s="523">
        <v>15</v>
      </c>
      <c r="S174" s="523">
        <v>16</v>
      </c>
      <c r="T174" s="523">
        <v>1460</v>
      </c>
      <c r="U174" s="523">
        <v>9658</v>
      </c>
      <c r="V174" s="522">
        <v>6807</v>
      </c>
      <c r="W174" s="522">
        <v>40</v>
      </c>
      <c r="X174" s="522">
        <v>65</v>
      </c>
      <c r="Y174" s="522">
        <v>105</v>
      </c>
      <c r="Z174" s="524">
        <v>89.26</v>
      </c>
      <c r="AA174" s="524">
        <v>90.34</v>
      </c>
      <c r="AB174" s="524">
        <v>13.87</v>
      </c>
      <c r="AC174" s="524">
        <v>98</v>
      </c>
      <c r="AD174" s="524">
        <v>5625</v>
      </c>
      <c r="AE174" s="525">
        <v>97.6</v>
      </c>
      <c r="AF174" s="525">
        <v>85.16</v>
      </c>
      <c r="AG174" s="525">
        <v>83.25</v>
      </c>
      <c r="AH174" s="525">
        <v>178.48</v>
      </c>
      <c r="AI174" s="525">
        <v>2280</v>
      </c>
      <c r="AJ174" s="525">
        <v>117.5</v>
      </c>
      <c r="AK174" s="525">
        <v>1338</v>
      </c>
      <c r="AL174" s="525">
        <v>237.41</v>
      </c>
      <c r="AM174" s="525">
        <v>368</v>
      </c>
      <c r="AN174" s="526">
        <v>0</v>
      </c>
      <c r="AO174" s="526">
        <v>0</v>
      </c>
      <c r="AP174" s="526">
        <v>0</v>
      </c>
      <c r="AQ174" s="526">
        <v>0</v>
      </c>
      <c r="AR174" s="522">
        <v>0</v>
      </c>
      <c r="AS174" s="526">
        <v>73.040000000000006</v>
      </c>
      <c r="AT174" s="526">
        <v>72.33</v>
      </c>
      <c r="AU174" s="526">
        <v>23.64</v>
      </c>
      <c r="AV174" s="526">
        <v>96.09</v>
      </c>
      <c r="AW174" s="522">
        <v>159</v>
      </c>
      <c r="AX174" s="526">
        <v>81.64</v>
      </c>
      <c r="AY174" s="526">
        <v>82.39</v>
      </c>
      <c r="AZ174" s="526">
        <v>17.309999999999999</v>
      </c>
      <c r="BA174" s="526">
        <v>95.45</v>
      </c>
      <c r="BB174" s="522">
        <v>1918</v>
      </c>
      <c r="BC174" s="526">
        <v>90.16</v>
      </c>
      <c r="BD174" s="526">
        <v>91.09</v>
      </c>
      <c r="BE174" s="526">
        <v>11.3</v>
      </c>
      <c r="BF174" s="526">
        <v>97.46</v>
      </c>
      <c r="BG174" s="522">
        <v>1942</v>
      </c>
      <c r="BH174" s="526">
        <v>97.64</v>
      </c>
      <c r="BI174" s="526">
        <v>99.45</v>
      </c>
      <c r="BJ174" s="526">
        <v>8.5399999999999991</v>
      </c>
      <c r="BK174" s="526">
        <v>101</v>
      </c>
      <c r="BL174" s="522">
        <v>1416</v>
      </c>
      <c r="BM174" s="526">
        <v>106.16</v>
      </c>
      <c r="BN174" s="526">
        <v>108.3</v>
      </c>
      <c r="BO174" s="526">
        <v>2.02</v>
      </c>
      <c r="BP174" s="526">
        <v>106.69</v>
      </c>
      <c r="BQ174" s="522">
        <v>172</v>
      </c>
      <c r="BR174" s="526">
        <v>124.89</v>
      </c>
      <c r="BS174" s="526">
        <v>126.59</v>
      </c>
      <c r="BT174" s="526">
        <v>3.5</v>
      </c>
      <c r="BU174" s="526">
        <v>125.69</v>
      </c>
      <c r="BV174" s="522">
        <v>13</v>
      </c>
      <c r="BW174" s="526">
        <v>124.3</v>
      </c>
      <c r="BX174" s="526">
        <v>126.24</v>
      </c>
      <c r="BY174" s="526">
        <v>3.83</v>
      </c>
      <c r="BZ174" s="526">
        <v>125.83</v>
      </c>
      <c r="CA174" s="522">
        <v>5</v>
      </c>
      <c r="CB174" s="526">
        <v>89.26</v>
      </c>
      <c r="CC174" s="526">
        <v>90.34</v>
      </c>
      <c r="CD174" s="526">
        <v>13.87</v>
      </c>
      <c r="CE174" s="526">
        <v>98</v>
      </c>
      <c r="CF174" s="522">
        <v>5625</v>
      </c>
      <c r="CG174" s="526">
        <v>89.26</v>
      </c>
      <c r="CH174" s="526">
        <v>90.34</v>
      </c>
      <c r="CI174" s="526">
        <v>13.87</v>
      </c>
      <c r="CJ174" s="526">
        <v>98</v>
      </c>
      <c r="CK174" s="522">
        <v>5625</v>
      </c>
      <c r="CL174" s="526">
        <v>112.17</v>
      </c>
      <c r="CM174" s="526">
        <v>85.24</v>
      </c>
      <c r="CN174" s="526">
        <v>173.2</v>
      </c>
      <c r="CO174" s="526">
        <v>273.29000000000002</v>
      </c>
      <c r="CP174" s="522">
        <v>430</v>
      </c>
      <c r="CQ174" s="526">
        <v>78.69</v>
      </c>
      <c r="CR174" s="526">
        <v>73.64</v>
      </c>
      <c r="CS174" s="526">
        <v>66.930000000000007</v>
      </c>
      <c r="CT174" s="526">
        <v>145.62</v>
      </c>
      <c r="CU174" s="522">
        <v>224</v>
      </c>
      <c r="CV174" s="526">
        <v>92.46</v>
      </c>
      <c r="CW174" s="526">
        <v>83.38</v>
      </c>
      <c r="CX174" s="526">
        <v>62.65</v>
      </c>
      <c r="CY174" s="526">
        <v>153.82</v>
      </c>
      <c r="CZ174" s="522">
        <v>1258</v>
      </c>
      <c r="DA174" s="526">
        <v>105.73</v>
      </c>
      <c r="DB174" s="526">
        <v>97.99</v>
      </c>
      <c r="DC174" s="526">
        <v>64.790000000000006</v>
      </c>
      <c r="DD174" s="526">
        <v>169.93</v>
      </c>
      <c r="DE174" s="522">
        <v>331</v>
      </c>
      <c r="DF174" s="526">
        <v>140.46</v>
      </c>
      <c r="DG174" s="526">
        <v>107.59</v>
      </c>
      <c r="DH174" s="526">
        <v>54.14</v>
      </c>
      <c r="DI174" s="526">
        <v>189.67</v>
      </c>
      <c r="DJ174" s="522">
        <v>33</v>
      </c>
      <c r="DK174" s="526">
        <v>181.07</v>
      </c>
      <c r="DL174" s="526">
        <v>0</v>
      </c>
      <c r="DM174" s="526">
        <v>67.83</v>
      </c>
      <c r="DN174" s="526">
        <v>198.03</v>
      </c>
      <c r="DO174" s="522">
        <v>4</v>
      </c>
      <c r="DP174" s="526">
        <v>94.22</v>
      </c>
      <c r="DQ174" s="526">
        <v>85.14</v>
      </c>
      <c r="DR174" s="526">
        <v>63.43</v>
      </c>
      <c r="DS174" s="526">
        <v>156.44</v>
      </c>
      <c r="DT174" s="522">
        <v>1850</v>
      </c>
      <c r="DU174" s="526">
        <v>97.6</v>
      </c>
      <c r="DV174" s="526">
        <v>85.16</v>
      </c>
      <c r="DW174" s="526">
        <v>83.25</v>
      </c>
      <c r="DX174" s="526">
        <v>178.48</v>
      </c>
      <c r="DY174" s="522">
        <v>2280</v>
      </c>
      <c r="DZ174" s="526">
        <v>0</v>
      </c>
      <c r="EA174" s="526">
        <v>0</v>
      </c>
      <c r="EB174" s="526">
        <v>130.1</v>
      </c>
      <c r="EC174" s="522">
        <v>1</v>
      </c>
      <c r="ED174" s="526">
        <v>95.85</v>
      </c>
      <c r="EE174" s="522">
        <v>130</v>
      </c>
      <c r="EF174" s="526">
        <v>115.25</v>
      </c>
      <c r="EG174" s="522">
        <v>770</v>
      </c>
      <c r="EH174" s="526">
        <v>126.45</v>
      </c>
      <c r="EI174" s="522">
        <v>412</v>
      </c>
      <c r="EJ174" s="526">
        <v>148.44999999999999</v>
      </c>
      <c r="EK174" s="522">
        <v>22</v>
      </c>
      <c r="EL174" s="526">
        <v>174.03</v>
      </c>
      <c r="EM174" s="522">
        <v>3</v>
      </c>
      <c r="EN174" s="526">
        <v>0</v>
      </c>
      <c r="EO174" s="522">
        <v>0</v>
      </c>
      <c r="EP174" s="526">
        <v>117.5</v>
      </c>
      <c r="EQ174" s="522">
        <v>1338</v>
      </c>
      <c r="ER174" s="526">
        <v>117.5</v>
      </c>
      <c r="ES174" s="522">
        <v>1338</v>
      </c>
      <c r="ET174" s="526">
        <v>0</v>
      </c>
      <c r="EU174" s="526">
        <v>0</v>
      </c>
      <c r="EV174" s="526">
        <v>283.64</v>
      </c>
      <c r="EW174" s="522">
        <v>25</v>
      </c>
      <c r="EX174" s="526">
        <v>245.55</v>
      </c>
      <c r="EY174" s="522">
        <v>143</v>
      </c>
      <c r="EZ174" s="526">
        <v>224.07</v>
      </c>
      <c r="FA174" s="522">
        <v>196</v>
      </c>
      <c r="FB174" s="526">
        <v>311</v>
      </c>
      <c r="FC174" s="522">
        <v>4</v>
      </c>
      <c r="FD174" s="526">
        <v>0</v>
      </c>
      <c r="FE174" s="522">
        <v>0</v>
      </c>
      <c r="FF174" s="526">
        <v>237.41</v>
      </c>
      <c r="FG174" s="522">
        <v>368</v>
      </c>
      <c r="FH174" s="526">
        <v>237.41</v>
      </c>
      <c r="FI174" s="522">
        <v>368</v>
      </c>
      <c r="FJ174" s="522">
        <v>24</v>
      </c>
      <c r="FK174" s="522">
        <v>3</v>
      </c>
      <c r="FL174" s="522">
        <v>2</v>
      </c>
      <c r="FM174" s="522">
        <v>0</v>
      </c>
      <c r="FN174" s="522">
        <v>1</v>
      </c>
      <c r="FO174" s="522">
        <v>0</v>
      </c>
      <c r="FP174" s="522">
        <v>40</v>
      </c>
      <c r="FQ174" s="522">
        <v>22</v>
      </c>
      <c r="FR174" s="522">
        <v>9</v>
      </c>
    </row>
    <row r="175" spans="1:174" x14ac:dyDescent="0.25">
      <c r="A175" s="523" t="s">
        <v>606</v>
      </c>
      <c r="B175" s="523" t="s">
        <v>607</v>
      </c>
      <c r="C175" s="523" t="s">
        <v>288</v>
      </c>
      <c r="D175" s="522">
        <v>8709</v>
      </c>
      <c r="E175" s="522">
        <v>8694</v>
      </c>
      <c r="F175" s="522">
        <v>10</v>
      </c>
      <c r="G175" s="522">
        <v>10</v>
      </c>
      <c r="H175" s="522">
        <v>119</v>
      </c>
      <c r="I175" s="522">
        <v>32</v>
      </c>
      <c r="J175" s="522">
        <v>863</v>
      </c>
      <c r="K175" s="522">
        <v>792</v>
      </c>
      <c r="L175" s="522">
        <v>284</v>
      </c>
      <c r="M175" s="522">
        <v>0</v>
      </c>
      <c r="N175" s="522">
        <v>9985</v>
      </c>
      <c r="O175" s="522">
        <v>9528</v>
      </c>
      <c r="P175" s="522">
        <v>9701</v>
      </c>
      <c r="Q175" s="522">
        <v>34</v>
      </c>
      <c r="R175" s="523">
        <v>5</v>
      </c>
      <c r="S175" s="523">
        <v>18</v>
      </c>
      <c r="T175" s="523">
        <v>101</v>
      </c>
      <c r="U175" s="523">
        <v>9884</v>
      </c>
      <c r="V175" s="522">
        <v>8694</v>
      </c>
      <c r="W175" s="522">
        <v>74</v>
      </c>
      <c r="X175" s="522">
        <v>37</v>
      </c>
      <c r="Y175" s="522">
        <v>111</v>
      </c>
      <c r="Z175" s="524">
        <v>89.12</v>
      </c>
      <c r="AA175" s="524">
        <v>93.29</v>
      </c>
      <c r="AB175" s="524">
        <v>4.95</v>
      </c>
      <c r="AC175" s="524">
        <v>93.84</v>
      </c>
      <c r="AD175" s="524">
        <v>7948</v>
      </c>
      <c r="AE175" s="525">
        <v>95.5</v>
      </c>
      <c r="AF175" s="525">
        <v>91.56</v>
      </c>
      <c r="AG175" s="525">
        <v>34.99</v>
      </c>
      <c r="AH175" s="525">
        <v>130.49</v>
      </c>
      <c r="AI175" s="525">
        <v>825</v>
      </c>
      <c r="AJ175" s="525">
        <v>111.76</v>
      </c>
      <c r="AK175" s="525">
        <v>704</v>
      </c>
      <c r="AL175" s="525">
        <v>287.63</v>
      </c>
      <c r="AM175" s="525">
        <v>72</v>
      </c>
      <c r="AN175" s="526">
        <v>0</v>
      </c>
      <c r="AO175" s="526">
        <v>0</v>
      </c>
      <c r="AP175" s="526">
        <v>0</v>
      </c>
      <c r="AQ175" s="526">
        <v>0</v>
      </c>
      <c r="AR175" s="522">
        <v>0</v>
      </c>
      <c r="AS175" s="526">
        <v>74.319999999999993</v>
      </c>
      <c r="AT175" s="526">
        <v>74.41</v>
      </c>
      <c r="AU175" s="526">
        <v>8.57</v>
      </c>
      <c r="AV175" s="526">
        <v>82.89</v>
      </c>
      <c r="AW175" s="522">
        <v>11</v>
      </c>
      <c r="AX175" s="526">
        <v>79.53</v>
      </c>
      <c r="AY175" s="526">
        <v>81.27</v>
      </c>
      <c r="AZ175" s="526">
        <v>6.05</v>
      </c>
      <c r="BA175" s="526">
        <v>85.53</v>
      </c>
      <c r="BB175" s="522">
        <v>2398</v>
      </c>
      <c r="BC175" s="526">
        <v>89.53</v>
      </c>
      <c r="BD175" s="526">
        <v>93.42</v>
      </c>
      <c r="BE175" s="526">
        <v>4.9400000000000004</v>
      </c>
      <c r="BF175" s="526">
        <v>94.17</v>
      </c>
      <c r="BG175" s="522">
        <v>2936</v>
      </c>
      <c r="BH175" s="526">
        <v>97.11</v>
      </c>
      <c r="BI175" s="526">
        <v>103.75</v>
      </c>
      <c r="BJ175" s="526">
        <v>3.86</v>
      </c>
      <c r="BK175" s="526">
        <v>100.72</v>
      </c>
      <c r="BL175" s="522">
        <v>2466</v>
      </c>
      <c r="BM175" s="526">
        <v>104.96</v>
      </c>
      <c r="BN175" s="526">
        <v>113.85</v>
      </c>
      <c r="BO175" s="526">
        <v>3.81</v>
      </c>
      <c r="BP175" s="526">
        <v>108.68</v>
      </c>
      <c r="BQ175" s="522">
        <v>135</v>
      </c>
      <c r="BR175" s="526">
        <v>134.1</v>
      </c>
      <c r="BS175" s="526">
        <v>137.69</v>
      </c>
      <c r="BT175" s="526">
        <v>3.76</v>
      </c>
      <c r="BU175" s="526">
        <v>137.86000000000001</v>
      </c>
      <c r="BV175" s="522">
        <v>2</v>
      </c>
      <c r="BW175" s="526">
        <v>0</v>
      </c>
      <c r="BX175" s="526">
        <v>0</v>
      </c>
      <c r="BY175" s="526">
        <v>0</v>
      </c>
      <c r="BZ175" s="526">
        <v>0</v>
      </c>
      <c r="CA175" s="522">
        <v>0</v>
      </c>
      <c r="CB175" s="526">
        <v>89.12</v>
      </c>
      <c r="CC175" s="526">
        <v>93.29</v>
      </c>
      <c r="CD175" s="526">
        <v>4.95</v>
      </c>
      <c r="CE175" s="526">
        <v>93.84</v>
      </c>
      <c r="CF175" s="522">
        <v>7948</v>
      </c>
      <c r="CG175" s="526">
        <v>89.12</v>
      </c>
      <c r="CH175" s="526">
        <v>93.29</v>
      </c>
      <c r="CI175" s="526">
        <v>4.95</v>
      </c>
      <c r="CJ175" s="526">
        <v>93.84</v>
      </c>
      <c r="CK175" s="522">
        <v>7948</v>
      </c>
      <c r="CL175" s="526">
        <v>142.74</v>
      </c>
      <c r="CM175" s="526">
        <v>94.56</v>
      </c>
      <c r="CN175" s="526">
        <v>59.99</v>
      </c>
      <c r="CO175" s="526">
        <v>202.73</v>
      </c>
      <c r="CP175" s="522">
        <v>18</v>
      </c>
      <c r="CQ175" s="526">
        <v>79.02</v>
      </c>
      <c r="CR175" s="526">
        <v>72.78</v>
      </c>
      <c r="CS175" s="526">
        <v>70.72</v>
      </c>
      <c r="CT175" s="526">
        <v>149.74</v>
      </c>
      <c r="CU175" s="522">
        <v>30</v>
      </c>
      <c r="CV175" s="526">
        <v>90.42</v>
      </c>
      <c r="CW175" s="526">
        <v>87.74</v>
      </c>
      <c r="CX175" s="526">
        <v>30.77</v>
      </c>
      <c r="CY175" s="526">
        <v>121.19</v>
      </c>
      <c r="CZ175" s="522">
        <v>634</v>
      </c>
      <c r="DA175" s="526">
        <v>115.87</v>
      </c>
      <c r="DB175" s="526">
        <v>112.25</v>
      </c>
      <c r="DC175" s="526">
        <v>43.88</v>
      </c>
      <c r="DD175" s="526">
        <v>159.75</v>
      </c>
      <c r="DE175" s="522">
        <v>138</v>
      </c>
      <c r="DF175" s="526">
        <v>106.36</v>
      </c>
      <c r="DG175" s="526">
        <v>102.37</v>
      </c>
      <c r="DH175" s="526">
        <v>19.940000000000001</v>
      </c>
      <c r="DI175" s="526">
        <v>126.29</v>
      </c>
      <c r="DJ175" s="522">
        <v>5</v>
      </c>
      <c r="DK175" s="526">
        <v>0</v>
      </c>
      <c r="DL175" s="526">
        <v>0</v>
      </c>
      <c r="DM175" s="526">
        <v>0</v>
      </c>
      <c r="DN175" s="526">
        <v>0</v>
      </c>
      <c r="DO175" s="522">
        <v>0</v>
      </c>
      <c r="DP175" s="526">
        <v>94.45</v>
      </c>
      <c r="DQ175" s="526">
        <v>91.5</v>
      </c>
      <c r="DR175" s="526">
        <v>34.43</v>
      </c>
      <c r="DS175" s="526">
        <v>128.88</v>
      </c>
      <c r="DT175" s="522">
        <v>807</v>
      </c>
      <c r="DU175" s="526">
        <v>95.5</v>
      </c>
      <c r="DV175" s="526">
        <v>91.56</v>
      </c>
      <c r="DW175" s="526">
        <v>34.99</v>
      </c>
      <c r="DX175" s="526">
        <v>130.49</v>
      </c>
      <c r="DY175" s="522">
        <v>825</v>
      </c>
      <c r="DZ175" s="526">
        <v>0</v>
      </c>
      <c r="EA175" s="526">
        <v>0</v>
      </c>
      <c r="EB175" s="526">
        <v>0</v>
      </c>
      <c r="EC175" s="522">
        <v>0</v>
      </c>
      <c r="ED175" s="526">
        <v>98.58</v>
      </c>
      <c r="EE175" s="522">
        <v>128</v>
      </c>
      <c r="EF175" s="526">
        <v>107.84</v>
      </c>
      <c r="EG175" s="522">
        <v>315</v>
      </c>
      <c r="EH175" s="526">
        <v>120.19</v>
      </c>
      <c r="EI175" s="522">
        <v>226</v>
      </c>
      <c r="EJ175" s="526">
        <v>139.08000000000001</v>
      </c>
      <c r="EK175" s="522">
        <v>33</v>
      </c>
      <c r="EL175" s="526">
        <v>169.29</v>
      </c>
      <c r="EM175" s="522">
        <v>2</v>
      </c>
      <c r="EN175" s="526">
        <v>0</v>
      </c>
      <c r="EO175" s="522">
        <v>0</v>
      </c>
      <c r="EP175" s="526">
        <v>111.76</v>
      </c>
      <c r="EQ175" s="522">
        <v>704</v>
      </c>
      <c r="ER175" s="526">
        <v>111.76</v>
      </c>
      <c r="ES175" s="522">
        <v>704</v>
      </c>
      <c r="ET175" s="526">
        <v>0</v>
      </c>
      <c r="EU175" s="526">
        <v>0</v>
      </c>
      <c r="EV175" s="526">
        <v>0</v>
      </c>
      <c r="EW175" s="522">
        <v>0</v>
      </c>
      <c r="EX175" s="526">
        <v>255.96</v>
      </c>
      <c r="EY175" s="522">
        <v>34</v>
      </c>
      <c r="EZ175" s="526">
        <v>315.98</v>
      </c>
      <c r="FA175" s="522">
        <v>38</v>
      </c>
      <c r="FB175" s="526">
        <v>0</v>
      </c>
      <c r="FC175" s="522">
        <v>0</v>
      </c>
      <c r="FD175" s="526">
        <v>0</v>
      </c>
      <c r="FE175" s="522">
        <v>0</v>
      </c>
      <c r="FF175" s="526">
        <v>287.63</v>
      </c>
      <c r="FG175" s="522">
        <v>72</v>
      </c>
      <c r="FH175" s="526">
        <v>287.63</v>
      </c>
      <c r="FI175" s="522">
        <v>72</v>
      </c>
      <c r="FJ175" s="522">
        <v>0</v>
      </c>
      <c r="FK175" s="522">
        <v>7</v>
      </c>
      <c r="FL175" s="522">
        <v>5</v>
      </c>
      <c r="FM175" s="522">
        <v>0</v>
      </c>
      <c r="FN175" s="522">
        <v>2</v>
      </c>
      <c r="FO175" s="522">
        <v>0</v>
      </c>
      <c r="FP175" s="522">
        <v>61</v>
      </c>
      <c r="FQ175" s="522">
        <v>13</v>
      </c>
      <c r="FR175" s="522">
        <v>3</v>
      </c>
    </row>
    <row r="176" spans="1:174" x14ac:dyDescent="0.25">
      <c r="A176" s="523" t="s">
        <v>608</v>
      </c>
      <c r="B176" s="523" t="s">
        <v>609</v>
      </c>
      <c r="C176" s="523" t="s">
        <v>284</v>
      </c>
      <c r="D176" s="522">
        <v>13787</v>
      </c>
      <c r="E176" s="522">
        <v>14645</v>
      </c>
      <c r="F176" s="522">
        <v>15</v>
      </c>
      <c r="G176" s="522">
        <v>7</v>
      </c>
      <c r="H176" s="522">
        <v>965</v>
      </c>
      <c r="I176" s="522">
        <v>583</v>
      </c>
      <c r="J176" s="522">
        <v>943</v>
      </c>
      <c r="K176" s="522">
        <v>926</v>
      </c>
      <c r="L176" s="522">
        <v>3351</v>
      </c>
      <c r="M176" s="522">
        <v>419</v>
      </c>
      <c r="N176" s="522">
        <v>19061</v>
      </c>
      <c r="O176" s="522">
        <v>16580</v>
      </c>
      <c r="P176" s="522">
        <v>15710</v>
      </c>
      <c r="Q176" s="522">
        <v>159</v>
      </c>
      <c r="R176" s="523">
        <v>19</v>
      </c>
      <c r="S176" s="523">
        <v>31</v>
      </c>
      <c r="T176" s="523">
        <v>975</v>
      </c>
      <c r="U176" s="523">
        <v>18086</v>
      </c>
      <c r="V176" s="522">
        <v>13038</v>
      </c>
      <c r="W176" s="522">
        <v>158</v>
      </c>
      <c r="X176" s="522">
        <v>43</v>
      </c>
      <c r="Y176" s="522">
        <v>201</v>
      </c>
      <c r="Z176" s="524">
        <v>137.36000000000001</v>
      </c>
      <c r="AA176" s="524">
        <v>142.68</v>
      </c>
      <c r="AB176" s="524">
        <v>14.99</v>
      </c>
      <c r="AC176" s="524">
        <v>147.03</v>
      </c>
      <c r="AD176" s="524">
        <v>9575</v>
      </c>
      <c r="AE176" s="525">
        <v>120.74</v>
      </c>
      <c r="AF176" s="525">
        <v>114.32</v>
      </c>
      <c r="AG176" s="525">
        <v>75.77</v>
      </c>
      <c r="AH176" s="525">
        <v>194.39</v>
      </c>
      <c r="AI176" s="525">
        <v>1606</v>
      </c>
      <c r="AJ176" s="525">
        <v>229.79</v>
      </c>
      <c r="AK176" s="525">
        <v>2121</v>
      </c>
      <c r="AL176" s="525">
        <v>280.51</v>
      </c>
      <c r="AM176" s="525">
        <v>103</v>
      </c>
      <c r="AN176" s="526">
        <v>106.48</v>
      </c>
      <c r="AO176" s="526">
        <v>119.23</v>
      </c>
      <c r="AP176" s="526">
        <v>13.38</v>
      </c>
      <c r="AQ176" s="526">
        <v>119.86</v>
      </c>
      <c r="AR176" s="522">
        <v>10</v>
      </c>
      <c r="AS176" s="526">
        <v>100.21</v>
      </c>
      <c r="AT176" s="526">
        <v>99</v>
      </c>
      <c r="AU176" s="526">
        <v>25.18</v>
      </c>
      <c r="AV176" s="526">
        <v>124.1</v>
      </c>
      <c r="AW176" s="522">
        <v>39</v>
      </c>
      <c r="AX176" s="526">
        <v>112.92</v>
      </c>
      <c r="AY176" s="526">
        <v>115.59</v>
      </c>
      <c r="AZ176" s="526">
        <v>12.99</v>
      </c>
      <c r="BA176" s="526">
        <v>124.01</v>
      </c>
      <c r="BB176" s="522">
        <v>2245</v>
      </c>
      <c r="BC176" s="526">
        <v>131.76</v>
      </c>
      <c r="BD176" s="526">
        <v>135.74</v>
      </c>
      <c r="BE176" s="526">
        <v>15.63</v>
      </c>
      <c r="BF176" s="526">
        <v>141.91</v>
      </c>
      <c r="BG176" s="522">
        <v>3382</v>
      </c>
      <c r="BH176" s="526">
        <v>152.24</v>
      </c>
      <c r="BI176" s="526">
        <v>159.25</v>
      </c>
      <c r="BJ176" s="526">
        <v>19.07</v>
      </c>
      <c r="BK176" s="526">
        <v>161.69</v>
      </c>
      <c r="BL176" s="522">
        <v>2908</v>
      </c>
      <c r="BM176" s="526">
        <v>166.65</v>
      </c>
      <c r="BN176" s="526">
        <v>176.59</v>
      </c>
      <c r="BO176" s="526">
        <v>7.89</v>
      </c>
      <c r="BP176" s="526">
        <v>171.14</v>
      </c>
      <c r="BQ176" s="522">
        <v>824</v>
      </c>
      <c r="BR176" s="526">
        <v>181.57</v>
      </c>
      <c r="BS176" s="526">
        <v>194.1</v>
      </c>
      <c r="BT176" s="526">
        <v>11.41</v>
      </c>
      <c r="BU176" s="526">
        <v>187.28</v>
      </c>
      <c r="BV176" s="522">
        <v>98</v>
      </c>
      <c r="BW176" s="526">
        <v>193.4</v>
      </c>
      <c r="BX176" s="526">
        <v>214.3</v>
      </c>
      <c r="BY176" s="526">
        <v>9.6</v>
      </c>
      <c r="BZ176" s="526">
        <v>200.92</v>
      </c>
      <c r="CA176" s="522">
        <v>69</v>
      </c>
      <c r="CB176" s="526">
        <v>137.4</v>
      </c>
      <c r="CC176" s="526">
        <v>142.69999999999999</v>
      </c>
      <c r="CD176" s="526">
        <v>14.99</v>
      </c>
      <c r="CE176" s="526">
        <v>147.06</v>
      </c>
      <c r="CF176" s="522">
        <v>9565</v>
      </c>
      <c r="CG176" s="526">
        <v>137.36000000000001</v>
      </c>
      <c r="CH176" s="526">
        <v>142.68</v>
      </c>
      <c r="CI176" s="526">
        <v>14.99</v>
      </c>
      <c r="CJ176" s="526">
        <v>147.03</v>
      </c>
      <c r="CK176" s="522">
        <v>9575</v>
      </c>
      <c r="CL176" s="526">
        <v>119.29</v>
      </c>
      <c r="CM176" s="526">
        <v>113.39</v>
      </c>
      <c r="CN176" s="526">
        <v>28.5</v>
      </c>
      <c r="CO176" s="526">
        <v>143.15</v>
      </c>
      <c r="CP176" s="522">
        <v>141</v>
      </c>
      <c r="CQ176" s="526">
        <v>96.27</v>
      </c>
      <c r="CR176" s="526">
        <v>92.55</v>
      </c>
      <c r="CS176" s="526">
        <v>105.47</v>
      </c>
      <c r="CT176" s="526">
        <v>201.05</v>
      </c>
      <c r="CU176" s="522">
        <v>151</v>
      </c>
      <c r="CV176" s="526">
        <v>121.83</v>
      </c>
      <c r="CW176" s="526">
        <v>115.06</v>
      </c>
      <c r="CX176" s="526">
        <v>75.19</v>
      </c>
      <c r="CY176" s="526">
        <v>195.77</v>
      </c>
      <c r="CZ176" s="522">
        <v>1203</v>
      </c>
      <c r="DA176" s="526">
        <v>143.72</v>
      </c>
      <c r="DB176" s="526">
        <v>137.38</v>
      </c>
      <c r="DC176" s="526">
        <v>95.69</v>
      </c>
      <c r="DD176" s="526">
        <v>239.42</v>
      </c>
      <c r="DE176" s="522">
        <v>100</v>
      </c>
      <c r="DF176" s="526">
        <v>145.04</v>
      </c>
      <c r="DG176" s="526">
        <v>139.29</v>
      </c>
      <c r="DH176" s="526">
        <v>63.16</v>
      </c>
      <c r="DI176" s="526">
        <v>201.88</v>
      </c>
      <c r="DJ176" s="522">
        <v>10</v>
      </c>
      <c r="DK176" s="526">
        <v>159.53</v>
      </c>
      <c r="DL176" s="526">
        <v>159.52000000000001</v>
      </c>
      <c r="DM176" s="526">
        <v>12.69</v>
      </c>
      <c r="DN176" s="526">
        <v>172.22</v>
      </c>
      <c r="DO176" s="522">
        <v>1</v>
      </c>
      <c r="DP176" s="526">
        <v>120.87</v>
      </c>
      <c r="DQ176" s="526">
        <v>114.41</v>
      </c>
      <c r="DR176" s="526">
        <v>79.64</v>
      </c>
      <c r="DS176" s="526">
        <v>199.32</v>
      </c>
      <c r="DT176" s="522">
        <v>1465</v>
      </c>
      <c r="DU176" s="526">
        <v>120.74</v>
      </c>
      <c r="DV176" s="526">
        <v>114.32</v>
      </c>
      <c r="DW176" s="526">
        <v>75.77</v>
      </c>
      <c r="DX176" s="526">
        <v>194.39</v>
      </c>
      <c r="DY176" s="522">
        <v>1606</v>
      </c>
      <c r="DZ176" s="526">
        <v>140.08000000000001</v>
      </c>
      <c r="EA176" s="526">
        <v>2</v>
      </c>
      <c r="EB176" s="526">
        <v>163.34</v>
      </c>
      <c r="EC176" s="522">
        <v>8</v>
      </c>
      <c r="ED176" s="526">
        <v>194.21</v>
      </c>
      <c r="EE176" s="522">
        <v>669</v>
      </c>
      <c r="EF176" s="526">
        <v>234.72</v>
      </c>
      <c r="EG176" s="522">
        <v>798</v>
      </c>
      <c r="EH176" s="526">
        <v>260.26</v>
      </c>
      <c r="EI176" s="522">
        <v>621</v>
      </c>
      <c r="EJ176" s="526">
        <v>302.2</v>
      </c>
      <c r="EK176" s="522">
        <v>23</v>
      </c>
      <c r="EL176" s="526">
        <v>0</v>
      </c>
      <c r="EM176" s="522">
        <v>0</v>
      </c>
      <c r="EN176" s="526">
        <v>0</v>
      </c>
      <c r="EO176" s="522">
        <v>0</v>
      </c>
      <c r="EP176" s="526">
        <v>229.88</v>
      </c>
      <c r="EQ176" s="522">
        <v>2119</v>
      </c>
      <c r="ER176" s="526">
        <v>229.79</v>
      </c>
      <c r="ES176" s="522">
        <v>2121</v>
      </c>
      <c r="ET176" s="526">
        <v>0</v>
      </c>
      <c r="EU176" s="526">
        <v>0</v>
      </c>
      <c r="EV176" s="526">
        <v>223.01</v>
      </c>
      <c r="EW176" s="522">
        <v>15</v>
      </c>
      <c r="EX176" s="526">
        <v>292.58999999999997</v>
      </c>
      <c r="EY176" s="522">
        <v>79</v>
      </c>
      <c r="EZ176" s="526">
        <v>270.29000000000002</v>
      </c>
      <c r="FA176" s="522">
        <v>9</v>
      </c>
      <c r="FB176" s="526">
        <v>0</v>
      </c>
      <c r="FC176" s="522">
        <v>0</v>
      </c>
      <c r="FD176" s="526">
        <v>0</v>
      </c>
      <c r="FE176" s="522">
        <v>0</v>
      </c>
      <c r="FF176" s="526">
        <v>280.51</v>
      </c>
      <c r="FG176" s="522">
        <v>103</v>
      </c>
      <c r="FH176" s="526">
        <v>280.51</v>
      </c>
      <c r="FI176" s="522">
        <v>103</v>
      </c>
      <c r="FJ176" s="522">
        <v>0</v>
      </c>
      <c r="FK176" s="522">
        <v>0</v>
      </c>
      <c r="FL176" s="522">
        <v>0</v>
      </c>
      <c r="FM176" s="522">
        <v>0</v>
      </c>
      <c r="FN176" s="522">
        <v>0</v>
      </c>
      <c r="FO176" s="522">
        <v>0</v>
      </c>
      <c r="FP176" s="522">
        <v>41</v>
      </c>
      <c r="FQ176" s="522">
        <v>309</v>
      </c>
      <c r="FR176" s="522">
        <v>73</v>
      </c>
    </row>
    <row r="177" spans="1:174" x14ac:dyDescent="0.25">
      <c r="A177" s="523" t="s">
        <v>610</v>
      </c>
      <c r="B177" s="523" t="s">
        <v>611</v>
      </c>
      <c r="C177" s="523" t="s">
        <v>287</v>
      </c>
      <c r="D177" s="522">
        <v>4145</v>
      </c>
      <c r="E177" s="522">
        <v>4120</v>
      </c>
      <c r="F177" s="522">
        <v>0</v>
      </c>
      <c r="G177" s="522">
        <v>0</v>
      </c>
      <c r="H177" s="522">
        <v>93</v>
      </c>
      <c r="I177" s="522">
        <v>34</v>
      </c>
      <c r="J177" s="522">
        <v>795</v>
      </c>
      <c r="K177" s="522">
        <v>740</v>
      </c>
      <c r="L177" s="522">
        <v>461</v>
      </c>
      <c r="M177" s="522">
        <v>36</v>
      </c>
      <c r="N177" s="522">
        <v>5494</v>
      </c>
      <c r="O177" s="522">
        <v>4930</v>
      </c>
      <c r="P177" s="522">
        <v>5033</v>
      </c>
      <c r="Q177" s="522">
        <v>13</v>
      </c>
      <c r="R177" s="523">
        <v>6</v>
      </c>
      <c r="S177" s="523">
        <v>20</v>
      </c>
      <c r="T177" s="523">
        <v>99</v>
      </c>
      <c r="U177" s="523">
        <v>5395</v>
      </c>
      <c r="V177" s="522">
        <v>4145</v>
      </c>
      <c r="W177" s="522">
        <v>7</v>
      </c>
      <c r="X177" s="522">
        <v>37</v>
      </c>
      <c r="Y177" s="522">
        <v>44</v>
      </c>
      <c r="Z177" s="524">
        <v>98.14</v>
      </c>
      <c r="AA177" s="524">
        <v>100.73</v>
      </c>
      <c r="AB177" s="524">
        <v>5.5</v>
      </c>
      <c r="AC177" s="524">
        <v>101.99</v>
      </c>
      <c r="AD177" s="524">
        <v>3628</v>
      </c>
      <c r="AE177" s="525">
        <v>87.74</v>
      </c>
      <c r="AF177" s="525">
        <v>88.07</v>
      </c>
      <c r="AG177" s="525">
        <v>25.53</v>
      </c>
      <c r="AH177" s="525">
        <v>113.2</v>
      </c>
      <c r="AI177" s="525">
        <v>758</v>
      </c>
      <c r="AJ177" s="525">
        <v>131.05000000000001</v>
      </c>
      <c r="AK177" s="525">
        <v>486</v>
      </c>
      <c r="AL177" s="525">
        <v>147.04</v>
      </c>
      <c r="AM177" s="525">
        <v>31</v>
      </c>
      <c r="AN177" s="526">
        <v>0</v>
      </c>
      <c r="AO177" s="526">
        <v>0</v>
      </c>
      <c r="AP177" s="526">
        <v>0</v>
      </c>
      <c r="AQ177" s="526">
        <v>0</v>
      </c>
      <c r="AR177" s="522">
        <v>0</v>
      </c>
      <c r="AS177" s="526">
        <v>56.83</v>
      </c>
      <c r="AT177" s="526">
        <v>64.55</v>
      </c>
      <c r="AU177" s="526">
        <v>20.79</v>
      </c>
      <c r="AV177" s="526">
        <v>77.62</v>
      </c>
      <c r="AW177" s="522">
        <v>1</v>
      </c>
      <c r="AX177" s="526">
        <v>82.7</v>
      </c>
      <c r="AY177" s="526">
        <v>84.91</v>
      </c>
      <c r="AZ177" s="526">
        <v>8.35</v>
      </c>
      <c r="BA177" s="526">
        <v>90.21</v>
      </c>
      <c r="BB177" s="522">
        <v>876</v>
      </c>
      <c r="BC177" s="526">
        <v>97.64</v>
      </c>
      <c r="BD177" s="526">
        <v>100.04</v>
      </c>
      <c r="BE177" s="526">
        <v>4.92</v>
      </c>
      <c r="BF177" s="526">
        <v>101.26</v>
      </c>
      <c r="BG177" s="522">
        <v>1502</v>
      </c>
      <c r="BH177" s="526">
        <v>108.1</v>
      </c>
      <c r="BI177" s="526">
        <v>111.17</v>
      </c>
      <c r="BJ177" s="526">
        <v>2.97</v>
      </c>
      <c r="BK177" s="526">
        <v>109.55</v>
      </c>
      <c r="BL177" s="522">
        <v>1138</v>
      </c>
      <c r="BM177" s="526">
        <v>125.06</v>
      </c>
      <c r="BN177" s="526">
        <v>128.38999999999999</v>
      </c>
      <c r="BO177" s="526">
        <v>3.14</v>
      </c>
      <c r="BP177" s="526">
        <v>127.45</v>
      </c>
      <c r="BQ177" s="522">
        <v>104</v>
      </c>
      <c r="BR177" s="526">
        <v>115.83</v>
      </c>
      <c r="BS177" s="526">
        <v>119.52</v>
      </c>
      <c r="BT177" s="526">
        <v>1.52</v>
      </c>
      <c r="BU177" s="526">
        <v>117.05</v>
      </c>
      <c r="BV177" s="522">
        <v>5</v>
      </c>
      <c r="BW177" s="526">
        <v>148.07</v>
      </c>
      <c r="BX177" s="526">
        <v>150.19</v>
      </c>
      <c r="BY177" s="526">
        <v>1.17</v>
      </c>
      <c r="BZ177" s="526">
        <v>149.24</v>
      </c>
      <c r="CA177" s="522">
        <v>2</v>
      </c>
      <c r="CB177" s="526">
        <v>98.14</v>
      </c>
      <c r="CC177" s="526">
        <v>100.73</v>
      </c>
      <c r="CD177" s="526">
        <v>5.5</v>
      </c>
      <c r="CE177" s="526">
        <v>101.99</v>
      </c>
      <c r="CF177" s="522">
        <v>3628</v>
      </c>
      <c r="CG177" s="526">
        <v>98.14</v>
      </c>
      <c r="CH177" s="526">
        <v>100.73</v>
      </c>
      <c r="CI177" s="526">
        <v>5.5</v>
      </c>
      <c r="CJ177" s="526">
        <v>101.99</v>
      </c>
      <c r="CK177" s="522">
        <v>3628</v>
      </c>
      <c r="CL177" s="526">
        <v>96.55</v>
      </c>
      <c r="CM177" s="526">
        <v>74.11</v>
      </c>
      <c r="CN177" s="526">
        <v>76.760000000000005</v>
      </c>
      <c r="CO177" s="526">
        <v>173.31</v>
      </c>
      <c r="CP177" s="522">
        <v>45</v>
      </c>
      <c r="CQ177" s="526">
        <v>68.739999999999995</v>
      </c>
      <c r="CR177" s="526">
        <v>70.92</v>
      </c>
      <c r="CS177" s="526">
        <v>16.73</v>
      </c>
      <c r="CT177" s="526">
        <v>85.47</v>
      </c>
      <c r="CU177" s="522">
        <v>6</v>
      </c>
      <c r="CV177" s="526">
        <v>85.49</v>
      </c>
      <c r="CW177" s="526">
        <v>86.84</v>
      </c>
      <c r="CX177" s="526">
        <v>24.06</v>
      </c>
      <c r="CY177" s="526">
        <v>109.55</v>
      </c>
      <c r="CZ177" s="522">
        <v>609</v>
      </c>
      <c r="DA177" s="526">
        <v>98.84</v>
      </c>
      <c r="DB177" s="526">
        <v>101.6</v>
      </c>
      <c r="DC177" s="526">
        <v>11.35</v>
      </c>
      <c r="DD177" s="526">
        <v>109.96</v>
      </c>
      <c r="DE177" s="522">
        <v>98</v>
      </c>
      <c r="DF177" s="526">
        <v>0</v>
      </c>
      <c r="DG177" s="526">
        <v>0</v>
      </c>
      <c r="DH177" s="526">
        <v>0</v>
      </c>
      <c r="DI177" s="526">
        <v>0</v>
      </c>
      <c r="DJ177" s="522">
        <v>0</v>
      </c>
      <c r="DK177" s="526">
        <v>0</v>
      </c>
      <c r="DL177" s="526">
        <v>0</v>
      </c>
      <c r="DM177" s="526">
        <v>0</v>
      </c>
      <c r="DN177" s="526">
        <v>0</v>
      </c>
      <c r="DO177" s="522">
        <v>0</v>
      </c>
      <c r="DP177" s="526">
        <v>87.18</v>
      </c>
      <c r="DQ177" s="526">
        <v>88.74</v>
      </c>
      <c r="DR177" s="526">
        <v>22.29</v>
      </c>
      <c r="DS177" s="526">
        <v>109.41</v>
      </c>
      <c r="DT177" s="522">
        <v>713</v>
      </c>
      <c r="DU177" s="526">
        <v>87.74</v>
      </c>
      <c r="DV177" s="526">
        <v>88.07</v>
      </c>
      <c r="DW177" s="526">
        <v>25.53</v>
      </c>
      <c r="DX177" s="526">
        <v>113.2</v>
      </c>
      <c r="DY177" s="522">
        <v>758</v>
      </c>
      <c r="DZ177" s="526">
        <v>0</v>
      </c>
      <c r="EA177" s="526">
        <v>0</v>
      </c>
      <c r="EB177" s="526">
        <v>0</v>
      </c>
      <c r="EC177" s="522">
        <v>0</v>
      </c>
      <c r="ED177" s="526">
        <v>97.99</v>
      </c>
      <c r="EE177" s="522">
        <v>3</v>
      </c>
      <c r="EF177" s="526">
        <v>122.59</v>
      </c>
      <c r="EG177" s="522">
        <v>221</v>
      </c>
      <c r="EH177" s="526">
        <v>137.66999999999999</v>
      </c>
      <c r="EI177" s="522">
        <v>243</v>
      </c>
      <c r="EJ177" s="526">
        <v>151.07</v>
      </c>
      <c r="EK177" s="522">
        <v>17</v>
      </c>
      <c r="EL177" s="526">
        <v>141.77000000000001</v>
      </c>
      <c r="EM177" s="522">
        <v>2</v>
      </c>
      <c r="EN177" s="526">
        <v>0</v>
      </c>
      <c r="EO177" s="522">
        <v>0</v>
      </c>
      <c r="EP177" s="526">
        <v>131.05000000000001</v>
      </c>
      <c r="EQ177" s="522">
        <v>486</v>
      </c>
      <c r="ER177" s="526">
        <v>131.05000000000001</v>
      </c>
      <c r="ES177" s="522">
        <v>486</v>
      </c>
      <c r="ET177" s="526">
        <v>0</v>
      </c>
      <c r="EU177" s="526">
        <v>0</v>
      </c>
      <c r="EV177" s="526">
        <v>0</v>
      </c>
      <c r="EW177" s="522">
        <v>0</v>
      </c>
      <c r="EX177" s="526">
        <v>132.13999999999999</v>
      </c>
      <c r="EY177" s="522">
        <v>7</v>
      </c>
      <c r="EZ177" s="526">
        <v>151.38999999999999</v>
      </c>
      <c r="FA177" s="522">
        <v>24</v>
      </c>
      <c r="FB177" s="526">
        <v>0</v>
      </c>
      <c r="FC177" s="522">
        <v>0</v>
      </c>
      <c r="FD177" s="526">
        <v>0</v>
      </c>
      <c r="FE177" s="522">
        <v>0</v>
      </c>
      <c r="FF177" s="526">
        <v>147.04</v>
      </c>
      <c r="FG177" s="522">
        <v>31</v>
      </c>
      <c r="FH177" s="526">
        <v>147.04</v>
      </c>
      <c r="FI177" s="522">
        <v>31</v>
      </c>
      <c r="FJ177" s="522">
        <v>0</v>
      </c>
      <c r="FK177" s="522">
        <v>3</v>
      </c>
      <c r="FL177" s="522">
        <v>3</v>
      </c>
      <c r="FM177" s="522">
        <v>0</v>
      </c>
      <c r="FN177" s="522">
        <v>0</v>
      </c>
      <c r="FO177" s="522">
        <v>0</v>
      </c>
      <c r="FP177" s="522">
        <v>6</v>
      </c>
      <c r="FQ177" s="522">
        <v>15</v>
      </c>
      <c r="FR177" s="522">
        <v>4</v>
      </c>
    </row>
    <row r="178" spans="1:174" x14ac:dyDescent="0.25">
      <c r="A178" s="523" t="s">
        <v>612</v>
      </c>
      <c r="B178" s="523" t="s">
        <v>613</v>
      </c>
      <c r="C178" s="523" t="s">
        <v>282</v>
      </c>
      <c r="D178" s="522">
        <v>1057</v>
      </c>
      <c r="E178" s="522">
        <v>893</v>
      </c>
      <c r="F178" s="522">
        <v>1</v>
      </c>
      <c r="G178" s="522">
        <v>1</v>
      </c>
      <c r="H178" s="522">
        <v>90</v>
      </c>
      <c r="I178" s="522">
        <v>80</v>
      </c>
      <c r="J178" s="522">
        <v>103</v>
      </c>
      <c r="K178" s="522">
        <v>103</v>
      </c>
      <c r="L178" s="522">
        <v>333</v>
      </c>
      <c r="M178" s="522">
        <v>4</v>
      </c>
      <c r="N178" s="522">
        <v>1584</v>
      </c>
      <c r="O178" s="522">
        <v>1081</v>
      </c>
      <c r="P178" s="522">
        <v>1251</v>
      </c>
      <c r="Q178" s="522">
        <v>2</v>
      </c>
      <c r="R178" s="523">
        <v>6</v>
      </c>
      <c r="S178" s="523">
        <v>24</v>
      </c>
      <c r="T178" s="523">
        <v>166</v>
      </c>
      <c r="U178" s="523">
        <v>1418</v>
      </c>
      <c r="V178" s="522">
        <v>893</v>
      </c>
      <c r="W178" s="522">
        <v>7</v>
      </c>
      <c r="X178" s="522">
        <v>2</v>
      </c>
      <c r="Y178" s="522">
        <v>9</v>
      </c>
      <c r="Z178" s="524">
        <v>103.84</v>
      </c>
      <c r="AA178" s="524">
        <v>103.94</v>
      </c>
      <c r="AB178" s="524">
        <v>5.0599999999999996</v>
      </c>
      <c r="AC178" s="524">
        <v>106.26</v>
      </c>
      <c r="AD178" s="524">
        <v>544</v>
      </c>
      <c r="AE178" s="525">
        <v>125.64</v>
      </c>
      <c r="AF178" s="525">
        <v>105.32</v>
      </c>
      <c r="AG178" s="525">
        <v>54.7</v>
      </c>
      <c r="AH178" s="525">
        <v>175.18</v>
      </c>
      <c r="AI178" s="525">
        <v>191</v>
      </c>
      <c r="AJ178" s="525">
        <v>120.61</v>
      </c>
      <c r="AK178" s="525">
        <v>486</v>
      </c>
      <c r="AL178" s="525">
        <v>0</v>
      </c>
      <c r="AM178" s="525">
        <v>0</v>
      </c>
      <c r="AN178" s="526">
        <v>79.11</v>
      </c>
      <c r="AO178" s="526">
        <v>79.11</v>
      </c>
      <c r="AP178" s="526">
        <v>0</v>
      </c>
      <c r="AQ178" s="526">
        <v>79.11</v>
      </c>
      <c r="AR178" s="522">
        <v>1</v>
      </c>
      <c r="AS178" s="526">
        <v>0</v>
      </c>
      <c r="AT178" s="526">
        <v>0</v>
      </c>
      <c r="AU178" s="526">
        <v>0</v>
      </c>
      <c r="AV178" s="526">
        <v>0</v>
      </c>
      <c r="AW178" s="522">
        <v>0</v>
      </c>
      <c r="AX178" s="526">
        <v>85.19</v>
      </c>
      <c r="AY178" s="526">
        <v>84.97</v>
      </c>
      <c r="AZ178" s="526">
        <v>5.15</v>
      </c>
      <c r="BA178" s="526">
        <v>90.18</v>
      </c>
      <c r="BB178" s="522">
        <v>123</v>
      </c>
      <c r="BC178" s="526">
        <v>104.67</v>
      </c>
      <c r="BD178" s="526">
        <v>105.21</v>
      </c>
      <c r="BE178" s="526">
        <v>5.67</v>
      </c>
      <c r="BF178" s="526">
        <v>106.94</v>
      </c>
      <c r="BG178" s="522">
        <v>282</v>
      </c>
      <c r="BH178" s="526">
        <v>117.95</v>
      </c>
      <c r="BI178" s="526">
        <v>117.55</v>
      </c>
      <c r="BJ178" s="526">
        <v>2.36</v>
      </c>
      <c r="BK178" s="526">
        <v>118.38</v>
      </c>
      <c r="BL178" s="522">
        <v>131</v>
      </c>
      <c r="BM178" s="526">
        <v>137.33000000000001</v>
      </c>
      <c r="BN178" s="526">
        <v>134.71</v>
      </c>
      <c r="BO178" s="526">
        <v>1.94</v>
      </c>
      <c r="BP178" s="526">
        <v>138.71</v>
      </c>
      <c r="BQ178" s="522">
        <v>7</v>
      </c>
      <c r="BR178" s="526">
        <v>0</v>
      </c>
      <c r="BS178" s="526">
        <v>0</v>
      </c>
      <c r="BT178" s="526">
        <v>0</v>
      </c>
      <c r="BU178" s="526">
        <v>0</v>
      </c>
      <c r="BV178" s="522">
        <v>0</v>
      </c>
      <c r="BW178" s="526">
        <v>0</v>
      </c>
      <c r="BX178" s="526">
        <v>0</v>
      </c>
      <c r="BY178" s="526">
        <v>0</v>
      </c>
      <c r="BZ178" s="526">
        <v>0</v>
      </c>
      <c r="CA178" s="522">
        <v>0</v>
      </c>
      <c r="CB178" s="526">
        <v>103.88</v>
      </c>
      <c r="CC178" s="526">
        <v>103.98</v>
      </c>
      <c r="CD178" s="526">
        <v>5.0599999999999996</v>
      </c>
      <c r="CE178" s="526">
        <v>106.31</v>
      </c>
      <c r="CF178" s="522">
        <v>543</v>
      </c>
      <c r="CG178" s="526">
        <v>103.84</v>
      </c>
      <c r="CH178" s="526">
        <v>103.94</v>
      </c>
      <c r="CI178" s="526">
        <v>5.0599999999999996</v>
      </c>
      <c r="CJ178" s="526">
        <v>106.26</v>
      </c>
      <c r="CK178" s="522">
        <v>544</v>
      </c>
      <c r="CL178" s="526">
        <v>154.30000000000001</v>
      </c>
      <c r="CM178" s="526">
        <v>91.49</v>
      </c>
      <c r="CN178" s="526">
        <v>42.92</v>
      </c>
      <c r="CO178" s="526">
        <v>189.21</v>
      </c>
      <c r="CP178" s="522">
        <v>59</v>
      </c>
      <c r="CQ178" s="526">
        <v>98.55</v>
      </c>
      <c r="CR178" s="526">
        <v>87.7</v>
      </c>
      <c r="CS178" s="526">
        <v>66.39</v>
      </c>
      <c r="CT178" s="526">
        <v>164.94</v>
      </c>
      <c r="CU178" s="522">
        <v>17</v>
      </c>
      <c r="CV178" s="526">
        <v>102.94</v>
      </c>
      <c r="CW178" s="526">
        <v>98.1</v>
      </c>
      <c r="CX178" s="526">
        <v>48.55</v>
      </c>
      <c r="CY178" s="526">
        <v>145.91999999999999</v>
      </c>
      <c r="CZ178" s="522">
        <v>61</v>
      </c>
      <c r="DA178" s="526">
        <v>128.49</v>
      </c>
      <c r="DB178" s="526">
        <v>121.34</v>
      </c>
      <c r="DC178" s="526">
        <v>67.64</v>
      </c>
      <c r="DD178" s="526">
        <v>196.13</v>
      </c>
      <c r="DE178" s="522">
        <v>54</v>
      </c>
      <c r="DF178" s="526">
        <v>0</v>
      </c>
      <c r="DG178" s="526">
        <v>0</v>
      </c>
      <c r="DH178" s="526">
        <v>0</v>
      </c>
      <c r="DI178" s="526">
        <v>0</v>
      </c>
      <c r="DJ178" s="522">
        <v>0</v>
      </c>
      <c r="DK178" s="526">
        <v>0</v>
      </c>
      <c r="DL178" s="526">
        <v>0</v>
      </c>
      <c r="DM178" s="526">
        <v>0</v>
      </c>
      <c r="DN178" s="526">
        <v>0</v>
      </c>
      <c r="DO178" s="522">
        <v>0</v>
      </c>
      <c r="DP178" s="526">
        <v>112.83</v>
      </c>
      <c r="DQ178" s="526">
        <v>109.38</v>
      </c>
      <c r="DR178" s="526">
        <v>59.22</v>
      </c>
      <c r="DS178" s="526">
        <v>168.91</v>
      </c>
      <c r="DT178" s="522">
        <v>132</v>
      </c>
      <c r="DU178" s="526">
        <v>125.64</v>
      </c>
      <c r="DV178" s="526">
        <v>105.32</v>
      </c>
      <c r="DW178" s="526">
        <v>54.7</v>
      </c>
      <c r="DX178" s="526">
        <v>175.18</v>
      </c>
      <c r="DY178" s="522">
        <v>191</v>
      </c>
      <c r="DZ178" s="526">
        <v>0</v>
      </c>
      <c r="EA178" s="526">
        <v>0</v>
      </c>
      <c r="EB178" s="526">
        <v>0</v>
      </c>
      <c r="EC178" s="522">
        <v>0</v>
      </c>
      <c r="ED178" s="526">
        <v>99.94</v>
      </c>
      <c r="EE178" s="522">
        <v>72</v>
      </c>
      <c r="EF178" s="526">
        <v>117.94</v>
      </c>
      <c r="EG178" s="522">
        <v>268</v>
      </c>
      <c r="EH178" s="526">
        <v>133.94999999999999</v>
      </c>
      <c r="EI178" s="522">
        <v>137</v>
      </c>
      <c r="EJ178" s="526">
        <v>162.25</v>
      </c>
      <c r="EK178" s="522">
        <v>9</v>
      </c>
      <c r="EL178" s="526">
        <v>0</v>
      </c>
      <c r="EM178" s="522">
        <v>0</v>
      </c>
      <c r="EN178" s="526">
        <v>0</v>
      </c>
      <c r="EO178" s="522">
        <v>0</v>
      </c>
      <c r="EP178" s="526">
        <v>120.61</v>
      </c>
      <c r="EQ178" s="522">
        <v>486</v>
      </c>
      <c r="ER178" s="526">
        <v>120.61</v>
      </c>
      <c r="ES178" s="522">
        <v>486</v>
      </c>
      <c r="ET178" s="526">
        <v>0</v>
      </c>
      <c r="EU178" s="526">
        <v>0</v>
      </c>
      <c r="EV178" s="526">
        <v>0</v>
      </c>
      <c r="EW178" s="522">
        <v>0</v>
      </c>
      <c r="EX178" s="526">
        <v>0</v>
      </c>
      <c r="EY178" s="522">
        <v>0</v>
      </c>
      <c r="EZ178" s="526">
        <v>0</v>
      </c>
      <c r="FA178" s="522">
        <v>0</v>
      </c>
      <c r="FB178" s="526">
        <v>0</v>
      </c>
      <c r="FC178" s="522">
        <v>0</v>
      </c>
      <c r="FD178" s="526">
        <v>0</v>
      </c>
      <c r="FE178" s="522">
        <v>0</v>
      </c>
      <c r="FF178" s="526">
        <v>0</v>
      </c>
      <c r="FG178" s="522">
        <v>0</v>
      </c>
      <c r="FH178" s="526">
        <v>0</v>
      </c>
      <c r="FI178" s="522">
        <v>0</v>
      </c>
      <c r="FJ178" s="522">
        <v>3</v>
      </c>
      <c r="FK178" s="522">
        <v>0</v>
      </c>
      <c r="FL178" s="522">
        <v>0</v>
      </c>
      <c r="FM178" s="522">
        <v>0</v>
      </c>
      <c r="FN178" s="522">
        <v>0</v>
      </c>
      <c r="FO178" s="522">
        <v>0</v>
      </c>
      <c r="FP178" s="522">
        <v>2</v>
      </c>
      <c r="FQ178" s="522">
        <v>18</v>
      </c>
      <c r="FR178" s="522">
        <v>8</v>
      </c>
    </row>
    <row r="179" spans="1:174" x14ac:dyDescent="0.25">
      <c r="A179" s="523" t="s">
        <v>614</v>
      </c>
      <c r="B179" s="523" t="s">
        <v>615</v>
      </c>
      <c r="C179" s="523" t="s">
        <v>289</v>
      </c>
      <c r="D179" s="522">
        <v>7950</v>
      </c>
      <c r="E179" s="522">
        <v>7948</v>
      </c>
      <c r="F179" s="522">
        <v>0</v>
      </c>
      <c r="G179" s="522">
        <v>0</v>
      </c>
      <c r="H179" s="522">
        <v>480</v>
      </c>
      <c r="I179" s="522">
        <v>361</v>
      </c>
      <c r="J179" s="522">
        <v>1097</v>
      </c>
      <c r="K179" s="522">
        <v>1091</v>
      </c>
      <c r="L179" s="522">
        <v>303</v>
      </c>
      <c r="M179" s="522">
        <v>10</v>
      </c>
      <c r="N179" s="522">
        <v>9830</v>
      </c>
      <c r="O179" s="522">
        <v>9410</v>
      </c>
      <c r="P179" s="522">
        <v>9527</v>
      </c>
      <c r="Q179" s="522">
        <v>18</v>
      </c>
      <c r="R179" s="523">
        <v>5</v>
      </c>
      <c r="S179" s="523">
        <v>20</v>
      </c>
      <c r="T179" s="523">
        <v>123</v>
      </c>
      <c r="U179" s="523">
        <v>9707</v>
      </c>
      <c r="V179" s="522">
        <v>7948</v>
      </c>
      <c r="W179" s="522">
        <v>5</v>
      </c>
      <c r="X179" s="522">
        <v>201</v>
      </c>
      <c r="Y179" s="522">
        <v>206</v>
      </c>
      <c r="Z179" s="524">
        <v>90.46</v>
      </c>
      <c r="AA179" s="524">
        <v>92.15</v>
      </c>
      <c r="AB179" s="524">
        <v>3.38</v>
      </c>
      <c r="AC179" s="524">
        <v>92.98</v>
      </c>
      <c r="AD179" s="524">
        <v>7823</v>
      </c>
      <c r="AE179" s="525">
        <v>114.86</v>
      </c>
      <c r="AF179" s="525">
        <v>80.459999999999994</v>
      </c>
      <c r="AG179" s="525">
        <v>42.08</v>
      </c>
      <c r="AH179" s="525">
        <v>153.09</v>
      </c>
      <c r="AI179" s="525">
        <v>1397</v>
      </c>
      <c r="AJ179" s="525">
        <v>104.17</v>
      </c>
      <c r="AK179" s="525">
        <v>105</v>
      </c>
      <c r="AL179" s="525">
        <v>314.3</v>
      </c>
      <c r="AM179" s="525">
        <v>59</v>
      </c>
      <c r="AN179" s="526">
        <v>0</v>
      </c>
      <c r="AO179" s="526">
        <v>0</v>
      </c>
      <c r="AP179" s="526">
        <v>0</v>
      </c>
      <c r="AQ179" s="526">
        <v>0</v>
      </c>
      <c r="AR179" s="522">
        <v>0</v>
      </c>
      <c r="AS179" s="526">
        <v>67.45</v>
      </c>
      <c r="AT179" s="526">
        <v>68.91</v>
      </c>
      <c r="AU179" s="526">
        <v>2.1800000000000002</v>
      </c>
      <c r="AV179" s="526">
        <v>69.27</v>
      </c>
      <c r="AW179" s="522">
        <v>6</v>
      </c>
      <c r="AX179" s="526">
        <v>79.709999999999994</v>
      </c>
      <c r="AY179" s="526">
        <v>80.5</v>
      </c>
      <c r="AZ179" s="526">
        <v>5.26</v>
      </c>
      <c r="BA179" s="526">
        <v>84.32</v>
      </c>
      <c r="BB179" s="522">
        <v>2261</v>
      </c>
      <c r="BC179" s="526">
        <v>90.71</v>
      </c>
      <c r="BD179" s="526">
        <v>92.2</v>
      </c>
      <c r="BE179" s="526">
        <v>3.56</v>
      </c>
      <c r="BF179" s="526">
        <v>93.21</v>
      </c>
      <c r="BG179" s="522">
        <v>2235</v>
      </c>
      <c r="BH179" s="526">
        <v>97.07</v>
      </c>
      <c r="BI179" s="526">
        <v>99.49</v>
      </c>
      <c r="BJ179" s="526">
        <v>1.66</v>
      </c>
      <c r="BK179" s="526">
        <v>98.21</v>
      </c>
      <c r="BL179" s="522">
        <v>3141</v>
      </c>
      <c r="BM179" s="526">
        <v>106.6</v>
      </c>
      <c r="BN179" s="526">
        <v>109.53</v>
      </c>
      <c r="BO179" s="526">
        <v>1.06</v>
      </c>
      <c r="BP179" s="526">
        <v>107.27</v>
      </c>
      <c r="BQ179" s="522">
        <v>167</v>
      </c>
      <c r="BR179" s="526">
        <v>122.94</v>
      </c>
      <c r="BS179" s="526">
        <v>128.41999999999999</v>
      </c>
      <c r="BT179" s="526">
        <v>3.64</v>
      </c>
      <c r="BU179" s="526">
        <v>126.58</v>
      </c>
      <c r="BV179" s="522">
        <v>8</v>
      </c>
      <c r="BW179" s="526">
        <v>118.49</v>
      </c>
      <c r="BX179" s="526">
        <v>122.77</v>
      </c>
      <c r="BY179" s="526">
        <v>1.23</v>
      </c>
      <c r="BZ179" s="526">
        <v>119.23</v>
      </c>
      <c r="CA179" s="522">
        <v>5</v>
      </c>
      <c r="CB179" s="526">
        <v>90.46</v>
      </c>
      <c r="CC179" s="526">
        <v>92.15</v>
      </c>
      <c r="CD179" s="526">
        <v>3.38</v>
      </c>
      <c r="CE179" s="526">
        <v>92.98</v>
      </c>
      <c r="CF179" s="522">
        <v>7823</v>
      </c>
      <c r="CG179" s="526">
        <v>90.46</v>
      </c>
      <c r="CH179" s="526">
        <v>92.15</v>
      </c>
      <c r="CI179" s="526">
        <v>3.38</v>
      </c>
      <c r="CJ179" s="526">
        <v>92.98</v>
      </c>
      <c r="CK179" s="522">
        <v>7823</v>
      </c>
      <c r="CL179" s="526">
        <v>180.08</v>
      </c>
      <c r="CM179" s="526">
        <v>81.400000000000006</v>
      </c>
      <c r="CN179" s="526">
        <v>80.319999999999993</v>
      </c>
      <c r="CO179" s="526">
        <v>260.39999999999998</v>
      </c>
      <c r="CP179" s="522">
        <v>213</v>
      </c>
      <c r="CQ179" s="526">
        <v>71.349999999999994</v>
      </c>
      <c r="CR179" s="526">
        <v>69.44</v>
      </c>
      <c r="CS179" s="526">
        <v>26.55</v>
      </c>
      <c r="CT179" s="526">
        <v>95.61</v>
      </c>
      <c r="CU179" s="522">
        <v>116</v>
      </c>
      <c r="CV179" s="526">
        <v>105.83</v>
      </c>
      <c r="CW179" s="526">
        <v>80.599999999999994</v>
      </c>
      <c r="CX179" s="526">
        <v>35.380000000000003</v>
      </c>
      <c r="CY179" s="526">
        <v>137.88</v>
      </c>
      <c r="CZ179" s="522">
        <v>967</v>
      </c>
      <c r="DA179" s="526">
        <v>114.27</v>
      </c>
      <c r="DB179" s="526">
        <v>91.34</v>
      </c>
      <c r="DC179" s="526">
        <v>33.83</v>
      </c>
      <c r="DD179" s="526">
        <v>140.01</v>
      </c>
      <c r="DE179" s="522">
        <v>92</v>
      </c>
      <c r="DF179" s="526">
        <v>108.56</v>
      </c>
      <c r="DG179" s="526">
        <v>106.85</v>
      </c>
      <c r="DH179" s="526">
        <v>29.38</v>
      </c>
      <c r="DI179" s="526">
        <v>121.62</v>
      </c>
      <c r="DJ179" s="522">
        <v>9</v>
      </c>
      <c r="DK179" s="526">
        <v>0</v>
      </c>
      <c r="DL179" s="526">
        <v>0</v>
      </c>
      <c r="DM179" s="526">
        <v>0</v>
      </c>
      <c r="DN179" s="526">
        <v>0</v>
      </c>
      <c r="DO179" s="522">
        <v>0</v>
      </c>
      <c r="DP179" s="526">
        <v>103.13</v>
      </c>
      <c r="DQ179" s="526">
        <v>80.41</v>
      </c>
      <c r="DR179" s="526">
        <v>34.369999999999997</v>
      </c>
      <c r="DS179" s="526">
        <v>133.78</v>
      </c>
      <c r="DT179" s="522">
        <v>1184</v>
      </c>
      <c r="DU179" s="526">
        <v>114.86</v>
      </c>
      <c r="DV179" s="526">
        <v>80.459999999999994</v>
      </c>
      <c r="DW179" s="526">
        <v>42.08</v>
      </c>
      <c r="DX179" s="526">
        <v>153.09</v>
      </c>
      <c r="DY179" s="522">
        <v>1397</v>
      </c>
      <c r="DZ179" s="526">
        <v>0</v>
      </c>
      <c r="EA179" s="526">
        <v>0</v>
      </c>
      <c r="EB179" s="526">
        <v>0</v>
      </c>
      <c r="EC179" s="522">
        <v>0</v>
      </c>
      <c r="ED179" s="526">
        <v>75.739999999999995</v>
      </c>
      <c r="EE179" s="522">
        <v>2</v>
      </c>
      <c r="EF179" s="526">
        <v>100.17</v>
      </c>
      <c r="EG179" s="522">
        <v>63</v>
      </c>
      <c r="EH179" s="526">
        <v>111.1</v>
      </c>
      <c r="EI179" s="522">
        <v>39</v>
      </c>
      <c r="EJ179" s="526">
        <v>142.68</v>
      </c>
      <c r="EK179" s="522">
        <v>1</v>
      </c>
      <c r="EL179" s="526">
        <v>0</v>
      </c>
      <c r="EM179" s="522">
        <v>0</v>
      </c>
      <c r="EN179" s="526">
        <v>0</v>
      </c>
      <c r="EO179" s="522">
        <v>0</v>
      </c>
      <c r="EP179" s="526">
        <v>104.17</v>
      </c>
      <c r="EQ179" s="522">
        <v>105</v>
      </c>
      <c r="ER179" s="526">
        <v>104.17</v>
      </c>
      <c r="ES179" s="522">
        <v>105</v>
      </c>
      <c r="ET179" s="526">
        <v>0</v>
      </c>
      <c r="EU179" s="526">
        <v>0</v>
      </c>
      <c r="EV179" s="526">
        <v>0</v>
      </c>
      <c r="EW179" s="522">
        <v>0</v>
      </c>
      <c r="EX179" s="526">
        <v>310.44</v>
      </c>
      <c r="EY179" s="522">
        <v>53</v>
      </c>
      <c r="EZ179" s="526">
        <v>348.41</v>
      </c>
      <c r="FA179" s="522">
        <v>6</v>
      </c>
      <c r="FB179" s="526">
        <v>0</v>
      </c>
      <c r="FC179" s="522">
        <v>0</v>
      </c>
      <c r="FD179" s="526">
        <v>0</v>
      </c>
      <c r="FE179" s="522">
        <v>0</v>
      </c>
      <c r="FF179" s="526">
        <v>314.3</v>
      </c>
      <c r="FG179" s="522">
        <v>59</v>
      </c>
      <c r="FH179" s="526">
        <v>314.3</v>
      </c>
      <c r="FI179" s="522">
        <v>59</v>
      </c>
      <c r="FJ179" s="522">
        <v>266</v>
      </c>
      <c r="FK179" s="522">
        <v>14</v>
      </c>
      <c r="FL179" s="522">
        <v>9</v>
      </c>
      <c r="FM179" s="522">
        <v>0</v>
      </c>
      <c r="FN179" s="522">
        <v>5</v>
      </c>
      <c r="FO179" s="522">
        <v>0</v>
      </c>
      <c r="FP179" s="522">
        <v>11</v>
      </c>
      <c r="FQ179" s="522">
        <v>18</v>
      </c>
      <c r="FR179" s="522">
        <v>3</v>
      </c>
    </row>
    <row r="180" spans="1:174" x14ac:dyDescent="0.25">
      <c r="A180" s="523" t="s">
        <v>616</v>
      </c>
      <c r="B180" s="523" t="s">
        <v>617</v>
      </c>
      <c r="C180" s="523" t="s">
        <v>283</v>
      </c>
      <c r="D180" s="522">
        <v>9556</v>
      </c>
      <c r="E180" s="522">
        <v>9542</v>
      </c>
      <c r="F180" s="522">
        <v>0</v>
      </c>
      <c r="G180" s="522">
        <v>0</v>
      </c>
      <c r="H180" s="522">
        <v>229</v>
      </c>
      <c r="I180" s="522">
        <v>198</v>
      </c>
      <c r="J180" s="522">
        <v>1069</v>
      </c>
      <c r="K180" s="522">
        <v>1069</v>
      </c>
      <c r="L180" s="522">
        <v>621</v>
      </c>
      <c r="M180" s="522">
        <v>4</v>
      </c>
      <c r="N180" s="522">
        <v>11475</v>
      </c>
      <c r="O180" s="522">
        <v>10813</v>
      </c>
      <c r="P180" s="522">
        <v>10854</v>
      </c>
      <c r="Q180" s="522">
        <v>7</v>
      </c>
      <c r="R180" s="523">
        <v>4</v>
      </c>
      <c r="S180" s="523">
        <v>32</v>
      </c>
      <c r="T180" s="523">
        <v>111</v>
      </c>
      <c r="U180" s="523">
        <v>11364</v>
      </c>
      <c r="V180" s="522">
        <v>9496</v>
      </c>
      <c r="W180" s="522">
        <v>55</v>
      </c>
      <c r="X180" s="522">
        <v>22</v>
      </c>
      <c r="Y180" s="522">
        <v>77</v>
      </c>
      <c r="Z180" s="524">
        <v>125.47</v>
      </c>
      <c r="AA180" s="524">
        <v>136.94</v>
      </c>
      <c r="AB180" s="524">
        <v>6.9</v>
      </c>
      <c r="AC180" s="524">
        <v>127.69</v>
      </c>
      <c r="AD180" s="524">
        <v>9037</v>
      </c>
      <c r="AE180" s="525">
        <v>113.24</v>
      </c>
      <c r="AF180" s="525">
        <v>114.99</v>
      </c>
      <c r="AG180" s="525">
        <v>37.6</v>
      </c>
      <c r="AH180" s="525">
        <v>150.24</v>
      </c>
      <c r="AI180" s="525">
        <v>1247</v>
      </c>
      <c r="AJ180" s="525">
        <v>178.7</v>
      </c>
      <c r="AK180" s="525">
        <v>440</v>
      </c>
      <c r="AL180" s="525">
        <v>0</v>
      </c>
      <c r="AM180" s="525">
        <v>0</v>
      </c>
      <c r="AN180" s="526">
        <v>0</v>
      </c>
      <c r="AO180" s="526">
        <v>0</v>
      </c>
      <c r="AP180" s="526">
        <v>0</v>
      </c>
      <c r="AQ180" s="526">
        <v>0</v>
      </c>
      <c r="AR180" s="522">
        <v>0</v>
      </c>
      <c r="AS180" s="526">
        <v>89.39</v>
      </c>
      <c r="AT180" s="526">
        <v>93.17</v>
      </c>
      <c r="AU180" s="526">
        <v>5.75</v>
      </c>
      <c r="AV180" s="526">
        <v>95</v>
      </c>
      <c r="AW180" s="522">
        <v>87</v>
      </c>
      <c r="AX180" s="526">
        <v>103.91</v>
      </c>
      <c r="AY180" s="526">
        <v>108.82</v>
      </c>
      <c r="AZ180" s="526">
        <v>8.0500000000000007</v>
      </c>
      <c r="BA180" s="526">
        <v>110.16</v>
      </c>
      <c r="BB180" s="522">
        <v>1534</v>
      </c>
      <c r="BC180" s="526">
        <v>123.83</v>
      </c>
      <c r="BD180" s="526">
        <v>131.47</v>
      </c>
      <c r="BE180" s="526">
        <v>6.43</v>
      </c>
      <c r="BF180" s="526">
        <v>126.64</v>
      </c>
      <c r="BG180" s="522">
        <v>2679</v>
      </c>
      <c r="BH180" s="526">
        <v>133.24</v>
      </c>
      <c r="BI180" s="526">
        <v>148.91999999999999</v>
      </c>
      <c r="BJ180" s="526">
        <v>5.37</v>
      </c>
      <c r="BK180" s="526">
        <v>133.72999999999999</v>
      </c>
      <c r="BL180" s="522">
        <v>4521</v>
      </c>
      <c r="BM180" s="526">
        <v>150.37</v>
      </c>
      <c r="BN180" s="526">
        <v>170.94</v>
      </c>
      <c r="BO180" s="526">
        <v>5.22</v>
      </c>
      <c r="BP180" s="526">
        <v>151.51</v>
      </c>
      <c r="BQ180" s="522">
        <v>211</v>
      </c>
      <c r="BR180" s="526">
        <v>174.93</v>
      </c>
      <c r="BS180" s="526">
        <v>198.05</v>
      </c>
      <c r="BT180" s="526">
        <v>6.65</v>
      </c>
      <c r="BU180" s="526">
        <v>178.25</v>
      </c>
      <c r="BV180" s="522">
        <v>4</v>
      </c>
      <c r="BW180" s="526">
        <v>178.42</v>
      </c>
      <c r="BX180" s="526">
        <v>205.11</v>
      </c>
      <c r="BY180" s="526">
        <v>2.36</v>
      </c>
      <c r="BZ180" s="526">
        <v>180.78</v>
      </c>
      <c r="CA180" s="522">
        <v>1</v>
      </c>
      <c r="CB180" s="526">
        <v>125.47</v>
      </c>
      <c r="CC180" s="526">
        <v>136.94</v>
      </c>
      <c r="CD180" s="526">
        <v>6.9</v>
      </c>
      <c r="CE180" s="526">
        <v>127.69</v>
      </c>
      <c r="CF180" s="522">
        <v>9037</v>
      </c>
      <c r="CG180" s="526">
        <v>125.47</v>
      </c>
      <c r="CH180" s="526">
        <v>136.94</v>
      </c>
      <c r="CI180" s="526">
        <v>6.9</v>
      </c>
      <c r="CJ180" s="526">
        <v>127.69</v>
      </c>
      <c r="CK180" s="522">
        <v>9037</v>
      </c>
      <c r="CL180" s="526">
        <v>96.98</v>
      </c>
      <c r="CM180" s="526">
        <v>96.49</v>
      </c>
      <c r="CN180" s="526">
        <v>167.04</v>
      </c>
      <c r="CO180" s="526">
        <v>240.16</v>
      </c>
      <c r="CP180" s="522">
        <v>63</v>
      </c>
      <c r="CQ180" s="526">
        <v>98.94</v>
      </c>
      <c r="CR180" s="526">
        <v>103.78</v>
      </c>
      <c r="CS180" s="526">
        <v>35.29</v>
      </c>
      <c r="CT180" s="526">
        <v>134.22999999999999</v>
      </c>
      <c r="CU180" s="522">
        <v>42</v>
      </c>
      <c r="CV180" s="526">
        <v>108.21</v>
      </c>
      <c r="CW180" s="526">
        <v>112.04</v>
      </c>
      <c r="CX180" s="526">
        <v>32.76</v>
      </c>
      <c r="CY180" s="526">
        <v>140.79</v>
      </c>
      <c r="CZ180" s="522">
        <v>916</v>
      </c>
      <c r="DA180" s="526">
        <v>141.29</v>
      </c>
      <c r="DB180" s="526">
        <v>140.24</v>
      </c>
      <c r="DC180" s="526">
        <v>26.52</v>
      </c>
      <c r="DD180" s="526">
        <v>167.81</v>
      </c>
      <c r="DE180" s="522">
        <v>209</v>
      </c>
      <c r="DF180" s="526">
        <v>135.22999999999999</v>
      </c>
      <c r="DG180" s="526">
        <v>143.69</v>
      </c>
      <c r="DH180" s="526">
        <v>23.06</v>
      </c>
      <c r="DI180" s="526">
        <v>150.16</v>
      </c>
      <c r="DJ180" s="522">
        <v>17</v>
      </c>
      <c r="DK180" s="526">
        <v>0</v>
      </c>
      <c r="DL180" s="526">
        <v>0</v>
      </c>
      <c r="DM180" s="526">
        <v>0</v>
      </c>
      <c r="DN180" s="526">
        <v>0</v>
      </c>
      <c r="DO180" s="522">
        <v>0</v>
      </c>
      <c r="DP180" s="526">
        <v>114.11</v>
      </c>
      <c r="DQ180" s="526">
        <v>115.97</v>
      </c>
      <c r="DR180" s="526">
        <v>31.64</v>
      </c>
      <c r="DS180" s="526">
        <v>145.46</v>
      </c>
      <c r="DT180" s="522">
        <v>1184</v>
      </c>
      <c r="DU180" s="526">
        <v>113.24</v>
      </c>
      <c r="DV180" s="526">
        <v>114.99</v>
      </c>
      <c r="DW180" s="526">
        <v>37.6</v>
      </c>
      <c r="DX180" s="526">
        <v>150.24</v>
      </c>
      <c r="DY180" s="522">
        <v>1247</v>
      </c>
      <c r="DZ180" s="526">
        <v>0</v>
      </c>
      <c r="EA180" s="526">
        <v>0</v>
      </c>
      <c r="EB180" s="526">
        <v>0</v>
      </c>
      <c r="EC180" s="522">
        <v>0</v>
      </c>
      <c r="ED180" s="526">
        <v>142.74</v>
      </c>
      <c r="EE180" s="522">
        <v>147</v>
      </c>
      <c r="EF180" s="526">
        <v>186.54</v>
      </c>
      <c r="EG180" s="522">
        <v>207</v>
      </c>
      <c r="EH180" s="526">
        <v>223.33</v>
      </c>
      <c r="EI180" s="522">
        <v>82</v>
      </c>
      <c r="EJ180" s="526">
        <v>179.58</v>
      </c>
      <c r="EK180" s="522">
        <v>4</v>
      </c>
      <c r="EL180" s="526">
        <v>0</v>
      </c>
      <c r="EM180" s="522">
        <v>0</v>
      </c>
      <c r="EN180" s="526">
        <v>0</v>
      </c>
      <c r="EO180" s="522">
        <v>0</v>
      </c>
      <c r="EP180" s="526">
        <v>178.7</v>
      </c>
      <c r="EQ180" s="522">
        <v>440</v>
      </c>
      <c r="ER180" s="526">
        <v>178.7</v>
      </c>
      <c r="ES180" s="522">
        <v>440</v>
      </c>
      <c r="ET180" s="526">
        <v>0</v>
      </c>
      <c r="EU180" s="526">
        <v>0</v>
      </c>
      <c r="EV180" s="526">
        <v>0</v>
      </c>
      <c r="EW180" s="522">
        <v>0</v>
      </c>
      <c r="EX180" s="526">
        <v>0</v>
      </c>
      <c r="EY180" s="522">
        <v>0</v>
      </c>
      <c r="EZ180" s="526">
        <v>0</v>
      </c>
      <c r="FA180" s="522">
        <v>0</v>
      </c>
      <c r="FB180" s="526">
        <v>0</v>
      </c>
      <c r="FC180" s="522">
        <v>0</v>
      </c>
      <c r="FD180" s="526">
        <v>0</v>
      </c>
      <c r="FE180" s="522">
        <v>0</v>
      </c>
      <c r="FF180" s="526">
        <v>0</v>
      </c>
      <c r="FG180" s="522">
        <v>0</v>
      </c>
      <c r="FH180" s="526">
        <v>0</v>
      </c>
      <c r="FI180" s="522">
        <v>0</v>
      </c>
      <c r="FJ180" s="522">
        <v>13</v>
      </c>
      <c r="FK180" s="522">
        <v>9</v>
      </c>
      <c r="FL180" s="522">
        <v>5</v>
      </c>
      <c r="FM180" s="522">
        <v>0</v>
      </c>
      <c r="FN180" s="522">
        <v>4</v>
      </c>
      <c r="FO180" s="522">
        <v>0</v>
      </c>
      <c r="FP180" s="522">
        <v>14</v>
      </c>
      <c r="FQ180" s="522">
        <v>17</v>
      </c>
      <c r="FR180" s="522">
        <v>10</v>
      </c>
    </row>
    <row r="181" spans="1:174" x14ac:dyDescent="0.25">
      <c r="A181" s="523" t="s">
        <v>618</v>
      </c>
      <c r="B181" s="523" t="s">
        <v>619</v>
      </c>
      <c r="C181" s="523" t="s">
        <v>282</v>
      </c>
      <c r="D181" s="522">
        <v>1359</v>
      </c>
      <c r="E181" s="522">
        <v>1284</v>
      </c>
      <c r="F181" s="522">
        <v>0</v>
      </c>
      <c r="G181" s="522">
        <v>0</v>
      </c>
      <c r="H181" s="522">
        <v>157</v>
      </c>
      <c r="I181" s="522">
        <v>136</v>
      </c>
      <c r="J181" s="522">
        <v>98</v>
      </c>
      <c r="K181" s="522">
        <v>98</v>
      </c>
      <c r="L181" s="522">
        <v>629</v>
      </c>
      <c r="M181" s="522">
        <v>0</v>
      </c>
      <c r="N181" s="522">
        <v>2243</v>
      </c>
      <c r="O181" s="522">
        <v>1518</v>
      </c>
      <c r="P181" s="522">
        <v>1614</v>
      </c>
      <c r="Q181" s="522">
        <v>1</v>
      </c>
      <c r="R181" s="523">
        <v>6</v>
      </c>
      <c r="S181" s="523">
        <v>21</v>
      </c>
      <c r="T181" s="523">
        <v>104</v>
      </c>
      <c r="U181" s="523">
        <v>2139</v>
      </c>
      <c r="V181" s="522">
        <v>1276</v>
      </c>
      <c r="W181" s="522">
        <v>17</v>
      </c>
      <c r="X181" s="522">
        <v>13</v>
      </c>
      <c r="Y181" s="522">
        <v>30</v>
      </c>
      <c r="Z181" s="524">
        <v>100.92</v>
      </c>
      <c r="AA181" s="524">
        <v>102.22</v>
      </c>
      <c r="AB181" s="524">
        <v>5.45</v>
      </c>
      <c r="AC181" s="524">
        <v>105.38</v>
      </c>
      <c r="AD181" s="524">
        <v>748</v>
      </c>
      <c r="AE181" s="525">
        <v>151.94999999999999</v>
      </c>
      <c r="AF181" s="525">
        <v>92.42</v>
      </c>
      <c r="AG181" s="525">
        <v>69.44</v>
      </c>
      <c r="AH181" s="525">
        <v>221.39</v>
      </c>
      <c r="AI181" s="525">
        <v>233</v>
      </c>
      <c r="AJ181" s="525">
        <v>122.3</v>
      </c>
      <c r="AK181" s="525">
        <v>488</v>
      </c>
      <c r="AL181" s="525">
        <v>132.65</v>
      </c>
      <c r="AM181" s="525">
        <v>1</v>
      </c>
      <c r="AN181" s="526">
        <v>0</v>
      </c>
      <c r="AO181" s="526">
        <v>0</v>
      </c>
      <c r="AP181" s="526">
        <v>0</v>
      </c>
      <c r="AQ181" s="526">
        <v>0</v>
      </c>
      <c r="AR181" s="522">
        <v>0</v>
      </c>
      <c r="AS181" s="526">
        <v>0</v>
      </c>
      <c r="AT181" s="526">
        <v>0</v>
      </c>
      <c r="AU181" s="526">
        <v>0</v>
      </c>
      <c r="AV181" s="526">
        <v>0</v>
      </c>
      <c r="AW181" s="522">
        <v>0</v>
      </c>
      <c r="AX181" s="526">
        <v>82.41</v>
      </c>
      <c r="AY181" s="526">
        <v>81.96</v>
      </c>
      <c r="AZ181" s="526">
        <v>13.33</v>
      </c>
      <c r="BA181" s="526">
        <v>94.78</v>
      </c>
      <c r="BB181" s="522">
        <v>84</v>
      </c>
      <c r="BC181" s="526">
        <v>98.85</v>
      </c>
      <c r="BD181" s="526">
        <v>100.04</v>
      </c>
      <c r="BE181" s="526">
        <v>5.39</v>
      </c>
      <c r="BF181" s="526">
        <v>103.39</v>
      </c>
      <c r="BG181" s="522">
        <v>417</v>
      </c>
      <c r="BH181" s="526">
        <v>108.75</v>
      </c>
      <c r="BI181" s="526">
        <v>110.71</v>
      </c>
      <c r="BJ181" s="526">
        <v>2.2200000000000002</v>
      </c>
      <c r="BK181" s="526">
        <v>110.41</v>
      </c>
      <c r="BL181" s="522">
        <v>227</v>
      </c>
      <c r="BM181" s="526">
        <v>126.82</v>
      </c>
      <c r="BN181" s="526">
        <v>129.99</v>
      </c>
      <c r="BO181" s="526">
        <v>2.06</v>
      </c>
      <c r="BP181" s="526">
        <v>128.49</v>
      </c>
      <c r="BQ181" s="522">
        <v>16</v>
      </c>
      <c r="BR181" s="526">
        <v>157.05000000000001</v>
      </c>
      <c r="BS181" s="526">
        <v>163.07</v>
      </c>
      <c r="BT181" s="526">
        <v>0</v>
      </c>
      <c r="BU181" s="526">
        <v>157.05000000000001</v>
      </c>
      <c r="BV181" s="522">
        <v>4</v>
      </c>
      <c r="BW181" s="526">
        <v>0</v>
      </c>
      <c r="BX181" s="526">
        <v>0</v>
      </c>
      <c r="BY181" s="526">
        <v>0</v>
      </c>
      <c r="BZ181" s="526">
        <v>0</v>
      </c>
      <c r="CA181" s="522">
        <v>0</v>
      </c>
      <c r="CB181" s="526">
        <v>100.92</v>
      </c>
      <c r="CC181" s="526">
        <v>102.22</v>
      </c>
      <c r="CD181" s="526">
        <v>5.45</v>
      </c>
      <c r="CE181" s="526">
        <v>105.38</v>
      </c>
      <c r="CF181" s="522">
        <v>748</v>
      </c>
      <c r="CG181" s="526">
        <v>100.92</v>
      </c>
      <c r="CH181" s="526">
        <v>102.22</v>
      </c>
      <c r="CI181" s="526">
        <v>5.45</v>
      </c>
      <c r="CJ181" s="526">
        <v>105.38</v>
      </c>
      <c r="CK181" s="522">
        <v>748</v>
      </c>
      <c r="CL181" s="526">
        <v>193.86</v>
      </c>
      <c r="CM181" s="526">
        <v>116.51</v>
      </c>
      <c r="CN181" s="526">
        <v>89.07</v>
      </c>
      <c r="CO181" s="526">
        <v>282.93</v>
      </c>
      <c r="CP181" s="522">
        <v>108</v>
      </c>
      <c r="CQ181" s="526">
        <v>89.52</v>
      </c>
      <c r="CR181" s="526">
        <v>81.52</v>
      </c>
      <c r="CS181" s="526">
        <v>40.29</v>
      </c>
      <c r="CT181" s="526">
        <v>129.81</v>
      </c>
      <c r="CU181" s="522">
        <v>22</v>
      </c>
      <c r="CV181" s="526">
        <v>121.34</v>
      </c>
      <c r="CW181" s="526">
        <v>87.15</v>
      </c>
      <c r="CX181" s="526">
        <v>54.19</v>
      </c>
      <c r="CY181" s="526">
        <v>175.52</v>
      </c>
      <c r="CZ181" s="522">
        <v>99</v>
      </c>
      <c r="DA181" s="526">
        <v>115.78</v>
      </c>
      <c r="DB181" s="526">
        <v>110.44</v>
      </c>
      <c r="DC181" s="526">
        <v>111.74</v>
      </c>
      <c r="DD181" s="526">
        <v>227.51</v>
      </c>
      <c r="DE181" s="522">
        <v>2</v>
      </c>
      <c r="DF181" s="526">
        <v>127.37</v>
      </c>
      <c r="DG181" s="526">
        <v>118.31</v>
      </c>
      <c r="DH181" s="526">
        <v>42.66</v>
      </c>
      <c r="DI181" s="526">
        <v>170.03</v>
      </c>
      <c r="DJ181" s="522">
        <v>2</v>
      </c>
      <c r="DK181" s="526">
        <v>0</v>
      </c>
      <c r="DL181" s="526">
        <v>0</v>
      </c>
      <c r="DM181" s="526">
        <v>0</v>
      </c>
      <c r="DN181" s="526">
        <v>0</v>
      </c>
      <c r="DO181" s="522">
        <v>0</v>
      </c>
      <c r="DP181" s="526">
        <v>115.75</v>
      </c>
      <c r="DQ181" s="526">
        <v>87.01</v>
      </c>
      <c r="DR181" s="526">
        <v>52.48</v>
      </c>
      <c r="DS181" s="526">
        <v>168.22</v>
      </c>
      <c r="DT181" s="522">
        <v>125</v>
      </c>
      <c r="DU181" s="526">
        <v>151.94999999999999</v>
      </c>
      <c r="DV181" s="526">
        <v>92.42</v>
      </c>
      <c r="DW181" s="526">
        <v>69.44</v>
      </c>
      <c r="DX181" s="526">
        <v>221.39</v>
      </c>
      <c r="DY181" s="522">
        <v>233</v>
      </c>
      <c r="DZ181" s="526">
        <v>0</v>
      </c>
      <c r="EA181" s="526">
        <v>0</v>
      </c>
      <c r="EB181" s="526">
        <v>0</v>
      </c>
      <c r="EC181" s="522">
        <v>0</v>
      </c>
      <c r="ED181" s="526">
        <v>99.88</v>
      </c>
      <c r="EE181" s="522">
        <v>56</v>
      </c>
      <c r="EF181" s="526">
        <v>120.03</v>
      </c>
      <c r="EG181" s="522">
        <v>294</v>
      </c>
      <c r="EH181" s="526">
        <v>132.94999999999999</v>
      </c>
      <c r="EI181" s="522">
        <v>123</v>
      </c>
      <c r="EJ181" s="526">
        <v>163.16</v>
      </c>
      <c r="EK181" s="522">
        <v>15</v>
      </c>
      <c r="EL181" s="526">
        <v>0</v>
      </c>
      <c r="EM181" s="522">
        <v>0</v>
      </c>
      <c r="EN181" s="526">
        <v>0</v>
      </c>
      <c r="EO181" s="522">
        <v>0</v>
      </c>
      <c r="EP181" s="526">
        <v>122.3</v>
      </c>
      <c r="EQ181" s="522">
        <v>488</v>
      </c>
      <c r="ER181" s="526">
        <v>122.3</v>
      </c>
      <c r="ES181" s="522">
        <v>488</v>
      </c>
      <c r="ET181" s="526">
        <v>0</v>
      </c>
      <c r="EU181" s="526">
        <v>0</v>
      </c>
      <c r="EV181" s="526">
        <v>0</v>
      </c>
      <c r="EW181" s="522">
        <v>0</v>
      </c>
      <c r="EX181" s="526">
        <v>0</v>
      </c>
      <c r="EY181" s="522">
        <v>0</v>
      </c>
      <c r="EZ181" s="526">
        <v>0</v>
      </c>
      <c r="FA181" s="522">
        <v>0</v>
      </c>
      <c r="FB181" s="526">
        <v>132.65</v>
      </c>
      <c r="FC181" s="522">
        <v>1</v>
      </c>
      <c r="FD181" s="526">
        <v>0</v>
      </c>
      <c r="FE181" s="522">
        <v>0</v>
      </c>
      <c r="FF181" s="526">
        <v>132.65</v>
      </c>
      <c r="FG181" s="522">
        <v>1</v>
      </c>
      <c r="FH181" s="526">
        <v>132.65</v>
      </c>
      <c r="FI181" s="522">
        <v>1</v>
      </c>
      <c r="FJ181" s="522">
        <v>0</v>
      </c>
      <c r="FK181" s="522">
        <v>0</v>
      </c>
      <c r="FL181" s="522">
        <v>0</v>
      </c>
      <c r="FM181" s="522">
        <v>0</v>
      </c>
      <c r="FN181" s="522">
        <v>0</v>
      </c>
      <c r="FO181" s="522">
        <v>0</v>
      </c>
      <c r="FP181" s="522">
        <v>0</v>
      </c>
      <c r="FQ181" s="522">
        <v>65</v>
      </c>
      <c r="FR181" s="522">
        <v>2</v>
      </c>
    </row>
    <row r="182" spans="1:174" x14ac:dyDescent="0.25">
      <c r="A182" s="523" t="s">
        <v>620</v>
      </c>
      <c r="B182" s="523" t="s">
        <v>621</v>
      </c>
      <c r="C182" s="523" t="s">
        <v>289</v>
      </c>
      <c r="D182" s="522">
        <v>11051</v>
      </c>
      <c r="E182" s="522">
        <v>10965</v>
      </c>
      <c r="F182" s="522">
        <v>2</v>
      </c>
      <c r="G182" s="522">
        <v>2</v>
      </c>
      <c r="H182" s="522">
        <v>247</v>
      </c>
      <c r="I182" s="522">
        <v>203</v>
      </c>
      <c r="J182" s="522">
        <v>305</v>
      </c>
      <c r="K182" s="522">
        <v>305</v>
      </c>
      <c r="L182" s="522">
        <v>143</v>
      </c>
      <c r="M182" s="522">
        <v>0</v>
      </c>
      <c r="N182" s="522">
        <v>11748</v>
      </c>
      <c r="O182" s="522">
        <v>11475</v>
      </c>
      <c r="P182" s="522">
        <v>11605</v>
      </c>
      <c r="Q182" s="522">
        <v>132</v>
      </c>
      <c r="R182" s="523">
        <v>3</v>
      </c>
      <c r="S182" s="523">
        <v>18</v>
      </c>
      <c r="T182" s="523">
        <v>83</v>
      </c>
      <c r="U182" s="523">
        <v>11665</v>
      </c>
      <c r="V182" s="522">
        <v>10996</v>
      </c>
      <c r="W182" s="522">
        <v>54</v>
      </c>
      <c r="X182" s="522">
        <v>42</v>
      </c>
      <c r="Y182" s="522">
        <v>96</v>
      </c>
      <c r="Z182" s="524">
        <v>91.15</v>
      </c>
      <c r="AA182" s="524">
        <v>90.07</v>
      </c>
      <c r="AB182" s="524">
        <v>3.51</v>
      </c>
      <c r="AC182" s="524">
        <v>93.24</v>
      </c>
      <c r="AD182" s="524">
        <v>10155</v>
      </c>
      <c r="AE182" s="525">
        <v>119.1</v>
      </c>
      <c r="AF182" s="525">
        <v>92.32</v>
      </c>
      <c r="AG182" s="525">
        <v>73.28</v>
      </c>
      <c r="AH182" s="525">
        <v>185.07</v>
      </c>
      <c r="AI182" s="525">
        <v>451</v>
      </c>
      <c r="AJ182" s="525">
        <v>115.23</v>
      </c>
      <c r="AK182" s="525">
        <v>789</v>
      </c>
      <c r="AL182" s="525">
        <v>222.67</v>
      </c>
      <c r="AM182" s="525">
        <v>73</v>
      </c>
      <c r="AN182" s="526">
        <v>85.23</v>
      </c>
      <c r="AO182" s="526">
        <v>84.28</v>
      </c>
      <c r="AP182" s="526">
        <v>23.01</v>
      </c>
      <c r="AQ182" s="526">
        <v>108.24</v>
      </c>
      <c r="AR182" s="522">
        <v>2</v>
      </c>
      <c r="AS182" s="526">
        <v>69.88</v>
      </c>
      <c r="AT182" s="526">
        <v>68.569999999999993</v>
      </c>
      <c r="AU182" s="526">
        <v>4.92</v>
      </c>
      <c r="AV182" s="526">
        <v>74.36</v>
      </c>
      <c r="AW182" s="522">
        <v>56</v>
      </c>
      <c r="AX182" s="526">
        <v>79.39</v>
      </c>
      <c r="AY182" s="526">
        <v>78.040000000000006</v>
      </c>
      <c r="AZ182" s="526">
        <v>5.53</v>
      </c>
      <c r="BA182" s="526">
        <v>83.55</v>
      </c>
      <c r="BB182" s="522">
        <v>2366</v>
      </c>
      <c r="BC182" s="526">
        <v>89.74</v>
      </c>
      <c r="BD182" s="526">
        <v>88.64</v>
      </c>
      <c r="BE182" s="526">
        <v>3.61</v>
      </c>
      <c r="BF182" s="526">
        <v>92.11</v>
      </c>
      <c r="BG182" s="522">
        <v>3665</v>
      </c>
      <c r="BH182" s="526">
        <v>99.19</v>
      </c>
      <c r="BI182" s="526">
        <v>98.26</v>
      </c>
      <c r="BJ182" s="526">
        <v>1.35</v>
      </c>
      <c r="BK182" s="526">
        <v>99.79</v>
      </c>
      <c r="BL182" s="522">
        <v>3875</v>
      </c>
      <c r="BM182" s="526">
        <v>106.94</v>
      </c>
      <c r="BN182" s="526">
        <v>106.88</v>
      </c>
      <c r="BO182" s="526">
        <v>1.05</v>
      </c>
      <c r="BP182" s="526">
        <v>107.48</v>
      </c>
      <c r="BQ182" s="522">
        <v>188</v>
      </c>
      <c r="BR182" s="526">
        <v>108.99</v>
      </c>
      <c r="BS182" s="526">
        <v>111.62</v>
      </c>
      <c r="BT182" s="526">
        <v>0.88</v>
      </c>
      <c r="BU182" s="526">
        <v>109.87</v>
      </c>
      <c r="BV182" s="522">
        <v>3</v>
      </c>
      <c r="BW182" s="526">
        <v>0</v>
      </c>
      <c r="BX182" s="526">
        <v>0</v>
      </c>
      <c r="BY182" s="526">
        <v>0</v>
      </c>
      <c r="BZ182" s="526">
        <v>0</v>
      </c>
      <c r="CA182" s="522">
        <v>0</v>
      </c>
      <c r="CB182" s="526">
        <v>91.15</v>
      </c>
      <c r="CC182" s="526">
        <v>90.07</v>
      </c>
      <c r="CD182" s="526">
        <v>3.5</v>
      </c>
      <c r="CE182" s="526">
        <v>93.24</v>
      </c>
      <c r="CF182" s="522">
        <v>10153</v>
      </c>
      <c r="CG182" s="526">
        <v>91.15</v>
      </c>
      <c r="CH182" s="526">
        <v>90.07</v>
      </c>
      <c r="CI182" s="526">
        <v>3.51</v>
      </c>
      <c r="CJ182" s="526">
        <v>93.24</v>
      </c>
      <c r="CK182" s="522">
        <v>10155</v>
      </c>
      <c r="CL182" s="526">
        <v>210.89</v>
      </c>
      <c r="CM182" s="526">
        <v>92.44</v>
      </c>
      <c r="CN182" s="526">
        <v>55.16</v>
      </c>
      <c r="CO182" s="526">
        <v>266.05</v>
      </c>
      <c r="CP182" s="522">
        <v>50</v>
      </c>
      <c r="CQ182" s="526">
        <v>104.25</v>
      </c>
      <c r="CR182" s="526">
        <v>90.29</v>
      </c>
      <c r="CS182" s="526">
        <v>135.79</v>
      </c>
      <c r="CT182" s="526">
        <v>240.03</v>
      </c>
      <c r="CU182" s="522">
        <v>14</v>
      </c>
      <c r="CV182" s="526">
        <v>104.45</v>
      </c>
      <c r="CW182" s="526">
        <v>84.27</v>
      </c>
      <c r="CX182" s="526">
        <v>66.61</v>
      </c>
      <c r="CY182" s="526">
        <v>167.05</v>
      </c>
      <c r="CZ182" s="522">
        <v>282</v>
      </c>
      <c r="DA182" s="526">
        <v>116.84</v>
      </c>
      <c r="DB182" s="526">
        <v>112.04</v>
      </c>
      <c r="DC182" s="526">
        <v>97.47</v>
      </c>
      <c r="DD182" s="526">
        <v>190.18</v>
      </c>
      <c r="DE182" s="522">
        <v>101</v>
      </c>
      <c r="DF182" s="526">
        <v>108.82</v>
      </c>
      <c r="DG182" s="526">
        <v>108.76</v>
      </c>
      <c r="DH182" s="526">
        <v>32.17</v>
      </c>
      <c r="DI182" s="526">
        <v>119.54</v>
      </c>
      <c r="DJ182" s="522">
        <v>3</v>
      </c>
      <c r="DK182" s="526">
        <v>126.57</v>
      </c>
      <c r="DL182" s="526">
        <v>116.21</v>
      </c>
      <c r="DM182" s="526">
        <v>0</v>
      </c>
      <c r="DN182" s="526">
        <v>126.57</v>
      </c>
      <c r="DO182" s="522">
        <v>1</v>
      </c>
      <c r="DP182" s="526">
        <v>107.65</v>
      </c>
      <c r="DQ182" s="526">
        <v>92.32</v>
      </c>
      <c r="DR182" s="526">
        <v>75.819999999999993</v>
      </c>
      <c r="DS182" s="526">
        <v>174.97</v>
      </c>
      <c r="DT182" s="522">
        <v>401</v>
      </c>
      <c r="DU182" s="526">
        <v>119.1</v>
      </c>
      <c r="DV182" s="526">
        <v>92.32</v>
      </c>
      <c r="DW182" s="526">
        <v>73.28</v>
      </c>
      <c r="DX182" s="526">
        <v>185.07</v>
      </c>
      <c r="DY182" s="522">
        <v>451</v>
      </c>
      <c r="DZ182" s="526">
        <v>0</v>
      </c>
      <c r="EA182" s="526">
        <v>0</v>
      </c>
      <c r="EB182" s="526">
        <v>0</v>
      </c>
      <c r="EC182" s="522">
        <v>0</v>
      </c>
      <c r="ED182" s="526">
        <v>98.05</v>
      </c>
      <c r="EE182" s="522">
        <v>88</v>
      </c>
      <c r="EF182" s="526">
        <v>111.67</v>
      </c>
      <c r="EG182" s="522">
        <v>449</v>
      </c>
      <c r="EH182" s="526">
        <v>125.83</v>
      </c>
      <c r="EI182" s="522">
        <v>215</v>
      </c>
      <c r="EJ182" s="526">
        <v>137.74</v>
      </c>
      <c r="EK182" s="522">
        <v>37</v>
      </c>
      <c r="EL182" s="526">
        <v>0</v>
      </c>
      <c r="EM182" s="522">
        <v>0</v>
      </c>
      <c r="EN182" s="526">
        <v>0</v>
      </c>
      <c r="EO182" s="522">
        <v>0</v>
      </c>
      <c r="EP182" s="526">
        <v>115.23</v>
      </c>
      <c r="EQ182" s="522">
        <v>789</v>
      </c>
      <c r="ER182" s="526">
        <v>115.23</v>
      </c>
      <c r="ES182" s="522">
        <v>789</v>
      </c>
      <c r="ET182" s="526">
        <v>0</v>
      </c>
      <c r="EU182" s="526">
        <v>0</v>
      </c>
      <c r="EV182" s="526">
        <v>0</v>
      </c>
      <c r="EW182" s="522">
        <v>0</v>
      </c>
      <c r="EX182" s="526">
        <v>261.47000000000003</v>
      </c>
      <c r="EY182" s="522">
        <v>41</v>
      </c>
      <c r="EZ182" s="526">
        <v>175.11</v>
      </c>
      <c r="FA182" s="522">
        <v>29</v>
      </c>
      <c r="FB182" s="526">
        <v>148.35</v>
      </c>
      <c r="FC182" s="522">
        <v>2</v>
      </c>
      <c r="FD182" s="526">
        <v>159.55000000000001</v>
      </c>
      <c r="FE182" s="522">
        <v>1</v>
      </c>
      <c r="FF182" s="526">
        <v>222.67</v>
      </c>
      <c r="FG182" s="522">
        <v>73</v>
      </c>
      <c r="FH182" s="526">
        <v>222.67</v>
      </c>
      <c r="FI182" s="522">
        <v>73</v>
      </c>
      <c r="FJ182" s="522">
        <v>419</v>
      </c>
      <c r="FK182" s="522">
        <v>26</v>
      </c>
      <c r="FL182" s="522">
        <v>18</v>
      </c>
      <c r="FM182" s="522">
        <v>0</v>
      </c>
      <c r="FN182" s="522">
        <v>8</v>
      </c>
      <c r="FO182" s="522">
        <v>0</v>
      </c>
      <c r="FP182" s="522">
        <v>3</v>
      </c>
      <c r="FQ182" s="522">
        <v>33</v>
      </c>
      <c r="FR182" s="522">
        <v>0</v>
      </c>
    </row>
    <row r="183" spans="1:174" x14ac:dyDescent="0.25">
      <c r="A183" s="523" t="s">
        <v>622</v>
      </c>
      <c r="B183" s="523" t="s">
        <v>623</v>
      </c>
      <c r="C183" s="523" t="s">
        <v>283</v>
      </c>
      <c r="D183" s="522">
        <v>5907</v>
      </c>
      <c r="E183" s="522">
        <v>5885</v>
      </c>
      <c r="F183" s="522">
        <v>0</v>
      </c>
      <c r="G183" s="522">
        <v>0</v>
      </c>
      <c r="H183" s="522">
        <v>120</v>
      </c>
      <c r="I183" s="522">
        <v>93</v>
      </c>
      <c r="J183" s="522">
        <v>206</v>
      </c>
      <c r="K183" s="522">
        <v>206</v>
      </c>
      <c r="L183" s="522">
        <v>299</v>
      </c>
      <c r="M183" s="522">
        <v>0</v>
      </c>
      <c r="N183" s="522">
        <v>6532</v>
      </c>
      <c r="O183" s="522">
        <v>6184</v>
      </c>
      <c r="P183" s="522">
        <v>6233</v>
      </c>
      <c r="Q183" s="522">
        <v>121</v>
      </c>
      <c r="R183" s="523">
        <v>3</v>
      </c>
      <c r="S183" s="523">
        <v>15</v>
      </c>
      <c r="T183" s="523">
        <v>26</v>
      </c>
      <c r="U183" s="523">
        <v>6506</v>
      </c>
      <c r="V183" s="522">
        <v>5885</v>
      </c>
      <c r="W183" s="522">
        <v>6</v>
      </c>
      <c r="X183" s="522">
        <v>53</v>
      </c>
      <c r="Y183" s="522">
        <v>59</v>
      </c>
      <c r="Z183" s="524">
        <v>99.8</v>
      </c>
      <c r="AA183" s="524">
        <v>101.77</v>
      </c>
      <c r="AB183" s="524">
        <v>3.84</v>
      </c>
      <c r="AC183" s="524">
        <v>102.66</v>
      </c>
      <c r="AD183" s="524">
        <v>5084</v>
      </c>
      <c r="AE183" s="525">
        <v>122.55</v>
      </c>
      <c r="AF183" s="525">
        <v>94.67</v>
      </c>
      <c r="AG183" s="525">
        <v>61.7</v>
      </c>
      <c r="AH183" s="525">
        <v>183.29</v>
      </c>
      <c r="AI183" s="525">
        <v>322</v>
      </c>
      <c r="AJ183" s="525">
        <v>123.9</v>
      </c>
      <c r="AK183" s="525">
        <v>794</v>
      </c>
      <c r="AL183" s="525">
        <v>0</v>
      </c>
      <c r="AM183" s="525">
        <v>0</v>
      </c>
      <c r="AN183" s="526">
        <v>0</v>
      </c>
      <c r="AO183" s="526">
        <v>0</v>
      </c>
      <c r="AP183" s="526">
        <v>0</v>
      </c>
      <c r="AQ183" s="526">
        <v>0</v>
      </c>
      <c r="AR183" s="522">
        <v>0</v>
      </c>
      <c r="AS183" s="526">
        <v>77</v>
      </c>
      <c r="AT183" s="526">
        <v>71.88</v>
      </c>
      <c r="AU183" s="526">
        <v>6.85</v>
      </c>
      <c r="AV183" s="526">
        <v>83.85</v>
      </c>
      <c r="AW183" s="522">
        <v>4</v>
      </c>
      <c r="AX183" s="526">
        <v>85.24</v>
      </c>
      <c r="AY183" s="526">
        <v>85.23</v>
      </c>
      <c r="AZ183" s="526">
        <v>9.0399999999999991</v>
      </c>
      <c r="BA183" s="526">
        <v>93.87</v>
      </c>
      <c r="BB183" s="522">
        <v>866</v>
      </c>
      <c r="BC183" s="526">
        <v>98.95</v>
      </c>
      <c r="BD183" s="526">
        <v>99.53</v>
      </c>
      <c r="BE183" s="526">
        <v>3.1</v>
      </c>
      <c r="BF183" s="526">
        <v>101.36</v>
      </c>
      <c r="BG183" s="522">
        <v>2279</v>
      </c>
      <c r="BH183" s="526">
        <v>106.8</v>
      </c>
      <c r="BI183" s="526">
        <v>111.31</v>
      </c>
      <c r="BJ183" s="526">
        <v>1.32</v>
      </c>
      <c r="BK183" s="526">
        <v>107.61</v>
      </c>
      <c r="BL183" s="522">
        <v>1856</v>
      </c>
      <c r="BM183" s="526">
        <v>117.23</v>
      </c>
      <c r="BN183" s="526">
        <v>122.07</v>
      </c>
      <c r="BO183" s="526">
        <v>1.28</v>
      </c>
      <c r="BP183" s="526">
        <v>118</v>
      </c>
      <c r="BQ183" s="522">
        <v>67</v>
      </c>
      <c r="BR183" s="526">
        <v>129.26</v>
      </c>
      <c r="BS183" s="526">
        <v>131.22</v>
      </c>
      <c r="BT183" s="526">
        <v>1.37</v>
      </c>
      <c r="BU183" s="526">
        <v>130.63</v>
      </c>
      <c r="BV183" s="522">
        <v>5</v>
      </c>
      <c r="BW183" s="526">
        <v>147.07</v>
      </c>
      <c r="BX183" s="526">
        <v>153.26</v>
      </c>
      <c r="BY183" s="526">
        <v>3.49</v>
      </c>
      <c r="BZ183" s="526">
        <v>148.57</v>
      </c>
      <c r="CA183" s="522">
        <v>7</v>
      </c>
      <c r="CB183" s="526">
        <v>99.8</v>
      </c>
      <c r="CC183" s="526">
        <v>101.77</v>
      </c>
      <c r="CD183" s="526">
        <v>3.84</v>
      </c>
      <c r="CE183" s="526">
        <v>102.66</v>
      </c>
      <c r="CF183" s="522">
        <v>5084</v>
      </c>
      <c r="CG183" s="526">
        <v>99.8</v>
      </c>
      <c r="CH183" s="526">
        <v>101.77</v>
      </c>
      <c r="CI183" s="526">
        <v>3.84</v>
      </c>
      <c r="CJ183" s="526">
        <v>102.66</v>
      </c>
      <c r="CK183" s="522">
        <v>5084</v>
      </c>
      <c r="CL183" s="526">
        <v>148.16999999999999</v>
      </c>
      <c r="CM183" s="526">
        <v>78.44</v>
      </c>
      <c r="CN183" s="526">
        <v>72.459999999999994</v>
      </c>
      <c r="CO183" s="526">
        <v>219.7</v>
      </c>
      <c r="CP183" s="522">
        <v>78</v>
      </c>
      <c r="CQ183" s="526">
        <v>98.34</v>
      </c>
      <c r="CR183" s="526">
        <v>78.75</v>
      </c>
      <c r="CS183" s="526">
        <v>41.43</v>
      </c>
      <c r="CT183" s="526">
        <v>139.76</v>
      </c>
      <c r="CU183" s="522">
        <v>13</v>
      </c>
      <c r="CV183" s="526">
        <v>113.28</v>
      </c>
      <c r="CW183" s="526">
        <v>98.04</v>
      </c>
      <c r="CX183" s="526">
        <v>59.04</v>
      </c>
      <c r="CY183" s="526">
        <v>171.19</v>
      </c>
      <c r="CZ183" s="522">
        <v>210</v>
      </c>
      <c r="DA183" s="526">
        <v>116.85</v>
      </c>
      <c r="DB183" s="526">
        <v>113.06</v>
      </c>
      <c r="DC183" s="526">
        <v>61.51</v>
      </c>
      <c r="DD183" s="526">
        <v>178.36</v>
      </c>
      <c r="DE183" s="522">
        <v>19</v>
      </c>
      <c r="DF183" s="526">
        <v>308.95</v>
      </c>
      <c r="DG183" s="526">
        <v>146.93</v>
      </c>
      <c r="DH183" s="526">
        <v>54.81</v>
      </c>
      <c r="DI183" s="526">
        <v>363.76</v>
      </c>
      <c r="DJ183" s="522">
        <v>2</v>
      </c>
      <c r="DK183" s="526">
        <v>0</v>
      </c>
      <c r="DL183" s="526">
        <v>0</v>
      </c>
      <c r="DM183" s="526">
        <v>0</v>
      </c>
      <c r="DN183" s="526">
        <v>0</v>
      </c>
      <c r="DO183" s="522">
        <v>0</v>
      </c>
      <c r="DP183" s="526">
        <v>114.36</v>
      </c>
      <c r="DQ183" s="526">
        <v>98.28</v>
      </c>
      <c r="DR183" s="526">
        <v>58.25</v>
      </c>
      <c r="DS183" s="526">
        <v>171.65</v>
      </c>
      <c r="DT183" s="522">
        <v>244</v>
      </c>
      <c r="DU183" s="526">
        <v>122.55</v>
      </c>
      <c r="DV183" s="526">
        <v>94.67</v>
      </c>
      <c r="DW183" s="526">
        <v>61.7</v>
      </c>
      <c r="DX183" s="526">
        <v>183.29</v>
      </c>
      <c r="DY183" s="522">
        <v>322</v>
      </c>
      <c r="DZ183" s="526">
        <v>0</v>
      </c>
      <c r="EA183" s="526">
        <v>0</v>
      </c>
      <c r="EB183" s="526">
        <v>0</v>
      </c>
      <c r="EC183" s="522">
        <v>0</v>
      </c>
      <c r="ED183" s="526">
        <v>107.81</v>
      </c>
      <c r="EE183" s="522">
        <v>259</v>
      </c>
      <c r="EF183" s="526">
        <v>124.91</v>
      </c>
      <c r="EG183" s="522">
        <v>402</v>
      </c>
      <c r="EH183" s="526">
        <v>144.69999999999999</v>
      </c>
      <c r="EI183" s="522">
        <v>106</v>
      </c>
      <c r="EJ183" s="526">
        <v>181.94</v>
      </c>
      <c r="EK183" s="522">
        <v>26</v>
      </c>
      <c r="EL183" s="526">
        <v>168.35</v>
      </c>
      <c r="EM183" s="522">
        <v>1</v>
      </c>
      <c r="EN183" s="526">
        <v>0</v>
      </c>
      <c r="EO183" s="522">
        <v>0</v>
      </c>
      <c r="EP183" s="526">
        <v>123.9</v>
      </c>
      <c r="EQ183" s="522">
        <v>794</v>
      </c>
      <c r="ER183" s="526">
        <v>123.9</v>
      </c>
      <c r="ES183" s="522">
        <v>794</v>
      </c>
      <c r="ET183" s="526">
        <v>0</v>
      </c>
      <c r="EU183" s="526">
        <v>0</v>
      </c>
      <c r="EV183" s="526">
        <v>0</v>
      </c>
      <c r="EW183" s="522">
        <v>0</v>
      </c>
      <c r="EX183" s="526">
        <v>0</v>
      </c>
      <c r="EY183" s="522">
        <v>0</v>
      </c>
      <c r="EZ183" s="526">
        <v>0</v>
      </c>
      <c r="FA183" s="522">
        <v>0</v>
      </c>
      <c r="FB183" s="526">
        <v>0</v>
      </c>
      <c r="FC183" s="522">
        <v>0</v>
      </c>
      <c r="FD183" s="526">
        <v>0</v>
      </c>
      <c r="FE183" s="522">
        <v>0</v>
      </c>
      <c r="FF183" s="526">
        <v>0</v>
      </c>
      <c r="FG183" s="522">
        <v>0</v>
      </c>
      <c r="FH183" s="526">
        <v>0</v>
      </c>
      <c r="FI183" s="522">
        <v>0</v>
      </c>
      <c r="FJ183" s="522">
        <v>0</v>
      </c>
      <c r="FK183" s="522">
        <v>5</v>
      </c>
      <c r="FL183" s="522">
        <v>5</v>
      </c>
      <c r="FM183" s="522">
        <v>0</v>
      </c>
      <c r="FN183" s="522">
        <v>0</v>
      </c>
      <c r="FO183" s="522">
        <v>0</v>
      </c>
      <c r="FP183" s="522">
        <v>31</v>
      </c>
      <c r="FQ183" s="522">
        <v>0</v>
      </c>
      <c r="FR183" s="522">
        <v>3</v>
      </c>
    </row>
    <row r="184" spans="1:174" x14ac:dyDescent="0.25">
      <c r="A184" s="523" t="s">
        <v>10558</v>
      </c>
      <c r="B184" s="523" t="s">
        <v>10559</v>
      </c>
      <c r="C184" s="523" t="s">
        <v>282</v>
      </c>
      <c r="D184" s="522">
        <v>14543</v>
      </c>
      <c r="E184" s="522">
        <v>14340</v>
      </c>
      <c r="F184" s="522">
        <v>214</v>
      </c>
      <c r="G184" s="522">
        <v>214</v>
      </c>
      <c r="H184" s="522">
        <v>846</v>
      </c>
      <c r="I184" s="522">
        <v>590</v>
      </c>
      <c r="J184" s="522">
        <v>949</v>
      </c>
      <c r="K184" s="522">
        <v>873</v>
      </c>
      <c r="L184" s="522">
        <v>2051</v>
      </c>
      <c r="M184" s="522">
        <v>427</v>
      </c>
      <c r="N184" s="522">
        <v>18603</v>
      </c>
      <c r="O184" s="522">
        <v>16444</v>
      </c>
      <c r="P184" s="522">
        <v>16552</v>
      </c>
      <c r="Q184" s="522">
        <v>44</v>
      </c>
      <c r="R184" s="523">
        <v>16</v>
      </c>
      <c r="S184" s="523">
        <v>42</v>
      </c>
      <c r="T184" s="523">
        <v>344</v>
      </c>
      <c r="U184" s="523">
        <v>18259</v>
      </c>
      <c r="V184" s="522">
        <v>14446</v>
      </c>
      <c r="W184" s="522">
        <v>57</v>
      </c>
      <c r="X184" s="522">
        <v>126</v>
      </c>
      <c r="Y184" s="522">
        <v>183</v>
      </c>
      <c r="Z184" s="524">
        <v>103.62</v>
      </c>
      <c r="AA184" s="524">
        <v>105.02</v>
      </c>
      <c r="AB184" s="524">
        <v>8.32</v>
      </c>
      <c r="AC184" s="524">
        <v>107.5</v>
      </c>
      <c r="AD184" s="524">
        <v>11817</v>
      </c>
      <c r="AE184" s="525">
        <v>107.15</v>
      </c>
      <c r="AF184" s="525">
        <v>92.21</v>
      </c>
      <c r="AG184" s="525">
        <v>63.25</v>
      </c>
      <c r="AH184" s="525">
        <v>166.15</v>
      </c>
      <c r="AI184" s="525">
        <v>1532</v>
      </c>
      <c r="AJ184" s="525">
        <v>129.26</v>
      </c>
      <c r="AK184" s="525">
        <v>2273</v>
      </c>
      <c r="AL184" s="525">
        <v>218.74</v>
      </c>
      <c r="AM184" s="525">
        <v>3</v>
      </c>
      <c r="AN184" s="526">
        <v>94.86</v>
      </c>
      <c r="AO184" s="526">
        <v>98.51</v>
      </c>
      <c r="AP184" s="526">
        <v>150.51</v>
      </c>
      <c r="AQ184" s="526">
        <v>245.37</v>
      </c>
      <c r="AR184" s="522">
        <v>9</v>
      </c>
      <c r="AS184" s="526">
        <v>76.319999999999993</v>
      </c>
      <c r="AT184" s="526">
        <v>75.44</v>
      </c>
      <c r="AU184" s="526">
        <v>14.22</v>
      </c>
      <c r="AV184" s="526">
        <v>90.54</v>
      </c>
      <c r="AW184" s="522">
        <v>33</v>
      </c>
      <c r="AX184" s="526">
        <v>87.75</v>
      </c>
      <c r="AY184" s="526">
        <v>88.21</v>
      </c>
      <c r="AZ184" s="526">
        <v>10.029999999999999</v>
      </c>
      <c r="BA184" s="526">
        <v>95.81</v>
      </c>
      <c r="BB184" s="522">
        <v>2341</v>
      </c>
      <c r="BC184" s="526">
        <v>103.63</v>
      </c>
      <c r="BD184" s="526">
        <v>104.23</v>
      </c>
      <c r="BE184" s="526">
        <v>8.35</v>
      </c>
      <c r="BF184" s="526">
        <v>108.25</v>
      </c>
      <c r="BG184" s="522">
        <v>4469</v>
      </c>
      <c r="BH184" s="526">
        <v>110.82</v>
      </c>
      <c r="BI184" s="526">
        <v>113.31</v>
      </c>
      <c r="BJ184" s="526">
        <v>4.08</v>
      </c>
      <c r="BK184" s="526">
        <v>111.73</v>
      </c>
      <c r="BL184" s="522">
        <v>4724</v>
      </c>
      <c r="BM184" s="526">
        <v>120.03</v>
      </c>
      <c r="BN184" s="526">
        <v>124.39</v>
      </c>
      <c r="BO184" s="526">
        <v>3.7</v>
      </c>
      <c r="BP184" s="526">
        <v>121.19</v>
      </c>
      <c r="BQ184" s="522">
        <v>234</v>
      </c>
      <c r="BR184" s="526">
        <v>129.18</v>
      </c>
      <c r="BS184" s="526">
        <v>130.21</v>
      </c>
      <c r="BT184" s="526">
        <v>2.27</v>
      </c>
      <c r="BU184" s="526">
        <v>129.93</v>
      </c>
      <c r="BV184" s="522">
        <v>6</v>
      </c>
      <c r="BW184" s="526">
        <v>132.09</v>
      </c>
      <c r="BX184" s="526">
        <v>130.63</v>
      </c>
      <c r="BY184" s="526">
        <v>3.12</v>
      </c>
      <c r="BZ184" s="526">
        <v>135.21</v>
      </c>
      <c r="CA184" s="522">
        <v>1</v>
      </c>
      <c r="CB184" s="526">
        <v>103.62</v>
      </c>
      <c r="CC184" s="526">
        <v>105.02</v>
      </c>
      <c r="CD184" s="526">
        <v>8.08</v>
      </c>
      <c r="CE184" s="526">
        <v>107.39</v>
      </c>
      <c r="CF184" s="522">
        <v>11808</v>
      </c>
      <c r="CG184" s="526">
        <v>103.62</v>
      </c>
      <c r="CH184" s="526">
        <v>105.02</v>
      </c>
      <c r="CI184" s="526">
        <v>8.32</v>
      </c>
      <c r="CJ184" s="526">
        <v>107.5</v>
      </c>
      <c r="CK184" s="522">
        <v>11817</v>
      </c>
      <c r="CL184" s="526">
        <v>110.38</v>
      </c>
      <c r="CM184" s="526">
        <v>81.59</v>
      </c>
      <c r="CN184" s="526">
        <v>142.06</v>
      </c>
      <c r="CO184" s="526">
        <v>201.3</v>
      </c>
      <c r="CP184" s="522">
        <v>150</v>
      </c>
      <c r="CQ184" s="526">
        <v>83.1</v>
      </c>
      <c r="CR184" s="526">
        <v>77.36</v>
      </c>
      <c r="CS184" s="526">
        <v>74.8</v>
      </c>
      <c r="CT184" s="526">
        <v>151.85</v>
      </c>
      <c r="CU184" s="522">
        <v>173</v>
      </c>
      <c r="CV184" s="526">
        <v>109.44</v>
      </c>
      <c r="CW184" s="526">
        <v>93.15</v>
      </c>
      <c r="CX184" s="526">
        <v>54.53</v>
      </c>
      <c r="CY184" s="526">
        <v>162.25</v>
      </c>
      <c r="CZ184" s="522">
        <v>1043</v>
      </c>
      <c r="DA184" s="526">
        <v>112.29</v>
      </c>
      <c r="DB184" s="526">
        <v>106.12</v>
      </c>
      <c r="DC184" s="526">
        <v>61.94</v>
      </c>
      <c r="DD184" s="526">
        <v>173.41</v>
      </c>
      <c r="DE184" s="522">
        <v>152</v>
      </c>
      <c r="DF184" s="526">
        <v>143.07</v>
      </c>
      <c r="DG184" s="526">
        <v>127.44</v>
      </c>
      <c r="DH184" s="526">
        <v>34.69</v>
      </c>
      <c r="DI184" s="526">
        <v>177.76</v>
      </c>
      <c r="DJ184" s="522">
        <v>14</v>
      </c>
      <c r="DK184" s="526">
        <v>0</v>
      </c>
      <c r="DL184" s="526">
        <v>0</v>
      </c>
      <c r="DM184" s="526">
        <v>0</v>
      </c>
      <c r="DN184" s="526">
        <v>0</v>
      </c>
      <c r="DO184" s="522">
        <v>0</v>
      </c>
      <c r="DP184" s="526">
        <v>106.8</v>
      </c>
      <c r="DQ184" s="526">
        <v>92.81</v>
      </c>
      <c r="DR184" s="526">
        <v>57.57</v>
      </c>
      <c r="DS184" s="526">
        <v>162.33000000000001</v>
      </c>
      <c r="DT184" s="522">
        <v>1382</v>
      </c>
      <c r="DU184" s="526">
        <v>107.15</v>
      </c>
      <c r="DV184" s="526">
        <v>92.21</v>
      </c>
      <c r="DW184" s="526">
        <v>63.25</v>
      </c>
      <c r="DX184" s="526">
        <v>166.15</v>
      </c>
      <c r="DY184" s="522">
        <v>1532</v>
      </c>
      <c r="DZ184" s="526">
        <v>0</v>
      </c>
      <c r="EA184" s="526">
        <v>0</v>
      </c>
      <c r="EB184" s="526">
        <v>0</v>
      </c>
      <c r="EC184" s="522">
        <v>0</v>
      </c>
      <c r="ED184" s="526">
        <v>105.47</v>
      </c>
      <c r="EE184" s="522">
        <v>467</v>
      </c>
      <c r="EF184" s="526">
        <v>128.38999999999999</v>
      </c>
      <c r="EG184" s="522">
        <v>1234</v>
      </c>
      <c r="EH184" s="526">
        <v>146.71</v>
      </c>
      <c r="EI184" s="522">
        <v>515</v>
      </c>
      <c r="EJ184" s="526">
        <v>185.26</v>
      </c>
      <c r="EK184" s="522">
        <v>57</v>
      </c>
      <c r="EL184" s="526">
        <v>0</v>
      </c>
      <c r="EM184" s="522">
        <v>0</v>
      </c>
      <c r="EN184" s="526">
        <v>0</v>
      </c>
      <c r="EO184" s="522">
        <v>0</v>
      </c>
      <c r="EP184" s="526">
        <v>129.26</v>
      </c>
      <c r="EQ184" s="522">
        <v>2273</v>
      </c>
      <c r="ER184" s="526">
        <v>129.26</v>
      </c>
      <c r="ES184" s="522">
        <v>2273</v>
      </c>
      <c r="ET184" s="526">
        <v>0</v>
      </c>
      <c r="EU184" s="526">
        <v>0</v>
      </c>
      <c r="EV184" s="526">
        <v>0</v>
      </c>
      <c r="EW184" s="522">
        <v>0</v>
      </c>
      <c r="EX184" s="526">
        <v>213.18</v>
      </c>
      <c r="EY184" s="522">
        <v>2</v>
      </c>
      <c r="EZ184" s="526">
        <v>229.87</v>
      </c>
      <c r="FA184" s="522">
        <v>1</v>
      </c>
      <c r="FB184" s="526">
        <v>0</v>
      </c>
      <c r="FC184" s="522">
        <v>0</v>
      </c>
      <c r="FD184" s="526">
        <v>0</v>
      </c>
      <c r="FE184" s="522">
        <v>0</v>
      </c>
      <c r="FF184" s="526">
        <v>218.74</v>
      </c>
      <c r="FG184" s="522">
        <v>3</v>
      </c>
      <c r="FH184" s="526">
        <v>218.74</v>
      </c>
      <c r="FI184" s="522">
        <v>3</v>
      </c>
      <c r="FJ184" s="522">
        <v>82</v>
      </c>
      <c r="FK184" s="522">
        <v>16</v>
      </c>
      <c r="FL184" s="522">
        <v>14</v>
      </c>
      <c r="FM184" s="522">
        <v>0</v>
      </c>
      <c r="FN184" s="522">
        <v>2</v>
      </c>
      <c r="FO184" s="522">
        <v>0</v>
      </c>
      <c r="FP184" s="522">
        <v>7</v>
      </c>
      <c r="FQ184" s="522">
        <v>223</v>
      </c>
      <c r="FR184" s="522">
        <v>12</v>
      </c>
    </row>
    <row r="185" spans="1:174" x14ac:dyDescent="0.25">
      <c r="A185" s="523" t="s">
        <v>624</v>
      </c>
      <c r="B185" s="523" t="s">
        <v>625</v>
      </c>
      <c r="C185" s="523" t="s">
        <v>287</v>
      </c>
      <c r="D185" s="522">
        <v>8957</v>
      </c>
      <c r="E185" s="522">
        <v>8843</v>
      </c>
      <c r="F185" s="522">
        <v>61</v>
      </c>
      <c r="G185" s="522">
        <v>61</v>
      </c>
      <c r="H185" s="522">
        <v>432</v>
      </c>
      <c r="I185" s="522">
        <v>274</v>
      </c>
      <c r="J185" s="522">
        <v>639</v>
      </c>
      <c r="K185" s="522">
        <v>596</v>
      </c>
      <c r="L185" s="522">
        <v>781</v>
      </c>
      <c r="M185" s="522">
        <v>5</v>
      </c>
      <c r="N185" s="522">
        <v>10870</v>
      </c>
      <c r="O185" s="522">
        <v>9779</v>
      </c>
      <c r="P185" s="522">
        <v>10089</v>
      </c>
      <c r="Q185" s="522">
        <v>51</v>
      </c>
      <c r="R185" s="523">
        <v>11</v>
      </c>
      <c r="S185" s="523">
        <v>32</v>
      </c>
      <c r="T185" s="523">
        <v>232</v>
      </c>
      <c r="U185" s="523">
        <v>10638</v>
      </c>
      <c r="V185" s="522">
        <v>8848</v>
      </c>
      <c r="W185" s="522">
        <v>25</v>
      </c>
      <c r="X185" s="522">
        <v>190</v>
      </c>
      <c r="Y185" s="522">
        <v>215</v>
      </c>
      <c r="Z185" s="524">
        <v>109.52</v>
      </c>
      <c r="AA185" s="524">
        <v>108.87</v>
      </c>
      <c r="AB185" s="524">
        <v>7.68</v>
      </c>
      <c r="AC185" s="524">
        <v>116.93</v>
      </c>
      <c r="AD185" s="524">
        <v>7821</v>
      </c>
      <c r="AE185" s="525">
        <v>127.19</v>
      </c>
      <c r="AF185" s="525">
        <v>107</v>
      </c>
      <c r="AG185" s="525">
        <v>89.95</v>
      </c>
      <c r="AH185" s="525">
        <v>215.06</v>
      </c>
      <c r="AI185" s="525">
        <v>907</v>
      </c>
      <c r="AJ185" s="525">
        <v>149.33000000000001</v>
      </c>
      <c r="AK185" s="525">
        <v>989</v>
      </c>
      <c r="AL185" s="525">
        <v>166.3</v>
      </c>
      <c r="AM185" s="525">
        <v>41</v>
      </c>
      <c r="AN185" s="526">
        <v>0</v>
      </c>
      <c r="AO185" s="526">
        <v>0</v>
      </c>
      <c r="AP185" s="526">
        <v>0</v>
      </c>
      <c r="AQ185" s="526">
        <v>0</v>
      </c>
      <c r="AR185" s="522">
        <v>0</v>
      </c>
      <c r="AS185" s="526">
        <v>77.260000000000005</v>
      </c>
      <c r="AT185" s="526">
        <v>76.08</v>
      </c>
      <c r="AU185" s="526">
        <v>14.39</v>
      </c>
      <c r="AV185" s="526">
        <v>91.65</v>
      </c>
      <c r="AW185" s="522">
        <v>145</v>
      </c>
      <c r="AX185" s="526">
        <v>94</v>
      </c>
      <c r="AY185" s="526">
        <v>92.69</v>
      </c>
      <c r="AZ185" s="526">
        <v>12.71</v>
      </c>
      <c r="BA185" s="526">
        <v>106.64</v>
      </c>
      <c r="BB185" s="522">
        <v>1943</v>
      </c>
      <c r="BC185" s="526">
        <v>108.47</v>
      </c>
      <c r="BD185" s="526">
        <v>107.79</v>
      </c>
      <c r="BE185" s="526">
        <v>8.1</v>
      </c>
      <c r="BF185" s="526">
        <v>116.36</v>
      </c>
      <c r="BG185" s="522">
        <v>3352</v>
      </c>
      <c r="BH185" s="526">
        <v>123.44</v>
      </c>
      <c r="BI185" s="526">
        <v>123.18</v>
      </c>
      <c r="BJ185" s="526">
        <v>2.17</v>
      </c>
      <c r="BK185" s="526">
        <v>125.45</v>
      </c>
      <c r="BL185" s="522">
        <v>2147</v>
      </c>
      <c r="BM185" s="526">
        <v>146.33000000000001</v>
      </c>
      <c r="BN185" s="526">
        <v>147.06</v>
      </c>
      <c r="BO185" s="526">
        <v>2.74</v>
      </c>
      <c r="BP185" s="526">
        <v>148.84</v>
      </c>
      <c r="BQ185" s="522">
        <v>217</v>
      </c>
      <c r="BR185" s="526">
        <v>138.83000000000001</v>
      </c>
      <c r="BS185" s="526">
        <v>143.56</v>
      </c>
      <c r="BT185" s="526">
        <v>1.71</v>
      </c>
      <c r="BU185" s="526">
        <v>140.32</v>
      </c>
      <c r="BV185" s="522">
        <v>16</v>
      </c>
      <c r="BW185" s="526">
        <v>112.26</v>
      </c>
      <c r="BX185" s="526">
        <v>151.91</v>
      </c>
      <c r="BY185" s="526">
        <v>1.2</v>
      </c>
      <c r="BZ185" s="526">
        <v>113.46</v>
      </c>
      <c r="CA185" s="522">
        <v>1</v>
      </c>
      <c r="CB185" s="526">
        <v>109.52</v>
      </c>
      <c r="CC185" s="526">
        <v>108.87</v>
      </c>
      <c r="CD185" s="526">
        <v>7.68</v>
      </c>
      <c r="CE185" s="526">
        <v>116.93</v>
      </c>
      <c r="CF185" s="522">
        <v>7821</v>
      </c>
      <c r="CG185" s="526">
        <v>109.52</v>
      </c>
      <c r="CH185" s="526">
        <v>108.87</v>
      </c>
      <c r="CI185" s="526">
        <v>7.68</v>
      </c>
      <c r="CJ185" s="526">
        <v>116.93</v>
      </c>
      <c r="CK185" s="522">
        <v>7821</v>
      </c>
      <c r="CL185" s="526">
        <v>140.08000000000001</v>
      </c>
      <c r="CM185" s="526">
        <v>86.55</v>
      </c>
      <c r="CN185" s="526">
        <v>165.92</v>
      </c>
      <c r="CO185" s="526">
        <v>306</v>
      </c>
      <c r="CP185" s="522">
        <v>129</v>
      </c>
      <c r="CQ185" s="526">
        <v>84.93</v>
      </c>
      <c r="CR185" s="526">
        <v>79.94</v>
      </c>
      <c r="CS185" s="526">
        <v>34.409999999999997</v>
      </c>
      <c r="CT185" s="526">
        <v>119.34</v>
      </c>
      <c r="CU185" s="522">
        <v>99</v>
      </c>
      <c r="CV185" s="526">
        <v>126.61</v>
      </c>
      <c r="CW185" s="526">
        <v>108.02</v>
      </c>
      <c r="CX185" s="526">
        <v>91.02</v>
      </c>
      <c r="CY185" s="526">
        <v>214.12</v>
      </c>
      <c r="CZ185" s="522">
        <v>518</v>
      </c>
      <c r="DA185" s="526">
        <v>144.41999999999999</v>
      </c>
      <c r="DB185" s="526">
        <v>131.82</v>
      </c>
      <c r="DC185" s="526">
        <v>60.6</v>
      </c>
      <c r="DD185" s="526">
        <v>204.64</v>
      </c>
      <c r="DE185" s="522">
        <v>158</v>
      </c>
      <c r="DF185" s="526">
        <v>158.15</v>
      </c>
      <c r="DG185" s="526">
        <v>127.31</v>
      </c>
      <c r="DH185" s="526">
        <v>15.4</v>
      </c>
      <c r="DI185" s="526">
        <v>173.55</v>
      </c>
      <c r="DJ185" s="522">
        <v>3</v>
      </c>
      <c r="DK185" s="526">
        <v>0</v>
      </c>
      <c r="DL185" s="526">
        <v>0</v>
      </c>
      <c r="DM185" s="526">
        <v>0</v>
      </c>
      <c r="DN185" s="526">
        <v>0</v>
      </c>
      <c r="DO185" s="522">
        <v>0</v>
      </c>
      <c r="DP185" s="526">
        <v>125.05</v>
      </c>
      <c r="DQ185" s="526">
        <v>109.27</v>
      </c>
      <c r="DR185" s="526">
        <v>77.010000000000005</v>
      </c>
      <c r="DS185" s="526">
        <v>199.98</v>
      </c>
      <c r="DT185" s="522">
        <v>778</v>
      </c>
      <c r="DU185" s="526">
        <v>127.19</v>
      </c>
      <c r="DV185" s="526">
        <v>107</v>
      </c>
      <c r="DW185" s="526">
        <v>89.95</v>
      </c>
      <c r="DX185" s="526">
        <v>215.06</v>
      </c>
      <c r="DY185" s="522">
        <v>907</v>
      </c>
      <c r="DZ185" s="526">
        <v>0</v>
      </c>
      <c r="EA185" s="526">
        <v>0</v>
      </c>
      <c r="EB185" s="526">
        <v>0</v>
      </c>
      <c r="EC185" s="522">
        <v>0</v>
      </c>
      <c r="ED185" s="526">
        <v>118.02</v>
      </c>
      <c r="EE185" s="522">
        <v>92</v>
      </c>
      <c r="EF185" s="526">
        <v>139.86000000000001</v>
      </c>
      <c r="EG185" s="522">
        <v>492</v>
      </c>
      <c r="EH185" s="526">
        <v>164.05</v>
      </c>
      <c r="EI185" s="522">
        <v>340</v>
      </c>
      <c r="EJ185" s="526">
        <v>188.28</v>
      </c>
      <c r="EK185" s="522">
        <v>61</v>
      </c>
      <c r="EL185" s="526">
        <v>188.69</v>
      </c>
      <c r="EM185" s="522">
        <v>4</v>
      </c>
      <c r="EN185" s="526">
        <v>0</v>
      </c>
      <c r="EO185" s="522">
        <v>0</v>
      </c>
      <c r="EP185" s="526">
        <v>149.33000000000001</v>
      </c>
      <c r="EQ185" s="522">
        <v>989</v>
      </c>
      <c r="ER185" s="526">
        <v>149.33000000000001</v>
      </c>
      <c r="ES185" s="522">
        <v>989</v>
      </c>
      <c r="ET185" s="526">
        <v>0</v>
      </c>
      <c r="EU185" s="526">
        <v>0</v>
      </c>
      <c r="EV185" s="526">
        <v>0</v>
      </c>
      <c r="EW185" s="522">
        <v>0</v>
      </c>
      <c r="EX185" s="526">
        <v>162.83000000000001</v>
      </c>
      <c r="EY185" s="522">
        <v>32</v>
      </c>
      <c r="EZ185" s="526">
        <v>178.66</v>
      </c>
      <c r="FA185" s="522">
        <v>9</v>
      </c>
      <c r="FB185" s="526">
        <v>0</v>
      </c>
      <c r="FC185" s="522">
        <v>0</v>
      </c>
      <c r="FD185" s="526">
        <v>0</v>
      </c>
      <c r="FE185" s="522">
        <v>0</v>
      </c>
      <c r="FF185" s="526">
        <v>166.3</v>
      </c>
      <c r="FG185" s="522">
        <v>41</v>
      </c>
      <c r="FH185" s="526">
        <v>166.3</v>
      </c>
      <c r="FI185" s="522">
        <v>41</v>
      </c>
      <c r="FJ185" s="522">
        <v>0</v>
      </c>
      <c r="FK185" s="522">
        <v>9</v>
      </c>
      <c r="FL185" s="522">
        <v>9</v>
      </c>
      <c r="FM185" s="522">
        <v>0</v>
      </c>
      <c r="FN185" s="522">
        <v>0</v>
      </c>
      <c r="FO185" s="522">
        <v>0</v>
      </c>
      <c r="FP185" s="522">
        <v>3</v>
      </c>
      <c r="FQ185" s="522">
        <v>76</v>
      </c>
      <c r="FR185" s="522">
        <v>7</v>
      </c>
    </row>
    <row r="186" spans="1:174" x14ac:dyDescent="0.25">
      <c r="A186" s="523" t="s">
        <v>626</v>
      </c>
      <c r="B186" s="523" t="s">
        <v>627</v>
      </c>
      <c r="C186" s="523" t="s">
        <v>285</v>
      </c>
      <c r="D186" s="522">
        <v>4489</v>
      </c>
      <c r="E186" s="522">
        <v>4373</v>
      </c>
      <c r="F186" s="522">
        <v>0</v>
      </c>
      <c r="G186" s="522">
        <v>0</v>
      </c>
      <c r="H186" s="522">
        <v>610</v>
      </c>
      <c r="I186" s="522">
        <v>439</v>
      </c>
      <c r="J186" s="522">
        <v>1421</v>
      </c>
      <c r="K186" s="522">
        <v>1411</v>
      </c>
      <c r="L186" s="522">
        <v>483</v>
      </c>
      <c r="M186" s="522">
        <v>0</v>
      </c>
      <c r="N186" s="522">
        <v>7003</v>
      </c>
      <c r="O186" s="522">
        <v>6223</v>
      </c>
      <c r="P186" s="522">
        <v>6520</v>
      </c>
      <c r="Q186" s="522">
        <v>18</v>
      </c>
      <c r="R186" s="523">
        <v>15</v>
      </c>
      <c r="S186" s="523">
        <v>21</v>
      </c>
      <c r="T186" s="523">
        <v>346</v>
      </c>
      <c r="U186" s="523">
        <v>6657</v>
      </c>
      <c r="V186" s="522">
        <v>4305</v>
      </c>
      <c r="W186" s="522">
        <v>23</v>
      </c>
      <c r="X186" s="522">
        <v>32</v>
      </c>
      <c r="Y186" s="522">
        <v>55</v>
      </c>
      <c r="Z186" s="524">
        <v>93.94</v>
      </c>
      <c r="AA186" s="524">
        <v>93.35</v>
      </c>
      <c r="AB186" s="524">
        <v>9.8000000000000007</v>
      </c>
      <c r="AC186" s="524">
        <v>101.48</v>
      </c>
      <c r="AD186" s="524">
        <v>3181</v>
      </c>
      <c r="AE186" s="525">
        <v>108.68</v>
      </c>
      <c r="AF186" s="525">
        <v>90.26</v>
      </c>
      <c r="AG186" s="525">
        <v>67.75</v>
      </c>
      <c r="AH186" s="525">
        <v>175.11</v>
      </c>
      <c r="AI186" s="525">
        <v>1792</v>
      </c>
      <c r="AJ186" s="525">
        <v>118.02</v>
      </c>
      <c r="AK186" s="525">
        <v>1103</v>
      </c>
      <c r="AL186" s="525">
        <v>208.97</v>
      </c>
      <c r="AM186" s="525">
        <v>77</v>
      </c>
      <c r="AN186" s="526">
        <v>0</v>
      </c>
      <c r="AO186" s="526">
        <v>0</v>
      </c>
      <c r="AP186" s="526">
        <v>0</v>
      </c>
      <c r="AQ186" s="526">
        <v>0</v>
      </c>
      <c r="AR186" s="522">
        <v>0</v>
      </c>
      <c r="AS186" s="526">
        <v>75.03</v>
      </c>
      <c r="AT186" s="526">
        <v>73.94</v>
      </c>
      <c r="AU186" s="526">
        <v>15.82</v>
      </c>
      <c r="AV186" s="526">
        <v>90.85</v>
      </c>
      <c r="AW186" s="522">
        <v>48</v>
      </c>
      <c r="AX186" s="526">
        <v>82.68</v>
      </c>
      <c r="AY186" s="526">
        <v>81.78</v>
      </c>
      <c r="AZ186" s="526">
        <v>12.55</v>
      </c>
      <c r="BA186" s="526">
        <v>93.91</v>
      </c>
      <c r="BB186" s="522">
        <v>880</v>
      </c>
      <c r="BC186" s="526">
        <v>94.74</v>
      </c>
      <c r="BD186" s="526">
        <v>94.06</v>
      </c>
      <c r="BE186" s="526">
        <v>9.2899999999999991</v>
      </c>
      <c r="BF186" s="526">
        <v>101.82</v>
      </c>
      <c r="BG186" s="522">
        <v>1376</v>
      </c>
      <c r="BH186" s="526">
        <v>104.36</v>
      </c>
      <c r="BI186" s="526">
        <v>104.24</v>
      </c>
      <c r="BJ186" s="526">
        <v>6.45</v>
      </c>
      <c r="BK186" s="526">
        <v>108.56</v>
      </c>
      <c r="BL186" s="522">
        <v>827</v>
      </c>
      <c r="BM186" s="526">
        <v>113.8</v>
      </c>
      <c r="BN186" s="526">
        <v>113.65</v>
      </c>
      <c r="BO186" s="526">
        <v>4.82</v>
      </c>
      <c r="BP186" s="526">
        <v>116.55</v>
      </c>
      <c r="BQ186" s="522">
        <v>42</v>
      </c>
      <c r="BR186" s="526">
        <v>122.2</v>
      </c>
      <c r="BS186" s="526">
        <v>122.33</v>
      </c>
      <c r="BT186" s="526">
        <v>0</v>
      </c>
      <c r="BU186" s="526">
        <v>122.2</v>
      </c>
      <c r="BV186" s="522">
        <v>7</v>
      </c>
      <c r="BW186" s="526">
        <v>162.32</v>
      </c>
      <c r="BX186" s="526">
        <v>160.53</v>
      </c>
      <c r="BY186" s="526">
        <v>0</v>
      </c>
      <c r="BZ186" s="526">
        <v>162.32</v>
      </c>
      <c r="CA186" s="522">
        <v>1</v>
      </c>
      <c r="CB186" s="526">
        <v>93.94</v>
      </c>
      <c r="CC186" s="526">
        <v>93.35</v>
      </c>
      <c r="CD186" s="526">
        <v>9.8000000000000007</v>
      </c>
      <c r="CE186" s="526">
        <v>101.48</v>
      </c>
      <c r="CF186" s="522">
        <v>3181</v>
      </c>
      <c r="CG186" s="526">
        <v>93.94</v>
      </c>
      <c r="CH186" s="526">
        <v>93.35</v>
      </c>
      <c r="CI186" s="526">
        <v>9.8000000000000007</v>
      </c>
      <c r="CJ186" s="526">
        <v>101.48</v>
      </c>
      <c r="CK186" s="522">
        <v>3181</v>
      </c>
      <c r="CL186" s="526">
        <v>151.47</v>
      </c>
      <c r="CM186" s="526">
        <v>83.9</v>
      </c>
      <c r="CN186" s="526">
        <v>86.37</v>
      </c>
      <c r="CO186" s="526">
        <v>236.91</v>
      </c>
      <c r="CP186" s="522">
        <v>186</v>
      </c>
      <c r="CQ186" s="526">
        <v>82.37</v>
      </c>
      <c r="CR186" s="526">
        <v>76.63</v>
      </c>
      <c r="CS186" s="526">
        <v>112.94</v>
      </c>
      <c r="CT186" s="526">
        <v>195.31</v>
      </c>
      <c r="CU186" s="522">
        <v>229</v>
      </c>
      <c r="CV186" s="526">
        <v>102.02</v>
      </c>
      <c r="CW186" s="526">
        <v>84.74</v>
      </c>
      <c r="CX186" s="526">
        <v>57.59</v>
      </c>
      <c r="CY186" s="526">
        <v>159.49</v>
      </c>
      <c r="CZ186" s="522">
        <v>970</v>
      </c>
      <c r="DA186" s="526">
        <v>117.07</v>
      </c>
      <c r="DB186" s="526">
        <v>111.76</v>
      </c>
      <c r="DC186" s="526">
        <v>58.19</v>
      </c>
      <c r="DD186" s="526">
        <v>171.29</v>
      </c>
      <c r="DE186" s="522">
        <v>366</v>
      </c>
      <c r="DF186" s="526">
        <v>144.30000000000001</v>
      </c>
      <c r="DG186" s="526">
        <v>111.88</v>
      </c>
      <c r="DH186" s="526">
        <v>48.12</v>
      </c>
      <c r="DI186" s="526">
        <v>185.38</v>
      </c>
      <c r="DJ186" s="522">
        <v>41</v>
      </c>
      <c r="DK186" s="526">
        <v>0</v>
      </c>
      <c r="DL186" s="526">
        <v>0</v>
      </c>
      <c r="DM186" s="526">
        <v>0</v>
      </c>
      <c r="DN186" s="526">
        <v>0</v>
      </c>
      <c r="DO186" s="522">
        <v>0</v>
      </c>
      <c r="DP186" s="526">
        <v>103.73</v>
      </c>
      <c r="DQ186" s="526">
        <v>90.62</v>
      </c>
      <c r="DR186" s="526">
        <v>65.569999999999993</v>
      </c>
      <c r="DS186" s="526">
        <v>167.95</v>
      </c>
      <c r="DT186" s="522">
        <v>1606</v>
      </c>
      <c r="DU186" s="526">
        <v>108.68</v>
      </c>
      <c r="DV186" s="526">
        <v>90.26</v>
      </c>
      <c r="DW186" s="526">
        <v>67.75</v>
      </c>
      <c r="DX186" s="526">
        <v>175.11</v>
      </c>
      <c r="DY186" s="522">
        <v>1792</v>
      </c>
      <c r="DZ186" s="526">
        <v>0</v>
      </c>
      <c r="EA186" s="526">
        <v>0</v>
      </c>
      <c r="EB186" s="526">
        <v>79.819999999999993</v>
      </c>
      <c r="EC186" s="522">
        <v>1</v>
      </c>
      <c r="ED186" s="526">
        <v>93.17</v>
      </c>
      <c r="EE186" s="522">
        <v>77</v>
      </c>
      <c r="EF186" s="526">
        <v>114.39</v>
      </c>
      <c r="EG186" s="522">
        <v>620</v>
      </c>
      <c r="EH186" s="526">
        <v>127.9</v>
      </c>
      <c r="EI186" s="522">
        <v>394</v>
      </c>
      <c r="EJ186" s="526">
        <v>146.43</v>
      </c>
      <c r="EK186" s="522">
        <v>11</v>
      </c>
      <c r="EL186" s="526">
        <v>0</v>
      </c>
      <c r="EM186" s="522">
        <v>0</v>
      </c>
      <c r="EN186" s="526">
        <v>0</v>
      </c>
      <c r="EO186" s="522">
        <v>0</v>
      </c>
      <c r="EP186" s="526">
        <v>118.02</v>
      </c>
      <c r="EQ186" s="522">
        <v>1103</v>
      </c>
      <c r="ER186" s="526">
        <v>118.02</v>
      </c>
      <c r="ES186" s="522">
        <v>1103</v>
      </c>
      <c r="ET186" s="526">
        <v>0</v>
      </c>
      <c r="EU186" s="526">
        <v>0</v>
      </c>
      <c r="EV186" s="526">
        <v>0</v>
      </c>
      <c r="EW186" s="522">
        <v>0</v>
      </c>
      <c r="EX186" s="526">
        <v>382.02</v>
      </c>
      <c r="EY186" s="522">
        <v>13</v>
      </c>
      <c r="EZ186" s="526">
        <v>173.82</v>
      </c>
      <c r="FA186" s="522">
        <v>64</v>
      </c>
      <c r="FB186" s="526">
        <v>0</v>
      </c>
      <c r="FC186" s="522">
        <v>0</v>
      </c>
      <c r="FD186" s="526">
        <v>0</v>
      </c>
      <c r="FE186" s="522">
        <v>0</v>
      </c>
      <c r="FF186" s="526">
        <v>208.97</v>
      </c>
      <c r="FG186" s="522">
        <v>77</v>
      </c>
      <c r="FH186" s="526">
        <v>208.97</v>
      </c>
      <c r="FI186" s="522">
        <v>77</v>
      </c>
      <c r="FJ186" s="522">
        <v>0</v>
      </c>
      <c r="FK186" s="522">
        <v>2</v>
      </c>
      <c r="FL186" s="522">
        <v>1</v>
      </c>
      <c r="FM186" s="522">
        <v>0</v>
      </c>
      <c r="FN186" s="522">
        <v>1</v>
      </c>
      <c r="FO186" s="522">
        <v>0</v>
      </c>
      <c r="FP186" s="522">
        <v>1</v>
      </c>
      <c r="FQ186" s="522">
        <v>6</v>
      </c>
      <c r="FR186" s="522">
        <v>4</v>
      </c>
    </row>
    <row r="187" spans="1:174" x14ac:dyDescent="0.25">
      <c r="A187" s="523" t="s">
        <v>628</v>
      </c>
      <c r="B187" s="523" t="s">
        <v>629</v>
      </c>
      <c r="C187" s="523" t="s">
        <v>288</v>
      </c>
      <c r="D187" s="522">
        <v>1232</v>
      </c>
      <c r="E187" s="522">
        <v>1224</v>
      </c>
      <c r="F187" s="522">
        <v>0</v>
      </c>
      <c r="G187" s="522">
        <v>0</v>
      </c>
      <c r="H187" s="522">
        <v>27</v>
      </c>
      <c r="I187" s="522">
        <v>16</v>
      </c>
      <c r="J187" s="522">
        <v>58</v>
      </c>
      <c r="K187" s="522">
        <v>47</v>
      </c>
      <c r="L187" s="522">
        <v>309</v>
      </c>
      <c r="M187" s="522">
        <v>25</v>
      </c>
      <c r="N187" s="522">
        <v>1626</v>
      </c>
      <c r="O187" s="522">
        <v>1312</v>
      </c>
      <c r="P187" s="522">
        <v>1317</v>
      </c>
      <c r="Q187" s="522">
        <v>0</v>
      </c>
      <c r="R187" s="523">
        <v>4</v>
      </c>
      <c r="S187" s="523">
        <v>16</v>
      </c>
      <c r="T187" s="523">
        <v>18</v>
      </c>
      <c r="U187" s="523">
        <v>1608</v>
      </c>
      <c r="V187" s="522">
        <v>1230</v>
      </c>
      <c r="W187" s="522">
        <v>9</v>
      </c>
      <c r="X187" s="522">
        <v>1</v>
      </c>
      <c r="Y187" s="522">
        <v>10</v>
      </c>
      <c r="Z187" s="524">
        <v>111.63</v>
      </c>
      <c r="AA187" s="524">
        <v>113.23</v>
      </c>
      <c r="AB187" s="524">
        <v>5.81</v>
      </c>
      <c r="AC187" s="524">
        <v>115.68</v>
      </c>
      <c r="AD187" s="524">
        <v>842</v>
      </c>
      <c r="AE187" s="525">
        <v>126.36</v>
      </c>
      <c r="AF187" s="525">
        <v>93.62</v>
      </c>
      <c r="AG187" s="525">
        <v>59.79</v>
      </c>
      <c r="AH187" s="525">
        <v>181.82</v>
      </c>
      <c r="AI187" s="525">
        <v>69</v>
      </c>
      <c r="AJ187" s="525">
        <v>139.52000000000001</v>
      </c>
      <c r="AK187" s="525">
        <v>388</v>
      </c>
      <c r="AL187" s="525">
        <v>0</v>
      </c>
      <c r="AM187" s="525">
        <v>0</v>
      </c>
      <c r="AN187" s="526">
        <v>0</v>
      </c>
      <c r="AO187" s="526">
        <v>0</v>
      </c>
      <c r="AP187" s="526">
        <v>0</v>
      </c>
      <c r="AQ187" s="526">
        <v>0</v>
      </c>
      <c r="AR187" s="522">
        <v>0</v>
      </c>
      <c r="AS187" s="526">
        <v>0</v>
      </c>
      <c r="AT187" s="526">
        <v>0</v>
      </c>
      <c r="AU187" s="526">
        <v>0</v>
      </c>
      <c r="AV187" s="526">
        <v>0</v>
      </c>
      <c r="AW187" s="522">
        <v>0</v>
      </c>
      <c r="AX187" s="526">
        <v>92.13</v>
      </c>
      <c r="AY187" s="526">
        <v>93.31</v>
      </c>
      <c r="AZ187" s="526">
        <v>10.6</v>
      </c>
      <c r="BA187" s="526">
        <v>102.36</v>
      </c>
      <c r="BB187" s="522">
        <v>114</v>
      </c>
      <c r="BC187" s="526">
        <v>109.46</v>
      </c>
      <c r="BD187" s="526">
        <v>111.02</v>
      </c>
      <c r="BE187" s="526">
        <v>6.12</v>
      </c>
      <c r="BF187" s="526">
        <v>114.12</v>
      </c>
      <c r="BG187" s="522">
        <v>359</v>
      </c>
      <c r="BH187" s="526">
        <v>118.81</v>
      </c>
      <c r="BI187" s="526">
        <v>120.51</v>
      </c>
      <c r="BJ187" s="526">
        <v>2.89</v>
      </c>
      <c r="BK187" s="526">
        <v>120.44</v>
      </c>
      <c r="BL187" s="522">
        <v>340</v>
      </c>
      <c r="BM187" s="526">
        <v>130.97</v>
      </c>
      <c r="BN187" s="526">
        <v>133.53</v>
      </c>
      <c r="BO187" s="526">
        <v>1.27</v>
      </c>
      <c r="BP187" s="526">
        <v>131.44999999999999</v>
      </c>
      <c r="BQ187" s="522">
        <v>29</v>
      </c>
      <c r="BR187" s="526">
        <v>0</v>
      </c>
      <c r="BS187" s="526">
        <v>0</v>
      </c>
      <c r="BT187" s="526">
        <v>0</v>
      </c>
      <c r="BU187" s="526">
        <v>0</v>
      </c>
      <c r="BV187" s="522">
        <v>0</v>
      </c>
      <c r="BW187" s="526">
        <v>0</v>
      </c>
      <c r="BX187" s="526">
        <v>0</v>
      </c>
      <c r="BY187" s="526">
        <v>0</v>
      </c>
      <c r="BZ187" s="526">
        <v>0</v>
      </c>
      <c r="CA187" s="522">
        <v>0</v>
      </c>
      <c r="CB187" s="526">
        <v>111.63</v>
      </c>
      <c r="CC187" s="526">
        <v>113.23</v>
      </c>
      <c r="CD187" s="526">
        <v>5.81</v>
      </c>
      <c r="CE187" s="526">
        <v>115.68</v>
      </c>
      <c r="CF187" s="522">
        <v>842</v>
      </c>
      <c r="CG187" s="526">
        <v>111.63</v>
      </c>
      <c r="CH187" s="526">
        <v>113.23</v>
      </c>
      <c r="CI187" s="526">
        <v>5.81</v>
      </c>
      <c r="CJ187" s="526">
        <v>115.68</v>
      </c>
      <c r="CK187" s="522">
        <v>842</v>
      </c>
      <c r="CL187" s="526">
        <v>0</v>
      </c>
      <c r="CM187" s="526">
        <v>0</v>
      </c>
      <c r="CN187" s="526">
        <v>0</v>
      </c>
      <c r="CO187" s="526">
        <v>0</v>
      </c>
      <c r="CP187" s="522">
        <v>0</v>
      </c>
      <c r="CQ187" s="526">
        <v>85.71</v>
      </c>
      <c r="CR187" s="526">
        <v>83.17</v>
      </c>
      <c r="CS187" s="526">
        <v>36.83</v>
      </c>
      <c r="CT187" s="526">
        <v>122.54</v>
      </c>
      <c r="CU187" s="522">
        <v>18</v>
      </c>
      <c r="CV187" s="526">
        <v>145.05000000000001</v>
      </c>
      <c r="CW187" s="526">
        <v>98.71</v>
      </c>
      <c r="CX187" s="526">
        <v>72.08</v>
      </c>
      <c r="CY187" s="526">
        <v>217.12</v>
      </c>
      <c r="CZ187" s="522">
        <v>43</v>
      </c>
      <c r="DA187" s="526">
        <v>115.08</v>
      </c>
      <c r="DB187" s="526">
        <v>110.82</v>
      </c>
      <c r="DC187" s="526">
        <v>13.62</v>
      </c>
      <c r="DD187" s="526">
        <v>118.97</v>
      </c>
      <c r="DE187" s="522">
        <v>7</v>
      </c>
      <c r="DF187" s="526">
        <v>133.38</v>
      </c>
      <c r="DG187" s="526">
        <v>127.22</v>
      </c>
      <c r="DH187" s="526">
        <v>37.21</v>
      </c>
      <c r="DI187" s="526">
        <v>170.59</v>
      </c>
      <c r="DJ187" s="522">
        <v>1</v>
      </c>
      <c r="DK187" s="526">
        <v>0</v>
      </c>
      <c r="DL187" s="526">
        <v>0</v>
      </c>
      <c r="DM187" s="526">
        <v>0</v>
      </c>
      <c r="DN187" s="526">
        <v>0</v>
      </c>
      <c r="DO187" s="522">
        <v>0</v>
      </c>
      <c r="DP187" s="526">
        <v>126.36</v>
      </c>
      <c r="DQ187" s="526">
        <v>93.62</v>
      </c>
      <c r="DR187" s="526">
        <v>59.79</v>
      </c>
      <c r="DS187" s="526">
        <v>181.82</v>
      </c>
      <c r="DT187" s="522">
        <v>69</v>
      </c>
      <c r="DU187" s="526">
        <v>126.36</v>
      </c>
      <c r="DV187" s="526">
        <v>93.62</v>
      </c>
      <c r="DW187" s="526">
        <v>59.79</v>
      </c>
      <c r="DX187" s="526">
        <v>181.82</v>
      </c>
      <c r="DY187" s="522">
        <v>69</v>
      </c>
      <c r="DZ187" s="526">
        <v>0</v>
      </c>
      <c r="EA187" s="526">
        <v>0</v>
      </c>
      <c r="EB187" s="526">
        <v>0</v>
      </c>
      <c r="EC187" s="522">
        <v>0</v>
      </c>
      <c r="ED187" s="526">
        <v>112.97</v>
      </c>
      <c r="EE187" s="522">
        <v>29</v>
      </c>
      <c r="EF187" s="526">
        <v>133.72999999999999</v>
      </c>
      <c r="EG187" s="522">
        <v>217</v>
      </c>
      <c r="EH187" s="526">
        <v>148.62</v>
      </c>
      <c r="EI187" s="522">
        <v>121</v>
      </c>
      <c r="EJ187" s="526">
        <v>183.62</v>
      </c>
      <c r="EK187" s="522">
        <v>21</v>
      </c>
      <c r="EL187" s="526">
        <v>0</v>
      </c>
      <c r="EM187" s="522">
        <v>0</v>
      </c>
      <c r="EN187" s="526">
        <v>0</v>
      </c>
      <c r="EO187" s="522">
        <v>0</v>
      </c>
      <c r="EP187" s="526">
        <v>139.52000000000001</v>
      </c>
      <c r="EQ187" s="522">
        <v>388</v>
      </c>
      <c r="ER187" s="526">
        <v>139.52000000000001</v>
      </c>
      <c r="ES187" s="522">
        <v>388</v>
      </c>
      <c r="ET187" s="526">
        <v>0</v>
      </c>
      <c r="EU187" s="526">
        <v>0</v>
      </c>
      <c r="EV187" s="526">
        <v>0</v>
      </c>
      <c r="EW187" s="522">
        <v>0</v>
      </c>
      <c r="EX187" s="526">
        <v>0</v>
      </c>
      <c r="EY187" s="522">
        <v>0</v>
      </c>
      <c r="EZ187" s="526">
        <v>0</v>
      </c>
      <c r="FA187" s="522">
        <v>0</v>
      </c>
      <c r="FB187" s="526">
        <v>0</v>
      </c>
      <c r="FC187" s="522">
        <v>0</v>
      </c>
      <c r="FD187" s="526">
        <v>0</v>
      </c>
      <c r="FE187" s="522">
        <v>0</v>
      </c>
      <c r="FF187" s="526">
        <v>0</v>
      </c>
      <c r="FG187" s="522">
        <v>0</v>
      </c>
      <c r="FH187" s="526">
        <v>0</v>
      </c>
      <c r="FI187" s="522">
        <v>0</v>
      </c>
      <c r="FJ187" s="522">
        <v>0</v>
      </c>
      <c r="FK187" s="522">
        <v>0</v>
      </c>
      <c r="FL187" s="522">
        <v>0</v>
      </c>
      <c r="FM187" s="522">
        <v>0</v>
      </c>
      <c r="FN187" s="522">
        <v>0</v>
      </c>
      <c r="FO187" s="522">
        <v>0</v>
      </c>
      <c r="FP187" s="522">
        <v>1</v>
      </c>
      <c r="FQ187" s="522">
        <v>4</v>
      </c>
      <c r="FR187" s="522">
        <v>3</v>
      </c>
    </row>
    <row r="188" spans="1:174" x14ac:dyDescent="0.25">
      <c r="A188" s="523" t="s">
        <v>630</v>
      </c>
      <c r="B188" s="523" t="s">
        <v>631</v>
      </c>
      <c r="C188" s="523" t="s">
        <v>282</v>
      </c>
      <c r="D188" s="522">
        <v>2304</v>
      </c>
      <c r="E188" s="522">
        <v>2258</v>
      </c>
      <c r="F188" s="522">
        <v>2</v>
      </c>
      <c r="G188" s="522">
        <v>0</v>
      </c>
      <c r="H188" s="522">
        <v>109</v>
      </c>
      <c r="I188" s="522">
        <v>59</v>
      </c>
      <c r="J188" s="522">
        <v>125</v>
      </c>
      <c r="K188" s="522">
        <v>115</v>
      </c>
      <c r="L188" s="522">
        <v>612</v>
      </c>
      <c r="M188" s="522">
        <v>16</v>
      </c>
      <c r="N188" s="522">
        <v>3152</v>
      </c>
      <c r="O188" s="522">
        <v>2448</v>
      </c>
      <c r="P188" s="522">
        <v>2540</v>
      </c>
      <c r="Q188" s="522">
        <v>15</v>
      </c>
      <c r="R188" s="523">
        <v>3</v>
      </c>
      <c r="S188" s="523">
        <v>23</v>
      </c>
      <c r="T188" s="523">
        <v>18</v>
      </c>
      <c r="U188" s="523">
        <v>3134</v>
      </c>
      <c r="V188" s="522">
        <v>2304</v>
      </c>
      <c r="W188" s="522">
        <v>10</v>
      </c>
      <c r="X188" s="522">
        <v>6</v>
      </c>
      <c r="Y188" s="522">
        <v>16</v>
      </c>
      <c r="Z188" s="524">
        <v>99.67</v>
      </c>
      <c r="AA188" s="524">
        <v>101.7</v>
      </c>
      <c r="AB188" s="524">
        <v>8</v>
      </c>
      <c r="AC188" s="524">
        <v>106.59</v>
      </c>
      <c r="AD188" s="524">
        <v>1394</v>
      </c>
      <c r="AE188" s="525">
        <v>108.45</v>
      </c>
      <c r="AF188" s="525">
        <v>105.54</v>
      </c>
      <c r="AG188" s="525">
        <v>79.39</v>
      </c>
      <c r="AH188" s="525">
        <v>187.47</v>
      </c>
      <c r="AI188" s="525">
        <v>212</v>
      </c>
      <c r="AJ188" s="525">
        <v>127.37</v>
      </c>
      <c r="AK188" s="525">
        <v>891</v>
      </c>
      <c r="AL188" s="525">
        <v>158.35</v>
      </c>
      <c r="AM188" s="525">
        <v>6</v>
      </c>
      <c r="AN188" s="526">
        <v>0</v>
      </c>
      <c r="AO188" s="526">
        <v>0</v>
      </c>
      <c r="AP188" s="526">
        <v>0</v>
      </c>
      <c r="AQ188" s="526">
        <v>0</v>
      </c>
      <c r="AR188" s="522">
        <v>0</v>
      </c>
      <c r="AS188" s="526">
        <v>70.31</v>
      </c>
      <c r="AT188" s="526">
        <v>72.62</v>
      </c>
      <c r="AU188" s="526">
        <v>14.93</v>
      </c>
      <c r="AV188" s="526">
        <v>85.23</v>
      </c>
      <c r="AW188" s="522">
        <v>12</v>
      </c>
      <c r="AX188" s="526">
        <v>84.8</v>
      </c>
      <c r="AY188" s="526">
        <v>84.73</v>
      </c>
      <c r="AZ188" s="526">
        <v>11.68</v>
      </c>
      <c r="BA188" s="526">
        <v>96.21</v>
      </c>
      <c r="BB188" s="522">
        <v>301</v>
      </c>
      <c r="BC188" s="526">
        <v>100.02</v>
      </c>
      <c r="BD188" s="526">
        <v>101.46</v>
      </c>
      <c r="BE188" s="526">
        <v>7.14</v>
      </c>
      <c r="BF188" s="526">
        <v>106.17</v>
      </c>
      <c r="BG188" s="522">
        <v>583</v>
      </c>
      <c r="BH188" s="526">
        <v>108.3</v>
      </c>
      <c r="BI188" s="526">
        <v>112.42</v>
      </c>
      <c r="BJ188" s="526">
        <v>6.19</v>
      </c>
      <c r="BK188" s="526">
        <v>113.17</v>
      </c>
      <c r="BL188" s="522">
        <v>471</v>
      </c>
      <c r="BM188" s="526">
        <v>120.25</v>
      </c>
      <c r="BN188" s="526">
        <v>122</v>
      </c>
      <c r="BO188" s="526">
        <v>5.73</v>
      </c>
      <c r="BP188" s="526">
        <v>125.98</v>
      </c>
      <c r="BQ188" s="522">
        <v>27</v>
      </c>
      <c r="BR188" s="526">
        <v>0</v>
      </c>
      <c r="BS188" s="526">
        <v>0</v>
      </c>
      <c r="BT188" s="526">
        <v>0</v>
      </c>
      <c r="BU188" s="526">
        <v>0</v>
      </c>
      <c r="BV188" s="522">
        <v>0</v>
      </c>
      <c r="BW188" s="526">
        <v>0</v>
      </c>
      <c r="BX188" s="526">
        <v>0</v>
      </c>
      <c r="BY188" s="526">
        <v>0</v>
      </c>
      <c r="BZ188" s="526">
        <v>0</v>
      </c>
      <c r="CA188" s="522">
        <v>0</v>
      </c>
      <c r="CB188" s="526">
        <v>99.67</v>
      </c>
      <c r="CC188" s="526">
        <v>101.7</v>
      </c>
      <c r="CD188" s="526">
        <v>8</v>
      </c>
      <c r="CE188" s="526">
        <v>106.59</v>
      </c>
      <c r="CF188" s="522">
        <v>1394</v>
      </c>
      <c r="CG188" s="526">
        <v>99.67</v>
      </c>
      <c r="CH188" s="526">
        <v>101.7</v>
      </c>
      <c r="CI188" s="526">
        <v>8</v>
      </c>
      <c r="CJ188" s="526">
        <v>106.59</v>
      </c>
      <c r="CK188" s="522">
        <v>1394</v>
      </c>
      <c r="CL188" s="526">
        <v>212.48</v>
      </c>
      <c r="CM188" s="526">
        <v>0</v>
      </c>
      <c r="CN188" s="526">
        <v>85.2</v>
      </c>
      <c r="CO188" s="526">
        <v>297.68</v>
      </c>
      <c r="CP188" s="522">
        <v>6</v>
      </c>
      <c r="CQ188" s="526">
        <v>73.459999999999994</v>
      </c>
      <c r="CR188" s="526">
        <v>0</v>
      </c>
      <c r="CS188" s="526">
        <v>180.31</v>
      </c>
      <c r="CT188" s="526">
        <v>253.77</v>
      </c>
      <c r="CU188" s="522">
        <v>29</v>
      </c>
      <c r="CV188" s="526">
        <v>107.39</v>
      </c>
      <c r="CW188" s="526">
        <v>104.45</v>
      </c>
      <c r="CX188" s="526">
        <v>73.34</v>
      </c>
      <c r="CY188" s="526">
        <v>180.15</v>
      </c>
      <c r="CZ188" s="522">
        <v>126</v>
      </c>
      <c r="DA188" s="526">
        <v>118.73</v>
      </c>
      <c r="DB188" s="526">
        <v>107.24</v>
      </c>
      <c r="DC188" s="526">
        <v>36.159999999999997</v>
      </c>
      <c r="DD188" s="526">
        <v>154.9</v>
      </c>
      <c r="DE188" s="522">
        <v>51</v>
      </c>
      <c r="DF188" s="526">
        <v>0</v>
      </c>
      <c r="DG188" s="526">
        <v>0</v>
      </c>
      <c r="DH188" s="526">
        <v>0</v>
      </c>
      <c r="DI188" s="526">
        <v>0</v>
      </c>
      <c r="DJ188" s="522">
        <v>0</v>
      </c>
      <c r="DK188" s="526">
        <v>0</v>
      </c>
      <c r="DL188" s="526">
        <v>0</v>
      </c>
      <c r="DM188" s="526">
        <v>0</v>
      </c>
      <c r="DN188" s="526">
        <v>0</v>
      </c>
      <c r="DO188" s="522">
        <v>0</v>
      </c>
      <c r="DP188" s="526">
        <v>105.42</v>
      </c>
      <c r="DQ188" s="526">
        <v>105.54</v>
      </c>
      <c r="DR188" s="526">
        <v>79.22</v>
      </c>
      <c r="DS188" s="526">
        <v>184.26</v>
      </c>
      <c r="DT188" s="522">
        <v>206</v>
      </c>
      <c r="DU188" s="526">
        <v>108.45</v>
      </c>
      <c r="DV188" s="526">
        <v>105.54</v>
      </c>
      <c r="DW188" s="526">
        <v>79.39</v>
      </c>
      <c r="DX188" s="526">
        <v>187.47</v>
      </c>
      <c r="DY188" s="522">
        <v>212</v>
      </c>
      <c r="DZ188" s="526">
        <v>0</v>
      </c>
      <c r="EA188" s="526">
        <v>0</v>
      </c>
      <c r="EB188" s="526">
        <v>0</v>
      </c>
      <c r="EC188" s="522">
        <v>0</v>
      </c>
      <c r="ED188" s="526">
        <v>103.91</v>
      </c>
      <c r="EE188" s="522">
        <v>210</v>
      </c>
      <c r="EF188" s="526">
        <v>126.8</v>
      </c>
      <c r="EG188" s="522">
        <v>444</v>
      </c>
      <c r="EH188" s="526">
        <v>147.82</v>
      </c>
      <c r="EI188" s="522">
        <v>230</v>
      </c>
      <c r="EJ188" s="526">
        <v>195.5</v>
      </c>
      <c r="EK188" s="522">
        <v>7</v>
      </c>
      <c r="EL188" s="526">
        <v>0</v>
      </c>
      <c r="EM188" s="522">
        <v>0</v>
      </c>
      <c r="EN188" s="526">
        <v>0</v>
      </c>
      <c r="EO188" s="522">
        <v>0</v>
      </c>
      <c r="EP188" s="526">
        <v>127.37</v>
      </c>
      <c r="EQ188" s="522">
        <v>891</v>
      </c>
      <c r="ER188" s="526">
        <v>127.37</v>
      </c>
      <c r="ES188" s="522">
        <v>891</v>
      </c>
      <c r="ET188" s="526">
        <v>0</v>
      </c>
      <c r="EU188" s="526">
        <v>0</v>
      </c>
      <c r="EV188" s="526">
        <v>0</v>
      </c>
      <c r="EW188" s="522">
        <v>0</v>
      </c>
      <c r="EX188" s="526">
        <v>0</v>
      </c>
      <c r="EY188" s="522">
        <v>0</v>
      </c>
      <c r="EZ188" s="526">
        <v>158.35</v>
      </c>
      <c r="FA188" s="522">
        <v>6</v>
      </c>
      <c r="FB188" s="526">
        <v>0</v>
      </c>
      <c r="FC188" s="522">
        <v>0</v>
      </c>
      <c r="FD188" s="526">
        <v>0</v>
      </c>
      <c r="FE188" s="522">
        <v>0</v>
      </c>
      <c r="FF188" s="526">
        <v>158.35</v>
      </c>
      <c r="FG188" s="522">
        <v>6</v>
      </c>
      <c r="FH188" s="526">
        <v>158.35</v>
      </c>
      <c r="FI188" s="522">
        <v>6</v>
      </c>
      <c r="FJ188" s="522">
        <v>0</v>
      </c>
      <c r="FK188" s="522">
        <v>0</v>
      </c>
      <c r="FL188" s="522">
        <v>0</v>
      </c>
      <c r="FM188" s="522">
        <v>0</v>
      </c>
      <c r="FN188" s="522">
        <v>0</v>
      </c>
      <c r="FO188" s="522">
        <v>0</v>
      </c>
      <c r="FP188" s="522">
        <v>0</v>
      </c>
      <c r="FQ188" s="522">
        <v>19</v>
      </c>
      <c r="FR188" s="522">
        <v>6</v>
      </c>
    </row>
    <row r="189" spans="1:174" x14ac:dyDescent="0.25">
      <c r="A189" s="523" t="s">
        <v>14367</v>
      </c>
      <c r="B189" s="523" t="s">
        <v>14368</v>
      </c>
      <c r="C189" s="523" t="s">
        <v>289</v>
      </c>
      <c r="D189" s="522">
        <v>23646</v>
      </c>
      <c r="E189" s="522">
        <v>23288</v>
      </c>
      <c r="F189" s="522">
        <v>15</v>
      </c>
      <c r="G189" s="522">
        <v>8</v>
      </c>
      <c r="H189" s="522">
        <v>1028</v>
      </c>
      <c r="I189" s="522">
        <v>713</v>
      </c>
      <c r="J189" s="522">
        <v>2013</v>
      </c>
      <c r="K189" s="522">
        <v>1903</v>
      </c>
      <c r="L189" s="522">
        <v>2997</v>
      </c>
      <c r="M189" s="522">
        <v>100</v>
      </c>
      <c r="N189" s="522">
        <v>29699</v>
      </c>
      <c r="O189" s="522">
        <v>26012</v>
      </c>
      <c r="P189" s="522">
        <v>26702</v>
      </c>
      <c r="Q189" s="522">
        <v>72</v>
      </c>
      <c r="R189" s="523">
        <v>22</v>
      </c>
      <c r="S189" s="523">
        <v>40</v>
      </c>
      <c r="T189" s="523">
        <v>601</v>
      </c>
      <c r="U189" s="523">
        <v>29098</v>
      </c>
      <c r="V189" s="522">
        <v>23309</v>
      </c>
      <c r="W189" s="522">
        <v>183</v>
      </c>
      <c r="X189" s="522">
        <v>228</v>
      </c>
      <c r="Y189" s="522">
        <v>411</v>
      </c>
      <c r="Z189" s="524">
        <v>101.9</v>
      </c>
      <c r="AA189" s="524">
        <v>102.82</v>
      </c>
      <c r="AB189" s="524">
        <v>4.71</v>
      </c>
      <c r="AC189" s="524">
        <v>104.85</v>
      </c>
      <c r="AD189" s="524">
        <v>17201</v>
      </c>
      <c r="AE189" s="525">
        <v>118.36</v>
      </c>
      <c r="AF189" s="525">
        <v>100.83</v>
      </c>
      <c r="AG189" s="525">
        <v>71.66</v>
      </c>
      <c r="AH189" s="525">
        <v>188.97</v>
      </c>
      <c r="AI189" s="525">
        <v>2474</v>
      </c>
      <c r="AJ189" s="525">
        <v>127.68</v>
      </c>
      <c r="AK189" s="525">
        <v>5807</v>
      </c>
      <c r="AL189" s="525">
        <v>273.77999999999997</v>
      </c>
      <c r="AM189" s="525">
        <v>327</v>
      </c>
      <c r="AN189" s="526">
        <v>85.08</v>
      </c>
      <c r="AO189" s="526">
        <v>106.45</v>
      </c>
      <c r="AP189" s="526">
        <v>19.75</v>
      </c>
      <c r="AQ189" s="526">
        <v>104.83</v>
      </c>
      <c r="AR189" s="522">
        <v>7</v>
      </c>
      <c r="AS189" s="526">
        <v>76.72</v>
      </c>
      <c r="AT189" s="526">
        <v>76.959999999999994</v>
      </c>
      <c r="AU189" s="526">
        <v>11.88</v>
      </c>
      <c r="AV189" s="526">
        <v>86.22</v>
      </c>
      <c r="AW189" s="522">
        <v>35</v>
      </c>
      <c r="AX189" s="526">
        <v>88.02</v>
      </c>
      <c r="AY189" s="526">
        <v>89.17</v>
      </c>
      <c r="AZ189" s="526">
        <v>5.98</v>
      </c>
      <c r="BA189" s="526">
        <v>93.48</v>
      </c>
      <c r="BB189" s="522">
        <v>4126</v>
      </c>
      <c r="BC189" s="526">
        <v>102.2</v>
      </c>
      <c r="BD189" s="526">
        <v>102.53</v>
      </c>
      <c r="BE189" s="526">
        <v>5.22</v>
      </c>
      <c r="BF189" s="526">
        <v>105.54</v>
      </c>
      <c r="BG189" s="522">
        <v>6624</v>
      </c>
      <c r="BH189" s="526">
        <v>110.22</v>
      </c>
      <c r="BI189" s="526">
        <v>111.57</v>
      </c>
      <c r="BJ189" s="526">
        <v>2.08</v>
      </c>
      <c r="BK189" s="526">
        <v>111.08</v>
      </c>
      <c r="BL189" s="522">
        <v>6087</v>
      </c>
      <c r="BM189" s="526">
        <v>119.21</v>
      </c>
      <c r="BN189" s="526">
        <v>121.36</v>
      </c>
      <c r="BO189" s="526">
        <v>1.74</v>
      </c>
      <c r="BP189" s="526">
        <v>120.16</v>
      </c>
      <c r="BQ189" s="522">
        <v>317</v>
      </c>
      <c r="BR189" s="526">
        <v>138.34</v>
      </c>
      <c r="BS189" s="526">
        <v>141.5</v>
      </c>
      <c r="BT189" s="526">
        <v>0</v>
      </c>
      <c r="BU189" s="526">
        <v>138.34</v>
      </c>
      <c r="BV189" s="522">
        <v>3</v>
      </c>
      <c r="BW189" s="526">
        <v>135.07</v>
      </c>
      <c r="BX189" s="526">
        <v>135.49</v>
      </c>
      <c r="BY189" s="526">
        <v>0</v>
      </c>
      <c r="BZ189" s="526">
        <v>135.07</v>
      </c>
      <c r="CA189" s="522">
        <v>2</v>
      </c>
      <c r="CB189" s="526">
        <v>101.91</v>
      </c>
      <c r="CC189" s="526">
        <v>102.82</v>
      </c>
      <c r="CD189" s="526">
        <v>4.7</v>
      </c>
      <c r="CE189" s="526">
        <v>104.85</v>
      </c>
      <c r="CF189" s="522">
        <v>17194</v>
      </c>
      <c r="CG189" s="526">
        <v>101.9</v>
      </c>
      <c r="CH189" s="526">
        <v>102.82</v>
      </c>
      <c r="CI189" s="526">
        <v>4.71</v>
      </c>
      <c r="CJ189" s="526">
        <v>104.85</v>
      </c>
      <c r="CK189" s="522">
        <v>17201</v>
      </c>
      <c r="CL189" s="526">
        <v>193.64</v>
      </c>
      <c r="CM189" s="526">
        <v>92.25</v>
      </c>
      <c r="CN189" s="526">
        <v>56.07</v>
      </c>
      <c r="CO189" s="526">
        <v>246.34</v>
      </c>
      <c r="CP189" s="522">
        <v>233</v>
      </c>
      <c r="CQ189" s="526">
        <v>79.92</v>
      </c>
      <c r="CR189" s="526">
        <v>77.260000000000005</v>
      </c>
      <c r="CS189" s="526">
        <v>80.73</v>
      </c>
      <c r="CT189" s="526">
        <v>155.97999999999999</v>
      </c>
      <c r="CU189" s="522">
        <v>242</v>
      </c>
      <c r="CV189" s="526">
        <v>113.14</v>
      </c>
      <c r="CW189" s="526">
        <v>99.67</v>
      </c>
      <c r="CX189" s="526">
        <v>72.56</v>
      </c>
      <c r="CY189" s="526">
        <v>185.59</v>
      </c>
      <c r="CZ189" s="522">
        <v>1340</v>
      </c>
      <c r="DA189" s="526">
        <v>116.5</v>
      </c>
      <c r="DB189" s="526">
        <v>112.59</v>
      </c>
      <c r="DC189" s="526">
        <v>72.209999999999994</v>
      </c>
      <c r="DD189" s="526">
        <v>188.04</v>
      </c>
      <c r="DE189" s="522">
        <v>645</v>
      </c>
      <c r="DF189" s="526">
        <v>114.59</v>
      </c>
      <c r="DG189" s="526">
        <v>117.78</v>
      </c>
      <c r="DH189" s="526">
        <v>57.11</v>
      </c>
      <c r="DI189" s="526">
        <v>171.7</v>
      </c>
      <c r="DJ189" s="522">
        <v>14</v>
      </c>
      <c r="DK189" s="526">
        <v>0</v>
      </c>
      <c r="DL189" s="526">
        <v>0</v>
      </c>
      <c r="DM189" s="526">
        <v>0</v>
      </c>
      <c r="DN189" s="526">
        <v>0</v>
      </c>
      <c r="DO189" s="522">
        <v>0</v>
      </c>
      <c r="DP189" s="526">
        <v>110.53</v>
      </c>
      <c r="DQ189" s="526">
        <v>101.14</v>
      </c>
      <c r="DR189" s="526">
        <v>73.2</v>
      </c>
      <c r="DS189" s="526">
        <v>183.01</v>
      </c>
      <c r="DT189" s="522">
        <v>2241</v>
      </c>
      <c r="DU189" s="526">
        <v>118.36</v>
      </c>
      <c r="DV189" s="526">
        <v>100.83</v>
      </c>
      <c r="DW189" s="526">
        <v>71.66</v>
      </c>
      <c r="DX189" s="526">
        <v>188.97</v>
      </c>
      <c r="DY189" s="522">
        <v>2474</v>
      </c>
      <c r="DZ189" s="526">
        <v>0</v>
      </c>
      <c r="EA189" s="526">
        <v>0</v>
      </c>
      <c r="EB189" s="526">
        <v>117.55</v>
      </c>
      <c r="EC189" s="522">
        <v>6</v>
      </c>
      <c r="ED189" s="526">
        <v>104.27</v>
      </c>
      <c r="EE189" s="522">
        <v>1044</v>
      </c>
      <c r="EF189" s="526">
        <v>127.35</v>
      </c>
      <c r="EG189" s="522">
        <v>3099</v>
      </c>
      <c r="EH189" s="526">
        <v>141.37</v>
      </c>
      <c r="EI189" s="522">
        <v>1569</v>
      </c>
      <c r="EJ189" s="526">
        <v>173.71</v>
      </c>
      <c r="EK189" s="522">
        <v>88</v>
      </c>
      <c r="EL189" s="526">
        <v>115.72</v>
      </c>
      <c r="EM189" s="522">
        <v>1</v>
      </c>
      <c r="EN189" s="526">
        <v>0</v>
      </c>
      <c r="EO189" s="522">
        <v>0</v>
      </c>
      <c r="EP189" s="526">
        <v>127.68</v>
      </c>
      <c r="EQ189" s="522">
        <v>5807</v>
      </c>
      <c r="ER189" s="526">
        <v>127.68</v>
      </c>
      <c r="ES189" s="522">
        <v>5807</v>
      </c>
      <c r="ET189" s="526">
        <v>132.86000000000001</v>
      </c>
      <c r="EU189" s="526">
        <v>14</v>
      </c>
      <c r="EV189" s="526">
        <v>0</v>
      </c>
      <c r="EW189" s="522">
        <v>0</v>
      </c>
      <c r="EX189" s="526">
        <v>256.74</v>
      </c>
      <c r="EY189" s="522">
        <v>116</v>
      </c>
      <c r="EZ189" s="526">
        <v>293.82</v>
      </c>
      <c r="FA189" s="522">
        <v>197</v>
      </c>
      <c r="FB189" s="526">
        <v>0</v>
      </c>
      <c r="FC189" s="522">
        <v>0</v>
      </c>
      <c r="FD189" s="526">
        <v>0</v>
      </c>
      <c r="FE189" s="522">
        <v>0</v>
      </c>
      <c r="FF189" s="526">
        <v>280.08</v>
      </c>
      <c r="FG189" s="522">
        <v>313</v>
      </c>
      <c r="FH189" s="526">
        <v>273.77999999999997</v>
      </c>
      <c r="FI189" s="522">
        <v>327</v>
      </c>
      <c r="FJ189" s="522">
        <v>1</v>
      </c>
      <c r="FK189" s="522">
        <v>12</v>
      </c>
      <c r="FL189" s="522">
        <v>6</v>
      </c>
      <c r="FM189" s="522">
        <v>0</v>
      </c>
      <c r="FN189" s="522">
        <v>6</v>
      </c>
      <c r="FO189" s="522">
        <v>0</v>
      </c>
      <c r="FP189" s="522">
        <v>10</v>
      </c>
      <c r="FQ189" s="522">
        <v>287</v>
      </c>
      <c r="FR189" s="522">
        <v>34</v>
      </c>
    </row>
    <row r="190" spans="1:174" x14ac:dyDescent="0.25">
      <c r="A190" s="523" t="s">
        <v>632</v>
      </c>
      <c r="B190" s="523" t="s">
        <v>633</v>
      </c>
      <c r="C190" s="523" t="s">
        <v>285</v>
      </c>
      <c r="D190" s="522">
        <v>14632</v>
      </c>
      <c r="E190" s="522">
        <v>14392</v>
      </c>
      <c r="F190" s="522">
        <v>0</v>
      </c>
      <c r="G190" s="522">
        <v>0</v>
      </c>
      <c r="H190" s="522">
        <v>509</v>
      </c>
      <c r="I190" s="522">
        <v>387</v>
      </c>
      <c r="J190" s="522">
        <v>2975</v>
      </c>
      <c r="K190" s="522">
        <v>2926</v>
      </c>
      <c r="L190" s="522">
        <v>815</v>
      </c>
      <c r="M190" s="522">
        <v>0</v>
      </c>
      <c r="N190" s="522">
        <v>18931</v>
      </c>
      <c r="O190" s="522">
        <v>17705</v>
      </c>
      <c r="P190" s="522">
        <v>18116</v>
      </c>
      <c r="Q190" s="522">
        <v>5</v>
      </c>
      <c r="R190" s="523">
        <v>19</v>
      </c>
      <c r="S190" s="523">
        <v>22</v>
      </c>
      <c r="T190" s="523">
        <v>388</v>
      </c>
      <c r="U190" s="523">
        <v>18543</v>
      </c>
      <c r="V190" s="522">
        <v>14391</v>
      </c>
      <c r="W190" s="522">
        <v>153</v>
      </c>
      <c r="X190" s="522">
        <v>81</v>
      </c>
      <c r="Y190" s="522">
        <v>234</v>
      </c>
      <c r="Z190" s="524">
        <v>86.43</v>
      </c>
      <c r="AA190" s="524">
        <v>86.19</v>
      </c>
      <c r="AB190" s="524">
        <v>2.54</v>
      </c>
      <c r="AC190" s="524">
        <v>87.64</v>
      </c>
      <c r="AD190" s="524">
        <v>12757</v>
      </c>
      <c r="AE190" s="525">
        <v>90.24</v>
      </c>
      <c r="AF190" s="525">
        <v>79.760000000000005</v>
      </c>
      <c r="AG190" s="525">
        <v>37.590000000000003</v>
      </c>
      <c r="AH190" s="525">
        <v>124.24</v>
      </c>
      <c r="AI190" s="525">
        <v>3142</v>
      </c>
      <c r="AJ190" s="525">
        <v>115.78</v>
      </c>
      <c r="AK190" s="525">
        <v>1614</v>
      </c>
      <c r="AL190" s="525">
        <v>158.26</v>
      </c>
      <c r="AM190" s="525">
        <v>207</v>
      </c>
      <c r="AN190" s="526">
        <v>0</v>
      </c>
      <c r="AO190" s="526">
        <v>0</v>
      </c>
      <c r="AP190" s="526">
        <v>0</v>
      </c>
      <c r="AQ190" s="526">
        <v>0</v>
      </c>
      <c r="AR190" s="522">
        <v>0</v>
      </c>
      <c r="AS190" s="526">
        <v>67.27</v>
      </c>
      <c r="AT190" s="526">
        <v>66.39</v>
      </c>
      <c r="AU190" s="526">
        <v>3.76</v>
      </c>
      <c r="AV190" s="526">
        <v>70.56</v>
      </c>
      <c r="AW190" s="522">
        <v>16</v>
      </c>
      <c r="AX190" s="526">
        <v>75.69</v>
      </c>
      <c r="AY190" s="526">
        <v>74.790000000000006</v>
      </c>
      <c r="AZ190" s="526">
        <v>4.9000000000000004</v>
      </c>
      <c r="BA190" s="526">
        <v>78.150000000000006</v>
      </c>
      <c r="BB190" s="522">
        <v>2851</v>
      </c>
      <c r="BC190" s="526">
        <v>85.41</v>
      </c>
      <c r="BD190" s="526">
        <v>85.03</v>
      </c>
      <c r="BE190" s="526">
        <v>2.2999999999999998</v>
      </c>
      <c r="BF190" s="526">
        <v>86.42</v>
      </c>
      <c r="BG190" s="522">
        <v>5183</v>
      </c>
      <c r="BH190" s="526">
        <v>93.59</v>
      </c>
      <c r="BI190" s="526">
        <v>93.91</v>
      </c>
      <c r="BJ190" s="526">
        <v>1.34</v>
      </c>
      <c r="BK190" s="526">
        <v>94.26</v>
      </c>
      <c r="BL190" s="522">
        <v>4476</v>
      </c>
      <c r="BM190" s="526">
        <v>104.04</v>
      </c>
      <c r="BN190" s="526">
        <v>104.51</v>
      </c>
      <c r="BO190" s="526">
        <v>1.33</v>
      </c>
      <c r="BP190" s="526">
        <v>104.76</v>
      </c>
      <c r="BQ190" s="522">
        <v>224</v>
      </c>
      <c r="BR190" s="526">
        <v>112.47</v>
      </c>
      <c r="BS190" s="526">
        <v>114.6</v>
      </c>
      <c r="BT190" s="526">
        <v>0</v>
      </c>
      <c r="BU190" s="526">
        <v>112.47</v>
      </c>
      <c r="BV190" s="522">
        <v>7</v>
      </c>
      <c r="BW190" s="526">
        <v>0</v>
      </c>
      <c r="BX190" s="526">
        <v>0</v>
      </c>
      <c r="BY190" s="526">
        <v>0</v>
      </c>
      <c r="BZ190" s="526">
        <v>0</v>
      </c>
      <c r="CA190" s="522">
        <v>0</v>
      </c>
      <c r="CB190" s="526">
        <v>86.43</v>
      </c>
      <c r="CC190" s="526">
        <v>86.19</v>
      </c>
      <c r="CD190" s="526">
        <v>2.54</v>
      </c>
      <c r="CE190" s="526">
        <v>87.64</v>
      </c>
      <c r="CF190" s="522">
        <v>12757</v>
      </c>
      <c r="CG190" s="526">
        <v>86.43</v>
      </c>
      <c r="CH190" s="526">
        <v>86.19</v>
      </c>
      <c r="CI190" s="526">
        <v>2.54</v>
      </c>
      <c r="CJ190" s="526">
        <v>87.64</v>
      </c>
      <c r="CK190" s="522">
        <v>12757</v>
      </c>
      <c r="CL190" s="526">
        <v>140.97</v>
      </c>
      <c r="CM190" s="526">
        <v>82.88</v>
      </c>
      <c r="CN190" s="526">
        <v>119.96</v>
      </c>
      <c r="CO190" s="526">
        <v>246.28</v>
      </c>
      <c r="CP190" s="522">
        <v>221</v>
      </c>
      <c r="CQ190" s="526">
        <v>70.510000000000005</v>
      </c>
      <c r="CR190" s="526">
        <v>66.27</v>
      </c>
      <c r="CS190" s="526">
        <v>40.81</v>
      </c>
      <c r="CT190" s="526">
        <v>111.32</v>
      </c>
      <c r="CU190" s="522">
        <v>274</v>
      </c>
      <c r="CV190" s="526">
        <v>86.64</v>
      </c>
      <c r="CW190" s="526">
        <v>76.260000000000005</v>
      </c>
      <c r="CX190" s="526">
        <v>33.08</v>
      </c>
      <c r="CY190" s="526">
        <v>116.8</v>
      </c>
      <c r="CZ190" s="522">
        <v>1645</v>
      </c>
      <c r="DA190" s="526">
        <v>89.8</v>
      </c>
      <c r="DB190" s="526">
        <v>88.07</v>
      </c>
      <c r="DC190" s="526">
        <v>24.63</v>
      </c>
      <c r="DD190" s="526">
        <v>111.51</v>
      </c>
      <c r="DE190" s="522">
        <v>951</v>
      </c>
      <c r="DF190" s="526">
        <v>100.63</v>
      </c>
      <c r="DG190" s="526">
        <v>98.49</v>
      </c>
      <c r="DH190" s="526">
        <v>59.47</v>
      </c>
      <c r="DI190" s="526">
        <v>143.1</v>
      </c>
      <c r="DJ190" s="522">
        <v>49</v>
      </c>
      <c r="DK190" s="526">
        <v>113.71</v>
      </c>
      <c r="DL190" s="526">
        <v>118.05</v>
      </c>
      <c r="DM190" s="526">
        <v>0</v>
      </c>
      <c r="DN190" s="526">
        <v>113.71</v>
      </c>
      <c r="DO190" s="522">
        <v>2</v>
      </c>
      <c r="DP190" s="526">
        <v>86.41</v>
      </c>
      <c r="DQ190" s="526">
        <v>79.650000000000006</v>
      </c>
      <c r="DR190" s="526">
        <v>31.56</v>
      </c>
      <c r="DS190" s="526">
        <v>115</v>
      </c>
      <c r="DT190" s="522">
        <v>2921</v>
      </c>
      <c r="DU190" s="526">
        <v>90.24</v>
      </c>
      <c r="DV190" s="526">
        <v>79.760000000000005</v>
      </c>
      <c r="DW190" s="526">
        <v>37.590000000000003</v>
      </c>
      <c r="DX190" s="526">
        <v>124.24</v>
      </c>
      <c r="DY190" s="522">
        <v>3142</v>
      </c>
      <c r="DZ190" s="526">
        <v>0</v>
      </c>
      <c r="EA190" s="526">
        <v>0</v>
      </c>
      <c r="EB190" s="526">
        <v>0</v>
      </c>
      <c r="EC190" s="522">
        <v>0</v>
      </c>
      <c r="ED190" s="526">
        <v>95.69</v>
      </c>
      <c r="EE190" s="522">
        <v>143</v>
      </c>
      <c r="EF190" s="526">
        <v>113.35</v>
      </c>
      <c r="EG190" s="522">
        <v>988</v>
      </c>
      <c r="EH190" s="526">
        <v>126.45</v>
      </c>
      <c r="EI190" s="522">
        <v>463</v>
      </c>
      <c r="EJ190" s="526">
        <v>132.87</v>
      </c>
      <c r="EK190" s="522">
        <v>20</v>
      </c>
      <c r="EL190" s="526">
        <v>0</v>
      </c>
      <c r="EM190" s="522">
        <v>0</v>
      </c>
      <c r="EN190" s="526">
        <v>0</v>
      </c>
      <c r="EO190" s="522">
        <v>0</v>
      </c>
      <c r="EP190" s="526">
        <v>115.78</v>
      </c>
      <c r="EQ190" s="522">
        <v>1614</v>
      </c>
      <c r="ER190" s="526">
        <v>115.78</v>
      </c>
      <c r="ES190" s="522">
        <v>1614</v>
      </c>
      <c r="ET190" s="526">
        <v>152.44999999999999</v>
      </c>
      <c r="EU190" s="526">
        <v>6</v>
      </c>
      <c r="EV190" s="526">
        <v>0</v>
      </c>
      <c r="EW190" s="522">
        <v>0</v>
      </c>
      <c r="EX190" s="526">
        <v>168.07</v>
      </c>
      <c r="EY190" s="522">
        <v>33</v>
      </c>
      <c r="EZ190" s="526">
        <v>156.72999999999999</v>
      </c>
      <c r="FA190" s="522">
        <v>166</v>
      </c>
      <c r="FB190" s="526">
        <v>140.88</v>
      </c>
      <c r="FC190" s="522">
        <v>2</v>
      </c>
      <c r="FD190" s="526">
        <v>0</v>
      </c>
      <c r="FE190" s="522">
        <v>0</v>
      </c>
      <c r="FF190" s="526">
        <v>158.44</v>
      </c>
      <c r="FG190" s="522">
        <v>201</v>
      </c>
      <c r="FH190" s="526">
        <v>158.26</v>
      </c>
      <c r="FI190" s="522">
        <v>207</v>
      </c>
      <c r="FJ190" s="522">
        <v>0</v>
      </c>
      <c r="FK190" s="522">
        <v>35</v>
      </c>
      <c r="FL190" s="522">
        <v>25</v>
      </c>
      <c r="FM190" s="522">
        <v>0</v>
      </c>
      <c r="FN190" s="522">
        <v>10</v>
      </c>
      <c r="FO190" s="522">
        <v>0</v>
      </c>
      <c r="FP190" s="522">
        <v>7</v>
      </c>
      <c r="FQ190" s="522">
        <v>61</v>
      </c>
      <c r="FR190" s="522">
        <v>10</v>
      </c>
    </row>
    <row r="191" spans="1:174" x14ac:dyDescent="0.25">
      <c r="A191" s="523" t="s">
        <v>634</v>
      </c>
      <c r="B191" s="523" t="s">
        <v>635</v>
      </c>
      <c r="C191" s="523" t="s">
        <v>283</v>
      </c>
      <c r="D191" s="522">
        <v>4191</v>
      </c>
      <c r="E191" s="522">
        <v>4179</v>
      </c>
      <c r="F191" s="522">
        <v>4</v>
      </c>
      <c r="G191" s="522">
        <v>4</v>
      </c>
      <c r="H191" s="522">
        <v>468</v>
      </c>
      <c r="I191" s="522">
        <v>290</v>
      </c>
      <c r="J191" s="522">
        <v>1140</v>
      </c>
      <c r="K191" s="522">
        <v>624</v>
      </c>
      <c r="L191" s="522">
        <v>342</v>
      </c>
      <c r="M191" s="522">
        <v>129</v>
      </c>
      <c r="N191" s="522">
        <v>6145</v>
      </c>
      <c r="O191" s="522">
        <v>5226</v>
      </c>
      <c r="P191" s="522">
        <v>5803</v>
      </c>
      <c r="Q191" s="522">
        <v>48</v>
      </c>
      <c r="R191" s="523">
        <v>9</v>
      </c>
      <c r="S191" s="523">
        <v>23</v>
      </c>
      <c r="T191" s="523">
        <v>713</v>
      </c>
      <c r="U191" s="523">
        <v>5432</v>
      </c>
      <c r="V191" s="522">
        <v>4184</v>
      </c>
      <c r="W191" s="522">
        <v>11</v>
      </c>
      <c r="X191" s="522">
        <v>43</v>
      </c>
      <c r="Y191" s="522">
        <v>54</v>
      </c>
      <c r="Z191" s="524">
        <v>101.04</v>
      </c>
      <c r="AA191" s="524">
        <v>101.67</v>
      </c>
      <c r="AB191" s="524">
        <v>7.89</v>
      </c>
      <c r="AC191" s="524">
        <v>107.51</v>
      </c>
      <c r="AD191" s="524">
        <v>3543</v>
      </c>
      <c r="AE191" s="525">
        <v>102.45</v>
      </c>
      <c r="AF191" s="525">
        <v>92.32</v>
      </c>
      <c r="AG191" s="525">
        <v>60.79</v>
      </c>
      <c r="AH191" s="525">
        <v>163.1</v>
      </c>
      <c r="AI191" s="525">
        <v>869</v>
      </c>
      <c r="AJ191" s="525">
        <v>129.1</v>
      </c>
      <c r="AK191" s="525">
        <v>569</v>
      </c>
      <c r="AL191" s="525">
        <v>131.24</v>
      </c>
      <c r="AM191" s="525">
        <v>35</v>
      </c>
      <c r="AN191" s="526">
        <v>34.71</v>
      </c>
      <c r="AO191" s="526">
        <v>34.71</v>
      </c>
      <c r="AP191" s="526">
        <v>0</v>
      </c>
      <c r="AQ191" s="526">
        <v>34.71</v>
      </c>
      <c r="AR191" s="522">
        <v>4</v>
      </c>
      <c r="AS191" s="526">
        <v>67.739999999999995</v>
      </c>
      <c r="AT191" s="526">
        <v>67.87</v>
      </c>
      <c r="AU191" s="526">
        <v>11.41</v>
      </c>
      <c r="AV191" s="526">
        <v>78.069999999999993</v>
      </c>
      <c r="AW191" s="522">
        <v>95</v>
      </c>
      <c r="AX191" s="526">
        <v>87.93</v>
      </c>
      <c r="AY191" s="526">
        <v>88.29</v>
      </c>
      <c r="AZ191" s="526">
        <v>10.84</v>
      </c>
      <c r="BA191" s="526">
        <v>98.57</v>
      </c>
      <c r="BB191" s="522">
        <v>951</v>
      </c>
      <c r="BC191" s="526">
        <v>102.8</v>
      </c>
      <c r="BD191" s="526">
        <v>103.46</v>
      </c>
      <c r="BE191" s="526">
        <v>7.4</v>
      </c>
      <c r="BF191" s="526">
        <v>108.83</v>
      </c>
      <c r="BG191" s="522">
        <v>1615</v>
      </c>
      <c r="BH191" s="526">
        <v>113.35</v>
      </c>
      <c r="BI191" s="526">
        <v>114.22</v>
      </c>
      <c r="BJ191" s="526">
        <v>3.69</v>
      </c>
      <c r="BK191" s="526">
        <v>115.78</v>
      </c>
      <c r="BL191" s="522">
        <v>732</v>
      </c>
      <c r="BM191" s="526">
        <v>127.45</v>
      </c>
      <c r="BN191" s="526">
        <v>128.69999999999999</v>
      </c>
      <c r="BO191" s="526">
        <v>3.66</v>
      </c>
      <c r="BP191" s="526">
        <v>129.87</v>
      </c>
      <c r="BQ191" s="522">
        <v>130</v>
      </c>
      <c r="BR191" s="526">
        <v>138.51</v>
      </c>
      <c r="BS191" s="526">
        <v>139.4</v>
      </c>
      <c r="BT191" s="526">
        <v>2.0099999999999998</v>
      </c>
      <c r="BU191" s="526">
        <v>138.88</v>
      </c>
      <c r="BV191" s="522">
        <v>16</v>
      </c>
      <c r="BW191" s="526">
        <v>0</v>
      </c>
      <c r="BX191" s="526">
        <v>0</v>
      </c>
      <c r="BY191" s="526">
        <v>0</v>
      </c>
      <c r="BZ191" s="526">
        <v>0</v>
      </c>
      <c r="CA191" s="522">
        <v>0</v>
      </c>
      <c r="CB191" s="526">
        <v>101.11</v>
      </c>
      <c r="CC191" s="526">
        <v>101.74</v>
      </c>
      <c r="CD191" s="526">
        <v>7.89</v>
      </c>
      <c r="CE191" s="526">
        <v>107.59</v>
      </c>
      <c r="CF191" s="522">
        <v>3539</v>
      </c>
      <c r="CG191" s="526">
        <v>101.04</v>
      </c>
      <c r="CH191" s="526">
        <v>101.67</v>
      </c>
      <c r="CI191" s="526">
        <v>7.89</v>
      </c>
      <c r="CJ191" s="526">
        <v>107.51</v>
      </c>
      <c r="CK191" s="522">
        <v>3543</v>
      </c>
      <c r="CL191" s="526">
        <v>87.1</v>
      </c>
      <c r="CM191" s="526">
        <v>81.3</v>
      </c>
      <c r="CN191" s="526">
        <v>143.16</v>
      </c>
      <c r="CO191" s="526">
        <v>230.26</v>
      </c>
      <c r="CP191" s="522">
        <v>115</v>
      </c>
      <c r="CQ191" s="526">
        <v>96.37</v>
      </c>
      <c r="CR191" s="526">
        <v>88.34</v>
      </c>
      <c r="CS191" s="526">
        <v>75.489999999999995</v>
      </c>
      <c r="CT191" s="526">
        <v>171.87</v>
      </c>
      <c r="CU191" s="522">
        <v>40</v>
      </c>
      <c r="CV191" s="526">
        <v>104.52</v>
      </c>
      <c r="CW191" s="526">
        <v>93.24</v>
      </c>
      <c r="CX191" s="526">
        <v>45.79</v>
      </c>
      <c r="CY191" s="526">
        <v>150.24</v>
      </c>
      <c r="CZ191" s="522">
        <v>666</v>
      </c>
      <c r="DA191" s="526">
        <v>114.26</v>
      </c>
      <c r="DB191" s="526">
        <v>106.15</v>
      </c>
      <c r="DC191" s="526">
        <v>56.46</v>
      </c>
      <c r="DD191" s="526">
        <v>169.4</v>
      </c>
      <c r="DE191" s="522">
        <v>43</v>
      </c>
      <c r="DF191" s="526">
        <v>126.52</v>
      </c>
      <c r="DG191" s="526">
        <v>114.51</v>
      </c>
      <c r="DH191" s="526">
        <v>81.069999999999993</v>
      </c>
      <c r="DI191" s="526">
        <v>207.59</v>
      </c>
      <c r="DJ191" s="522">
        <v>5</v>
      </c>
      <c r="DK191" s="526">
        <v>0</v>
      </c>
      <c r="DL191" s="526">
        <v>0</v>
      </c>
      <c r="DM191" s="526">
        <v>0</v>
      </c>
      <c r="DN191" s="526">
        <v>0</v>
      </c>
      <c r="DO191" s="522">
        <v>0</v>
      </c>
      <c r="DP191" s="526">
        <v>104.79</v>
      </c>
      <c r="DQ191" s="526">
        <v>93.73</v>
      </c>
      <c r="DR191" s="526">
        <v>48.2</v>
      </c>
      <c r="DS191" s="526">
        <v>152.86000000000001</v>
      </c>
      <c r="DT191" s="522">
        <v>754</v>
      </c>
      <c r="DU191" s="526">
        <v>102.45</v>
      </c>
      <c r="DV191" s="526">
        <v>92.32</v>
      </c>
      <c r="DW191" s="526">
        <v>60.79</v>
      </c>
      <c r="DX191" s="526">
        <v>163.1</v>
      </c>
      <c r="DY191" s="522">
        <v>869</v>
      </c>
      <c r="DZ191" s="526">
        <v>0</v>
      </c>
      <c r="EA191" s="526">
        <v>0</v>
      </c>
      <c r="EB191" s="526">
        <v>0</v>
      </c>
      <c r="EC191" s="522">
        <v>0</v>
      </c>
      <c r="ED191" s="526">
        <v>109.79</v>
      </c>
      <c r="EE191" s="522">
        <v>203</v>
      </c>
      <c r="EF191" s="526">
        <v>137.30000000000001</v>
      </c>
      <c r="EG191" s="522">
        <v>301</v>
      </c>
      <c r="EH191" s="526">
        <v>149.46</v>
      </c>
      <c r="EI191" s="522">
        <v>61</v>
      </c>
      <c r="EJ191" s="526">
        <v>187.69</v>
      </c>
      <c r="EK191" s="522">
        <v>3</v>
      </c>
      <c r="EL191" s="526">
        <v>160.71</v>
      </c>
      <c r="EM191" s="522">
        <v>1</v>
      </c>
      <c r="EN191" s="526">
        <v>0</v>
      </c>
      <c r="EO191" s="522">
        <v>0</v>
      </c>
      <c r="EP191" s="526">
        <v>129.1</v>
      </c>
      <c r="EQ191" s="522">
        <v>569</v>
      </c>
      <c r="ER191" s="526">
        <v>129.1</v>
      </c>
      <c r="ES191" s="522">
        <v>569</v>
      </c>
      <c r="ET191" s="526">
        <v>0</v>
      </c>
      <c r="EU191" s="526">
        <v>0</v>
      </c>
      <c r="EV191" s="526">
        <v>280.24</v>
      </c>
      <c r="EW191" s="522">
        <v>2</v>
      </c>
      <c r="EX191" s="526">
        <v>122.21</v>
      </c>
      <c r="EY191" s="522">
        <v>33</v>
      </c>
      <c r="EZ191" s="526">
        <v>0</v>
      </c>
      <c r="FA191" s="522">
        <v>0</v>
      </c>
      <c r="FB191" s="526">
        <v>0</v>
      </c>
      <c r="FC191" s="522">
        <v>0</v>
      </c>
      <c r="FD191" s="526">
        <v>0</v>
      </c>
      <c r="FE191" s="522">
        <v>0</v>
      </c>
      <c r="FF191" s="526">
        <v>131.24</v>
      </c>
      <c r="FG191" s="522">
        <v>35</v>
      </c>
      <c r="FH191" s="526">
        <v>131.24</v>
      </c>
      <c r="FI191" s="522">
        <v>35</v>
      </c>
      <c r="FJ191" s="522">
        <v>0</v>
      </c>
      <c r="FK191" s="522">
        <v>1</v>
      </c>
      <c r="FL191" s="522">
        <v>0</v>
      </c>
      <c r="FM191" s="522">
        <v>0</v>
      </c>
      <c r="FN191" s="522">
        <v>1</v>
      </c>
      <c r="FO191" s="522">
        <v>0</v>
      </c>
      <c r="FP191" s="522">
        <v>2</v>
      </c>
      <c r="FQ191" s="522">
        <v>41</v>
      </c>
      <c r="FR191" s="522">
        <v>2</v>
      </c>
    </row>
    <row r="192" spans="1:174" x14ac:dyDescent="0.25">
      <c r="A192" s="523" t="s">
        <v>636</v>
      </c>
      <c r="B192" s="523" t="s">
        <v>637</v>
      </c>
      <c r="C192" s="523" t="s">
        <v>282</v>
      </c>
      <c r="D192" s="522">
        <v>6703</v>
      </c>
      <c r="E192" s="522">
        <v>6660</v>
      </c>
      <c r="F192" s="522">
        <v>150</v>
      </c>
      <c r="G192" s="522">
        <v>0</v>
      </c>
      <c r="H192" s="522">
        <v>1388</v>
      </c>
      <c r="I192" s="522">
        <v>1115</v>
      </c>
      <c r="J192" s="522">
        <v>2208</v>
      </c>
      <c r="K192" s="522">
        <v>2014</v>
      </c>
      <c r="L192" s="522">
        <v>349</v>
      </c>
      <c r="M192" s="522">
        <v>3</v>
      </c>
      <c r="N192" s="522">
        <v>10798</v>
      </c>
      <c r="O192" s="522">
        <v>9792</v>
      </c>
      <c r="P192" s="522">
        <v>10449</v>
      </c>
      <c r="Q192" s="522">
        <v>23</v>
      </c>
      <c r="R192" s="523">
        <v>17</v>
      </c>
      <c r="S192" s="523">
        <v>31</v>
      </c>
      <c r="T192" s="523">
        <v>492</v>
      </c>
      <c r="U192" s="523">
        <v>10306</v>
      </c>
      <c r="V192" s="522">
        <v>6630</v>
      </c>
      <c r="W192" s="522">
        <v>43</v>
      </c>
      <c r="X192" s="522">
        <v>46</v>
      </c>
      <c r="Y192" s="522">
        <v>89</v>
      </c>
      <c r="Z192" s="524">
        <v>97.2</v>
      </c>
      <c r="AA192" s="524">
        <v>97.01</v>
      </c>
      <c r="AB192" s="524">
        <v>8.39</v>
      </c>
      <c r="AC192" s="524">
        <v>102.76</v>
      </c>
      <c r="AD192" s="524">
        <v>5643</v>
      </c>
      <c r="AE192" s="525">
        <v>105.02</v>
      </c>
      <c r="AF192" s="525">
        <v>89.07</v>
      </c>
      <c r="AG192" s="525">
        <v>101.79</v>
      </c>
      <c r="AH192" s="525">
        <v>202.45</v>
      </c>
      <c r="AI192" s="525">
        <v>3064</v>
      </c>
      <c r="AJ192" s="525">
        <v>123.22</v>
      </c>
      <c r="AK192" s="525">
        <v>602</v>
      </c>
      <c r="AL192" s="525">
        <v>273.73</v>
      </c>
      <c r="AM192" s="525">
        <v>130</v>
      </c>
      <c r="AN192" s="526">
        <v>0</v>
      </c>
      <c r="AO192" s="526">
        <v>0</v>
      </c>
      <c r="AP192" s="526">
        <v>0</v>
      </c>
      <c r="AQ192" s="526">
        <v>0</v>
      </c>
      <c r="AR192" s="522">
        <v>0</v>
      </c>
      <c r="AS192" s="526">
        <v>78.599999999999994</v>
      </c>
      <c r="AT192" s="526">
        <v>79.13</v>
      </c>
      <c r="AU192" s="526">
        <v>13.71</v>
      </c>
      <c r="AV192" s="526">
        <v>91.28</v>
      </c>
      <c r="AW192" s="522">
        <v>53</v>
      </c>
      <c r="AX192" s="526">
        <v>85.06</v>
      </c>
      <c r="AY192" s="526">
        <v>84.65</v>
      </c>
      <c r="AZ192" s="526">
        <v>11.74</v>
      </c>
      <c r="BA192" s="526">
        <v>96.44</v>
      </c>
      <c r="BB192" s="522">
        <v>1446</v>
      </c>
      <c r="BC192" s="526">
        <v>96.78</v>
      </c>
      <c r="BD192" s="526">
        <v>96.14</v>
      </c>
      <c r="BE192" s="526">
        <v>8.16</v>
      </c>
      <c r="BF192" s="526">
        <v>101.86</v>
      </c>
      <c r="BG192" s="522">
        <v>2264</v>
      </c>
      <c r="BH192" s="526">
        <v>106.07</v>
      </c>
      <c r="BI192" s="526">
        <v>106.99</v>
      </c>
      <c r="BJ192" s="526">
        <v>3.18</v>
      </c>
      <c r="BK192" s="526">
        <v>107.66</v>
      </c>
      <c r="BL192" s="522">
        <v>1636</v>
      </c>
      <c r="BM192" s="526">
        <v>117.11</v>
      </c>
      <c r="BN192" s="526">
        <v>119.66</v>
      </c>
      <c r="BO192" s="526">
        <v>3.04</v>
      </c>
      <c r="BP192" s="526">
        <v>117.9</v>
      </c>
      <c r="BQ192" s="522">
        <v>236</v>
      </c>
      <c r="BR192" s="526">
        <v>129.62</v>
      </c>
      <c r="BS192" s="526">
        <v>135.44999999999999</v>
      </c>
      <c r="BT192" s="526">
        <v>0.52</v>
      </c>
      <c r="BU192" s="526">
        <v>129.77000000000001</v>
      </c>
      <c r="BV192" s="522">
        <v>7</v>
      </c>
      <c r="BW192" s="526">
        <v>122.02</v>
      </c>
      <c r="BX192" s="526">
        <v>120.68</v>
      </c>
      <c r="BY192" s="526">
        <v>0</v>
      </c>
      <c r="BZ192" s="526">
        <v>122.02</v>
      </c>
      <c r="CA192" s="522">
        <v>1</v>
      </c>
      <c r="CB192" s="526">
        <v>97.2</v>
      </c>
      <c r="CC192" s="526">
        <v>97.01</v>
      </c>
      <c r="CD192" s="526">
        <v>8.39</v>
      </c>
      <c r="CE192" s="526">
        <v>102.76</v>
      </c>
      <c r="CF192" s="522">
        <v>5643</v>
      </c>
      <c r="CG192" s="526">
        <v>97.2</v>
      </c>
      <c r="CH192" s="526">
        <v>97.01</v>
      </c>
      <c r="CI192" s="526">
        <v>8.39</v>
      </c>
      <c r="CJ192" s="526">
        <v>102.76</v>
      </c>
      <c r="CK192" s="522">
        <v>5643</v>
      </c>
      <c r="CL192" s="526">
        <v>115.34</v>
      </c>
      <c r="CM192" s="526">
        <v>80.180000000000007</v>
      </c>
      <c r="CN192" s="526">
        <v>229.44</v>
      </c>
      <c r="CO192" s="526">
        <v>333.75</v>
      </c>
      <c r="CP192" s="522">
        <v>437</v>
      </c>
      <c r="CQ192" s="526">
        <v>91.96</v>
      </c>
      <c r="CR192" s="526">
        <v>83.18</v>
      </c>
      <c r="CS192" s="526">
        <v>200.23</v>
      </c>
      <c r="CT192" s="526">
        <v>258.3</v>
      </c>
      <c r="CU192" s="522">
        <v>130</v>
      </c>
      <c r="CV192" s="526">
        <v>103.27</v>
      </c>
      <c r="CW192" s="526">
        <v>87.48</v>
      </c>
      <c r="CX192" s="526">
        <v>82.54</v>
      </c>
      <c r="CY192" s="526">
        <v>184.12</v>
      </c>
      <c r="CZ192" s="522">
        <v>2064</v>
      </c>
      <c r="DA192" s="526">
        <v>105.77</v>
      </c>
      <c r="DB192" s="526">
        <v>100.19</v>
      </c>
      <c r="DC192" s="526">
        <v>32.69</v>
      </c>
      <c r="DD192" s="526">
        <v>134.80000000000001</v>
      </c>
      <c r="DE192" s="522">
        <v>412</v>
      </c>
      <c r="DF192" s="526">
        <v>126.22</v>
      </c>
      <c r="DG192" s="526">
        <v>120.67</v>
      </c>
      <c r="DH192" s="526">
        <v>111.69</v>
      </c>
      <c r="DI192" s="526">
        <v>237.9</v>
      </c>
      <c r="DJ192" s="522">
        <v>20</v>
      </c>
      <c r="DK192" s="526">
        <v>180.74</v>
      </c>
      <c r="DL192" s="526">
        <v>180.74</v>
      </c>
      <c r="DM192" s="526">
        <v>375.69</v>
      </c>
      <c r="DN192" s="526">
        <v>556.42999999999995</v>
      </c>
      <c r="DO192" s="522">
        <v>1</v>
      </c>
      <c r="DP192" s="526">
        <v>103.3</v>
      </c>
      <c r="DQ192" s="526">
        <v>89.79</v>
      </c>
      <c r="DR192" s="526">
        <v>80.69</v>
      </c>
      <c r="DS192" s="526">
        <v>180.61</v>
      </c>
      <c r="DT192" s="522">
        <v>2627</v>
      </c>
      <c r="DU192" s="526">
        <v>105.02</v>
      </c>
      <c r="DV192" s="526">
        <v>89.07</v>
      </c>
      <c r="DW192" s="526">
        <v>101.79</v>
      </c>
      <c r="DX192" s="526">
        <v>202.45</v>
      </c>
      <c r="DY192" s="522">
        <v>3064</v>
      </c>
      <c r="DZ192" s="526">
        <v>0</v>
      </c>
      <c r="EA192" s="526">
        <v>0</v>
      </c>
      <c r="EB192" s="526">
        <v>0</v>
      </c>
      <c r="EC192" s="522">
        <v>0</v>
      </c>
      <c r="ED192" s="526">
        <v>100.18</v>
      </c>
      <c r="EE192" s="522">
        <v>119</v>
      </c>
      <c r="EF192" s="526">
        <v>122.26</v>
      </c>
      <c r="EG192" s="522">
        <v>275</v>
      </c>
      <c r="EH192" s="526">
        <v>135.62</v>
      </c>
      <c r="EI192" s="522">
        <v>184</v>
      </c>
      <c r="EJ192" s="526">
        <v>152.38999999999999</v>
      </c>
      <c r="EK192" s="522">
        <v>23</v>
      </c>
      <c r="EL192" s="526">
        <v>177.86</v>
      </c>
      <c r="EM192" s="522">
        <v>1</v>
      </c>
      <c r="EN192" s="526">
        <v>0</v>
      </c>
      <c r="EO192" s="522">
        <v>0</v>
      </c>
      <c r="EP192" s="526">
        <v>123.22</v>
      </c>
      <c r="EQ192" s="522">
        <v>602</v>
      </c>
      <c r="ER192" s="526">
        <v>123.22</v>
      </c>
      <c r="ES192" s="522">
        <v>602</v>
      </c>
      <c r="ET192" s="526">
        <v>0</v>
      </c>
      <c r="EU192" s="526">
        <v>0</v>
      </c>
      <c r="EV192" s="526">
        <v>0</v>
      </c>
      <c r="EW192" s="522">
        <v>0</v>
      </c>
      <c r="EX192" s="526">
        <v>278.68</v>
      </c>
      <c r="EY192" s="522">
        <v>114</v>
      </c>
      <c r="EZ192" s="526">
        <v>199.55</v>
      </c>
      <c r="FA192" s="522">
        <v>3</v>
      </c>
      <c r="FB192" s="526">
        <v>260.8</v>
      </c>
      <c r="FC192" s="522">
        <v>12</v>
      </c>
      <c r="FD192" s="526">
        <v>87.34</v>
      </c>
      <c r="FE192" s="522">
        <v>1</v>
      </c>
      <c r="FF192" s="526">
        <v>273.73</v>
      </c>
      <c r="FG192" s="522">
        <v>130</v>
      </c>
      <c r="FH192" s="526">
        <v>273.73</v>
      </c>
      <c r="FI192" s="522">
        <v>130</v>
      </c>
      <c r="FJ192" s="522">
        <v>0</v>
      </c>
      <c r="FK192" s="522">
        <v>3</v>
      </c>
      <c r="FL192" s="522">
        <v>0</v>
      </c>
      <c r="FM192" s="522">
        <v>0</v>
      </c>
      <c r="FN192" s="522">
        <v>2</v>
      </c>
      <c r="FO192" s="522">
        <v>1</v>
      </c>
      <c r="FP192" s="522">
        <v>23</v>
      </c>
      <c r="FQ192" s="522">
        <v>52</v>
      </c>
      <c r="FR192" s="522">
        <v>4</v>
      </c>
    </row>
    <row r="193" spans="1:174" x14ac:dyDescent="0.25">
      <c r="A193" s="523" t="s">
        <v>638</v>
      </c>
      <c r="B193" s="523" t="s">
        <v>639</v>
      </c>
      <c r="C193" s="523" t="s">
        <v>288</v>
      </c>
      <c r="D193" s="522">
        <v>2834</v>
      </c>
      <c r="E193" s="522">
        <v>2817</v>
      </c>
      <c r="F193" s="522">
        <v>0</v>
      </c>
      <c r="G193" s="522">
        <v>0</v>
      </c>
      <c r="H193" s="522">
        <v>244</v>
      </c>
      <c r="I193" s="522">
        <v>214</v>
      </c>
      <c r="J193" s="522">
        <v>360</v>
      </c>
      <c r="K193" s="522">
        <v>298</v>
      </c>
      <c r="L193" s="522">
        <v>703</v>
      </c>
      <c r="M193" s="522">
        <v>98</v>
      </c>
      <c r="N193" s="522">
        <v>4141</v>
      </c>
      <c r="O193" s="522">
        <v>3427</v>
      </c>
      <c r="P193" s="522">
        <v>3438</v>
      </c>
      <c r="Q193" s="522">
        <v>13</v>
      </c>
      <c r="R193" s="523">
        <v>9</v>
      </c>
      <c r="S193" s="523">
        <v>28</v>
      </c>
      <c r="T193" s="523">
        <v>110</v>
      </c>
      <c r="U193" s="523">
        <v>4031</v>
      </c>
      <c r="V193" s="522">
        <v>2817</v>
      </c>
      <c r="W193" s="522">
        <v>9</v>
      </c>
      <c r="X193" s="522">
        <v>6</v>
      </c>
      <c r="Y193" s="522">
        <v>15</v>
      </c>
      <c r="Z193" s="524">
        <v>109.78</v>
      </c>
      <c r="AA193" s="524">
        <v>109.53</v>
      </c>
      <c r="AB193" s="524">
        <v>8.36</v>
      </c>
      <c r="AC193" s="524">
        <v>117.1</v>
      </c>
      <c r="AD193" s="524">
        <v>1705</v>
      </c>
      <c r="AE193" s="525">
        <v>149.96</v>
      </c>
      <c r="AF193" s="525">
        <v>101.43</v>
      </c>
      <c r="AG193" s="525">
        <v>59.19</v>
      </c>
      <c r="AH193" s="525">
        <v>208.8</v>
      </c>
      <c r="AI193" s="525">
        <v>511</v>
      </c>
      <c r="AJ193" s="525">
        <v>138.27000000000001</v>
      </c>
      <c r="AK193" s="525">
        <v>1114</v>
      </c>
      <c r="AL193" s="525">
        <v>0</v>
      </c>
      <c r="AM193" s="525">
        <v>0</v>
      </c>
      <c r="AN193" s="526">
        <v>0</v>
      </c>
      <c r="AO193" s="526">
        <v>0</v>
      </c>
      <c r="AP193" s="526">
        <v>0</v>
      </c>
      <c r="AQ193" s="526">
        <v>0</v>
      </c>
      <c r="AR193" s="522">
        <v>0</v>
      </c>
      <c r="AS193" s="526">
        <v>0</v>
      </c>
      <c r="AT193" s="526">
        <v>0</v>
      </c>
      <c r="AU193" s="526">
        <v>0</v>
      </c>
      <c r="AV193" s="526">
        <v>0</v>
      </c>
      <c r="AW193" s="522">
        <v>0</v>
      </c>
      <c r="AX193" s="526">
        <v>90.22</v>
      </c>
      <c r="AY193" s="526">
        <v>89.89</v>
      </c>
      <c r="AZ193" s="526">
        <v>13.73</v>
      </c>
      <c r="BA193" s="526">
        <v>103.58</v>
      </c>
      <c r="BB193" s="522">
        <v>370</v>
      </c>
      <c r="BC193" s="526">
        <v>108.52</v>
      </c>
      <c r="BD193" s="526">
        <v>107.94</v>
      </c>
      <c r="BE193" s="526">
        <v>9.2100000000000009</v>
      </c>
      <c r="BF193" s="526">
        <v>116.68</v>
      </c>
      <c r="BG193" s="522">
        <v>700</v>
      </c>
      <c r="BH193" s="526">
        <v>121.18</v>
      </c>
      <c r="BI193" s="526">
        <v>121.25</v>
      </c>
      <c r="BJ193" s="526">
        <v>3.49</v>
      </c>
      <c r="BK193" s="526">
        <v>124.03</v>
      </c>
      <c r="BL193" s="522">
        <v>580</v>
      </c>
      <c r="BM193" s="526">
        <v>136.77000000000001</v>
      </c>
      <c r="BN193" s="526">
        <v>137.74</v>
      </c>
      <c r="BO193" s="526">
        <v>4.59</v>
      </c>
      <c r="BP193" s="526">
        <v>140.08000000000001</v>
      </c>
      <c r="BQ193" s="522">
        <v>50</v>
      </c>
      <c r="BR193" s="526">
        <v>141.69999999999999</v>
      </c>
      <c r="BS193" s="526">
        <v>143.72</v>
      </c>
      <c r="BT193" s="526">
        <v>3.91</v>
      </c>
      <c r="BU193" s="526">
        <v>144.82</v>
      </c>
      <c r="BV193" s="522">
        <v>5</v>
      </c>
      <c r="BW193" s="526">
        <v>0</v>
      </c>
      <c r="BX193" s="526">
        <v>0</v>
      </c>
      <c r="BY193" s="526">
        <v>0</v>
      </c>
      <c r="BZ193" s="526">
        <v>0</v>
      </c>
      <c r="CA193" s="522">
        <v>0</v>
      </c>
      <c r="CB193" s="526">
        <v>109.78</v>
      </c>
      <c r="CC193" s="526">
        <v>109.53</v>
      </c>
      <c r="CD193" s="526">
        <v>8.36</v>
      </c>
      <c r="CE193" s="526">
        <v>117.1</v>
      </c>
      <c r="CF193" s="522">
        <v>1705</v>
      </c>
      <c r="CG193" s="526">
        <v>109.78</v>
      </c>
      <c r="CH193" s="526">
        <v>109.53</v>
      </c>
      <c r="CI193" s="526">
        <v>8.36</v>
      </c>
      <c r="CJ193" s="526">
        <v>117.1</v>
      </c>
      <c r="CK193" s="522">
        <v>1705</v>
      </c>
      <c r="CL193" s="526">
        <v>155.61000000000001</v>
      </c>
      <c r="CM193" s="526">
        <v>75.849999999999994</v>
      </c>
      <c r="CN193" s="526">
        <v>93.04</v>
      </c>
      <c r="CO193" s="526">
        <v>246.29</v>
      </c>
      <c r="CP193" s="522">
        <v>79</v>
      </c>
      <c r="CQ193" s="526">
        <v>92.59</v>
      </c>
      <c r="CR193" s="526">
        <v>87.15</v>
      </c>
      <c r="CS193" s="526">
        <v>46.47</v>
      </c>
      <c r="CT193" s="526">
        <v>139.05000000000001</v>
      </c>
      <c r="CU193" s="522">
        <v>38</v>
      </c>
      <c r="CV193" s="526">
        <v>161.88999999999999</v>
      </c>
      <c r="CW193" s="526">
        <v>98.36</v>
      </c>
      <c r="CX193" s="526">
        <v>58.96</v>
      </c>
      <c r="CY193" s="526">
        <v>220.84</v>
      </c>
      <c r="CZ193" s="522">
        <v>288</v>
      </c>
      <c r="DA193" s="526">
        <v>134.04</v>
      </c>
      <c r="DB193" s="526">
        <v>122.9</v>
      </c>
      <c r="DC193" s="526">
        <v>39.81</v>
      </c>
      <c r="DD193" s="526">
        <v>173.48</v>
      </c>
      <c r="DE193" s="522">
        <v>105</v>
      </c>
      <c r="DF193" s="526">
        <v>118.09</v>
      </c>
      <c r="DG193" s="526">
        <v>111.47</v>
      </c>
      <c r="DH193" s="526">
        <v>18.78</v>
      </c>
      <c r="DI193" s="526">
        <v>136.87</v>
      </c>
      <c r="DJ193" s="522">
        <v>1</v>
      </c>
      <c r="DK193" s="526">
        <v>0</v>
      </c>
      <c r="DL193" s="526">
        <v>0</v>
      </c>
      <c r="DM193" s="526">
        <v>0</v>
      </c>
      <c r="DN193" s="526">
        <v>0</v>
      </c>
      <c r="DO193" s="522">
        <v>0</v>
      </c>
      <c r="DP193" s="526">
        <v>148.91999999999999</v>
      </c>
      <c r="DQ193" s="526">
        <v>104.93</v>
      </c>
      <c r="DR193" s="526">
        <v>53.14</v>
      </c>
      <c r="DS193" s="526">
        <v>201.94</v>
      </c>
      <c r="DT193" s="522">
        <v>432</v>
      </c>
      <c r="DU193" s="526">
        <v>149.96</v>
      </c>
      <c r="DV193" s="526">
        <v>101.43</v>
      </c>
      <c r="DW193" s="526">
        <v>59.19</v>
      </c>
      <c r="DX193" s="526">
        <v>208.8</v>
      </c>
      <c r="DY193" s="522">
        <v>511</v>
      </c>
      <c r="DZ193" s="526">
        <v>0</v>
      </c>
      <c r="EA193" s="526">
        <v>0</v>
      </c>
      <c r="EB193" s="526">
        <v>0</v>
      </c>
      <c r="EC193" s="522">
        <v>0</v>
      </c>
      <c r="ED193" s="526">
        <v>109.92</v>
      </c>
      <c r="EE193" s="522">
        <v>181</v>
      </c>
      <c r="EF193" s="526">
        <v>135.72</v>
      </c>
      <c r="EG193" s="522">
        <v>521</v>
      </c>
      <c r="EH193" s="526">
        <v>150.19999999999999</v>
      </c>
      <c r="EI193" s="522">
        <v>380</v>
      </c>
      <c r="EJ193" s="526">
        <v>198.53</v>
      </c>
      <c r="EK193" s="522">
        <v>32</v>
      </c>
      <c r="EL193" s="526">
        <v>0</v>
      </c>
      <c r="EM193" s="522">
        <v>0</v>
      </c>
      <c r="EN193" s="526">
        <v>0</v>
      </c>
      <c r="EO193" s="522">
        <v>0</v>
      </c>
      <c r="EP193" s="526">
        <v>138.27000000000001</v>
      </c>
      <c r="EQ193" s="522">
        <v>1114</v>
      </c>
      <c r="ER193" s="526">
        <v>138.27000000000001</v>
      </c>
      <c r="ES193" s="522">
        <v>1114</v>
      </c>
      <c r="ET193" s="526">
        <v>0</v>
      </c>
      <c r="EU193" s="526">
        <v>0</v>
      </c>
      <c r="EV193" s="526">
        <v>0</v>
      </c>
      <c r="EW193" s="522">
        <v>0</v>
      </c>
      <c r="EX193" s="526">
        <v>0</v>
      </c>
      <c r="EY193" s="522">
        <v>0</v>
      </c>
      <c r="EZ193" s="526">
        <v>0</v>
      </c>
      <c r="FA193" s="522">
        <v>0</v>
      </c>
      <c r="FB193" s="526">
        <v>0</v>
      </c>
      <c r="FC193" s="522">
        <v>0</v>
      </c>
      <c r="FD193" s="526">
        <v>0</v>
      </c>
      <c r="FE193" s="522">
        <v>0</v>
      </c>
      <c r="FF193" s="526">
        <v>0</v>
      </c>
      <c r="FG193" s="522">
        <v>0</v>
      </c>
      <c r="FH193" s="526">
        <v>0</v>
      </c>
      <c r="FI193" s="522">
        <v>0</v>
      </c>
      <c r="FJ193" s="522">
        <v>3</v>
      </c>
      <c r="FK193" s="522">
        <v>1</v>
      </c>
      <c r="FL193" s="522">
        <v>0</v>
      </c>
      <c r="FM193" s="522">
        <v>0</v>
      </c>
      <c r="FN193" s="522">
        <v>1</v>
      </c>
      <c r="FO193" s="522">
        <v>0</v>
      </c>
      <c r="FP193" s="522">
        <v>0</v>
      </c>
      <c r="FQ193" s="522">
        <v>102</v>
      </c>
      <c r="FR193" s="522">
        <v>4</v>
      </c>
    </row>
    <row r="194" spans="1:174" x14ac:dyDescent="0.25">
      <c r="A194" s="523" t="s">
        <v>640</v>
      </c>
      <c r="B194" s="523" t="s">
        <v>641</v>
      </c>
      <c r="C194" s="523" t="s">
        <v>282</v>
      </c>
      <c r="D194" s="522">
        <v>645</v>
      </c>
      <c r="E194" s="522">
        <v>562</v>
      </c>
      <c r="F194" s="522">
        <v>0</v>
      </c>
      <c r="G194" s="522">
        <v>0</v>
      </c>
      <c r="H194" s="522">
        <v>57</v>
      </c>
      <c r="I194" s="522">
        <v>29</v>
      </c>
      <c r="J194" s="522">
        <v>103</v>
      </c>
      <c r="K194" s="522">
        <v>95</v>
      </c>
      <c r="L194" s="522">
        <v>243</v>
      </c>
      <c r="M194" s="522">
        <v>0</v>
      </c>
      <c r="N194" s="522">
        <v>1048</v>
      </c>
      <c r="O194" s="522">
        <v>686</v>
      </c>
      <c r="P194" s="522">
        <v>805</v>
      </c>
      <c r="Q194" s="522">
        <v>0</v>
      </c>
      <c r="R194" s="523">
        <v>5</v>
      </c>
      <c r="S194" s="523">
        <v>18</v>
      </c>
      <c r="T194" s="523">
        <v>61</v>
      </c>
      <c r="U194" s="523">
        <v>987</v>
      </c>
      <c r="V194" s="522">
        <v>610</v>
      </c>
      <c r="W194" s="522">
        <v>4</v>
      </c>
      <c r="X194" s="522">
        <v>0</v>
      </c>
      <c r="Y194" s="522">
        <v>4</v>
      </c>
      <c r="Z194" s="524">
        <v>104.82</v>
      </c>
      <c r="AA194" s="524">
        <v>105.7</v>
      </c>
      <c r="AB194" s="524">
        <v>7.89</v>
      </c>
      <c r="AC194" s="524">
        <v>108.96</v>
      </c>
      <c r="AD194" s="524">
        <v>280</v>
      </c>
      <c r="AE194" s="525">
        <v>123.75</v>
      </c>
      <c r="AF194" s="525">
        <v>84.64</v>
      </c>
      <c r="AG194" s="525">
        <v>45.35</v>
      </c>
      <c r="AH194" s="525">
        <v>165.04</v>
      </c>
      <c r="AI194" s="525">
        <v>134</v>
      </c>
      <c r="AJ194" s="525">
        <v>131.43</v>
      </c>
      <c r="AK194" s="525">
        <v>273</v>
      </c>
      <c r="AL194" s="525">
        <v>0</v>
      </c>
      <c r="AM194" s="525">
        <v>0</v>
      </c>
      <c r="AN194" s="526">
        <v>0</v>
      </c>
      <c r="AO194" s="526">
        <v>0</v>
      </c>
      <c r="AP194" s="526">
        <v>0</v>
      </c>
      <c r="AQ194" s="526">
        <v>0</v>
      </c>
      <c r="AR194" s="522">
        <v>0</v>
      </c>
      <c r="AS194" s="526">
        <v>0</v>
      </c>
      <c r="AT194" s="526">
        <v>0</v>
      </c>
      <c r="AU194" s="526">
        <v>0</v>
      </c>
      <c r="AV194" s="526">
        <v>0</v>
      </c>
      <c r="AW194" s="522">
        <v>0</v>
      </c>
      <c r="AX194" s="526">
        <v>86</v>
      </c>
      <c r="AY194" s="526">
        <v>86.03</v>
      </c>
      <c r="AZ194" s="526">
        <v>13.11</v>
      </c>
      <c r="BA194" s="526">
        <v>98.12</v>
      </c>
      <c r="BB194" s="522">
        <v>53</v>
      </c>
      <c r="BC194" s="526">
        <v>104.02</v>
      </c>
      <c r="BD194" s="526">
        <v>105.04</v>
      </c>
      <c r="BE194" s="526">
        <v>7.28</v>
      </c>
      <c r="BF194" s="526">
        <v>107.13</v>
      </c>
      <c r="BG194" s="522">
        <v>124</v>
      </c>
      <c r="BH194" s="526">
        <v>114.56</v>
      </c>
      <c r="BI194" s="526">
        <v>115.85</v>
      </c>
      <c r="BJ194" s="526">
        <v>2.85</v>
      </c>
      <c r="BK194" s="526">
        <v>115.73</v>
      </c>
      <c r="BL194" s="522">
        <v>95</v>
      </c>
      <c r="BM194" s="526">
        <v>126.21</v>
      </c>
      <c r="BN194" s="526">
        <v>125.99</v>
      </c>
      <c r="BO194" s="526">
        <v>3.69</v>
      </c>
      <c r="BP194" s="526">
        <v>128.84</v>
      </c>
      <c r="BQ194" s="522">
        <v>7</v>
      </c>
      <c r="BR194" s="526">
        <v>126.94</v>
      </c>
      <c r="BS194" s="526">
        <v>125.54</v>
      </c>
      <c r="BT194" s="526">
        <v>1.99</v>
      </c>
      <c r="BU194" s="526">
        <v>128.93</v>
      </c>
      <c r="BV194" s="522">
        <v>1</v>
      </c>
      <c r="BW194" s="526">
        <v>0</v>
      </c>
      <c r="BX194" s="526">
        <v>0</v>
      </c>
      <c r="BY194" s="526">
        <v>0</v>
      </c>
      <c r="BZ194" s="526">
        <v>0</v>
      </c>
      <c r="CA194" s="522">
        <v>0</v>
      </c>
      <c r="CB194" s="526">
        <v>104.82</v>
      </c>
      <c r="CC194" s="526">
        <v>105.7</v>
      </c>
      <c r="CD194" s="526">
        <v>7.89</v>
      </c>
      <c r="CE194" s="526">
        <v>108.96</v>
      </c>
      <c r="CF194" s="522">
        <v>280</v>
      </c>
      <c r="CG194" s="526">
        <v>104.82</v>
      </c>
      <c r="CH194" s="526">
        <v>105.7</v>
      </c>
      <c r="CI194" s="526">
        <v>7.89</v>
      </c>
      <c r="CJ194" s="526">
        <v>108.96</v>
      </c>
      <c r="CK194" s="522">
        <v>280</v>
      </c>
      <c r="CL194" s="526">
        <v>240.4</v>
      </c>
      <c r="CM194" s="526">
        <v>87.39</v>
      </c>
      <c r="CN194" s="526">
        <v>71.739999999999995</v>
      </c>
      <c r="CO194" s="526">
        <v>307.19</v>
      </c>
      <c r="CP194" s="522">
        <v>29</v>
      </c>
      <c r="CQ194" s="526">
        <v>82.86</v>
      </c>
      <c r="CR194" s="526">
        <v>76.84</v>
      </c>
      <c r="CS194" s="526">
        <v>38.94</v>
      </c>
      <c r="CT194" s="526">
        <v>121.8</v>
      </c>
      <c r="CU194" s="522">
        <v>55</v>
      </c>
      <c r="CV194" s="526">
        <v>97.36</v>
      </c>
      <c r="CW194" s="526">
        <v>89.6</v>
      </c>
      <c r="CX194" s="526">
        <v>39.42</v>
      </c>
      <c r="CY194" s="526">
        <v>126.4</v>
      </c>
      <c r="CZ194" s="522">
        <v>38</v>
      </c>
      <c r="DA194" s="526">
        <v>112.82</v>
      </c>
      <c r="DB194" s="526">
        <v>102.9</v>
      </c>
      <c r="DC194" s="526">
        <v>29.27</v>
      </c>
      <c r="DD194" s="526">
        <v>142.09</v>
      </c>
      <c r="DE194" s="522">
        <v>12</v>
      </c>
      <c r="DF194" s="526">
        <v>0</v>
      </c>
      <c r="DG194" s="526">
        <v>0</v>
      </c>
      <c r="DH194" s="526">
        <v>0</v>
      </c>
      <c r="DI194" s="526">
        <v>0</v>
      </c>
      <c r="DJ194" s="522">
        <v>0</v>
      </c>
      <c r="DK194" s="526">
        <v>0</v>
      </c>
      <c r="DL194" s="526">
        <v>0</v>
      </c>
      <c r="DM194" s="526">
        <v>0</v>
      </c>
      <c r="DN194" s="526">
        <v>0</v>
      </c>
      <c r="DO194" s="522">
        <v>0</v>
      </c>
      <c r="DP194" s="526">
        <v>91.53</v>
      </c>
      <c r="DQ194" s="526">
        <v>84.43</v>
      </c>
      <c r="DR194" s="526">
        <v>37.86</v>
      </c>
      <c r="DS194" s="526">
        <v>125.78</v>
      </c>
      <c r="DT194" s="522">
        <v>105</v>
      </c>
      <c r="DU194" s="526">
        <v>123.75</v>
      </c>
      <c r="DV194" s="526">
        <v>84.64</v>
      </c>
      <c r="DW194" s="526">
        <v>45.35</v>
      </c>
      <c r="DX194" s="526">
        <v>165.04</v>
      </c>
      <c r="DY194" s="522">
        <v>134</v>
      </c>
      <c r="DZ194" s="526">
        <v>0</v>
      </c>
      <c r="EA194" s="526">
        <v>0</v>
      </c>
      <c r="EB194" s="526">
        <v>0</v>
      </c>
      <c r="EC194" s="522">
        <v>0</v>
      </c>
      <c r="ED194" s="526">
        <v>100.66</v>
      </c>
      <c r="EE194" s="522">
        <v>53</v>
      </c>
      <c r="EF194" s="526">
        <v>130.62</v>
      </c>
      <c r="EG194" s="522">
        <v>146</v>
      </c>
      <c r="EH194" s="526">
        <v>151.76</v>
      </c>
      <c r="EI194" s="522">
        <v>64</v>
      </c>
      <c r="EJ194" s="526">
        <v>176.15</v>
      </c>
      <c r="EK194" s="522">
        <v>10</v>
      </c>
      <c r="EL194" s="526">
        <v>0</v>
      </c>
      <c r="EM194" s="522">
        <v>0</v>
      </c>
      <c r="EN194" s="526">
        <v>0</v>
      </c>
      <c r="EO194" s="522">
        <v>0</v>
      </c>
      <c r="EP194" s="526">
        <v>131.43</v>
      </c>
      <c r="EQ194" s="522">
        <v>273</v>
      </c>
      <c r="ER194" s="526">
        <v>131.43</v>
      </c>
      <c r="ES194" s="522">
        <v>273</v>
      </c>
      <c r="ET194" s="526">
        <v>0</v>
      </c>
      <c r="EU194" s="526">
        <v>0</v>
      </c>
      <c r="EV194" s="526">
        <v>0</v>
      </c>
      <c r="EW194" s="522">
        <v>0</v>
      </c>
      <c r="EX194" s="526">
        <v>0</v>
      </c>
      <c r="EY194" s="522">
        <v>0</v>
      </c>
      <c r="EZ194" s="526">
        <v>0</v>
      </c>
      <c r="FA194" s="522">
        <v>0</v>
      </c>
      <c r="FB194" s="526">
        <v>0</v>
      </c>
      <c r="FC194" s="522">
        <v>0</v>
      </c>
      <c r="FD194" s="526">
        <v>0</v>
      </c>
      <c r="FE194" s="522">
        <v>0</v>
      </c>
      <c r="FF194" s="526">
        <v>0</v>
      </c>
      <c r="FG194" s="522">
        <v>0</v>
      </c>
      <c r="FH194" s="526">
        <v>0</v>
      </c>
      <c r="FI194" s="522">
        <v>0</v>
      </c>
      <c r="FJ194" s="522">
        <v>0</v>
      </c>
      <c r="FK194" s="522">
        <v>0</v>
      </c>
      <c r="FL194" s="522">
        <v>0</v>
      </c>
      <c r="FM194" s="522">
        <v>0</v>
      </c>
      <c r="FN194" s="522">
        <v>0</v>
      </c>
      <c r="FO194" s="522">
        <v>0</v>
      </c>
      <c r="FP194" s="522">
        <v>0</v>
      </c>
      <c r="FQ194" s="522">
        <v>53</v>
      </c>
      <c r="FR194" s="522">
        <v>2</v>
      </c>
    </row>
    <row r="195" spans="1:174" x14ac:dyDescent="0.25">
      <c r="A195" s="523" t="s">
        <v>642</v>
      </c>
      <c r="B195" s="523" t="s">
        <v>643</v>
      </c>
      <c r="C195" s="523" t="s">
        <v>286</v>
      </c>
      <c r="D195" s="522">
        <v>17229</v>
      </c>
      <c r="E195" s="522">
        <v>17859</v>
      </c>
      <c r="F195" s="522">
        <v>5</v>
      </c>
      <c r="G195" s="522">
        <v>5</v>
      </c>
      <c r="H195" s="522">
        <v>615</v>
      </c>
      <c r="I195" s="522">
        <v>368</v>
      </c>
      <c r="J195" s="522">
        <v>792</v>
      </c>
      <c r="K195" s="522">
        <v>2220</v>
      </c>
      <c r="L195" s="522">
        <v>418</v>
      </c>
      <c r="M195" s="522">
        <v>0</v>
      </c>
      <c r="N195" s="522">
        <v>19059</v>
      </c>
      <c r="O195" s="522">
        <v>20452</v>
      </c>
      <c r="P195" s="522">
        <v>18641</v>
      </c>
      <c r="Q195" s="522">
        <v>16</v>
      </c>
      <c r="R195" s="523">
        <v>9</v>
      </c>
      <c r="S195" s="523">
        <v>16</v>
      </c>
      <c r="T195" s="523">
        <v>87</v>
      </c>
      <c r="U195" s="523">
        <v>18972</v>
      </c>
      <c r="V195" s="522">
        <v>17207</v>
      </c>
      <c r="W195" s="522">
        <v>46</v>
      </c>
      <c r="X195" s="522">
        <v>123</v>
      </c>
      <c r="Y195" s="522">
        <v>169</v>
      </c>
      <c r="Z195" s="524">
        <v>88.65</v>
      </c>
      <c r="AA195" s="524">
        <v>91.33</v>
      </c>
      <c r="AB195" s="524">
        <v>6.64</v>
      </c>
      <c r="AC195" s="524">
        <v>92.17</v>
      </c>
      <c r="AD195" s="524">
        <v>15182</v>
      </c>
      <c r="AE195" s="525">
        <v>90.73</v>
      </c>
      <c r="AF195" s="525">
        <v>85.7</v>
      </c>
      <c r="AG195" s="525">
        <v>52.24</v>
      </c>
      <c r="AH195" s="525">
        <v>138.91999999999999</v>
      </c>
      <c r="AI195" s="525">
        <v>1342</v>
      </c>
      <c r="AJ195" s="525">
        <v>117.09</v>
      </c>
      <c r="AK195" s="525">
        <v>1861</v>
      </c>
      <c r="AL195" s="525">
        <v>0</v>
      </c>
      <c r="AM195" s="525">
        <v>0</v>
      </c>
      <c r="AN195" s="526">
        <v>63.09</v>
      </c>
      <c r="AO195" s="526">
        <v>63.09</v>
      </c>
      <c r="AP195" s="526">
        <v>0</v>
      </c>
      <c r="AQ195" s="526">
        <v>63.09</v>
      </c>
      <c r="AR195" s="522">
        <v>3</v>
      </c>
      <c r="AS195" s="526">
        <v>66.989999999999995</v>
      </c>
      <c r="AT195" s="526">
        <v>68.88</v>
      </c>
      <c r="AU195" s="526">
        <v>10.54</v>
      </c>
      <c r="AV195" s="526">
        <v>76.41</v>
      </c>
      <c r="AW195" s="522">
        <v>94</v>
      </c>
      <c r="AX195" s="526">
        <v>76.680000000000007</v>
      </c>
      <c r="AY195" s="526">
        <v>78.709999999999994</v>
      </c>
      <c r="AZ195" s="526">
        <v>7.58</v>
      </c>
      <c r="BA195" s="526">
        <v>83.58</v>
      </c>
      <c r="BB195" s="522">
        <v>3933</v>
      </c>
      <c r="BC195" s="526">
        <v>87.96</v>
      </c>
      <c r="BD195" s="526">
        <v>90.27</v>
      </c>
      <c r="BE195" s="526">
        <v>6.34</v>
      </c>
      <c r="BF195" s="526">
        <v>91.11</v>
      </c>
      <c r="BG195" s="522">
        <v>6403</v>
      </c>
      <c r="BH195" s="526">
        <v>97.68</v>
      </c>
      <c r="BI195" s="526">
        <v>101.62</v>
      </c>
      <c r="BJ195" s="526">
        <v>4.91</v>
      </c>
      <c r="BK195" s="526">
        <v>98.74</v>
      </c>
      <c r="BL195" s="522">
        <v>4034</v>
      </c>
      <c r="BM195" s="526">
        <v>110.63</v>
      </c>
      <c r="BN195" s="526">
        <v>113.05</v>
      </c>
      <c r="BO195" s="526">
        <v>2.93</v>
      </c>
      <c r="BP195" s="526">
        <v>111.99</v>
      </c>
      <c r="BQ195" s="522">
        <v>605</v>
      </c>
      <c r="BR195" s="526">
        <v>122.45</v>
      </c>
      <c r="BS195" s="526">
        <v>127.05</v>
      </c>
      <c r="BT195" s="526">
        <v>2.61</v>
      </c>
      <c r="BU195" s="526">
        <v>123.74</v>
      </c>
      <c r="BV195" s="522">
        <v>85</v>
      </c>
      <c r="BW195" s="526">
        <v>131.13999999999999</v>
      </c>
      <c r="BX195" s="526">
        <v>135.66999999999999</v>
      </c>
      <c r="BY195" s="526">
        <v>3.68</v>
      </c>
      <c r="BZ195" s="526">
        <v>133.63999999999999</v>
      </c>
      <c r="CA195" s="522">
        <v>25</v>
      </c>
      <c r="CB195" s="526">
        <v>88.66</v>
      </c>
      <c r="CC195" s="526">
        <v>91.34</v>
      </c>
      <c r="CD195" s="526">
        <v>6.64</v>
      </c>
      <c r="CE195" s="526">
        <v>92.18</v>
      </c>
      <c r="CF195" s="522">
        <v>15179</v>
      </c>
      <c r="CG195" s="526">
        <v>88.65</v>
      </c>
      <c r="CH195" s="526">
        <v>91.33</v>
      </c>
      <c r="CI195" s="526">
        <v>6.64</v>
      </c>
      <c r="CJ195" s="526">
        <v>92.17</v>
      </c>
      <c r="CK195" s="522">
        <v>15182</v>
      </c>
      <c r="CL195" s="526">
        <v>97.98</v>
      </c>
      <c r="CM195" s="526">
        <v>91.45</v>
      </c>
      <c r="CN195" s="526">
        <v>86.39</v>
      </c>
      <c r="CO195" s="526">
        <v>173.24</v>
      </c>
      <c r="CP195" s="522">
        <v>132</v>
      </c>
      <c r="CQ195" s="526">
        <v>86.14</v>
      </c>
      <c r="CR195" s="526">
        <v>73.13</v>
      </c>
      <c r="CS195" s="526">
        <v>59.53</v>
      </c>
      <c r="CT195" s="526">
        <v>126.98</v>
      </c>
      <c r="CU195" s="522">
        <v>191</v>
      </c>
      <c r="CV195" s="526">
        <v>89.94</v>
      </c>
      <c r="CW195" s="526">
        <v>86.6</v>
      </c>
      <c r="CX195" s="526">
        <v>48.73</v>
      </c>
      <c r="CY195" s="526">
        <v>137.28</v>
      </c>
      <c r="CZ195" s="522">
        <v>948</v>
      </c>
      <c r="DA195" s="526">
        <v>96.72</v>
      </c>
      <c r="DB195" s="526">
        <v>96.51</v>
      </c>
      <c r="DC195" s="526">
        <v>27.01</v>
      </c>
      <c r="DD195" s="526">
        <v>123.73</v>
      </c>
      <c r="DE195" s="522">
        <v>59</v>
      </c>
      <c r="DF195" s="526">
        <v>116.82</v>
      </c>
      <c r="DG195" s="526">
        <v>109.83</v>
      </c>
      <c r="DH195" s="526">
        <v>38.53</v>
      </c>
      <c r="DI195" s="526">
        <v>155.35</v>
      </c>
      <c r="DJ195" s="522">
        <v>12</v>
      </c>
      <c r="DK195" s="526">
        <v>0</v>
      </c>
      <c r="DL195" s="526">
        <v>0</v>
      </c>
      <c r="DM195" s="526">
        <v>0</v>
      </c>
      <c r="DN195" s="526">
        <v>0</v>
      </c>
      <c r="DO195" s="522">
        <v>0</v>
      </c>
      <c r="DP195" s="526">
        <v>89.94</v>
      </c>
      <c r="DQ195" s="526">
        <v>85.18</v>
      </c>
      <c r="DR195" s="526">
        <v>48.74</v>
      </c>
      <c r="DS195" s="526">
        <v>135.16999999999999</v>
      </c>
      <c r="DT195" s="522">
        <v>1210</v>
      </c>
      <c r="DU195" s="526">
        <v>90.73</v>
      </c>
      <c r="DV195" s="526">
        <v>85.7</v>
      </c>
      <c r="DW195" s="526">
        <v>52.24</v>
      </c>
      <c r="DX195" s="526">
        <v>138.91999999999999</v>
      </c>
      <c r="DY195" s="522">
        <v>1342</v>
      </c>
      <c r="DZ195" s="526">
        <v>0</v>
      </c>
      <c r="EA195" s="526">
        <v>0</v>
      </c>
      <c r="EB195" s="526">
        <v>91.34</v>
      </c>
      <c r="EC195" s="522">
        <v>1</v>
      </c>
      <c r="ED195" s="526">
        <v>92.27</v>
      </c>
      <c r="EE195" s="522">
        <v>389</v>
      </c>
      <c r="EF195" s="526">
        <v>107.48</v>
      </c>
      <c r="EG195" s="522">
        <v>573</v>
      </c>
      <c r="EH195" s="526">
        <v>130.16999999999999</v>
      </c>
      <c r="EI195" s="522">
        <v>697</v>
      </c>
      <c r="EJ195" s="526">
        <v>146.25</v>
      </c>
      <c r="EK195" s="522">
        <v>176</v>
      </c>
      <c r="EL195" s="526">
        <v>154.16999999999999</v>
      </c>
      <c r="EM195" s="522">
        <v>25</v>
      </c>
      <c r="EN195" s="526">
        <v>0</v>
      </c>
      <c r="EO195" s="522">
        <v>0</v>
      </c>
      <c r="EP195" s="526">
        <v>117.09</v>
      </c>
      <c r="EQ195" s="522">
        <v>1861</v>
      </c>
      <c r="ER195" s="526">
        <v>117.09</v>
      </c>
      <c r="ES195" s="522">
        <v>1861</v>
      </c>
      <c r="ET195" s="526">
        <v>0</v>
      </c>
      <c r="EU195" s="526">
        <v>0</v>
      </c>
      <c r="EV195" s="526">
        <v>0</v>
      </c>
      <c r="EW195" s="522">
        <v>0</v>
      </c>
      <c r="EX195" s="526">
        <v>0</v>
      </c>
      <c r="EY195" s="522">
        <v>0</v>
      </c>
      <c r="EZ195" s="526">
        <v>0</v>
      </c>
      <c r="FA195" s="522">
        <v>0</v>
      </c>
      <c r="FB195" s="526">
        <v>0</v>
      </c>
      <c r="FC195" s="522">
        <v>0</v>
      </c>
      <c r="FD195" s="526">
        <v>0</v>
      </c>
      <c r="FE195" s="522">
        <v>0</v>
      </c>
      <c r="FF195" s="526">
        <v>0</v>
      </c>
      <c r="FG195" s="522">
        <v>0</v>
      </c>
      <c r="FH195" s="526">
        <v>0</v>
      </c>
      <c r="FI195" s="522">
        <v>0</v>
      </c>
      <c r="FJ195" s="522">
        <v>0</v>
      </c>
      <c r="FK195" s="522">
        <v>55</v>
      </c>
      <c r="FL195" s="522">
        <v>34</v>
      </c>
      <c r="FM195" s="522">
        <v>1</v>
      </c>
      <c r="FN195" s="522">
        <v>20</v>
      </c>
      <c r="FO195" s="522">
        <v>0</v>
      </c>
      <c r="FP195" s="522">
        <v>8</v>
      </c>
      <c r="FQ195" s="522">
        <v>31</v>
      </c>
      <c r="FR195" s="522">
        <v>12</v>
      </c>
    </row>
    <row r="196" spans="1:174" hidden="1" x14ac:dyDescent="0.25">
      <c r="A196" s="523" t="s">
        <v>14407</v>
      </c>
      <c r="B196" s="523" t="s">
        <v>14408</v>
      </c>
      <c r="C196" s="523" t="s">
        <v>14407</v>
      </c>
      <c r="D196" s="522">
        <v>0</v>
      </c>
      <c r="E196" s="522">
        <v>0</v>
      </c>
      <c r="F196" s="522">
        <v>0</v>
      </c>
      <c r="G196" s="522">
        <v>0</v>
      </c>
      <c r="H196" s="522">
        <v>0</v>
      </c>
      <c r="I196" s="522">
        <v>0</v>
      </c>
      <c r="J196" s="522">
        <v>0</v>
      </c>
      <c r="K196" s="522">
        <v>0</v>
      </c>
      <c r="L196" s="522">
        <v>0</v>
      </c>
      <c r="M196" s="522">
        <v>0</v>
      </c>
      <c r="N196" s="522">
        <v>0</v>
      </c>
      <c r="O196" s="522">
        <v>0</v>
      </c>
      <c r="P196" s="522">
        <v>0</v>
      </c>
      <c r="Q196" s="522">
        <v>0</v>
      </c>
      <c r="R196" s="523">
        <v>0</v>
      </c>
      <c r="S196" s="523">
        <v>0</v>
      </c>
      <c r="T196" s="523">
        <v>0</v>
      </c>
      <c r="U196" s="523">
        <v>0</v>
      </c>
      <c r="V196" s="522">
        <v>0</v>
      </c>
      <c r="W196" s="522">
        <v>0</v>
      </c>
      <c r="X196" s="522">
        <v>0</v>
      </c>
      <c r="Y196" s="522">
        <v>0</v>
      </c>
      <c r="Z196" s="524">
        <v>0</v>
      </c>
      <c r="AA196" s="524">
        <v>0</v>
      </c>
      <c r="AB196" s="524">
        <v>0</v>
      </c>
      <c r="AC196" s="524">
        <v>0</v>
      </c>
      <c r="AD196" s="524">
        <v>0</v>
      </c>
      <c r="AE196" s="525">
        <v>0</v>
      </c>
      <c r="AF196" s="525">
        <v>0</v>
      </c>
      <c r="AG196" s="525">
        <v>0</v>
      </c>
      <c r="AH196" s="525">
        <v>0</v>
      </c>
      <c r="AI196" s="525">
        <v>0</v>
      </c>
      <c r="AJ196" s="525">
        <v>0</v>
      </c>
      <c r="AK196" s="525">
        <v>0</v>
      </c>
      <c r="AL196" s="525">
        <v>0</v>
      </c>
      <c r="AM196" s="525">
        <v>0</v>
      </c>
      <c r="AN196" s="526">
        <v>0</v>
      </c>
      <c r="AO196" s="526">
        <v>0</v>
      </c>
      <c r="AP196" s="526">
        <v>0</v>
      </c>
      <c r="AQ196" s="526">
        <v>0</v>
      </c>
      <c r="AR196" s="522">
        <v>0</v>
      </c>
      <c r="AS196" s="526">
        <v>0</v>
      </c>
      <c r="AT196" s="526">
        <v>0</v>
      </c>
      <c r="AU196" s="526">
        <v>0</v>
      </c>
      <c r="AV196" s="526">
        <v>0</v>
      </c>
      <c r="AW196" s="522">
        <v>0</v>
      </c>
      <c r="AX196" s="526">
        <v>0</v>
      </c>
      <c r="AY196" s="526">
        <v>0</v>
      </c>
      <c r="AZ196" s="526">
        <v>0</v>
      </c>
      <c r="BA196" s="526">
        <v>0</v>
      </c>
      <c r="BB196" s="522">
        <v>0</v>
      </c>
      <c r="BC196" s="526">
        <v>0</v>
      </c>
      <c r="BD196" s="526">
        <v>0</v>
      </c>
      <c r="BE196" s="526">
        <v>0</v>
      </c>
      <c r="BF196" s="526">
        <v>0</v>
      </c>
      <c r="BG196" s="522">
        <v>0</v>
      </c>
      <c r="BH196" s="526">
        <v>0</v>
      </c>
      <c r="BI196" s="526">
        <v>0</v>
      </c>
      <c r="BJ196" s="526">
        <v>0</v>
      </c>
      <c r="BK196" s="526">
        <v>0</v>
      </c>
      <c r="BL196" s="522">
        <v>0</v>
      </c>
      <c r="BM196" s="526">
        <v>0</v>
      </c>
      <c r="BN196" s="526">
        <v>0</v>
      </c>
      <c r="BO196" s="526">
        <v>0</v>
      </c>
      <c r="BP196" s="526">
        <v>0</v>
      </c>
      <c r="BQ196" s="522">
        <v>0</v>
      </c>
      <c r="BR196" s="526">
        <v>0</v>
      </c>
      <c r="BS196" s="526">
        <v>0</v>
      </c>
      <c r="BT196" s="526">
        <v>0</v>
      </c>
      <c r="BU196" s="526">
        <v>0</v>
      </c>
      <c r="BV196" s="522">
        <v>0</v>
      </c>
      <c r="BW196" s="526">
        <v>0</v>
      </c>
      <c r="BX196" s="526">
        <v>0</v>
      </c>
      <c r="BY196" s="526">
        <v>0</v>
      </c>
      <c r="BZ196" s="526">
        <v>0</v>
      </c>
      <c r="CA196" s="522">
        <v>0</v>
      </c>
      <c r="CB196" s="526">
        <v>0</v>
      </c>
      <c r="CC196" s="526">
        <v>0</v>
      </c>
      <c r="CD196" s="526">
        <v>0</v>
      </c>
      <c r="CE196" s="526">
        <v>0</v>
      </c>
      <c r="CF196" s="522">
        <v>0</v>
      </c>
      <c r="CG196" s="526">
        <v>0</v>
      </c>
      <c r="CH196" s="526">
        <v>0</v>
      </c>
      <c r="CI196" s="526">
        <v>0</v>
      </c>
      <c r="CJ196" s="526">
        <v>0</v>
      </c>
      <c r="CK196" s="522">
        <v>0</v>
      </c>
      <c r="CL196" s="526">
        <v>0</v>
      </c>
      <c r="CM196" s="526">
        <v>0</v>
      </c>
      <c r="CN196" s="526">
        <v>0</v>
      </c>
      <c r="CO196" s="526">
        <v>0</v>
      </c>
      <c r="CP196" s="522">
        <v>0</v>
      </c>
      <c r="CQ196" s="526">
        <v>0</v>
      </c>
      <c r="CR196" s="526">
        <v>0</v>
      </c>
      <c r="CS196" s="526">
        <v>0</v>
      </c>
      <c r="CT196" s="526">
        <v>0</v>
      </c>
      <c r="CU196" s="522">
        <v>0</v>
      </c>
      <c r="CV196" s="526">
        <v>0</v>
      </c>
      <c r="CW196" s="526">
        <v>0</v>
      </c>
      <c r="CX196" s="526">
        <v>0</v>
      </c>
      <c r="CY196" s="526">
        <v>0</v>
      </c>
      <c r="CZ196" s="522">
        <v>0</v>
      </c>
      <c r="DA196" s="526">
        <v>0</v>
      </c>
      <c r="DB196" s="526">
        <v>0</v>
      </c>
      <c r="DC196" s="526">
        <v>0</v>
      </c>
      <c r="DD196" s="526">
        <v>0</v>
      </c>
      <c r="DE196" s="522">
        <v>0</v>
      </c>
      <c r="DF196" s="526">
        <v>0</v>
      </c>
      <c r="DG196" s="526">
        <v>0</v>
      </c>
      <c r="DH196" s="526">
        <v>0</v>
      </c>
      <c r="DI196" s="526">
        <v>0</v>
      </c>
      <c r="DJ196" s="522">
        <v>0</v>
      </c>
      <c r="DK196" s="526">
        <v>0</v>
      </c>
      <c r="DL196" s="526">
        <v>0</v>
      </c>
      <c r="DM196" s="526">
        <v>0</v>
      </c>
      <c r="DN196" s="526">
        <v>0</v>
      </c>
      <c r="DO196" s="522">
        <v>0</v>
      </c>
      <c r="DP196" s="526">
        <v>0</v>
      </c>
      <c r="DQ196" s="526">
        <v>0</v>
      </c>
      <c r="DR196" s="526">
        <v>0</v>
      </c>
      <c r="DS196" s="526">
        <v>0</v>
      </c>
      <c r="DT196" s="522">
        <v>0</v>
      </c>
      <c r="DU196" s="526">
        <v>0</v>
      </c>
      <c r="DV196" s="526">
        <v>0</v>
      </c>
      <c r="DW196" s="526">
        <v>0</v>
      </c>
      <c r="DX196" s="526">
        <v>0</v>
      </c>
      <c r="DY196" s="522">
        <v>0</v>
      </c>
      <c r="DZ196" s="526">
        <v>0</v>
      </c>
      <c r="EA196" s="526">
        <v>0</v>
      </c>
      <c r="EB196" s="526">
        <v>0</v>
      </c>
      <c r="EC196" s="522">
        <v>0</v>
      </c>
      <c r="ED196" s="526">
        <v>0</v>
      </c>
      <c r="EE196" s="522">
        <v>0</v>
      </c>
      <c r="EF196" s="526">
        <v>0</v>
      </c>
      <c r="EG196" s="522">
        <v>0</v>
      </c>
      <c r="EH196" s="526">
        <v>0</v>
      </c>
      <c r="EI196" s="522">
        <v>0</v>
      </c>
      <c r="EJ196" s="526">
        <v>0</v>
      </c>
      <c r="EK196" s="522">
        <v>0</v>
      </c>
      <c r="EL196" s="526">
        <v>0</v>
      </c>
      <c r="EM196" s="522">
        <v>0</v>
      </c>
      <c r="EN196" s="526">
        <v>0</v>
      </c>
      <c r="EO196" s="522">
        <v>0</v>
      </c>
      <c r="EP196" s="526">
        <v>0</v>
      </c>
      <c r="EQ196" s="522">
        <v>0</v>
      </c>
      <c r="ER196" s="526">
        <v>0</v>
      </c>
      <c r="ES196" s="522">
        <v>0</v>
      </c>
      <c r="ET196" s="526">
        <v>0</v>
      </c>
      <c r="EU196" s="526">
        <v>0</v>
      </c>
      <c r="EV196" s="526">
        <v>0</v>
      </c>
      <c r="EW196" s="522">
        <v>0</v>
      </c>
      <c r="EX196" s="526">
        <v>0</v>
      </c>
      <c r="EY196" s="522">
        <v>0</v>
      </c>
      <c r="EZ196" s="526">
        <v>0</v>
      </c>
      <c r="FA196" s="522">
        <v>0</v>
      </c>
      <c r="FB196" s="526">
        <v>0</v>
      </c>
      <c r="FC196" s="522">
        <v>0</v>
      </c>
      <c r="FD196" s="526">
        <v>0</v>
      </c>
      <c r="FE196" s="522">
        <v>0</v>
      </c>
      <c r="FF196" s="526">
        <v>0</v>
      </c>
      <c r="FG196" s="522">
        <v>0</v>
      </c>
      <c r="FH196" s="526">
        <v>0</v>
      </c>
      <c r="FI196" s="522">
        <v>0</v>
      </c>
      <c r="FJ196" s="522">
        <v>0</v>
      </c>
      <c r="FK196" s="522">
        <v>0</v>
      </c>
      <c r="FL196" s="522">
        <v>0</v>
      </c>
      <c r="FM196" s="522">
        <v>0</v>
      </c>
      <c r="FN196" s="522">
        <v>0</v>
      </c>
      <c r="FO196" s="522">
        <v>0</v>
      </c>
      <c r="FP196" s="522">
        <v>0</v>
      </c>
      <c r="FQ196" s="522">
        <v>0</v>
      </c>
      <c r="FR196" s="522">
        <v>0</v>
      </c>
    </row>
    <row r="197" spans="1:174" x14ac:dyDescent="0.25">
      <c r="A197" s="523" t="s">
        <v>644</v>
      </c>
      <c r="B197" s="523" t="s">
        <v>645</v>
      </c>
      <c r="C197" s="523" t="s">
        <v>2</v>
      </c>
      <c r="D197" s="522">
        <v>3223</v>
      </c>
      <c r="E197" s="522">
        <v>3170</v>
      </c>
      <c r="F197" s="522">
        <v>2</v>
      </c>
      <c r="G197" s="522">
        <v>2</v>
      </c>
      <c r="H197" s="522">
        <v>413</v>
      </c>
      <c r="I197" s="522">
        <v>266</v>
      </c>
      <c r="J197" s="522">
        <v>859</v>
      </c>
      <c r="K197" s="522">
        <v>810</v>
      </c>
      <c r="L197" s="522">
        <v>860</v>
      </c>
      <c r="M197" s="522">
        <v>5</v>
      </c>
      <c r="N197" s="522">
        <v>5357</v>
      </c>
      <c r="O197" s="522">
        <v>4253</v>
      </c>
      <c r="P197" s="522">
        <v>4497</v>
      </c>
      <c r="Q197" s="522">
        <v>8</v>
      </c>
      <c r="R197" s="523">
        <v>4</v>
      </c>
      <c r="S197" s="523">
        <v>25</v>
      </c>
      <c r="T197" s="523">
        <v>64</v>
      </c>
      <c r="U197" s="523">
        <v>5293</v>
      </c>
      <c r="V197" s="522">
        <v>3223</v>
      </c>
      <c r="W197" s="522">
        <v>24</v>
      </c>
      <c r="X197" s="522">
        <v>16</v>
      </c>
      <c r="Y197" s="522">
        <v>40</v>
      </c>
      <c r="Z197" s="524">
        <v>131.91999999999999</v>
      </c>
      <c r="AA197" s="524">
        <v>131.63999999999999</v>
      </c>
      <c r="AB197" s="524">
        <v>13.42</v>
      </c>
      <c r="AC197" s="524">
        <v>142.34</v>
      </c>
      <c r="AD197" s="524">
        <v>3000</v>
      </c>
      <c r="AE197" s="525">
        <v>118.09</v>
      </c>
      <c r="AF197" s="525">
        <v>108.37</v>
      </c>
      <c r="AG197" s="525">
        <v>81.11</v>
      </c>
      <c r="AH197" s="525">
        <v>198.13</v>
      </c>
      <c r="AI197" s="525">
        <v>1208</v>
      </c>
      <c r="AJ197" s="525">
        <v>209.77</v>
      </c>
      <c r="AK197" s="525">
        <v>123</v>
      </c>
      <c r="AL197" s="525">
        <v>0</v>
      </c>
      <c r="AM197" s="525">
        <v>0</v>
      </c>
      <c r="AN197" s="526">
        <v>97.11</v>
      </c>
      <c r="AO197" s="526">
        <v>96.04</v>
      </c>
      <c r="AP197" s="526">
        <v>16.309999999999999</v>
      </c>
      <c r="AQ197" s="526">
        <v>113.42</v>
      </c>
      <c r="AR197" s="522">
        <v>2</v>
      </c>
      <c r="AS197" s="526">
        <v>92.8</v>
      </c>
      <c r="AT197" s="526">
        <v>91.02</v>
      </c>
      <c r="AU197" s="526">
        <v>13.51</v>
      </c>
      <c r="AV197" s="526">
        <v>106.31</v>
      </c>
      <c r="AW197" s="522">
        <v>63</v>
      </c>
      <c r="AX197" s="526">
        <v>109.33</v>
      </c>
      <c r="AY197" s="526">
        <v>108.77</v>
      </c>
      <c r="AZ197" s="526">
        <v>18.82</v>
      </c>
      <c r="BA197" s="526">
        <v>127.39</v>
      </c>
      <c r="BB197" s="522">
        <v>739</v>
      </c>
      <c r="BC197" s="526">
        <v>131.52000000000001</v>
      </c>
      <c r="BD197" s="526">
        <v>131.12</v>
      </c>
      <c r="BE197" s="526">
        <v>14.45</v>
      </c>
      <c r="BF197" s="526">
        <v>142.99</v>
      </c>
      <c r="BG197" s="522">
        <v>1124</v>
      </c>
      <c r="BH197" s="526">
        <v>146.75</v>
      </c>
      <c r="BI197" s="526">
        <v>146.77000000000001</v>
      </c>
      <c r="BJ197" s="526">
        <v>6.32</v>
      </c>
      <c r="BK197" s="526">
        <v>150.76</v>
      </c>
      <c r="BL197" s="522">
        <v>866</v>
      </c>
      <c r="BM197" s="526">
        <v>163.1</v>
      </c>
      <c r="BN197" s="526">
        <v>163.63999999999999</v>
      </c>
      <c r="BO197" s="526">
        <v>5.89</v>
      </c>
      <c r="BP197" s="526">
        <v>166.47</v>
      </c>
      <c r="BQ197" s="522">
        <v>180</v>
      </c>
      <c r="BR197" s="526">
        <v>178.06</v>
      </c>
      <c r="BS197" s="526">
        <v>179.79</v>
      </c>
      <c r="BT197" s="526">
        <v>4.8499999999999996</v>
      </c>
      <c r="BU197" s="526">
        <v>180.19</v>
      </c>
      <c r="BV197" s="522">
        <v>25</v>
      </c>
      <c r="BW197" s="526">
        <v>180.18</v>
      </c>
      <c r="BX197" s="526">
        <v>178.17</v>
      </c>
      <c r="BY197" s="526">
        <v>16.45</v>
      </c>
      <c r="BZ197" s="526">
        <v>196.63</v>
      </c>
      <c r="CA197" s="522">
        <v>1</v>
      </c>
      <c r="CB197" s="526">
        <v>131.94</v>
      </c>
      <c r="CC197" s="526">
        <v>131.66</v>
      </c>
      <c r="CD197" s="526">
        <v>13.42</v>
      </c>
      <c r="CE197" s="526">
        <v>142.36000000000001</v>
      </c>
      <c r="CF197" s="522">
        <v>2998</v>
      </c>
      <c r="CG197" s="526">
        <v>131.91999999999999</v>
      </c>
      <c r="CH197" s="526">
        <v>131.63999999999999</v>
      </c>
      <c r="CI197" s="526">
        <v>13.42</v>
      </c>
      <c r="CJ197" s="526">
        <v>142.34</v>
      </c>
      <c r="CK197" s="522">
        <v>3000</v>
      </c>
      <c r="CL197" s="526">
        <v>117.95</v>
      </c>
      <c r="CM197" s="526">
        <v>102.32</v>
      </c>
      <c r="CN197" s="526">
        <v>179.6</v>
      </c>
      <c r="CO197" s="526">
        <v>295.31</v>
      </c>
      <c r="CP197" s="522">
        <v>321</v>
      </c>
      <c r="CQ197" s="526">
        <v>95.8</v>
      </c>
      <c r="CR197" s="526">
        <v>89.42</v>
      </c>
      <c r="CS197" s="526">
        <v>43.81</v>
      </c>
      <c r="CT197" s="526">
        <v>139.61000000000001</v>
      </c>
      <c r="CU197" s="522">
        <v>174</v>
      </c>
      <c r="CV197" s="526">
        <v>118.82</v>
      </c>
      <c r="CW197" s="526">
        <v>110.84</v>
      </c>
      <c r="CX197" s="526">
        <v>47.89</v>
      </c>
      <c r="CY197" s="526">
        <v>166.45</v>
      </c>
      <c r="CZ197" s="522">
        <v>561</v>
      </c>
      <c r="DA197" s="526">
        <v>141.03</v>
      </c>
      <c r="DB197" s="526">
        <v>131.06</v>
      </c>
      <c r="DC197" s="526">
        <v>37.44</v>
      </c>
      <c r="DD197" s="526">
        <v>176.37</v>
      </c>
      <c r="DE197" s="522">
        <v>143</v>
      </c>
      <c r="DF197" s="526">
        <v>136.02000000000001</v>
      </c>
      <c r="DG197" s="526">
        <v>127.33</v>
      </c>
      <c r="DH197" s="526">
        <v>44.42</v>
      </c>
      <c r="DI197" s="526">
        <v>180.44</v>
      </c>
      <c r="DJ197" s="522">
        <v>8</v>
      </c>
      <c r="DK197" s="526">
        <v>212.51</v>
      </c>
      <c r="DL197" s="526">
        <v>193.19</v>
      </c>
      <c r="DM197" s="526">
        <v>0</v>
      </c>
      <c r="DN197" s="526">
        <v>212.51</v>
      </c>
      <c r="DO197" s="522">
        <v>1</v>
      </c>
      <c r="DP197" s="526">
        <v>118.14</v>
      </c>
      <c r="DQ197" s="526">
        <v>110.14</v>
      </c>
      <c r="DR197" s="526">
        <v>45.44</v>
      </c>
      <c r="DS197" s="526">
        <v>162.97</v>
      </c>
      <c r="DT197" s="522">
        <v>887</v>
      </c>
      <c r="DU197" s="526">
        <v>118.09</v>
      </c>
      <c r="DV197" s="526">
        <v>108.37</v>
      </c>
      <c r="DW197" s="526">
        <v>81.11</v>
      </c>
      <c r="DX197" s="526">
        <v>198.13</v>
      </c>
      <c r="DY197" s="522">
        <v>1208</v>
      </c>
      <c r="DZ197" s="526">
        <v>0</v>
      </c>
      <c r="EA197" s="526">
        <v>0</v>
      </c>
      <c r="EB197" s="526">
        <v>0</v>
      </c>
      <c r="EC197" s="522">
        <v>0</v>
      </c>
      <c r="ED197" s="526">
        <v>177.15</v>
      </c>
      <c r="EE197" s="522">
        <v>29</v>
      </c>
      <c r="EF197" s="526">
        <v>205.48</v>
      </c>
      <c r="EG197" s="522">
        <v>69</v>
      </c>
      <c r="EH197" s="526">
        <v>237.65</v>
      </c>
      <c r="EI197" s="522">
        <v>18</v>
      </c>
      <c r="EJ197" s="526">
        <v>315.56</v>
      </c>
      <c r="EK197" s="522">
        <v>7</v>
      </c>
      <c r="EL197" s="526">
        <v>0</v>
      </c>
      <c r="EM197" s="522">
        <v>0</v>
      </c>
      <c r="EN197" s="526">
        <v>0</v>
      </c>
      <c r="EO197" s="522">
        <v>0</v>
      </c>
      <c r="EP197" s="526">
        <v>209.77</v>
      </c>
      <c r="EQ197" s="522">
        <v>123</v>
      </c>
      <c r="ER197" s="526">
        <v>209.77</v>
      </c>
      <c r="ES197" s="522">
        <v>123</v>
      </c>
      <c r="ET197" s="526">
        <v>0</v>
      </c>
      <c r="EU197" s="526">
        <v>0</v>
      </c>
      <c r="EV197" s="526">
        <v>0</v>
      </c>
      <c r="EW197" s="522">
        <v>0</v>
      </c>
      <c r="EX197" s="526">
        <v>0</v>
      </c>
      <c r="EY197" s="522">
        <v>0</v>
      </c>
      <c r="EZ197" s="526">
        <v>0</v>
      </c>
      <c r="FA197" s="522">
        <v>0</v>
      </c>
      <c r="FB197" s="526">
        <v>0</v>
      </c>
      <c r="FC197" s="522">
        <v>0</v>
      </c>
      <c r="FD197" s="526">
        <v>0</v>
      </c>
      <c r="FE197" s="522">
        <v>0</v>
      </c>
      <c r="FF197" s="526">
        <v>0</v>
      </c>
      <c r="FG197" s="522">
        <v>0</v>
      </c>
      <c r="FH197" s="526">
        <v>0</v>
      </c>
      <c r="FI197" s="522">
        <v>0</v>
      </c>
      <c r="FJ197" s="522">
        <v>26</v>
      </c>
      <c r="FK197" s="522">
        <v>0</v>
      </c>
      <c r="FL197" s="522">
        <v>0</v>
      </c>
      <c r="FM197" s="522">
        <v>0</v>
      </c>
      <c r="FN197" s="522">
        <v>0</v>
      </c>
      <c r="FO197" s="522">
        <v>0</v>
      </c>
      <c r="FP197" s="522">
        <v>3</v>
      </c>
      <c r="FQ197" s="522">
        <v>63</v>
      </c>
      <c r="FR197" s="522">
        <v>14</v>
      </c>
    </row>
    <row r="198" spans="1:174" x14ac:dyDescent="0.25">
      <c r="A198" s="523" t="s">
        <v>646</v>
      </c>
      <c r="B198" s="523" t="s">
        <v>647</v>
      </c>
      <c r="C198" s="523" t="s">
        <v>286</v>
      </c>
      <c r="D198" s="522">
        <v>4331</v>
      </c>
      <c r="E198" s="522">
        <v>4333</v>
      </c>
      <c r="F198" s="522">
        <v>0</v>
      </c>
      <c r="G198" s="522">
        <v>0</v>
      </c>
      <c r="H198" s="522">
        <v>276</v>
      </c>
      <c r="I198" s="522">
        <v>56</v>
      </c>
      <c r="J198" s="522">
        <v>209</v>
      </c>
      <c r="K198" s="522">
        <v>209</v>
      </c>
      <c r="L198" s="522">
        <v>31</v>
      </c>
      <c r="M198" s="522">
        <v>0</v>
      </c>
      <c r="N198" s="522">
        <v>4847</v>
      </c>
      <c r="O198" s="522">
        <v>4598</v>
      </c>
      <c r="P198" s="522">
        <v>4816</v>
      </c>
      <c r="Q198" s="522">
        <v>0</v>
      </c>
      <c r="R198" s="523">
        <v>5</v>
      </c>
      <c r="S198" s="523">
        <v>22</v>
      </c>
      <c r="T198" s="523">
        <v>140</v>
      </c>
      <c r="U198" s="523">
        <v>4707</v>
      </c>
      <c r="V198" s="522">
        <v>4330</v>
      </c>
      <c r="W198" s="522">
        <v>55</v>
      </c>
      <c r="X198" s="522">
        <v>33</v>
      </c>
      <c r="Y198" s="522">
        <v>88</v>
      </c>
      <c r="Z198" s="524">
        <v>83.83</v>
      </c>
      <c r="AA198" s="524">
        <v>83.24</v>
      </c>
      <c r="AB198" s="524">
        <v>2.83</v>
      </c>
      <c r="AC198" s="524">
        <v>86.36</v>
      </c>
      <c r="AD198" s="524">
        <v>3679</v>
      </c>
      <c r="AE198" s="525">
        <v>116.95</v>
      </c>
      <c r="AF198" s="525">
        <v>82.88</v>
      </c>
      <c r="AG198" s="525">
        <v>88.11</v>
      </c>
      <c r="AH198" s="525">
        <v>205.06</v>
      </c>
      <c r="AI198" s="525">
        <v>330</v>
      </c>
      <c r="AJ198" s="525">
        <v>114.71</v>
      </c>
      <c r="AK198" s="525">
        <v>643</v>
      </c>
      <c r="AL198" s="525">
        <v>193.98</v>
      </c>
      <c r="AM198" s="525">
        <v>40</v>
      </c>
      <c r="AN198" s="526">
        <v>0</v>
      </c>
      <c r="AO198" s="526">
        <v>0</v>
      </c>
      <c r="AP198" s="526">
        <v>0</v>
      </c>
      <c r="AQ198" s="526">
        <v>0</v>
      </c>
      <c r="AR198" s="522">
        <v>0</v>
      </c>
      <c r="AS198" s="526">
        <v>65.48</v>
      </c>
      <c r="AT198" s="526">
        <v>64.83</v>
      </c>
      <c r="AU198" s="526">
        <v>4.2</v>
      </c>
      <c r="AV198" s="526">
        <v>69.680000000000007</v>
      </c>
      <c r="AW198" s="522">
        <v>31</v>
      </c>
      <c r="AX198" s="526">
        <v>75.12</v>
      </c>
      <c r="AY198" s="526">
        <v>74.47</v>
      </c>
      <c r="AZ198" s="526">
        <v>3.51</v>
      </c>
      <c r="BA198" s="526">
        <v>78.56</v>
      </c>
      <c r="BB198" s="522">
        <v>1714</v>
      </c>
      <c r="BC198" s="526">
        <v>86.32</v>
      </c>
      <c r="BD198" s="526">
        <v>85.78</v>
      </c>
      <c r="BE198" s="526">
        <v>2.58</v>
      </c>
      <c r="BF198" s="526">
        <v>88.33</v>
      </c>
      <c r="BG198" s="522">
        <v>1060</v>
      </c>
      <c r="BH198" s="526">
        <v>97.71</v>
      </c>
      <c r="BI198" s="526">
        <v>97.17</v>
      </c>
      <c r="BJ198" s="526">
        <v>1.56</v>
      </c>
      <c r="BK198" s="526">
        <v>99.06</v>
      </c>
      <c r="BL198" s="522">
        <v>808</v>
      </c>
      <c r="BM198" s="526">
        <v>107.63</v>
      </c>
      <c r="BN198" s="526">
        <v>107.41</v>
      </c>
      <c r="BO198" s="526">
        <v>1.1599999999999999</v>
      </c>
      <c r="BP198" s="526">
        <v>108.37</v>
      </c>
      <c r="BQ198" s="522">
        <v>61</v>
      </c>
      <c r="BR198" s="526">
        <v>122.41</v>
      </c>
      <c r="BS198" s="526">
        <v>122.18</v>
      </c>
      <c r="BT198" s="526">
        <v>0.2</v>
      </c>
      <c r="BU198" s="526">
        <v>122.51</v>
      </c>
      <c r="BV198" s="522">
        <v>4</v>
      </c>
      <c r="BW198" s="526">
        <v>123.04</v>
      </c>
      <c r="BX198" s="526">
        <v>121.7</v>
      </c>
      <c r="BY198" s="526">
        <v>1.44</v>
      </c>
      <c r="BZ198" s="526">
        <v>124.48</v>
      </c>
      <c r="CA198" s="522">
        <v>1</v>
      </c>
      <c r="CB198" s="526">
        <v>83.83</v>
      </c>
      <c r="CC198" s="526">
        <v>83.24</v>
      </c>
      <c r="CD198" s="526">
        <v>2.83</v>
      </c>
      <c r="CE198" s="526">
        <v>86.36</v>
      </c>
      <c r="CF198" s="522">
        <v>3679</v>
      </c>
      <c r="CG198" s="526">
        <v>83.83</v>
      </c>
      <c r="CH198" s="526">
        <v>83.24</v>
      </c>
      <c r="CI198" s="526">
        <v>2.83</v>
      </c>
      <c r="CJ198" s="526">
        <v>86.36</v>
      </c>
      <c r="CK198" s="522">
        <v>3679</v>
      </c>
      <c r="CL198" s="526">
        <v>124.45</v>
      </c>
      <c r="CM198" s="526">
        <v>68.42</v>
      </c>
      <c r="CN198" s="526">
        <v>215.09</v>
      </c>
      <c r="CO198" s="526">
        <v>339.54</v>
      </c>
      <c r="CP198" s="522">
        <v>34</v>
      </c>
      <c r="CQ198" s="526">
        <v>77.28</v>
      </c>
      <c r="CR198" s="526">
        <v>73.73</v>
      </c>
      <c r="CS198" s="526">
        <v>70.2</v>
      </c>
      <c r="CT198" s="526">
        <v>147.47999999999999</v>
      </c>
      <c r="CU198" s="522">
        <v>70</v>
      </c>
      <c r="CV198" s="526">
        <v>128.41</v>
      </c>
      <c r="CW198" s="526">
        <v>87.41</v>
      </c>
      <c r="CX198" s="526">
        <v>76.349999999999994</v>
      </c>
      <c r="CY198" s="526">
        <v>204.75</v>
      </c>
      <c r="CZ198" s="522">
        <v>210</v>
      </c>
      <c r="DA198" s="526">
        <v>127.12</v>
      </c>
      <c r="DB198" s="526">
        <v>93.51</v>
      </c>
      <c r="DC198" s="526">
        <v>42.22</v>
      </c>
      <c r="DD198" s="526">
        <v>169.34</v>
      </c>
      <c r="DE198" s="522">
        <v>13</v>
      </c>
      <c r="DF198" s="526">
        <v>110.83</v>
      </c>
      <c r="DG198" s="526">
        <v>102.72</v>
      </c>
      <c r="DH198" s="526">
        <v>89.48</v>
      </c>
      <c r="DI198" s="526">
        <v>200.31</v>
      </c>
      <c r="DJ198" s="522">
        <v>3</v>
      </c>
      <c r="DK198" s="526">
        <v>0</v>
      </c>
      <c r="DL198" s="526">
        <v>0</v>
      </c>
      <c r="DM198" s="526">
        <v>0</v>
      </c>
      <c r="DN198" s="526">
        <v>0</v>
      </c>
      <c r="DO198" s="522">
        <v>0</v>
      </c>
      <c r="DP198" s="526">
        <v>116.08</v>
      </c>
      <c r="DQ198" s="526">
        <v>84.08</v>
      </c>
      <c r="DR198" s="526">
        <v>73.53</v>
      </c>
      <c r="DS198" s="526">
        <v>189.61</v>
      </c>
      <c r="DT198" s="522">
        <v>296</v>
      </c>
      <c r="DU198" s="526">
        <v>116.95</v>
      </c>
      <c r="DV198" s="526">
        <v>82.88</v>
      </c>
      <c r="DW198" s="526">
        <v>88.11</v>
      </c>
      <c r="DX198" s="526">
        <v>205.06</v>
      </c>
      <c r="DY198" s="522">
        <v>330</v>
      </c>
      <c r="DZ198" s="526">
        <v>0</v>
      </c>
      <c r="EA198" s="526">
        <v>0</v>
      </c>
      <c r="EB198" s="526">
        <v>0</v>
      </c>
      <c r="EC198" s="522">
        <v>0</v>
      </c>
      <c r="ED198" s="526">
        <v>90.39</v>
      </c>
      <c r="EE198" s="522">
        <v>13</v>
      </c>
      <c r="EF198" s="526">
        <v>105.31</v>
      </c>
      <c r="EG198" s="522">
        <v>274</v>
      </c>
      <c r="EH198" s="526">
        <v>119.34</v>
      </c>
      <c r="EI198" s="522">
        <v>307</v>
      </c>
      <c r="EJ198" s="526">
        <v>144.71</v>
      </c>
      <c r="EK198" s="522">
        <v>49</v>
      </c>
      <c r="EL198" s="526">
        <v>0</v>
      </c>
      <c r="EM198" s="522">
        <v>0</v>
      </c>
      <c r="EN198" s="526">
        <v>0</v>
      </c>
      <c r="EO198" s="522">
        <v>0</v>
      </c>
      <c r="EP198" s="526">
        <v>114.71</v>
      </c>
      <c r="EQ198" s="522">
        <v>643</v>
      </c>
      <c r="ER198" s="526">
        <v>114.71</v>
      </c>
      <c r="ES198" s="522">
        <v>643</v>
      </c>
      <c r="ET198" s="526">
        <v>311.79000000000002</v>
      </c>
      <c r="EU198" s="526">
        <v>6</v>
      </c>
      <c r="EV198" s="526">
        <v>0</v>
      </c>
      <c r="EW198" s="522">
        <v>0</v>
      </c>
      <c r="EX198" s="526">
        <v>105.18</v>
      </c>
      <c r="EY198" s="522">
        <v>21</v>
      </c>
      <c r="EZ198" s="526">
        <v>283.04000000000002</v>
      </c>
      <c r="FA198" s="522">
        <v>13</v>
      </c>
      <c r="FB198" s="526">
        <v>0</v>
      </c>
      <c r="FC198" s="522">
        <v>0</v>
      </c>
      <c r="FD198" s="526">
        <v>0</v>
      </c>
      <c r="FE198" s="522">
        <v>0</v>
      </c>
      <c r="FF198" s="526">
        <v>173.19</v>
      </c>
      <c r="FG198" s="522">
        <v>34</v>
      </c>
      <c r="FH198" s="526">
        <v>193.98</v>
      </c>
      <c r="FI198" s="522">
        <v>40</v>
      </c>
      <c r="FJ198" s="522">
        <v>0</v>
      </c>
      <c r="FK198" s="522">
        <v>8</v>
      </c>
      <c r="FL198" s="522">
        <v>2</v>
      </c>
      <c r="FM198" s="522">
        <v>0</v>
      </c>
      <c r="FN198" s="522">
        <v>6</v>
      </c>
      <c r="FO198" s="522">
        <v>0</v>
      </c>
      <c r="FP198" s="522">
        <v>0</v>
      </c>
      <c r="FQ198" s="522">
        <v>15</v>
      </c>
      <c r="FR198" s="522">
        <v>0</v>
      </c>
    </row>
    <row r="199" spans="1:174" x14ac:dyDescent="0.25">
      <c r="A199" s="523" t="s">
        <v>648</v>
      </c>
      <c r="B199" s="523" t="s">
        <v>649</v>
      </c>
      <c r="C199" s="523" t="s">
        <v>283</v>
      </c>
      <c r="D199" s="522">
        <v>13291</v>
      </c>
      <c r="E199" s="522">
        <v>13365</v>
      </c>
      <c r="F199" s="522">
        <v>25</v>
      </c>
      <c r="G199" s="522">
        <v>25</v>
      </c>
      <c r="H199" s="522">
        <v>674</v>
      </c>
      <c r="I199" s="522">
        <v>392</v>
      </c>
      <c r="J199" s="522">
        <v>2309</v>
      </c>
      <c r="K199" s="522">
        <v>2309</v>
      </c>
      <c r="L199" s="522">
        <v>1279</v>
      </c>
      <c r="M199" s="522">
        <v>0</v>
      </c>
      <c r="N199" s="522">
        <v>17578</v>
      </c>
      <c r="O199" s="522">
        <v>16091</v>
      </c>
      <c r="P199" s="522">
        <v>16299</v>
      </c>
      <c r="Q199" s="522">
        <v>10</v>
      </c>
      <c r="R199" s="523">
        <v>10</v>
      </c>
      <c r="S199" s="523">
        <v>26</v>
      </c>
      <c r="T199" s="523">
        <v>282</v>
      </c>
      <c r="U199" s="523">
        <v>17296</v>
      </c>
      <c r="V199" s="522">
        <v>13263</v>
      </c>
      <c r="W199" s="522">
        <v>56</v>
      </c>
      <c r="X199" s="522">
        <v>35</v>
      </c>
      <c r="Y199" s="522">
        <v>91</v>
      </c>
      <c r="Z199" s="524">
        <v>98.86</v>
      </c>
      <c r="AA199" s="524">
        <v>99.33</v>
      </c>
      <c r="AB199" s="524">
        <v>7.93</v>
      </c>
      <c r="AC199" s="524">
        <v>102.84</v>
      </c>
      <c r="AD199" s="524">
        <v>10941</v>
      </c>
      <c r="AE199" s="525">
        <v>111.08</v>
      </c>
      <c r="AF199" s="525">
        <v>97.93</v>
      </c>
      <c r="AG199" s="525">
        <v>41.11</v>
      </c>
      <c r="AH199" s="525">
        <v>149</v>
      </c>
      <c r="AI199" s="525">
        <v>2635</v>
      </c>
      <c r="AJ199" s="525">
        <v>128.57</v>
      </c>
      <c r="AK199" s="525">
        <v>2027</v>
      </c>
      <c r="AL199" s="525">
        <v>239.36</v>
      </c>
      <c r="AM199" s="525">
        <v>87</v>
      </c>
      <c r="AN199" s="526">
        <v>94.68</v>
      </c>
      <c r="AO199" s="526">
        <v>98.3</v>
      </c>
      <c r="AP199" s="526">
        <v>111.33</v>
      </c>
      <c r="AQ199" s="526">
        <v>206.01</v>
      </c>
      <c r="AR199" s="522">
        <v>16</v>
      </c>
      <c r="AS199" s="526">
        <v>73.14</v>
      </c>
      <c r="AT199" s="526">
        <v>73.11</v>
      </c>
      <c r="AU199" s="526">
        <v>11.48</v>
      </c>
      <c r="AV199" s="526">
        <v>84.53</v>
      </c>
      <c r="AW199" s="522">
        <v>236</v>
      </c>
      <c r="AX199" s="526">
        <v>85.02</v>
      </c>
      <c r="AY199" s="526">
        <v>85.35</v>
      </c>
      <c r="AZ199" s="526">
        <v>8.19</v>
      </c>
      <c r="BA199" s="526">
        <v>92.01</v>
      </c>
      <c r="BB199" s="522">
        <v>2707</v>
      </c>
      <c r="BC199" s="526">
        <v>99.89</v>
      </c>
      <c r="BD199" s="526">
        <v>100.3</v>
      </c>
      <c r="BE199" s="526">
        <v>8.27</v>
      </c>
      <c r="BF199" s="526">
        <v>104.07</v>
      </c>
      <c r="BG199" s="522">
        <v>3801</v>
      </c>
      <c r="BH199" s="526">
        <v>106.73</v>
      </c>
      <c r="BI199" s="526">
        <v>107.31</v>
      </c>
      <c r="BJ199" s="526">
        <v>4.32</v>
      </c>
      <c r="BK199" s="526">
        <v>107.74</v>
      </c>
      <c r="BL199" s="522">
        <v>3538</v>
      </c>
      <c r="BM199" s="526">
        <v>116.61</v>
      </c>
      <c r="BN199" s="526">
        <v>117.5</v>
      </c>
      <c r="BO199" s="526">
        <v>3.97</v>
      </c>
      <c r="BP199" s="526">
        <v>117.72</v>
      </c>
      <c r="BQ199" s="522">
        <v>571</v>
      </c>
      <c r="BR199" s="526">
        <v>121.88</v>
      </c>
      <c r="BS199" s="526">
        <v>122.09</v>
      </c>
      <c r="BT199" s="526">
        <v>2.21</v>
      </c>
      <c r="BU199" s="526">
        <v>122.34</v>
      </c>
      <c r="BV199" s="522">
        <v>67</v>
      </c>
      <c r="BW199" s="526">
        <v>131.12</v>
      </c>
      <c r="BX199" s="526">
        <v>130.81</v>
      </c>
      <c r="BY199" s="526">
        <v>1.01</v>
      </c>
      <c r="BZ199" s="526">
        <v>131.33000000000001</v>
      </c>
      <c r="CA199" s="522">
        <v>5</v>
      </c>
      <c r="CB199" s="526">
        <v>98.86</v>
      </c>
      <c r="CC199" s="526">
        <v>99.33</v>
      </c>
      <c r="CD199" s="526">
        <v>7.63</v>
      </c>
      <c r="CE199" s="526">
        <v>102.69</v>
      </c>
      <c r="CF199" s="522">
        <v>10925</v>
      </c>
      <c r="CG199" s="526">
        <v>98.86</v>
      </c>
      <c r="CH199" s="526">
        <v>99.33</v>
      </c>
      <c r="CI199" s="526">
        <v>7.93</v>
      </c>
      <c r="CJ199" s="526">
        <v>102.84</v>
      </c>
      <c r="CK199" s="522">
        <v>10941</v>
      </c>
      <c r="CL199" s="526">
        <v>145.29</v>
      </c>
      <c r="CM199" s="526">
        <v>83.95</v>
      </c>
      <c r="CN199" s="526">
        <v>104.29</v>
      </c>
      <c r="CO199" s="526">
        <v>208.55</v>
      </c>
      <c r="CP199" s="522">
        <v>211</v>
      </c>
      <c r="CQ199" s="526">
        <v>133.30000000000001</v>
      </c>
      <c r="CR199" s="526">
        <v>77.22</v>
      </c>
      <c r="CS199" s="526">
        <v>61.26</v>
      </c>
      <c r="CT199" s="526">
        <v>175.14</v>
      </c>
      <c r="CU199" s="522">
        <v>142</v>
      </c>
      <c r="CV199" s="526">
        <v>102.79</v>
      </c>
      <c r="CW199" s="526">
        <v>95.4</v>
      </c>
      <c r="CX199" s="526">
        <v>36.619999999999997</v>
      </c>
      <c r="CY199" s="526">
        <v>138.13999999999999</v>
      </c>
      <c r="CZ199" s="522">
        <v>1921</v>
      </c>
      <c r="DA199" s="526">
        <v>124.46</v>
      </c>
      <c r="DB199" s="526">
        <v>121.57</v>
      </c>
      <c r="DC199" s="526">
        <v>36.4</v>
      </c>
      <c r="DD199" s="526">
        <v>160.55000000000001</v>
      </c>
      <c r="DE199" s="522">
        <v>344</v>
      </c>
      <c r="DF199" s="526">
        <v>172.26</v>
      </c>
      <c r="DG199" s="526">
        <v>117.49</v>
      </c>
      <c r="DH199" s="526">
        <v>31.15</v>
      </c>
      <c r="DI199" s="526">
        <v>193.03</v>
      </c>
      <c r="DJ199" s="522">
        <v>15</v>
      </c>
      <c r="DK199" s="526">
        <v>129.47999999999999</v>
      </c>
      <c r="DL199" s="526">
        <v>127.35</v>
      </c>
      <c r="DM199" s="526">
        <v>9.85</v>
      </c>
      <c r="DN199" s="526">
        <v>134.41</v>
      </c>
      <c r="DO199" s="522">
        <v>2</v>
      </c>
      <c r="DP199" s="526">
        <v>108.1</v>
      </c>
      <c r="DQ199" s="526">
        <v>98.64</v>
      </c>
      <c r="DR199" s="526">
        <v>37.590000000000003</v>
      </c>
      <c r="DS199" s="526">
        <v>143.82</v>
      </c>
      <c r="DT199" s="522">
        <v>2424</v>
      </c>
      <c r="DU199" s="526">
        <v>111.08</v>
      </c>
      <c r="DV199" s="526">
        <v>97.93</v>
      </c>
      <c r="DW199" s="526">
        <v>41.11</v>
      </c>
      <c r="DX199" s="526">
        <v>149</v>
      </c>
      <c r="DY199" s="522">
        <v>2635</v>
      </c>
      <c r="DZ199" s="526">
        <v>119.87</v>
      </c>
      <c r="EA199" s="526">
        <v>6</v>
      </c>
      <c r="EB199" s="526">
        <v>96.05</v>
      </c>
      <c r="EC199" s="522">
        <v>1</v>
      </c>
      <c r="ED199" s="526">
        <v>104.9</v>
      </c>
      <c r="EE199" s="522">
        <v>491</v>
      </c>
      <c r="EF199" s="526">
        <v>128.72999999999999</v>
      </c>
      <c r="EG199" s="522">
        <v>907</v>
      </c>
      <c r="EH199" s="526">
        <v>142.78</v>
      </c>
      <c r="EI199" s="522">
        <v>531</v>
      </c>
      <c r="EJ199" s="526">
        <v>173.64</v>
      </c>
      <c r="EK199" s="522">
        <v>87</v>
      </c>
      <c r="EL199" s="526">
        <v>153.32</v>
      </c>
      <c r="EM199" s="522">
        <v>4</v>
      </c>
      <c r="EN199" s="526">
        <v>0</v>
      </c>
      <c r="EO199" s="522">
        <v>0</v>
      </c>
      <c r="EP199" s="526">
        <v>128.6</v>
      </c>
      <c r="EQ199" s="522">
        <v>2021</v>
      </c>
      <c r="ER199" s="526">
        <v>128.57</v>
      </c>
      <c r="ES199" s="522">
        <v>2027</v>
      </c>
      <c r="ET199" s="526">
        <v>0</v>
      </c>
      <c r="EU199" s="526">
        <v>0</v>
      </c>
      <c r="EV199" s="526">
        <v>0</v>
      </c>
      <c r="EW199" s="522">
        <v>0</v>
      </c>
      <c r="EX199" s="526">
        <v>214.78</v>
      </c>
      <c r="EY199" s="522">
        <v>37</v>
      </c>
      <c r="EZ199" s="526">
        <v>257.54000000000002</v>
      </c>
      <c r="FA199" s="522">
        <v>50</v>
      </c>
      <c r="FB199" s="526">
        <v>0</v>
      </c>
      <c r="FC199" s="522">
        <v>0</v>
      </c>
      <c r="FD199" s="526">
        <v>0</v>
      </c>
      <c r="FE199" s="522">
        <v>0</v>
      </c>
      <c r="FF199" s="526">
        <v>239.36</v>
      </c>
      <c r="FG199" s="522">
        <v>87</v>
      </c>
      <c r="FH199" s="526">
        <v>239.36</v>
      </c>
      <c r="FI199" s="522">
        <v>87</v>
      </c>
      <c r="FJ199" s="522">
        <v>9</v>
      </c>
      <c r="FK199" s="522">
        <v>19</v>
      </c>
      <c r="FL199" s="522">
        <v>10</v>
      </c>
      <c r="FM199" s="522">
        <v>0</v>
      </c>
      <c r="FN199" s="522">
        <v>9</v>
      </c>
      <c r="FO199" s="522">
        <v>0</v>
      </c>
      <c r="FP199" s="522">
        <v>3</v>
      </c>
      <c r="FQ199" s="522">
        <v>145</v>
      </c>
      <c r="FR199" s="522">
        <v>14</v>
      </c>
    </row>
    <row r="200" spans="1:174" x14ac:dyDescent="0.25">
      <c r="A200" s="523" t="s">
        <v>650</v>
      </c>
      <c r="B200" s="523" t="s">
        <v>651</v>
      </c>
      <c r="C200" s="523" t="s">
        <v>287</v>
      </c>
      <c r="D200" s="522">
        <v>18853</v>
      </c>
      <c r="E200" s="522">
        <v>18842</v>
      </c>
      <c r="F200" s="522">
        <v>6</v>
      </c>
      <c r="G200" s="522">
        <v>6</v>
      </c>
      <c r="H200" s="522">
        <v>2346</v>
      </c>
      <c r="I200" s="522">
        <v>2287</v>
      </c>
      <c r="J200" s="522">
        <v>1063</v>
      </c>
      <c r="K200" s="522">
        <v>974</v>
      </c>
      <c r="L200" s="522">
        <v>1246</v>
      </c>
      <c r="M200" s="522">
        <v>0</v>
      </c>
      <c r="N200" s="522">
        <v>23514</v>
      </c>
      <c r="O200" s="522">
        <v>22109</v>
      </c>
      <c r="P200" s="522">
        <v>22268</v>
      </c>
      <c r="Q200" s="522">
        <v>333</v>
      </c>
      <c r="R200" s="523">
        <v>4</v>
      </c>
      <c r="S200" s="523">
        <v>24</v>
      </c>
      <c r="T200" s="523">
        <v>105</v>
      </c>
      <c r="U200" s="523">
        <v>23409</v>
      </c>
      <c r="V200" s="522">
        <v>18853</v>
      </c>
      <c r="W200" s="522">
        <v>87</v>
      </c>
      <c r="X200" s="522">
        <v>219</v>
      </c>
      <c r="Y200" s="522">
        <v>306</v>
      </c>
      <c r="Z200" s="524">
        <v>87.27</v>
      </c>
      <c r="AA200" s="524">
        <v>88.23</v>
      </c>
      <c r="AB200" s="524">
        <v>11.28</v>
      </c>
      <c r="AC200" s="524">
        <v>93.9</v>
      </c>
      <c r="AD200" s="524">
        <v>17178</v>
      </c>
      <c r="AE200" s="525">
        <v>84.02</v>
      </c>
      <c r="AF200" s="525">
        <v>82.51</v>
      </c>
      <c r="AG200" s="525">
        <v>34.54</v>
      </c>
      <c r="AH200" s="525">
        <v>117.23</v>
      </c>
      <c r="AI200" s="525">
        <v>3270</v>
      </c>
      <c r="AJ200" s="525">
        <v>133.5</v>
      </c>
      <c r="AK200" s="525">
        <v>1500</v>
      </c>
      <c r="AL200" s="525">
        <v>165.61</v>
      </c>
      <c r="AM200" s="525">
        <v>34</v>
      </c>
      <c r="AN200" s="526">
        <v>74.25</v>
      </c>
      <c r="AO200" s="526">
        <v>69.849999999999994</v>
      </c>
      <c r="AP200" s="526">
        <v>26.29</v>
      </c>
      <c r="AQ200" s="526">
        <v>100.54</v>
      </c>
      <c r="AR200" s="522">
        <v>6</v>
      </c>
      <c r="AS200" s="526">
        <v>66.06</v>
      </c>
      <c r="AT200" s="526">
        <v>65.23</v>
      </c>
      <c r="AU200" s="526">
        <v>25.09</v>
      </c>
      <c r="AV200" s="526">
        <v>90.74</v>
      </c>
      <c r="AW200" s="522">
        <v>243</v>
      </c>
      <c r="AX200" s="526">
        <v>74.36</v>
      </c>
      <c r="AY200" s="526">
        <v>75.59</v>
      </c>
      <c r="AZ200" s="526">
        <v>13.72</v>
      </c>
      <c r="BA200" s="526">
        <v>83.36</v>
      </c>
      <c r="BB200" s="522">
        <v>3962</v>
      </c>
      <c r="BC200" s="526">
        <v>86.57</v>
      </c>
      <c r="BD200" s="526">
        <v>87.39</v>
      </c>
      <c r="BE200" s="526">
        <v>12.36</v>
      </c>
      <c r="BF200" s="526">
        <v>94.09</v>
      </c>
      <c r="BG200" s="522">
        <v>6884</v>
      </c>
      <c r="BH200" s="526">
        <v>96.05</v>
      </c>
      <c r="BI200" s="526">
        <v>97.11</v>
      </c>
      <c r="BJ200" s="526">
        <v>6.75</v>
      </c>
      <c r="BK200" s="526">
        <v>99.42</v>
      </c>
      <c r="BL200" s="522">
        <v>5580</v>
      </c>
      <c r="BM200" s="526">
        <v>110.87</v>
      </c>
      <c r="BN200" s="526">
        <v>111.55</v>
      </c>
      <c r="BO200" s="526">
        <v>5.31</v>
      </c>
      <c r="BP200" s="526">
        <v>113.86</v>
      </c>
      <c r="BQ200" s="522">
        <v>475</v>
      </c>
      <c r="BR200" s="526">
        <v>123.28</v>
      </c>
      <c r="BS200" s="526">
        <v>123.45</v>
      </c>
      <c r="BT200" s="526">
        <v>5.89</v>
      </c>
      <c r="BU200" s="526">
        <v>124.89</v>
      </c>
      <c r="BV200" s="522">
        <v>22</v>
      </c>
      <c r="BW200" s="526">
        <v>129.56</v>
      </c>
      <c r="BX200" s="526">
        <v>132.81</v>
      </c>
      <c r="BY200" s="526">
        <v>14.39</v>
      </c>
      <c r="BZ200" s="526">
        <v>131.96</v>
      </c>
      <c r="CA200" s="522">
        <v>6</v>
      </c>
      <c r="CB200" s="526">
        <v>87.28</v>
      </c>
      <c r="CC200" s="526">
        <v>88.24</v>
      </c>
      <c r="CD200" s="526">
        <v>11.27</v>
      </c>
      <c r="CE200" s="526">
        <v>93.9</v>
      </c>
      <c r="CF200" s="522">
        <v>17172</v>
      </c>
      <c r="CG200" s="526">
        <v>87.27</v>
      </c>
      <c r="CH200" s="526">
        <v>88.23</v>
      </c>
      <c r="CI200" s="526">
        <v>11.28</v>
      </c>
      <c r="CJ200" s="526">
        <v>93.9</v>
      </c>
      <c r="CK200" s="522">
        <v>17178</v>
      </c>
      <c r="CL200" s="526">
        <v>89.08</v>
      </c>
      <c r="CM200" s="526">
        <v>81.52</v>
      </c>
      <c r="CN200" s="526">
        <v>153.47</v>
      </c>
      <c r="CO200" s="526">
        <v>240.84</v>
      </c>
      <c r="CP200" s="522">
        <v>269</v>
      </c>
      <c r="CQ200" s="526">
        <v>74.23</v>
      </c>
      <c r="CR200" s="526">
        <v>70.25</v>
      </c>
      <c r="CS200" s="526">
        <v>42.08</v>
      </c>
      <c r="CT200" s="526">
        <v>111.23</v>
      </c>
      <c r="CU200" s="522">
        <v>91</v>
      </c>
      <c r="CV200" s="526">
        <v>81.5</v>
      </c>
      <c r="CW200" s="526">
        <v>80.760000000000005</v>
      </c>
      <c r="CX200" s="526">
        <v>21.34</v>
      </c>
      <c r="CY200" s="526">
        <v>101.99</v>
      </c>
      <c r="CZ200" s="522">
        <v>2482</v>
      </c>
      <c r="DA200" s="526">
        <v>97.34</v>
      </c>
      <c r="DB200" s="526">
        <v>95.61</v>
      </c>
      <c r="DC200" s="526">
        <v>32.799999999999997</v>
      </c>
      <c r="DD200" s="526">
        <v>129.66999999999999</v>
      </c>
      <c r="DE200" s="522">
        <v>415</v>
      </c>
      <c r="DF200" s="526">
        <v>103.51</v>
      </c>
      <c r="DG200" s="526">
        <v>99.24</v>
      </c>
      <c r="DH200" s="526">
        <v>20.9</v>
      </c>
      <c r="DI200" s="526">
        <v>113.15</v>
      </c>
      <c r="DJ200" s="522">
        <v>13</v>
      </c>
      <c r="DK200" s="526">
        <v>0</v>
      </c>
      <c r="DL200" s="526">
        <v>0</v>
      </c>
      <c r="DM200" s="526">
        <v>0</v>
      </c>
      <c r="DN200" s="526">
        <v>0</v>
      </c>
      <c r="DO200" s="522">
        <v>0</v>
      </c>
      <c r="DP200" s="526">
        <v>83.57</v>
      </c>
      <c r="DQ200" s="526">
        <v>82.58</v>
      </c>
      <c r="DR200" s="526">
        <v>23.55</v>
      </c>
      <c r="DS200" s="526">
        <v>106.15</v>
      </c>
      <c r="DT200" s="522">
        <v>3001</v>
      </c>
      <c r="DU200" s="526">
        <v>84.02</v>
      </c>
      <c r="DV200" s="526">
        <v>82.51</v>
      </c>
      <c r="DW200" s="526">
        <v>34.54</v>
      </c>
      <c r="DX200" s="526">
        <v>117.23</v>
      </c>
      <c r="DY200" s="522">
        <v>3270</v>
      </c>
      <c r="DZ200" s="526">
        <v>0</v>
      </c>
      <c r="EA200" s="526">
        <v>0</v>
      </c>
      <c r="EB200" s="526">
        <v>73.8</v>
      </c>
      <c r="EC200" s="522">
        <v>4</v>
      </c>
      <c r="ED200" s="526">
        <v>102.77</v>
      </c>
      <c r="EE200" s="522">
        <v>320</v>
      </c>
      <c r="EF200" s="526">
        <v>130.94</v>
      </c>
      <c r="EG200" s="522">
        <v>702</v>
      </c>
      <c r="EH200" s="526">
        <v>155.46</v>
      </c>
      <c r="EI200" s="522">
        <v>409</v>
      </c>
      <c r="EJ200" s="526">
        <v>177.99</v>
      </c>
      <c r="EK200" s="522">
        <v>65</v>
      </c>
      <c r="EL200" s="526">
        <v>0</v>
      </c>
      <c r="EM200" s="522">
        <v>0</v>
      </c>
      <c r="EN200" s="526">
        <v>0</v>
      </c>
      <c r="EO200" s="522">
        <v>0</v>
      </c>
      <c r="EP200" s="526">
        <v>133.5</v>
      </c>
      <c r="EQ200" s="522">
        <v>1500</v>
      </c>
      <c r="ER200" s="526">
        <v>133.5</v>
      </c>
      <c r="ES200" s="522">
        <v>1500</v>
      </c>
      <c r="ET200" s="526">
        <v>168.94</v>
      </c>
      <c r="EU200" s="526">
        <v>20</v>
      </c>
      <c r="EV200" s="526">
        <v>0</v>
      </c>
      <c r="EW200" s="522">
        <v>0</v>
      </c>
      <c r="EX200" s="526">
        <v>160.44</v>
      </c>
      <c r="EY200" s="522">
        <v>12</v>
      </c>
      <c r="EZ200" s="526">
        <v>163.38999999999999</v>
      </c>
      <c r="FA200" s="522">
        <v>2</v>
      </c>
      <c r="FB200" s="526">
        <v>0</v>
      </c>
      <c r="FC200" s="522">
        <v>0</v>
      </c>
      <c r="FD200" s="526">
        <v>0</v>
      </c>
      <c r="FE200" s="522">
        <v>0</v>
      </c>
      <c r="FF200" s="526">
        <v>160.86000000000001</v>
      </c>
      <c r="FG200" s="522">
        <v>14</v>
      </c>
      <c r="FH200" s="526">
        <v>165.61</v>
      </c>
      <c r="FI200" s="522">
        <v>34</v>
      </c>
      <c r="FJ200" s="522">
        <v>0</v>
      </c>
      <c r="FK200" s="522">
        <v>30</v>
      </c>
      <c r="FL200" s="522">
        <v>27</v>
      </c>
      <c r="FM200" s="522">
        <v>0</v>
      </c>
      <c r="FN200" s="522">
        <v>3</v>
      </c>
      <c r="FO200" s="522">
        <v>0</v>
      </c>
      <c r="FP200" s="522">
        <v>34</v>
      </c>
      <c r="FQ200" s="522">
        <v>24</v>
      </c>
      <c r="FR200" s="522">
        <v>19</v>
      </c>
    </row>
    <row r="201" spans="1:174" x14ac:dyDescent="0.25">
      <c r="A201" s="523" t="s">
        <v>652</v>
      </c>
      <c r="B201" s="523" t="s">
        <v>653</v>
      </c>
      <c r="C201" s="523" t="s">
        <v>2</v>
      </c>
      <c r="D201" s="522">
        <v>4659</v>
      </c>
      <c r="E201" s="522">
        <v>4561</v>
      </c>
      <c r="F201" s="522">
        <v>7</v>
      </c>
      <c r="G201" s="522">
        <v>0</v>
      </c>
      <c r="H201" s="522">
        <v>505</v>
      </c>
      <c r="I201" s="522">
        <v>84</v>
      </c>
      <c r="J201" s="522">
        <v>1057</v>
      </c>
      <c r="K201" s="522">
        <v>615</v>
      </c>
      <c r="L201" s="522">
        <v>680</v>
      </c>
      <c r="M201" s="522">
        <v>0</v>
      </c>
      <c r="N201" s="522">
        <v>6908</v>
      </c>
      <c r="O201" s="522">
        <v>5260</v>
      </c>
      <c r="P201" s="522">
        <v>6228</v>
      </c>
      <c r="Q201" s="522">
        <v>5</v>
      </c>
      <c r="R201" s="523">
        <v>12</v>
      </c>
      <c r="S201" s="523">
        <v>23</v>
      </c>
      <c r="T201" s="523">
        <v>946</v>
      </c>
      <c r="U201" s="523">
        <v>5962</v>
      </c>
      <c r="V201" s="522">
        <v>4564</v>
      </c>
      <c r="W201" s="522">
        <v>17</v>
      </c>
      <c r="X201" s="522">
        <v>19</v>
      </c>
      <c r="Y201" s="522">
        <v>36</v>
      </c>
      <c r="Z201" s="524">
        <v>113.19</v>
      </c>
      <c r="AA201" s="524">
        <v>113.64</v>
      </c>
      <c r="AB201" s="524">
        <v>12.18</v>
      </c>
      <c r="AC201" s="524">
        <v>122.84</v>
      </c>
      <c r="AD201" s="524">
        <v>3637</v>
      </c>
      <c r="AE201" s="525">
        <v>112.68</v>
      </c>
      <c r="AF201" s="525">
        <v>102.71</v>
      </c>
      <c r="AG201" s="525">
        <v>45.51</v>
      </c>
      <c r="AH201" s="525">
        <v>157.49</v>
      </c>
      <c r="AI201" s="525">
        <v>710</v>
      </c>
      <c r="AJ201" s="525">
        <v>150.13</v>
      </c>
      <c r="AK201" s="525">
        <v>756</v>
      </c>
      <c r="AL201" s="525">
        <v>205.78</v>
      </c>
      <c r="AM201" s="525">
        <v>83</v>
      </c>
      <c r="AN201" s="526">
        <v>0</v>
      </c>
      <c r="AO201" s="526">
        <v>0</v>
      </c>
      <c r="AP201" s="526">
        <v>0</v>
      </c>
      <c r="AQ201" s="526">
        <v>0</v>
      </c>
      <c r="AR201" s="522">
        <v>0</v>
      </c>
      <c r="AS201" s="526">
        <v>75.47</v>
      </c>
      <c r="AT201" s="526">
        <v>75.02</v>
      </c>
      <c r="AU201" s="526">
        <v>16.7</v>
      </c>
      <c r="AV201" s="526">
        <v>92.17</v>
      </c>
      <c r="AW201" s="522">
        <v>101</v>
      </c>
      <c r="AX201" s="526">
        <v>96.29</v>
      </c>
      <c r="AY201" s="526">
        <v>96</v>
      </c>
      <c r="AZ201" s="526">
        <v>14.88</v>
      </c>
      <c r="BA201" s="526">
        <v>110.36</v>
      </c>
      <c r="BB201" s="522">
        <v>946</v>
      </c>
      <c r="BC201" s="526">
        <v>113.14</v>
      </c>
      <c r="BD201" s="526">
        <v>113.52</v>
      </c>
      <c r="BE201" s="526">
        <v>13.73</v>
      </c>
      <c r="BF201" s="526">
        <v>124.49</v>
      </c>
      <c r="BG201" s="522">
        <v>1537</v>
      </c>
      <c r="BH201" s="526">
        <v>129.38</v>
      </c>
      <c r="BI201" s="526">
        <v>130.49</v>
      </c>
      <c r="BJ201" s="526">
        <v>4.5599999999999996</v>
      </c>
      <c r="BK201" s="526">
        <v>132</v>
      </c>
      <c r="BL201" s="522">
        <v>889</v>
      </c>
      <c r="BM201" s="526">
        <v>144.81</v>
      </c>
      <c r="BN201" s="526">
        <v>146.94999999999999</v>
      </c>
      <c r="BO201" s="526">
        <v>3.14</v>
      </c>
      <c r="BP201" s="526">
        <v>146.88</v>
      </c>
      <c r="BQ201" s="522">
        <v>156</v>
      </c>
      <c r="BR201" s="526">
        <v>163.41999999999999</v>
      </c>
      <c r="BS201" s="526">
        <v>162.69</v>
      </c>
      <c r="BT201" s="526">
        <v>2.2400000000000002</v>
      </c>
      <c r="BU201" s="526">
        <v>163.98</v>
      </c>
      <c r="BV201" s="522">
        <v>4</v>
      </c>
      <c r="BW201" s="526">
        <v>194.61</v>
      </c>
      <c r="BX201" s="526">
        <v>209.21</v>
      </c>
      <c r="BY201" s="526">
        <v>0</v>
      </c>
      <c r="BZ201" s="526">
        <v>194.61</v>
      </c>
      <c r="CA201" s="522">
        <v>4</v>
      </c>
      <c r="CB201" s="526">
        <v>113.19</v>
      </c>
      <c r="CC201" s="526">
        <v>113.64</v>
      </c>
      <c r="CD201" s="526">
        <v>12.18</v>
      </c>
      <c r="CE201" s="526">
        <v>122.84</v>
      </c>
      <c r="CF201" s="522">
        <v>3637</v>
      </c>
      <c r="CG201" s="526">
        <v>113.19</v>
      </c>
      <c r="CH201" s="526">
        <v>113.64</v>
      </c>
      <c r="CI201" s="526">
        <v>12.18</v>
      </c>
      <c r="CJ201" s="526">
        <v>122.84</v>
      </c>
      <c r="CK201" s="522">
        <v>3637</v>
      </c>
      <c r="CL201" s="526">
        <v>89.05</v>
      </c>
      <c r="CM201" s="526">
        <v>84.31</v>
      </c>
      <c r="CN201" s="526">
        <v>80.05</v>
      </c>
      <c r="CO201" s="526">
        <v>155.18</v>
      </c>
      <c r="CP201" s="522">
        <v>46</v>
      </c>
      <c r="CQ201" s="526">
        <v>79.040000000000006</v>
      </c>
      <c r="CR201" s="526">
        <v>76.650000000000006</v>
      </c>
      <c r="CS201" s="526">
        <v>34.51</v>
      </c>
      <c r="CT201" s="526">
        <v>113.56</v>
      </c>
      <c r="CU201" s="522">
        <v>158</v>
      </c>
      <c r="CV201" s="526">
        <v>121.43</v>
      </c>
      <c r="CW201" s="526">
        <v>106.46</v>
      </c>
      <c r="CX201" s="526">
        <v>46.11</v>
      </c>
      <c r="CY201" s="526">
        <v>167.21</v>
      </c>
      <c r="CZ201" s="522">
        <v>417</v>
      </c>
      <c r="DA201" s="526">
        <v>143.99</v>
      </c>
      <c r="DB201" s="526">
        <v>135.36000000000001</v>
      </c>
      <c r="DC201" s="526">
        <v>49.24</v>
      </c>
      <c r="DD201" s="526">
        <v>193.23</v>
      </c>
      <c r="DE201" s="522">
        <v>84</v>
      </c>
      <c r="DF201" s="526">
        <v>130.78</v>
      </c>
      <c r="DG201" s="526">
        <v>135.55000000000001</v>
      </c>
      <c r="DH201" s="526">
        <v>14.32</v>
      </c>
      <c r="DI201" s="526">
        <v>145.1</v>
      </c>
      <c r="DJ201" s="522">
        <v>3</v>
      </c>
      <c r="DK201" s="526">
        <v>147.63999999999999</v>
      </c>
      <c r="DL201" s="526">
        <v>151.47</v>
      </c>
      <c r="DM201" s="526">
        <v>25.02</v>
      </c>
      <c r="DN201" s="526">
        <v>172.66</v>
      </c>
      <c r="DO201" s="522">
        <v>2</v>
      </c>
      <c r="DP201" s="526">
        <v>114.32</v>
      </c>
      <c r="DQ201" s="526">
        <v>103.22</v>
      </c>
      <c r="DR201" s="526">
        <v>43.53</v>
      </c>
      <c r="DS201" s="526">
        <v>157.65</v>
      </c>
      <c r="DT201" s="522">
        <v>664</v>
      </c>
      <c r="DU201" s="526">
        <v>112.68</v>
      </c>
      <c r="DV201" s="526">
        <v>102.71</v>
      </c>
      <c r="DW201" s="526">
        <v>45.51</v>
      </c>
      <c r="DX201" s="526">
        <v>157.49</v>
      </c>
      <c r="DY201" s="522">
        <v>710</v>
      </c>
      <c r="DZ201" s="526">
        <v>0</v>
      </c>
      <c r="EA201" s="526">
        <v>0</v>
      </c>
      <c r="EB201" s="526">
        <v>123.38</v>
      </c>
      <c r="EC201" s="522">
        <v>1</v>
      </c>
      <c r="ED201" s="526">
        <v>125.11</v>
      </c>
      <c r="EE201" s="522">
        <v>268</v>
      </c>
      <c r="EF201" s="526">
        <v>154.85</v>
      </c>
      <c r="EG201" s="522">
        <v>344</v>
      </c>
      <c r="EH201" s="526">
        <v>178.16</v>
      </c>
      <c r="EI201" s="522">
        <v>125</v>
      </c>
      <c r="EJ201" s="526">
        <v>239.28</v>
      </c>
      <c r="EK201" s="522">
        <v>18</v>
      </c>
      <c r="EL201" s="526">
        <v>0</v>
      </c>
      <c r="EM201" s="522">
        <v>0</v>
      </c>
      <c r="EN201" s="526">
        <v>0</v>
      </c>
      <c r="EO201" s="522">
        <v>0</v>
      </c>
      <c r="EP201" s="526">
        <v>150.13</v>
      </c>
      <c r="EQ201" s="522">
        <v>756</v>
      </c>
      <c r="ER201" s="526">
        <v>150.13</v>
      </c>
      <c r="ES201" s="522">
        <v>756</v>
      </c>
      <c r="ET201" s="526">
        <v>0</v>
      </c>
      <c r="EU201" s="526">
        <v>0</v>
      </c>
      <c r="EV201" s="526">
        <v>214.98</v>
      </c>
      <c r="EW201" s="522">
        <v>75</v>
      </c>
      <c r="EX201" s="526">
        <v>117.6</v>
      </c>
      <c r="EY201" s="522">
        <v>7</v>
      </c>
      <c r="EZ201" s="526">
        <v>132.97999999999999</v>
      </c>
      <c r="FA201" s="522">
        <v>1</v>
      </c>
      <c r="FB201" s="526">
        <v>0</v>
      </c>
      <c r="FC201" s="522">
        <v>0</v>
      </c>
      <c r="FD201" s="526">
        <v>0</v>
      </c>
      <c r="FE201" s="522">
        <v>0</v>
      </c>
      <c r="FF201" s="526">
        <v>205.78</v>
      </c>
      <c r="FG201" s="522">
        <v>83</v>
      </c>
      <c r="FH201" s="526">
        <v>205.78</v>
      </c>
      <c r="FI201" s="522">
        <v>83</v>
      </c>
      <c r="FJ201" s="522">
        <v>300</v>
      </c>
      <c r="FK201" s="522">
        <v>2</v>
      </c>
      <c r="FL201" s="522">
        <v>0</v>
      </c>
      <c r="FM201" s="522">
        <v>0</v>
      </c>
      <c r="FN201" s="522">
        <v>2</v>
      </c>
      <c r="FO201" s="522">
        <v>0</v>
      </c>
      <c r="FP201" s="522">
        <v>1</v>
      </c>
      <c r="FQ201" s="522">
        <v>71</v>
      </c>
      <c r="FR201" s="522">
        <v>13</v>
      </c>
    </row>
    <row r="202" spans="1:174" x14ac:dyDescent="0.25">
      <c r="A202" s="523" t="s">
        <v>654</v>
      </c>
      <c r="B202" s="523" t="s">
        <v>655</v>
      </c>
      <c r="C202" s="523" t="s">
        <v>286</v>
      </c>
      <c r="D202" s="522">
        <v>10758</v>
      </c>
      <c r="E202" s="522">
        <v>10754</v>
      </c>
      <c r="F202" s="522">
        <v>0</v>
      </c>
      <c r="G202" s="522">
        <v>0</v>
      </c>
      <c r="H202" s="522">
        <v>692</v>
      </c>
      <c r="I202" s="522">
        <v>404</v>
      </c>
      <c r="J202" s="522">
        <v>1155</v>
      </c>
      <c r="K202" s="522">
        <v>1155</v>
      </c>
      <c r="L202" s="522">
        <v>873</v>
      </c>
      <c r="M202" s="522">
        <v>60</v>
      </c>
      <c r="N202" s="522">
        <v>13478</v>
      </c>
      <c r="O202" s="522">
        <v>12373</v>
      </c>
      <c r="P202" s="522">
        <v>12605</v>
      </c>
      <c r="Q202" s="522">
        <v>2</v>
      </c>
      <c r="R202" s="523">
        <v>10</v>
      </c>
      <c r="S202" s="523">
        <v>27</v>
      </c>
      <c r="T202" s="523">
        <v>142</v>
      </c>
      <c r="U202" s="523">
        <v>13336</v>
      </c>
      <c r="V202" s="522">
        <v>10724</v>
      </c>
      <c r="W202" s="522">
        <v>152</v>
      </c>
      <c r="X202" s="522">
        <v>307</v>
      </c>
      <c r="Y202" s="522">
        <v>459</v>
      </c>
      <c r="Z202" s="524">
        <v>90.03</v>
      </c>
      <c r="AA202" s="524">
        <v>91.92</v>
      </c>
      <c r="AB202" s="524">
        <v>6.12</v>
      </c>
      <c r="AC202" s="524">
        <v>93.53</v>
      </c>
      <c r="AD202" s="524">
        <v>8759</v>
      </c>
      <c r="AE202" s="525">
        <v>93.61</v>
      </c>
      <c r="AF202" s="525">
        <v>83.12</v>
      </c>
      <c r="AG202" s="525">
        <v>61.43</v>
      </c>
      <c r="AH202" s="525">
        <v>150.86000000000001</v>
      </c>
      <c r="AI202" s="525">
        <v>1573</v>
      </c>
      <c r="AJ202" s="525">
        <v>123.61</v>
      </c>
      <c r="AK202" s="525">
        <v>1940</v>
      </c>
      <c r="AL202" s="525">
        <v>254.01</v>
      </c>
      <c r="AM202" s="525">
        <v>166</v>
      </c>
      <c r="AN202" s="526">
        <v>0</v>
      </c>
      <c r="AO202" s="526">
        <v>0</v>
      </c>
      <c r="AP202" s="526">
        <v>0</v>
      </c>
      <c r="AQ202" s="526">
        <v>0</v>
      </c>
      <c r="AR202" s="522">
        <v>0</v>
      </c>
      <c r="AS202" s="526">
        <v>69.33</v>
      </c>
      <c r="AT202" s="526">
        <v>68.98</v>
      </c>
      <c r="AU202" s="526">
        <v>12.44</v>
      </c>
      <c r="AV202" s="526">
        <v>81.37</v>
      </c>
      <c r="AW202" s="522">
        <v>62</v>
      </c>
      <c r="AX202" s="526">
        <v>76.97</v>
      </c>
      <c r="AY202" s="526">
        <v>78.44</v>
      </c>
      <c r="AZ202" s="526">
        <v>7.73</v>
      </c>
      <c r="BA202" s="526">
        <v>83.14</v>
      </c>
      <c r="BB202" s="522">
        <v>2677</v>
      </c>
      <c r="BC202" s="526">
        <v>90.1</v>
      </c>
      <c r="BD202" s="526">
        <v>91.66</v>
      </c>
      <c r="BE202" s="526">
        <v>6.18</v>
      </c>
      <c r="BF202" s="526">
        <v>93.57</v>
      </c>
      <c r="BG202" s="522">
        <v>2619</v>
      </c>
      <c r="BH202" s="526">
        <v>99.75</v>
      </c>
      <c r="BI202" s="526">
        <v>102.39</v>
      </c>
      <c r="BJ202" s="526">
        <v>3.15</v>
      </c>
      <c r="BK202" s="526">
        <v>100.96</v>
      </c>
      <c r="BL202" s="522">
        <v>3187</v>
      </c>
      <c r="BM202" s="526">
        <v>112.74</v>
      </c>
      <c r="BN202" s="526">
        <v>113.68</v>
      </c>
      <c r="BO202" s="526">
        <v>3.8</v>
      </c>
      <c r="BP202" s="526">
        <v>114.87</v>
      </c>
      <c r="BQ202" s="522">
        <v>200</v>
      </c>
      <c r="BR202" s="526">
        <v>123.88</v>
      </c>
      <c r="BS202" s="526">
        <v>122.96</v>
      </c>
      <c r="BT202" s="526">
        <v>2.87</v>
      </c>
      <c r="BU202" s="526">
        <v>125.55</v>
      </c>
      <c r="BV202" s="522">
        <v>12</v>
      </c>
      <c r="BW202" s="526">
        <v>146.80000000000001</v>
      </c>
      <c r="BX202" s="526">
        <v>145.94999999999999</v>
      </c>
      <c r="BY202" s="526">
        <v>0</v>
      </c>
      <c r="BZ202" s="526">
        <v>146.80000000000001</v>
      </c>
      <c r="CA202" s="522">
        <v>2</v>
      </c>
      <c r="CB202" s="526">
        <v>90.03</v>
      </c>
      <c r="CC202" s="526">
        <v>91.92</v>
      </c>
      <c r="CD202" s="526">
        <v>6.12</v>
      </c>
      <c r="CE202" s="526">
        <v>93.53</v>
      </c>
      <c r="CF202" s="522">
        <v>8759</v>
      </c>
      <c r="CG202" s="526">
        <v>90.03</v>
      </c>
      <c r="CH202" s="526">
        <v>91.92</v>
      </c>
      <c r="CI202" s="526">
        <v>6.12</v>
      </c>
      <c r="CJ202" s="526">
        <v>93.53</v>
      </c>
      <c r="CK202" s="522">
        <v>8759</v>
      </c>
      <c r="CL202" s="526">
        <v>118.99</v>
      </c>
      <c r="CM202" s="526">
        <v>75.89</v>
      </c>
      <c r="CN202" s="526">
        <v>104.67</v>
      </c>
      <c r="CO202" s="526">
        <v>185.32</v>
      </c>
      <c r="CP202" s="522">
        <v>172</v>
      </c>
      <c r="CQ202" s="526">
        <v>80.61</v>
      </c>
      <c r="CR202" s="526">
        <v>72.680000000000007</v>
      </c>
      <c r="CS202" s="526">
        <v>57.18</v>
      </c>
      <c r="CT202" s="526">
        <v>137.79</v>
      </c>
      <c r="CU202" s="522">
        <v>148</v>
      </c>
      <c r="CV202" s="526">
        <v>91.23</v>
      </c>
      <c r="CW202" s="526">
        <v>83.41</v>
      </c>
      <c r="CX202" s="526">
        <v>58.59</v>
      </c>
      <c r="CY202" s="526">
        <v>147.91999999999999</v>
      </c>
      <c r="CZ202" s="522">
        <v>1143</v>
      </c>
      <c r="DA202" s="526">
        <v>93.22</v>
      </c>
      <c r="DB202" s="526">
        <v>97.89</v>
      </c>
      <c r="DC202" s="526">
        <v>47.17</v>
      </c>
      <c r="DD202" s="526">
        <v>136.77000000000001</v>
      </c>
      <c r="DE202" s="522">
        <v>78</v>
      </c>
      <c r="DF202" s="526">
        <v>103.15</v>
      </c>
      <c r="DG202" s="526">
        <v>106.23</v>
      </c>
      <c r="DH202" s="526">
        <v>65.72</v>
      </c>
      <c r="DI202" s="526">
        <v>166.6</v>
      </c>
      <c r="DJ202" s="522">
        <v>29</v>
      </c>
      <c r="DK202" s="526">
        <v>103.75</v>
      </c>
      <c r="DL202" s="526">
        <v>97.92</v>
      </c>
      <c r="DM202" s="526">
        <v>52.75</v>
      </c>
      <c r="DN202" s="526">
        <v>156.5</v>
      </c>
      <c r="DO202" s="522">
        <v>3</v>
      </c>
      <c r="DP202" s="526">
        <v>90.49</v>
      </c>
      <c r="DQ202" s="526">
        <v>83.62</v>
      </c>
      <c r="DR202" s="526">
        <v>57.96</v>
      </c>
      <c r="DS202" s="526">
        <v>146.63</v>
      </c>
      <c r="DT202" s="522">
        <v>1401</v>
      </c>
      <c r="DU202" s="526">
        <v>93.61</v>
      </c>
      <c r="DV202" s="526">
        <v>83.12</v>
      </c>
      <c r="DW202" s="526">
        <v>61.43</v>
      </c>
      <c r="DX202" s="526">
        <v>150.86000000000001</v>
      </c>
      <c r="DY202" s="522">
        <v>1573</v>
      </c>
      <c r="DZ202" s="526">
        <v>0</v>
      </c>
      <c r="EA202" s="526">
        <v>0</v>
      </c>
      <c r="EB202" s="526">
        <v>0</v>
      </c>
      <c r="EC202" s="522">
        <v>0</v>
      </c>
      <c r="ED202" s="526">
        <v>96.63</v>
      </c>
      <c r="EE202" s="522">
        <v>190</v>
      </c>
      <c r="EF202" s="526">
        <v>120.41</v>
      </c>
      <c r="EG202" s="522">
        <v>1079</v>
      </c>
      <c r="EH202" s="526">
        <v>134.59</v>
      </c>
      <c r="EI202" s="522">
        <v>611</v>
      </c>
      <c r="EJ202" s="526">
        <v>155.19</v>
      </c>
      <c r="EK202" s="522">
        <v>58</v>
      </c>
      <c r="EL202" s="526">
        <v>146.91999999999999</v>
      </c>
      <c r="EM202" s="522">
        <v>2</v>
      </c>
      <c r="EN202" s="526">
        <v>0</v>
      </c>
      <c r="EO202" s="522">
        <v>0</v>
      </c>
      <c r="EP202" s="526">
        <v>123.61</v>
      </c>
      <c r="EQ202" s="522">
        <v>1940</v>
      </c>
      <c r="ER202" s="526">
        <v>123.61</v>
      </c>
      <c r="ES202" s="522">
        <v>1940</v>
      </c>
      <c r="ET202" s="526">
        <v>312.10000000000002</v>
      </c>
      <c r="EU202" s="526">
        <v>8</v>
      </c>
      <c r="EV202" s="526">
        <v>487.81</v>
      </c>
      <c r="EW202" s="522">
        <v>14</v>
      </c>
      <c r="EX202" s="526">
        <v>253.37</v>
      </c>
      <c r="EY202" s="522">
        <v>59</v>
      </c>
      <c r="EZ202" s="526">
        <v>208.64</v>
      </c>
      <c r="FA202" s="522">
        <v>79</v>
      </c>
      <c r="FB202" s="526">
        <v>202.37</v>
      </c>
      <c r="FC202" s="522">
        <v>1</v>
      </c>
      <c r="FD202" s="526">
        <v>241.01</v>
      </c>
      <c r="FE202" s="522">
        <v>5</v>
      </c>
      <c r="FF202" s="526">
        <v>251.06</v>
      </c>
      <c r="FG202" s="522">
        <v>158</v>
      </c>
      <c r="FH202" s="526">
        <v>254.01</v>
      </c>
      <c r="FI202" s="522">
        <v>166</v>
      </c>
      <c r="FJ202" s="522">
        <v>0</v>
      </c>
      <c r="FK202" s="522">
        <v>30</v>
      </c>
      <c r="FL202" s="522">
        <v>19</v>
      </c>
      <c r="FM202" s="522">
        <v>0</v>
      </c>
      <c r="FN202" s="522">
        <v>11</v>
      </c>
      <c r="FO202" s="522">
        <v>0</v>
      </c>
      <c r="FP202" s="522">
        <v>1</v>
      </c>
      <c r="FQ202" s="522">
        <v>107</v>
      </c>
      <c r="FR202" s="522">
        <v>17</v>
      </c>
    </row>
    <row r="203" spans="1:174" x14ac:dyDescent="0.25">
      <c r="A203" s="523" t="s">
        <v>656</v>
      </c>
      <c r="B203" s="523" t="s">
        <v>657</v>
      </c>
      <c r="C203" s="523" t="s">
        <v>2</v>
      </c>
      <c r="D203" s="522">
        <v>3883</v>
      </c>
      <c r="E203" s="522">
        <v>3727</v>
      </c>
      <c r="F203" s="522">
        <v>0</v>
      </c>
      <c r="G203" s="522">
        <v>0</v>
      </c>
      <c r="H203" s="522">
        <v>217</v>
      </c>
      <c r="I203" s="522">
        <v>114</v>
      </c>
      <c r="J203" s="522">
        <v>609</v>
      </c>
      <c r="K203" s="522">
        <v>785</v>
      </c>
      <c r="L203" s="522">
        <v>1063</v>
      </c>
      <c r="M203" s="522">
        <v>0</v>
      </c>
      <c r="N203" s="522">
        <v>5772</v>
      </c>
      <c r="O203" s="522">
        <v>4626</v>
      </c>
      <c r="P203" s="522">
        <v>4709</v>
      </c>
      <c r="Q203" s="522">
        <v>44</v>
      </c>
      <c r="R203" s="523">
        <v>8</v>
      </c>
      <c r="S203" s="523">
        <v>28</v>
      </c>
      <c r="T203" s="523">
        <v>288</v>
      </c>
      <c r="U203" s="523">
        <v>5484</v>
      </c>
      <c r="V203" s="522">
        <v>3726</v>
      </c>
      <c r="W203" s="522">
        <v>27</v>
      </c>
      <c r="X203" s="522">
        <v>15</v>
      </c>
      <c r="Y203" s="522">
        <v>42</v>
      </c>
      <c r="Z203" s="524">
        <v>135.1</v>
      </c>
      <c r="AA203" s="524">
        <v>136.22999999999999</v>
      </c>
      <c r="AB203" s="524">
        <v>11.79</v>
      </c>
      <c r="AC203" s="524">
        <v>145.86000000000001</v>
      </c>
      <c r="AD203" s="524">
        <v>2857</v>
      </c>
      <c r="AE203" s="525">
        <v>126.2</v>
      </c>
      <c r="AF203" s="525">
        <v>119.45</v>
      </c>
      <c r="AG203" s="525">
        <v>124.78</v>
      </c>
      <c r="AH203" s="525">
        <v>248.68</v>
      </c>
      <c r="AI203" s="525">
        <v>543</v>
      </c>
      <c r="AJ203" s="525">
        <v>197.49</v>
      </c>
      <c r="AK203" s="525">
        <v>640</v>
      </c>
      <c r="AL203" s="525">
        <v>302.48</v>
      </c>
      <c r="AM203" s="525">
        <v>152</v>
      </c>
      <c r="AN203" s="526">
        <v>0</v>
      </c>
      <c r="AO203" s="526">
        <v>0</v>
      </c>
      <c r="AP203" s="526">
        <v>0</v>
      </c>
      <c r="AQ203" s="526">
        <v>0</v>
      </c>
      <c r="AR203" s="522">
        <v>0</v>
      </c>
      <c r="AS203" s="526">
        <v>88.87</v>
      </c>
      <c r="AT203" s="526">
        <v>87.89</v>
      </c>
      <c r="AU203" s="526">
        <v>13.48</v>
      </c>
      <c r="AV203" s="526">
        <v>102.35</v>
      </c>
      <c r="AW203" s="522">
        <v>27</v>
      </c>
      <c r="AX203" s="526">
        <v>110.42</v>
      </c>
      <c r="AY203" s="526">
        <v>110.56</v>
      </c>
      <c r="AZ203" s="526">
        <v>17.579999999999998</v>
      </c>
      <c r="BA203" s="526">
        <v>127.36</v>
      </c>
      <c r="BB203" s="522">
        <v>496</v>
      </c>
      <c r="BC203" s="526">
        <v>130.96</v>
      </c>
      <c r="BD203" s="526">
        <v>131.44999999999999</v>
      </c>
      <c r="BE203" s="526">
        <v>13.02</v>
      </c>
      <c r="BF203" s="526">
        <v>143.13999999999999</v>
      </c>
      <c r="BG203" s="522">
        <v>1305</v>
      </c>
      <c r="BH203" s="526">
        <v>150.97</v>
      </c>
      <c r="BI203" s="526">
        <v>153.05000000000001</v>
      </c>
      <c r="BJ203" s="526">
        <v>7.05</v>
      </c>
      <c r="BK203" s="526">
        <v>157.1</v>
      </c>
      <c r="BL203" s="522">
        <v>901</v>
      </c>
      <c r="BM203" s="526">
        <v>170.44</v>
      </c>
      <c r="BN203" s="526">
        <v>174.63</v>
      </c>
      <c r="BO203" s="526">
        <v>5.96</v>
      </c>
      <c r="BP203" s="526">
        <v>175.1</v>
      </c>
      <c r="BQ203" s="522">
        <v>115</v>
      </c>
      <c r="BR203" s="526">
        <v>168.52</v>
      </c>
      <c r="BS203" s="526">
        <v>179.52</v>
      </c>
      <c r="BT203" s="526">
        <v>3.29</v>
      </c>
      <c r="BU203" s="526">
        <v>171.44</v>
      </c>
      <c r="BV203" s="522">
        <v>9</v>
      </c>
      <c r="BW203" s="526">
        <v>190.57</v>
      </c>
      <c r="BX203" s="526">
        <v>215.12</v>
      </c>
      <c r="BY203" s="526">
        <v>0.05</v>
      </c>
      <c r="BZ203" s="526">
        <v>190.58</v>
      </c>
      <c r="CA203" s="522">
        <v>4</v>
      </c>
      <c r="CB203" s="526">
        <v>135.1</v>
      </c>
      <c r="CC203" s="526">
        <v>136.22999999999999</v>
      </c>
      <c r="CD203" s="526">
        <v>11.79</v>
      </c>
      <c r="CE203" s="526">
        <v>145.86000000000001</v>
      </c>
      <c r="CF203" s="522">
        <v>2857</v>
      </c>
      <c r="CG203" s="526">
        <v>135.1</v>
      </c>
      <c r="CH203" s="526">
        <v>136.22999999999999</v>
      </c>
      <c r="CI203" s="526">
        <v>11.79</v>
      </c>
      <c r="CJ203" s="526">
        <v>145.86000000000001</v>
      </c>
      <c r="CK203" s="522">
        <v>2857</v>
      </c>
      <c r="CL203" s="526">
        <v>131.83000000000001</v>
      </c>
      <c r="CM203" s="526">
        <v>98.72</v>
      </c>
      <c r="CN203" s="526">
        <v>318.99</v>
      </c>
      <c r="CO203" s="526">
        <v>450.82</v>
      </c>
      <c r="CP203" s="522">
        <v>66</v>
      </c>
      <c r="CQ203" s="526">
        <v>83.14</v>
      </c>
      <c r="CR203" s="526">
        <v>92.77</v>
      </c>
      <c r="CS203" s="526">
        <v>99.01</v>
      </c>
      <c r="CT203" s="526">
        <v>182.14</v>
      </c>
      <c r="CU203" s="522">
        <v>52</v>
      </c>
      <c r="CV203" s="526">
        <v>128.80000000000001</v>
      </c>
      <c r="CW203" s="526">
        <v>123.68</v>
      </c>
      <c r="CX203" s="526">
        <v>102.52</v>
      </c>
      <c r="CY203" s="526">
        <v>229.07</v>
      </c>
      <c r="CZ203" s="522">
        <v>364</v>
      </c>
      <c r="DA203" s="526">
        <v>140.88999999999999</v>
      </c>
      <c r="DB203" s="526">
        <v>134.79</v>
      </c>
      <c r="DC203" s="526">
        <v>64.709999999999994</v>
      </c>
      <c r="DD203" s="526">
        <v>203.44</v>
      </c>
      <c r="DE203" s="522">
        <v>60</v>
      </c>
      <c r="DF203" s="526">
        <v>166.97</v>
      </c>
      <c r="DG203" s="526">
        <v>151.80000000000001</v>
      </c>
      <c r="DH203" s="526">
        <v>53.35</v>
      </c>
      <c r="DI203" s="526">
        <v>220.32</v>
      </c>
      <c r="DJ203" s="522">
        <v>1</v>
      </c>
      <c r="DK203" s="526">
        <v>0</v>
      </c>
      <c r="DL203" s="526">
        <v>0</v>
      </c>
      <c r="DM203" s="526">
        <v>0</v>
      </c>
      <c r="DN203" s="526">
        <v>0</v>
      </c>
      <c r="DO203" s="522">
        <v>0</v>
      </c>
      <c r="DP203" s="526">
        <v>125.42</v>
      </c>
      <c r="DQ203" s="526">
        <v>121.76</v>
      </c>
      <c r="DR203" s="526">
        <v>97.33</v>
      </c>
      <c r="DS203" s="526">
        <v>220.71</v>
      </c>
      <c r="DT203" s="522">
        <v>477</v>
      </c>
      <c r="DU203" s="526">
        <v>126.2</v>
      </c>
      <c r="DV203" s="526">
        <v>119.45</v>
      </c>
      <c r="DW203" s="526">
        <v>124.78</v>
      </c>
      <c r="DX203" s="526">
        <v>248.68</v>
      </c>
      <c r="DY203" s="522">
        <v>543</v>
      </c>
      <c r="DZ203" s="526">
        <v>0</v>
      </c>
      <c r="EA203" s="526">
        <v>0</v>
      </c>
      <c r="EB203" s="526">
        <v>138.94999999999999</v>
      </c>
      <c r="EC203" s="522">
        <v>3</v>
      </c>
      <c r="ED203" s="526">
        <v>175.02</v>
      </c>
      <c r="EE203" s="522">
        <v>221</v>
      </c>
      <c r="EF203" s="526">
        <v>205.41</v>
      </c>
      <c r="EG203" s="522">
        <v>345</v>
      </c>
      <c r="EH203" s="526">
        <v>228.49</v>
      </c>
      <c r="EI203" s="522">
        <v>67</v>
      </c>
      <c r="EJ203" s="526">
        <v>281.58</v>
      </c>
      <c r="EK203" s="522">
        <v>4</v>
      </c>
      <c r="EL203" s="526">
        <v>0</v>
      </c>
      <c r="EM203" s="522">
        <v>0</v>
      </c>
      <c r="EN203" s="526">
        <v>0</v>
      </c>
      <c r="EO203" s="522">
        <v>0</v>
      </c>
      <c r="EP203" s="526">
        <v>197.49</v>
      </c>
      <c r="EQ203" s="522">
        <v>640</v>
      </c>
      <c r="ER203" s="526">
        <v>197.49</v>
      </c>
      <c r="ES203" s="522">
        <v>640</v>
      </c>
      <c r="ET203" s="526">
        <v>0</v>
      </c>
      <c r="EU203" s="526">
        <v>0</v>
      </c>
      <c r="EV203" s="526">
        <v>0</v>
      </c>
      <c r="EW203" s="522">
        <v>0</v>
      </c>
      <c r="EX203" s="526">
        <v>267.33</v>
      </c>
      <c r="EY203" s="522">
        <v>77</v>
      </c>
      <c r="EZ203" s="526">
        <v>338.57</v>
      </c>
      <c r="FA203" s="522">
        <v>75</v>
      </c>
      <c r="FB203" s="526">
        <v>0</v>
      </c>
      <c r="FC203" s="522">
        <v>0</v>
      </c>
      <c r="FD203" s="526">
        <v>0</v>
      </c>
      <c r="FE203" s="522">
        <v>0</v>
      </c>
      <c r="FF203" s="526">
        <v>302.48</v>
      </c>
      <c r="FG203" s="522">
        <v>152</v>
      </c>
      <c r="FH203" s="526">
        <v>302.48</v>
      </c>
      <c r="FI203" s="522">
        <v>152</v>
      </c>
      <c r="FJ203" s="522">
        <v>0</v>
      </c>
      <c r="FK203" s="522">
        <v>1</v>
      </c>
      <c r="FL203" s="522">
        <v>0</v>
      </c>
      <c r="FM203" s="522">
        <v>0</v>
      </c>
      <c r="FN203" s="522">
        <v>1</v>
      </c>
      <c r="FO203" s="522">
        <v>0</v>
      </c>
      <c r="FP203" s="522">
        <v>64</v>
      </c>
      <c r="FQ203" s="522">
        <v>69</v>
      </c>
      <c r="FR203" s="522">
        <v>21</v>
      </c>
    </row>
    <row r="204" spans="1:174" x14ac:dyDescent="0.25">
      <c r="A204" s="523" t="s">
        <v>658</v>
      </c>
      <c r="B204" s="523" t="s">
        <v>659</v>
      </c>
      <c r="C204" s="523" t="s">
        <v>284</v>
      </c>
      <c r="D204" s="522">
        <v>3504</v>
      </c>
      <c r="E204" s="522">
        <v>3361</v>
      </c>
      <c r="F204" s="522">
        <v>0</v>
      </c>
      <c r="G204" s="522">
        <v>0</v>
      </c>
      <c r="H204" s="522">
        <v>290</v>
      </c>
      <c r="I204" s="522">
        <v>124</v>
      </c>
      <c r="J204" s="522">
        <v>1097</v>
      </c>
      <c r="K204" s="522">
        <v>777</v>
      </c>
      <c r="L204" s="522">
        <v>810</v>
      </c>
      <c r="M204" s="522">
        <v>131</v>
      </c>
      <c r="N204" s="522">
        <v>5701</v>
      </c>
      <c r="O204" s="522">
        <v>4393</v>
      </c>
      <c r="P204" s="522">
        <v>4891</v>
      </c>
      <c r="Q204" s="522">
        <v>18</v>
      </c>
      <c r="R204" s="523">
        <v>6</v>
      </c>
      <c r="S204" s="523">
        <v>30</v>
      </c>
      <c r="T204" s="523">
        <v>317</v>
      </c>
      <c r="U204" s="523">
        <v>5384</v>
      </c>
      <c r="V204" s="522">
        <v>3361</v>
      </c>
      <c r="W204" s="522">
        <v>25</v>
      </c>
      <c r="X204" s="522">
        <v>7</v>
      </c>
      <c r="Y204" s="522">
        <v>32</v>
      </c>
      <c r="Z204" s="524">
        <v>141.19999999999999</v>
      </c>
      <c r="AA204" s="524">
        <v>144.74</v>
      </c>
      <c r="AB204" s="524">
        <v>13.47</v>
      </c>
      <c r="AC204" s="524">
        <v>149.49</v>
      </c>
      <c r="AD204" s="524">
        <v>2823</v>
      </c>
      <c r="AE204" s="525">
        <v>121.32</v>
      </c>
      <c r="AF204" s="525">
        <v>113.14</v>
      </c>
      <c r="AG204" s="525">
        <v>70.819999999999993</v>
      </c>
      <c r="AH204" s="525">
        <v>190.97</v>
      </c>
      <c r="AI204" s="525">
        <v>1213</v>
      </c>
      <c r="AJ204" s="525">
        <v>213.64</v>
      </c>
      <c r="AK204" s="525">
        <v>400</v>
      </c>
      <c r="AL204" s="525">
        <v>153.69999999999999</v>
      </c>
      <c r="AM204" s="525">
        <v>53</v>
      </c>
      <c r="AN204" s="526">
        <v>0</v>
      </c>
      <c r="AO204" s="526">
        <v>0</v>
      </c>
      <c r="AP204" s="526">
        <v>0</v>
      </c>
      <c r="AQ204" s="526">
        <v>0</v>
      </c>
      <c r="AR204" s="522">
        <v>0</v>
      </c>
      <c r="AS204" s="526">
        <v>101.07</v>
      </c>
      <c r="AT204" s="526">
        <v>100.07</v>
      </c>
      <c r="AU204" s="526">
        <v>7.7</v>
      </c>
      <c r="AV204" s="526">
        <v>107.4</v>
      </c>
      <c r="AW204" s="522">
        <v>28</v>
      </c>
      <c r="AX204" s="526">
        <v>114.64</v>
      </c>
      <c r="AY204" s="526">
        <v>116.16</v>
      </c>
      <c r="AZ204" s="526">
        <v>16.72</v>
      </c>
      <c r="BA204" s="526">
        <v>129.13</v>
      </c>
      <c r="BB204" s="522">
        <v>375</v>
      </c>
      <c r="BC204" s="526">
        <v>135.77000000000001</v>
      </c>
      <c r="BD204" s="526">
        <v>138.26</v>
      </c>
      <c r="BE204" s="526">
        <v>14.66</v>
      </c>
      <c r="BF204" s="526">
        <v>145.59</v>
      </c>
      <c r="BG204" s="522">
        <v>1319</v>
      </c>
      <c r="BH204" s="526">
        <v>154.34</v>
      </c>
      <c r="BI204" s="526">
        <v>158.6</v>
      </c>
      <c r="BJ204" s="526">
        <v>9.42</v>
      </c>
      <c r="BK204" s="526">
        <v>158.55000000000001</v>
      </c>
      <c r="BL204" s="522">
        <v>916</v>
      </c>
      <c r="BM204" s="526">
        <v>174.57</v>
      </c>
      <c r="BN204" s="526">
        <v>185.71</v>
      </c>
      <c r="BO204" s="526">
        <v>10.69</v>
      </c>
      <c r="BP204" s="526">
        <v>180.33</v>
      </c>
      <c r="BQ204" s="522">
        <v>167</v>
      </c>
      <c r="BR204" s="526">
        <v>176.95</v>
      </c>
      <c r="BS204" s="526">
        <v>199.35</v>
      </c>
      <c r="BT204" s="526">
        <v>3.61</v>
      </c>
      <c r="BU204" s="526">
        <v>178.35</v>
      </c>
      <c r="BV204" s="522">
        <v>18</v>
      </c>
      <c r="BW204" s="526">
        <v>0</v>
      </c>
      <c r="BX204" s="526">
        <v>0</v>
      </c>
      <c r="BY204" s="526">
        <v>0</v>
      </c>
      <c r="BZ204" s="526">
        <v>0</v>
      </c>
      <c r="CA204" s="522">
        <v>0</v>
      </c>
      <c r="CB204" s="526">
        <v>141.19999999999999</v>
      </c>
      <c r="CC204" s="526">
        <v>144.74</v>
      </c>
      <c r="CD204" s="526">
        <v>13.47</v>
      </c>
      <c r="CE204" s="526">
        <v>149.49</v>
      </c>
      <c r="CF204" s="522">
        <v>2823</v>
      </c>
      <c r="CG204" s="526">
        <v>141.19999999999999</v>
      </c>
      <c r="CH204" s="526">
        <v>144.74</v>
      </c>
      <c r="CI204" s="526">
        <v>13.47</v>
      </c>
      <c r="CJ204" s="526">
        <v>149.49</v>
      </c>
      <c r="CK204" s="522">
        <v>2823</v>
      </c>
      <c r="CL204" s="526">
        <v>149.41999999999999</v>
      </c>
      <c r="CM204" s="526">
        <v>112.83</v>
      </c>
      <c r="CN204" s="526">
        <v>83.47</v>
      </c>
      <c r="CO204" s="526">
        <v>226.78</v>
      </c>
      <c r="CP204" s="522">
        <v>82</v>
      </c>
      <c r="CQ204" s="526">
        <v>104.9</v>
      </c>
      <c r="CR204" s="526">
        <v>96.82</v>
      </c>
      <c r="CS204" s="526">
        <v>103.76</v>
      </c>
      <c r="CT204" s="526">
        <v>207.56</v>
      </c>
      <c r="CU204" s="522">
        <v>95</v>
      </c>
      <c r="CV204" s="526">
        <v>119.18</v>
      </c>
      <c r="CW204" s="526">
        <v>112.83</v>
      </c>
      <c r="CX204" s="526">
        <v>66.63</v>
      </c>
      <c r="CY204" s="526">
        <v>185.11</v>
      </c>
      <c r="CZ204" s="522">
        <v>955</v>
      </c>
      <c r="DA204" s="526">
        <v>137.12</v>
      </c>
      <c r="DB204" s="526">
        <v>133.69999999999999</v>
      </c>
      <c r="DC204" s="526">
        <v>73.47</v>
      </c>
      <c r="DD204" s="526">
        <v>208.51</v>
      </c>
      <c r="DE204" s="522">
        <v>71</v>
      </c>
      <c r="DF204" s="526">
        <v>138.32</v>
      </c>
      <c r="DG204" s="526">
        <v>156.16999999999999</v>
      </c>
      <c r="DH204" s="526">
        <v>40.35</v>
      </c>
      <c r="DI204" s="526">
        <v>178.67</v>
      </c>
      <c r="DJ204" s="522">
        <v>9</v>
      </c>
      <c r="DK204" s="526">
        <v>141.62</v>
      </c>
      <c r="DL204" s="526">
        <v>133.68</v>
      </c>
      <c r="DM204" s="526">
        <v>0</v>
      </c>
      <c r="DN204" s="526">
        <v>141.62</v>
      </c>
      <c r="DO204" s="522">
        <v>1</v>
      </c>
      <c r="DP204" s="526">
        <v>119.28</v>
      </c>
      <c r="DQ204" s="526">
        <v>113.16</v>
      </c>
      <c r="DR204" s="526">
        <v>69.959999999999994</v>
      </c>
      <c r="DS204" s="526">
        <v>188.38</v>
      </c>
      <c r="DT204" s="522">
        <v>1131</v>
      </c>
      <c r="DU204" s="526">
        <v>121.32</v>
      </c>
      <c r="DV204" s="526">
        <v>113.14</v>
      </c>
      <c r="DW204" s="526">
        <v>70.819999999999993</v>
      </c>
      <c r="DX204" s="526">
        <v>190.97</v>
      </c>
      <c r="DY204" s="522">
        <v>1213</v>
      </c>
      <c r="DZ204" s="526">
        <v>0</v>
      </c>
      <c r="EA204" s="526">
        <v>0</v>
      </c>
      <c r="EB204" s="526">
        <v>177.04</v>
      </c>
      <c r="EC204" s="522">
        <v>2</v>
      </c>
      <c r="ED204" s="526">
        <v>176.16</v>
      </c>
      <c r="EE204" s="522">
        <v>95</v>
      </c>
      <c r="EF204" s="526">
        <v>207.19</v>
      </c>
      <c r="EG204" s="522">
        <v>194</v>
      </c>
      <c r="EH204" s="526">
        <v>258.61</v>
      </c>
      <c r="EI204" s="522">
        <v>99</v>
      </c>
      <c r="EJ204" s="526">
        <v>257.02</v>
      </c>
      <c r="EK204" s="522">
        <v>10</v>
      </c>
      <c r="EL204" s="526">
        <v>0</v>
      </c>
      <c r="EM204" s="522">
        <v>0</v>
      </c>
      <c r="EN204" s="526">
        <v>0</v>
      </c>
      <c r="EO204" s="522">
        <v>0</v>
      </c>
      <c r="EP204" s="526">
        <v>213.64</v>
      </c>
      <c r="EQ204" s="522">
        <v>400</v>
      </c>
      <c r="ER204" s="526">
        <v>213.64</v>
      </c>
      <c r="ES204" s="522">
        <v>400</v>
      </c>
      <c r="ET204" s="526">
        <v>0</v>
      </c>
      <c r="EU204" s="526">
        <v>0</v>
      </c>
      <c r="EV204" s="526">
        <v>0</v>
      </c>
      <c r="EW204" s="522">
        <v>0</v>
      </c>
      <c r="EX204" s="526">
        <v>153.69999999999999</v>
      </c>
      <c r="EY204" s="522">
        <v>53</v>
      </c>
      <c r="EZ204" s="526">
        <v>0</v>
      </c>
      <c r="FA204" s="522">
        <v>0</v>
      </c>
      <c r="FB204" s="526">
        <v>0</v>
      </c>
      <c r="FC204" s="522">
        <v>0</v>
      </c>
      <c r="FD204" s="526">
        <v>0</v>
      </c>
      <c r="FE204" s="522">
        <v>0</v>
      </c>
      <c r="FF204" s="526">
        <v>153.69999999999999</v>
      </c>
      <c r="FG204" s="522">
        <v>53</v>
      </c>
      <c r="FH204" s="526">
        <v>153.69999999999999</v>
      </c>
      <c r="FI204" s="522">
        <v>53</v>
      </c>
      <c r="FJ204" s="522">
        <v>0</v>
      </c>
      <c r="FK204" s="522">
        <v>6</v>
      </c>
      <c r="FL204" s="522">
        <v>3</v>
      </c>
      <c r="FM204" s="522">
        <v>0</v>
      </c>
      <c r="FN204" s="522">
        <v>3</v>
      </c>
      <c r="FO204" s="522">
        <v>0</v>
      </c>
      <c r="FP204" s="522">
        <v>15</v>
      </c>
      <c r="FQ204" s="522">
        <v>0</v>
      </c>
      <c r="FR204" s="522">
        <v>18</v>
      </c>
    </row>
    <row r="205" spans="1:174" x14ac:dyDescent="0.25">
      <c r="A205" s="523" t="s">
        <v>660</v>
      </c>
      <c r="B205" s="523" t="s">
        <v>661</v>
      </c>
      <c r="C205" s="523" t="s">
        <v>285</v>
      </c>
      <c r="D205" s="522">
        <v>11678</v>
      </c>
      <c r="E205" s="522">
        <v>11701</v>
      </c>
      <c r="F205" s="522">
        <v>0</v>
      </c>
      <c r="G205" s="522">
        <v>0</v>
      </c>
      <c r="H205" s="522">
        <v>363</v>
      </c>
      <c r="I205" s="522">
        <v>275</v>
      </c>
      <c r="J205" s="522">
        <v>635</v>
      </c>
      <c r="K205" s="522">
        <v>610</v>
      </c>
      <c r="L205" s="522">
        <v>381</v>
      </c>
      <c r="M205" s="522">
        <v>0</v>
      </c>
      <c r="N205" s="522">
        <v>13057</v>
      </c>
      <c r="O205" s="522">
        <v>12586</v>
      </c>
      <c r="P205" s="522">
        <v>12676</v>
      </c>
      <c r="Q205" s="522">
        <v>5</v>
      </c>
      <c r="R205" s="523">
        <v>6</v>
      </c>
      <c r="S205" s="523">
        <v>22</v>
      </c>
      <c r="T205" s="523">
        <v>98</v>
      </c>
      <c r="U205" s="523">
        <v>12959</v>
      </c>
      <c r="V205" s="522">
        <v>11678</v>
      </c>
      <c r="W205" s="522">
        <v>62</v>
      </c>
      <c r="X205" s="522">
        <v>235</v>
      </c>
      <c r="Y205" s="522">
        <v>297</v>
      </c>
      <c r="Z205" s="524">
        <v>99.89</v>
      </c>
      <c r="AA205" s="524">
        <v>103.25</v>
      </c>
      <c r="AB205" s="524">
        <v>4.7</v>
      </c>
      <c r="AC205" s="524">
        <v>102.18</v>
      </c>
      <c r="AD205" s="524">
        <v>10648</v>
      </c>
      <c r="AE205" s="525">
        <v>102.63</v>
      </c>
      <c r="AF205" s="525">
        <v>89.5</v>
      </c>
      <c r="AG205" s="525">
        <v>66.22</v>
      </c>
      <c r="AH205" s="525">
        <v>167.76</v>
      </c>
      <c r="AI205" s="525">
        <v>663</v>
      </c>
      <c r="AJ205" s="525">
        <v>121.05</v>
      </c>
      <c r="AK205" s="525">
        <v>929</v>
      </c>
      <c r="AL205" s="525">
        <v>154.83000000000001</v>
      </c>
      <c r="AM205" s="525">
        <v>237</v>
      </c>
      <c r="AN205" s="526">
        <v>0</v>
      </c>
      <c r="AO205" s="526">
        <v>0</v>
      </c>
      <c r="AP205" s="526">
        <v>0</v>
      </c>
      <c r="AQ205" s="526">
        <v>0</v>
      </c>
      <c r="AR205" s="522">
        <v>0</v>
      </c>
      <c r="AS205" s="526">
        <v>74.12</v>
      </c>
      <c r="AT205" s="526">
        <v>76.38</v>
      </c>
      <c r="AU205" s="526">
        <v>5.7</v>
      </c>
      <c r="AV205" s="526">
        <v>79.819999999999993</v>
      </c>
      <c r="AW205" s="522">
        <v>30</v>
      </c>
      <c r="AX205" s="526">
        <v>88.68</v>
      </c>
      <c r="AY205" s="526">
        <v>91.36</v>
      </c>
      <c r="AZ205" s="526">
        <v>5.25</v>
      </c>
      <c r="BA205" s="526">
        <v>93.69</v>
      </c>
      <c r="BB205" s="522">
        <v>2666</v>
      </c>
      <c r="BC205" s="526">
        <v>98.52</v>
      </c>
      <c r="BD205" s="526">
        <v>101.44</v>
      </c>
      <c r="BE205" s="526">
        <v>4.05</v>
      </c>
      <c r="BF205" s="526">
        <v>100.71</v>
      </c>
      <c r="BG205" s="522">
        <v>4101</v>
      </c>
      <c r="BH205" s="526">
        <v>108.69</v>
      </c>
      <c r="BI205" s="526">
        <v>112.96</v>
      </c>
      <c r="BJ205" s="526">
        <v>4.5999999999999996</v>
      </c>
      <c r="BK205" s="526">
        <v>109.15</v>
      </c>
      <c r="BL205" s="522">
        <v>3658</v>
      </c>
      <c r="BM205" s="526">
        <v>120.32</v>
      </c>
      <c r="BN205" s="526">
        <v>125.22</v>
      </c>
      <c r="BO205" s="526">
        <v>6.63</v>
      </c>
      <c r="BP205" s="526">
        <v>121.52</v>
      </c>
      <c r="BQ205" s="522">
        <v>172</v>
      </c>
      <c r="BR205" s="526">
        <v>127.44</v>
      </c>
      <c r="BS205" s="526">
        <v>135.58000000000001</v>
      </c>
      <c r="BT205" s="526">
        <v>0</v>
      </c>
      <c r="BU205" s="526">
        <v>127.44</v>
      </c>
      <c r="BV205" s="522">
        <v>20</v>
      </c>
      <c r="BW205" s="526">
        <v>144.12</v>
      </c>
      <c r="BX205" s="526">
        <v>149.63999999999999</v>
      </c>
      <c r="BY205" s="526">
        <v>0</v>
      </c>
      <c r="BZ205" s="526">
        <v>144.12</v>
      </c>
      <c r="CA205" s="522">
        <v>1</v>
      </c>
      <c r="CB205" s="526">
        <v>99.89</v>
      </c>
      <c r="CC205" s="526">
        <v>103.25</v>
      </c>
      <c r="CD205" s="526">
        <v>4.7</v>
      </c>
      <c r="CE205" s="526">
        <v>102.18</v>
      </c>
      <c r="CF205" s="522">
        <v>10648</v>
      </c>
      <c r="CG205" s="526">
        <v>99.89</v>
      </c>
      <c r="CH205" s="526">
        <v>103.25</v>
      </c>
      <c r="CI205" s="526">
        <v>4.7</v>
      </c>
      <c r="CJ205" s="526">
        <v>102.18</v>
      </c>
      <c r="CK205" s="522">
        <v>10648</v>
      </c>
      <c r="CL205" s="526">
        <v>147.46</v>
      </c>
      <c r="CM205" s="526">
        <v>89.1</v>
      </c>
      <c r="CN205" s="526">
        <v>150.84</v>
      </c>
      <c r="CO205" s="526">
        <v>298.3</v>
      </c>
      <c r="CP205" s="522">
        <v>61</v>
      </c>
      <c r="CQ205" s="526">
        <v>81.86</v>
      </c>
      <c r="CR205" s="526">
        <v>76.02</v>
      </c>
      <c r="CS205" s="526">
        <v>48.39</v>
      </c>
      <c r="CT205" s="526">
        <v>130.25</v>
      </c>
      <c r="CU205" s="522">
        <v>85</v>
      </c>
      <c r="CV205" s="526">
        <v>97.78</v>
      </c>
      <c r="CW205" s="526">
        <v>87.11</v>
      </c>
      <c r="CX205" s="526">
        <v>53.47</v>
      </c>
      <c r="CY205" s="526">
        <v>150.24</v>
      </c>
      <c r="CZ205" s="522">
        <v>375</v>
      </c>
      <c r="DA205" s="526">
        <v>107.19</v>
      </c>
      <c r="DB205" s="526">
        <v>101.96</v>
      </c>
      <c r="DC205" s="526">
        <v>71.400000000000006</v>
      </c>
      <c r="DD205" s="526">
        <v>177.54</v>
      </c>
      <c r="DE205" s="522">
        <v>135</v>
      </c>
      <c r="DF205" s="526">
        <v>136.44</v>
      </c>
      <c r="DG205" s="526">
        <v>135.94999999999999</v>
      </c>
      <c r="DH205" s="526">
        <v>137.97</v>
      </c>
      <c r="DI205" s="526">
        <v>234.98</v>
      </c>
      <c r="DJ205" s="522">
        <v>7</v>
      </c>
      <c r="DK205" s="526">
        <v>0</v>
      </c>
      <c r="DL205" s="526">
        <v>0</v>
      </c>
      <c r="DM205" s="526">
        <v>0</v>
      </c>
      <c r="DN205" s="526">
        <v>0</v>
      </c>
      <c r="DO205" s="522">
        <v>0</v>
      </c>
      <c r="DP205" s="526">
        <v>98.09</v>
      </c>
      <c r="DQ205" s="526">
        <v>89.52</v>
      </c>
      <c r="DR205" s="526">
        <v>57.49</v>
      </c>
      <c r="DS205" s="526">
        <v>154.53</v>
      </c>
      <c r="DT205" s="522">
        <v>602</v>
      </c>
      <c r="DU205" s="526">
        <v>102.63</v>
      </c>
      <c r="DV205" s="526">
        <v>89.5</v>
      </c>
      <c r="DW205" s="526">
        <v>66.22</v>
      </c>
      <c r="DX205" s="526">
        <v>167.76</v>
      </c>
      <c r="DY205" s="522">
        <v>663</v>
      </c>
      <c r="DZ205" s="526">
        <v>0</v>
      </c>
      <c r="EA205" s="526">
        <v>0</v>
      </c>
      <c r="EB205" s="526">
        <v>0</v>
      </c>
      <c r="EC205" s="522">
        <v>0</v>
      </c>
      <c r="ED205" s="526">
        <v>94.37</v>
      </c>
      <c r="EE205" s="522">
        <v>58</v>
      </c>
      <c r="EF205" s="526">
        <v>116.1</v>
      </c>
      <c r="EG205" s="522">
        <v>501</v>
      </c>
      <c r="EH205" s="526">
        <v>130.38</v>
      </c>
      <c r="EI205" s="522">
        <v>338</v>
      </c>
      <c r="EJ205" s="526">
        <v>148.29</v>
      </c>
      <c r="EK205" s="522">
        <v>32</v>
      </c>
      <c r="EL205" s="526">
        <v>0</v>
      </c>
      <c r="EM205" s="522">
        <v>0</v>
      </c>
      <c r="EN205" s="526">
        <v>0</v>
      </c>
      <c r="EO205" s="522">
        <v>0</v>
      </c>
      <c r="EP205" s="526">
        <v>121.05</v>
      </c>
      <c r="EQ205" s="522">
        <v>929</v>
      </c>
      <c r="ER205" s="526">
        <v>121.05</v>
      </c>
      <c r="ES205" s="522">
        <v>929</v>
      </c>
      <c r="ET205" s="526">
        <v>0</v>
      </c>
      <c r="EU205" s="526">
        <v>0</v>
      </c>
      <c r="EV205" s="526">
        <v>0</v>
      </c>
      <c r="EW205" s="522">
        <v>0</v>
      </c>
      <c r="EX205" s="526">
        <v>170.76</v>
      </c>
      <c r="EY205" s="522">
        <v>105</v>
      </c>
      <c r="EZ205" s="526">
        <v>142.88</v>
      </c>
      <c r="FA205" s="522">
        <v>114</v>
      </c>
      <c r="FB205" s="526">
        <v>137.5</v>
      </c>
      <c r="FC205" s="522">
        <v>18</v>
      </c>
      <c r="FD205" s="526">
        <v>0</v>
      </c>
      <c r="FE205" s="522">
        <v>0</v>
      </c>
      <c r="FF205" s="526">
        <v>154.83000000000001</v>
      </c>
      <c r="FG205" s="522">
        <v>237</v>
      </c>
      <c r="FH205" s="526">
        <v>154.83000000000001</v>
      </c>
      <c r="FI205" s="522">
        <v>237</v>
      </c>
      <c r="FJ205" s="522">
        <v>0</v>
      </c>
      <c r="FK205" s="522">
        <v>21</v>
      </c>
      <c r="FL205" s="522">
        <v>16</v>
      </c>
      <c r="FM205" s="522">
        <v>0</v>
      </c>
      <c r="FN205" s="522">
        <v>5</v>
      </c>
      <c r="FO205" s="522">
        <v>0</v>
      </c>
      <c r="FP205" s="522">
        <v>0</v>
      </c>
      <c r="FQ205" s="522">
        <v>44</v>
      </c>
      <c r="FR205" s="522">
        <v>3</v>
      </c>
    </row>
    <row r="206" spans="1:174" x14ac:dyDescent="0.25">
      <c r="A206" s="523" t="s">
        <v>662</v>
      </c>
      <c r="B206" s="523" t="s">
        <v>663</v>
      </c>
      <c r="C206" s="523" t="s">
        <v>288</v>
      </c>
      <c r="D206" s="522">
        <v>2021</v>
      </c>
      <c r="E206" s="522">
        <v>1861</v>
      </c>
      <c r="F206" s="522">
        <v>0</v>
      </c>
      <c r="G206" s="522">
        <v>0</v>
      </c>
      <c r="H206" s="522">
        <v>170</v>
      </c>
      <c r="I206" s="522">
        <v>71</v>
      </c>
      <c r="J206" s="522">
        <v>181</v>
      </c>
      <c r="K206" s="522">
        <v>181</v>
      </c>
      <c r="L206" s="522">
        <v>276</v>
      </c>
      <c r="M206" s="522">
        <v>11</v>
      </c>
      <c r="N206" s="522">
        <v>2648</v>
      </c>
      <c r="O206" s="522">
        <v>2124</v>
      </c>
      <c r="P206" s="522">
        <v>2372</v>
      </c>
      <c r="Q206" s="522">
        <v>1</v>
      </c>
      <c r="R206" s="523">
        <v>5</v>
      </c>
      <c r="S206" s="523">
        <v>18</v>
      </c>
      <c r="T206" s="523">
        <v>222</v>
      </c>
      <c r="U206" s="523">
        <v>2426</v>
      </c>
      <c r="V206" s="522">
        <v>1857</v>
      </c>
      <c r="W206" s="522">
        <v>21</v>
      </c>
      <c r="X206" s="522">
        <v>4</v>
      </c>
      <c r="Y206" s="522">
        <v>25</v>
      </c>
      <c r="Z206" s="524">
        <v>105.29</v>
      </c>
      <c r="AA206" s="524">
        <v>105.81</v>
      </c>
      <c r="AB206" s="524">
        <v>5.51</v>
      </c>
      <c r="AC206" s="524">
        <v>109.66</v>
      </c>
      <c r="AD206" s="524">
        <v>1598</v>
      </c>
      <c r="AE206" s="525">
        <v>131.94999999999999</v>
      </c>
      <c r="AF206" s="525">
        <v>106.39</v>
      </c>
      <c r="AG206" s="525">
        <v>79.52</v>
      </c>
      <c r="AH206" s="525">
        <v>209.57</v>
      </c>
      <c r="AI206" s="525">
        <v>251</v>
      </c>
      <c r="AJ206" s="525">
        <v>135.66999999999999</v>
      </c>
      <c r="AK206" s="525">
        <v>214</v>
      </c>
      <c r="AL206" s="525">
        <v>328.69</v>
      </c>
      <c r="AM206" s="525">
        <v>44</v>
      </c>
      <c r="AN206" s="526">
        <v>0</v>
      </c>
      <c r="AO206" s="526">
        <v>0</v>
      </c>
      <c r="AP206" s="526">
        <v>0</v>
      </c>
      <c r="AQ206" s="526">
        <v>0</v>
      </c>
      <c r="AR206" s="522">
        <v>0</v>
      </c>
      <c r="AS206" s="526">
        <v>0</v>
      </c>
      <c r="AT206" s="526">
        <v>0</v>
      </c>
      <c r="AU206" s="526">
        <v>0</v>
      </c>
      <c r="AV206" s="526">
        <v>0</v>
      </c>
      <c r="AW206" s="522">
        <v>0</v>
      </c>
      <c r="AX206" s="526">
        <v>88.98</v>
      </c>
      <c r="AY206" s="526">
        <v>88.69</v>
      </c>
      <c r="AZ206" s="526">
        <v>6.21</v>
      </c>
      <c r="BA206" s="526">
        <v>93.9</v>
      </c>
      <c r="BB206" s="522">
        <v>458</v>
      </c>
      <c r="BC206" s="526">
        <v>106.19</v>
      </c>
      <c r="BD206" s="526">
        <v>106.62</v>
      </c>
      <c r="BE206" s="526">
        <v>5.79</v>
      </c>
      <c r="BF206" s="526">
        <v>111.13</v>
      </c>
      <c r="BG206" s="522">
        <v>789</v>
      </c>
      <c r="BH206" s="526">
        <v>120.26</v>
      </c>
      <c r="BI206" s="526">
        <v>121.94</v>
      </c>
      <c r="BJ206" s="526">
        <v>3.8</v>
      </c>
      <c r="BK206" s="526">
        <v>122.71</v>
      </c>
      <c r="BL206" s="522">
        <v>277</v>
      </c>
      <c r="BM206" s="526">
        <v>140.06</v>
      </c>
      <c r="BN206" s="526">
        <v>143.74</v>
      </c>
      <c r="BO206" s="526">
        <v>2.96</v>
      </c>
      <c r="BP206" s="526">
        <v>142.33000000000001</v>
      </c>
      <c r="BQ206" s="522">
        <v>72</v>
      </c>
      <c r="BR206" s="526">
        <v>158.47</v>
      </c>
      <c r="BS206" s="526">
        <v>161.21</v>
      </c>
      <c r="BT206" s="526">
        <v>0</v>
      </c>
      <c r="BU206" s="526">
        <v>158.47</v>
      </c>
      <c r="BV206" s="522">
        <v>2</v>
      </c>
      <c r="BW206" s="526">
        <v>0</v>
      </c>
      <c r="BX206" s="526">
        <v>0</v>
      </c>
      <c r="BY206" s="526">
        <v>0</v>
      </c>
      <c r="BZ206" s="526">
        <v>0</v>
      </c>
      <c r="CA206" s="522">
        <v>0</v>
      </c>
      <c r="CB206" s="526">
        <v>105.29</v>
      </c>
      <c r="CC206" s="526">
        <v>105.81</v>
      </c>
      <c r="CD206" s="526">
        <v>5.51</v>
      </c>
      <c r="CE206" s="526">
        <v>109.66</v>
      </c>
      <c r="CF206" s="522">
        <v>1598</v>
      </c>
      <c r="CG206" s="526">
        <v>105.29</v>
      </c>
      <c r="CH206" s="526">
        <v>105.81</v>
      </c>
      <c r="CI206" s="526">
        <v>5.51</v>
      </c>
      <c r="CJ206" s="526">
        <v>109.66</v>
      </c>
      <c r="CK206" s="522">
        <v>1598</v>
      </c>
      <c r="CL206" s="526">
        <v>86.33</v>
      </c>
      <c r="CM206" s="526">
        <v>76.790000000000006</v>
      </c>
      <c r="CN206" s="526">
        <v>150.9</v>
      </c>
      <c r="CO206" s="526">
        <v>237.24</v>
      </c>
      <c r="CP206" s="522">
        <v>29</v>
      </c>
      <c r="CQ206" s="526">
        <v>96.13</v>
      </c>
      <c r="CR206" s="526">
        <v>87.46</v>
      </c>
      <c r="CS206" s="526">
        <v>55.68</v>
      </c>
      <c r="CT206" s="526">
        <v>151.81</v>
      </c>
      <c r="CU206" s="522">
        <v>14</v>
      </c>
      <c r="CV206" s="526">
        <v>142.57</v>
      </c>
      <c r="CW206" s="526">
        <v>112.93</v>
      </c>
      <c r="CX206" s="526">
        <v>73.790000000000006</v>
      </c>
      <c r="CY206" s="526">
        <v>215.23</v>
      </c>
      <c r="CZ206" s="522">
        <v>196</v>
      </c>
      <c r="DA206" s="526">
        <v>98.44</v>
      </c>
      <c r="DB206" s="526">
        <v>89.76</v>
      </c>
      <c r="DC206" s="526">
        <v>3.66</v>
      </c>
      <c r="DD206" s="526">
        <v>101.37</v>
      </c>
      <c r="DE206" s="522">
        <v>10</v>
      </c>
      <c r="DF206" s="526">
        <v>147.22999999999999</v>
      </c>
      <c r="DG206" s="526">
        <v>133.85</v>
      </c>
      <c r="DH206" s="526">
        <v>55.68</v>
      </c>
      <c r="DI206" s="526">
        <v>202.91</v>
      </c>
      <c r="DJ206" s="522">
        <v>1</v>
      </c>
      <c r="DK206" s="526">
        <v>195.62</v>
      </c>
      <c r="DL206" s="526">
        <v>226.24</v>
      </c>
      <c r="DM206" s="526">
        <v>0</v>
      </c>
      <c r="DN206" s="526">
        <v>195.62</v>
      </c>
      <c r="DO206" s="522">
        <v>1</v>
      </c>
      <c r="DP206" s="526">
        <v>137.91</v>
      </c>
      <c r="DQ206" s="526">
        <v>110.38</v>
      </c>
      <c r="DR206" s="526">
        <v>69.94</v>
      </c>
      <c r="DS206" s="526">
        <v>205.96</v>
      </c>
      <c r="DT206" s="522">
        <v>222</v>
      </c>
      <c r="DU206" s="526">
        <v>131.94999999999999</v>
      </c>
      <c r="DV206" s="526">
        <v>106.39</v>
      </c>
      <c r="DW206" s="526">
        <v>79.52</v>
      </c>
      <c r="DX206" s="526">
        <v>209.57</v>
      </c>
      <c r="DY206" s="522">
        <v>251</v>
      </c>
      <c r="DZ206" s="526">
        <v>0</v>
      </c>
      <c r="EA206" s="526">
        <v>0</v>
      </c>
      <c r="EB206" s="526">
        <v>0</v>
      </c>
      <c r="EC206" s="522">
        <v>0</v>
      </c>
      <c r="ED206" s="526">
        <v>114.17</v>
      </c>
      <c r="EE206" s="522">
        <v>49</v>
      </c>
      <c r="EF206" s="526">
        <v>135.01</v>
      </c>
      <c r="EG206" s="522">
        <v>117</v>
      </c>
      <c r="EH206" s="526">
        <v>157.51</v>
      </c>
      <c r="EI206" s="522">
        <v>41</v>
      </c>
      <c r="EJ206" s="526">
        <v>169.33</v>
      </c>
      <c r="EK206" s="522">
        <v>7</v>
      </c>
      <c r="EL206" s="526">
        <v>0</v>
      </c>
      <c r="EM206" s="522">
        <v>0</v>
      </c>
      <c r="EN206" s="526">
        <v>0</v>
      </c>
      <c r="EO206" s="522">
        <v>0</v>
      </c>
      <c r="EP206" s="526">
        <v>135.66999999999999</v>
      </c>
      <c r="EQ206" s="522">
        <v>214</v>
      </c>
      <c r="ER206" s="526">
        <v>135.66999999999999</v>
      </c>
      <c r="ES206" s="522">
        <v>214</v>
      </c>
      <c r="ET206" s="526">
        <v>0</v>
      </c>
      <c r="EU206" s="526">
        <v>0</v>
      </c>
      <c r="EV206" s="526">
        <v>260.02999999999997</v>
      </c>
      <c r="EW206" s="522">
        <v>2</v>
      </c>
      <c r="EX206" s="526">
        <v>320.44</v>
      </c>
      <c r="EY206" s="522">
        <v>21</v>
      </c>
      <c r="EZ206" s="526">
        <v>343.47</v>
      </c>
      <c r="FA206" s="522">
        <v>21</v>
      </c>
      <c r="FB206" s="526">
        <v>0</v>
      </c>
      <c r="FC206" s="522">
        <v>0</v>
      </c>
      <c r="FD206" s="526">
        <v>0</v>
      </c>
      <c r="FE206" s="522">
        <v>0</v>
      </c>
      <c r="FF206" s="526">
        <v>328.69</v>
      </c>
      <c r="FG206" s="522">
        <v>44</v>
      </c>
      <c r="FH206" s="526">
        <v>328.69</v>
      </c>
      <c r="FI206" s="522">
        <v>44</v>
      </c>
      <c r="FJ206" s="522">
        <v>0</v>
      </c>
      <c r="FK206" s="522">
        <v>0</v>
      </c>
      <c r="FL206" s="522">
        <v>0</v>
      </c>
      <c r="FM206" s="522">
        <v>0</v>
      </c>
      <c r="FN206" s="522">
        <v>0</v>
      </c>
      <c r="FO206" s="522">
        <v>0</v>
      </c>
      <c r="FP206" s="522">
        <v>1</v>
      </c>
      <c r="FQ206" s="522">
        <v>10</v>
      </c>
      <c r="FR206" s="522">
        <v>3</v>
      </c>
    </row>
    <row r="207" spans="1:174" x14ac:dyDescent="0.25">
      <c r="A207" s="523" t="s">
        <v>664</v>
      </c>
      <c r="B207" s="523" t="s">
        <v>665</v>
      </c>
      <c r="C207" s="523" t="s">
        <v>2</v>
      </c>
      <c r="D207" s="522">
        <v>6263</v>
      </c>
      <c r="E207" s="522">
        <v>6270</v>
      </c>
      <c r="F207" s="522">
        <v>0</v>
      </c>
      <c r="G207" s="522">
        <v>0</v>
      </c>
      <c r="H207" s="522">
        <v>428</v>
      </c>
      <c r="I207" s="522">
        <v>116</v>
      </c>
      <c r="J207" s="522">
        <v>608</v>
      </c>
      <c r="K207" s="522">
        <v>542</v>
      </c>
      <c r="L207" s="522">
        <v>1065</v>
      </c>
      <c r="M207" s="522">
        <v>127</v>
      </c>
      <c r="N207" s="522">
        <v>8364</v>
      </c>
      <c r="O207" s="522">
        <v>7055</v>
      </c>
      <c r="P207" s="522">
        <v>7299</v>
      </c>
      <c r="Q207" s="522">
        <v>50</v>
      </c>
      <c r="R207" s="523">
        <v>5</v>
      </c>
      <c r="S207" s="523">
        <v>33</v>
      </c>
      <c r="T207" s="523">
        <v>306</v>
      </c>
      <c r="U207" s="523">
        <v>8058</v>
      </c>
      <c r="V207" s="522">
        <v>6263</v>
      </c>
      <c r="W207" s="522">
        <v>23</v>
      </c>
      <c r="X207" s="522">
        <v>33</v>
      </c>
      <c r="Y207" s="522">
        <v>56</v>
      </c>
      <c r="Z207" s="524">
        <v>135.80000000000001</v>
      </c>
      <c r="AA207" s="524">
        <v>136.69999999999999</v>
      </c>
      <c r="AB207" s="524">
        <v>5.6</v>
      </c>
      <c r="AC207" s="524">
        <v>141.1</v>
      </c>
      <c r="AD207" s="524">
        <v>5208</v>
      </c>
      <c r="AE207" s="525">
        <v>147.9</v>
      </c>
      <c r="AF207" s="525">
        <v>116.51</v>
      </c>
      <c r="AG207" s="525">
        <v>41.66</v>
      </c>
      <c r="AH207" s="525">
        <v>186.99</v>
      </c>
      <c r="AI207" s="525">
        <v>712</v>
      </c>
      <c r="AJ207" s="525">
        <v>176.89</v>
      </c>
      <c r="AK207" s="525">
        <v>939</v>
      </c>
      <c r="AL207" s="525">
        <v>194.33</v>
      </c>
      <c r="AM207" s="525">
        <v>18</v>
      </c>
      <c r="AN207" s="526">
        <v>0</v>
      </c>
      <c r="AO207" s="526">
        <v>0</v>
      </c>
      <c r="AP207" s="526">
        <v>0</v>
      </c>
      <c r="AQ207" s="526">
        <v>0</v>
      </c>
      <c r="AR207" s="522">
        <v>0</v>
      </c>
      <c r="AS207" s="526">
        <v>105.04</v>
      </c>
      <c r="AT207" s="526">
        <v>105.79</v>
      </c>
      <c r="AU207" s="526">
        <v>4.03</v>
      </c>
      <c r="AV207" s="526">
        <v>108.89</v>
      </c>
      <c r="AW207" s="522">
        <v>88</v>
      </c>
      <c r="AX207" s="526">
        <v>113.4</v>
      </c>
      <c r="AY207" s="526">
        <v>112.57</v>
      </c>
      <c r="AZ207" s="526">
        <v>8.11</v>
      </c>
      <c r="BA207" s="526">
        <v>121.37</v>
      </c>
      <c r="BB207" s="522">
        <v>1064</v>
      </c>
      <c r="BC207" s="526">
        <v>131.72999999999999</v>
      </c>
      <c r="BD207" s="526">
        <v>131.97</v>
      </c>
      <c r="BE207" s="526">
        <v>6.9</v>
      </c>
      <c r="BF207" s="526">
        <v>138.32</v>
      </c>
      <c r="BG207" s="522">
        <v>1840</v>
      </c>
      <c r="BH207" s="526">
        <v>149.88</v>
      </c>
      <c r="BI207" s="526">
        <v>151.25</v>
      </c>
      <c r="BJ207" s="526">
        <v>3.2</v>
      </c>
      <c r="BK207" s="526">
        <v>152.86000000000001</v>
      </c>
      <c r="BL207" s="522">
        <v>2022</v>
      </c>
      <c r="BM207" s="526">
        <v>163.44999999999999</v>
      </c>
      <c r="BN207" s="526">
        <v>169.47</v>
      </c>
      <c r="BO207" s="526">
        <v>4.13</v>
      </c>
      <c r="BP207" s="526">
        <v>167.1</v>
      </c>
      <c r="BQ207" s="522">
        <v>177</v>
      </c>
      <c r="BR207" s="526">
        <v>172.9</v>
      </c>
      <c r="BS207" s="526">
        <v>173.01</v>
      </c>
      <c r="BT207" s="526">
        <v>2.4500000000000002</v>
      </c>
      <c r="BU207" s="526">
        <v>175.19</v>
      </c>
      <c r="BV207" s="522">
        <v>15</v>
      </c>
      <c r="BW207" s="526">
        <v>185.95</v>
      </c>
      <c r="BX207" s="526">
        <v>181.28</v>
      </c>
      <c r="BY207" s="526">
        <v>1.84</v>
      </c>
      <c r="BZ207" s="526">
        <v>187.79</v>
      </c>
      <c r="CA207" s="522">
        <v>2</v>
      </c>
      <c r="CB207" s="526">
        <v>135.80000000000001</v>
      </c>
      <c r="CC207" s="526">
        <v>136.69999999999999</v>
      </c>
      <c r="CD207" s="526">
        <v>5.6</v>
      </c>
      <c r="CE207" s="526">
        <v>141.1</v>
      </c>
      <c r="CF207" s="522">
        <v>5208</v>
      </c>
      <c r="CG207" s="526">
        <v>135.80000000000001</v>
      </c>
      <c r="CH207" s="526">
        <v>136.69999999999999</v>
      </c>
      <c r="CI207" s="526">
        <v>5.6</v>
      </c>
      <c r="CJ207" s="526">
        <v>141.1</v>
      </c>
      <c r="CK207" s="522">
        <v>5208</v>
      </c>
      <c r="CL207" s="526">
        <v>210.58</v>
      </c>
      <c r="CM207" s="526">
        <v>94.26</v>
      </c>
      <c r="CN207" s="526">
        <v>80.430000000000007</v>
      </c>
      <c r="CO207" s="526">
        <v>270.3</v>
      </c>
      <c r="CP207" s="522">
        <v>167</v>
      </c>
      <c r="CQ207" s="526">
        <v>107.75</v>
      </c>
      <c r="CR207" s="526">
        <v>105.14</v>
      </c>
      <c r="CS207" s="526">
        <v>25.07</v>
      </c>
      <c r="CT207" s="526">
        <v>132.82</v>
      </c>
      <c r="CU207" s="522">
        <v>27</v>
      </c>
      <c r="CV207" s="526">
        <v>127.34</v>
      </c>
      <c r="CW207" s="526">
        <v>117.46</v>
      </c>
      <c r="CX207" s="526">
        <v>31.39</v>
      </c>
      <c r="CY207" s="526">
        <v>158.65</v>
      </c>
      <c r="CZ207" s="522">
        <v>395</v>
      </c>
      <c r="DA207" s="526">
        <v>137.63999999999999</v>
      </c>
      <c r="DB207" s="526">
        <v>133.21</v>
      </c>
      <c r="DC207" s="526">
        <v>39.130000000000003</v>
      </c>
      <c r="DD207" s="526">
        <v>176.76</v>
      </c>
      <c r="DE207" s="522">
        <v>123</v>
      </c>
      <c r="DF207" s="526">
        <v>0</v>
      </c>
      <c r="DG207" s="526">
        <v>0</v>
      </c>
      <c r="DH207" s="526">
        <v>0</v>
      </c>
      <c r="DI207" s="526">
        <v>0</v>
      </c>
      <c r="DJ207" s="522">
        <v>0</v>
      </c>
      <c r="DK207" s="526">
        <v>0</v>
      </c>
      <c r="DL207" s="526">
        <v>0</v>
      </c>
      <c r="DM207" s="526">
        <v>0</v>
      </c>
      <c r="DN207" s="526">
        <v>0</v>
      </c>
      <c r="DO207" s="522">
        <v>0</v>
      </c>
      <c r="DP207" s="526">
        <v>128.69</v>
      </c>
      <c r="DQ207" s="526">
        <v>120.48</v>
      </c>
      <c r="DR207" s="526">
        <v>32.82</v>
      </c>
      <c r="DS207" s="526">
        <v>161.46</v>
      </c>
      <c r="DT207" s="522">
        <v>545</v>
      </c>
      <c r="DU207" s="526">
        <v>147.9</v>
      </c>
      <c r="DV207" s="526">
        <v>116.51</v>
      </c>
      <c r="DW207" s="526">
        <v>41.66</v>
      </c>
      <c r="DX207" s="526">
        <v>186.99</v>
      </c>
      <c r="DY207" s="522">
        <v>712</v>
      </c>
      <c r="DZ207" s="526">
        <v>0</v>
      </c>
      <c r="EA207" s="526">
        <v>0</v>
      </c>
      <c r="EB207" s="526">
        <v>147.26</v>
      </c>
      <c r="EC207" s="522">
        <v>2</v>
      </c>
      <c r="ED207" s="526">
        <v>145.5</v>
      </c>
      <c r="EE207" s="522">
        <v>295</v>
      </c>
      <c r="EF207" s="526">
        <v>180.25</v>
      </c>
      <c r="EG207" s="522">
        <v>540</v>
      </c>
      <c r="EH207" s="526">
        <v>241.4</v>
      </c>
      <c r="EI207" s="522">
        <v>94</v>
      </c>
      <c r="EJ207" s="526">
        <v>356.51</v>
      </c>
      <c r="EK207" s="522">
        <v>8</v>
      </c>
      <c r="EL207" s="526">
        <v>0</v>
      </c>
      <c r="EM207" s="522">
        <v>0</v>
      </c>
      <c r="EN207" s="526">
        <v>0</v>
      </c>
      <c r="EO207" s="522">
        <v>0</v>
      </c>
      <c r="EP207" s="526">
        <v>176.89</v>
      </c>
      <c r="EQ207" s="522">
        <v>939</v>
      </c>
      <c r="ER207" s="526">
        <v>176.89</v>
      </c>
      <c r="ES207" s="522">
        <v>939</v>
      </c>
      <c r="ET207" s="526">
        <v>0</v>
      </c>
      <c r="EU207" s="526">
        <v>0</v>
      </c>
      <c r="EV207" s="526">
        <v>0</v>
      </c>
      <c r="EW207" s="522">
        <v>0</v>
      </c>
      <c r="EX207" s="526">
        <v>172.46</v>
      </c>
      <c r="EY207" s="522">
        <v>7</v>
      </c>
      <c r="EZ207" s="526">
        <v>208.24</v>
      </c>
      <c r="FA207" s="522">
        <v>11</v>
      </c>
      <c r="FB207" s="526">
        <v>0</v>
      </c>
      <c r="FC207" s="522">
        <v>0</v>
      </c>
      <c r="FD207" s="526">
        <v>0</v>
      </c>
      <c r="FE207" s="522">
        <v>0</v>
      </c>
      <c r="FF207" s="526">
        <v>194.33</v>
      </c>
      <c r="FG207" s="522">
        <v>18</v>
      </c>
      <c r="FH207" s="526">
        <v>194.33</v>
      </c>
      <c r="FI207" s="522">
        <v>18</v>
      </c>
      <c r="FJ207" s="522">
        <v>0</v>
      </c>
      <c r="FK207" s="522">
        <v>3</v>
      </c>
      <c r="FL207" s="522">
        <v>3</v>
      </c>
      <c r="FM207" s="522">
        <v>0</v>
      </c>
      <c r="FN207" s="522">
        <v>0</v>
      </c>
      <c r="FO207" s="522">
        <v>0</v>
      </c>
      <c r="FP207" s="522">
        <v>6</v>
      </c>
      <c r="FQ207" s="522">
        <v>29</v>
      </c>
      <c r="FR207" s="522">
        <v>15</v>
      </c>
    </row>
    <row r="208" spans="1:174" x14ac:dyDescent="0.25">
      <c r="A208" s="523" t="s">
        <v>666</v>
      </c>
      <c r="B208" s="523" t="s">
        <v>667</v>
      </c>
      <c r="C208" s="523" t="s">
        <v>286</v>
      </c>
      <c r="D208" s="522">
        <v>1505</v>
      </c>
      <c r="E208" s="522">
        <v>1521</v>
      </c>
      <c r="F208" s="522">
        <v>0</v>
      </c>
      <c r="G208" s="522">
        <v>0</v>
      </c>
      <c r="H208" s="522">
        <v>78</v>
      </c>
      <c r="I208" s="522">
        <v>46</v>
      </c>
      <c r="J208" s="522">
        <v>752</v>
      </c>
      <c r="K208" s="522">
        <v>717</v>
      </c>
      <c r="L208" s="522">
        <v>611</v>
      </c>
      <c r="M208" s="522">
        <v>0</v>
      </c>
      <c r="N208" s="522">
        <v>2946</v>
      </c>
      <c r="O208" s="522">
        <v>2284</v>
      </c>
      <c r="P208" s="522">
        <v>2335</v>
      </c>
      <c r="Q208" s="522">
        <v>8</v>
      </c>
      <c r="R208" s="523">
        <v>4</v>
      </c>
      <c r="S208" s="523">
        <v>19</v>
      </c>
      <c r="T208" s="523">
        <v>48</v>
      </c>
      <c r="U208" s="523">
        <v>2898</v>
      </c>
      <c r="V208" s="522">
        <v>1505</v>
      </c>
      <c r="W208" s="522">
        <v>5</v>
      </c>
      <c r="X208" s="522">
        <v>11</v>
      </c>
      <c r="Y208" s="522">
        <v>16</v>
      </c>
      <c r="Z208" s="524">
        <v>97.52</v>
      </c>
      <c r="AA208" s="524">
        <v>98.3</v>
      </c>
      <c r="AB208" s="524">
        <v>5.48</v>
      </c>
      <c r="AC208" s="524">
        <v>101.35</v>
      </c>
      <c r="AD208" s="524">
        <v>954</v>
      </c>
      <c r="AE208" s="525">
        <v>85.32</v>
      </c>
      <c r="AF208" s="525">
        <v>80.540000000000006</v>
      </c>
      <c r="AG208" s="525">
        <v>32.299999999999997</v>
      </c>
      <c r="AH208" s="525">
        <v>116.78</v>
      </c>
      <c r="AI208" s="525">
        <v>770</v>
      </c>
      <c r="AJ208" s="525">
        <v>114.47</v>
      </c>
      <c r="AK208" s="525">
        <v>551</v>
      </c>
      <c r="AL208" s="525">
        <v>136.83000000000001</v>
      </c>
      <c r="AM208" s="525">
        <v>12</v>
      </c>
      <c r="AN208" s="526">
        <v>0</v>
      </c>
      <c r="AO208" s="526">
        <v>0</v>
      </c>
      <c r="AP208" s="526">
        <v>0</v>
      </c>
      <c r="AQ208" s="526">
        <v>0</v>
      </c>
      <c r="AR208" s="522">
        <v>0</v>
      </c>
      <c r="AS208" s="526">
        <v>55.98</v>
      </c>
      <c r="AT208" s="526">
        <v>58.35</v>
      </c>
      <c r="AU208" s="526">
        <v>7.37</v>
      </c>
      <c r="AV208" s="526">
        <v>63.35</v>
      </c>
      <c r="AW208" s="522">
        <v>2</v>
      </c>
      <c r="AX208" s="526">
        <v>82.46</v>
      </c>
      <c r="AY208" s="526">
        <v>83.35</v>
      </c>
      <c r="AZ208" s="526">
        <v>8.7799999999999994</v>
      </c>
      <c r="BA208" s="526">
        <v>90.5</v>
      </c>
      <c r="BB208" s="522">
        <v>200</v>
      </c>
      <c r="BC208" s="526">
        <v>97.65</v>
      </c>
      <c r="BD208" s="526">
        <v>97.97</v>
      </c>
      <c r="BE208" s="526">
        <v>5.64</v>
      </c>
      <c r="BF208" s="526">
        <v>101.65</v>
      </c>
      <c r="BG208" s="522">
        <v>400</v>
      </c>
      <c r="BH208" s="526">
        <v>105.39</v>
      </c>
      <c r="BI208" s="526">
        <v>106.6</v>
      </c>
      <c r="BJ208" s="526">
        <v>2.11</v>
      </c>
      <c r="BK208" s="526">
        <v>106.56</v>
      </c>
      <c r="BL208" s="522">
        <v>334</v>
      </c>
      <c r="BM208" s="526">
        <v>120.36</v>
      </c>
      <c r="BN208" s="526">
        <v>122.36</v>
      </c>
      <c r="BO208" s="526">
        <v>3.28</v>
      </c>
      <c r="BP208" s="526">
        <v>123.09</v>
      </c>
      <c r="BQ208" s="522">
        <v>18</v>
      </c>
      <c r="BR208" s="526">
        <v>0</v>
      </c>
      <c r="BS208" s="526">
        <v>0</v>
      </c>
      <c r="BT208" s="526">
        <v>0</v>
      </c>
      <c r="BU208" s="526">
        <v>0</v>
      </c>
      <c r="BV208" s="522">
        <v>0</v>
      </c>
      <c r="BW208" s="526">
        <v>0</v>
      </c>
      <c r="BX208" s="526">
        <v>0</v>
      </c>
      <c r="BY208" s="526">
        <v>0</v>
      </c>
      <c r="BZ208" s="526">
        <v>0</v>
      </c>
      <c r="CA208" s="522">
        <v>0</v>
      </c>
      <c r="CB208" s="526">
        <v>97.52</v>
      </c>
      <c r="CC208" s="526">
        <v>98.3</v>
      </c>
      <c r="CD208" s="526">
        <v>5.48</v>
      </c>
      <c r="CE208" s="526">
        <v>101.35</v>
      </c>
      <c r="CF208" s="522">
        <v>954</v>
      </c>
      <c r="CG208" s="526">
        <v>97.52</v>
      </c>
      <c r="CH208" s="526">
        <v>98.3</v>
      </c>
      <c r="CI208" s="526">
        <v>5.48</v>
      </c>
      <c r="CJ208" s="526">
        <v>101.35</v>
      </c>
      <c r="CK208" s="522">
        <v>954</v>
      </c>
      <c r="CL208" s="526">
        <v>174.99</v>
      </c>
      <c r="CM208" s="526">
        <v>89.54</v>
      </c>
      <c r="CN208" s="526">
        <v>43.52</v>
      </c>
      <c r="CO208" s="526">
        <v>216.96</v>
      </c>
      <c r="CP208" s="522">
        <v>28</v>
      </c>
      <c r="CQ208" s="526">
        <v>69.260000000000005</v>
      </c>
      <c r="CR208" s="526">
        <v>68.23</v>
      </c>
      <c r="CS208" s="526">
        <v>54.4</v>
      </c>
      <c r="CT208" s="526">
        <v>118.41</v>
      </c>
      <c r="CU208" s="522">
        <v>83</v>
      </c>
      <c r="CV208" s="526">
        <v>82.46</v>
      </c>
      <c r="CW208" s="526">
        <v>80.739999999999995</v>
      </c>
      <c r="CX208" s="526">
        <v>30.49</v>
      </c>
      <c r="CY208" s="526">
        <v>112.37</v>
      </c>
      <c r="CZ208" s="522">
        <v>575</v>
      </c>
      <c r="DA208" s="526">
        <v>90.53</v>
      </c>
      <c r="DB208" s="526">
        <v>90.43</v>
      </c>
      <c r="DC208" s="526">
        <v>20.46</v>
      </c>
      <c r="DD208" s="526">
        <v>110.98</v>
      </c>
      <c r="DE208" s="522">
        <v>82</v>
      </c>
      <c r="DF208" s="526">
        <v>105.81</v>
      </c>
      <c r="DG208" s="526">
        <v>104.5</v>
      </c>
      <c r="DH208" s="526">
        <v>46.6</v>
      </c>
      <c r="DI208" s="526">
        <v>152.41</v>
      </c>
      <c r="DJ208" s="522">
        <v>2</v>
      </c>
      <c r="DK208" s="526">
        <v>0</v>
      </c>
      <c r="DL208" s="526">
        <v>0</v>
      </c>
      <c r="DM208" s="526">
        <v>0</v>
      </c>
      <c r="DN208" s="526">
        <v>0</v>
      </c>
      <c r="DO208" s="522">
        <v>0</v>
      </c>
      <c r="DP208" s="526">
        <v>81.94</v>
      </c>
      <c r="DQ208" s="526">
        <v>80.48</v>
      </c>
      <c r="DR208" s="526">
        <v>31.88</v>
      </c>
      <c r="DS208" s="526">
        <v>113</v>
      </c>
      <c r="DT208" s="522">
        <v>742</v>
      </c>
      <c r="DU208" s="526">
        <v>85.32</v>
      </c>
      <c r="DV208" s="526">
        <v>80.540000000000006</v>
      </c>
      <c r="DW208" s="526">
        <v>32.299999999999997</v>
      </c>
      <c r="DX208" s="526">
        <v>116.78</v>
      </c>
      <c r="DY208" s="522">
        <v>770</v>
      </c>
      <c r="DZ208" s="526">
        <v>0</v>
      </c>
      <c r="EA208" s="526">
        <v>0</v>
      </c>
      <c r="EB208" s="526">
        <v>0</v>
      </c>
      <c r="EC208" s="522">
        <v>0</v>
      </c>
      <c r="ED208" s="526">
        <v>95.44</v>
      </c>
      <c r="EE208" s="522">
        <v>100</v>
      </c>
      <c r="EF208" s="526">
        <v>112.69</v>
      </c>
      <c r="EG208" s="522">
        <v>312</v>
      </c>
      <c r="EH208" s="526">
        <v>129.97</v>
      </c>
      <c r="EI208" s="522">
        <v>125</v>
      </c>
      <c r="EJ208" s="526">
        <v>150.55000000000001</v>
      </c>
      <c r="EK208" s="522">
        <v>13</v>
      </c>
      <c r="EL208" s="526">
        <v>164.12</v>
      </c>
      <c r="EM208" s="522">
        <v>1</v>
      </c>
      <c r="EN208" s="526">
        <v>0</v>
      </c>
      <c r="EO208" s="522">
        <v>0</v>
      </c>
      <c r="EP208" s="526">
        <v>114.47</v>
      </c>
      <c r="EQ208" s="522">
        <v>551</v>
      </c>
      <c r="ER208" s="526">
        <v>114.47</v>
      </c>
      <c r="ES208" s="522">
        <v>551</v>
      </c>
      <c r="ET208" s="526">
        <v>0</v>
      </c>
      <c r="EU208" s="526">
        <v>0</v>
      </c>
      <c r="EV208" s="526">
        <v>0</v>
      </c>
      <c r="EW208" s="522">
        <v>0</v>
      </c>
      <c r="EX208" s="526">
        <v>136.83000000000001</v>
      </c>
      <c r="EY208" s="522">
        <v>12</v>
      </c>
      <c r="EZ208" s="526">
        <v>0</v>
      </c>
      <c r="FA208" s="522">
        <v>0</v>
      </c>
      <c r="FB208" s="526">
        <v>0</v>
      </c>
      <c r="FC208" s="522">
        <v>0</v>
      </c>
      <c r="FD208" s="526">
        <v>0</v>
      </c>
      <c r="FE208" s="522">
        <v>0</v>
      </c>
      <c r="FF208" s="526">
        <v>136.83000000000001</v>
      </c>
      <c r="FG208" s="522">
        <v>12</v>
      </c>
      <c r="FH208" s="526">
        <v>136.83000000000001</v>
      </c>
      <c r="FI208" s="522">
        <v>12</v>
      </c>
      <c r="FJ208" s="522">
        <v>0</v>
      </c>
      <c r="FK208" s="522">
        <v>5</v>
      </c>
      <c r="FL208" s="522">
        <v>2</v>
      </c>
      <c r="FM208" s="522">
        <v>2</v>
      </c>
      <c r="FN208" s="522">
        <v>1</v>
      </c>
      <c r="FO208" s="522">
        <v>0</v>
      </c>
      <c r="FP208" s="522">
        <v>3</v>
      </c>
      <c r="FQ208" s="522">
        <v>49</v>
      </c>
      <c r="FR208" s="522">
        <v>9</v>
      </c>
    </row>
    <row r="209" spans="1:174" x14ac:dyDescent="0.25">
      <c r="A209" s="523" t="s">
        <v>668</v>
      </c>
      <c r="B209" s="523" t="s">
        <v>669</v>
      </c>
      <c r="C209" s="523" t="s">
        <v>284</v>
      </c>
      <c r="D209" s="522">
        <v>8854</v>
      </c>
      <c r="E209" s="522">
        <v>8839</v>
      </c>
      <c r="F209" s="522">
        <v>0</v>
      </c>
      <c r="G209" s="522">
        <v>0</v>
      </c>
      <c r="H209" s="522">
        <v>262</v>
      </c>
      <c r="I209" s="522">
        <v>176</v>
      </c>
      <c r="J209" s="522">
        <v>812</v>
      </c>
      <c r="K209" s="522">
        <v>768</v>
      </c>
      <c r="L209" s="522">
        <v>451</v>
      </c>
      <c r="M209" s="522">
        <v>0</v>
      </c>
      <c r="N209" s="522">
        <v>10379</v>
      </c>
      <c r="O209" s="522">
        <v>9783</v>
      </c>
      <c r="P209" s="522">
        <v>9928</v>
      </c>
      <c r="Q209" s="522">
        <v>23</v>
      </c>
      <c r="R209" s="523">
        <v>6</v>
      </c>
      <c r="S209" s="523">
        <v>25</v>
      </c>
      <c r="T209" s="523">
        <v>123</v>
      </c>
      <c r="U209" s="523">
        <v>10256</v>
      </c>
      <c r="V209" s="522">
        <v>8807</v>
      </c>
      <c r="W209" s="522">
        <v>31</v>
      </c>
      <c r="X209" s="522">
        <v>136</v>
      </c>
      <c r="Y209" s="522">
        <v>167</v>
      </c>
      <c r="Z209" s="524">
        <v>141.30000000000001</v>
      </c>
      <c r="AA209" s="524">
        <v>158.15</v>
      </c>
      <c r="AB209" s="524">
        <v>13.45</v>
      </c>
      <c r="AC209" s="524">
        <v>150.57</v>
      </c>
      <c r="AD209" s="524">
        <v>7846</v>
      </c>
      <c r="AE209" s="525">
        <v>141.31</v>
      </c>
      <c r="AF209" s="525">
        <v>134.15</v>
      </c>
      <c r="AG209" s="525">
        <v>60.63</v>
      </c>
      <c r="AH209" s="525">
        <v>199.32</v>
      </c>
      <c r="AI209" s="525">
        <v>994</v>
      </c>
      <c r="AJ209" s="525">
        <v>228.46</v>
      </c>
      <c r="AK209" s="525">
        <v>870</v>
      </c>
      <c r="AL209" s="525">
        <v>298.77</v>
      </c>
      <c r="AM209" s="525">
        <v>4</v>
      </c>
      <c r="AN209" s="526">
        <v>0</v>
      </c>
      <c r="AO209" s="526">
        <v>0</v>
      </c>
      <c r="AP209" s="526">
        <v>0</v>
      </c>
      <c r="AQ209" s="526">
        <v>0</v>
      </c>
      <c r="AR209" s="522">
        <v>0</v>
      </c>
      <c r="AS209" s="526">
        <v>123.38</v>
      </c>
      <c r="AT209" s="526">
        <v>134.06</v>
      </c>
      <c r="AU209" s="526">
        <v>17.98</v>
      </c>
      <c r="AV209" s="526">
        <v>141.1</v>
      </c>
      <c r="AW209" s="522">
        <v>139</v>
      </c>
      <c r="AX209" s="526">
        <v>127.84</v>
      </c>
      <c r="AY209" s="526">
        <v>135.91</v>
      </c>
      <c r="AZ209" s="526">
        <v>13.2</v>
      </c>
      <c r="BA209" s="526">
        <v>139.59</v>
      </c>
      <c r="BB209" s="522">
        <v>2613</v>
      </c>
      <c r="BC209" s="526">
        <v>143.09</v>
      </c>
      <c r="BD209" s="526">
        <v>160.47999999999999</v>
      </c>
      <c r="BE209" s="526">
        <v>15.26</v>
      </c>
      <c r="BF209" s="526">
        <v>153.97</v>
      </c>
      <c r="BG209" s="522">
        <v>2625</v>
      </c>
      <c r="BH209" s="526">
        <v>152.85</v>
      </c>
      <c r="BI209" s="526">
        <v>179.05</v>
      </c>
      <c r="BJ209" s="526">
        <v>10.66</v>
      </c>
      <c r="BK209" s="526">
        <v>157.43</v>
      </c>
      <c r="BL209" s="522">
        <v>2170</v>
      </c>
      <c r="BM209" s="526">
        <v>167.33</v>
      </c>
      <c r="BN209" s="526">
        <v>193.65</v>
      </c>
      <c r="BO209" s="526">
        <v>7.52</v>
      </c>
      <c r="BP209" s="526">
        <v>171.01</v>
      </c>
      <c r="BQ209" s="522">
        <v>288</v>
      </c>
      <c r="BR209" s="526">
        <v>177.15</v>
      </c>
      <c r="BS209" s="526">
        <v>214.66</v>
      </c>
      <c r="BT209" s="526">
        <v>0</v>
      </c>
      <c r="BU209" s="526">
        <v>177.15</v>
      </c>
      <c r="BV209" s="522">
        <v>10</v>
      </c>
      <c r="BW209" s="526">
        <v>203.14</v>
      </c>
      <c r="BX209" s="526">
        <v>224.87</v>
      </c>
      <c r="BY209" s="526">
        <v>0</v>
      </c>
      <c r="BZ209" s="526">
        <v>203.14</v>
      </c>
      <c r="CA209" s="522">
        <v>1</v>
      </c>
      <c r="CB209" s="526">
        <v>141.30000000000001</v>
      </c>
      <c r="CC209" s="526">
        <v>158.15</v>
      </c>
      <c r="CD209" s="526">
        <v>13.45</v>
      </c>
      <c r="CE209" s="526">
        <v>150.57</v>
      </c>
      <c r="CF209" s="522">
        <v>7846</v>
      </c>
      <c r="CG209" s="526">
        <v>141.30000000000001</v>
      </c>
      <c r="CH209" s="526">
        <v>158.15</v>
      </c>
      <c r="CI209" s="526">
        <v>13.45</v>
      </c>
      <c r="CJ209" s="526">
        <v>150.57</v>
      </c>
      <c r="CK209" s="522">
        <v>7846</v>
      </c>
      <c r="CL209" s="526">
        <v>147.07</v>
      </c>
      <c r="CM209" s="526">
        <v>111.53</v>
      </c>
      <c r="CN209" s="526">
        <v>131.97999999999999</v>
      </c>
      <c r="CO209" s="526">
        <v>272.91000000000003</v>
      </c>
      <c r="CP209" s="522">
        <v>86</v>
      </c>
      <c r="CQ209" s="526">
        <v>137.05000000000001</v>
      </c>
      <c r="CR209" s="526">
        <v>131.13999999999999</v>
      </c>
      <c r="CS209" s="526">
        <v>57.72</v>
      </c>
      <c r="CT209" s="526">
        <v>189.67</v>
      </c>
      <c r="CU209" s="522">
        <v>113</v>
      </c>
      <c r="CV209" s="526">
        <v>139.63999999999999</v>
      </c>
      <c r="CW209" s="526">
        <v>134.59</v>
      </c>
      <c r="CX209" s="526">
        <v>54.05</v>
      </c>
      <c r="CY209" s="526">
        <v>191.64</v>
      </c>
      <c r="CZ209" s="522">
        <v>739</v>
      </c>
      <c r="DA209" s="526">
        <v>163.07</v>
      </c>
      <c r="DB209" s="526">
        <v>162.74</v>
      </c>
      <c r="DC209" s="526">
        <v>44.78</v>
      </c>
      <c r="DD209" s="526">
        <v>207.02</v>
      </c>
      <c r="DE209" s="522">
        <v>54</v>
      </c>
      <c r="DF209" s="526">
        <v>166.41</v>
      </c>
      <c r="DG209" s="526">
        <v>163.95</v>
      </c>
      <c r="DH209" s="526">
        <v>44.85</v>
      </c>
      <c r="DI209" s="526">
        <v>211.26</v>
      </c>
      <c r="DJ209" s="522">
        <v>2</v>
      </c>
      <c r="DK209" s="526">
        <v>0</v>
      </c>
      <c r="DL209" s="526">
        <v>0</v>
      </c>
      <c r="DM209" s="526">
        <v>0</v>
      </c>
      <c r="DN209" s="526">
        <v>0</v>
      </c>
      <c r="DO209" s="522">
        <v>0</v>
      </c>
      <c r="DP209" s="526">
        <v>140.77000000000001</v>
      </c>
      <c r="DQ209" s="526">
        <v>135.9</v>
      </c>
      <c r="DR209" s="526">
        <v>53.9</v>
      </c>
      <c r="DS209" s="526">
        <v>192.35</v>
      </c>
      <c r="DT209" s="522">
        <v>908</v>
      </c>
      <c r="DU209" s="526">
        <v>141.31</v>
      </c>
      <c r="DV209" s="526">
        <v>134.15</v>
      </c>
      <c r="DW209" s="526">
        <v>60.63</v>
      </c>
      <c r="DX209" s="526">
        <v>199.32</v>
      </c>
      <c r="DY209" s="522">
        <v>994</v>
      </c>
      <c r="DZ209" s="526">
        <v>0</v>
      </c>
      <c r="EA209" s="526">
        <v>0</v>
      </c>
      <c r="EB209" s="526">
        <v>178.93</v>
      </c>
      <c r="EC209" s="522">
        <v>10</v>
      </c>
      <c r="ED209" s="526">
        <v>207.5</v>
      </c>
      <c r="EE209" s="522">
        <v>361</v>
      </c>
      <c r="EF209" s="526">
        <v>248.05</v>
      </c>
      <c r="EG209" s="522">
        <v>404</v>
      </c>
      <c r="EH209" s="526">
        <v>229.08</v>
      </c>
      <c r="EI209" s="522">
        <v>72</v>
      </c>
      <c r="EJ209" s="526">
        <v>236.67</v>
      </c>
      <c r="EK209" s="522">
        <v>21</v>
      </c>
      <c r="EL209" s="526">
        <v>195.16</v>
      </c>
      <c r="EM209" s="522">
        <v>2</v>
      </c>
      <c r="EN209" s="526">
        <v>0</v>
      </c>
      <c r="EO209" s="522">
        <v>0</v>
      </c>
      <c r="EP209" s="526">
        <v>228.46</v>
      </c>
      <c r="EQ209" s="522">
        <v>870</v>
      </c>
      <c r="ER209" s="526">
        <v>228.46</v>
      </c>
      <c r="ES209" s="522">
        <v>870</v>
      </c>
      <c r="ET209" s="526">
        <v>0</v>
      </c>
      <c r="EU209" s="526">
        <v>0</v>
      </c>
      <c r="EV209" s="526">
        <v>0</v>
      </c>
      <c r="EW209" s="522">
        <v>0</v>
      </c>
      <c r="EX209" s="526">
        <v>279.47000000000003</v>
      </c>
      <c r="EY209" s="522">
        <v>2</v>
      </c>
      <c r="EZ209" s="526">
        <v>318.07</v>
      </c>
      <c r="FA209" s="522">
        <v>2</v>
      </c>
      <c r="FB209" s="526">
        <v>0</v>
      </c>
      <c r="FC209" s="522">
        <v>0</v>
      </c>
      <c r="FD209" s="526">
        <v>0</v>
      </c>
      <c r="FE209" s="522">
        <v>0</v>
      </c>
      <c r="FF209" s="526">
        <v>298.77</v>
      </c>
      <c r="FG209" s="522">
        <v>4</v>
      </c>
      <c r="FH209" s="526">
        <v>298.77</v>
      </c>
      <c r="FI209" s="522">
        <v>4</v>
      </c>
      <c r="FJ209" s="522">
        <v>1</v>
      </c>
      <c r="FK209" s="522">
        <v>0</v>
      </c>
      <c r="FL209" s="522">
        <v>0</v>
      </c>
      <c r="FM209" s="522">
        <v>0</v>
      </c>
      <c r="FN209" s="522">
        <v>0</v>
      </c>
      <c r="FO209" s="522">
        <v>0</v>
      </c>
      <c r="FP209" s="522">
        <v>12</v>
      </c>
      <c r="FQ209" s="522">
        <v>3</v>
      </c>
      <c r="FR209" s="522">
        <v>13</v>
      </c>
    </row>
    <row r="210" spans="1:174" x14ac:dyDescent="0.25">
      <c r="A210" s="523" t="s">
        <v>670</v>
      </c>
      <c r="B210" s="523" t="s">
        <v>671</v>
      </c>
      <c r="C210" s="523" t="s">
        <v>286</v>
      </c>
      <c r="D210" s="522">
        <v>18025</v>
      </c>
      <c r="E210" s="522">
        <v>17539</v>
      </c>
      <c r="F210" s="522">
        <v>0</v>
      </c>
      <c r="G210" s="522">
        <v>0</v>
      </c>
      <c r="H210" s="522">
        <v>814</v>
      </c>
      <c r="I210" s="522">
        <v>349</v>
      </c>
      <c r="J210" s="522">
        <v>1961</v>
      </c>
      <c r="K210" s="522">
        <v>1955</v>
      </c>
      <c r="L210" s="522">
        <v>299</v>
      </c>
      <c r="M210" s="522">
        <v>0</v>
      </c>
      <c r="N210" s="522">
        <v>21099</v>
      </c>
      <c r="O210" s="522">
        <v>19843</v>
      </c>
      <c r="P210" s="522">
        <v>20800</v>
      </c>
      <c r="Q210" s="522">
        <v>164</v>
      </c>
      <c r="R210" s="523">
        <v>11</v>
      </c>
      <c r="S210" s="523">
        <v>21</v>
      </c>
      <c r="T210" s="523">
        <v>425</v>
      </c>
      <c r="U210" s="523">
        <v>20674</v>
      </c>
      <c r="V210" s="522">
        <v>17862</v>
      </c>
      <c r="W210" s="522">
        <v>43</v>
      </c>
      <c r="X210" s="522">
        <v>843</v>
      </c>
      <c r="Y210" s="522">
        <v>886</v>
      </c>
      <c r="Z210" s="524">
        <v>87.34</v>
      </c>
      <c r="AA210" s="524">
        <v>89.46</v>
      </c>
      <c r="AB210" s="524">
        <v>6.37</v>
      </c>
      <c r="AC210" s="524">
        <v>93.17</v>
      </c>
      <c r="AD210" s="524">
        <v>15577</v>
      </c>
      <c r="AE210" s="525">
        <v>87.85</v>
      </c>
      <c r="AF210" s="525">
        <v>82.75</v>
      </c>
      <c r="AG210" s="525">
        <v>53.52</v>
      </c>
      <c r="AH210" s="525">
        <v>139.22999999999999</v>
      </c>
      <c r="AI210" s="525">
        <v>2425</v>
      </c>
      <c r="AJ210" s="525">
        <v>113.64</v>
      </c>
      <c r="AK210" s="525">
        <v>2343</v>
      </c>
      <c r="AL210" s="525">
        <v>242.42</v>
      </c>
      <c r="AM210" s="525">
        <v>125</v>
      </c>
      <c r="AN210" s="526">
        <v>0</v>
      </c>
      <c r="AO210" s="526">
        <v>0</v>
      </c>
      <c r="AP210" s="526">
        <v>0</v>
      </c>
      <c r="AQ210" s="526">
        <v>0</v>
      </c>
      <c r="AR210" s="522">
        <v>0</v>
      </c>
      <c r="AS210" s="526">
        <v>62.99</v>
      </c>
      <c r="AT210" s="526">
        <v>66.81</v>
      </c>
      <c r="AU210" s="526">
        <v>22.2</v>
      </c>
      <c r="AV210" s="526">
        <v>84.98</v>
      </c>
      <c r="AW210" s="522">
        <v>321</v>
      </c>
      <c r="AX210" s="526">
        <v>75.73</v>
      </c>
      <c r="AY210" s="526">
        <v>78.37</v>
      </c>
      <c r="AZ210" s="526">
        <v>7.28</v>
      </c>
      <c r="BA210" s="526">
        <v>82.92</v>
      </c>
      <c r="BB210" s="522">
        <v>4827</v>
      </c>
      <c r="BC210" s="526">
        <v>87.65</v>
      </c>
      <c r="BD210" s="526">
        <v>89.67</v>
      </c>
      <c r="BE210" s="526">
        <v>6.33</v>
      </c>
      <c r="BF210" s="526">
        <v>93.26</v>
      </c>
      <c r="BG210" s="522">
        <v>5303</v>
      </c>
      <c r="BH210" s="526">
        <v>98.03</v>
      </c>
      <c r="BI210" s="526">
        <v>99.74</v>
      </c>
      <c r="BJ210" s="526">
        <v>4.38</v>
      </c>
      <c r="BK210" s="526">
        <v>101.91</v>
      </c>
      <c r="BL210" s="522">
        <v>4644</v>
      </c>
      <c r="BM210" s="526">
        <v>112.81</v>
      </c>
      <c r="BN210" s="526">
        <v>113.85</v>
      </c>
      <c r="BO210" s="526">
        <v>3.72</v>
      </c>
      <c r="BP210" s="526">
        <v>115.44</v>
      </c>
      <c r="BQ210" s="522">
        <v>434</v>
      </c>
      <c r="BR210" s="526">
        <v>116.74</v>
      </c>
      <c r="BS210" s="526">
        <v>123.2</v>
      </c>
      <c r="BT210" s="526">
        <v>3.51</v>
      </c>
      <c r="BU210" s="526">
        <v>119.59</v>
      </c>
      <c r="BV210" s="522">
        <v>37</v>
      </c>
      <c r="BW210" s="526">
        <v>126.12</v>
      </c>
      <c r="BX210" s="526">
        <v>134.91</v>
      </c>
      <c r="BY210" s="526">
        <v>3.63</v>
      </c>
      <c r="BZ210" s="526">
        <v>129.74</v>
      </c>
      <c r="CA210" s="522">
        <v>11</v>
      </c>
      <c r="CB210" s="526">
        <v>87.34</v>
      </c>
      <c r="CC210" s="526">
        <v>89.46</v>
      </c>
      <c r="CD210" s="526">
        <v>6.37</v>
      </c>
      <c r="CE210" s="526">
        <v>93.17</v>
      </c>
      <c r="CF210" s="522">
        <v>15577</v>
      </c>
      <c r="CG210" s="526">
        <v>87.34</v>
      </c>
      <c r="CH210" s="526">
        <v>89.46</v>
      </c>
      <c r="CI210" s="526">
        <v>6.37</v>
      </c>
      <c r="CJ210" s="526">
        <v>93.17</v>
      </c>
      <c r="CK210" s="522">
        <v>15577</v>
      </c>
      <c r="CL210" s="526">
        <v>129.27000000000001</v>
      </c>
      <c r="CM210" s="526">
        <v>83.17</v>
      </c>
      <c r="CN210" s="526">
        <v>58.42</v>
      </c>
      <c r="CO210" s="526">
        <v>180.13</v>
      </c>
      <c r="CP210" s="522">
        <v>201</v>
      </c>
      <c r="CQ210" s="526">
        <v>78.180000000000007</v>
      </c>
      <c r="CR210" s="526">
        <v>75.47</v>
      </c>
      <c r="CS210" s="526">
        <v>41.62</v>
      </c>
      <c r="CT210" s="526">
        <v>113.92</v>
      </c>
      <c r="CU210" s="522">
        <v>198</v>
      </c>
      <c r="CV210" s="526">
        <v>82.86</v>
      </c>
      <c r="CW210" s="526">
        <v>81.55</v>
      </c>
      <c r="CX210" s="526">
        <v>56.41</v>
      </c>
      <c r="CY210" s="526">
        <v>138.16</v>
      </c>
      <c r="CZ210" s="522">
        <v>1827</v>
      </c>
      <c r="DA210" s="526">
        <v>99.23</v>
      </c>
      <c r="DB210" s="526">
        <v>100.48</v>
      </c>
      <c r="DC210" s="526">
        <v>31.68</v>
      </c>
      <c r="DD210" s="526">
        <v>129.72999999999999</v>
      </c>
      <c r="DE210" s="522">
        <v>187</v>
      </c>
      <c r="DF210" s="526">
        <v>108.33</v>
      </c>
      <c r="DG210" s="526">
        <v>107.49</v>
      </c>
      <c r="DH210" s="526">
        <v>40.58</v>
      </c>
      <c r="DI210" s="526">
        <v>148.9</v>
      </c>
      <c r="DJ210" s="522">
        <v>10</v>
      </c>
      <c r="DK210" s="526">
        <v>277.07</v>
      </c>
      <c r="DL210" s="526">
        <v>0</v>
      </c>
      <c r="DM210" s="526">
        <v>80.03</v>
      </c>
      <c r="DN210" s="526">
        <v>357.1</v>
      </c>
      <c r="DO210" s="522">
        <v>2</v>
      </c>
      <c r="DP210" s="526">
        <v>84.11</v>
      </c>
      <c r="DQ210" s="526">
        <v>82.73</v>
      </c>
      <c r="DR210" s="526">
        <v>53.13</v>
      </c>
      <c r="DS210" s="526">
        <v>135.54</v>
      </c>
      <c r="DT210" s="522">
        <v>2224</v>
      </c>
      <c r="DU210" s="526">
        <v>87.85</v>
      </c>
      <c r="DV210" s="526">
        <v>82.75</v>
      </c>
      <c r="DW210" s="526">
        <v>53.52</v>
      </c>
      <c r="DX210" s="526">
        <v>139.22999999999999</v>
      </c>
      <c r="DY210" s="522">
        <v>2425</v>
      </c>
      <c r="DZ210" s="526">
        <v>0</v>
      </c>
      <c r="EA210" s="526">
        <v>0</v>
      </c>
      <c r="EB210" s="526">
        <v>0</v>
      </c>
      <c r="EC210" s="522">
        <v>0</v>
      </c>
      <c r="ED210" s="526">
        <v>87.93</v>
      </c>
      <c r="EE210" s="522">
        <v>324</v>
      </c>
      <c r="EF210" s="526">
        <v>109.75</v>
      </c>
      <c r="EG210" s="522">
        <v>1017</v>
      </c>
      <c r="EH210" s="526">
        <v>121.9</v>
      </c>
      <c r="EI210" s="522">
        <v>866</v>
      </c>
      <c r="EJ210" s="526">
        <v>151.1</v>
      </c>
      <c r="EK210" s="522">
        <v>127</v>
      </c>
      <c r="EL210" s="526">
        <v>150.25</v>
      </c>
      <c r="EM210" s="522">
        <v>7</v>
      </c>
      <c r="EN210" s="526">
        <v>170.9</v>
      </c>
      <c r="EO210" s="522">
        <v>2</v>
      </c>
      <c r="EP210" s="526">
        <v>113.64</v>
      </c>
      <c r="EQ210" s="522">
        <v>2343</v>
      </c>
      <c r="ER210" s="526">
        <v>113.64</v>
      </c>
      <c r="ES210" s="522">
        <v>2343</v>
      </c>
      <c r="ET210" s="526">
        <v>0</v>
      </c>
      <c r="EU210" s="526">
        <v>0</v>
      </c>
      <c r="EV210" s="526">
        <v>0</v>
      </c>
      <c r="EW210" s="522">
        <v>0</v>
      </c>
      <c r="EX210" s="526">
        <v>236.84</v>
      </c>
      <c r="EY210" s="522">
        <v>60</v>
      </c>
      <c r="EZ210" s="526">
        <v>247.58</v>
      </c>
      <c r="FA210" s="522">
        <v>65</v>
      </c>
      <c r="FB210" s="526">
        <v>0</v>
      </c>
      <c r="FC210" s="522">
        <v>0</v>
      </c>
      <c r="FD210" s="526">
        <v>0</v>
      </c>
      <c r="FE210" s="522">
        <v>0</v>
      </c>
      <c r="FF210" s="526">
        <v>242.42</v>
      </c>
      <c r="FG210" s="522">
        <v>125</v>
      </c>
      <c r="FH210" s="526">
        <v>242.42</v>
      </c>
      <c r="FI210" s="522">
        <v>125</v>
      </c>
      <c r="FJ210" s="522">
        <v>0</v>
      </c>
      <c r="FK210" s="522">
        <v>85</v>
      </c>
      <c r="FL210" s="522">
        <v>51</v>
      </c>
      <c r="FM210" s="522">
        <v>4</v>
      </c>
      <c r="FN210" s="522">
        <v>30</v>
      </c>
      <c r="FO210" s="522">
        <v>0</v>
      </c>
      <c r="FP210" s="522">
        <v>9</v>
      </c>
      <c r="FQ210" s="522">
        <v>44</v>
      </c>
      <c r="FR210" s="522">
        <v>7</v>
      </c>
    </row>
    <row r="211" spans="1:174" x14ac:dyDescent="0.25">
      <c r="A211" s="523" t="s">
        <v>672</v>
      </c>
      <c r="B211" s="523" t="s">
        <v>673</v>
      </c>
      <c r="C211" s="523" t="s">
        <v>283</v>
      </c>
      <c r="D211" s="522">
        <v>2620</v>
      </c>
      <c r="E211" s="522">
        <v>2618</v>
      </c>
      <c r="F211" s="522">
        <v>0</v>
      </c>
      <c r="G211" s="522">
        <v>0</v>
      </c>
      <c r="H211" s="522">
        <v>49</v>
      </c>
      <c r="I211" s="522">
        <v>46</v>
      </c>
      <c r="J211" s="522">
        <v>699</v>
      </c>
      <c r="K211" s="522">
        <v>699</v>
      </c>
      <c r="L211" s="522">
        <v>427</v>
      </c>
      <c r="M211" s="522">
        <v>165</v>
      </c>
      <c r="N211" s="522">
        <v>3795</v>
      </c>
      <c r="O211" s="522">
        <v>3528</v>
      </c>
      <c r="P211" s="522">
        <v>3368</v>
      </c>
      <c r="Q211" s="522">
        <v>7</v>
      </c>
      <c r="R211" s="523">
        <v>1</v>
      </c>
      <c r="S211" s="523">
        <v>20</v>
      </c>
      <c r="T211" s="523">
        <v>3</v>
      </c>
      <c r="U211" s="523">
        <v>3792</v>
      </c>
      <c r="V211" s="522">
        <v>2620</v>
      </c>
      <c r="W211" s="522">
        <v>15</v>
      </c>
      <c r="X211" s="522">
        <v>28</v>
      </c>
      <c r="Y211" s="522">
        <v>43</v>
      </c>
      <c r="Z211" s="524">
        <v>114.08</v>
      </c>
      <c r="AA211" s="524">
        <v>117.85</v>
      </c>
      <c r="AB211" s="524">
        <v>11.26</v>
      </c>
      <c r="AC211" s="524">
        <v>120.17</v>
      </c>
      <c r="AD211" s="524">
        <v>1764</v>
      </c>
      <c r="AE211" s="525">
        <v>100.27</v>
      </c>
      <c r="AF211" s="525">
        <v>99.61</v>
      </c>
      <c r="AG211" s="525">
        <v>55.21</v>
      </c>
      <c r="AH211" s="525">
        <v>154.96</v>
      </c>
      <c r="AI211" s="525">
        <v>745</v>
      </c>
      <c r="AJ211" s="525">
        <v>168.8</v>
      </c>
      <c r="AK211" s="525">
        <v>854</v>
      </c>
      <c r="AL211" s="525">
        <v>0</v>
      </c>
      <c r="AM211" s="525">
        <v>0</v>
      </c>
      <c r="AN211" s="526">
        <v>0</v>
      </c>
      <c r="AO211" s="526">
        <v>0</v>
      </c>
      <c r="AP211" s="526">
        <v>0</v>
      </c>
      <c r="AQ211" s="526">
        <v>0</v>
      </c>
      <c r="AR211" s="522">
        <v>0</v>
      </c>
      <c r="AS211" s="526">
        <v>83.35</v>
      </c>
      <c r="AT211" s="526">
        <v>85.55</v>
      </c>
      <c r="AU211" s="526">
        <v>22.38</v>
      </c>
      <c r="AV211" s="526">
        <v>105.73</v>
      </c>
      <c r="AW211" s="522">
        <v>7</v>
      </c>
      <c r="AX211" s="526">
        <v>97.87</v>
      </c>
      <c r="AY211" s="526">
        <v>100.23</v>
      </c>
      <c r="AZ211" s="526">
        <v>13.19</v>
      </c>
      <c r="BA211" s="526">
        <v>107.97</v>
      </c>
      <c r="BB211" s="522">
        <v>577</v>
      </c>
      <c r="BC211" s="526">
        <v>112.58</v>
      </c>
      <c r="BD211" s="526">
        <v>116.3</v>
      </c>
      <c r="BE211" s="526">
        <v>11.5</v>
      </c>
      <c r="BF211" s="526">
        <v>119.29</v>
      </c>
      <c r="BG211" s="522">
        <v>517</v>
      </c>
      <c r="BH211" s="526">
        <v>129.68</v>
      </c>
      <c r="BI211" s="526">
        <v>134.41999999999999</v>
      </c>
      <c r="BJ211" s="526">
        <v>6.32</v>
      </c>
      <c r="BK211" s="526">
        <v>131.62</v>
      </c>
      <c r="BL211" s="522">
        <v>645</v>
      </c>
      <c r="BM211" s="526">
        <v>132.25</v>
      </c>
      <c r="BN211" s="526">
        <v>145.44</v>
      </c>
      <c r="BO211" s="526">
        <v>6.1</v>
      </c>
      <c r="BP211" s="526">
        <v>133.99</v>
      </c>
      <c r="BQ211" s="522">
        <v>14</v>
      </c>
      <c r="BR211" s="526">
        <v>123.64</v>
      </c>
      <c r="BS211" s="526">
        <v>162.26</v>
      </c>
      <c r="BT211" s="526">
        <v>0</v>
      </c>
      <c r="BU211" s="526">
        <v>123.64</v>
      </c>
      <c r="BV211" s="522">
        <v>4</v>
      </c>
      <c r="BW211" s="526">
        <v>0</v>
      </c>
      <c r="BX211" s="526">
        <v>0</v>
      </c>
      <c r="BY211" s="526">
        <v>0</v>
      </c>
      <c r="BZ211" s="526">
        <v>0</v>
      </c>
      <c r="CA211" s="522">
        <v>0</v>
      </c>
      <c r="CB211" s="526">
        <v>114.08</v>
      </c>
      <c r="CC211" s="526">
        <v>117.85</v>
      </c>
      <c r="CD211" s="526">
        <v>11.26</v>
      </c>
      <c r="CE211" s="526">
        <v>120.17</v>
      </c>
      <c r="CF211" s="522">
        <v>1764</v>
      </c>
      <c r="CG211" s="526">
        <v>114.08</v>
      </c>
      <c r="CH211" s="526">
        <v>117.85</v>
      </c>
      <c r="CI211" s="526">
        <v>11.26</v>
      </c>
      <c r="CJ211" s="526">
        <v>120.17</v>
      </c>
      <c r="CK211" s="522">
        <v>1764</v>
      </c>
      <c r="CL211" s="526">
        <v>100.24</v>
      </c>
      <c r="CM211" s="526">
        <v>96.44</v>
      </c>
      <c r="CN211" s="526">
        <v>69.06</v>
      </c>
      <c r="CO211" s="526">
        <v>149.97</v>
      </c>
      <c r="CP211" s="522">
        <v>25</v>
      </c>
      <c r="CQ211" s="526">
        <v>93.61</v>
      </c>
      <c r="CR211" s="526">
        <v>88.11</v>
      </c>
      <c r="CS211" s="526">
        <v>101.54</v>
      </c>
      <c r="CT211" s="526">
        <v>195.15</v>
      </c>
      <c r="CU211" s="522">
        <v>85</v>
      </c>
      <c r="CV211" s="526">
        <v>100.09</v>
      </c>
      <c r="CW211" s="526">
        <v>100.32</v>
      </c>
      <c r="CX211" s="526">
        <v>48.52</v>
      </c>
      <c r="CY211" s="526">
        <v>148.61000000000001</v>
      </c>
      <c r="CZ211" s="522">
        <v>597</v>
      </c>
      <c r="DA211" s="526">
        <v>114.82</v>
      </c>
      <c r="DB211" s="526">
        <v>113.83</v>
      </c>
      <c r="DC211" s="526">
        <v>49.49</v>
      </c>
      <c r="DD211" s="526">
        <v>164.32</v>
      </c>
      <c r="DE211" s="522">
        <v>34</v>
      </c>
      <c r="DF211" s="526">
        <v>144.12</v>
      </c>
      <c r="DG211" s="526">
        <v>134.78</v>
      </c>
      <c r="DH211" s="526">
        <v>54.85</v>
      </c>
      <c r="DI211" s="526">
        <v>198.98</v>
      </c>
      <c r="DJ211" s="522">
        <v>4</v>
      </c>
      <c r="DK211" s="526">
        <v>0</v>
      </c>
      <c r="DL211" s="526">
        <v>0</v>
      </c>
      <c r="DM211" s="526">
        <v>0</v>
      </c>
      <c r="DN211" s="526">
        <v>0</v>
      </c>
      <c r="DO211" s="522">
        <v>0</v>
      </c>
      <c r="DP211" s="526">
        <v>100.27</v>
      </c>
      <c r="DQ211" s="526">
        <v>99.71</v>
      </c>
      <c r="DR211" s="526">
        <v>54.86</v>
      </c>
      <c r="DS211" s="526">
        <v>155.13</v>
      </c>
      <c r="DT211" s="522">
        <v>720</v>
      </c>
      <c r="DU211" s="526">
        <v>100.27</v>
      </c>
      <c r="DV211" s="526">
        <v>99.61</v>
      </c>
      <c r="DW211" s="526">
        <v>55.21</v>
      </c>
      <c r="DX211" s="526">
        <v>154.96</v>
      </c>
      <c r="DY211" s="522">
        <v>745</v>
      </c>
      <c r="DZ211" s="526">
        <v>0</v>
      </c>
      <c r="EA211" s="526">
        <v>0</v>
      </c>
      <c r="EB211" s="526">
        <v>0</v>
      </c>
      <c r="EC211" s="522">
        <v>0</v>
      </c>
      <c r="ED211" s="526">
        <v>135.79</v>
      </c>
      <c r="EE211" s="522">
        <v>316</v>
      </c>
      <c r="EF211" s="526">
        <v>174.24</v>
      </c>
      <c r="EG211" s="522">
        <v>347</v>
      </c>
      <c r="EH211" s="526">
        <v>205.91</v>
      </c>
      <c r="EI211" s="522">
        <v>166</v>
      </c>
      <c r="EJ211" s="526">
        <v>264.19</v>
      </c>
      <c r="EK211" s="522">
        <v>25</v>
      </c>
      <c r="EL211" s="526">
        <v>0</v>
      </c>
      <c r="EM211" s="522">
        <v>0</v>
      </c>
      <c r="EN211" s="526">
        <v>0</v>
      </c>
      <c r="EO211" s="522">
        <v>0</v>
      </c>
      <c r="EP211" s="526">
        <v>168.8</v>
      </c>
      <c r="EQ211" s="522">
        <v>854</v>
      </c>
      <c r="ER211" s="526">
        <v>168.8</v>
      </c>
      <c r="ES211" s="522">
        <v>854</v>
      </c>
      <c r="ET211" s="526">
        <v>0</v>
      </c>
      <c r="EU211" s="526">
        <v>0</v>
      </c>
      <c r="EV211" s="526">
        <v>0</v>
      </c>
      <c r="EW211" s="522">
        <v>0</v>
      </c>
      <c r="EX211" s="526">
        <v>0</v>
      </c>
      <c r="EY211" s="522">
        <v>0</v>
      </c>
      <c r="EZ211" s="526">
        <v>0</v>
      </c>
      <c r="FA211" s="522">
        <v>0</v>
      </c>
      <c r="FB211" s="526">
        <v>0</v>
      </c>
      <c r="FC211" s="522">
        <v>0</v>
      </c>
      <c r="FD211" s="526">
        <v>0</v>
      </c>
      <c r="FE211" s="522">
        <v>0</v>
      </c>
      <c r="FF211" s="526">
        <v>0</v>
      </c>
      <c r="FG211" s="522">
        <v>0</v>
      </c>
      <c r="FH211" s="526">
        <v>0</v>
      </c>
      <c r="FI211" s="522">
        <v>0</v>
      </c>
      <c r="FJ211" s="522">
        <v>81</v>
      </c>
      <c r="FK211" s="522">
        <v>2</v>
      </c>
      <c r="FL211" s="522">
        <v>2</v>
      </c>
      <c r="FM211" s="522">
        <v>0</v>
      </c>
      <c r="FN211" s="522">
        <v>0</v>
      </c>
      <c r="FO211" s="522">
        <v>0</v>
      </c>
      <c r="FP211" s="522">
        <v>0</v>
      </c>
      <c r="FQ211" s="522">
        <v>32</v>
      </c>
      <c r="FR211" s="522">
        <v>3</v>
      </c>
    </row>
    <row r="212" spans="1:174" x14ac:dyDescent="0.25">
      <c r="A212" s="523" t="s">
        <v>674</v>
      </c>
      <c r="B212" s="523" t="s">
        <v>675</v>
      </c>
      <c r="C212" s="523" t="s">
        <v>286</v>
      </c>
      <c r="D212" s="522">
        <v>4294</v>
      </c>
      <c r="E212" s="522">
        <v>4291</v>
      </c>
      <c r="F212" s="522">
        <v>0</v>
      </c>
      <c r="G212" s="522">
        <v>0</v>
      </c>
      <c r="H212" s="522">
        <v>77</v>
      </c>
      <c r="I212" s="522">
        <v>12</v>
      </c>
      <c r="J212" s="522">
        <v>378</v>
      </c>
      <c r="K212" s="522">
        <v>378</v>
      </c>
      <c r="L212" s="522">
        <v>40</v>
      </c>
      <c r="M212" s="522">
        <v>0</v>
      </c>
      <c r="N212" s="522">
        <v>4789</v>
      </c>
      <c r="O212" s="522">
        <v>4681</v>
      </c>
      <c r="P212" s="522">
        <v>4749</v>
      </c>
      <c r="Q212" s="522">
        <v>1</v>
      </c>
      <c r="R212" s="523">
        <v>7</v>
      </c>
      <c r="S212" s="523">
        <v>16</v>
      </c>
      <c r="T212" s="523">
        <v>44</v>
      </c>
      <c r="U212" s="523">
        <v>4745</v>
      </c>
      <c r="V212" s="522">
        <v>4289</v>
      </c>
      <c r="W212" s="522">
        <v>35</v>
      </c>
      <c r="X212" s="522">
        <v>51</v>
      </c>
      <c r="Y212" s="522">
        <v>86</v>
      </c>
      <c r="Z212" s="524">
        <v>84.26</v>
      </c>
      <c r="AA212" s="524">
        <v>84.44</v>
      </c>
      <c r="AB212" s="524">
        <v>8</v>
      </c>
      <c r="AC212" s="524">
        <v>84.98</v>
      </c>
      <c r="AD212" s="524">
        <v>3590</v>
      </c>
      <c r="AE212" s="525">
        <v>98.37</v>
      </c>
      <c r="AF212" s="525">
        <v>89.73</v>
      </c>
      <c r="AG212" s="525">
        <v>44.61</v>
      </c>
      <c r="AH212" s="525">
        <v>140.29</v>
      </c>
      <c r="AI212" s="525">
        <v>416</v>
      </c>
      <c r="AJ212" s="525">
        <v>111.49</v>
      </c>
      <c r="AK212" s="525">
        <v>676</v>
      </c>
      <c r="AL212" s="525">
        <v>0</v>
      </c>
      <c r="AM212" s="525">
        <v>0</v>
      </c>
      <c r="AN212" s="526">
        <v>0</v>
      </c>
      <c r="AO212" s="526">
        <v>0</v>
      </c>
      <c r="AP212" s="526">
        <v>0</v>
      </c>
      <c r="AQ212" s="526">
        <v>0</v>
      </c>
      <c r="AR212" s="522">
        <v>0</v>
      </c>
      <c r="AS212" s="526">
        <v>71.62</v>
      </c>
      <c r="AT212" s="526">
        <v>74.069999999999993</v>
      </c>
      <c r="AU212" s="526">
        <v>0</v>
      </c>
      <c r="AV212" s="526">
        <v>71.62</v>
      </c>
      <c r="AW212" s="522">
        <v>29</v>
      </c>
      <c r="AX212" s="526">
        <v>76.39</v>
      </c>
      <c r="AY212" s="526">
        <v>76.22</v>
      </c>
      <c r="AZ212" s="526">
        <v>8.44</v>
      </c>
      <c r="BA212" s="526">
        <v>76.709999999999994</v>
      </c>
      <c r="BB212" s="522">
        <v>1609</v>
      </c>
      <c r="BC212" s="526">
        <v>87.16</v>
      </c>
      <c r="BD212" s="526">
        <v>87.49</v>
      </c>
      <c r="BE212" s="526">
        <v>11.26</v>
      </c>
      <c r="BF212" s="526">
        <v>88.56</v>
      </c>
      <c r="BG212" s="522">
        <v>1285</v>
      </c>
      <c r="BH212" s="526">
        <v>97.42</v>
      </c>
      <c r="BI212" s="526">
        <v>98.01</v>
      </c>
      <c r="BJ212" s="526">
        <v>2.68</v>
      </c>
      <c r="BK212" s="526">
        <v>97.76</v>
      </c>
      <c r="BL212" s="522">
        <v>612</v>
      </c>
      <c r="BM212" s="526">
        <v>106.65</v>
      </c>
      <c r="BN212" s="526">
        <v>107.8</v>
      </c>
      <c r="BO212" s="526">
        <v>2.0299999999999998</v>
      </c>
      <c r="BP212" s="526">
        <v>107.48</v>
      </c>
      <c r="BQ212" s="522">
        <v>54</v>
      </c>
      <c r="BR212" s="526">
        <v>0</v>
      </c>
      <c r="BS212" s="526">
        <v>0</v>
      </c>
      <c r="BT212" s="526">
        <v>0</v>
      </c>
      <c r="BU212" s="526">
        <v>0</v>
      </c>
      <c r="BV212" s="522">
        <v>0</v>
      </c>
      <c r="BW212" s="526">
        <v>128.04</v>
      </c>
      <c r="BX212" s="526">
        <v>130.56</v>
      </c>
      <c r="BY212" s="526">
        <v>0</v>
      </c>
      <c r="BZ212" s="526">
        <v>128.04</v>
      </c>
      <c r="CA212" s="522">
        <v>1</v>
      </c>
      <c r="CB212" s="526">
        <v>84.26</v>
      </c>
      <c r="CC212" s="526">
        <v>84.44</v>
      </c>
      <c r="CD212" s="526">
        <v>8</v>
      </c>
      <c r="CE212" s="526">
        <v>84.98</v>
      </c>
      <c r="CF212" s="522">
        <v>3590</v>
      </c>
      <c r="CG212" s="526">
        <v>84.26</v>
      </c>
      <c r="CH212" s="526">
        <v>84.44</v>
      </c>
      <c r="CI212" s="526">
        <v>8</v>
      </c>
      <c r="CJ212" s="526">
        <v>84.98</v>
      </c>
      <c r="CK212" s="522">
        <v>3590</v>
      </c>
      <c r="CL212" s="526">
        <v>235.44</v>
      </c>
      <c r="CM212" s="526">
        <v>87.08</v>
      </c>
      <c r="CN212" s="526">
        <v>68.790000000000006</v>
      </c>
      <c r="CO212" s="526">
        <v>272.95999999999998</v>
      </c>
      <c r="CP212" s="522">
        <v>11</v>
      </c>
      <c r="CQ212" s="526">
        <v>77.31</v>
      </c>
      <c r="CR212" s="526">
        <v>72.459999999999994</v>
      </c>
      <c r="CS212" s="526">
        <v>38.65</v>
      </c>
      <c r="CT212" s="526">
        <v>115.96</v>
      </c>
      <c r="CU212" s="522">
        <v>54</v>
      </c>
      <c r="CV212" s="526">
        <v>93.51</v>
      </c>
      <c r="CW212" s="526">
        <v>88.26</v>
      </c>
      <c r="CX212" s="526">
        <v>46.98</v>
      </c>
      <c r="CY212" s="526">
        <v>137.25</v>
      </c>
      <c r="CZ212" s="522">
        <v>290</v>
      </c>
      <c r="DA212" s="526">
        <v>112.91</v>
      </c>
      <c r="DB212" s="526">
        <v>110.08</v>
      </c>
      <c r="DC212" s="526">
        <v>36.49</v>
      </c>
      <c r="DD212" s="526">
        <v>149.4</v>
      </c>
      <c r="DE212" s="522">
        <v>55</v>
      </c>
      <c r="DF212" s="526">
        <v>138.13</v>
      </c>
      <c r="DG212" s="526">
        <v>130.72999999999999</v>
      </c>
      <c r="DH212" s="526">
        <v>41.48</v>
      </c>
      <c r="DI212" s="526">
        <v>179.62</v>
      </c>
      <c r="DJ212" s="522">
        <v>6</v>
      </c>
      <c r="DK212" s="526">
        <v>0</v>
      </c>
      <c r="DL212" s="526">
        <v>0</v>
      </c>
      <c r="DM212" s="526">
        <v>0</v>
      </c>
      <c r="DN212" s="526">
        <v>0</v>
      </c>
      <c r="DO212" s="522">
        <v>0</v>
      </c>
      <c r="DP212" s="526">
        <v>94.64</v>
      </c>
      <c r="DQ212" s="526">
        <v>89.76</v>
      </c>
      <c r="DR212" s="526">
        <v>44.23</v>
      </c>
      <c r="DS212" s="526">
        <v>136.69</v>
      </c>
      <c r="DT212" s="522">
        <v>405</v>
      </c>
      <c r="DU212" s="526">
        <v>98.37</v>
      </c>
      <c r="DV212" s="526">
        <v>89.73</v>
      </c>
      <c r="DW212" s="526">
        <v>44.61</v>
      </c>
      <c r="DX212" s="526">
        <v>140.29</v>
      </c>
      <c r="DY212" s="522">
        <v>416</v>
      </c>
      <c r="DZ212" s="526">
        <v>0</v>
      </c>
      <c r="EA212" s="526">
        <v>0</v>
      </c>
      <c r="EB212" s="526">
        <v>0</v>
      </c>
      <c r="EC212" s="522">
        <v>0</v>
      </c>
      <c r="ED212" s="526">
        <v>85.22</v>
      </c>
      <c r="EE212" s="522">
        <v>55</v>
      </c>
      <c r="EF212" s="526">
        <v>101.96</v>
      </c>
      <c r="EG212" s="522">
        <v>317</v>
      </c>
      <c r="EH212" s="526">
        <v>125.44</v>
      </c>
      <c r="EI212" s="522">
        <v>296</v>
      </c>
      <c r="EJ212" s="526">
        <v>153.49</v>
      </c>
      <c r="EK212" s="522">
        <v>8</v>
      </c>
      <c r="EL212" s="526">
        <v>0</v>
      </c>
      <c r="EM212" s="522">
        <v>0</v>
      </c>
      <c r="EN212" s="526">
        <v>0</v>
      </c>
      <c r="EO212" s="522">
        <v>0</v>
      </c>
      <c r="EP212" s="526">
        <v>111.49</v>
      </c>
      <c r="EQ212" s="522">
        <v>676</v>
      </c>
      <c r="ER212" s="526">
        <v>111.49</v>
      </c>
      <c r="ES212" s="522">
        <v>676</v>
      </c>
      <c r="ET212" s="526">
        <v>0</v>
      </c>
      <c r="EU212" s="526">
        <v>0</v>
      </c>
      <c r="EV212" s="526">
        <v>0</v>
      </c>
      <c r="EW212" s="522">
        <v>0</v>
      </c>
      <c r="EX212" s="526">
        <v>0</v>
      </c>
      <c r="EY212" s="522">
        <v>0</v>
      </c>
      <c r="EZ212" s="526">
        <v>0</v>
      </c>
      <c r="FA212" s="522">
        <v>0</v>
      </c>
      <c r="FB212" s="526">
        <v>0</v>
      </c>
      <c r="FC212" s="522">
        <v>0</v>
      </c>
      <c r="FD212" s="526">
        <v>0</v>
      </c>
      <c r="FE212" s="522">
        <v>0</v>
      </c>
      <c r="FF212" s="526">
        <v>0</v>
      </c>
      <c r="FG212" s="522">
        <v>0</v>
      </c>
      <c r="FH212" s="526">
        <v>0</v>
      </c>
      <c r="FI212" s="522">
        <v>0</v>
      </c>
      <c r="FJ212" s="522">
        <v>0</v>
      </c>
      <c r="FK212" s="522">
        <v>5</v>
      </c>
      <c r="FL212" s="522">
        <v>0</v>
      </c>
      <c r="FM212" s="522">
        <v>2</v>
      </c>
      <c r="FN212" s="522">
        <v>3</v>
      </c>
      <c r="FO212" s="522">
        <v>0</v>
      </c>
      <c r="FP212" s="522">
        <v>2</v>
      </c>
      <c r="FQ212" s="522">
        <v>7</v>
      </c>
      <c r="FR212" s="522">
        <v>0</v>
      </c>
    </row>
    <row r="213" spans="1:174" x14ac:dyDescent="0.25">
      <c r="A213" s="523" t="s">
        <v>676</v>
      </c>
      <c r="B213" s="523" t="s">
        <v>677</v>
      </c>
      <c r="C213" s="523" t="s">
        <v>2</v>
      </c>
      <c r="D213" s="522">
        <v>3813</v>
      </c>
      <c r="E213" s="522">
        <v>3813</v>
      </c>
      <c r="F213" s="522">
        <v>0</v>
      </c>
      <c r="G213" s="522">
        <v>0</v>
      </c>
      <c r="H213" s="522">
        <v>76</v>
      </c>
      <c r="I213" s="522">
        <v>51</v>
      </c>
      <c r="J213" s="522">
        <v>684</v>
      </c>
      <c r="K213" s="522">
        <v>568</v>
      </c>
      <c r="L213" s="522">
        <v>442</v>
      </c>
      <c r="M213" s="522">
        <v>94</v>
      </c>
      <c r="N213" s="522">
        <v>5015</v>
      </c>
      <c r="O213" s="522">
        <v>4526</v>
      </c>
      <c r="P213" s="522">
        <v>4573</v>
      </c>
      <c r="Q213" s="522">
        <v>29</v>
      </c>
      <c r="R213" s="523">
        <v>4</v>
      </c>
      <c r="S213" s="523">
        <v>18</v>
      </c>
      <c r="T213" s="523">
        <v>134</v>
      </c>
      <c r="U213" s="523">
        <v>4881</v>
      </c>
      <c r="V213" s="522">
        <v>3813</v>
      </c>
      <c r="W213" s="522">
        <v>58</v>
      </c>
      <c r="X213" s="522">
        <v>18</v>
      </c>
      <c r="Y213" s="522">
        <v>76</v>
      </c>
      <c r="Z213" s="524">
        <v>109.14</v>
      </c>
      <c r="AA213" s="524">
        <v>108.05</v>
      </c>
      <c r="AB213" s="524">
        <v>4.2300000000000004</v>
      </c>
      <c r="AC213" s="524">
        <v>112.63</v>
      </c>
      <c r="AD213" s="524">
        <v>3125</v>
      </c>
      <c r="AE213" s="525">
        <v>98.28</v>
      </c>
      <c r="AF213" s="525">
        <v>89.23</v>
      </c>
      <c r="AG213" s="525">
        <v>53.35</v>
      </c>
      <c r="AH213" s="525">
        <v>149.05000000000001</v>
      </c>
      <c r="AI213" s="525">
        <v>621</v>
      </c>
      <c r="AJ213" s="525">
        <v>144.11000000000001</v>
      </c>
      <c r="AK213" s="525">
        <v>684</v>
      </c>
      <c r="AL213" s="525">
        <v>98.22</v>
      </c>
      <c r="AM213" s="525">
        <v>5</v>
      </c>
      <c r="AN213" s="526">
        <v>0</v>
      </c>
      <c r="AO213" s="526">
        <v>0</v>
      </c>
      <c r="AP213" s="526">
        <v>0</v>
      </c>
      <c r="AQ213" s="526">
        <v>0</v>
      </c>
      <c r="AR213" s="522">
        <v>0</v>
      </c>
      <c r="AS213" s="526">
        <v>79.959999999999994</v>
      </c>
      <c r="AT213" s="526">
        <v>76.88</v>
      </c>
      <c r="AU213" s="526">
        <v>14.78</v>
      </c>
      <c r="AV213" s="526">
        <v>94.07</v>
      </c>
      <c r="AW213" s="522">
        <v>22</v>
      </c>
      <c r="AX213" s="526">
        <v>90.39</v>
      </c>
      <c r="AY213" s="526">
        <v>88.25</v>
      </c>
      <c r="AZ213" s="526">
        <v>6.79</v>
      </c>
      <c r="BA213" s="526">
        <v>96.9</v>
      </c>
      <c r="BB213" s="522">
        <v>634</v>
      </c>
      <c r="BC213" s="526">
        <v>106.14</v>
      </c>
      <c r="BD213" s="526">
        <v>104.77</v>
      </c>
      <c r="BE213" s="526">
        <v>4.37</v>
      </c>
      <c r="BF213" s="526">
        <v>109.77</v>
      </c>
      <c r="BG213" s="522">
        <v>1212</v>
      </c>
      <c r="BH213" s="526">
        <v>120.84</v>
      </c>
      <c r="BI213" s="526">
        <v>120.58</v>
      </c>
      <c r="BJ213" s="526">
        <v>2.2000000000000002</v>
      </c>
      <c r="BK213" s="526">
        <v>122.52</v>
      </c>
      <c r="BL213" s="522">
        <v>1160</v>
      </c>
      <c r="BM213" s="526">
        <v>134.63</v>
      </c>
      <c r="BN213" s="526">
        <v>134.32</v>
      </c>
      <c r="BO213" s="526">
        <v>2.14</v>
      </c>
      <c r="BP213" s="526">
        <v>135.96</v>
      </c>
      <c r="BQ213" s="522">
        <v>92</v>
      </c>
      <c r="BR213" s="526">
        <v>159.91999999999999</v>
      </c>
      <c r="BS213" s="526">
        <v>164.5</v>
      </c>
      <c r="BT213" s="526">
        <v>1.64</v>
      </c>
      <c r="BU213" s="526">
        <v>161.22999999999999</v>
      </c>
      <c r="BV213" s="522">
        <v>5</v>
      </c>
      <c r="BW213" s="526">
        <v>0</v>
      </c>
      <c r="BX213" s="526">
        <v>0</v>
      </c>
      <c r="BY213" s="526">
        <v>0</v>
      </c>
      <c r="BZ213" s="526">
        <v>0</v>
      </c>
      <c r="CA213" s="522">
        <v>0</v>
      </c>
      <c r="CB213" s="526">
        <v>109.14</v>
      </c>
      <c r="CC213" s="526">
        <v>108.05</v>
      </c>
      <c r="CD213" s="526">
        <v>4.2300000000000004</v>
      </c>
      <c r="CE213" s="526">
        <v>112.63</v>
      </c>
      <c r="CF213" s="522">
        <v>3125</v>
      </c>
      <c r="CG213" s="526">
        <v>109.14</v>
      </c>
      <c r="CH213" s="526">
        <v>108.05</v>
      </c>
      <c r="CI213" s="526">
        <v>4.2300000000000004</v>
      </c>
      <c r="CJ213" s="526">
        <v>112.63</v>
      </c>
      <c r="CK213" s="522">
        <v>3125</v>
      </c>
      <c r="CL213" s="526">
        <v>131.61000000000001</v>
      </c>
      <c r="CM213" s="526">
        <v>76.67</v>
      </c>
      <c r="CN213" s="526">
        <v>108.39</v>
      </c>
      <c r="CO213" s="526">
        <v>233.98</v>
      </c>
      <c r="CP213" s="522">
        <v>54</v>
      </c>
      <c r="CQ213" s="526">
        <v>68.95</v>
      </c>
      <c r="CR213" s="526">
        <v>67.3</v>
      </c>
      <c r="CS213" s="526">
        <v>34.47</v>
      </c>
      <c r="CT213" s="526">
        <v>103.42</v>
      </c>
      <c r="CU213" s="522">
        <v>44</v>
      </c>
      <c r="CV213" s="526">
        <v>96.49</v>
      </c>
      <c r="CW213" s="526">
        <v>91.18</v>
      </c>
      <c r="CX213" s="526">
        <v>49.09</v>
      </c>
      <c r="CY213" s="526">
        <v>143.06</v>
      </c>
      <c r="CZ213" s="522">
        <v>488</v>
      </c>
      <c r="DA213" s="526">
        <v>108.3</v>
      </c>
      <c r="DB213" s="526">
        <v>103.71</v>
      </c>
      <c r="DC213" s="526">
        <v>53.81</v>
      </c>
      <c r="DD213" s="526">
        <v>158.94</v>
      </c>
      <c r="DE213" s="522">
        <v>34</v>
      </c>
      <c r="DF213" s="526">
        <v>120.84</v>
      </c>
      <c r="DG213" s="526">
        <v>137.18</v>
      </c>
      <c r="DH213" s="526">
        <v>34.56</v>
      </c>
      <c r="DI213" s="526">
        <v>155.4</v>
      </c>
      <c r="DJ213" s="522">
        <v>1</v>
      </c>
      <c r="DK213" s="526">
        <v>0</v>
      </c>
      <c r="DL213" s="526">
        <v>0</v>
      </c>
      <c r="DM213" s="526">
        <v>0</v>
      </c>
      <c r="DN213" s="526">
        <v>0</v>
      </c>
      <c r="DO213" s="522">
        <v>0</v>
      </c>
      <c r="DP213" s="526">
        <v>95.1</v>
      </c>
      <c r="DQ213" s="526">
        <v>90.16</v>
      </c>
      <c r="DR213" s="526">
        <v>48.15</v>
      </c>
      <c r="DS213" s="526">
        <v>140.96</v>
      </c>
      <c r="DT213" s="522">
        <v>567</v>
      </c>
      <c r="DU213" s="526">
        <v>98.28</v>
      </c>
      <c r="DV213" s="526">
        <v>89.23</v>
      </c>
      <c r="DW213" s="526">
        <v>53.35</v>
      </c>
      <c r="DX213" s="526">
        <v>149.05000000000001</v>
      </c>
      <c r="DY213" s="522">
        <v>621</v>
      </c>
      <c r="DZ213" s="526">
        <v>0</v>
      </c>
      <c r="EA213" s="526">
        <v>0</v>
      </c>
      <c r="EB213" s="526">
        <v>102.54</v>
      </c>
      <c r="EC213" s="522">
        <v>1</v>
      </c>
      <c r="ED213" s="526">
        <v>113.36</v>
      </c>
      <c r="EE213" s="522">
        <v>196</v>
      </c>
      <c r="EF213" s="526">
        <v>140.87</v>
      </c>
      <c r="EG213" s="522">
        <v>307</v>
      </c>
      <c r="EH213" s="526">
        <v>177.7</v>
      </c>
      <c r="EI213" s="522">
        <v>156</v>
      </c>
      <c r="EJ213" s="526">
        <v>222.35</v>
      </c>
      <c r="EK213" s="522">
        <v>23</v>
      </c>
      <c r="EL213" s="526">
        <v>169.12</v>
      </c>
      <c r="EM213" s="522">
        <v>1</v>
      </c>
      <c r="EN213" s="526">
        <v>0</v>
      </c>
      <c r="EO213" s="522">
        <v>0</v>
      </c>
      <c r="EP213" s="526">
        <v>144.11000000000001</v>
      </c>
      <c r="EQ213" s="522">
        <v>684</v>
      </c>
      <c r="ER213" s="526">
        <v>144.11000000000001</v>
      </c>
      <c r="ES213" s="522">
        <v>684</v>
      </c>
      <c r="ET213" s="526">
        <v>0</v>
      </c>
      <c r="EU213" s="526">
        <v>0</v>
      </c>
      <c r="EV213" s="526">
        <v>0</v>
      </c>
      <c r="EW213" s="522">
        <v>0</v>
      </c>
      <c r="EX213" s="526">
        <v>98.22</v>
      </c>
      <c r="EY213" s="522">
        <v>5</v>
      </c>
      <c r="EZ213" s="526">
        <v>0</v>
      </c>
      <c r="FA213" s="522">
        <v>0</v>
      </c>
      <c r="FB213" s="526">
        <v>0</v>
      </c>
      <c r="FC213" s="522">
        <v>0</v>
      </c>
      <c r="FD213" s="526">
        <v>0</v>
      </c>
      <c r="FE213" s="522">
        <v>0</v>
      </c>
      <c r="FF213" s="526">
        <v>98.22</v>
      </c>
      <c r="FG213" s="522">
        <v>5</v>
      </c>
      <c r="FH213" s="526">
        <v>98.22</v>
      </c>
      <c r="FI213" s="522">
        <v>5</v>
      </c>
      <c r="FJ213" s="522">
        <v>0</v>
      </c>
      <c r="FK213" s="522">
        <v>1</v>
      </c>
      <c r="FL213" s="522">
        <v>1</v>
      </c>
      <c r="FM213" s="522">
        <v>0</v>
      </c>
      <c r="FN213" s="522">
        <v>0</v>
      </c>
      <c r="FO213" s="522">
        <v>0</v>
      </c>
      <c r="FP213" s="522">
        <v>10</v>
      </c>
      <c r="FQ213" s="522">
        <v>22</v>
      </c>
      <c r="FR213" s="522">
        <v>1</v>
      </c>
    </row>
    <row r="214" spans="1:174" x14ac:dyDescent="0.25">
      <c r="A214" s="523" t="s">
        <v>678</v>
      </c>
      <c r="B214" s="523" t="s">
        <v>679</v>
      </c>
      <c r="C214" s="523" t="s">
        <v>289</v>
      </c>
      <c r="D214" s="522">
        <v>3756</v>
      </c>
      <c r="E214" s="522">
        <v>3699</v>
      </c>
      <c r="F214" s="522">
        <v>0</v>
      </c>
      <c r="G214" s="522">
        <v>0</v>
      </c>
      <c r="H214" s="522">
        <v>482</v>
      </c>
      <c r="I214" s="522">
        <v>367</v>
      </c>
      <c r="J214" s="522">
        <v>871</v>
      </c>
      <c r="K214" s="522">
        <v>871</v>
      </c>
      <c r="L214" s="522">
        <v>392</v>
      </c>
      <c r="M214" s="522">
        <v>11</v>
      </c>
      <c r="N214" s="522">
        <v>5501</v>
      </c>
      <c r="O214" s="522">
        <v>4948</v>
      </c>
      <c r="P214" s="522">
        <v>5109</v>
      </c>
      <c r="Q214" s="522">
        <v>3</v>
      </c>
      <c r="R214" s="523">
        <v>8</v>
      </c>
      <c r="S214" s="523">
        <v>24</v>
      </c>
      <c r="T214" s="523">
        <v>123</v>
      </c>
      <c r="U214" s="523">
        <v>5378</v>
      </c>
      <c r="V214" s="522">
        <v>3699</v>
      </c>
      <c r="W214" s="522">
        <v>30</v>
      </c>
      <c r="X214" s="522">
        <v>10</v>
      </c>
      <c r="Y214" s="522">
        <v>40</v>
      </c>
      <c r="Z214" s="524">
        <v>93.89</v>
      </c>
      <c r="AA214" s="524">
        <v>93.87</v>
      </c>
      <c r="AB214" s="524">
        <v>10.93</v>
      </c>
      <c r="AC214" s="524">
        <v>99.87</v>
      </c>
      <c r="AD214" s="524">
        <v>2804</v>
      </c>
      <c r="AE214" s="525">
        <v>109.47</v>
      </c>
      <c r="AF214" s="525">
        <v>87.73</v>
      </c>
      <c r="AG214" s="525">
        <v>58.17</v>
      </c>
      <c r="AH214" s="525">
        <v>165.15</v>
      </c>
      <c r="AI214" s="525">
        <v>1261</v>
      </c>
      <c r="AJ214" s="525">
        <v>115.15</v>
      </c>
      <c r="AK214" s="525">
        <v>855</v>
      </c>
      <c r="AL214" s="525">
        <v>201.18</v>
      </c>
      <c r="AM214" s="525">
        <v>53</v>
      </c>
      <c r="AN214" s="526">
        <v>0</v>
      </c>
      <c r="AO214" s="526">
        <v>0</v>
      </c>
      <c r="AP214" s="526">
        <v>0</v>
      </c>
      <c r="AQ214" s="526">
        <v>0</v>
      </c>
      <c r="AR214" s="522">
        <v>0</v>
      </c>
      <c r="AS214" s="526">
        <v>67.2</v>
      </c>
      <c r="AT214" s="526">
        <v>66.48</v>
      </c>
      <c r="AU214" s="526">
        <v>7.37</v>
      </c>
      <c r="AV214" s="526">
        <v>74.569999999999993</v>
      </c>
      <c r="AW214" s="522">
        <v>1</v>
      </c>
      <c r="AX214" s="526">
        <v>79.930000000000007</v>
      </c>
      <c r="AY214" s="526">
        <v>80.09</v>
      </c>
      <c r="AZ214" s="526">
        <v>11.09</v>
      </c>
      <c r="BA214" s="526">
        <v>90.27</v>
      </c>
      <c r="BB214" s="522">
        <v>693</v>
      </c>
      <c r="BC214" s="526">
        <v>93.43</v>
      </c>
      <c r="BD214" s="526">
        <v>93.41</v>
      </c>
      <c r="BE214" s="526">
        <v>12.65</v>
      </c>
      <c r="BF214" s="526">
        <v>100.4</v>
      </c>
      <c r="BG214" s="522">
        <v>1224</v>
      </c>
      <c r="BH214" s="526">
        <v>104.08</v>
      </c>
      <c r="BI214" s="526">
        <v>104</v>
      </c>
      <c r="BJ214" s="526">
        <v>5.15</v>
      </c>
      <c r="BK214" s="526">
        <v>105.29</v>
      </c>
      <c r="BL214" s="522">
        <v>794</v>
      </c>
      <c r="BM214" s="526">
        <v>116.99</v>
      </c>
      <c r="BN214" s="526">
        <v>117.31</v>
      </c>
      <c r="BO214" s="526">
        <v>4.26</v>
      </c>
      <c r="BP214" s="526">
        <v>118.29</v>
      </c>
      <c r="BQ214" s="522">
        <v>85</v>
      </c>
      <c r="BR214" s="526">
        <v>124.45</v>
      </c>
      <c r="BS214" s="526">
        <v>125.34</v>
      </c>
      <c r="BT214" s="526">
        <v>0</v>
      </c>
      <c r="BU214" s="526">
        <v>124.45</v>
      </c>
      <c r="BV214" s="522">
        <v>7</v>
      </c>
      <c r="BW214" s="526">
        <v>0</v>
      </c>
      <c r="BX214" s="526">
        <v>0</v>
      </c>
      <c r="BY214" s="526">
        <v>0</v>
      </c>
      <c r="BZ214" s="526">
        <v>0</v>
      </c>
      <c r="CA214" s="522">
        <v>0</v>
      </c>
      <c r="CB214" s="526">
        <v>93.89</v>
      </c>
      <c r="CC214" s="526">
        <v>93.87</v>
      </c>
      <c r="CD214" s="526">
        <v>10.93</v>
      </c>
      <c r="CE214" s="526">
        <v>99.87</v>
      </c>
      <c r="CF214" s="522">
        <v>2804</v>
      </c>
      <c r="CG214" s="526">
        <v>93.89</v>
      </c>
      <c r="CH214" s="526">
        <v>93.87</v>
      </c>
      <c r="CI214" s="526">
        <v>10.93</v>
      </c>
      <c r="CJ214" s="526">
        <v>99.87</v>
      </c>
      <c r="CK214" s="522">
        <v>2804</v>
      </c>
      <c r="CL214" s="526">
        <v>164.82</v>
      </c>
      <c r="CM214" s="526">
        <v>75.2</v>
      </c>
      <c r="CN214" s="526">
        <v>56.68</v>
      </c>
      <c r="CO214" s="526">
        <v>221.5</v>
      </c>
      <c r="CP214" s="522">
        <v>182</v>
      </c>
      <c r="CQ214" s="526">
        <v>80.36</v>
      </c>
      <c r="CR214" s="526">
        <v>75.59</v>
      </c>
      <c r="CS214" s="526">
        <v>128.26</v>
      </c>
      <c r="CT214" s="526">
        <v>208.62</v>
      </c>
      <c r="CU214" s="522">
        <v>76</v>
      </c>
      <c r="CV214" s="526">
        <v>101.16</v>
      </c>
      <c r="CW214" s="526">
        <v>87.55</v>
      </c>
      <c r="CX214" s="526">
        <v>51.33</v>
      </c>
      <c r="CY214" s="526">
        <v>151.85</v>
      </c>
      <c r="CZ214" s="522">
        <v>640</v>
      </c>
      <c r="DA214" s="526">
        <v>99.66</v>
      </c>
      <c r="DB214" s="526">
        <v>92.97</v>
      </c>
      <c r="DC214" s="526">
        <v>50.98</v>
      </c>
      <c r="DD214" s="526">
        <v>143.72</v>
      </c>
      <c r="DE214" s="522">
        <v>339</v>
      </c>
      <c r="DF214" s="526">
        <v>139.47</v>
      </c>
      <c r="DG214" s="526">
        <v>114.45</v>
      </c>
      <c r="DH214" s="526">
        <v>115.27</v>
      </c>
      <c r="DI214" s="526">
        <v>254.74</v>
      </c>
      <c r="DJ214" s="522">
        <v>23</v>
      </c>
      <c r="DK214" s="526">
        <v>200.6</v>
      </c>
      <c r="DL214" s="526">
        <v>0</v>
      </c>
      <c r="DM214" s="526">
        <v>121.71</v>
      </c>
      <c r="DN214" s="526">
        <v>322.31</v>
      </c>
      <c r="DO214" s="522">
        <v>1</v>
      </c>
      <c r="DP214" s="526">
        <v>100.13</v>
      </c>
      <c r="DQ214" s="526">
        <v>88.6</v>
      </c>
      <c r="DR214" s="526">
        <v>58.44</v>
      </c>
      <c r="DS214" s="526">
        <v>155.65</v>
      </c>
      <c r="DT214" s="522">
        <v>1079</v>
      </c>
      <c r="DU214" s="526">
        <v>109.47</v>
      </c>
      <c r="DV214" s="526">
        <v>87.73</v>
      </c>
      <c r="DW214" s="526">
        <v>58.17</v>
      </c>
      <c r="DX214" s="526">
        <v>165.15</v>
      </c>
      <c r="DY214" s="522">
        <v>1261</v>
      </c>
      <c r="DZ214" s="526">
        <v>0</v>
      </c>
      <c r="EA214" s="526">
        <v>0</v>
      </c>
      <c r="EB214" s="526">
        <v>0</v>
      </c>
      <c r="EC214" s="522">
        <v>0</v>
      </c>
      <c r="ED214" s="526">
        <v>91.47</v>
      </c>
      <c r="EE214" s="522">
        <v>87</v>
      </c>
      <c r="EF214" s="526">
        <v>113.13</v>
      </c>
      <c r="EG214" s="522">
        <v>503</v>
      </c>
      <c r="EH214" s="526">
        <v>124.17</v>
      </c>
      <c r="EI214" s="522">
        <v>236</v>
      </c>
      <c r="EJ214" s="526">
        <v>147.88999999999999</v>
      </c>
      <c r="EK214" s="522">
        <v>29</v>
      </c>
      <c r="EL214" s="526">
        <v>0</v>
      </c>
      <c r="EM214" s="522">
        <v>0</v>
      </c>
      <c r="EN214" s="526">
        <v>0</v>
      </c>
      <c r="EO214" s="522">
        <v>0</v>
      </c>
      <c r="EP214" s="526">
        <v>115.15</v>
      </c>
      <c r="EQ214" s="522">
        <v>855</v>
      </c>
      <c r="ER214" s="526">
        <v>115.15</v>
      </c>
      <c r="ES214" s="522">
        <v>855</v>
      </c>
      <c r="ET214" s="526">
        <v>0</v>
      </c>
      <c r="EU214" s="526">
        <v>0</v>
      </c>
      <c r="EV214" s="526">
        <v>0</v>
      </c>
      <c r="EW214" s="522">
        <v>0</v>
      </c>
      <c r="EX214" s="526">
        <v>224.51</v>
      </c>
      <c r="EY214" s="522">
        <v>29</v>
      </c>
      <c r="EZ214" s="526">
        <v>173</v>
      </c>
      <c r="FA214" s="522">
        <v>24</v>
      </c>
      <c r="FB214" s="526">
        <v>0</v>
      </c>
      <c r="FC214" s="522">
        <v>0</v>
      </c>
      <c r="FD214" s="526">
        <v>0</v>
      </c>
      <c r="FE214" s="522">
        <v>0</v>
      </c>
      <c r="FF214" s="526">
        <v>201.18</v>
      </c>
      <c r="FG214" s="522">
        <v>53</v>
      </c>
      <c r="FH214" s="526">
        <v>201.18</v>
      </c>
      <c r="FI214" s="522">
        <v>53</v>
      </c>
      <c r="FJ214" s="522">
        <v>0</v>
      </c>
      <c r="FK214" s="522">
        <v>0</v>
      </c>
      <c r="FL214" s="522">
        <v>0</v>
      </c>
      <c r="FM214" s="522">
        <v>0</v>
      </c>
      <c r="FN214" s="522">
        <v>0</v>
      </c>
      <c r="FO214" s="522">
        <v>0</v>
      </c>
      <c r="FP214" s="522">
        <v>10</v>
      </c>
      <c r="FQ214" s="522">
        <v>43</v>
      </c>
      <c r="FR214" s="522">
        <v>4</v>
      </c>
    </row>
    <row r="215" spans="1:174" x14ac:dyDescent="0.25">
      <c r="A215" s="523" t="s">
        <v>680</v>
      </c>
      <c r="B215" s="523" t="s">
        <v>681</v>
      </c>
      <c r="C215" s="523" t="s">
        <v>288</v>
      </c>
      <c r="D215" s="522">
        <v>2977</v>
      </c>
      <c r="E215" s="522">
        <v>2928</v>
      </c>
      <c r="F215" s="522">
        <v>0</v>
      </c>
      <c r="G215" s="522">
        <v>0</v>
      </c>
      <c r="H215" s="522">
        <v>57</v>
      </c>
      <c r="I215" s="522">
        <v>35</v>
      </c>
      <c r="J215" s="522">
        <v>235</v>
      </c>
      <c r="K215" s="522">
        <v>213</v>
      </c>
      <c r="L215" s="522">
        <v>783</v>
      </c>
      <c r="M215" s="522">
        <v>226</v>
      </c>
      <c r="N215" s="522">
        <v>4052</v>
      </c>
      <c r="O215" s="522">
        <v>3402</v>
      </c>
      <c r="P215" s="522">
        <v>3269</v>
      </c>
      <c r="Q215" s="522">
        <v>6</v>
      </c>
      <c r="R215" s="523">
        <v>6</v>
      </c>
      <c r="S215" s="523">
        <v>26</v>
      </c>
      <c r="T215" s="523">
        <v>89</v>
      </c>
      <c r="U215" s="523">
        <v>3963</v>
      </c>
      <c r="V215" s="522">
        <v>2928</v>
      </c>
      <c r="W215" s="522">
        <v>24</v>
      </c>
      <c r="X215" s="522">
        <v>40</v>
      </c>
      <c r="Y215" s="522">
        <v>64</v>
      </c>
      <c r="Z215" s="524">
        <v>114.17</v>
      </c>
      <c r="AA215" s="524">
        <v>116.2</v>
      </c>
      <c r="AB215" s="524">
        <v>7.02</v>
      </c>
      <c r="AC215" s="524">
        <v>119.58</v>
      </c>
      <c r="AD215" s="524">
        <v>2508</v>
      </c>
      <c r="AE215" s="525">
        <v>120.14</v>
      </c>
      <c r="AF215" s="525">
        <v>105.9</v>
      </c>
      <c r="AG215" s="525">
        <v>56.59</v>
      </c>
      <c r="AH215" s="525">
        <v>172.92</v>
      </c>
      <c r="AI215" s="525">
        <v>252</v>
      </c>
      <c r="AJ215" s="525">
        <v>147.77000000000001</v>
      </c>
      <c r="AK215" s="525">
        <v>418</v>
      </c>
      <c r="AL215" s="525">
        <v>0</v>
      </c>
      <c r="AM215" s="525">
        <v>0</v>
      </c>
      <c r="AN215" s="526">
        <v>0</v>
      </c>
      <c r="AO215" s="526">
        <v>0</v>
      </c>
      <c r="AP215" s="526">
        <v>0</v>
      </c>
      <c r="AQ215" s="526">
        <v>0</v>
      </c>
      <c r="AR215" s="522">
        <v>0</v>
      </c>
      <c r="AS215" s="526">
        <v>76.5</v>
      </c>
      <c r="AT215" s="526">
        <v>75.77</v>
      </c>
      <c r="AU215" s="526">
        <v>10.55</v>
      </c>
      <c r="AV215" s="526">
        <v>86.8</v>
      </c>
      <c r="AW215" s="522">
        <v>43</v>
      </c>
      <c r="AX215" s="526">
        <v>93.28</v>
      </c>
      <c r="AY215" s="526">
        <v>94.1</v>
      </c>
      <c r="AZ215" s="526">
        <v>13.79</v>
      </c>
      <c r="BA215" s="526">
        <v>106.07</v>
      </c>
      <c r="BB215" s="522">
        <v>369</v>
      </c>
      <c r="BC215" s="526">
        <v>112.63</v>
      </c>
      <c r="BD215" s="526">
        <v>113.81</v>
      </c>
      <c r="BE215" s="526">
        <v>7.24</v>
      </c>
      <c r="BF215" s="526">
        <v>118.2</v>
      </c>
      <c r="BG215" s="522">
        <v>1071</v>
      </c>
      <c r="BH215" s="526">
        <v>122.93</v>
      </c>
      <c r="BI215" s="526">
        <v>126.59</v>
      </c>
      <c r="BJ215" s="526">
        <v>3.43</v>
      </c>
      <c r="BK215" s="526">
        <v>125.37</v>
      </c>
      <c r="BL215" s="522">
        <v>941</v>
      </c>
      <c r="BM215" s="526">
        <v>146.25</v>
      </c>
      <c r="BN215" s="526">
        <v>147.38</v>
      </c>
      <c r="BO215" s="526">
        <v>2.87</v>
      </c>
      <c r="BP215" s="526">
        <v>148.15</v>
      </c>
      <c r="BQ215" s="522">
        <v>83</v>
      </c>
      <c r="BR215" s="526">
        <v>173.94</v>
      </c>
      <c r="BS215" s="526">
        <v>172.02</v>
      </c>
      <c r="BT215" s="526">
        <v>0.56999999999999995</v>
      </c>
      <c r="BU215" s="526">
        <v>174.51</v>
      </c>
      <c r="BV215" s="522">
        <v>1</v>
      </c>
      <c r="BW215" s="526">
        <v>0</v>
      </c>
      <c r="BX215" s="526">
        <v>0</v>
      </c>
      <c r="BY215" s="526">
        <v>0</v>
      </c>
      <c r="BZ215" s="526">
        <v>0</v>
      </c>
      <c r="CA215" s="522">
        <v>0</v>
      </c>
      <c r="CB215" s="526">
        <v>114.17</v>
      </c>
      <c r="CC215" s="526">
        <v>116.2</v>
      </c>
      <c r="CD215" s="526">
        <v>7.02</v>
      </c>
      <c r="CE215" s="526">
        <v>119.58</v>
      </c>
      <c r="CF215" s="522">
        <v>2508</v>
      </c>
      <c r="CG215" s="526">
        <v>114.17</v>
      </c>
      <c r="CH215" s="526">
        <v>116.2</v>
      </c>
      <c r="CI215" s="526">
        <v>7.02</v>
      </c>
      <c r="CJ215" s="526">
        <v>119.58</v>
      </c>
      <c r="CK215" s="522">
        <v>2508</v>
      </c>
      <c r="CL215" s="526">
        <v>98.52</v>
      </c>
      <c r="CM215" s="526">
        <v>73.13</v>
      </c>
      <c r="CN215" s="526">
        <v>107.06</v>
      </c>
      <c r="CO215" s="526">
        <v>154.87</v>
      </c>
      <c r="CP215" s="522">
        <v>19</v>
      </c>
      <c r="CQ215" s="526">
        <v>77.86</v>
      </c>
      <c r="CR215" s="526">
        <v>75.89</v>
      </c>
      <c r="CS215" s="526">
        <v>50.67</v>
      </c>
      <c r="CT215" s="526">
        <v>116.83</v>
      </c>
      <c r="CU215" s="522">
        <v>13</v>
      </c>
      <c r="CV215" s="526">
        <v>109.85</v>
      </c>
      <c r="CW215" s="526">
        <v>92.05</v>
      </c>
      <c r="CX215" s="526">
        <v>44.86</v>
      </c>
      <c r="CY215" s="526">
        <v>153.32</v>
      </c>
      <c r="CZ215" s="522">
        <v>128</v>
      </c>
      <c r="DA215" s="526">
        <v>144.9</v>
      </c>
      <c r="DB215" s="526">
        <v>133.1</v>
      </c>
      <c r="DC215" s="526">
        <v>67.67</v>
      </c>
      <c r="DD215" s="526">
        <v>211.84</v>
      </c>
      <c r="DE215" s="522">
        <v>92</v>
      </c>
      <c r="DF215" s="526">
        <v>0</v>
      </c>
      <c r="DG215" s="526">
        <v>0</v>
      </c>
      <c r="DH215" s="526">
        <v>0</v>
      </c>
      <c r="DI215" s="526">
        <v>0</v>
      </c>
      <c r="DJ215" s="522">
        <v>0</v>
      </c>
      <c r="DK215" s="526">
        <v>0</v>
      </c>
      <c r="DL215" s="526">
        <v>0</v>
      </c>
      <c r="DM215" s="526">
        <v>0</v>
      </c>
      <c r="DN215" s="526">
        <v>0</v>
      </c>
      <c r="DO215" s="522">
        <v>0</v>
      </c>
      <c r="DP215" s="526">
        <v>121.91</v>
      </c>
      <c r="DQ215" s="526">
        <v>108.11</v>
      </c>
      <c r="DR215" s="526">
        <v>54.35</v>
      </c>
      <c r="DS215" s="526">
        <v>174.39</v>
      </c>
      <c r="DT215" s="522">
        <v>233</v>
      </c>
      <c r="DU215" s="526">
        <v>120.14</v>
      </c>
      <c r="DV215" s="526">
        <v>105.9</v>
      </c>
      <c r="DW215" s="526">
        <v>56.59</v>
      </c>
      <c r="DX215" s="526">
        <v>172.92</v>
      </c>
      <c r="DY215" s="522">
        <v>252</v>
      </c>
      <c r="DZ215" s="526">
        <v>0</v>
      </c>
      <c r="EA215" s="526">
        <v>0</v>
      </c>
      <c r="EB215" s="526">
        <v>104.58</v>
      </c>
      <c r="EC215" s="522">
        <v>1</v>
      </c>
      <c r="ED215" s="526">
        <v>115.83</v>
      </c>
      <c r="EE215" s="522">
        <v>49</v>
      </c>
      <c r="EF215" s="526">
        <v>140.93</v>
      </c>
      <c r="EG215" s="522">
        <v>235</v>
      </c>
      <c r="EH215" s="526">
        <v>167.6</v>
      </c>
      <c r="EI215" s="522">
        <v>125</v>
      </c>
      <c r="EJ215" s="526">
        <v>239.82</v>
      </c>
      <c r="EK215" s="522">
        <v>8</v>
      </c>
      <c r="EL215" s="526">
        <v>0</v>
      </c>
      <c r="EM215" s="522">
        <v>0</v>
      </c>
      <c r="EN215" s="526">
        <v>0</v>
      </c>
      <c r="EO215" s="522">
        <v>0</v>
      </c>
      <c r="EP215" s="526">
        <v>147.77000000000001</v>
      </c>
      <c r="EQ215" s="522">
        <v>418</v>
      </c>
      <c r="ER215" s="526">
        <v>147.77000000000001</v>
      </c>
      <c r="ES215" s="522">
        <v>418</v>
      </c>
      <c r="ET215" s="526">
        <v>0</v>
      </c>
      <c r="EU215" s="526">
        <v>0</v>
      </c>
      <c r="EV215" s="526">
        <v>0</v>
      </c>
      <c r="EW215" s="522">
        <v>0</v>
      </c>
      <c r="EX215" s="526">
        <v>0</v>
      </c>
      <c r="EY215" s="522">
        <v>0</v>
      </c>
      <c r="EZ215" s="526">
        <v>0</v>
      </c>
      <c r="FA215" s="522">
        <v>0</v>
      </c>
      <c r="FB215" s="526">
        <v>0</v>
      </c>
      <c r="FC215" s="522">
        <v>0</v>
      </c>
      <c r="FD215" s="526">
        <v>0</v>
      </c>
      <c r="FE215" s="522">
        <v>0</v>
      </c>
      <c r="FF215" s="526">
        <v>0</v>
      </c>
      <c r="FG215" s="522">
        <v>0</v>
      </c>
      <c r="FH215" s="526">
        <v>0</v>
      </c>
      <c r="FI215" s="522">
        <v>0</v>
      </c>
      <c r="FJ215" s="522">
        <v>0</v>
      </c>
      <c r="FK215" s="522">
        <v>1</v>
      </c>
      <c r="FL215" s="522">
        <v>1</v>
      </c>
      <c r="FM215" s="522">
        <v>0</v>
      </c>
      <c r="FN215" s="522">
        <v>0</v>
      </c>
      <c r="FO215" s="522">
        <v>0</v>
      </c>
      <c r="FP215" s="522">
        <v>0</v>
      </c>
      <c r="FQ215" s="522">
        <v>41</v>
      </c>
      <c r="FR215" s="522">
        <v>6</v>
      </c>
    </row>
    <row r="216" spans="1:174" x14ac:dyDescent="0.25">
      <c r="A216" s="523" t="s">
        <v>682</v>
      </c>
      <c r="B216" s="523" t="s">
        <v>683</v>
      </c>
      <c r="C216" s="523" t="s">
        <v>2</v>
      </c>
      <c r="D216" s="522">
        <v>1460</v>
      </c>
      <c r="E216" s="522">
        <v>1447</v>
      </c>
      <c r="F216" s="522">
        <v>288</v>
      </c>
      <c r="G216" s="522">
        <v>288</v>
      </c>
      <c r="H216" s="522">
        <v>98</v>
      </c>
      <c r="I216" s="522">
        <v>35</v>
      </c>
      <c r="J216" s="522">
        <v>286</v>
      </c>
      <c r="K216" s="522">
        <v>286</v>
      </c>
      <c r="L216" s="522">
        <v>414</v>
      </c>
      <c r="M216" s="522">
        <v>28</v>
      </c>
      <c r="N216" s="522">
        <v>2546</v>
      </c>
      <c r="O216" s="522">
        <v>2084</v>
      </c>
      <c r="P216" s="522">
        <v>2132</v>
      </c>
      <c r="Q216" s="522">
        <v>0</v>
      </c>
      <c r="R216" s="523">
        <v>5</v>
      </c>
      <c r="S216" s="523">
        <v>20</v>
      </c>
      <c r="T216" s="523">
        <v>83</v>
      </c>
      <c r="U216" s="523">
        <v>2463</v>
      </c>
      <c r="V216" s="522">
        <v>1440</v>
      </c>
      <c r="W216" s="522">
        <v>6</v>
      </c>
      <c r="X216" s="522">
        <v>12</v>
      </c>
      <c r="Y216" s="522">
        <v>18</v>
      </c>
      <c r="Z216" s="524">
        <v>137.53</v>
      </c>
      <c r="AA216" s="524">
        <v>139.36000000000001</v>
      </c>
      <c r="AB216" s="524">
        <v>15.37</v>
      </c>
      <c r="AC216" s="524">
        <v>149.47999999999999</v>
      </c>
      <c r="AD216" s="524">
        <v>899</v>
      </c>
      <c r="AE216" s="525">
        <v>130.78</v>
      </c>
      <c r="AF216" s="525">
        <v>123.79</v>
      </c>
      <c r="AG216" s="525">
        <v>37.74</v>
      </c>
      <c r="AH216" s="525">
        <v>167.56</v>
      </c>
      <c r="AI216" s="525">
        <v>311</v>
      </c>
      <c r="AJ216" s="525">
        <v>228.19</v>
      </c>
      <c r="AK216" s="525">
        <v>389</v>
      </c>
      <c r="AL216" s="525">
        <v>186.58</v>
      </c>
      <c r="AM216" s="525">
        <v>39</v>
      </c>
      <c r="AN216" s="526">
        <v>0</v>
      </c>
      <c r="AO216" s="526">
        <v>0</v>
      </c>
      <c r="AP216" s="526">
        <v>0</v>
      </c>
      <c r="AQ216" s="526">
        <v>0</v>
      </c>
      <c r="AR216" s="522">
        <v>0</v>
      </c>
      <c r="AS216" s="526">
        <v>94.14</v>
      </c>
      <c r="AT216" s="526">
        <v>93.92</v>
      </c>
      <c r="AU216" s="526">
        <v>21.45</v>
      </c>
      <c r="AV216" s="526">
        <v>115.59</v>
      </c>
      <c r="AW216" s="522">
        <v>8</v>
      </c>
      <c r="AX216" s="526">
        <v>116.45</v>
      </c>
      <c r="AY216" s="526">
        <v>115.97</v>
      </c>
      <c r="AZ216" s="526">
        <v>17.09</v>
      </c>
      <c r="BA216" s="526">
        <v>131.53</v>
      </c>
      <c r="BB216" s="522">
        <v>256</v>
      </c>
      <c r="BC216" s="526">
        <v>139.81</v>
      </c>
      <c r="BD216" s="526">
        <v>142.69999999999999</v>
      </c>
      <c r="BE216" s="526">
        <v>18.11</v>
      </c>
      <c r="BF216" s="526">
        <v>154.55000000000001</v>
      </c>
      <c r="BG216" s="522">
        <v>393</v>
      </c>
      <c r="BH216" s="526">
        <v>156.82</v>
      </c>
      <c r="BI216" s="526">
        <v>161.03</v>
      </c>
      <c r="BJ216" s="526">
        <v>6.14</v>
      </c>
      <c r="BK216" s="526">
        <v>160.49</v>
      </c>
      <c r="BL216" s="522">
        <v>226</v>
      </c>
      <c r="BM216" s="526">
        <v>167.87</v>
      </c>
      <c r="BN216" s="526">
        <v>169.89</v>
      </c>
      <c r="BO216" s="526">
        <v>8.56</v>
      </c>
      <c r="BP216" s="526">
        <v>173.22</v>
      </c>
      <c r="BQ216" s="522">
        <v>16</v>
      </c>
      <c r="BR216" s="526">
        <v>0</v>
      </c>
      <c r="BS216" s="526">
        <v>0</v>
      </c>
      <c r="BT216" s="526">
        <v>0</v>
      </c>
      <c r="BU216" s="526">
        <v>0</v>
      </c>
      <c r="BV216" s="522">
        <v>0</v>
      </c>
      <c r="BW216" s="526">
        <v>0</v>
      </c>
      <c r="BX216" s="526">
        <v>0</v>
      </c>
      <c r="BY216" s="526">
        <v>0</v>
      </c>
      <c r="BZ216" s="526">
        <v>0</v>
      </c>
      <c r="CA216" s="522">
        <v>0</v>
      </c>
      <c r="CB216" s="526">
        <v>137.53</v>
      </c>
      <c r="CC216" s="526">
        <v>139.36000000000001</v>
      </c>
      <c r="CD216" s="526">
        <v>15.37</v>
      </c>
      <c r="CE216" s="526">
        <v>149.47999999999999</v>
      </c>
      <c r="CF216" s="522">
        <v>899</v>
      </c>
      <c r="CG216" s="526">
        <v>137.53</v>
      </c>
      <c r="CH216" s="526">
        <v>139.36000000000001</v>
      </c>
      <c r="CI216" s="526">
        <v>15.37</v>
      </c>
      <c r="CJ216" s="526">
        <v>149.47999999999999</v>
      </c>
      <c r="CK216" s="522">
        <v>899</v>
      </c>
      <c r="CL216" s="526">
        <v>120.87</v>
      </c>
      <c r="CM216" s="526">
        <v>109.66</v>
      </c>
      <c r="CN216" s="526">
        <v>96.23</v>
      </c>
      <c r="CO216" s="526">
        <v>177.48</v>
      </c>
      <c r="CP216" s="522">
        <v>17</v>
      </c>
      <c r="CQ216" s="526">
        <v>94.39</v>
      </c>
      <c r="CR216" s="526">
        <v>93.92</v>
      </c>
      <c r="CS216" s="526">
        <v>32.82</v>
      </c>
      <c r="CT216" s="526">
        <v>127.21</v>
      </c>
      <c r="CU216" s="522">
        <v>21</v>
      </c>
      <c r="CV216" s="526">
        <v>133.59</v>
      </c>
      <c r="CW216" s="526">
        <v>126.24</v>
      </c>
      <c r="CX216" s="526">
        <v>36.32</v>
      </c>
      <c r="CY216" s="526">
        <v>169.91</v>
      </c>
      <c r="CZ216" s="522">
        <v>255</v>
      </c>
      <c r="DA216" s="526">
        <v>142.81</v>
      </c>
      <c r="DB216" s="526">
        <v>135.77000000000001</v>
      </c>
      <c r="DC216" s="526">
        <v>30.81</v>
      </c>
      <c r="DD216" s="526">
        <v>171.91</v>
      </c>
      <c r="DE216" s="522">
        <v>18</v>
      </c>
      <c r="DF216" s="526">
        <v>0</v>
      </c>
      <c r="DG216" s="526">
        <v>0</v>
      </c>
      <c r="DH216" s="526">
        <v>0</v>
      </c>
      <c r="DI216" s="526">
        <v>0</v>
      </c>
      <c r="DJ216" s="522">
        <v>0</v>
      </c>
      <c r="DK216" s="526">
        <v>0</v>
      </c>
      <c r="DL216" s="526">
        <v>0</v>
      </c>
      <c r="DM216" s="526">
        <v>0</v>
      </c>
      <c r="DN216" s="526">
        <v>0</v>
      </c>
      <c r="DO216" s="522">
        <v>0</v>
      </c>
      <c r="DP216" s="526">
        <v>131.36000000000001</v>
      </c>
      <c r="DQ216" s="526">
        <v>124.51</v>
      </c>
      <c r="DR216" s="526">
        <v>35.75</v>
      </c>
      <c r="DS216" s="526">
        <v>166.98</v>
      </c>
      <c r="DT216" s="522">
        <v>294</v>
      </c>
      <c r="DU216" s="526">
        <v>130.78</v>
      </c>
      <c r="DV216" s="526">
        <v>123.79</v>
      </c>
      <c r="DW216" s="526">
        <v>37.74</v>
      </c>
      <c r="DX216" s="526">
        <v>167.56</v>
      </c>
      <c r="DY216" s="522">
        <v>311</v>
      </c>
      <c r="DZ216" s="526">
        <v>0</v>
      </c>
      <c r="EA216" s="526">
        <v>0</v>
      </c>
      <c r="EB216" s="526">
        <v>0</v>
      </c>
      <c r="EC216" s="522">
        <v>0</v>
      </c>
      <c r="ED216" s="526">
        <v>182.91</v>
      </c>
      <c r="EE216" s="522">
        <v>96</v>
      </c>
      <c r="EF216" s="526">
        <v>237.85</v>
      </c>
      <c r="EG216" s="522">
        <v>249</v>
      </c>
      <c r="EH216" s="526">
        <v>264.91000000000003</v>
      </c>
      <c r="EI216" s="522">
        <v>36</v>
      </c>
      <c r="EJ216" s="526">
        <v>305.70999999999998</v>
      </c>
      <c r="EK216" s="522">
        <v>8</v>
      </c>
      <c r="EL216" s="526">
        <v>0</v>
      </c>
      <c r="EM216" s="522">
        <v>0</v>
      </c>
      <c r="EN216" s="526">
        <v>0</v>
      </c>
      <c r="EO216" s="522">
        <v>0</v>
      </c>
      <c r="EP216" s="526">
        <v>228.19</v>
      </c>
      <c r="EQ216" s="522">
        <v>389</v>
      </c>
      <c r="ER216" s="526">
        <v>228.19</v>
      </c>
      <c r="ES216" s="522">
        <v>389</v>
      </c>
      <c r="ET216" s="526">
        <v>0</v>
      </c>
      <c r="EU216" s="526">
        <v>0</v>
      </c>
      <c r="EV216" s="526">
        <v>0</v>
      </c>
      <c r="EW216" s="522">
        <v>0</v>
      </c>
      <c r="EX216" s="526">
        <v>183.24</v>
      </c>
      <c r="EY216" s="522">
        <v>37</v>
      </c>
      <c r="EZ216" s="526">
        <v>248.36</v>
      </c>
      <c r="FA216" s="522">
        <v>2</v>
      </c>
      <c r="FB216" s="526">
        <v>0</v>
      </c>
      <c r="FC216" s="522">
        <v>0</v>
      </c>
      <c r="FD216" s="526">
        <v>0</v>
      </c>
      <c r="FE216" s="522">
        <v>0</v>
      </c>
      <c r="FF216" s="526">
        <v>186.58</v>
      </c>
      <c r="FG216" s="522">
        <v>39</v>
      </c>
      <c r="FH216" s="526">
        <v>186.58</v>
      </c>
      <c r="FI216" s="522">
        <v>39</v>
      </c>
      <c r="FJ216" s="522">
        <v>0</v>
      </c>
      <c r="FK216" s="522">
        <v>0</v>
      </c>
      <c r="FL216" s="522">
        <v>0</v>
      </c>
      <c r="FM216" s="522">
        <v>0</v>
      </c>
      <c r="FN216" s="522">
        <v>0</v>
      </c>
      <c r="FO216" s="522">
        <v>0</v>
      </c>
      <c r="FP216" s="522">
        <v>0</v>
      </c>
      <c r="FQ216" s="522">
        <v>5</v>
      </c>
      <c r="FR216" s="522">
        <v>8</v>
      </c>
    </row>
    <row r="217" spans="1:174" x14ac:dyDescent="0.25">
      <c r="A217" s="523" t="s">
        <v>684</v>
      </c>
      <c r="B217" s="523" t="s">
        <v>685</v>
      </c>
      <c r="C217" s="523" t="s">
        <v>282</v>
      </c>
      <c r="D217" s="522">
        <v>3552</v>
      </c>
      <c r="E217" s="522">
        <v>3522</v>
      </c>
      <c r="F217" s="522">
        <v>0</v>
      </c>
      <c r="G217" s="522">
        <v>0</v>
      </c>
      <c r="H217" s="522">
        <v>126</v>
      </c>
      <c r="I217" s="522">
        <v>104</v>
      </c>
      <c r="J217" s="522">
        <v>1359</v>
      </c>
      <c r="K217" s="522">
        <v>1359</v>
      </c>
      <c r="L217" s="522">
        <v>833</v>
      </c>
      <c r="M217" s="522">
        <v>0</v>
      </c>
      <c r="N217" s="522">
        <v>5870</v>
      </c>
      <c r="O217" s="522">
        <v>4985</v>
      </c>
      <c r="P217" s="522">
        <v>5037</v>
      </c>
      <c r="Q217" s="522">
        <v>0</v>
      </c>
      <c r="R217" s="523">
        <v>4</v>
      </c>
      <c r="S217" s="523">
        <v>30</v>
      </c>
      <c r="T217" s="523">
        <v>19</v>
      </c>
      <c r="U217" s="523">
        <v>5851</v>
      </c>
      <c r="V217" s="522">
        <v>3552</v>
      </c>
      <c r="W217" s="522">
        <v>39</v>
      </c>
      <c r="X217" s="522">
        <v>16</v>
      </c>
      <c r="Y217" s="522">
        <v>55</v>
      </c>
      <c r="Z217" s="524">
        <v>110.77</v>
      </c>
      <c r="AA217" s="524">
        <v>113.97</v>
      </c>
      <c r="AB217" s="524">
        <v>5.62</v>
      </c>
      <c r="AC217" s="524">
        <v>113.24</v>
      </c>
      <c r="AD217" s="524">
        <v>2895</v>
      </c>
      <c r="AE217" s="525">
        <v>110.02</v>
      </c>
      <c r="AF217" s="525">
        <v>100.07</v>
      </c>
      <c r="AG217" s="525">
        <v>25.61</v>
      </c>
      <c r="AH217" s="525">
        <v>135.22999999999999</v>
      </c>
      <c r="AI217" s="525">
        <v>1457</v>
      </c>
      <c r="AJ217" s="525">
        <v>136.53</v>
      </c>
      <c r="AK217" s="525">
        <v>649</v>
      </c>
      <c r="AL217" s="525">
        <v>141.9</v>
      </c>
      <c r="AM217" s="525">
        <v>9</v>
      </c>
      <c r="AN217" s="526">
        <v>0</v>
      </c>
      <c r="AO217" s="526">
        <v>0</v>
      </c>
      <c r="AP217" s="526">
        <v>0</v>
      </c>
      <c r="AQ217" s="526">
        <v>0</v>
      </c>
      <c r="AR217" s="522">
        <v>0</v>
      </c>
      <c r="AS217" s="526">
        <v>82.63</v>
      </c>
      <c r="AT217" s="526">
        <v>81.11</v>
      </c>
      <c r="AU217" s="526">
        <v>15.53</v>
      </c>
      <c r="AV217" s="526">
        <v>88.84</v>
      </c>
      <c r="AW217" s="522">
        <v>5</v>
      </c>
      <c r="AX217" s="526">
        <v>91.26</v>
      </c>
      <c r="AY217" s="526">
        <v>90.65</v>
      </c>
      <c r="AZ217" s="526">
        <v>6.46</v>
      </c>
      <c r="BA217" s="526">
        <v>97.44</v>
      </c>
      <c r="BB217" s="522">
        <v>312</v>
      </c>
      <c r="BC217" s="526">
        <v>105.35</v>
      </c>
      <c r="BD217" s="526">
        <v>105.47</v>
      </c>
      <c r="BE217" s="526">
        <v>6.93</v>
      </c>
      <c r="BF217" s="526">
        <v>109.31</v>
      </c>
      <c r="BG217" s="522">
        <v>1118</v>
      </c>
      <c r="BH217" s="526">
        <v>118.22</v>
      </c>
      <c r="BI217" s="526">
        <v>124.83</v>
      </c>
      <c r="BJ217" s="526">
        <v>2.17</v>
      </c>
      <c r="BK217" s="526">
        <v>118.7</v>
      </c>
      <c r="BL217" s="522">
        <v>1348</v>
      </c>
      <c r="BM217" s="526">
        <v>130.52000000000001</v>
      </c>
      <c r="BN217" s="526">
        <v>134.53</v>
      </c>
      <c r="BO217" s="526">
        <v>3.45</v>
      </c>
      <c r="BP217" s="526">
        <v>131.69999999999999</v>
      </c>
      <c r="BQ217" s="522">
        <v>111</v>
      </c>
      <c r="BR217" s="526">
        <v>164.7</v>
      </c>
      <c r="BS217" s="526">
        <v>162.91</v>
      </c>
      <c r="BT217" s="526">
        <v>0</v>
      </c>
      <c r="BU217" s="526">
        <v>164.7</v>
      </c>
      <c r="BV217" s="522">
        <v>1</v>
      </c>
      <c r="BW217" s="526">
        <v>0</v>
      </c>
      <c r="BX217" s="526">
        <v>0</v>
      </c>
      <c r="BY217" s="526">
        <v>0</v>
      </c>
      <c r="BZ217" s="526">
        <v>0</v>
      </c>
      <c r="CA217" s="522">
        <v>0</v>
      </c>
      <c r="CB217" s="526">
        <v>110.77</v>
      </c>
      <c r="CC217" s="526">
        <v>113.97</v>
      </c>
      <c r="CD217" s="526">
        <v>5.62</v>
      </c>
      <c r="CE217" s="526">
        <v>113.24</v>
      </c>
      <c r="CF217" s="522">
        <v>2895</v>
      </c>
      <c r="CG217" s="526">
        <v>110.77</v>
      </c>
      <c r="CH217" s="526">
        <v>113.97</v>
      </c>
      <c r="CI217" s="526">
        <v>5.62</v>
      </c>
      <c r="CJ217" s="526">
        <v>113.24</v>
      </c>
      <c r="CK217" s="522">
        <v>2895</v>
      </c>
      <c r="CL217" s="526">
        <v>172.71</v>
      </c>
      <c r="CM217" s="526">
        <v>73.94</v>
      </c>
      <c r="CN217" s="526">
        <v>94.7</v>
      </c>
      <c r="CO217" s="526">
        <v>267.41000000000003</v>
      </c>
      <c r="CP217" s="522">
        <v>59</v>
      </c>
      <c r="CQ217" s="526">
        <v>76.13</v>
      </c>
      <c r="CR217" s="526">
        <v>71.430000000000007</v>
      </c>
      <c r="CS217" s="526">
        <v>40.159999999999997</v>
      </c>
      <c r="CT217" s="526">
        <v>116.29</v>
      </c>
      <c r="CU217" s="522">
        <v>44</v>
      </c>
      <c r="CV217" s="526">
        <v>102.15</v>
      </c>
      <c r="CW217" s="526">
        <v>92.7</v>
      </c>
      <c r="CX217" s="526">
        <v>26.8</v>
      </c>
      <c r="CY217" s="526">
        <v>128.71</v>
      </c>
      <c r="CZ217" s="522">
        <v>697</v>
      </c>
      <c r="DA217" s="526">
        <v>114.94</v>
      </c>
      <c r="DB217" s="526">
        <v>110.07</v>
      </c>
      <c r="DC217" s="526">
        <v>16.82</v>
      </c>
      <c r="DD217" s="526">
        <v>131.32</v>
      </c>
      <c r="DE217" s="522">
        <v>653</v>
      </c>
      <c r="DF217" s="526">
        <v>125.35</v>
      </c>
      <c r="DG217" s="526">
        <v>118.28</v>
      </c>
      <c r="DH217" s="526">
        <v>40.79</v>
      </c>
      <c r="DI217" s="526">
        <v>166.14</v>
      </c>
      <c r="DJ217" s="522">
        <v>4</v>
      </c>
      <c r="DK217" s="526">
        <v>0</v>
      </c>
      <c r="DL217" s="526">
        <v>0</v>
      </c>
      <c r="DM217" s="526">
        <v>0</v>
      </c>
      <c r="DN217" s="526">
        <v>0</v>
      </c>
      <c r="DO217" s="522">
        <v>0</v>
      </c>
      <c r="DP217" s="526">
        <v>107.37</v>
      </c>
      <c r="DQ217" s="526">
        <v>100.34</v>
      </c>
      <c r="DR217" s="526">
        <v>22.65</v>
      </c>
      <c r="DS217" s="526">
        <v>129.65</v>
      </c>
      <c r="DT217" s="522">
        <v>1398</v>
      </c>
      <c r="DU217" s="526">
        <v>110.02</v>
      </c>
      <c r="DV217" s="526">
        <v>100.07</v>
      </c>
      <c r="DW217" s="526">
        <v>25.61</v>
      </c>
      <c r="DX217" s="526">
        <v>135.22999999999999</v>
      </c>
      <c r="DY217" s="522">
        <v>1457</v>
      </c>
      <c r="DZ217" s="526">
        <v>0</v>
      </c>
      <c r="EA217" s="526">
        <v>0</v>
      </c>
      <c r="EB217" s="526">
        <v>0</v>
      </c>
      <c r="EC217" s="522">
        <v>0</v>
      </c>
      <c r="ED217" s="526">
        <v>112.78</v>
      </c>
      <c r="EE217" s="522">
        <v>121</v>
      </c>
      <c r="EF217" s="526">
        <v>132.29</v>
      </c>
      <c r="EG217" s="522">
        <v>317</v>
      </c>
      <c r="EH217" s="526">
        <v>151.26</v>
      </c>
      <c r="EI217" s="522">
        <v>185</v>
      </c>
      <c r="EJ217" s="526">
        <v>193.97</v>
      </c>
      <c r="EK217" s="522">
        <v>26</v>
      </c>
      <c r="EL217" s="526">
        <v>0</v>
      </c>
      <c r="EM217" s="522">
        <v>0</v>
      </c>
      <c r="EN217" s="526">
        <v>0</v>
      </c>
      <c r="EO217" s="522">
        <v>0</v>
      </c>
      <c r="EP217" s="526">
        <v>136.53</v>
      </c>
      <c r="EQ217" s="522">
        <v>649</v>
      </c>
      <c r="ER217" s="526">
        <v>136.53</v>
      </c>
      <c r="ES217" s="522">
        <v>649</v>
      </c>
      <c r="ET217" s="526">
        <v>0</v>
      </c>
      <c r="EU217" s="526">
        <v>0</v>
      </c>
      <c r="EV217" s="526">
        <v>0</v>
      </c>
      <c r="EW217" s="522">
        <v>0</v>
      </c>
      <c r="EX217" s="526">
        <v>141.9</v>
      </c>
      <c r="EY217" s="522">
        <v>9</v>
      </c>
      <c r="EZ217" s="526">
        <v>0</v>
      </c>
      <c r="FA217" s="522">
        <v>0</v>
      </c>
      <c r="FB217" s="526">
        <v>0</v>
      </c>
      <c r="FC217" s="522">
        <v>0</v>
      </c>
      <c r="FD217" s="526">
        <v>0</v>
      </c>
      <c r="FE217" s="522">
        <v>0</v>
      </c>
      <c r="FF217" s="526">
        <v>141.9</v>
      </c>
      <c r="FG217" s="522">
        <v>9</v>
      </c>
      <c r="FH217" s="526">
        <v>141.9</v>
      </c>
      <c r="FI217" s="522">
        <v>9</v>
      </c>
      <c r="FJ217" s="522">
        <v>0</v>
      </c>
      <c r="FK217" s="522">
        <v>3</v>
      </c>
      <c r="FL217" s="522">
        <v>1</v>
      </c>
      <c r="FM217" s="522">
        <v>0</v>
      </c>
      <c r="FN217" s="522">
        <v>2</v>
      </c>
      <c r="FO217" s="522">
        <v>0</v>
      </c>
      <c r="FP217" s="522">
        <v>1</v>
      </c>
      <c r="FQ217" s="522">
        <v>137</v>
      </c>
      <c r="FR217" s="522">
        <v>14</v>
      </c>
    </row>
    <row r="218" spans="1:174" x14ac:dyDescent="0.25">
      <c r="A218" s="523" t="s">
        <v>686</v>
      </c>
      <c r="B218" s="523" t="s">
        <v>687</v>
      </c>
      <c r="C218" s="523" t="s">
        <v>2</v>
      </c>
      <c r="D218" s="522">
        <v>5882</v>
      </c>
      <c r="E218" s="522">
        <v>5510</v>
      </c>
      <c r="F218" s="522">
        <v>5</v>
      </c>
      <c r="G218" s="522">
        <v>0</v>
      </c>
      <c r="H218" s="522">
        <v>242</v>
      </c>
      <c r="I218" s="522">
        <v>103</v>
      </c>
      <c r="J218" s="522">
        <v>648</v>
      </c>
      <c r="K218" s="522">
        <v>648</v>
      </c>
      <c r="L218" s="522">
        <v>642</v>
      </c>
      <c r="M218" s="522">
        <v>47</v>
      </c>
      <c r="N218" s="522">
        <v>7419</v>
      </c>
      <c r="O218" s="522">
        <v>6308</v>
      </c>
      <c r="P218" s="522">
        <v>6777</v>
      </c>
      <c r="Q218" s="522">
        <v>10</v>
      </c>
      <c r="R218" s="523">
        <v>8</v>
      </c>
      <c r="S218" s="523">
        <v>24</v>
      </c>
      <c r="T218" s="523">
        <v>467</v>
      </c>
      <c r="U218" s="523">
        <v>6952</v>
      </c>
      <c r="V218" s="522">
        <v>5474</v>
      </c>
      <c r="W218" s="522">
        <v>59</v>
      </c>
      <c r="X218" s="522">
        <v>26</v>
      </c>
      <c r="Y218" s="522">
        <v>85</v>
      </c>
      <c r="Z218" s="524">
        <v>126.49</v>
      </c>
      <c r="AA218" s="524">
        <v>126.76</v>
      </c>
      <c r="AB218" s="524">
        <v>11.86</v>
      </c>
      <c r="AC218" s="524">
        <v>133.08000000000001</v>
      </c>
      <c r="AD218" s="524">
        <v>4490</v>
      </c>
      <c r="AE218" s="525">
        <v>110.19</v>
      </c>
      <c r="AF218" s="525">
        <v>104.2</v>
      </c>
      <c r="AG218" s="525">
        <v>62.82</v>
      </c>
      <c r="AH218" s="525">
        <v>172.63</v>
      </c>
      <c r="AI218" s="525">
        <v>832</v>
      </c>
      <c r="AJ218" s="525">
        <v>183.25</v>
      </c>
      <c r="AK218" s="525">
        <v>1217</v>
      </c>
      <c r="AL218" s="525">
        <v>143.91</v>
      </c>
      <c r="AM218" s="525">
        <v>44</v>
      </c>
      <c r="AN218" s="526">
        <v>0</v>
      </c>
      <c r="AO218" s="526">
        <v>0</v>
      </c>
      <c r="AP218" s="526">
        <v>0</v>
      </c>
      <c r="AQ218" s="526">
        <v>0</v>
      </c>
      <c r="AR218" s="522">
        <v>0</v>
      </c>
      <c r="AS218" s="526">
        <v>89</v>
      </c>
      <c r="AT218" s="526">
        <v>88.11</v>
      </c>
      <c r="AU218" s="526">
        <v>33.94</v>
      </c>
      <c r="AV218" s="526">
        <v>122.93</v>
      </c>
      <c r="AW218" s="522">
        <v>16</v>
      </c>
      <c r="AX218" s="526">
        <v>104.17</v>
      </c>
      <c r="AY218" s="526">
        <v>103.92</v>
      </c>
      <c r="AZ218" s="526">
        <v>11.92</v>
      </c>
      <c r="BA218" s="526">
        <v>114.76</v>
      </c>
      <c r="BB218" s="522">
        <v>1002</v>
      </c>
      <c r="BC218" s="526">
        <v>124.44</v>
      </c>
      <c r="BD218" s="526">
        <v>124.69</v>
      </c>
      <c r="BE218" s="526">
        <v>12.26</v>
      </c>
      <c r="BF218" s="526">
        <v>131.63</v>
      </c>
      <c r="BG218" s="522">
        <v>1785</v>
      </c>
      <c r="BH218" s="526">
        <v>140.27000000000001</v>
      </c>
      <c r="BI218" s="526">
        <v>140.84</v>
      </c>
      <c r="BJ218" s="526">
        <v>11.04</v>
      </c>
      <c r="BK218" s="526">
        <v>143.79</v>
      </c>
      <c r="BL218" s="522">
        <v>1493</v>
      </c>
      <c r="BM218" s="526">
        <v>156.01</v>
      </c>
      <c r="BN218" s="526">
        <v>156.80000000000001</v>
      </c>
      <c r="BO218" s="526">
        <v>5.42</v>
      </c>
      <c r="BP218" s="526">
        <v>157.96</v>
      </c>
      <c r="BQ218" s="522">
        <v>183</v>
      </c>
      <c r="BR218" s="526">
        <v>184.74</v>
      </c>
      <c r="BS218" s="526">
        <v>189.66</v>
      </c>
      <c r="BT218" s="526">
        <v>3.35</v>
      </c>
      <c r="BU218" s="526">
        <v>185.08</v>
      </c>
      <c r="BV218" s="522">
        <v>10</v>
      </c>
      <c r="BW218" s="526">
        <v>189.94</v>
      </c>
      <c r="BX218" s="526">
        <v>202.6</v>
      </c>
      <c r="BY218" s="526">
        <v>0</v>
      </c>
      <c r="BZ218" s="526">
        <v>189.94</v>
      </c>
      <c r="CA218" s="522">
        <v>1</v>
      </c>
      <c r="CB218" s="526">
        <v>126.49</v>
      </c>
      <c r="CC218" s="526">
        <v>126.76</v>
      </c>
      <c r="CD218" s="526">
        <v>11.86</v>
      </c>
      <c r="CE218" s="526">
        <v>133.08000000000001</v>
      </c>
      <c r="CF218" s="522">
        <v>4490</v>
      </c>
      <c r="CG218" s="526">
        <v>126.49</v>
      </c>
      <c r="CH218" s="526">
        <v>126.76</v>
      </c>
      <c r="CI218" s="526">
        <v>11.86</v>
      </c>
      <c r="CJ218" s="526">
        <v>133.08000000000001</v>
      </c>
      <c r="CK218" s="522">
        <v>4490</v>
      </c>
      <c r="CL218" s="526">
        <v>110.32</v>
      </c>
      <c r="CM218" s="526">
        <v>93.62</v>
      </c>
      <c r="CN218" s="526">
        <v>90.87</v>
      </c>
      <c r="CO218" s="526">
        <v>199.21</v>
      </c>
      <c r="CP218" s="522">
        <v>92</v>
      </c>
      <c r="CQ218" s="526">
        <v>99.76</v>
      </c>
      <c r="CR218" s="526">
        <v>96.87</v>
      </c>
      <c r="CS218" s="526">
        <v>57.86</v>
      </c>
      <c r="CT218" s="526">
        <v>157.62</v>
      </c>
      <c r="CU218" s="522">
        <v>209</v>
      </c>
      <c r="CV218" s="526">
        <v>112.54</v>
      </c>
      <c r="CW218" s="526">
        <v>105.74</v>
      </c>
      <c r="CX218" s="526">
        <v>62.02</v>
      </c>
      <c r="CY218" s="526">
        <v>174.15</v>
      </c>
      <c r="CZ218" s="522">
        <v>455</v>
      </c>
      <c r="DA218" s="526">
        <v>122.49</v>
      </c>
      <c r="DB218" s="526">
        <v>120.36</v>
      </c>
      <c r="DC218" s="526">
        <v>47.72</v>
      </c>
      <c r="DD218" s="526">
        <v>170.22</v>
      </c>
      <c r="DE218" s="522">
        <v>69</v>
      </c>
      <c r="DF218" s="526">
        <v>145.47999999999999</v>
      </c>
      <c r="DG218" s="526">
        <v>144.19999999999999</v>
      </c>
      <c r="DH218" s="526">
        <v>51</v>
      </c>
      <c r="DI218" s="526">
        <v>196.48</v>
      </c>
      <c r="DJ218" s="522">
        <v>7</v>
      </c>
      <c r="DK218" s="526">
        <v>0</v>
      </c>
      <c r="DL218" s="526">
        <v>0</v>
      </c>
      <c r="DM218" s="526">
        <v>0</v>
      </c>
      <c r="DN218" s="526">
        <v>0</v>
      </c>
      <c r="DO218" s="522">
        <v>0</v>
      </c>
      <c r="DP218" s="526">
        <v>110.17</v>
      </c>
      <c r="DQ218" s="526">
        <v>104.95</v>
      </c>
      <c r="DR218" s="526">
        <v>59.4</v>
      </c>
      <c r="DS218" s="526">
        <v>169.33</v>
      </c>
      <c r="DT218" s="522">
        <v>740</v>
      </c>
      <c r="DU218" s="526">
        <v>110.19</v>
      </c>
      <c r="DV218" s="526">
        <v>104.2</v>
      </c>
      <c r="DW218" s="526">
        <v>62.82</v>
      </c>
      <c r="DX218" s="526">
        <v>172.63</v>
      </c>
      <c r="DY218" s="522">
        <v>832</v>
      </c>
      <c r="DZ218" s="526">
        <v>0</v>
      </c>
      <c r="EA218" s="526">
        <v>0</v>
      </c>
      <c r="EB218" s="526">
        <v>0</v>
      </c>
      <c r="EC218" s="522">
        <v>0</v>
      </c>
      <c r="ED218" s="526">
        <v>148.4</v>
      </c>
      <c r="EE218" s="522">
        <v>361</v>
      </c>
      <c r="EF218" s="526">
        <v>183</v>
      </c>
      <c r="EG218" s="522">
        <v>581</v>
      </c>
      <c r="EH218" s="526">
        <v>217.8</v>
      </c>
      <c r="EI218" s="522">
        <v>220</v>
      </c>
      <c r="EJ218" s="526">
        <v>276.56</v>
      </c>
      <c r="EK218" s="522">
        <v>55</v>
      </c>
      <c r="EL218" s="526">
        <v>0</v>
      </c>
      <c r="EM218" s="522">
        <v>0</v>
      </c>
      <c r="EN218" s="526">
        <v>0</v>
      </c>
      <c r="EO218" s="522">
        <v>0</v>
      </c>
      <c r="EP218" s="526">
        <v>183.25</v>
      </c>
      <c r="EQ218" s="522">
        <v>1217</v>
      </c>
      <c r="ER218" s="526">
        <v>183.25</v>
      </c>
      <c r="ES218" s="522">
        <v>1217</v>
      </c>
      <c r="ET218" s="526">
        <v>0</v>
      </c>
      <c r="EU218" s="526">
        <v>0</v>
      </c>
      <c r="EV218" s="526">
        <v>0</v>
      </c>
      <c r="EW218" s="522">
        <v>0</v>
      </c>
      <c r="EX218" s="526">
        <v>137.69999999999999</v>
      </c>
      <c r="EY218" s="522">
        <v>38</v>
      </c>
      <c r="EZ218" s="526">
        <v>173.38</v>
      </c>
      <c r="FA218" s="522">
        <v>4</v>
      </c>
      <c r="FB218" s="526">
        <v>202.93</v>
      </c>
      <c r="FC218" s="522">
        <v>2</v>
      </c>
      <c r="FD218" s="526">
        <v>0</v>
      </c>
      <c r="FE218" s="522">
        <v>0</v>
      </c>
      <c r="FF218" s="526">
        <v>143.91</v>
      </c>
      <c r="FG218" s="522">
        <v>44</v>
      </c>
      <c r="FH218" s="526">
        <v>143.91</v>
      </c>
      <c r="FI218" s="522">
        <v>44</v>
      </c>
      <c r="FJ218" s="522">
        <v>0</v>
      </c>
      <c r="FK218" s="522">
        <v>2</v>
      </c>
      <c r="FL218" s="522">
        <v>1</v>
      </c>
      <c r="FM218" s="522">
        <v>0</v>
      </c>
      <c r="FN218" s="522">
        <v>1</v>
      </c>
      <c r="FO218" s="522">
        <v>0</v>
      </c>
      <c r="FP218" s="522">
        <v>4</v>
      </c>
      <c r="FQ218" s="522">
        <v>15</v>
      </c>
      <c r="FR218" s="522">
        <v>9</v>
      </c>
    </row>
    <row r="219" spans="1:174" x14ac:dyDescent="0.25">
      <c r="A219" s="523" t="s">
        <v>688</v>
      </c>
      <c r="B219" s="523" t="s">
        <v>689</v>
      </c>
      <c r="C219" s="523" t="s">
        <v>282</v>
      </c>
      <c r="D219" s="522">
        <v>1521</v>
      </c>
      <c r="E219" s="522">
        <v>1509</v>
      </c>
      <c r="F219" s="522">
        <v>0</v>
      </c>
      <c r="G219" s="522">
        <v>0</v>
      </c>
      <c r="H219" s="522">
        <v>38</v>
      </c>
      <c r="I219" s="522">
        <v>30</v>
      </c>
      <c r="J219" s="522">
        <v>267</v>
      </c>
      <c r="K219" s="522">
        <v>164</v>
      </c>
      <c r="L219" s="522">
        <v>207</v>
      </c>
      <c r="M219" s="522">
        <v>0</v>
      </c>
      <c r="N219" s="522">
        <v>2033</v>
      </c>
      <c r="O219" s="522">
        <v>1703</v>
      </c>
      <c r="P219" s="522">
        <v>1826</v>
      </c>
      <c r="Q219" s="522">
        <v>5</v>
      </c>
      <c r="R219" s="523">
        <v>2</v>
      </c>
      <c r="S219" s="523">
        <v>12</v>
      </c>
      <c r="T219" s="523">
        <v>116</v>
      </c>
      <c r="U219" s="523">
        <v>1917</v>
      </c>
      <c r="V219" s="522">
        <v>1508</v>
      </c>
      <c r="W219" s="522">
        <v>6</v>
      </c>
      <c r="X219" s="522">
        <v>16</v>
      </c>
      <c r="Y219" s="522">
        <v>22</v>
      </c>
      <c r="Z219" s="524">
        <v>104.15</v>
      </c>
      <c r="AA219" s="524">
        <v>110.85</v>
      </c>
      <c r="AB219" s="524">
        <v>9.07</v>
      </c>
      <c r="AC219" s="524">
        <v>108.17</v>
      </c>
      <c r="AD219" s="524">
        <v>1258</v>
      </c>
      <c r="AE219" s="525">
        <v>103.09</v>
      </c>
      <c r="AF219" s="525">
        <v>94.75</v>
      </c>
      <c r="AG219" s="525">
        <v>47.94</v>
      </c>
      <c r="AH219" s="525">
        <v>145.81</v>
      </c>
      <c r="AI219" s="525">
        <v>202</v>
      </c>
      <c r="AJ219" s="525">
        <v>130.97</v>
      </c>
      <c r="AK219" s="525">
        <v>233</v>
      </c>
      <c r="AL219" s="525">
        <v>0</v>
      </c>
      <c r="AM219" s="525">
        <v>0</v>
      </c>
      <c r="AN219" s="526">
        <v>0</v>
      </c>
      <c r="AO219" s="526">
        <v>0</v>
      </c>
      <c r="AP219" s="526">
        <v>0</v>
      </c>
      <c r="AQ219" s="526">
        <v>0</v>
      </c>
      <c r="AR219" s="522">
        <v>0</v>
      </c>
      <c r="AS219" s="526">
        <v>78.11</v>
      </c>
      <c r="AT219" s="526">
        <v>77.150000000000006</v>
      </c>
      <c r="AU219" s="526">
        <v>8.2799999999999994</v>
      </c>
      <c r="AV219" s="526">
        <v>84.48</v>
      </c>
      <c r="AW219" s="522">
        <v>13</v>
      </c>
      <c r="AX219" s="526">
        <v>92.64</v>
      </c>
      <c r="AY219" s="526">
        <v>97.13</v>
      </c>
      <c r="AZ219" s="526">
        <v>8.73</v>
      </c>
      <c r="BA219" s="526">
        <v>97.02</v>
      </c>
      <c r="BB219" s="522">
        <v>277</v>
      </c>
      <c r="BC219" s="526">
        <v>104.13</v>
      </c>
      <c r="BD219" s="526">
        <v>106.37</v>
      </c>
      <c r="BE219" s="526">
        <v>10.36</v>
      </c>
      <c r="BF219" s="526">
        <v>110.98</v>
      </c>
      <c r="BG219" s="522">
        <v>464</v>
      </c>
      <c r="BH219" s="526">
        <v>110.01</v>
      </c>
      <c r="BI219" s="526">
        <v>122.23</v>
      </c>
      <c r="BJ219" s="526">
        <v>6.05</v>
      </c>
      <c r="BK219" s="526">
        <v>111.12</v>
      </c>
      <c r="BL219" s="522">
        <v>479</v>
      </c>
      <c r="BM219" s="526">
        <v>131.07</v>
      </c>
      <c r="BN219" s="526">
        <v>141.75</v>
      </c>
      <c r="BO219" s="526">
        <v>3.69</v>
      </c>
      <c r="BP219" s="526">
        <v>133.31</v>
      </c>
      <c r="BQ219" s="522">
        <v>23</v>
      </c>
      <c r="BR219" s="526">
        <v>0</v>
      </c>
      <c r="BS219" s="526">
        <v>0</v>
      </c>
      <c r="BT219" s="526">
        <v>0</v>
      </c>
      <c r="BU219" s="526">
        <v>0</v>
      </c>
      <c r="BV219" s="522">
        <v>0</v>
      </c>
      <c r="BW219" s="526">
        <v>156.63999999999999</v>
      </c>
      <c r="BX219" s="526">
        <v>190.34</v>
      </c>
      <c r="BY219" s="526">
        <v>0</v>
      </c>
      <c r="BZ219" s="526">
        <v>156.63999999999999</v>
      </c>
      <c r="CA219" s="522">
        <v>2</v>
      </c>
      <c r="CB219" s="526">
        <v>104.15</v>
      </c>
      <c r="CC219" s="526">
        <v>110.85</v>
      </c>
      <c r="CD219" s="526">
        <v>9.07</v>
      </c>
      <c r="CE219" s="526">
        <v>108.17</v>
      </c>
      <c r="CF219" s="522">
        <v>1258</v>
      </c>
      <c r="CG219" s="526">
        <v>104.15</v>
      </c>
      <c r="CH219" s="526">
        <v>110.85</v>
      </c>
      <c r="CI219" s="526">
        <v>9.07</v>
      </c>
      <c r="CJ219" s="526">
        <v>108.17</v>
      </c>
      <c r="CK219" s="522">
        <v>1258</v>
      </c>
      <c r="CL219" s="526">
        <v>153.03</v>
      </c>
      <c r="CM219" s="526">
        <v>86.1</v>
      </c>
      <c r="CN219" s="526">
        <v>88.26</v>
      </c>
      <c r="CO219" s="526">
        <v>241.29</v>
      </c>
      <c r="CP219" s="522">
        <v>21</v>
      </c>
      <c r="CQ219" s="526">
        <v>0</v>
      </c>
      <c r="CR219" s="526">
        <v>0</v>
      </c>
      <c r="CS219" s="526">
        <v>0</v>
      </c>
      <c r="CT219" s="526">
        <v>0</v>
      </c>
      <c r="CU219" s="522">
        <v>0</v>
      </c>
      <c r="CV219" s="526">
        <v>95.39</v>
      </c>
      <c r="CW219" s="526">
        <v>93.94</v>
      </c>
      <c r="CX219" s="526">
        <v>33.44</v>
      </c>
      <c r="CY219" s="526">
        <v>125.14</v>
      </c>
      <c r="CZ219" s="522">
        <v>145</v>
      </c>
      <c r="DA219" s="526">
        <v>104.7</v>
      </c>
      <c r="DB219" s="526">
        <v>100.53</v>
      </c>
      <c r="DC219" s="526">
        <v>84.82</v>
      </c>
      <c r="DD219" s="526">
        <v>174.56</v>
      </c>
      <c r="DE219" s="522">
        <v>34</v>
      </c>
      <c r="DF219" s="526">
        <v>109.96</v>
      </c>
      <c r="DG219" s="526">
        <v>107.01</v>
      </c>
      <c r="DH219" s="526">
        <v>43.48</v>
      </c>
      <c r="DI219" s="526">
        <v>153.44</v>
      </c>
      <c r="DJ219" s="522">
        <v>2</v>
      </c>
      <c r="DK219" s="526">
        <v>0</v>
      </c>
      <c r="DL219" s="526">
        <v>0</v>
      </c>
      <c r="DM219" s="526">
        <v>0</v>
      </c>
      <c r="DN219" s="526">
        <v>0</v>
      </c>
      <c r="DO219" s="522">
        <v>0</v>
      </c>
      <c r="DP219" s="526">
        <v>97.3</v>
      </c>
      <c r="DQ219" s="526">
        <v>95.33</v>
      </c>
      <c r="DR219" s="526">
        <v>42.61</v>
      </c>
      <c r="DS219" s="526">
        <v>134.72999999999999</v>
      </c>
      <c r="DT219" s="522">
        <v>181</v>
      </c>
      <c r="DU219" s="526">
        <v>103.09</v>
      </c>
      <c r="DV219" s="526">
        <v>94.75</v>
      </c>
      <c r="DW219" s="526">
        <v>47.94</v>
      </c>
      <c r="DX219" s="526">
        <v>145.81</v>
      </c>
      <c r="DY219" s="522">
        <v>202</v>
      </c>
      <c r="DZ219" s="526">
        <v>0</v>
      </c>
      <c r="EA219" s="526">
        <v>0</v>
      </c>
      <c r="EB219" s="526">
        <v>0</v>
      </c>
      <c r="EC219" s="522">
        <v>0</v>
      </c>
      <c r="ED219" s="526">
        <v>99.62</v>
      </c>
      <c r="EE219" s="522">
        <v>32</v>
      </c>
      <c r="EF219" s="526">
        <v>125.48</v>
      </c>
      <c r="EG219" s="522">
        <v>96</v>
      </c>
      <c r="EH219" s="526">
        <v>143.96</v>
      </c>
      <c r="EI219" s="522">
        <v>97</v>
      </c>
      <c r="EJ219" s="526">
        <v>164.9</v>
      </c>
      <c r="EK219" s="522">
        <v>8</v>
      </c>
      <c r="EL219" s="526">
        <v>0</v>
      </c>
      <c r="EM219" s="522">
        <v>0</v>
      </c>
      <c r="EN219" s="526">
        <v>0</v>
      </c>
      <c r="EO219" s="522">
        <v>0</v>
      </c>
      <c r="EP219" s="526">
        <v>130.97</v>
      </c>
      <c r="EQ219" s="522">
        <v>233</v>
      </c>
      <c r="ER219" s="526">
        <v>130.97</v>
      </c>
      <c r="ES219" s="522">
        <v>233</v>
      </c>
      <c r="ET219" s="526">
        <v>0</v>
      </c>
      <c r="EU219" s="526">
        <v>0</v>
      </c>
      <c r="EV219" s="526">
        <v>0</v>
      </c>
      <c r="EW219" s="522">
        <v>0</v>
      </c>
      <c r="EX219" s="526">
        <v>0</v>
      </c>
      <c r="EY219" s="522">
        <v>0</v>
      </c>
      <c r="EZ219" s="526">
        <v>0</v>
      </c>
      <c r="FA219" s="522">
        <v>0</v>
      </c>
      <c r="FB219" s="526">
        <v>0</v>
      </c>
      <c r="FC219" s="522">
        <v>0</v>
      </c>
      <c r="FD219" s="526">
        <v>0</v>
      </c>
      <c r="FE219" s="522">
        <v>0</v>
      </c>
      <c r="FF219" s="526">
        <v>0</v>
      </c>
      <c r="FG219" s="522">
        <v>0</v>
      </c>
      <c r="FH219" s="526">
        <v>0</v>
      </c>
      <c r="FI219" s="522">
        <v>0</v>
      </c>
      <c r="FJ219" s="522">
        <v>0</v>
      </c>
      <c r="FK219" s="522">
        <v>1</v>
      </c>
      <c r="FL219" s="522">
        <v>1</v>
      </c>
      <c r="FM219" s="522">
        <v>0</v>
      </c>
      <c r="FN219" s="522">
        <v>0</v>
      </c>
      <c r="FO219" s="522">
        <v>0</v>
      </c>
      <c r="FP219" s="522">
        <v>4</v>
      </c>
      <c r="FQ219" s="522">
        <v>0</v>
      </c>
      <c r="FR219" s="522">
        <v>2</v>
      </c>
    </row>
    <row r="220" spans="1:174" x14ac:dyDescent="0.25">
      <c r="A220" s="523" t="s">
        <v>690</v>
      </c>
      <c r="B220" s="523" t="s">
        <v>691</v>
      </c>
      <c r="C220" s="523" t="s">
        <v>286</v>
      </c>
      <c r="D220" s="522">
        <v>26809</v>
      </c>
      <c r="E220" s="522">
        <v>27745</v>
      </c>
      <c r="F220" s="522">
        <v>14</v>
      </c>
      <c r="G220" s="522">
        <v>14</v>
      </c>
      <c r="H220" s="522">
        <v>1762</v>
      </c>
      <c r="I220" s="522">
        <v>1343</v>
      </c>
      <c r="J220" s="522">
        <v>1327</v>
      </c>
      <c r="K220" s="522">
        <v>1210</v>
      </c>
      <c r="L220" s="522">
        <v>627</v>
      </c>
      <c r="M220" s="522">
        <v>0</v>
      </c>
      <c r="N220" s="522">
        <v>30539</v>
      </c>
      <c r="O220" s="522">
        <v>30312</v>
      </c>
      <c r="P220" s="522">
        <v>29912</v>
      </c>
      <c r="Q220" s="522">
        <v>25</v>
      </c>
      <c r="R220" s="523">
        <v>13</v>
      </c>
      <c r="S220" s="523">
        <v>26</v>
      </c>
      <c r="T220" s="523">
        <v>440</v>
      </c>
      <c r="U220" s="523">
        <v>30099</v>
      </c>
      <c r="V220" s="522">
        <v>26602</v>
      </c>
      <c r="W220" s="522">
        <v>101</v>
      </c>
      <c r="X220" s="522">
        <v>133</v>
      </c>
      <c r="Y220" s="522">
        <v>234</v>
      </c>
      <c r="Z220" s="524">
        <v>89.39</v>
      </c>
      <c r="AA220" s="524">
        <v>92.54</v>
      </c>
      <c r="AB220" s="524">
        <v>10.99</v>
      </c>
      <c r="AC220" s="524">
        <v>94.5</v>
      </c>
      <c r="AD220" s="524">
        <v>23949</v>
      </c>
      <c r="AE220" s="525">
        <v>92.94</v>
      </c>
      <c r="AF220" s="525">
        <v>86.75</v>
      </c>
      <c r="AG220" s="525">
        <v>45.36</v>
      </c>
      <c r="AH220" s="525">
        <v>136.59</v>
      </c>
      <c r="AI220" s="525">
        <v>2791</v>
      </c>
      <c r="AJ220" s="525">
        <v>126.89</v>
      </c>
      <c r="AK220" s="525">
        <v>2381</v>
      </c>
      <c r="AL220" s="525">
        <v>197.22</v>
      </c>
      <c r="AM220" s="525">
        <v>81</v>
      </c>
      <c r="AN220" s="526">
        <v>81.489999999999995</v>
      </c>
      <c r="AO220" s="526">
        <v>0</v>
      </c>
      <c r="AP220" s="526">
        <v>3.48</v>
      </c>
      <c r="AQ220" s="526">
        <v>84.97</v>
      </c>
      <c r="AR220" s="522">
        <v>14</v>
      </c>
      <c r="AS220" s="526">
        <v>72.87</v>
      </c>
      <c r="AT220" s="526">
        <v>72.19</v>
      </c>
      <c r="AU220" s="526">
        <v>20.010000000000002</v>
      </c>
      <c r="AV220" s="526">
        <v>92.88</v>
      </c>
      <c r="AW220" s="522">
        <v>36</v>
      </c>
      <c r="AX220" s="526">
        <v>78.760000000000005</v>
      </c>
      <c r="AY220" s="526">
        <v>81.2</v>
      </c>
      <c r="AZ220" s="526">
        <v>11.52</v>
      </c>
      <c r="BA220" s="526">
        <v>88.36</v>
      </c>
      <c r="BB220" s="522">
        <v>5658</v>
      </c>
      <c r="BC220" s="526">
        <v>87.34</v>
      </c>
      <c r="BD220" s="526">
        <v>90.39</v>
      </c>
      <c r="BE220" s="526">
        <v>13.28</v>
      </c>
      <c r="BF220" s="526">
        <v>93.9</v>
      </c>
      <c r="BG220" s="522">
        <v>9556</v>
      </c>
      <c r="BH220" s="526">
        <v>97.56</v>
      </c>
      <c r="BI220" s="526">
        <v>101.21</v>
      </c>
      <c r="BJ220" s="526">
        <v>2.71</v>
      </c>
      <c r="BK220" s="526">
        <v>98.08</v>
      </c>
      <c r="BL220" s="522">
        <v>7701</v>
      </c>
      <c r="BM220" s="526">
        <v>106.88</v>
      </c>
      <c r="BN220" s="526">
        <v>111.26</v>
      </c>
      <c r="BO220" s="526">
        <v>3.81</v>
      </c>
      <c r="BP220" s="526">
        <v>107.54</v>
      </c>
      <c r="BQ220" s="522">
        <v>965</v>
      </c>
      <c r="BR220" s="526">
        <v>121.92</v>
      </c>
      <c r="BS220" s="526">
        <v>124.97</v>
      </c>
      <c r="BT220" s="526">
        <v>6.61</v>
      </c>
      <c r="BU220" s="526">
        <v>123.95</v>
      </c>
      <c r="BV220" s="522">
        <v>13</v>
      </c>
      <c r="BW220" s="526">
        <v>126.45</v>
      </c>
      <c r="BX220" s="526">
        <v>131.26</v>
      </c>
      <c r="BY220" s="526">
        <v>0</v>
      </c>
      <c r="BZ220" s="526">
        <v>126.45</v>
      </c>
      <c r="CA220" s="522">
        <v>6</v>
      </c>
      <c r="CB220" s="526">
        <v>89.39</v>
      </c>
      <c r="CC220" s="526">
        <v>92.54</v>
      </c>
      <c r="CD220" s="526">
        <v>11</v>
      </c>
      <c r="CE220" s="526">
        <v>94.51</v>
      </c>
      <c r="CF220" s="522">
        <v>23935</v>
      </c>
      <c r="CG220" s="526">
        <v>89.39</v>
      </c>
      <c r="CH220" s="526">
        <v>92.54</v>
      </c>
      <c r="CI220" s="526">
        <v>10.99</v>
      </c>
      <c r="CJ220" s="526">
        <v>94.5</v>
      </c>
      <c r="CK220" s="522">
        <v>23949</v>
      </c>
      <c r="CL220" s="526">
        <v>145.59</v>
      </c>
      <c r="CM220" s="526">
        <v>94.04</v>
      </c>
      <c r="CN220" s="526">
        <v>111.56</v>
      </c>
      <c r="CO220" s="526">
        <v>254.77</v>
      </c>
      <c r="CP220" s="522">
        <v>280</v>
      </c>
      <c r="CQ220" s="526">
        <v>76.900000000000006</v>
      </c>
      <c r="CR220" s="526">
        <v>72.790000000000006</v>
      </c>
      <c r="CS220" s="526">
        <v>44.45</v>
      </c>
      <c r="CT220" s="526">
        <v>120.94</v>
      </c>
      <c r="CU220" s="522">
        <v>221</v>
      </c>
      <c r="CV220" s="526">
        <v>86.33</v>
      </c>
      <c r="CW220" s="526">
        <v>85.85</v>
      </c>
      <c r="CX220" s="526">
        <v>38.6</v>
      </c>
      <c r="CY220" s="526">
        <v>124.55</v>
      </c>
      <c r="CZ220" s="522">
        <v>1946</v>
      </c>
      <c r="DA220" s="526">
        <v>97.02</v>
      </c>
      <c r="DB220" s="526">
        <v>103.53</v>
      </c>
      <c r="DC220" s="526">
        <v>27.42</v>
      </c>
      <c r="DD220" s="526">
        <v>121.36</v>
      </c>
      <c r="DE220" s="522">
        <v>268</v>
      </c>
      <c r="DF220" s="526">
        <v>98.97</v>
      </c>
      <c r="DG220" s="526">
        <v>104.89</v>
      </c>
      <c r="DH220" s="526">
        <v>21.35</v>
      </c>
      <c r="DI220" s="526">
        <v>107.09</v>
      </c>
      <c r="DJ220" s="522">
        <v>71</v>
      </c>
      <c r="DK220" s="526">
        <v>121.55</v>
      </c>
      <c r="DL220" s="526">
        <v>0</v>
      </c>
      <c r="DM220" s="526">
        <v>51.07</v>
      </c>
      <c r="DN220" s="526">
        <v>131.77000000000001</v>
      </c>
      <c r="DO220" s="522">
        <v>5</v>
      </c>
      <c r="DP220" s="526">
        <v>87.07</v>
      </c>
      <c r="DQ220" s="526">
        <v>86.3</v>
      </c>
      <c r="DR220" s="526">
        <v>37.840000000000003</v>
      </c>
      <c r="DS220" s="526">
        <v>123.41</v>
      </c>
      <c r="DT220" s="522">
        <v>2511</v>
      </c>
      <c r="DU220" s="526">
        <v>92.94</v>
      </c>
      <c r="DV220" s="526">
        <v>86.75</v>
      </c>
      <c r="DW220" s="526">
        <v>45.36</v>
      </c>
      <c r="DX220" s="526">
        <v>136.59</v>
      </c>
      <c r="DY220" s="522">
        <v>2791</v>
      </c>
      <c r="DZ220" s="526">
        <v>0</v>
      </c>
      <c r="EA220" s="526">
        <v>0</v>
      </c>
      <c r="EB220" s="526">
        <v>0</v>
      </c>
      <c r="EC220" s="522">
        <v>0</v>
      </c>
      <c r="ED220" s="526">
        <v>113.19</v>
      </c>
      <c r="EE220" s="522">
        <v>357</v>
      </c>
      <c r="EF220" s="526">
        <v>122.77</v>
      </c>
      <c r="EG220" s="522">
        <v>1069</v>
      </c>
      <c r="EH220" s="526">
        <v>133.15</v>
      </c>
      <c r="EI220" s="522">
        <v>828</v>
      </c>
      <c r="EJ220" s="526">
        <v>153.75</v>
      </c>
      <c r="EK220" s="522">
        <v>119</v>
      </c>
      <c r="EL220" s="526">
        <v>155</v>
      </c>
      <c r="EM220" s="522">
        <v>2</v>
      </c>
      <c r="EN220" s="526">
        <v>269.68</v>
      </c>
      <c r="EO220" s="522">
        <v>6</v>
      </c>
      <c r="EP220" s="526">
        <v>126.89</v>
      </c>
      <c r="EQ220" s="522">
        <v>2381</v>
      </c>
      <c r="ER220" s="526">
        <v>126.89</v>
      </c>
      <c r="ES220" s="522">
        <v>2381</v>
      </c>
      <c r="ET220" s="526">
        <v>263.25</v>
      </c>
      <c r="EU220" s="526">
        <v>16</v>
      </c>
      <c r="EV220" s="526">
        <v>0</v>
      </c>
      <c r="EW220" s="522">
        <v>0</v>
      </c>
      <c r="EX220" s="526">
        <v>182.86</v>
      </c>
      <c r="EY220" s="522">
        <v>46</v>
      </c>
      <c r="EZ220" s="526">
        <v>176.39</v>
      </c>
      <c r="FA220" s="522">
        <v>19</v>
      </c>
      <c r="FB220" s="526">
        <v>0</v>
      </c>
      <c r="FC220" s="522">
        <v>0</v>
      </c>
      <c r="FD220" s="526">
        <v>0</v>
      </c>
      <c r="FE220" s="522">
        <v>0</v>
      </c>
      <c r="FF220" s="526">
        <v>180.97</v>
      </c>
      <c r="FG220" s="522">
        <v>65</v>
      </c>
      <c r="FH220" s="526">
        <v>197.22</v>
      </c>
      <c r="FI220" s="522">
        <v>81</v>
      </c>
      <c r="FJ220" s="522">
        <v>0</v>
      </c>
      <c r="FK220" s="522">
        <v>58</v>
      </c>
      <c r="FL220" s="522">
        <v>48</v>
      </c>
      <c r="FM220" s="522">
        <v>0</v>
      </c>
      <c r="FN220" s="522">
        <v>10</v>
      </c>
      <c r="FO220" s="522">
        <v>0</v>
      </c>
      <c r="FP220" s="522">
        <v>2</v>
      </c>
      <c r="FQ220" s="522">
        <v>120</v>
      </c>
      <c r="FR220" s="522">
        <v>3</v>
      </c>
    </row>
    <row r="221" spans="1:174" x14ac:dyDescent="0.25">
      <c r="A221" s="523" t="s">
        <v>692</v>
      </c>
      <c r="B221" s="523" t="s">
        <v>693</v>
      </c>
      <c r="C221" s="523" t="s">
        <v>288</v>
      </c>
      <c r="D221" s="522">
        <v>6113</v>
      </c>
      <c r="E221" s="522">
        <v>6830</v>
      </c>
      <c r="F221" s="522">
        <v>56</v>
      </c>
      <c r="G221" s="522">
        <v>0</v>
      </c>
      <c r="H221" s="522">
        <v>456</v>
      </c>
      <c r="I221" s="522">
        <v>237</v>
      </c>
      <c r="J221" s="522">
        <v>1044</v>
      </c>
      <c r="K221" s="522">
        <v>983</v>
      </c>
      <c r="L221" s="522">
        <v>562</v>
      </c>
      <c r="M221" s="522">
        <v>3</v>
      </c>
      <c r="N221" s="522">
        <v>8231</v>
      </c>
      <c r="O221" s="522">
        <v>8053</v>
      </c>
      <c r="P221" s="522">
        <v>7669</v>
      </c>
      <c r="Q221" s="522">
        <v>22</v>
      </c>
      <c r="R221" s="523">
        <v>9</v>
      </c>
      <c r="S221" s="523">
        <v>25</v>
      </c>
      <c r="T221" s="523">
        <v>518</v>
      </c>
      <c r="U221" s="523">
        <v>7713</v>
      </c>
      <c r="V221" s="522">
        <v>5884</v>
      </c>
      <c r="W221" s="522">
        <v>32</v>
      </c>
      <c r="X221" s="522">
        <v>22</v>
      </c>
      <c r="Y221" s="522">
        <v>54</v>
      </c>
      <c r="Z221" s="524">
        <v>101.69</v>
      </c>
      <c r="AA221" s="524">
        <v>103.02</v>
      </c>
      <c r="AB221" s="524">
        <v>9.76</v>
      </c>
      <c r="AC221" s="524">
        <v>109.37</v>
      </c>
      <c r="AD221" s="524">
        <v>4465</v>
      </c>
      <c r="AE221" s="525">
        <v>118.68</v>
      </c>
      <c r="AF221" s="525">
        <v>101.66</v>
      </c>
      <c r="AG221" s="525">
        <v>64.19</v>
      </c>
      <c r="AH221" s="525">
        <v>180.02</v>
      </c>
      <c r="AI221" s="525">
        <v>1261</v>
      </c>
      <c r="AJ221" s="525">
        <v>129.91</v>
      </c>
      <c r="AK221" s="525">
        <v>1151</v>
      </c>
      <c r="AL221" s="525">
        <v>276.12</v>
      </c>
      <c r="AM221" s="525">
        <v>102</v>
      </c>
      <c r="AN221" s="526">
        <v>0</v>
      </c>
      <c r="AO221" s="526">
        <v>0</v>
      </c>
      <c r="AP221" s="526">
        <v>0</v>
      </c>
      <c r="AQ221" s="526">
        <v>0</v>
      </c>
      <c r="AR221" s="522">
        <v>0</v>
      </c>
      <c r="AS221" s="526">
        <v>71.41</v>
      </c>
      <c r="AT221" s="526">
        <v>70.77</v>
      </c>
      <c r="AU221" s="526">
        <v>16.190000000000001</v>
      </c>
      <c r="AV221" s="526">
        <v>87.6</v>
      </c>
      <c r="AW221" s="522">
        <v>30</v>
      </c>
      <c r="AX221" s="526">
        <v>87.07</v>
      </c>
      <c r="AY221" s="526">
        <v>86.9</v>
      </c>
      <c r="AZ221" s="526">
        <v>14.47</v>
      </c>
      <c r="BA221" s="526">
        <v>101.48</v>
      </c>
      <c r="BB221" s="522">
        <v>1289</v>
      </c>
      <c r="BC221" s="526">
        <v>100.9</v>
      </c>
      <c r="BD221" s="526">
        <v>101.82</v>
      </c>
      <c r="BE221" s="526">
        <v>9.6</v>
      </c>
      <c r="BF221" s="526">
        <v>108.8</v>
      </c>
      <c r="BG221" s="522">
        <v>1606</v>
      </c>
      <c r="BH221" s="526">
        <v>112.63</v>
      </c>
      <c r="BI221" s="526">
        <v>115.51</v>
      </c>
      <c r="BJ221" s="526">
        <v>2.95</v>
      </c>
      <c r="BK221" s="526">
        <v>114.32</v>
      </c>
      <c r="BL221" s="522">
        <v>1314</v>
      </c>
      <c r="BM221" s="526">
        <v>129.30000000000001</v>
      </c>
      <c r="BN221" s="526">
        <v>132.59</v>
      </c>
      <c r="BO221" s="526">
        <v>2.46</v>
      </c>
      <c r="BP221" s="526">
        <v>130.68</v>
      </c>
      <c r="BQ221" s="522">
        <v>197</v>
      </c>
      <c r="BR221" s="526">
        <v>138.82</v>
      </c>
      <c r="BS221" s="526">
        <v>139.69999999999999</v>
      </c>
      <c r="BT221" s="526">
        <v>1.32</v>
      </c>
      <c r="BU221" s="526">
        <v>139.56</v>
      </c>
      <c r="BV221" s="522">
        <v>18</v>
      </c>
      <c r="BW221" s="526">
        <v>152.68</v>
      </c>
      <c r="BX221" s="526">
        <v>183.48</v>
      </c>
      <c r="BY221" s="526">
        <v>3.65</v>
      </c>
      <c r="BZ221" s="526">
        <v>153.68</v>
      </c>
      <c r="CA221" s="522">
        <v>11</v>
      </c>
      <c r="CB221" s="526">
        <v>101.69</v>
      </c>
      <c r="CC221" s="526">
        <v>103.02</v>
      </c>
      <c r="CD221" s="526">
        <v>9.76</v>
      </c>
      <c r="CE221" s="526">
        <v>109.37</v>
      </c>
      <c r="CF221" s="522">
        <v>4465</v>
      </c>
      <c r="CG221" s="526">
        <v>101.69</v>
      </c>
      <c r="CH221" s="526">
        <v>103.02</v>
      </c>
      <c r="CI221" s="526">
        <v>9.76</v>
      </c>
      <c r="CJ221" s="526">
        <v>109.37</v>
      </c>
      <c r="CK221" s="522">
        <v>4465</v>
      </c>
      <c r="CL221" s="526">
        <v>239.07</v>
      </c>
      <c r="CM221" s="526">
        <v>84.84</v>
      </c>
      <c r="CN221" s="526">
        <v>101.15</v>
      </c>
      <c r="CO221" s="526">
        <v>277.19</v>
      </c>
      <c r="CP221" s="522">
        <v>69</v>
      </c>
      <c r="CQ221" s="526">
        <v>79.86</v>
      </c>
      <c r="CR221" s="526">
        <v>77.55</v>
      </c>
      <c r="CS221" s="526">
        <v>43.48</v>
      </c>
      <c r="CT221" s="526">
        <v>123.34</v>
      </c>
      <c r="CU221" s="522">
        <v>42</v>
      </c>
      <c r="CV221" s="526">
        <v>107.34</v>
      </c>
      <c r="CW221" s="526">
        <v>96.65</v>
      </c>
      <c r="CX221" s="526">
        <v>68.739999999999995</v>
      </c>
      <c r="CY221" s="526">
        <v>175.34</v>
      </c>
      <c r="CZ221" s="522">
        <v>833</v>
      </c>
      <c r="DA221" s="526">
        <v>127.56</v>
      </c>
      <c r="DB221" s="526">
        <v>119.22</v>
      </c>
      <c r="DC221" s="526">
        <v>52.13</v>
      </c>
      <c r="DD221" s="526">
        <v>179.35</v>
      </c>
      <c r="DE221" s="522">
        <v>312</v>
      </c>
      <c r="DF221" s="526">
        <v>117.81</v>
      </c>
      <c r="DG221" s="526">
        <v>115.51</v>
      </c>
      <c r="DH221" s="526">
        <v>31.35</v>
      </c>
      <c r="DI221" s="526">
        <v>136.62</v>
      </c>
      <c r="DJ221" s="522">
        <v>5</v>
      </c>
      <c r="DK221" s="526">
        <v>0</v>
      </c>
      <c r="DL221" s="526">
        <v>0</v>
      </c>
      <c r="DM221" s="526">
        <v>0</v>
      </c>
      <c r="DN221" s="526">
        <v>0</v>
      </c>
      <c r="DO221" s="522">
        <v>0</v>
      </c>
      <c r="DP221" s="526">
        <v>111.71</v>
      </c>
      <c r="DQ221" s="526">
        <v>102.13</v>
      </c>
      <c r="DR221" s="526">
        <v>63.37</v>
      </c>
      <c r="DS221" s="526">
        <v>174.39</v>
      </c>
      <c r="DT221" s="522">
        <v>1192</v>
      </c>
      <c r="DU221" s="526">
        <v>118.68</v>
      </c>
      <c r="DV221" s="526">
        <v>101.66</v>
      </c>
      <c r="DW221" s="526">
        <v>64.19</v>
      </c>
      <c r="DX221" s="526">
        <v>180.02</v>
      </c>
      <c r="DY221" s="522">
        <v>1261</v>
      </c>
      <c r="DZ221" s="526">
        <v>0</v>
      </c>
      <c r="EA221" s="526">
        <v>0</v>
      </c>
      <c r="EB221" s="526">
        <v>0</v>
      </c>
      <c r="EC221" s="522">
        <v>0</v>
      </c>
      <c r="ED221" s="526">
        <v>100.85</v>
      </c>
      <c r="EE221" s="522">
        <v>94</v>
      </c>
      <c r="EF221" s="526">
        <v>124.31</v>
      </c>
      <c r="EG221" s="522">
        <v>638</v>
      </c>
      <c r="EH221" s="526">
        <v>139.69</v>
      </c>
      <c r="EI221" s="522">
        <v>331</v>
      </c>
      <c r="EJ221" s="526">
        <v>162.97</v>
      </c>
      <c r="EK221" s="522">
        <v>84</v>
      </c>
      <c r="EL221" s="526">
        <v>190.98</v>
      </c>
      <c r="EM221" s="522">
        <v>1</v>
      </c>
      <c r="EN221" s="526">
        <v>206.91</v>
      </c>
      <c r="EO221" s="522">
        <v>3</v>
      </c>
      <c r="EP221" s="526">
        <v>129.91</v>
      </c>
      <c r="EQ221" s="522">
        <v>1151</v>
      </c>
      <c r="ER221" s="526">
        <v>129.91</v>
      </c>
      <c r="ES221" s="522">
        <v>1151</v>
      </c>
      <c r="ET221" s="526">
        <v>287.41000000000003</v>
      </c>
      <c r="EU221" s="526">
        <v>18</v>
      </c>
      <c r="EV221" s="526">
        <v>286.73</v>
      </c>
      <c r="EW221" s="522">
        <v>78</v>
      </c>
      <c r="EX221" s="526">
        <v>104.26</v>
      </c>
      <c r="EY221" s="522">
        <v>6</v>
      </c>
      <c r="EZ221" s="526">
        <v>0</v>
      </c>
      <c r="FA221" s="522">
        <v>0</v>
      </c>
      <c r="FB221" s="526">
        <v>0</v>
      </c>
      <c r="FC221" s="522">
        <v>0</v>
      </c>
      <c r="FD221" s="526">
        <v>0</v>
      </c>
      <c r="FE221" s="522">
        <v>0</v>
      </c>
      <c r="FF221" s="526">
        <v>273.7</v>
      </c>
      <c r="FG221" s="522">
        <v>84</v>
      </c>
      <c r="FH221" s="526">
        <v>276.12</v>
      </c>
      <c r="FI221" s="522">
        <v>102</v>
      </c>
      <c r="FJ221" s="522">
        <v>0</v>
      </c>
      <c r="FK221" s="522">
        <v>8</v>
      </c>
      <c r="FL221" s="522">
        <v>2</v>
      </c>
      <c r="FM221" s="522">
        <v>0</v>
      </c>
      <c r="FN221" s="522">
        <v>3</v>
      </c>
      <c r="FO221" s="522">
        <v>3</v>
      </c>
      <c r="FP221" s="522">
        <v>0</v>
      </c>
      <c r="FQ221" s="522">
        <v>6</v>
      </c>
      <c r="FR221" s="522">
        <v>8</v>
      </c>
    </row>
    <row r="222" spans="1:174" x14ac:dyDescent="0.25">
      <c r="A222" s="523" t="s">
        <v>694</v>
      </c>
      <c r="B222" s="523" t="s">
        <v>695</v>
      </c>
      <c r="C222" s="523" t="s">
        <v>286</v>
      </c>
      <c r="D222" s="522">
        <v>15666</v>
      </c>
      <c r="E222" s="522">
        <v>15293</v>
      </c>
      <c r="F222" s="522">
        <v>0</v>
      </c>
      <c r="G222" s="522">
        <v>0</v>
      </c>
      <c r="H222" s="522">
        <v>1648</v>
      </c>
      <c r="I222" s="522">
        <v>1093</v>
      </c>
      <c r="J222" s="522">
        <v>1620</v>
      </c>
      <c r="K222" s="522">
        <v>1620</v>
      </c>
      <c r="L222" s="522">
        <v>898</v>
      </c>
      <c r="M222" s="522">
        <v>0</v>
      </c>
      <c r="N222" s="522">
        <v>19832</v>
      </c>
      <c r="O222" s="522">
        <v>18006</v>
      </c>
      <c r="P222" s="522">
        <v>18934</v>
      </c>
      <c r="Q222" s="522">
        <v>2</v>
      </c>
      <c r="R222" s="523">
        <v>12</v>
      </c>
      <c r="S222" s="523">
        <v>23</v>
      </c>
      <c r="T222" s="523">
        <v>756</v>
      </c>
      <c r="U222" s="523">
        <v>19076</v>
      </c>
      <c r="V222" s="522">
        <v>15253</v>
      </c>
      <c r="W222" s="522">
        <v>47</v>
      </c>
      <c r="X222" s="522">
        <v>224</v>
      </c>
      <c r="Y222" s="522">
        <v>271</v>
      </c>
      <c r="Z222" s="524">
        <v>98.64</v>
      </c>
      <c r="AA222" s="524">
        <v>96.94</v>
      </c>
      <c r="AB222" s="524">
        <v>14.28</v>
      </c>
      <c r="AC222" s="524">
        <v>103.93</v>
      </c>
      <c r="AD222" s="524">
        <v>13510</v>
      </c>
      <c r="AE222" s="525">
        <v>93.81</v>
      </c>
      <c r="AF222" s="525">
        <v>89.08</v>
      </c>
      <c r="AG222" s="525">
        <v>45.68</v>
      </c>
      <c r="AH222" s="525">
        <v>137.55000000000001</v>
      </c>
      <c r="AI222" s="525">
        <v>2903</v>
      </c>
      <c r="AJ222" s="525">
        <v>119.91</v>
      </c>
      <c r="AK222" s="525">
        <v>1541</v>
      </c>
      <c r="AL222" s="525">
        <v>155.26</v>
      </c>
      <c r="AM222" s="525">
        <v>22</v>
      </c>
      <c r="AN222" s="526">
        <v>0</v>
      </c>
      <c r="AO222" s="526">
        <v>0</v>
      </c>
      <c r="AP222" s="526">
        <v>0</v>
      </c>
      <c r="AQ222" s="526">
        <v>0</v>
      </c>
      <c r="AR222" s="522">
        <v>0</v>
      </c>
      <c r="AS222" s="526">
        <v>75.77</v>
      </c>
      <c r="AT222" s="526">
        <v>76.33</v>
      </c>
      <c r="AU222" s="526">
        <v>17.57</v>
      </c>
      <c r="AV222" s="526">
        <v>93.35</v>
      </c>
      <c r="AW222" s="522">
        <v>30</v>
      </c>
      <c r="AX222" s="526">
        <v>85.17</v>
      </c>
      <c r="AY222" s="526">
        <v>83.33</v>
      </c>
      <c r="AZ222" s="526">
        <v>13.58</v>
      </c>
      <c r="BA222" s="526">
        <v>94</v>
      </c>
      <c r="BB222" s="522">
        <v>2627</v>
      </c>
      <c r="BC222" s="526">
        <v>93.52</v>
      </c>
      <c r="BD222" s="526">
        <v>92.77</v>
      </c>
      <c r="BE222" s="526">
        <v>17.420000000000002</v>
      </c>
      <c r="BF222" s="526">
        <v>103.34</v>
      </c>
      <c r="BG222" s="522">
        <v>4518</v>
      </c>
      <c r="BH222" s="526">
        <v>107.28</v>
      </c>
      <c r="BI222" s="526">
        <v>104.87</v>
      </c>
      <c r="BJ222" s="526">
        <v>5.05</v>
      </c>
      <c r="BK222" s="526">
        <v>107.86</v>
      </c>
      <c r="BL222" s="522">
        <v>5793</v>
      </c>
      <c r="BM222" s="526">
        <v>115.19</v>
      </c>
      <c r="BN222" s="526">
        <v>113.41</v>
      </c>
      <c r="BO222" s="526">
        <v>1.59</v>
      </c>
      <c r="BP222" s="526">
        <v>115.4</v>
      </c>
      <c r="BQ222" s="522">
        <v>514</v>
      </c>
      <c r="BR222" s="526">
        <v>119.09</v>
      </c>
      <c r="BS222" s="526">
        <v>121.08</v>
      </c>
      <c r="BT222" s="526">
        <v>0</v>
      </c>
      <c r="BU222" s="526">
        <v>119.09</v>
      </c>
      <c r="BV222" s="522">
        <v>23</v>
      </c>
      <c r="BW222" s="526">
        <v>131.33000000000001</v>
      </c>
      <c r="BX222" s="526">
        <v>140.91</v>
      </c>
      <c r="BY222" s="526">
        <v>0</v>
      </c>
      <c r="BZ222" s="526">
        <v>131.33000000000001</v>
      </c>
      <c r="CA222" s="522">
        <v>5</v>
      </c>
      <c r="CB222" s="526">
        <v>98.64</v>
      </c>
      <c r="CC222" s="526">
        <v>96.94</v>
      </c>
      <c r="CD222" s="526">
        <v>14.28</v>
      </c>
      <c r="CE222" s="526">
        <v>103.93</v>
      </c>
      <c r="CF222" s="522">
        <v>13510</v>
      </c>
      <c r="CG222" s="526">
        <v>98.64</v>
      </c>
      <c r="CH222" s="526">
        <v>96.94</v>
      </c>
      <c r="CI222" s="526">
        <v>14.28</v>
      </c>
      <c r="CJ222" s="526">
        <v>103.93</v>
      </c>
      <c r="CK222" s="522">
        <v>13510</v>
      </c>
      <c r="CL222" s="526">
        <v>99.03</v>
      </c>
      <c r="CM222" s="526">
        <v>84.48</v>
      </c>
      <c r="CN222" s="526">
        <v>73.08</v>
      </c>
      <c r="CO222" s="526">
        <v>156.77000000000001</v>
      </c>
      <c r="CP222" s="522">
        <v>324</v>
      </c>
      <c r="CQ222" s="526">
        <v>81.150000000000006</v>
      </c>
      <c r="CR222" s="526">
        <v>77.3</v>
      </c>
      <c r="CS222" s="526">
        <v>43.08</v>
      </c>
      <c r="CT222" s="526">
        <v>124.23</v>
      </c>
      <c r="CU222" s="522">
        <v>269</v>
      </c>
      <c r="CV222" s="526">
        <v>92.66</v>
      </c>
      <c r="CW222" s="526">
        <v>88.9</v>
      </c>
      <c r="CX222" s="526">
        <v>43.93</v>
      </c>
      <c r="CY222" s="526">
        <v>135.76</v>
      </c>
      <c r="CZ222" s="522">
        <v>2010</v>
      </c>
      <c r="DA222" s="526">
        <v>104.33</v>
      </c>
      <c r="DB222" s="526">
        <v>101.38</v>
      </c>
      <c r="DC222" s="526">
        <v>35.090000000000003</v>
      </c>
      <c r="DD222" s="526">
        <v>137.99</v>
      </c>
      <c r="DE222" s="522">
        <v>246</v>
      </c>
      <c r="DF222" s="526">
        <v>116.24</v>
      </c>
      <c r="DG222" s="526">
        <v>107.88</v>
      </c>
      <c r="DH222" s="526">
        <v>39.64</v>
      </c>
      <c r="DI222" s="526">
        <v>151.75</v>
      </c>
      <c r="DJ222" s="522">
        <v>48</v>
      </c>
      <c r="DK222" s="526">
        <v>153.47</v>
      </c>
      <c r="DL222" s="526">
        <v>168.17</v>
      </c>
      <c r="DM222" s="526">
        <v>17.8</v>
      </c>
      <c r="DN222" s="526">
        <v>165.34</v>
      </c>
      <c r="DO222" s="522">
        <v>6</v>
      </c>
      <c r="DP222" s="526">
        <v>93.15</v>
      </c>
      <c r="DQ222" s="526">
        <v>89.44</v>
      </c>
      <c r="DR222" s="526">
        <v>42.9</v>
      </c>
      <c r="DS222" s="526">
        <v>135.13999999999999</v>
      </c>
      <c r="DT222" s="522">
        <v>2579</v>
      </c>
      <c r="DU222" s="526">
        <v>93.81</v>
      </c>
      <c r="DV222" s="526">
        <v>89.08</v>
      </c>
      <c r="DW222" s="526">
        <v>45.68</v>
      </c>
      <c r="DX222" s="526">
        <v>137.55000000000001</v>
      </c>
      <c r="DY222" s="522">
        <v>2903</v>
      </c>
      <c r="DZ222" s="526">
        <v>0</v>
      </c>
      <c r="EA222" s="526">
        <v>0</v>
      </c>
      <c r="EB222" s="526">
        <v>0</v>
      </c>
      <c r="EC222" s="522">
        <v>0</v>
      </c>
      <c r="ED222" s="526">
        <v>99.94</v>
      </c>
      <c r="EE222" s="522">
        <v>212</v>
      </c>
      <c r="EF222" s="526">
        <v>112.9</v>
      </c>
      <c r="EG222" s="522">
        <v>732</v>
      </c>
      <c r="EH222" s="526">
        <v>133.97</v>
      </c>
      <c r="EI222" s="522">
        <v>544</v>
      </c>
      <c r="EJ222" s="526">
        <v>152.18</v>
      </c>
      <c r="EK222" s="522">
        <v>53</v>
      </c>
      <c r="EL222" s="526">
        <v>0</v>
      </c>
      <c r="EM222" s="522">
        <v>0</v>
      </c>
      <c r="EN222" s="526">
        <v>0</v>
      </c>
      <c r="EO222" s="522">
        <v>0</v>
      </c>
      <c r="EP222" s="526">
        <v>119.91</v>
      </c>
      <c r="EQ222" s="522">
        <v>1541</v>
      </c>
      <c r="ER222" s="526">
        <v>119.91</v>
      </c>
      <c r="ES222" s="522">
        <v>1541</v>
      </c>
      <c r="ET222" s="526">
        <v>0</v>
      </c>
      <c r="EU222" s="526">
        <v>0</v>
      </c>
      <c r="EV222" s="526">
        <v>0</v>
      </c>
      <c r="EW222" s="522">
        <v>0</v>
      </c>
      <c r="EX222" s="526">
        <v>166.4</v>
      </c>
      <c r="EY222" s="522">
        <v>11</v>
      </c>
      <c r="EZ222" s="526">
        <v>140.26</v>
      </c>
      <c r="FA222" s="522">
        <v>10</v>
      </c>
      <c r="FB222" s="526">
        <v>182.71</v>
      </c>
      <c r="FC222" s="522">
        <v>1</v>
      </c>
      <c r="FD222" s="526">
        <v>0</v>
      </c>
      <c r="FE222" s="522">
        <v>0</v>
      </c>
      <c r="FF222" s="526">
        <v>155.26</v>
      </c>
      <c r="FG222" s="522">
        <v>22</v>
      </c>
      <c r="FH222" s="526">
        <v>155.26</v>
      </c>
      <c r="FI222" s="522">
        <v>22</v>
      </c>
      <c r="FJ222" s="522">
        <v>0</v>
      </c>
      <c r="FK222" s="522">
        <v>33</v>
      </c>
      <c r="FL222" s="522">
        <v>27</v>
      </c>
      <c r="FM222" s="522">
        <v>0</v>
      </c>
      <c r="FN222" s="522">
        <v>6</v>
      </c>
      <c r="FO222" s="522">
        <v>0</v>
      </c>
      <c r="FP222" s="522">
        <v>7</v>
      </c>
      <c r="FQ222" s="522">
        <v>70</v>
      </c>
      <c r="FR222" s="522">
        <v>4</v>
      </c>
    </row>
    <row r="223" spans="1:174" x14ac:dyDescent="0.25">
      <c r="A223" s="523" t="s">
        <v>696</v>
      </c>
      <c r="B223" s="523" t="s">
        <v>697</v>
      </c>
      <c r="C223" s="523" t="s">
        <v>2</v>
      </c>
      <c r="D223" s="522">
        <v>5870</v>
      </c>
      <c r="E223" s="522">
        <v>5854</v>
      </c>
      <c r="F223" s="522">
        <v>0</v>
      </c>
      <c r="G223" s="522">
        <v>0</v>
      </c>
      <c r="H223" s="522">
        <v>86</v>
      </c>
      <c r="I223" s="522">
        <v>43</v>
      </c>
      <c r="J223" s="522">
        <v>737</v>
      </c>
      <c r="K223" s="522">
        <v>611</v>
      </c>
      <c r="L223" s="522">
        <v>873</v>
      </c>
      <c r="M223" s="522">
        <v>103</v>
      </c>
      <c r="N223" s="522">
        <v>7566</v>
      </c>
      <c r="O223" s="522">
        <v>6611</v>
      </c>
      <c r="P223" s="522">
        <v>6693</v>
      </c>
      <c r="Q223" s="522">
        <v>2</v>
      </c>
      <c r="R223" s="523">
        <v>6</v>
      </c>
      <c r="S223" s="523">
        <v>18</v>
      </c>
      <c r="T223" s="523">
        <v>165</v>
      </c>
      <c r="U223" s="523">
        <v>7401</v>
      </c>
      <c r="V223" s="522">
        <v>5854</v>
      </c>
      <c r="W223" s="522">
        <v>32</v>
      </c>
      <c r="X223" s="522">
        <v>30</v>
      </c>
      <c r="Y223" s="522">
        <v>62</v>
      </c>
      <c r="Z223" s="524">
        <v>121.49</v>
      </c>
      <c r="AA223" s="524">
        <v>121.85</v>
      </c>
      <c r="AB223" s="524">
        <v>5.95</v>
      </c>
      <c r="AC223" s="524">
        <v>125.36</v>
      </c>
      <c r="AD223" s="524">
        <v>5504</v>
      </c>
      <c r="AE223" s="525">
        <v>104.7</v>
      </c>
      <c r="AF223" s="525">
        <v>100.89</v>
      </c>
      <c r="AG223" s="525">
        <v>44.93</v>
      </c>
      <c r="AH223" s="525">
        <v>148.22999999999999</v>
      </c>
      <c r="AI223" s="525">
        <v>579</v>
      </c>
      <c r="AJ223" s="525">
        <v>184.99</v>
      </c>
      <c r="AK223" s="525">
        <v>331</v>
      </c>
      <c r="AL223" s="525">
        <v>161.63999999999999</v>
      </c>
      <c r="AM223" s="525">
        <v>95</v>
      </c>
      <c r="AN223" s="526">
        <v>0</v>
      </c>
      <c r="AO223" s="526">
        <v>0</v>
      </c>
      <c r="AP223" s="526">
        <v>0</v>
      </c>
      <c r="AQ223" s="526">
        <v>0</v>
      </c>
      <c r="AR223" s="522">
        <v>0</v>
      </c>
      <c r="AS223" s="526">
        <v>97.71</v>
      </c>
      <c r="AT223" s="526">
        <v>91.92</v>
      </c>
      <c r="AU223" s="526">
        <v>2.83</v>
      </c>
      <c r="AV223" s="526">
        <v>100.54</v>
      </c>
      <c r="AW223" s="522">
        <v>3</v>
      </c>
      <c r="AX223" s="526">
        <v>103.11</v>
      </c>
      <c r="AY223" s="526">
        <v>102.99</v>
      </c>
      <c r="AZ223" s="526">
        <v>8.4499999999999993</v>
      </c>
      <c r="BA223" s="526">
        <v>110.44</v>
      </c>
      <c r="BB223" s="522">
        <v>1321</v>
      </c>
      <c r="BC223" s="526">
        <v>120.19</v>
      </c>
      <c r="BD223" s="526">
        <v>120.25</v>
      </c>
      <c r="BE223" s="526">
        <v>5.41</v>
      </c>
      <c r="BF223" s="526">
        <v>123.57</v>
      </c>
      <c r="BG223" s="522">
        <v>1897</v>
      </c>
      <c r="BH223" s="526">
        <v>132.24</v>
      </c>
      <c r="BI223" s="526">
        <v>132.79</v>
      </c>
      <c r="BJ223" s="526">
        <v>4.1500000000000004</v>
      </c>
      <c r="BK223" s="526">
        <v>134.52000000000001</v>
      </c>
      <c r="BL223" s="522">
        <v>2155</v>
      </c>
      <c r="BM223" s="526">
        <v>148.05000000000001</v>
      </c>
      <c r="BN223" s="526">
        <v>151.34</v>
      </c>
      <c r="BO223" s="526">
        <v>4.79</v>
      </c>
      <c r="BP223" s="526">
        <v>150.19999999999999</v>
      </c>
      <c r="BQ223" s="522">
        <v>120</v>
      </c>
      <c r="BR223" s="526">
        <v>166.84</v>
      </c>
      <c r="BS223" s="526">
        <v>162.4</v>
      </c>
      <c r="BT223" s="526">
        <v>8.34</v>
      </c>
      <c r="BU223" s="526">
        <v>170.18</v>
      </c>
      <c r="BV223" s="522">
        <v>5</v>
      </c>
      <c r="BW223" s="526">
        <v>191.38</v>
      </c>
      <c r="BX223" s="526">
        <v>204.66</v>
      </c>
      <c r="BY223" s="526">
        <v>2.83</v>
      </c>
      <c r="BZ223" s="526">
        <v>194.21</v>
      </c>
      <c r="CA223" s="522">
        <v>3</v>
      </c>
      <c r="CB223" s="526">
        <v>121.49</v>
      </c>
      <c r="CC223" s="526">
        <v>121.85</v>
      </c>
      <c r="CD223" s="526">
        <v>5.95</v>
      </c>
      <c r="CE223" s="526">
        <v>125.36</v>
      </c>
      <c r="CF223" s="522">
        <v>5504</v>
      </c>
      <c r="CG223" s="526">
        <v>121.49</v>
      </c>
      <c r="CH223" s="526">
        <v>121.85</v>
      </c>
      <c r="CI223" s="526">
        <v>5.95</v>
      </c>
      <c r="CJ223" s="526">
        <v>125.36</v>
      </c>
      <c r="CK223" s="522">
        <v>5504</v>
      </c>
      <c r="CL223" s="526">
        <v>124.42</v>
      </c>
      <c r="CM223" s="526">
        <v>91.8</v>
      </c>
      <c r="CN223" s="526">
        <v>94.14</v>
      </c>
      <c r="CO223" s="526">
        <v>184.04</v>
      </c>
      <c r="CP223" s="522">
        <v>30</v>
      </c>
      <c r="CQ223" s="526">
        <v>92.13</v>
      </c>
      <c r="CR223" s="526">
        <v>88.01</v>
      </c>
      <c r="CS223" s="526">
        <v>32.83</v>
      </c>
      <c r="CT223" s="526">
        <v>123.2</v>
      </c>
      <c r="CU223" s="522">
        <v>56</v>
      </c>
      <c r="CV223" s="526">
        <v>103.88</v>
      </c>
      <c r="CW223" s="526">
        <v>101.61</v>
      </c>
      <c r="CX223" s="526">
        <v>44.66</v>
      </c>
      <c r="CY223" s="526">
        <v>148.34</v>
      </c>
      <c r="CZ223" s="522">
        <v>462</v>
      </c>
      <c r="DA223" s="526">
        <v>120.2</v>
      </c>
      <c r="DB223" s="526">
        <v>115.26</v>
      </c>
      <c r="DC223" s="526">
        <v>38.53</v>
      </c>
      <c r="DD223" s="526">
        <v>156.08000000000001</v>
      </c>
      <c r="DE223" s="522">
        <v>29</v>
      </c>
      <c r="DF223" s="526">
        <v>126.43</v>
      </c>
      <c r="DG223" s="526">
        <v>122.34</v>
      </c>
      <c r="DH223" s="526">
        <v>45.28</v>
      </c>
      <c r="DI223" s="526">
        <v>171.7</v>
      </c>
      <c r="DJ223" s="522">
        <v>2</v>
      </c>
      <c r="DK223" s="526">
        <v>0</v>
      </c>
      <c r="DL223" s="526">
        <v>0</v>
      </c>
      <c r="DM223" s="526">
        <v>0</v>
      </c>
      <c r="DN223" s="526">
        <v>0</v>
      </c>
      <c r="DO223" s="522">
        <v>0</v>
      </c>
      <c r="DP223" s="526">
        <v>103.62</v>
      </c>
      <c r="DQ223" s="526">
        <v>101.01</v>
      </c>
      <c r="DR223" s="526">
        <v>43.2</v>
      </c>
      <c r="DS223" s="526">
        <v>146.27000000000001</v>
      </c>
      <c r="DT223" s="522">
        <v>549</v>
      </c>
      <c r="DU223" s="526">
        <v>104.7</v>
      </c>
      <c r="DV223" s="526">
        <v>100.89</v>
      </c>
      <c r="DW223" s="526">
        <v>44.93</v>
      </c>
      <c r="DX223" s="526">
        <v>148.22999999999999</v>
      </c>
      <c r="DY223" s="522">
        <v>579</v>
      </c>
      <c r="DZ223" s="526">
        <v>0</v>
      </c>
      <c r="EA223" s="526">
        <v>0</v>
      </c>
      <c r="EB223" s="526">
        <v>0</v>
      </c>
      <c r="EC223" s="522">
        <v>0</v>
      </c>
      <c r="ED223" s="526">
        <v>148.35</v>
      </c>
      <c r="EE223" s="522">
        <v>97</v>
      </c>
      <c r="EF223" s="526">
        <v>192</v>
      </c>
      <c r="EG223" s="522">
        <v>163</v>
      </c>
      <c r="EH223" s="526">
        <v>209.7</v>
      </c>
      <c r="EI223" s="522">
        <v>63</v>
      </c>
      <c r="EJ223" s="526">
        <v>291.99</v>
      </c>
      <c r="EK223" s="522">
        <v>8</v>
      </c>
      <c r="EL223" s="526">
        <v>0</v>
      </c>
      <c r="EM223" s="522">
        <v>0</v>
      </c>
      <c r="EN223" s="526">
        <v>0</v>
      </c>
      <c r="EO223" s="522">
        <v>0</v>
      </c>
      <c r="EP223" s="526">
        <v>184.99</v>
      </c>
      <c r="EQ223" s="522">
        <v>331</v>
      </c>
      <c r="ER223" s="526">
        <v>184.99</v>
      </c>
      <c r="ES223" s="522">
        <v>331</v>
      </c>
      <c r="ET223" s="526">
        <v>0</v>
      </c>
      <c r="EU223" s="526">
        <v>0</v>
      </c>
      <c r="EV223" s="526">
        <v>0</v>
      </c>
      <c r="EW223" s="522">
        <v>0</v>
      </c>
      <c r="EX223" s="526">
        <v>148.19999999999999</v>
      </c>
      <c r="EY223" s="522">
        <v>60</v>
      </c>
      <c r="EZ223" s="526">
        <v>184.69</v>
      </c>
      <c r="FA223" s="522">
        <v>35</v>
      </c>
      <c r="FB223" s="526">
        <v>0</v>
      </c>
      <c r="FC223" s="522">
        <v>0</v>
      </c>
      <c r="FD223" s="526">
        <v>0</v>
      </c>
      <c r="FE223" s="522">
        <v>0</v>
      </c>
      <c r="FF223" s="526">
        <v>161.63999999999999</v>
      </c>
      <c r="FG223" s="522">
        <v>95</v>
      </c>
      <c r="FH223" s="526">
        <v>161.63999999999999</v>
      </c>
      <c r="FI223" s="522">
        <v>95</v>
      </c>
      <c r="FJ223" s="522">
        <v>0</v>
      </c>
      <c r="FK223" s="522">
        <v>0</v>
      </c>
      <c r="FL223" s="522">
        <v>0</v>
      </c>
      <c r="FM223" s="522">
        <v>0</v>
      </c>
      <c r="FN223" s="522">
        <v>0</v>
      </c>
      <c r="FO223" s="522">
        <v>0</v>
      </c>
      <c r="FP223" s="522">
        <v>4</v>
      </c>
      <c r="FQ223" s="522">
        <v>2</v>
      </c>
      <c r="FR223" s="522">
        <v>8</v>
      </c>
    </row>
    <row r="224" spans="1:174" x14ac:dyDescent="0.25">
      <c r="A224" s="523" t="s">
        <v>698</v>
      </c>
      <c r="B224" s="523" t="s">
        <v>699</v>
      </c>
      <c r="C224" s="523" t="s">
        <v>289</v>
      </c>
      <c r="D224" s="522">
        <v>15520</v>
      </c>
      <c r="E224" s="522">
        <v>15430</v>
      </c>
      <c r="F224" s="522">
        <v>2</v>
      </c>
      <c r="G224" s="522">
        <v>2</v>
      </c>
      <c r="H224" s="522">
        <v>1324</v>
      </c>
      <c r="I224" s="522">
        <v>952</v>
      </c>
      <c r="J224" s="522">
        <v>1075</v>
      </c>
      <c r="K224" s="522">
        <v>1029</v>
      </c>
      <c r="L224" s="522">
        <v>540</v>
      </c>
      <c r="M224" s="522">
        <v>0</v>
      </c>
      <c r="N224" s="522">
        <v>18461</v>
      </c>
      <c r="O224" s="522">
        <v>17413</v>
      </c>
      <c r="P224" s="522">
        <v>17921</v>
      </c>
      <c r="Q224" s="522">
        <v>26</v>
      </c>
      <c r="R224" s="523">
        <v>14</v>
      </c>
      <c r="S224" s="523">
        <v>29</v>
      </c>
      <c r="T224" s="523">
        <v>399</v>
      </c>
      <c r="U224" s="523">
        <v>18062</v>
      </c>
      <c r="V224" s="522">
        <v>15449</v>
      </c>
      <c r="W224" s="522">
        <v>123</v>
      </c>
      <c r="X224" s="522">
        <v>89</v>
      </c>
      <c r="Y224" s="522">
        <v>212</v>
      </c>
      <c r="Z224" s="524">
        <v>91.59</v>
      </c>
      <c r="AA224" s="524">
        <v>93.2</v>
      </c>
      <c r="AB224" s="524">
        <v>12.22</v>
      </c>
      <c r="AC224" s="524">
        <v>95.9</v>
      </c>
      <c r="AD224" s="524">
        <v>12669</v>
      </c>
      <c r="AE224" s="525">
        <v>104.41</v>
      </c>
      <c r="AF224" s="525">
        <v>91.2</v>
      </c>
      <c r="AG224" s="525">
        <v>82.13</v>
      </c>
      <c r="AH224" s="525">
        <v>185.58</v>
      </c>
      <c r="AI224" s="525">
        <v>2050</v>
      </c>
      <c r="AJ224" s="525">
        <v>116.72</v>
      </c>
      <c r="AK224" s="525">
        <v>2578</v>
      </c>
      <c r="AL224" s="525">
        <v>186.1</v>
      </c>
      <c r="AM224" s="525">
        <v>22</v>
      </c>
      <c r="AN224" s="526">
        <v>101.88</v>
      </c>
      <c r="AO224" s="526">
        <v>105.77</v>
      </c>
      <c r="AP224" s="526">
        <v>0</v>
      </c>
      <c r="AQ224" s="526">
        <v>101.88</v>
      </c>
      <c r="AR224" s="522">
        <v>1</v>
      </c>
      <c r="AS224" s="526">
        <v>70.260000000000005</v>
      </c>
      <c r="AT224" s="526">
        <v>71.239999999999995</v>
      </c>
      <c r="AU224" s="526">
        <v>15</v>
      </c>
      <c r="AV224" s="526">
        <v>85</v>
      </c>
      <c r="AW224" s="522">
        <v>117</v>
      </c>
      <c r="AX224" s="526">
        <v>80.5</v>
      </c>
      <c r="AY224" s="526">
        <v>80.489999999999995</v>
      </c>
      <c r="AZ224" s="526">
        <v>16.510000000000002</v>
      </c>
      <c r="BA224" s="526">
        <v>90.22</v>
      </c>
      <c r="BB224" s="522">
        <v>2811</v>
      </c>
      <c r="BC224" s="526">
        <v>89.56</v>
      </c>
      <c r="BD224" s="526">
        <v>91.35</v>
      </c>
      <c r="BE224" s="526">
        <v>13.24</v>
      </c>
      <c r="BF224" s="526">
        <v>93.75</v>
      </c>
      <c r="BG224" s="522">
        <v>4802</v>
      </c>
      <c r="BH224" s="526">
        <v>98.47</v>
      </c>
      <c r="BI224" s="526">
        <v>101.14</v>
      </c>
      <c r="BJ224" s="526">
        <v>4.83</v>
      </c>
      <c r="BK224" s="526">
        <v>99.57</v>
      </c>
      <c r="BL224" s="522">
        <v>4456</v>
      </c>
      <c r="BM224" s="526">
        <v>117.31</v>
      </c>
      <c r="BN224" s="526">
        <v>116.96</v>
      </c>
      <c r="BO224" s="526">
        <v>3.11</v>
      </c>
      <c r="BP224" s="526">
        <v>118.36</v>
      </c>
      <c r="BQ224" s="522">
        <v>440</v>
      </c>
      <c r="BR224" s="526">
        <v>125.3</v>
      </c>
      <c r="BS224" s="526">
        <v>123.83</v>
      </c>
      <c r="BT224" s="526">
        <v>2.75</v>
      </c>
      <c r="BU224" s="526">
        <v>126.21</v>
      </c>
      <c r="BV224" s="522">
        <v>33</v>
      </c>
      <c r="BW224" s="526">
        <v>135.53</v>
      </c>
      <c r="BX224" s="526">
        <v>136.88</v>
      </c>
      <c r="BY224" s="526">
        <v>0</v>
      </c>
      <c r="BZ224" s="526">
        <v>135.53</v>
      </c>
      <c r="CA224" s="522">
        <v>9</v>
      </c>
      <c r="CB224" s="526">
        <v>91.59</v>
      </c>
      <c r="CC224" s="526">
        <v>93.2</v>
      </c>
      <c r="CD224" s="526">
        <v>12.22</v>
      </c>
      <c r="CE224" s="526">
        <v>95.9</v>
      </c>
      <c r="CF224" s="522">
        <v>12668</v>
      </c>
      <c r="CG224" s="526">
        <v>91.59</v>
      </c>
      <c r="CH224" s="526">
        <v>93.2</v>
      </c>
      <c r="CI224" s="526">
        <v>12.22</v>
      </c>
      <c r="CJ224" s="526">
        <v>95.9</v>
      </c>
      <c r="CK224" s="522">
        <v>12669</v>
      </c>
      <c r="CL224" s="526">
        <v>118.01</v>
      </c>
      <c r="CM224" s="526">
        <v>86.14</v>
      </c>
      <c r="CN224" s="526">
        <v>126.02</v>
      </c>
      <c r="CO224" s="526">
        <v>241.1</v>
      </c>
      <c r="CP224" s="522">
        <v>430</v>
      </c>
      <c r="CQ224" s="526">
        <v>73.099999999999994</v>
      </c>
      <c r="CR224" s="526">
        <v>72.33</v>
      </c>
      <c r="CS224" s="526">
        <v>71.959999999999994</v>
      </c>
      <c r="CT224" s="526">
        <v>145.07</v>
      </c>
      <c r="CU224" s="522">
        <v>231</v>
      </c>
      <c r="CV224" s="526">
        <v>99.04</v>
      </c>
      <c r="CW224" s="526">
        <v>89.5</v>
      </c>
      <c r="CX224" s="526">
        <v>62.44</v>
      </c>
      <c r="CY224" s="526">
        <v>160.93</v>
      </c>
      <c r="CZ224" s="522">
        <v>903</v>
      </c>
      <c r="DA224" s="526">
        <v>115.52</v>
      </c>
      <c r="DB224" s="526">
        <v>109.69</v>
      </c>
      <c r="DC224" s="526">
        <v>79.930000000000007</v>
      </c>
      <c r="DD224" s="526">
        <v>194.33</v>
      </c>
      <c r="DE224" s="522">
        <v>430</v>
      </c>
      <c r="DF224" s="526">
        <v>130.29</v>
      </c>
      <c r="DG224" s="526">
        <v>108.05</v>
      </c>
      <c r="DH224" s="526">
        <v>127.13</v>
      </c>
      <c r="DI224" s="526">
        <v>257.42</v>
      </c>
      <c r="DJ224" s="522">
        <v>55</v>
      </c>
      <c r="DK224" s="526">
        <v>136.35</v>
      </c>
      <c r="DL224" s="526">
        <v>132.38</v>
      </c>
      <c r="DM224" s="526">
        <v>84.06</v>
      </c>
      <c r="DN224" s="526">
        <v>220.41</v>
      </c>
      <c r="DO224" s="522">
        <v>1</v>
      </c>
      <c r="DP224" s="526">
        <v>100.8</v>
      </c>
      <c r="DQ224" s="526">
        <v>92.41</v>
      </c>
      <c r="DR224" s="526">
        <v>70.66</v>
      </c>
      <c r="DS224" s="526">
        <v>170.84</v>
      </c>
      <c r="DT224" s="522">
        <v>1620</v>
      </c>
      <c r="DU224" s="526">
        <v>104.41</v>
      </c>
      <c r="DV224" s="526">
        <v>91.2</v>
      </c>
      <c r="DW224" s="526">
        <v>82.13</v>
      </c>
      <c r="DX224" s="526">
        <v>185.58</v>
      </c>
      <c r="DY224" s="522">
        <v>2050</v>
      </c>
      <c r="DZ224" s="526">
        <v>0</v>
      </c>
      <c r="EA224" s="526">
        <v>0</v>
      </c>
      <c r="EB224" s="526">
        <v>74.81</v>
      </c>
      <c r="EC224" s="522">
        <v>1</v>
      </c>
      <c r="ED224" s="526">
        <v>100.98</v>
      </c>
      <c r="EE224" s="522">
        <v>409</v>
      </c>
      <c r="EF224" s="526">
        <v>113.44</v>
      </c>
      <c r="EG224" s="522">
        <v>1246</v>
      </c>
      <c r="EH224" s="526">
        <v>126.94</v>
      </c>
      <c r="EI224" s="522">
        <v>849</v>
      </c>
      <c r="EJ224" s="526">
        <v>143.79</v>
      </c>
      <c r="EK224" s="522">
        <v>67</v>
      </c>
      <c r="EL224" s="526">
        <v>128.84</v>
      </c>
      <c r="EM224" s="522">
        <v>6</v>
      </c>
      <c r="EN224" s="526">
        <v>0</v>
      </c>
      <c r="EO224" s="522">
        <v>0</v>
      </c>
      <c r="EP224" s="526">
        <v>116.72</v>
      </c>
      <c r="EQ224" s="522">
        <v>2578</v>
      </c>
      <c r="ER224" s="526">
        <v>116.72</v>
      </c>
      <c r="ES224" s="522">
        <v>2578</v>
      </c>
      <c r="ET224" s="526">
        <v>0</v>
      </c>
      <c r="EU224" s="526">
        <v>0</v>
      </c>
      <c r="EV224" s="526">
        <v>0</v>
      </c>
      <c r="EW224" s="522">
        <v>0</v>
      </c>
      <c r="EX224" s="526">
        <v>235.58</v>
      </c>
      <c r="EY224" s="522">
        <v>13</v>
      </c>
      <c r="EZ224" s="526">
        <v>114.62</v>
      </c>
      <c r="FA224" s="522">
        <v>9</v>
      </c>
      <c r="FB224" s="526">
        <v>0</v>
      </c>
      <c r="FC224" s="522">
        <v>0</v>
      </c>
      <c r="FD224" s="526">
        <v>0</v>
      </c>
      <c r="FE224" s="522">
        <v>0</v>
      </c>
      <c r="FF224" s="526">
        <v>186.1</v>
      </c>
      <c r="FG224" s="522">
        <v>22</v>
      </c>
      <c r="FH224" s="526">
        <v>186.1</v>
      </c>
      <c r="FI224" s="522">
        <v>22</v>
      </c>
      <c r="FJ224" s="522">
        <v>52</v>
      </c>
      <c r="FK224" s="522">
        <v>20</v>
      </c>
      <c r="FL224" s="522">
        <v>6</v>
      </c>
      <c r="FM224" s="522">
        <v>0</v>
      </c>
      <c r="FN224" s="522">
        <v>14</v>
      </c>
      <c r="FO224" s="522">
        <v>0</v>
      </c>
      <c r="FP224" s="522">
        <v>89</v>
      </c>
      <c r="FQ224" s="522">
        <v>0</v>
      </c>
      <c r="FR224" s="522">
        <v>9</v>
      </c>
    </row>
    <row r="225" spans="1:174" x14ac:dyDescent="0.25">
      <c r="A225" s="523" t="s">
        <v>700</v>
      </c>
      <c r="B225" s="523" t="s">
        <v>701</v>
      </c>
      <c r="C225" s="523" t="s">
        <v>288</v>
      </c>
      <c r="D225" s="522">
        <v>12804</v>
      </c>
      <c r="E225" s="522">
        <v>12508</v>
      </c>
      <c r="F225" s="522">
        <v>161</v>
      </c>
      <c r="G225" s="522">
        <v>161</v>
      </c>
      <c r="H225" s="522">
        <v>509</v>
      </c>
      <c r="I225" s="522">
        <v>136</v>
      </c>
      <c r="J225" s="522">
        <v>1744</v>
      </c>
      <c r="K225" s="522">
        <v>1608</v>
      </c>
      <c r="L225" s="522">
        <v>1108</v>
      </c>
      <c r="M225" s="522">
        <v>11</v>
      </c>
      <c r="N225" s="522">
        <v>16326</v>
      </c>
      <c r="O225" s="522">
        <v>14424</v>
      </c>
      <c r="P225" s="522">
        <v>15218</v>
      </c>
      <c r="Q225" s="522">
        <v>93</v>
      </c>
      <c r="R225" s="523">
        <v>9</v>
      </c>
      <c r="S225" s="523">
        <v>25</v>
      </c>
      <c r="T225" s="523">
        <v>448</v>
      </c>
      <c r="U225" s="523">
        <v>15878</v>
      </c>
      <c r="V225" s="522">
        <v>12512</v>
      </c>
      <c r="W225" s="522">
        <v>35</v>
      </c>
      <c r="X225" s="522">
        <v>241</v>
      </c>
      <c r="Y225" s="522">
        <v>276</v>
      </c>
      <c r="Z225" s="524">
        <v>100.84</v>
      </c>
      <c r="AA225" s="524">
        <v>101.01</v>
      </c>
      <c r="AB225" s="524">
        <v>4.25</v>
      </c>
      <c r="AC225" s="524">
        <v>103.12</v>
      </c>
      <c r="AD225" s="524">
        <v>9909</v>
      </c>
      <c r="AE225" s="525">
        <v>98.8</v>
      </c>
      <c r="AF225" s="525">
        <v>92.33</v>
      </c>
      <c r="AG225" s="525">
        <v>28.71</v>
      </c>
      <c r="AH225" s="525">
        <v>127.22</v>
      </c>
      <c r="AI225" s="525">
        <v>1611</v>
      </c>
      <c r="AJ225" s="525">
        <v>123.52</v>
      </c>
      <c r="AK225" s="525">
        <v>2158</v>
      </c>
      <c r="AL225" s="525">
        <v>240.51</v>
      </c>
      <c r="AM225" s="525">
        <v>537</v>
      </c>
      <c r="AN225" s="526">
        <v>0</v>
      </c>
      <c r="AO225" s="526">
        <v>0</v>
      </c>
      <c r="AP225" s="526">
        <v>0</v>
      </c>
      <c r="AQ225" s="526">
        <v>0</v>
      </c>
      <c r="AR225" s="522">
        <v>0</v>
      </c>
      <c r="AS225" s="526">
        <v>71.290000000000006</v>
      </c>
      <c r="AT225" s="526">
        <v>70.510000000000005</v>
      </c>
      <c r="AU225" s="526">
        <v>8.8699999999999992</v>
      </c>
      <c r="AV225" s="526">
        <v>78.790000000000006</v>
      </c>
      <c r="AW225" s="522">
        <v>26</v>
      </c>
      <c r="AX225" s="526">
        <v>85.77</v>
      </c>
      <c r="AY225" s="526">
        <v>85.22</v>
      </c>
      <c r="AZ225" s="526">
        <v>6.9</v>
      </c>
      <c r="BA225" s="526">
        <v>89.36</v>
      </c>
      <c r="BB225" s="522">
        <v>2009</v>
      </c>
      <c r="BC225" s="526">
        <v>99.52</v>
      </c>
      <c r="BD225" s="526">
        <v>99.25</v>
      </c>
      <c r="BE225" s="526">
        <v>4.72</v>
      </c>
      <c r="BF225" s="526">
        <v>102.44</v>
      </c>
      <c r="BG225" s="522">
        <v>3435</v>
      </c>
      <c r="BH225" s="526">
        <v>108.37</v>
      </c>
      <c r="BI225" s="526">
        <v>109.18</v>
      </c>
      <c r="BJ225" s="526">
        <v>2.4500000000000002</v>
      </c>
      <c r="BK225" s="526">
        <v>109.55</v>
      </c>
      <c r="BL225" s="522">
        <v>4198</v>
      </c>
      <c r="BM225" s="526">
        <v>115.18</v>
      </c>
      <c r="BN225" s="526">
        <v>116.88</v>
      </c>
      <c r="BO225" s="526">
        <v>2.37</v>
      </c>
      <c r="BP225" s="526">
        <v>116.28</v>
      </c>
      <c r="BQ225" s="522">
        <v>218</v>
      </c>
      <c r="BR225" s="526">
        <v>127.96</v>
      </c>
      <c r="BS225" s="526">
        <v>129.87</v>
      </c>
      <c r="BT225" s="526">
        <v>3.68</v>
      </c>
      <c r="BU225" s="526">
        <v>129.38999999999999</v>
      </c>
      <c r="BV225" s="522">
        <v>18</v>
      </c>
      <c r="BW225" s="526">
        <v>166.75</v>
      </c>
      <c r="BX225" s="526">
        <v>165.34</v>
      </c>
      <c r="BY225" s="526">
        <v>2.02</v>
      </c>
      <c r="BZ225" s="526">
        <v>167.96</v>
      </c>
      <c r="CA225" s="522">
        <v>5</v>
      </c>
      <c r="CB225" s="526">
        <v>100.84</v>
      </c>
      <c r="CC225" s="526">
        <v>101.01</v>
      </c>
      <c r="CD225" s="526">
        <v>4.25</v>
      </c>
      <c r="CE225" s="526">
        <v>103.12</v>
      </c>
      <c r="CF225" s="522">
        <v>9909</v>
      </c>
      <c r="CG225" s="526">
        <v>100.84</v>
      </c>
      <c r="CH225" s="526">
        <v>101.01</v>
      </c>
      <c r="CI225" s="526">
        <v>4.25</v>
      </c>
      <c r="CJ225" s="526">
        <v>103.12</v>
      </c>
      <c r="CK225" s="522">
        <v>9909</v>
      </c>
      <c r="CL225" s="526">
        <v>159.68</v>
      </c>
      <c r="CM225" s="526">
        <v>86.35</v>
      </c>
      <c r="CN225" s="526">
        <v>116.42</v>
      </c>
      <c r="CO225" s="526">
        <v>272.87</v>
      </c>
      <c r="CP225" s="522">
        <v>72</v>
      </c>
      <c r="CQ225" s="526">
        <v>78.349999999999994</v>
      </c>
      <c r="CR225" s="526">
        <v>73.34</v>
      </c>
      <c r="CS225" s="526">
        <v>33.49</v>
      </c>
      <c r="CT225" s="526">
        <v>111.84</v>
      </c>
      <c r="CU225" s="522">
        <v>105</v>
      </c>
      <c r="CV225" s="526">
        <v>94.73</v>
      </c>
      <c r="CW225" s="526">
        <v>90.69</v>
      </c>
      <c r="CX225" s="526">
        <v>24.74</v>
      </c>
      <c r="CY225" s="526">
        <v>119.25</v>
      </c>
      <c r="CZ225" s="522">
        <v>1104</v>
      </c>
      <c r="DA225" s="526">
        <v>104.43</v>
      </c>
      <c r="DB225" s="526">
        <v>104.09</v>
      </c>
      <c r="DC225" s="526">
        <v>21.06</v>
      </c>
      <c r="DD225" s="526">
        <v>125.23</v>
      </c>
      <c r="DE225" s="522">
        <v>326</v>
      </c>
      <c r="DF225" s="526">
        <v>201.84</v>
      </c>
      <c r="DG225" s="526">
        <v>135.51</v>
      </c>
      <c r="DH225" s="526">
        <v>69.33</v>
      </c>
      <c r="DI225" s="526">
        <v>271.17</v>
      </c>
      <c r="DJ225" s="522">
        <v>4</v>
      </c>
      <c r="DK225" s="526">
        <v>0</v>
      </c>
      <c r="DL225" s="526">
        <v>0</v>
      </c>
      <c r="DM225" s="526">
        <v>0</v>
      </c>
      <c r="DN225" s="526">
        <v>0</v>
      </c>
      <c r="DO225" s="522">
        <v>0</v>
      </c>
      <c r="DP225" s="526">
        <v>95.95</v>
      </c>
      <c r="DQ225" s="526">
        <v>92.42</v>
      </c>
      <c r="DR225" s="526">
        <v>24.68</v>
      </c>
      <c r="DS225" s="526">
        <v>120.4</v>
      </c>
      <c r="DT225" s="522">
        <v>1539</v>
      </c>
      <c r="DU225" s="526">
        <v>98.8</v>
      </c>
      <c r="DV225" s="526">
        <v>92.33</v>
      </c>
      <c r="DW225" s="526">
        <v>28.71</v>
      </c>
      <c r="DX225" s="526">
        <v>127.22</v>
      </c>
      <c r="DY225" s="522">
        <v>1611</v>
      </c>
      <c r="DZ225" s="526">
        <v>0</v>
      </c>
      <c r="EA225" s="526">
        <v>0</v>
      </c>
      <c r="EB225" s="526">
        <v>0</v>
      </c>
      <c r="EC225" s="522">
        <v>0</v>
      </c>
      <c r="ED225" s="526">
        <v>96.46</v>
      </c>
      <c r="EE225" s="522">
        <v>216</v>
      </c>
      <c r="EF225" s="526">
        <v>118.88</v>
      </c>
      <c r="EG225" s="522">
        <v>1128</v>
      </c>
      <c r="EH225" s="526">
        <v>136.24</v>
      </c>
      <c r="EI225" s="522">
        <v>781</v>
      </c>
      <c r="EJ225" s="526">
        <v>157.16</v>
      </c>
      <c r="EK225" s="522">
        <v>31</v>
      </c>
      <c r="EL225" s="526">
        <v>166.8</v>
      </c>
      <c r="EM225" s="522">
        <v>2</v>
      </c>
      <c r="EN225" s="526">
        <v>0</v>
      </c>
      <c r="EO225" s="522">
        <v>0</v>
      </c>
      <c r="EP225" s="526">
        <v>123.52</v>
      </c>
      <c r="EQ225" s="522">
        <v>2158</v>
      </c>
      <c r="ER225" s="526">
        <v>123.52</v>
      </c>
      <c r="ES225" s="522">
        <v>2158</v>
      </c>
      <c r="ET225" s="526">
        <v>206.79</v>
      </c>
      <c r="EU225" s="526">
        <v>16</v>
      </c>
      <c r="EV225" s="526">
        <v>92.39</v>
      </c>
      <c r="EW225" s="522">
        <v>16</v>
      </c>
      <c r="EX225" s="526">
        <v>220.89</v>
      </c>
      <c r="EY225" s="522">
        <v>189</v>
      </c>
      <c r="EZ225" s="526">
        <v>261.45</v>
      </c>
      <c r="FA225" s="522">
        <v>316</v>
      </c>
      <c r="FB225" s="526">
        <v>0</v>
      </c>
      <c r="FC225" s="522">
        <v>0</v>
      </c>
      <c r="FD225" s="526">
        <v>0</v>
      </c>
      <c r="FE225" s="522">
        <v>0</v>
      </c>
      <c r="FF225" s="526">
        <v>241.54</v>
      </c>
      <c r="FG225" s="522">
        <v>521</v>
      </c>
      <c r="FH225" s="526">
        <v>240.51</v>
      </c>
      <c r="FI225" s="522">
        <v>537</v>
      </c>
      <c r="FJ225" s="522">
        <v>12</v>
      </c>
      <c r="FK225" s="522">
        <v>8</v>
      </c>
      <c r="FL225" s="522">
        <v>5</v>
      </c>
      <c r="FM225" s="522">
        <v>0</v>
      </c>
      <c r="FN225" s="522">
        <v>2</v>
      </c>
      <c r="FO225" s="522">
        <v>1</v>
      </c>
      <c r="FP225" s="522">
        <v>33</v>
      </c>
      <c r="FQ225" s="522">
        <v>52</v>
      </c>
      <c r="FR225" s="522">
        <v>9</v>
      </c>
    </row>
    <row r="226" spans="1:174" x14ac:dyDescent="0.25">
      <c r="A226" s="523" t="s">
        <v>702</v>
      </c>
      <c r="B226" s="523" t="s">
        <v>703</v>
      </c>
      <c r="C226" s="523" t="s">
        <v>2</v>
      </c>
      <c r="D226" s="522">
        <v>3900</v>
      </c>
      <c r="E226" s="522">
        <v>3714</v>
      </c>
      <c r="F226" s="522">
        <v>24</v>
      </c>
      <c r="G226" s="522">
        <v>24</v>
      </c>
      <c r="H226" s="522">
        <v>336</v>
      </c>
      <c r="I226" s="522">
        <v>164</v>
      </c>
      <c r="J226" s="522">
        <v>232</v>
      </c>
      <c r="K226" s="522">
        <v>232</v>
      </c>
      <c r="L226" s="522">
        <v>542</v>
      </c>
      <c r="M226" s="522">
        <v>0</v>
      </c>
      <c r="N226" s="522">
        <v>5034</v>
      </c>
      <c r="O226" s="522">
        <v>4134</v>
      </c>
      <c r="P226" s="522">
        <v>4492</v>
      </c>
      <c r="Q226" s="522">
        <v>29</v>
      </c>
      <c r="R226" s="523">
        <v>8</v>
      </c>
      <c r="S226" s="523">
        <v>27</v>
      </c>
      <c r="T226" s="523">
        <v>255</v>
      </c>
      <c r="U226" s="523">
        <v>4779</v>
      </c>
      <c r="V226" s="522">
        <v>3713</v>
      </c>
      <c r="W226" s="522">
        <v>15</v>
      </c>
      <c r="X226" s="522">
        <v>26</v>
      </c>
      <c r="Y226" s="522">
        <v>41</v>
      </c>
      <c r="Z226" s="524">
        <v>137.04</v>
      </c>
      <c r="AA226" s="524">
        <v>140.07</v>
      </c>
      <c r="AB226" s="524">
        <v>11.16</v>
      </c>
      <c r="AC226" s="524">
        <v>146.5</v>
      </c>
      <c r="AD226" s="524">
        <v>3435</v>
      </c>
      <c r="AE226" s="525">
        <v>127.24</v>
      </c>
      <c r="AF226" s="525">
        <v>119.16</v>
      </c>
      <c r="AG226" s="525">
        <v>94.99</v>
      </c>
      <c r="AH226" s="525">
        <v>203.61</v>
      </c>
      <c r="AI226" s="525">
        <v>500</v>
      </c>
      <c r="AJ226" s="525">
        <v>172.31</v>
      </c>
      <c r="AK226" s="525">
        <v>178</v>
      </c>
      <c r="AL226" s="525">
        <v>0</v>
      </c>
      <c r="AM226" s="525">
        <v>0</v>
      </c>
      <c r="AN226" s="526">
        <v>84.78</v>
      </c>
      <c r="AO226" s="526">
        <v>84.14</v>
      </c>
      <c r="AP226" s="526">
        <v>22.61</v>
      </c>
      <c r="AQ226" s="526">
        <v>107.39</v>
      </c>
      <c r="AR226" s="522">
        <v>24</v>
      </c>
      <c r="AS226" s="526">
        <v>100.37</v>
      </c>
      <c r="AT226" s="526">
        <v>97.29</v>
      </c>
      <c r="AU226" s="526">
        <v>10.43</v>
      </c>
      <c r="AV226" s="526">
        <v>110.8</v>
      </c>
      <c r="AW226" s="522">
        <v>31</v>
      </c>
      <c r="AX226" s="526">
        <v>112.51</v>
      </c>
      <c r="AY226" s="526">
        <v>114.9</v>
      </c>
      <c r="AZ226" s="526">
        <v>15.85</v>
      </c>
      <c r="BA226" s="526">
        <v>127.96</v>
      </c>
      <c r="BB226" s="522">
        <v>752</v>
      </c>
      <c r="BC226" s="526">
        <v>133.76</v>
      </c>
      <c r="BD226" s="526">
        <v>136.12</v>
      </c>
      <c r="BE226" s="526">
        <v>12.32</v>
      </c>
      <c r="BF226" s="526">
        <v>144.58000000000001</v>
      </c>
      <c r="BG226" s="522">
        <v>1401</v>
      </c>
      <c r="BH226" s="526">
        <v>152.28</v>
      </c>
      <c r="BI226" s="526">
        <v>155.33000000000001</v>
      </c>
      <c r="BJ226" s="526">
        <v>5.73</v>
      </c>
      <c r="BK226" s="526">
        <v>156.24</v>
      </c>
      <c r="BL226" s="522">
        <v>900</v>
      </c>
      <c r="BM226" s="526">
        <v>169.8</v>
      </c>
      <c r="BN226" s="526">
        <v>177</v>
      </c>
      <c r="BO226" s="526">
        <v>4.78</v>
      </c>
      <c r="BP226" s="526">
        <v>173.79</v>
      </c>
      <c r="BQ226" s="522">
        <v>270</v>
      </c>
      <c r="BR226" s="526">
        <v>187.55</v>
      </c>
      <c r="BS226" s="526">
        <v>200.8</v>
      </c>
      <c r="BT226" s="526">
        <v>4.59</v>
      </c>
      <c r="BU226" s="526">
        <v>191.55</v>
      </c>
      <c r="BV226" s="522">
        <v>55</v>
      </c>
      <c r="BW226" s="526">
        <v>185.46</v>
      </c>
      <c r="BX226" s="526">
        <v>188.97</v>
      </c>
      <c r="BY226" s="526">
        <v>0</v>
      </c>
      <c r="BZ226" s="526">
        <v>185.46</v>
      </c>
      <c r="CA226" s="522">
        <v>2</v>
      </c>
      <c r="CB226" s="526">
        <v>137.41</v>
      </c>
      <c r="CC226" s="526">
        <v>140.47</v>
      </c>
      <c r="CD226" s="526">
        <v>11.06</v>
      </c>
      <c r="CE226" s="526">
        <v>146.78</v>
      </c>
      <c r="CF226" s="522">
        <v>3411</v>
      </c>
      <c r="CG226" s="526">
        <v>137.04</v>
      </c>
      <c r="CH226" s="526">
        <v>140.07</v>
      </c>
      <c r="CI226" s="526">
        <v>11.16</v>
      </c>
      <c r="CJ226" s="526">
        <v>146.5</v>
      </c>
      <c r="CK226" s="522">
        <v>3435</v>
      </c>
      <c r="CL226" s="526">
        <v>116.29</v>
      </c>
      <c r="CM226" s="526">
        <v>104.41</v>
      </c>
      <c r="CN226" s="526">
        <v>144.16</v>
      </c>
      <c r="CO226" s="526">
        <v>202.78</v>
      </c>
      <c r="CP226" s="522">
        <v>160</v>
      </c>
      <c r="CQ226" s="526">
        <v>99.01</v>
      </c>
      <c r="CR226" s="526">
        <v>99.01</v>
      </c>
      <c r="CS226" s="526">
        <v>233.5</v>
      </c>
      <c r="CT226" s="526">
        <v>332.51</v>
      </c>
      <c r="CU226" s="522">
        <v>10</v>
      </c>
      <c r="CV226" s="526">
        <v>132.21</v>
      </c>
      <c r="CW226" s="526">
        <v>124.72</v>
      </c>
      <c r="CX226" s="526">
        <v>75.95</v>
      </c>
      <c r="CY226" s="526">
        <v>202.49</v>
      </c>
      <c r="CZ226" s="522">
        <v>295</v>
      </c>
      <c r="DA226" s="526">
        <v>142.77000000000001</v>
      </c>
      <c r="DB226" s="526">
        <v>134.68</v>
      </c>
      <c r="DC226" s="526">
        <v>46.28</v>
      </c>
      <c r="DD226" s="526">
        <v>171.69</v>
      </c>
      <c r="DE226" s="522">
        <v>32</v>
      </c>
      <c r="DF226" s="526">
        <v>129.22</v>
      </c>
      <c r="DG226" s="526">
        <v>121.97</v>
      </c>
      <c r="DH226" s="526">
        <v>36.24</v>
      </c>
      <c r="DI226" s="526">
        <v>165.46</v>
      </c>
      <c r="DJ226" s="522">
        <v>1</v>
      </c>
      <c r="DK226" s="526">
        <v>161.79</v>
      </c>
      <c r="DL226" s="526">
        <v>161.16999999999999</v>
      </c>
      <c r="DM226" s="526">
        <v>156.9</v>
      </c>
      <c r="DN226" s="526">
        <v>318.69</v>
      </c>
      <c r="DO226" s="522">
        <v>2</v>
      </c>
      <c r="DP226" s="526">
        <v>132.38999999999999</v>
      </c>
      <c r="DQ226" s="526">
        <v>125.12</v>
      </c>
      <c r="DR226" s="526">
        <v>79.56</v>
      </c>
      <c r="DS226" s="526">
        <v>203.99</v>
      </c>
      <c r="DT226" s="522">
        <v>340</v>
      </c>
      <c r="DU226" s="526">
        <v>127.24</v>
      </c>
      <c r="DV226" s="526">
        <v>119.16</v>
      </c>
      <c r="DW226" s="526">
        <v>94.99</v>
      </c>
      <c r="DX226" s="526">
        <v>203.61</v>
      </c>
      <c r="DY226" s="522">
        <v>500</v>
      </c>
      <c r="DZ226" s="526">
        <v>0</v>
      </c>
      <c r="EA226" s="526">
        <v>0</v>
      </c>
      <c r="EB226" s="526">
        <v>0</v>
      </c>
      <c r="EC226" s="522">
        <v>0</v>
      </c>
      <c r="ED226" s="526">
        <v>145.88999999999999</v>
      </c>
      <c r="EE226" s="522">
        <v>68</v>
      </c>
      <c r="EF226" s="526">
        <v>181.88</v>
      </c>
      <c r="EG226" s="522">
        <v>91</v>
      </c>
      <c r="EH226" s="526">
        <v>197.43</v>
      </c>
      <c r="EI226" s="522">
        <v>13</v>
      </c>
      <c r="EJ226" s="526">
        <v>272.24</v>
      </c>
      <c r="EK226" s="522">
        <v>6</v>
      </c>
      <c r="EL226" s="526">
        <v>0</v>
      </c>
      <c r="EM226" s="522">
        <v>0</v>
      </c>
      <c r="EN226" s="526">
        <v>0</v>
      </c>
      <c r="EO226" s="522">
        <v>0</v>
      </c>
      <c r="EP226" s="526">
        <v>172.31</v>
      </c>
      <c r="EQ226" s="522">
        <v>178</v>
      </c>
      <c r="ER226" s="526">
        <v>172.31</v>
      </c>
      <c r="ES226" s="522">
        <v>178</v>
      </c>
      <c r="ET226" s="526">
        <v>0</v>
      </c>
      <c r="EU226" s="526">
        <v>0</v>
      </c>
      <c r="EV226" s="526">
        <v>0</v>
      </c>
      <c r="EW226" s="522">
        <v>0</v>
      </c>
      <c r="EX226" s="526">
        <v>0</v>
      </c>
      <c r="EY226" s="522">
        <v>0</v>
      </c>
      <c r="EZ226" s="526">
        <v>0</v>
      </c>
      <c r="FA226" s="522">
        <v>0</v>
      </c>
      <c r="FB226" s="526">
        <v>0</v>
      </c>
      <c r="FC226" s="522">
        <v>0</v>
      </c>
      <c r="FD226" s="526">
        <v>0</v>
      </c>
      <c r="FE226" s="522">
        <v>0</v>
      </c>
      <c r="FF226" s="526">
        <v>0</v>
      </c>
      <c r="FG226" s="522">
        <v>0</v>
      </c>
      <c r="FH226" s="526">
        <v>0</v>
      </c>
      <c r="FI226" s="522">
        <v>0</v>
      </c>
      <c r="FJ226" s="522">
        <v>13</v>
      </c>
      <c r="FK226" s="522">
        <v>3</v>
      </c>
      <c r="FL226" s="522">
        <v>0</v>
      </c>
      <c r="FM226" s="522">
        <v>0</v>
      </c>
      <c r="FN226" s="522">
        <v>3</v>
      </c>
      <c r="FO226" s="522">
        <v>0</v>
      </c>
      <c r="FP226" s="522">
        <v>5</v>
      </c>
      <c r="FQ226" s="522">
        <v>25</v>
      </c>
      <c r="FR226" s="522">
        <v>18</v>
      </c>
    </row>
    <row r="227" spans="1:174" x14ac:dyDescent="0.25">
      <c r="A227" s="523" t="s">
        <v>704</v>
      </c>
      <c r="B227" s="523" t="s">
        <v>705</v>
      </c>
      <c r="C227" s="523" t="s">
        <v>288</v>
      </c>
      <c r="D227" s="522">
        <v>2800</v>
      </c>
      <c r="E227" s="522">
        <v>2778</v>
      </c>
      <c r="F227" s="522">
        <v>29</v>
      </c>
      <c r="G227" s="522">
        <v>0</v>
      </c>
      <c r="H227" s="522">
        <v>197</v>
      </c>
      <c r="I227" s="522">
        <v>92</v>
      </c>
      <c r="J227" s="522">
        <v>569</v>
      </c>
      <c r="K227" s="522">
        <v>268</v>
      </c>
      <c r="L227" s="522">
        <v>690</v>
      </c>
      <c r="M227" s="522">
        <v>5</v>
      </c>
      <c r="N227" s="522">
        <v>4285</v>
      </c>
      <c r="O227" s="522">
        <v>3143</v>
      </c>
      <c r="P227" s="522">
        <v>3595</v>
      </c>
      <c r="Q227" s="522">
        <v>0</v>
      </c>
      <c r="R227" s="523">
        <v>13</v>
      </c>
      <c r="S227" s="523">
        <v>22</v>
      </c>
      <c r="T227" s="523">
        <v>438</v>
      </c>
      <c r="U227" s="523">
        <v>3847</v>
      </c>
      <c r="V227" s="522">
        <v>2778</v>
      </c>
      <c r="W227" s="522">
        <v>6</v>
      </c>
      <c r="X227" s="522">
        <v>9</v>
      </c>
      <c r="Y227" s="522">
        <v>15</v>
      </c>
      <c r="Z227" s="524">
        <v>119.61</v>
      </c>
      <c r="AA227" s="524">
        <v>121.24</v>
      </c>
      <c r="AB227" s="524">
        <v>6.54</v>
      </c>
      <c r="AC227" s="524">
        <v>124.88</v>
      </c>
      <c r="AD227" s="524">
        <v>2179</v>
      </c>
      <c r="AE227" s="525">
        <v>116.5</v>
      </c>
      <c r="AF227" s="525">
        <v>99.8</v>
      </c>
      <c r="AG227" s="525">
        <v>73.400000000000006</v>
      </c>
      <c r="AH227" s="525">
        <v>189.12</v>
      </c>
      <c r="AI227" s="525">
        <v>379</v>
      </c>
      <c r="AJ227" s="525">
        <v>132.43</v>
      </c>
      <c r="AK227" s="525">
        <v>571</v>
      </c>
      <c r="AL227" s="525">
        <v>249.78</v>
      </c>
      <c r="AM227" s="525">
        <v>38</v>
      </c>
      <c r="AN227" s="526">
        <v>0</v>
      </c>
      <c r="AO227" s="526">
        <v>0</v>
      </c>
      <c r="AP227" s="526">
        <v>0</v>
      </c>
      <c r="AQ227" s="526">
        <v>0</v>
      </c>
      <c r="AR227" s="522">
        <v>0</v>
      </c>
      <c r="AS227" s="526">
        <v>73.900000000000006</v>
      </c>
      <c r="AT227" s="526">
        <v>78.48</v>
      </c>
      <c r="AU227" s="526">
        <v>8.25</v>
      </c>
      <c r="AV227" s="526">
        <v>82.15</v>
      </c>
      <c r="AW227" s="522">
        <v>18</v>
      </c>
      <c r="AX227" s="526">
        <v>101.65</v>
      </c>
      <c r="AY227" s="526">
        <v>102.93</v>
      </c>
      <c r="AZ227" s="526">
        <v>9.2899999999999991</v>
      </c>
      <c r="BA227" s="526">
        <v>110.65</v>
      </c>
      <c r="BB227" s="522">
        <v>323</v>
      </c>
      <c r="BC227" s="526">
        <v>115.1</v>
      </c>
      <c r="BD227" s="526">
        <v>116.72</v>
      </c>
      <c r="BE227" s="526">
        <v>7.62</v>
      </c>
      <c r="BF227" s="526">
        <v>121.74</v>
      </c>
      <c r="BG227" s="522">
        <v>1025</v>
      </c>
      <c r="BH227" s="526">
        <v>130.1</v>
      </c>
      <c r="BI227" s="526">
        <v>131.94</v>
      </c>
      <c r="BJ227" s="526">
        <v>3.11</v>
      </c>
      <c r="BK227" s="526">
        <v>132.13</v>
      </c>
      <c r="BL227" s="522">
        <v>710</v>
      </c>
      <c r="BM227" s="526">
        <v>156.47999999999999</v>
      </c>
      <c r="BN227" s="526">
        <v>157.76</v>
      </c>
      <c r="BO227" s="526">
        <v>2.71</v>
      </c>
      <c r="BP227" s="526">
        <v>158.37</v>
      </c>
      <c r="BQ227" s="522">
        <v>103</v>
      </c>
      <c r="BR227" s="526">
        <v>0</v>
      </c>
      <c r="BS227" s="526">
        <v>0</v>
      </c>
      <c r="BT227" s="526">
        <v>0</v>
      </c>
      <c r="BU227" s="526">
        <v>0</v>
      </c>
      <c r="BV227" s="522">
        <v>0</v>
      </c>
      <c r="BW227" s="526">
        <v>0</v>
      </c>
      <c r="BX227" s="526">
        <v>0</v>
      </c>
      <c r="BY227" s="526">
        <v>0</v>
      </c>
      <c r="BZ227" s="526">
        <v>0</v>
      </c>
      <c r="CA227" s="522">
        <v>0</v>
      </c>
      <c r="CB227" s="526">
        <v>119.61</v>
      </c>
      <c r="CC227" s="526">
        <v>121.24</v>
      </c>
      <c r="CD227" s="526">
        <v>6.54</v>
      </c>
      <c r="CE227" s="526">
        <v>124.88</v>
      </c>
      <c r="CF227" s="522">
        <v>2179</v>
      </c>
      <c r="CG227" s="526">
        <v>119.61</v>
      </c>
      <c r="CH227" s="526">
        <v>121.24</v>
      </c>
      <c r="CI227" s="526">
        <v>6.54</v>
      </c>
      <c r="CJ227" s="526">
        <v>124.88</v>
      </c>
      <c r="CK227" s="522">
        <v>2179</v>
      </c>
      <c r="CL227" s="526">
        <v>106.78</v>
      </c>
      <c r="CM227" s="526">
        <v>92.53</v>
      </c>
      <c r="CN227" s="526">
        <v>76.930000000000007</v>
      </c>
      <c r="CO227" s="526">
        <v>174.66</v>
      </c>
      <c r="CP227" s="522">
        <v>34</v>
      </c>
      <c r="CQ227" s="526">
        <v>98.04</v>
      </c>
      <c r="CR227" s="526">
        <v>87.93</v>
      </c>
      <c r="CS227" s="526">
        <v>100.01</v>
      </c>
      <c r="CT227" s="526">
        <v>198.04</v>
      </c>
      <c r="CU227" s="522">
        <v>40</v>
      </c>
      <c r="CV227" s="526">
        <v>119.15</v>
      </c>
      <c r="CW227" s="526">
        <v>100.3</v>
      </c>
      <c r="CX227" s="526">
        <v>69.3</v>
      </c>
      <c r="CY227" s="526">
        <v>188.45</v>
      </c>
      <c r="CZ227" s="522">
        <v>278</v>
      </c>
      <c r="DA227" s="526">
        <v>128.79</v>
      </c>
      <c r="DB227" s="526">
        <v>121.68</v>
      </c>
      <c r="DC227" s="526">
        <v>72.22</v>
      </c>
      <c r="DD227" s="526">
        <v>201.01</v>
      </c>
      <c r="DE227" s="522">
        <v>27</v>
      </c>
      <c r="DF227" s="526">
        <v>0</v>
      </c>
      <c r="DG227" s="526">
        <v>0</v>
      </c>
      <c r="DH227" s="526">
        <v>0</v>
      </c>
      <c r="DI227" s="526">
        <v>0</v>
      </c>
      <c r="DJ227" s="522">
        <v>0</v>
      </c>
      <c r="DK227" s="526">
        <v>0</v>
      </c>
      <c r="DL227" s="526">
        <v>0</v>
      </c>
      <c r="DM227" s="526">
        <v>0</v>
      </c>
      <c r="DN227" s="526">
        <v>0</v>
      </c>
      <c r="DO227" s="522">
        <v>0</v>
      </c>
      <c r="DP227" s="526">
        <v>117.45</v>
      </c>
      <c r="DQ227" s="526">
        <v>100.55</v>
      </c>
      <c r="DR227" s="526">
        <v>73.09</v>
      </c>
      <c r="DS227" s="526">
        <v>190.55</v>
      </c>
      <c r="DT227" s="522">
        <v>345</v>
      </c>
      <c r="DU227" s="526">
        <v>116.5</v>
      </c>
      <c r="DV227" s="526">
        <v>99.8</v>
      </c>
      <c r="DW227" s="526">
        <v>73.400000000000006</v>
      </c>
      <c r="DX227" s="526">
        <v>189.12</v>
      </c>
      <c r="DY227" s="522">
        <v>379</v>
      </c>
      <c r="DZ227" s="526">
        <v>0</v>
      </c>
      <c r="EA227" s="526">
        <v>0</v>
      </c>
      <c r="EB227" s="526">
        <v>86.82</v>
      </c>
      <c r="EC227" s="522">
        <v>5</v>
      </c>
      <c r="ED227" s="526">
        <v>113.23</v>
      </c>
      <c r="EE227" s="522">
        <v>147</v>
      </c>
      <c r="EF227" s="526">
        <v>134.82</v>
      </c>
      <c r="EG227" s="522">
        <v>281</v>
      </c>
      <c r="EH227" s="526">
        <v>148.36000000000001</v>
      </c>
      <c r="EI227" s="522">
        <v>133</v>
      </c>
      <c r="EJ227" s="526">
        <v>184.92</v>
      </c>
      <c r="EK227" s="522">
        <v>5</v>
      </c>
      <c r="EL227" s="526">
        <v>0</v>
      </c>
      <c r="EM227" s="522">
        <v>0</v>
      </c>
      <c r="EN227" s="526">
        <v>0</v>
      </c>
      <c r="EO227" s="522">
        <v>0</v>
      </c>
      <c r="EP227" s="526">
        <v>132.43</v>
      </c>
      <c r="EQ227" s="522">
        <v>571</v>
      </c>
      <c r="ER227" s="526">
        <v>132.43</v>
      </c>
      <c r="ES227" s="522">
        <v>571</v>
      </c>
      <c r="ET227" s="526">
        <v>0</v>
      </c>
      <c r="EU227" s="526">
        <v>0</v>
      </c>
      <c r="EV227" s="526">
        <v>0</v>
      </c>
      <c r="EW227" s="522">
        <v>0</v>
      </c>
      <c r="EX227" s="526">
        <v>246.15</v>
      </c>
      <c r="EY227" s="522">
        <v>33</v>
      </c>
      <c r="EZ227" s="526">
        <v>273.77</v>
      </c>
      <c r="FA227" s="522">
        <v>5</v>
      </c>
      <c r="FB227" s="526">
        <v>0</v>
      </c>
      <c r="FC227" s="522">
        <v>0</v>
      </c>
      <c r="FD227" s="526">
        <v>0</v>
      </c>
      <c r="FE227" s="522">
        <v>0</v>
      </c>
      <c r="FF227" s="526">
        <v>249.78</v>
      </c>
      <c r="FG227" s="522">
        <v>38</v>
      </c>
      <c r="FH227" s="526">
        <v>249.78</v>
      </c>
      <c r="FI227" s="522">
        <v>38</v>
      </c>
      <c r="FJ227" s="522">
        <v>0</v>
      </c>
      <c r="FK227" s="522">
        <v>0</v>
      </c>
      <c r="FL227" s="522">
        <v>0</v>
      </c>
      <c r="FM227" s="522">
        <v>0</v>
      </c>
      <c r="FN227" s="522">
        <v>0</v>
      </c>
      <c r="FO227" s="522">
        <v>0</v>
      </c>
      <c r="FP227" s="522">
        <v>16</v>
      </c>
      <c r="FQ227" s="522">
        <v>29</v>
      </c>
      <c r="FR227" s="522">
        <v>11</v>
      </c>
    </row>
    <row r="228" spans="1:174" x14ac:dyDescent="0.25">
      <c r="A228" s="523" t="s">
        <v>14369</v>
      </c>
      <c r="B228" s="523" t="s">
        <v>14370</v>
      </c>
      <c r="C228" s="523" t="s">
        <v>287</v>
      </c>
      <c r="D228" s="522">
        <v>22525</v>
      </c>
      <c r="E228" s="522">
        <v>21344</v>
      </c>
      <c r="F228" s="522">
        <v>48</v>
      </c>
      <c r="G228" s="522">
        <v>48</v>
      </c>
      <c r="H228" s="522">
        <v>1495</v>
      </c>
      <c r="I228" s="522">
        <v>898</v>
      </c>
      <c r="J228" s="522">
        <v>3665</v>
      </c>
      <c r="K228" s="522">
        <v>3466</v>
      </c>
      <c r="L228" s="522">
        <v>2949</v>
      </c>
      <c r="M228" s="522">
        <v>129</v>
      </c>
      <c r="N228" s="522">
        <v>30682</v>
      </c>
      <c r="O228" s="522">
        <v>25885</v>
      </c>
      <c r="P228" s="522">
        <v>27733</v>
      </c>
      <c r="Q228" s="522">
        <v>9</v>
      </c>
      <c r="R228" s="523">
        <v>28</v>
      </c>
      <c r="S228" s="523">
        <v>43</v>
      </c>
      <c r="T228" s="523">
        <v>1823</v>
      </c>
      <c r="U228" s="523">
        <v>28859</v>
      </c>
      <c r="V228" s="522">
        <v>21407</v>
      </c>
      <c r="W228" s="522">
        <v>152</v>
      </c>
      <c r="X228" s="522">
        <v>137</v>
      </c>
      <c r="Y228" s="522">
        <v>289</v>
      </c>
      <c r="Z228" s="524">
        <v>106.97</v>
      </c>
      <c r="AA228" s="524">
        <v>107.04</v>
      </c>
      <c r="AB228" s="524">
        <v>6.13</v>
      </c>
      <c r="AC228" s="524">
        <v>110.3</v>
      </c>
      <c r="AD228" s="524">
        <v>18109</v>
      </c>
      <c r="AE228" s="525">
        <v>102.45</v>
      </c>
      <c r="AF228" s="525">
        <v>94.64</v>
      </c>
      <c r="AG228" s="525">
        <v>35.74</v>
      </c>
      <c r="AH228" s="525">
        <v>137.19999999999999</v>
      </c>
      <c r="AI228" s="525">
        <v>4315</v>
      </c>
      <c r="AJ228" s="525">
        <v>139.72</v>
      </c>
      <c r="AK228" s="525">
        <v>3149</v>
      </c>
      <c r="AL228" s="525">
        <v>144.27000000000001</v>
      </c>
      <c r="AM228" s="525">
        <v>140</v>
      </c>
      <c r="AN228" s="526">
        <v>0</v>
      </c>
      <c r="AO228" s="526">
        <v>0</v>
      </c>
      <c r="AP228" s="526">
        <v>0</v>
      </c>
      <c r="AQ228" s="526">
        <v>0</v>
      </c>
      <c r="AR228" s="522">
        <v>0</v>
      </c>
      <c r="AS228" s="526">
        <v>72.64</v>
      </c>
      <c r="AT228" s="526">
        <v>72.55</v>
      </c>
      <c r="AU228" s="526">
        <v>6.85</v>
      </c>
      <c r="AV228" s="526">
        <v>79.31</v>
      </c>
      <c r="AW228" s="522">
        <v>77</v>
      </c>
      <c r="AX228" s="526">
        <v>89.2</v>
      </c>
      <c r="AY228" s="526">
        <v>89.28</v>
      </c>
      <c r="AZ228" s="526">
        <v>9.1300000000000008</v>
      </c>
      <c r="BA228" s="526">
        <v>96.8</v>
      </c>
      <c r="BB228" s="522">
        <v>3268</v>
      </c>
      <c r="BC228" s="526">
        <v>104.69</v>
      </c>
      <c r="BD228" s="526">
        <v>104.62</v>
      </c>
      <c r="BE228" s="526">
        <v>6.29</v>
      </c>
      <c r="BF228" s="526">
        <v>108.3</v>
      </c>
      <c r="BG228" s="522">
        <v>7747</v>
      </c>
      <c r="BH228" s="526">
        <v>116.75</v>
      </c>
      <c r="BI228" s="526">
        <v>116.91</v>
      </c>
      <c r="BJ228" s="526">
        <v>2.62</v>
      </c>
      <c r="BK228" s="526">
        <v>117.68</v>
      </c>
      <c r="BL228" s="522">
        <v>6520</v>
      </c>
      <c r="BM228" s="526">
        <v>135.24</v>
      </c>
      <c r="BN228" s="526">
        <v>136.29</v>
      </c>
      <c r="BO228" s="526">
        <v>3.34</v>
      </c>
      <c r="BP228" s="526">
        <v>137.15</v>
      </c>
      <c r="BQ228" s="522">
        <v>452</v>
      </c>
      <c r="BR228" s="526">
        <v>146.79</v>
      </c>
      <c r="BS228" s="526">
        <v>149.08000000000001</v>
      </c>
      <c r="BT228" s="526">
        <v>2.21</v>
      </c>
      <c r="BU228" s="526">
        <v>148.19999999999999</v>
      </c>
      <c r="BV228" s="522">
        <v>39</v>
      </c>
      <c r="BW228" s="526">
        <v>151.79</v>
      </c>
      <c r="BX228" s="526">
        <v>156.28</v>
      </c>
      <c r="BY228" s="526">
        <v>0.72</v>
      </c>
      <c r="BZ228" s="526">
        <v>152.03</v>
      </c>
      <c r="CA228" s="522">
        <v>6</v>
      </c>
      <c r="CB228" s="526">
        <v>106.97</v>
      </c>
      <c r="CC228" s="526">
        <v>107.04</v>
      </c>
      <c r="CD228" s="526">
        <v>6.13</v>
      </c>
      <c r="CE228" s="526">
        <v>110.3</v>
      </c>
      <c r="CF228" s="522">
        <v>18109</v>
      </c>
      <c r="CG228" s="526">
        <v>106.97</v>
      </c>
      <c r="CH228" s="526">
        <v>107.04</v>
      </c>
      <c r="CI228" s="526">
        <v>6.13</v>
      </c>
      <c r="CJ228" s="526">
        <v>110.3</v>
      </c>
      <c r="CK228" s="522">
        <v>18109</v>
      </c>
      <c r="CL228" s="526">
        <v>105.01</v>
      </c>
      <c r="CM228" s="526">
        <v>81.77</v>
      </c>
      <c r="CN228" s="526">
        <v>101.01</v>
      </c>
      <c r="CO228" s="526">
        <v>189.12</v>
      </c>
      <c r="CP228" s="522">
        <v>538</v>
      </c>
      <c r="CQ228" s="526">
        <v>83.63</v>
      </c>
      <c r="CR228" s="526">
        <v>79.47</v>
      </c>
      <c r="CS228" s="526">
        <v>73.849999999999994</v>
      </c>
      <c r="CT228" s="526">
        <v>155.43</v>
      </c>
      <c r="CU228" s="522">
        <v>144</v>
      </c>
      <c r="CV228" s="526">
        <v>99.55</v>
      </c>
      <c r="CW228" s="526">
        <v>92.32</v>
      </c>
      <c r="CX228" s="526">
        <v>27.29</v>
      </c>
      <c r="CY228" s="526">
        <v>126.76</v>
      </c>
      <c r="CZ228" s="522">
        <v>2778</v>
      </c>
      <c r="DA228" s="526">
        <v>112.43</v>
      </c>
      <c r="DB228" s="526">
        <v>107.52</v>
      </c>
      <c r="DC228" s="526">
        <v>22.08</v>
      </c>
      <c r="DD228" s="526">
        <v>134.12</v>
      </c>
      <c r="DE228" s="522">
        <v>829</v>
      </c>
      <c r="DF228" s="526">
        <v>143.88999999999999</v>
      </c>
      <c r="DG228" s="526">
        <v>121.2</v>
      </c>
      <c r="DH228" s="526">
        <v>34.229999999999997</v>
      </c>
      <c r="DI228" s="526">
        <v>175.27</v>
      </c>
      <c r="DJ228" s="522">
        <v>24</v>
      </c>
      <c r="DK228" s="526">
        <v>157.51</v>
      </c>
      <c r="DL228" s="526">
        <v>161.35</v>
      </c>
      <c r="DM228" s="526">
        <v>29.9</v>
      </c>
      <c r="DN228" s="526">
        <v>172.46</v>
      </c>
      <c r="DO228" s="522">
        <v>2</v>
      </c>
      <c r="DP228" s="526">
        <v>102.08</v>
      </c>
      <c r="DQ228" s="526">
        <v>95.42</v>
      </c>
      <c r="DR228" s="526">
        <v>27.94</v>
      </c>
      <c r="DS228" s="526">
        <v>129.80000000000001</v>
      </c>
      <c r="DT228" s="522">
        <v>3777</v>
      </c>
      <c r="DU228" s="526">
        <v>102.45</v>
      </c>
      <c r="DV228" s="526">
        <v>94.64</v>
      </c>
      <c r="DW228" s="526">
        <v>35.74</v>
      </c>
      <c r="DX228" s="526">
        <v>137.19999999999999</v>
      </c>
      <c r="DY228" s="522">
        <v>4315</v>
      </c>
      <c r="DZ228" s="526">
        <v>0</v>
      </c>
      <c r="EA228" s="526">
        <v>0</v>
      </c>
      <c r="EB228" s="526">
        <v>80.67</v>
      </c>
      <c r="EC228" s="522">
        <v>4</v>
      </c>
      <c r="ED228" s="526">
        <v>107.71</v>
      </c>
      <c r="EE228" s="522">
        <v>515</v>
      </c>
      <c r="EF228" s="526">
        <v>133.35</v>
      </c>
      <c r="EG228" s="522">
        <v>1506</v>
      </c>
      <c r="EH228" s="526">
        <v>158.91999999999999</v>
      </c>
      <c r="EI228" s="522">
        <v>1005</v>
      </c>
      <c r="EJ228" s="526">
        <v>197.91</v>
      </c>
      <c r="EK228" s="522">
        <v>115</v>
      </c>
      <c r="EL228" s="526">
        <v>220.88</v>
      </c>
      <c r="EM228" s="522">
        <v>4</v>
      </c>
      <c r="EN228" s="526">
        <v>0</v>
      </c>
      <c r="EO228" s="522">
        <v>0</v>
      </c>
      <c r="EP228" s="526">
        <v>139.72</v>
      </c>
      <c r="EQ228" s="522">
        <v>3149</v>
      </c>
      <c r="ER228" s="526">
        <v>139.72</v>
      </c>
      <c r="ES228" s="522">
        <v>3149</v>
      </c>
      <c r="ET228" s="526">
        <v>197.05</v>
      </c>
      <c r="EU228" s="526">
        <v>9</v>
      </c>
      <c r="EV228" s="526">
        <v>0</v>
      </c>
      <c r="EW228" s="522">
        <v>0</v>
      </c>
      <c r="EX228" s="526">
        <v>136.59</v>
      </c>
      <c r="EY228" s="522">
        <v>95</v>
      </c>
      <c r="EZ228" s="526">
        <v>151.36000000000001</v>
      </c>
      <c r="FA228" s="522">
        <v>36</v>
      </c>
      <c r="FB228" s="526">
        <v>0</v>
      </c>
      <c r="FC228" s="522">
        <v>0</v>
      </c>
      <c r="FD228" s="526">
        <v>0</v>
      </c>
      <c r="FE228" s="522">
        <v>0</v>
      </c>
      <c r="FF228" s="526">
        <v>140.65</v>
      </c>
      <c r="FG228" s="522">
        <v>131</v>
      </c>
      <c r="FH228" s="526">
        <v>144.27000000000001</v>
      </c>
      <c r="FI228" s="522">
        <v>140</v>
      </c>
      <c r="FJ228" s="522">
        <v>0</v>
      </c>
      <c r="FK228" s="522">
        <v>8</v>
      </c>
      <c r="FL228" s="522">
        <v>5</v>
      </c>
      <c r="FM228" s="522">
        <v>0</v>
      </c>
      <c r="FN228" s="522">
        <v>3</v>
      </c>
      <c r="FO228" s="522">
        <v>0</v>
      </c>
      <c r="FP228" s="522">
        <v>101</v>
      </c>
      <c r="FQ228" s="522">
        <v>257</v>
      </c>
      <c r="FR228" s="522">
        <v>32</v>
      </c>
    </row>
    <row r="229" spans="1:174" x14ac:dyDescent="0.25">
      <c r="A229" s="523" t="s">
        <v>706</v>
      </c>
      <c r="B229" s="523" t="s">
        <v>707</v>
      </c>
      <c r="C229" s="523" t="s">
        <v>283</v>
      </c>
      <c r="D229" s="522">
        <v>4164</v>
      </c>
      <c r="E229" s="522">
        <v>4020</v>
      </c>
      <c r="F229" s="522">
        <v>0</v>
      </c>
      <c r="G229" s="522">
        <v>4</v>
      </c>
      <c r="H229" s="522">
        <v>365</v>
      </c>
      <c r="I229" s="522">
        <v>89</v>
      </c>
      <c r="J229" s="522">
        <v>191</v>
      </c>
      <c r="K229" s="522">
        <v>191</v>
      </c>
      <c r="L229" s="522">
        <v>1635</v>
      </c>
      <c r="M229" s="522">
        <v>31</v>
      </c>
      <c r="N229" s="522">
        <v>6355</v>
      </c>
      <c r="O229" s="522">
        <v>4335</v>
      </c>
      <c r="P229" s="522">
        <v>4720</v>
      </c>
      <c r="Q229" s="522">
        <v>13</v>
      </c>
      <c r="R229" s="523">
        <v>1</v>
      </c>
      <c r="S229" s="523">
        <v>34</v>
      </c>
      <c r="T229" s="523">
        <v>437</v>
      </c>
      <c r="U229" s="523">
        <v>5918</v>
      </c>
      <c r="V229" s="522">
        <v>3992</v>
      </c>
      <c r="W229" s="522">
        <v>29</v>
      </c>
      <c r="X229" s="522">
        <v>28</v>
      </c>
      <c r="Y229" s="522">
        <v>57</v>
      </c>
      <c r="Z229" s="524">
        <v>127.64</v>
      </c>
      <c r="AA229" s="524">
        <v>128.31</v>
      </c>
      <c r="AB229" s="524">
        <v>4.42</v>
      </c>
      <c r="AC229" s="524">
        <v>131.41999999999999</v>
      </c>
      <c r="AD229" s="524">
        <v>2472</v>
      </c>
      <c r="AE229" s="525">
        <v>122.97</v>
      </c>
      <c r="AF229" s="525">
        <v>118.17</v>
      </c>
      <c r="AG229" s="525">
        <v>69.09</v>
      </c>
      <c r="AH229" s="525">
        <v>191.78</v>
      </c>
      <c r="AI229" s="525">
        <v>244</v>
      </c>
      <c r="AJ229" s="525">
        <v>184.33</v>
      </c>
      <c r="AK229" s="525">
        <v>1374</v>
      </c>
      <c r="AL229" s="525">
        <v>213.61</v>
      </c>
      <c r="AM229" s="525">
        <v>89</v>
      </c>
      <c r="AN229" s="526">
        <v>0</v>
      </c>
      <c r="AO229" s="526">
        <v>0</v>
      </c>
      <c r="AP229" s="526">
        <v>0</v>
      </c>
      <c r="AQ229" s="526">
        <v>0</v>
      </c>
      <c r="AR229" s="522">
        <v>0</v>
      </c>
      <c r="AS229" s="526">
        <v>0</v>
      </c>
      <c r="AT229" s="526">
        <v>0</v>
      </c>
      <c r="AU229" s="526">
        <v>0</v>
      </c>
      <c r="AV229" s="526">
        <v>0</v>
      </c>
      <c r="AW229" s="522">
        <v>0</v>
      </c>
      <c r="AX229" s="526">
        <v>103.34</v>
      </c>
      <c r="AY229" s="526">
        <v>101.69</v>
      </c>
      <c r="AZ229" s="526">
        <v>7.5</v>
      </c>
      <c r="BA229" s="526">
        <v>110.16</v>
      </c>
      <c r="BB229" s="522">
        <v>365</v>
      </c>
      <c r="BC229" s="526">
        <v>123.53</v>
      </c>
      <c r="BD229" s="526">
        <v>123.41</v>
      </c>
      <c r="BE229" s="526">
        <v>5.04</v>
      </c>
      <c r="BF229" s="526">
        <v>127.87</v>
      </c>
      <c r="BG229" s="522">
        <v>1157</v>
      </c>
      <c r="BH229" s="526">
        <v>140.06</v>
      </c>
      <c r="BI229" s="526">
        <v>141.47</v>
      </c>
      <c r="BJ229" s="526">
        <v>2.23</v>
      </c>
      <c r="BK229" s="526">
        <v>141.88999999999999</v>
      </c>
      <c r="BL229" s="522">
        <v>806</v>
      </c>
      <c r="BM229" s="526">
        <v>152.19</v>
      </c>
      <c r="BN229" s="526">
        <v>158.97999999999999</v>
      </c>
      <c r="BO229" s="526">
        <v>2.9</v>
      </c>
      <c r="BP229" s="526">
        <v>154.68</v>
      </c>
      <c r="BQ229" s="522">
        <v>121</v>
      </c>
      <c r="BR229" s="526">
        <v>150.59</v>
      </c>
      <c r="BS229" s="526">
        <v>172.59</v>
      </c>
      <c r="BT229" s="526">
        <v>3.21</v>
      </c>
      <c r="BU229" s="526">
        <v>153.63999999999999</v>
      </c>
      <c r="BV229" s="522">
        <v>20</v>
      </c>
      <c r="BW229" s="526">
        <v>185.23</v>
      </c>
      <c r="BX229" s="526">
        <v>186.12</v>
      </c>
      <c r="BY229" s="526">
        <v>3.8</v>
      </c>
      <c r="BZ229" s="526">
        <v>189.03</v>
      </c>
      <c r="CA229" s="522">
        <v>3</v>
      </c>
      <c r="CB229" s="526">
        <v>127.64</v>
      </c>
      <c r="CC229" s="526">
        <v>128.31</v>
      </c>
      <c r="CD229" s="526">
        <v>4.42</v>
      </c>
      <c r="CE229" s="526">
        <v>131.41999999999999</v>
      </c>
      <c r="CF229" s="522">
        <v>2472</v>
      </c>
      <c r="CG229" s="526">
        <v>127.64</v>
      </c>
      <c r="CH229" s="526">
        <v>128.31</v>
      </c>
      <c r="CI229" s="526">
        <v>4.42</v>
      </c>
      <c r="CJ229" s="526">
        <v>131.41999999999999</v>
      </c>
      <c r="CK229" s="522">
        <v>2472</v>
      </c>
      <c r="CL229" s="526">
        <v>90.55</v>
      </c>
      <c r="CM229" s="526">
        <v>83.47</v>
      </c>
      <c r="CN229" s="526">
        <v>77.45</v>
      </c>
      <c r="CO229" s="526">
        <v>165.85</v>
      </c>
      <c r="CP229" s="522">
        <v>36</v>
      </c>
      <c r="CQ229" s="526">
        <v>0</v>
      </c>
      <c r="CR229" s="526">
        <v>0</v>
      </c>
      <c r="CS229" s="526">
        <v>0</v>
      </c>
      <c r="CT229" s="526">
        <v>0</v>
      </c>
      <c r="CU229" s="522">
        <v>0</v>
      </c>
      <c r="CV229" s="526">
        <v>127.48</v>
      </c>
      <c r="CW229" s="526">
        <v>122.17</v>
      </c>
      <c r="CX229" s="526">
        <v>69.88</v>
      </c>
      <c r="CY229" s="526">
        <v>197.36</v>
      </c>
      <c r="CZ229" s="522">
        <v>166</v>
      </c>
      <c r="DA229" s="526">
        <v>132.93</v>
      </c>
      <c r="DB229" s="526">
        <v>132.11000000000001</v>
      </c>
      <c r="DC229" s="526">
        <v>59.02</v>
      </c>
      <c r="DD229" s="526">
        <v>191.95</v>
      </c>
      <c r="DE229" s="522">
        <v>42</v>
      </c>
      <c r="DF229" s="526">
        <v>0</v>
      </c>
      <c r="DG229" s="526">
        <v>0</v>
      </c>
      <c r="DH229" s="526">
        <v>0</v>
      </c>
      <c r="DI229" s="526">
        <v>0</v>
      </c>
      <c r="DJ229" s="522">
        <v>0</v>
      </c>
      <c r="DK229" s="526">
        <v>0</v>
      </c>
      <c r="DL229" s="526">
        <v>0</v>
      </c>
      <c r="DM229" s="526">
        <v>0</v>
      </c>
      <c r="DN229" s="526">
        <v>0</v>
      </c>
      <c r="DO229" s="522">
        <v>0</v>
      </c>
      <c r="DP229" s="526">
        <v>128.58000000000001</v>
      </c>
      <c r="DQ229" s="526">
        <v>124.18</v>
      </c>
      <c r="DR229" s="526">
        <v>67.680000000000007</v>
      </c>
      <c r="DS229" s="526">
        <v>196.27</v>
      </c>
      <c r="DT229" s="522">
        <v>208</v>
      </c>
      <c r="DU229" s="526">
        <v>122.97</v>
      </c>
      <c r="DV229" s="526">
        <v>118.17</v>
      </c>
      <c r="DW229" s="526">
        <v>69.09</v>
      </c>
      <c r="DX229" s="526">
        <v>191.78</v>
      </c>
      <c r="DY229" s="522">
        <v>244</v>
      </c>
      <c r="DZ229" s="526">
        <v>0</v>
      </c>
      <c r="EA229" s="526">
        <v>0</v>
      </c>
      <c r="EB229" s="526">
        <v>137.82</v>
      </c>
      <c r="EC229" s="522">
        <v>1</v>
      </c>
      <c r="ED229" s="526">
        <v>151.91999999999999</v>
      </c>
      <c r="EE229" s="522">
        <v>306</v>
      </c>
      <c r="EF229" s="526">
        <v>181.46</v>
      </c>
      <c r="EG229" s="522">
        <v>699</v>
      </c>
      <c r="EH229" s="526">
        <v>206.06</v>
      </c>
      <c r="EI229" s="522">
        <v>289</v>
      </c>
      <c r="EJ229" s="526">
        <v>256.56</v>
      </c>
      <c r="EK229" s="522">
        <v>77</v>
      </c>
      <c r="EL229" s="526">
        <v>249.52</v>
      </c>
      <c r="EM229" s="522">
        <v>2</v>
      </c>
      <c r="EN229" s="526">
        <v>0</v>
      </c>
      <c r="EO229" s="522">
        <v>0</v>
      </c>
      <c r="EP229" s="526">
        <v>184.33</v>
      </c>
      <c r="EQ229" s="522">
        <v>1374</v>
      </c>
      <c r="ER229" s="526">
        <v>184.33</v>
      </c>
      <c r="ES229" s="522">
        <v>1374</v>
      </c>
      <c r="ET229" s="526">
        <v>0</v>
      </c>
      <c r="EU229" s="526">
        <v>0</v>
      </c>
      <c r="EV229" s="526">
        <v>0</v>
      </c>
      <c r="EW229" s="522">
        <v>0</v>
      </c>
      <c r="EX229" s="526">
        <v>212.03</v>
      </c>
      <c r="EY229" s="522">
        <v>72</v>
      </c>
      <c r="EZ229" s="526">
        <v>220.28</v>
      </c>
      <c r="FA229" s="522">
        <v>17</v>
      </c>
      <c r="FB229" s="526">
        <v>0</v>
      </c>
      <c r="FC229" s="522">
        <v>0</v>
      </c>
      <c r="FD229" s="526">
        <v>0</v>
      </c>
      <c r="FE229" s="522">
        <v>0</v>
      </c>
      <c r="FF229" s="526">
        <v>213.61</v>
      </c>
      <c r="FG229" s="522">
        <v>89</v>
      </c>
      <c r="FH229" s="526">
        <v>213.61</v>
      </c>
      <c r="FI229" s="522">
        <v>89</v>
      </c>
      <c r="FJ229" s="522">
        <v>0</v>
      </c>
      <c r="FK229" s="522">
        <v>0</v>
      </c>
      <c r="FL229" s="522">
        <v>0</v>
      </c>
      <c r="FM229" s="522">
        <v>0</v>
      </c>
      <c r="FN229" s="522">
        <v>0</v>
      </c>
      <c r="FO229" s="522">
        <v>0</v>
      </c>
      <c r="FP229" s="522">
        <v>2</v>
      </c>
      <c r="FQ229" s="522">
        <v>153</v>
      </c>
      <c r="FR229" s="522">
        <v>18</v>
      </c>
    </row>
    <row r="230" spans="1:174" x14ac:dyDescent="0.25">
      <c r="A230" s="523" t="s">
        <v>708</v>
      </c>
      <c r="B230" s="523" t="s">
        <v>709</v>
      </c>
      <c r="C230" s="523" t="s">
        <v>282</v>
      </c>
      <c r="D230" s="522">
        <v>2155</v>
      </c>
      <c r="E230" s="522">
        <v>2132</v>
      </c>
      <c r="F230" s="522">
        <v>0</v>
      </c>
      <c r="G230" s="522">
        <v>0</v>
      </c>
      <c r="H230" s="522">
        <v>111</v>
      </c>
      <c r="I230" s="522">
        <v>80</v>
      </c>
      <c r="J230" s="522">
        <v>116</v>
      </c>
      <c r="K230" s="522">
        <v>116</v>
      </c>
      <c r="L230" s="522">
        <v>567</v>
      </c>
      <c r="M230" s="522">
        <v>0</v>
      </c>
      <c r="N230" s="522">
        <v>2949</v>
      </c>
      <c r="O230" s="522">
        <v>2328</v>
      </c>
      <c r="P230" s="522">
        <v>2382</v>
      </c>
      <c r="Q230" s="522">
        <v>4</v>
      </c>
      <c r="R230" s="523">
        <v>5</v>
      </c>
      <c r="S230" s="523">
        <v>23</v>
      </c>
      <c r="T230" s="523">
        <v>47</v>
      </c>
      <c r="U230" s="523">
        <v>2902</v>
      </c>
      <c r="V230" s="522">
        <v>2139</v>
      </c>
      <c r="W230" s="522">
        <v>23</v>
      </c>
      <c r="X230" s="522">
        <v>9</v>
      </c>
      <c r="Y230" s="522">
        <v>32</v>
      </c>
      <c r="Z230" s="524">
        <v>107.94</v>
      </c>
      <c r="AA230" s="524">
        <v>108.91</v>
      </c>
      <c r="AB230" s="524">
        <v>5.41</v>
      </c>
      <c r="AC230" s="524">
        <v>112.14</v>
      </c>
      <c r="AD230" s="524">
        <v>1387</v>
      </c>
      <c r="AE230" s="525">
        <v>137.28</v>
      </c>
      <c r="AF230" s="525">
        <v>105.83</v>
      </c>
      <c r="AG230" s="525">
        <v>108.07</v>
      </c>
      <c r="AH230" s="525">
        <v>244.76</v>
      </c>
      <c r="AI230" s="525">
        <v>185</v>
      </c>
      <c r="AJ230" s="525">
        <v>128.38999999999999</v>
      </c>
      <c r="AK230" s="525">
        <v>759</v>
      </c>
      <c r="AL230" s="525">
        <v>315.64</v>
      </c>
      <c r="AM230" s="525">
        <v>11</v>
      </c>
      <c r="AN230" s="526">
        <v>0</v>
      </c>
      <c r="AO230" s="526">
        <v>0</v>
      </c>
      <c r="AP230" s="526">
        <v>0</v>
      </c>
      <c r="AQ230" s="526">
        <v>0</v>
      </c>
      <c r="AR230" s="522">
        <v>0</v>
      </c>
      <c r="AS230" s="526">
        <v>0</v>
      </c>
      <c r="AT230" s="526">
        <v>0</v>
      </c>
      <c r="AU230" s="526">
        <v>0</v>
      </c>
      <c r="AV230" s="526">
        <v>0</v>
      </c>
      <c r="AW230" s="522">
        <v>0</v>
      </c>
      <c r="AX230" s="526">
        <v>87.07</v>
      </c>
      <c r="AY230" s="526">
        <v>86.99</v>
      </c>
      <c r="AZ230" s="526">
        <v>11.56</v>
      </c>
      <c r="BA230" s="526">
        <v>98.53</v>
      </c>
      <c r="BB230" s="522">
        <v>209</v>
      </c>
      <c r="BC230" s="526">
        <v>105.4</v>
      </c>
      <c r="BD230" s="526">
        <v>106.19</v>
      </c>
      <c r="BE230" s="526">
        <v>4.88</v>
      </c>
      <c r="BF230" s="526">
        <v>109.22</v>
      </c>
      <c r="BG230" s="522">
        <v>662</v>
      </c>
      <c r="BH230" s="526">
        <v>118.06</v>
      </c>
      <c r="BI230" s="526">
        <v>119.75</v>
      </c>
      <c r="BJ230" s="526">
        <v>2.38</v>
      </c>
      <c r="BK230" s="526">
        <v>119.65</v>
      </c>
      <c r="BL230" s="522">
        <v>471</v>
      </c>
      <c r="BM230" s="526">
        <v>136.29</v>
      </c>
      <c r="BN230" s="526">
        <v>137.41999999999999</v>
      </c>
      <c r="BO230" s="526">
        <v>4.28</v>
      </c>
      <c r="BP230" s="526">
        <v>139.91</v>
      </c>
      <c r="BQ230" s="522">
        <v>45</v>
      </c>
      <c r="BR230" s="526">
        <v>0</v>
      </c>
      <c r="BS230" s="526">
        <v>0</v>
      </c>
      <c r="BT230" s="526">
        <v>0</v>
      </c>
      <c r="BU230" s="526">
        <v>0</v>
      </c>
      <c r="BV230" s="522">
        <v>0</v>
      </c>
      <c r="BW230" s="526">
        <v>0</v>
      </c>
      <c r="BX230" s="526">
        <v>0</v>
      </c>
      <c r="BY230" s="526">
        <v>0</v>
      </c>
      <c r="BZ230" s="526">
        <v>0</v>
      </c>
      <c r="CA230" s="522">
        <v>0</v>
      </c>
      <c r="CB230" s="526">
        <v>107.94</v>
      </c>
      <c r="CC230" s="526">
        <v>108.91</v>
      </c>
      <c r="CD230" s="526">
        <v>5.41</v>
      </c>
      <c r="CE230" s="526">
        <v>112.14</v>
      </c>
      <c r="CF230" s="522">
        <v>1387</v>
      </c>
      <c r="CG230" s="526">
        <v>107.94</v>
      </c>
      <c r="CH230" s="526">
        <v>108.91</v>
      </c>
      <c r="CI230" s="526">
        <v>5.41</v>
      </c>
      <c r="CJ230" s="526">
        <v>112.14</v>
      </c>
      <c r="CK230" s="522">
        <v>1387</v>
      </c>
      <c r="CL230" s="526">
        <v>99.76</v>
      </c>
      <c r="CM230" s="526">
        <v>82.59</v>
      </c>
      <c r="CN230" s="526">
        <v>226.5</v>
      </c>
      <c r="CO230" s="526">
        <v>326.26</v>
      </c>
      <c r="CP230" s="522">
        <v>32</v>
      </c>
      <c r="CQ230" s="526">
        <v>0</v>
      </c>
      <c r="CR230" s="526">
        <v>0</v>
      </c>
      <c r="CS230" s="526">
        <v>0</v>
      </c>
      <c r="CT230" s="526">
        <v>0</v>
      </c>
      <c r="CU230" s="522">
        <v>0</v>
      </c>
      <c r="CV230" s="526">
        <v>153.41</v>
      </c>
      <c r="CW230" s="526">
        <v>100.22</v>
      </c>
      <c r="CX230" s="526">
        <v>92.43</v>
      </c>
      <c r="CY230" s="526">
        <v>245.84</v>
      </c>
      <c r="CZ230" s="522">
        <v>69</v>
      </c>
      <c r="DA230" s="526">
        <v>139.91999999999999</v>
      </c>
      <c r="DB230" s="526">
        <v>117.42</v>
      </c>
      <c r="DC230" s="526">
        <v>77.27</v>
      </c>
      <c r="DD230" s="526">
        <v>217.19</v>
      </c>
      <c r="DE230" s="522">
        <v>79</v>
      </c>
      <c r="DF230" s="526">
        <v>112.89</v>
      </c>
      <c r="DG230" s="526">
        <v>114.74</v>
      </c>
      <c r="DH230" s="526">
        <v>38.520000000000003</v>
      </c>
      <c r="DI230" s="526">
        <v>143.71</v>
      </c>
      <c r="DJ230" s="522">
        <v>5</v>
      </c>
      <c r="DK230" s="526">
        <v>0</v>
      </c>
      <c r="DL230" s="526">
        <v>0</v>
      </c>
      <c r="DM230" s="526">
        <v>0</v>
      </c>
      <c r="DN230" s="526">
        <v>0</v>
      </c>
      <c r="DO230" s="522">
        <v>0</v>
      </c>
      <c r="DP230" s="526">
        <v>145.12</v>
      </c>
      <c r="DQ230" s="526">
        <v>110.82</v>
      </c>
      <c r="DR230" s="526">
        <v>83.13</v>
      </c>
      <c r="DS230" s="526">
        <v>227.71</v>
      </c>
      <c r="DT230" s="522">
        <v>153</v>
      </c>
      <c r="DU230" s="526">
        <v>137.28</v>
      </c>
      <c r="DV230" s="526">
        <v>105.83</v>
      </c>
      <c r="DW230" s="526">
        <v>108.07</v>
      </c>
      <c r="DX230" s="526">
        <v>244.76</v>
      </c>
      <c r="DY230" s="522">
        <v>185</v>
      </c>
      <c r="DZ230" s="526">
        <v>0</v>
      </c>
      <c r="EA230" s="526">
        <v>0</v>
      </c>
      <c r="EB230" s="526">
        <v>0</v>
      </c>
      <c r="EC230" s="522">
        <v>0</v>
      </c>
      <c r="ED230" s="526">
        <v>102.48</v>
      </c>
      <c r="EE230" s="522">
        <v>129</v>
      </c>
      <c r="EF230" s="526">
        <v>125.03</v>
      </c>
      <c r="EG230" s="522">
        <v>412</v>
      </c>
      <c r="EH230" s="526">
        <v>145.97</v>
      </c>
      <c r="EI230" s="522">
        <v>188</v>
      </c>
      <c r="EJ230" s="526">
        <v>175.74</v>
      </c>
      <c r="EK230" s="522">
        <v>30</v>
      </c>
      <c r="EL230" s="526">
        <v>0</v>
      </c>
      <c r="EM230" s="522">
        <v>0</v>
      </c>
      <c r="EN230" s="526">
        <v>0</v>
      </c>
      <c r="EO230" s="522">
        <v>0</v>
      </c>
      <c r="EP230" s="526">
        <v>128.38999999999999</v>
      </c>
      <c r="EQ230" s="522">
        <v>759</v>
      </c>
      <c r="ER230" s="526">
        <v>128.38999999999999</v>
      </c>
      <c r="ES230" s="522">
        <v>759</v>
      </c>
      <c r="ET230" s="526">
        <v>0</v>
      </c>
      <c r="EU230" s="526">
        <v>0</v>
      </c>
      <c r="EV230" s="526">
        <v>0</v>
      </c>
      <c r="EW230" s="522">
        <v>0</v>
      </c>
      <c r="EX230" s="526">
        <v>382.13</v>
      </c>
      <c r="EY230" s="522">
        <v>8</v>
      </c>
      <c r="EZ230" s="526">
        <v>138.33000000000001</v>
      </c>
      <c r="FA230" s="522">
        <v>3</v>
      </c>
      <c r="FB230" s="526">
        <v>0</v>
      </c>
      <c r="FC230" s="522">
        <v>0</v>
      </c>
      <c r="FD230" s="526">
        <v>0</v>
      </c>
      <c r="FE230" s="522">
        <v>0</v>
      </c>
      <c r="FF230" s="526">
        <v>315.64</v>
      </c>
      <c r="FG230" s="522">
        <v>11</v>
      </c>
      <c r="FH230" s="526">
        <v>315.64</v>
      </c>
      <c r="FI230" s="522">
        <v>11</v>
      </c>
      <c r="FJ230" s="522">
        <v>19</v>
      </c>
      <c r="FK230" s="522">
        <v>0</v>
      </c>
      <c r="FL230" s="522">
        <v>0</v>
      </c>
      <c r="FM230" s="522">
        <v>0</v>
      </c>
      <c r="FN230" s="522">
        <v>0</v>
      </c>
      <c r="FO230" s="522">
        <v>0</v>
      </c>
      <c r="FP230" s="522">
        <v>1</v>
      </c>
      <c r="FQ230" s="522">
        <v>31</v>
      </c>
      <c r="FR230" s="522">
        <v>5</v>
      </c>
    </row>
    <row r="231" spans="1:174" x14ac:dyDescent="0.25">
      <c r="A231" s="523" t="s">
        <v>710</v>
      </c>
      <c r="B231" s="523" t="s">
        <v>711</v>
      </c>
      <c r="C231" s="523" t="s">
        <v>287</v>
      </c>
      <c r="D231" s="522">
        <v>12442</v>
      </c>
      <c r="E231" s="522">
        <v>12274</v>
      </c>
      <c r="F231" s="522">
        <v>0</v>
      </c>
      <c r="G231" s="522">
        <v>0</v>
      </c>
      <c r="H231" s="522">
        <v>342</v>
      </c>
      <c r="I231" s="522">
        <v>180</v>
      </c>
      <c r="J231" s="522">
        <v>1808</v>
      </c>
      <c r="K231" s="522">
        <v>1736</v>
      </c>
      <c r="L231" s="522">
        <v>1565</v>
      </c>
      <c r="M231" s="522">
        <v>0</v>
      </c>
      <c r="N231" s="522">
        <v>16157</v>
      </c>
      <c r="O231" s="522">
        <v>14190</v>
      </c>
      <c r="P231" s="522">
        <v>14592</v>
      </c>
      <c r="Q231" s="522">
        <v>11</v>
      </c>
      <c r="R231" s="523">
        <v>12</v>
      </c>
      <c r="S231" s="523">
        <v>27</v>
      </c>
      <c r="T231" s="523">
        <v>385</v>
      </c>
      <c r="U231" s="523">
        <v>15772</v>
      </c>
      <c r="V231" s="522">
        <v>12190</v>
      </c>
      <c r="W231" s="522">
        <v>231</v>
      </c>
      <c r="X231" s="522">
        <v>141</v>
      </c>
      <c r="Y231" s="522">
        <v>372</v>
      </c>
      <c r="Z231" s="524">
        <v>118.08</v>
      </c>
      <c r="AA231" s="524">
        <v>121.71</v>
      </c>
      <c r="AB231" s="524">
        <v>7.32</v>
      </c>
      <c r="AC231" s="524">
        <v>122.9</v>
      </c>
      <c r="AD231" s="524">
        <v>11501</v>
      </c>
      <c r="AE231" s="525">
        <v>108.97</v>
      </c>
      <c r="AF231" s="525">
        <v>102.72</v>
      </c>
      <c r="AG231" s="525">
        <v>44.15</v>
      </c>
      <c r="AH231" s="525">
        <v>151.99</v>
      </c>
      <c r="AI231" s="525">
        <v>2008</v>
      </c>
      <c r="AJ231" s="525">
        <v>165.84</v>
      </c>
      <c r="AK231" s="525">
        <v>651</v>
      </c>
      <c r="AL231" s="525">
        <v>186.08</v>
      </c>
      <c r="AM231" s="525">
        <v>9</v>
      </c>
      <c r="AN231" s="526">
        <v>0</v>
      </c>
      <c r="AO231" s="526">
        <v>0</v>
      </c>
      <c r="AP231" s="526">
        <v>0</v>
      </c>
      <c r="AQ231" s="526">
        <v>0</v>
      </c>
      <c r="AR231" s="522">
        <v>0</v>
      </c>
      <c r="AS231" s="526">
        <v>82.8</v>
      </c>
      <c r="AT231" s="526">
        <v>82.41</v>
      </c>
      <c r="AU231" s="526">
        <v>30.86</v>
      </c>
      <c r="AV231" s="526">
        <v>113.66</v>
      </c>
      <c r="AW231" s="522">
        <v>51</v>
      </c>
      <c r="AX231" s="526">
        <v>97.75</v>
      </c>
      <c r="AY231" s="526">
        <v>99.3</v>
      </c>
      <c r="AZ231" s="526">
        <v>9.92</v>
      </c>
      <c r="BA231" s="526">
        <v>106.24</v>
      </c>
      <c r="BB231" s="522">
        <v>2359</v>
      </c>
      <c r="BC231" s="526">
        <v>116.34</v>
      </c>
      <c r="BD231" s="526">
        <v>118.91</v>
      </c>
      <c r="BE231" s="526">
        <v>7.63</v>
      </c>
      <c r="BF231" s="526">
        <v>121.99</v>
      </c>
      <c r="BG231" s="522">
        <v>4643</v>
      </c>
      <c r="BH231" s="526">
        <v>127.11</v>
      </c>
      <c r="BI231" s="526">
        <v>133.32</v>
      </c>
      <c r="BJ231" s="526">
        <v>3.72</v>
      </c>
      <c r="BK231" s="526">
        <v>128.68</v>
      </c>
      <c r="BL231" s="522">
        <v>3925</v>
      </c>
      <c r="BM231" s="526">
        <v>160.41</v>
      </c>
      <c r="BN231" s="526">
        <v>163.61000000000001</v>
      </c>
      <c r="BO231" s="526">
        <v>3.5</v>
      </c>
      <c r="BP231" s="526">
        <v>163.09</v>
      </c>
      <c r="BQ231" s="522">
        <v>502</v>
      </c>
      <c r="BR231" s="526">
        <v>173.95</v>
      </c>
      <c r="BS231" s="526">
        <v>180.98</v>
      </c>
      <c r="BT231" s="526">
        <v>2.48</v>
      </c>
      <c r="BU231" s="526">
        <v>175.69</v>
      </c>
      <c r="BV231" s="522">
        <v>20</v>
      </c>
      <c r="BW231" s="526">
        <v>149.93</v>
      </c>
      <c r="BX231" s="526">
        <v>151.22</v>
      </c>
      <c r="BY231" s="526">
        <v>0</v>
      </c>
      <c r="BZ231" s="526">
        <v>149.93</v>
      </c>
      <c r="CA231" s="522">
        <v>1</v>
      </c>
      <c r="CB231" s="526">
        <v>118.08</v>
      </c>
      <c r="CC231" s="526">
        <v>121.71</v>
      </c>
      <c r="CD231" s="526">
        <v>7.32</v>
      </c>
      <c r="CE231" s="526">
        <v>122.9</v>
      </c>
      <c r="CF231" s="522">
        <v>11501</v>
      </c>
      <c r="CG231" s="526">
        <v>118.08</v>
      </c>
      <c r="CH231" s="526">
        <v>121.71</v>
      </c>
      <c r="CI231" s="526">
        <v>7.32</v>
      </c>
      <c r="CJ231" s="526">
        <v>122.9</v>
      </c>
      <c r="CK231" s="522">
        <v>11501</v>
      </c>
      <c r="CL231" s="526">
        <v>104.73</v>
      </c>
      <c r="CM231" s="526">
        <v>91.39</v>
      </c>
      <c r="CN231" s="526">
        <v>180.24</v>
      </c>
      <c r="CO231" s="526">
        <v>247.25</v>
      </c>
      <c r="CP231" s="522">
        <v>86</v>
      </c>
      <c r="CQ231" s="526">
        <v>93.39</v>
      </c>
      <c r="CR231" s="526">
        <v>80.87</v>
      </c>
      <c r="CS231" s="526">
        <v>42.18</v>
      </c>
      <c r="CT231" s="526">
        <v>135.30000000000001</v>
      </c>
      <c r="CU231" s="522">
        <v>156</v>
      </c>
      <c r="CV231" s="526">
        <v>105.53</v>
      </c>
      <c r="CW231" s="526">
        <v>99.87</v>
      </c>
      <c r="CX231" s="526">
        <v>37.33</v>
      </c>
      <c r="CY231" s="526">
        <v>142.12</v>
      </c>
      <c r="CZ231" s="522">
        <v>1438</v>
      </c>
      <c r="DA231" s="526">
        <v>132.69999999999999</v>
      </c>
      <c r="DB231" s="526">
        <v>127.12</v>
      </c>
      <c r="DC231" s="526">
        <v>46.73</v>
      </c>
      <c r="DD231" s="526">
        <v>179.13</v>
      </c>
      <c r="DE231" s="522">
        <v>314</v>
      </c>
      <c r="DF231" s="526">
        <v>119.39</v>
      </c>
      <c r="DG231" s="526">
        <v>120.53</v>
      </c>
      <c r="DH231" s="526">
        <v>32.97</v>
      </c>
      <c r="DI231" s="526">
        <v>148.24</v>
      </c>
      <c r="DJ231" s="522">
        <v>8</v>
      </c>
      <c r="DK231" s="526">
        <v>141.16999999999999</v>
      </c>
      <c r="DL231" s="526">
        <v>136.91</v>
      </c>
      <c r="DM231" s="526">
        <v>31.09</v>
      </c>
      <c r="DN231" s="526">
        <v>172.26</v>
      </c>
      <c r="DO231" s="522">
        <v>6</v>
      </c>
      <c r="DP231" s="526">
        <v>109.16</v>
      </c>
      <c r="DQ231" s="526">
        <v>103.15</v>
      </c>
      <c r="DR231" s="526">
        <v>39.25</v>
      </c>
      <c r="DS231" s="526">
        <v>147.72999999999999</v>
      </c>
      <c r="DT231" s="522">
        <v>1922</v>
      </c>
      <c r="DU231" s="526">
        <v>108.97</v>
      </c>
      <c r="DV231" s="526">
        <v>102.72</v>
      </c>
      <c r="DW231" s="526">
        <v>44.15</v>
      </c>
      <c r="DX231" s="526">
        <v>151.99</v>
      </c>
      <c r="DY231" s="522">
        <v>2008</v>
      </c>
      <c r="DZ231" s="526">
        <v>0</v>
      </c>
      <c r="EA231" s="526">
        <v>0</v>
      </c>
      <c r="EB231" s="526">
        <v>0</v>
      </c>
      <c r="EC231" s="522">
        <v>0</v>
      </c>
      <c r="ED231" s="526">
        <v>137.16</v>
      </c>
      <c r="EE231" s="522">
        <v>122</v>
      </c>
      <c r="EF231" s="526">
        <v>162.56</v>
      </c>
      <c r="EG231" s="522">
        <v>339</v>
      </c>
      <c r="EH231" s="526">
        <v>189.02</v>
      </c>
      <c r="EI231" s="522">
        <v>185</v>
      </c>
      <c r="EJ231" s="526">
        <v>230.88</v>
      </c>
      <c r="EK231" s="522">
        <v>5</v>
      </c>
      <c r="EL231" s="526">
        <v>0</v>
      </c>
      <c r="EM231" s="522">
        <v>0</v>
      </c>
      <c r="EN231" s="526">
        <v>0</v>
      </c>
      <c r="EO231" s="522">
        <v>0</v>
      </c>
      <c r="EP231" s="526">
        <v>165.84</v>
      </c>
      <c r="EQ231" s="522">
        <v>651</v>
      </c>
      <c r="ER231" s="526">
        <v>165.84</v>
      </c>
      <c r="ES231" s="522">
        <v>651</v>
      </c>
      <c r="ET231" s="526">
        <v>0</v>
      </c>
      <c r="EU231" s="526">
        <v>0</v>
      </c>
      <c r="EV231" s="526">
        <v>0</v>
      </c>
      <c r="EW231" s="522">
        <v>0</v>
      </c>
      <c r="EX231" s="526">
        <v>127.02</v>
      </c>
      <c r="EY231" s="522">
        <v>1</v>
      </c>
      <c r="EZ231" s="526">
        <v>189.87</v>
      </c>
      <c r="FA231" s="522">
        <v>7</v>
      </c>
      <c r="FB231" s="526">
        <v>218.64</v>
      </c>
      <c r="FC231" s="522">
        <v>1</v>
      </c>
      <c r="FD231" s="526">
        <v>0</v>
      </c>
      <c r="FE231" s="522">
        <v>0</v>
      </c>
      <c r="FF231" s="526">
        <v>186.08</v>
      </c>
      <c r="FG231" s="522">
        <v>9</v>
      </c>
      <c r="FH231" s="526">
        <v>186.08</v>
      </c>
      <c r="FI231" s="522">
        <v>9</v>
      </c>
      <c r="FJ231" s="522">
        <v>0</v>
      </c>
      <c r="FK231" s="522">
        <v>9</v>
      </c>
      <c r="FL231" s="522">
        <v>5</v>
      </c>
      <c r="FM231" s="522">
        <v>0</v>
      </c>
      <c r="FN231" s="522">
        <v>4</v>
      </c>
      <c r="FO231" s="522">
        <v>0</v>
      </c>
      <c r="FP231" s="522">
        <v>15</v>
      </c>
      <c r="FQ231" s="522">
        <v>99</v>
      </c>
      <c r="FR231" s="522">
        <v>8</v>
      </c>
    </row>
    <row r="232" spans="1:174" x14ac:dyDescent="0.25">
      <c r="A232" s="523" t="s">
        <v>712</v>
      </c>
      <c r="B232" s="523" t="s">
        <v>713</v>
      </c>
      <c r="C232" s="523" t="s">
        <v>287</v>
      </c>
      <c r="D232" s="522">
        <v>4300</v>
      </c>
      <c r="E232" s="522">
        <v>4036</v>
      </c>
      <c r="F232" s="522">
        <v>0</v>
      </c>
      <c r="G232" s="522">
        <v>0</v>
      </c>
      <c r="H232" s="522">
        <v>112</v>
      </c>
      <c r="I232" s="522">
        <v>81</v>
      </c>
      <c r="J232" s="522">
        <v>518</v>
      </c>
      <c r="K232" s="522">
        <v>507</v>
      </c>
      <c r="L232" s="522">
        <v>768</v>
      </c>
      <c r="M232" s="522">
        <v>10</v>
      </c>
      <c r="N232" s="522">
        <v>5698</v>
      </c>
      <c r="O232" s="522">
        <v>4634</v>
      </c>
      <c r="P232" s="522">
        <v>4930</v>
      </c>
      <c r="Q232" s="522">
        <v>0</v>
      </c>
      <c r="R232" s="523">
        <v>3</v>
      </c>
      <c r="S232" s="523">
        <v>23</v>
      </c>
      <c r="T232" s="523">
        <v>259</v>
      </c>
      <c r="U232" s="523">
        <v>5439</v>
      </c>
      <c r="V232" s="522">
        <v>4069</v>
      </c>
      <c r="W232" s="522">
        <v>24</v>
      </c>
      <c r="X232" s="522">
        <v>68</v>
      </c>
      <c r="Y232" s="522">
        <v>92</v>
      </c>
      <c r="Z232" s="524">
        <v>106.87</v>
      </c>
      <c r="AA232" s="524">
        <v>107.02</v>
      </c>
      <c r="AB232" s="524">
        <v>3.76</v>
      </c>
      <c r="AC232" s="524">
        <v>110.37</v>
      </c>
      <c r="AD232" s="524">
        <v>3363</v>
      </c>
      <c r="AE232" s="525">
        <v>98.14</v>
      </c>
      <c r="AF232" s="525">
        <v>86.97</v>
      </c>
      <c r="AG232" s="525">
        <v>47.78</v>
      </c>
      <c r="AH232" s="525">
        <v>145.41</v>
      </c>
      <c r="AI232" s="525">
        <v>568</v>
      </c>
      <c r="AJ232" s="525">
        <v>144.37</v>
      </c>
      <c r="AK232" s="525">
        <v>608</v>
      </c>
      <c r="AL232" s="525">
        <v>199.33</v>
      </c>
      <c r="AM232" s="525">
        <v>45</v>
      </c>
      <c r="AN232" s="526">
        <v>0</v>
      </c>
      <c r="AO232" s="526">
        <v>0</v>
      </c>
      <c r="AP232" s="526">
        <v>0</v>
      </c>
      <c r="AQ232" s="526">
        <v>0</v>
      </c>
      <c r="AR232" s="522">
        <v>0</v>
      </c>
      <c r="AS232" s="526">
        <v>68.319999999999993</v>
      </c>
      <c r="AT232" s="526">
        <v>77.05</v>
      </c>
      <c r="AU232" s="526">
        <v>8.56</v>
      </c>
      <c r="AV232" s="526">
        <v>76.88</v>
      </c>
      <c r="AW232" s="522">
        <v>3</v>
      </c>
      <c r="AX232" s="526">
        <v>93.38</v>
      </c>
      <c r="AY232" s="526">
        <v>93.31</v>
      </c>
      <c r="AZ232" s="526">
        <v>6.85</v>
      </c>
      <c r="BA232" s="526">
        <v>100.03</v>
      </c>
      <c r="BB232" s="522">
        <v>802</v>
      </c>
      <c r="BC232" s="526">
        <v>104.55</v>
      </c>
      <c r="BD232" s="526">
        <v>104.46</v>
      </c>
      <c r="BE232" s="526">
        <v>3.27</v>
      </c>
      <c r="BF232" s="526">
        <v>107.6</v>
      </c>
      <c r="BG232" s="522">
        <v>1278</v>
      </c>
      <c r="BH232" s="526">
        <v>116.8</v>
      </c>
      <c r="BI232" s="526">
        <v>117.23</v>
      </c>
      <c r="BJ232" s="526">
        <v>2.15</v>
      </c>
      <c r="BK232" s="526">
        <v>118.73</v>
      </c>
      <c r="BL232" s="522">
        <v>1186</v>
      </c>
      <c r="BM232" s="526">
        <v>128.83000000000001</v>
      </c>
      <c r="BN232" s="526">
        <v>129.84</v>
      </c>
      <c r="BO232" s="526">
        <v>2.36</v>
      </c>
      <c r="BP232" s="526">
        <v>131.09</v>
      </c>
      <c r="BQ232" s="522">
        <v>90</v>
      </c>
      <c r="BR232" s="526">
        <v>145.88</v>
      </c>
      <c r="BS232" s="526">
        <v>151.19</v>
      </c>
      <c r="BT232" s="526">
        <v>2.65</v>
      </c>
      <c r="BU232" s="526">
        <v>147.87</v>
      </c>
      <c r="BV232" s="522">
        <v>4</v>
      </c>
      <c r="BW232" s="526">
        <v>0</v>
      </c>
      <c r="BX232" s="526">
        <v>0</v>
      </c>
      <c r="BY232" s="526">
        <v>0</v>
      </c>
      <c r="BZ232" s="526">
        <v>0</v>
      </c>
      <c r="CA232" s="522">
        <v>0</v>
      </c>
      <c r="CB232" s="526">
        <v>106.87</v>
      </c>
      <c r="CC232" s="526">
        <v>107.02</v>
      </c>
      <c r="CD232" s="526">
        <v>3.76</v>
      </c>
      <c r="CE232" s="526">
        <v>110.37</v>
      </c>
      <c r="CF232" s="522">
        <v>3363</v>
      </c>
      <c r="CG232" s="526">
        <v>106.87</v>
      </c>
      <c r="CH232" s="526">
        <v>107.02</v>
      </c>
      <c r="CI232" s="526">
        <v>3.76</v>
      </c>
      <c r="CJ232" s="526">
        <v>110.37</v>
      </c>
      <c r="CK232" s="522">
        <v>3363</v>
      </c>
      <c r="CL232" s="526">
        <v>120.74</v>
      </c>
      <c r="CM232" s="526">
        <v>74.92</v>
      </c>
      <c r="CN232" s="526">
        <v>114.2</v>
      </c>
      <c r="CO232" s="526">
        <v>224.56</v>
      </c>
      <c r="CP232" s="522">
        <v>55</v>
      </c>
      <c r="CQ232" s="526">
        <v>81.47</v>
      </c>
      <c r="CR232" s="526">
        <v>77.12</v>
      </c>
      <c r="CS232" s="526">
        <v>47.37</v>
      </c>
      <c r="CT232" s="526">
        <v>128.84</v>
      </c>
      <c r="CU232" s="522">
        <v>2</v>
      </c>
      <c r="CV232" s="526">
        <v>95.08</v>
      </c>
      <c r="CW232" s="526">
        <v>87.08</v>
      </c>
      <c r="CX232" s="526">
        <v>41.24</v>
      </c>
      <c r="CY232" s="526">
        <v>136.24</v>
      </c>
      <c r="CZ232" s="522">
        <v>487</v>
      </c>
      <c r="DA232" s="526">
        <v>106.29</v>
      </c>
      <c r="DB232" s="526">
        <v>102.07</v>
      </c>
      <c r="DC232" s="526">
        <v>43.4</v>
      </c>
      <c r="DD232" s="526">
        <v>149.69</v>
      </c>
      <c r="DE232" s="522">
        <v>18</v>
      </c>
      <c r="DF232" s="526">
        <v>120.46</v>
      </c>
      <c r="DG232" s="526">
        <v>112.91</v>
      </c>
      <c r="DH232" s="526">
        <v>37.11</v>
      </c>
      <c r="DI232" s="526">
        <v>157.56</v>
      </c>
      <c r="DJ232" s="522">
        <v>6</v>
      </c>
      <c r="DK232" s="526">
        <v>0</v>
      </c>
      <c r="DL232" s="526">
        <v>0</v>
      </c>
      <c r="DM232" s="526">
        <v>0</v>
      </c>
      <c r="DN232" s="526">
        <v>0</v>
      </c>
      <c r="DO232" s="522">
        <v>0</v>
      </c>
      <c r="DP232" s="526">
        <v>95.72</v>
      </c>
      <c r="DQ232" s="526">
        <v>87.9</v>
      </c>
      <c r="DR232" s="526">
        <v>41.29</v>
      </c>
      <c r="DS232" s="526">
        <v>136.93</v>
      </c>
      <c r="DT232" s="522">
        <v>513</v>
      </c>
      <c r="DU232" s="526">
        <v>98.14</v>
      </c>
      <c r="DV232" s="526">
        <v>86.97</v>
      </c>
      <c r="DW232" s="526">
        <v>47.78</v>
      </c>
      <c r="DX232" s="526">
        <v>145.41</v>
      </c>
      <c r="DY232" s="522">
        <v>568</v>
      </c>
      <c r="DZ232" s="526">
        <v>0</v>
      </c>
      <c r="EA232" s="526">
        <v>0</v>
      </c>
      <c r="EB232" s="526">
        <v>0</v>
      </c>
      <c r="EC232" s="522">
        <v>0</v>
      </c>
      <c r="ED232" s="526">
        <v>106.88</v>
      </c>
      <c r="EE232" s="522">
        <v>114</v>
      </c>
      <c r="EF232" s="526">
        <v>137.69</v>
      </c>
      <c r="EG232" s="522">
        <v>276</v>
      </c>
      <c r="EH232" s="526">
        <v>165</v>
      </c>
      <c r="EI232" s="522">
        <v>176</v>
      </c>
      <c r="EJ232" s="526">
        <v>203.04</v>
      </c>
      <c r="EK232" s="522">
        <v>41</v>
      </c>
      <c r="EL232" s="526">
        <v>223.72</v>
      </c>
      <c r="EM232" s="522">
        <v>1</v>
      </c>
      <c r="EN232" s="526">
        <v>0</v>
      </c>
      <c r="EO232" s="522">
        <v>0</v>
      </c>
      <c r="EP232" s="526">
        <v>144.37</v>
      </c>
      <c r="EQ232" s="522">
        <v>608</v>
      </c>
      <c r="ER232" s="526">
        <v>144.37</v>
      </c>
      <c r="ES232" s="522">
        <v>608</v>
      </c>
      <c r="ET232" s="526">
        <v>0</v>
      </c>
      <c r="EU232" s="526">
        <v>0</v>
      </c>
      <c r="EV232" s="526">
        <v>0</v>
      </c>
      <c r="EW232" s="522">
        <v>0</v>
      </c>
      <c r="EX232" s="526">
        <v>193.4</v>
      </c>
      <c r="EY232" s="522">
        <v>34</v>
      </c>
      <c r="EZ232" s="526">
        <v>217.65</v>
      </c>
      <c r="FA232" s="522">
        <v>11</v>
      </c>
      <c r="FB232" s="526">
        <v>0</v>
      </c>
      <c r="FC232" s="522">
        <v>0</v>
      </c>
      <c r="FD232" s="526">
        <v>0</v>
      </c>
      <c r="FE232" s="522">
        <v>0</v>
      </c>
      <c r="FF232" s="526">
        <v>199.33</v>
      </c>
      <c r="FG232" s="522">
        <v>45</v>
      </c>
      <c r="FH232" s="526">
        <v>199.33</v>
      </c>
      <c r="FI232" s="522">
        <v>45</v>
      </c>
      <c r="FJ232" s="522">
        <v>27</v>
      </c>
      <c r="FK232" s="522">
        <v>1</v>
      </c>
      <c r="FL232" s="522">
        <v>0</v>
      </c>
      <c r="FM232" s="522">
        <v>0</v>
      </c>
      <c r="FN232" s="522">
        <v>1</v>
      </c>
      <c r="FO232" s="522">
        <v>0</v>
      </c>
      <c r="FP232" s="522">
        <v>25</v>
      </c>
      <c r="FQ232" s="522">
        <v>82</v>
      </c>
      <c r="FR232" s="522">
        <v>7</v>
      </c>
    </row>
    <row r="233" spans="1:174" x14ac:dyDescent="0.25">
      <c r="A233" s="523" t="s">
        <v>714</v>
      </c>
      <c r="B233" s="523" t="s">
        <v>715</v>
      </c>
      <c r="C233" s="523" t="s">
        <v>282</v>
      </c>
      <c r="D233" s="522">
        <v>1383</v>
      </c>
      <c r="E233" s="522">
        <v>1318</v>
      </c>
      <c r="F233" s="522">
        <v>0</v>
      </c>
      <c r="G233" s="522">
        <v>0</v>
      </c>
      <c r="H233" s="522">
        <v>109</v>
      </c>
      <c r="I233" s="522">
        <v>89</v>
      </c>
      <c r="J233" s="522">
        <v>0</v>
      </c>
      <c r="K233" s="522">
        <v>0</v>
      </c>
      <c r="L233" s="522">
        <v>585</v>
      </c>
      <c r="M233" s="522">
        <v>0</v>
      </c>
      <c r="N233" s="522">
        <v>2077</v>
      </c>
      <c r="O233" s="522">
        <v>1407</v>
      </c>
      <c r="P233" s="522">
        <v>1492</v>
      </c>
      <c r="Q233" s="522">
        <v>1</v>
      </c>
      <c r="R233" s="523">
        <v>3</v>
      </c>
      <c r="S233" s="523">
        <v>19</v>
      </c>
      <c r="T233" s="523">
        <v>74</v>
      </c>
      <c r="U233" s="523">
        <v>2003</v>
      </c>
      <c r="V233" s="522">
        <v>1318</v>
      </c>
      <c r="W233" s="522">
        <v>6</v>
      </c>
      <c r="X233" s="522">
        <v>9</v>
      </c>
      <c r="Y233" s="522">
        <v>15</v>
      </c>
      <c r="Z233" s="524">
        <v>97.99</v>
      </c>
      <c r="AA233" s="524">
        <v>99.03</v>
      </c>
      <c r="AB233" s="524">
        <v>5.2</v>
      </c>
      <c r="AC233" s="524">
        <v>102.22</v>
      </c>
      <c r="AD233" s="524">
        <v>779</v>
      </c>
      <c r="AE233" s="525">
        <v>164.61</v>
      </c>
      <c r="AF233" s="525">
        <v>84.79</v>
      </c>
      <c r="AG233" s="525">
        <v>125.79</v>
      </c>
      <c r="AH233" s="525">
        <v>290.41000000000003</v>
      </c>
      <c r="AI233" s="525">
        <v>91</v>
      </c>
      <c r="AJ233" s="525">
        <v>130.01</v>
      </c>
      <c r="AK233" s="525">
        <v>475</v>
      </c>
      <c r="AL233" s="525">
        <v>0</v>
      </c>
      <c r="AM233" s="525">
        <v>0</v>
      </c>
      <c r="AN233" s="526">
        <v>0</v>
      </c>
      <c r="AO233" s="526">
        <v>0</v>
      </c>
      <c r="AP233" s="526">
        <v>0</v>
      </c>
      <c r="AQ233" s="526">
        <v>0</v>
      </c>
      <c r="AR233" s="522">
        <v>0</v>
      </c>
      <c r="AS233" s="526">
        <v>68.39</v>
      </c>
      <c r="AT233" s="526">
        <v>74.42</v>
      </c>
      <c r="AU233" s="526">
        <v>17.86</v>
      </c>
      <c r="AV233" s="526">
        <v>86.25</v>
      </c>
      <c r="AW233" s="522">
        <v>1</v>
      </c>
      <c r="AX233" s="526">
        <v>81.73</v>
      </c>
      <c r="AY233" s="526">
        <v>80.75</v>
      </c>
      <c r="AZ233" s="526">
        <v>14.63</v>
      </c>
      <c r="BA233" s="526">
        <v>95.84</v>
      </c>
      <c r="BB233" s="522">
        <v>86</v>
      </c>
      <c r="BC233" s="526">
        <v>96.62</v>
      </c>
      <c r="BD233" s="526">
        <v>97.24</v>
      </c>
      <c r="BE233" s="526">
        <v>4.25</v>
      </c>
      <c r="BF233" s="526">
        <v>100.11</v>
      </c>
      <c r="BG233" s="522">
        <v>464</v>
      </c>
      <c r="BH233" s="526">
        <v>106.25</v>
      </c>
      <c r="BI233" s="526">
        <v>108.79</v>
      </c>
      <c r="BJ233" s="526">
        <v>2.59</v>
      </c>
      <c r="BK233" s="526">
        <v>108.16</v>
      </c>
      <c r="BL233" s="522">
        <v>210</v>
      </c>
      <c r="BM233" s="526">
        <v>117.03</v>
      </c>
      <c r="BN233" s="526">
        <v>119.85</v>
      </c>
      <c r="BO233" s="526">
        <v>3.06</v>
      </c>
      <c r="BP233" s="526">
        <v>119.73</v>
      </c>
      <c r="BQ233" s="522">
        <v>17</v>
      </c>
      <c r="BR233" s="526">
        <v>104.04</v>
      </c>
      <c r="BS233" s="526">
        <v>123.74</v>
      </c>
      <c r="BT233" s="526">
        <v>0</v>
      </c>
      <c r="BU233" s="526">
        <v>104.04</v>
      </c>
      <c r="BV233" s="522">
        <v>1</v>
      </c>
      <c r="BW233" s="526">
        <v>0</v>
      </c>
      <c r="BX233" s="526">
        <v>0</v>
      </c>
      <c r="BY233" s="526">
        <v>0</v>
      </c>
      <c r="BZ233" s="526">
        <v>0</v>
      </c>
      <c r="CA233" s="522">
        <v>0</v>
      </c>
      <c r="CB233" s="526">
        <v>97.99</v>
      </c>
      <c r="CC233" s="526">
        <v>99.03</v>
      </c>
      <c r="CD233" s="526">
        <v>5.2</v>
      </c>
      <c r="CE233" s="526">
        <v>102.22</v>
      </c>
      <c r="CF233" s="522">
        <v>779</v>
      </c>
      <c r="CG233" s="526">
        <v>97.99</v>
      </c>
      <c r="CH233" s="526">
        <v>99.03</v>
      </c>
      <c r="CI233" s="526">
        <v>5.2</v>
      </c>
      <c r="CJ233" s="526">
        <v>102.22</v>
      </c>
      <c r="CK233" s="522">
        <v>779</v>
      </c>
      <c r="CL233" s="526">
        <v>188.61</v>
      </c>
      <c r="CM233" s="526">
        <v>94.72</v>
      </c>
      <c r="CN233" s="526">
        <v>95.17</v>
      </c>
      <c r="CO233" s="526">
        <v>283.77999999999997</v>
      </c>
      <c r="CP233" s="522">
        <v>53</v>
      </c>
      <c r="CQ233" s="526">
        <v>86.23</v>
      </c>
      <c r="CR233" s="526">
        <v>78.39</v>
      </c>
      <c r="CS233" s="526">
        <v>110.06</v>
      </c>
      <c r="CT233" s="526">
        <v>196.29</v>
      </c>
      <c r="CU233" s="522">
        <v>4</v>
      </c>
      <c r="CV233" s="526">
        <v>122.48</v>
      </c>
      <c r="CW233" s="526">
        <v>79.84</v>
      </c>
      <c r="CX233" s="526">
        <v>200.84</v>
      </c>
      <c r="CY233" s="526">
        <v>323.32</v>
      </c>
      <c r="CZ233" s="522">
        <v>27</v>
      </c>
      <c r="DA233" s="526">
        <v>0</v>
      </c>
      <c r="DB233" s="526">
        <v>0</v>
      </c>
      <c r="DC233" s="526">
        <v>0</v>
      </c>
      <c r="DD233" s="526">
        <v>0</v>
      </c>
      <c r="DE233" s="522">
        <v>0</v>
      </c>
      <c r="DF233" s="526">
        <v>135</v>
      </c>
      <c r="DG233" s="526">
        <v>135</v>
      </c>
      <c r="DH233" s="526">
        <v>204</v>
      </c>
      <c r="DI233" s="526">
        <v>339</v>
      </c>
      <c r="DJ233" s="522">
        <v>1</v>
      </c>
      <c r="DK233" s="526">
        <v>199.47</v>
      </c>
      <c r="DL233" s="526">
        <v>0</v>
      </c>
      <c r="DM233" s="526">
        <v>56.02</v>
      </c>
      <c r="DN233" s="526">
        <v>255.49</v>
      </c>
      <c r="DO233" s="522">
        <v>6</v>
      </c>
      <c r="DP233" s="526">
        <v>131.15</v>
      </c>
      <c r="DQ233" s="526">
        <v>81.89</v>
      </c>
      <c r="DR233" s="526">
        <v>168.5</v>
      </c>
      <c r="DS233" s="526">
        <v>299.64999999999998</v>
      </c>
      <c r="DT233" s="522">
        <v>38</v>
      </c>
      <c r="DU233" s="526">
        <v>164.61</v>
      </c>
      <c r="DV233" s="526">
        <v>84.79</v>
      </c>
      <c r="DW233" s="526">
        <v>125.79</v>
      </c>
      <c r="DX233" s="526">
        <v>290.41000000000003</v>
      </c>
      <c r="DY233" s="522">
        <v>91</v>
      </c>
      <c r="DZ233" s="526">
        <v>0</v>
      </c>
      <c r="EA233" s="526">
        <v>0</v>
      </c>
      <c r="EB233" s="526">
        <v>0</v>
      </c>
      <c r="EC233" s="522">
        <v>0</v>
      </c>
      <c r="ED233" s="526">
        <v>103.34</v>
      </c>
      <c r="EE233" s="522">
        <v>124</v>
      </c>
      <c r="EF233" s="526">
        <v>134.41999999999999</v>
      </c>
      <c r="EG233" s="522">
        <v>236</v>
      </c>
      <c r="EH233" s="526">
        <v>148.79</v>
      </c>
      <c r="EI233" s="522">
        <v>108</v>
      </c>
      <c r="EJ233" s="526">
        <v>164.42</v>
      </c>
      <c r="EK233" s="522">
        <v>7</v>
      </c>
      <c r="EL233" s="526">
        <v>0</v>
      </c>
      <c r="EM233" s="522">
        <v>0</v>
      </c>
      <c r="EN233" s="526">
        <v>0</v>
      </c>
      <c r="EO233" s="522">
        <v>0</v>
      </c>
      <c r="EP233" s="526">
        <v>130.01</v>
      </c>
      <c r="EQ233" s="522">
        <v>475</v>
      </c>
      <c r="ER233" s="526">
        <v>130.01</v>
      </c>
      <c r="ES233" s="522">
        <v>475</v>
      </c>
      <c r="ET233" s="526">
        <v>0</v>
      </c>
      <c r="EU233" s="526">
        <v>0</v>
      </c>
      <c r="EV233" s="526">
        <v>0</v>
      </c>
      <c r="EW233" s="522">
        <v>0</v>
      </c>
      <c r="EX233" s="526">
        <v>0</v>
      </c>
      <c r="EY233" s="522">
        <v>0</v>
      </c>
      <c r="EZ233" s="526">
        <v>0</v>
      </c>
      <c r="FA233" s="522">
        <v>0</v>
      </c>
      <c r="FB233" s="526">
        <v>0</v>
      </c>
      <c r="FC233" s="522">
        <v>0</v>
      </c>
      <c r="FD233" s="526">
        <v>0</v>
      </c>
      <c r="FE233" s="522">
        <v>0</v>
      </c>
      <c r="FF233" s="526">
        <v>0</v>
      </c>
      <c r="FG233" s="522">
        <v>0</v>
      </c>
      <c r="FH233" s="526">
        <v>0</v>
      </c>
      <c r="FI233" s="522">
        <v>0</v>
      </c>
      <c r="FJ233" s="522">
        <v>0</v>
      </c>
      <c r="FK233" s="522">
        <v>0</v>
      </c>
      <c r="FL233" s="522">
        <v>0</v>
      </c>
      <c r="FM233" s="522">
        <v>0</v>
      </c>
      <c r="FN233" s="522">
        <v>0</v>
      </c>
      <c r="FO233" s="522">
        <v>0</v>
      </c>
      <c r="FP233" s="522">
        <v>1</v>
      </c>
      <c r="FQ233" s="522">
        <v>48</v>
      </c>
      <c r="FR233" s="522">
        <v>4</v>
      </c>
    </row>
    <row r="234" spans="1:174" x14ac:dyDescent="0.25">
      <c r="A234" s="523" t="s">
        <v>716</v>
      </c>
      <c r="B234" s="523" t="s">
        <v>717</v>
      </c>
      <c r="C234" s="523" t="s">
        <v>282</v>
      </c>
      <c r="D234" s="522">
        <v>2040</v>
      </c>
      <c r="E234" s="522">
        <v>1940</v>
      </c>
      <c r="F234" s="522">
        <v>0</v>
      </c>
      <c r="G234" s="522">
        <v>0</v>
      </c>
      <c r="H234" s="522">
        <v>139</v>
      </c>
      <c r="I234" s="522">
        <v>65</v>
      </c>
      <c r="J234" s="522">
        <v>262</v>
      </c>
      <c r="K234" s="522">
        <v>188</v>
      </c>
      <c r="L234" s="522">
        <v>692</v>
      </c>
      <c r="M234" s="522">
        <v>7</v>
      </c>
      <c r="N234" s="522">
        <v>3133</v>
      </c>
      <c r="O234" s="522">
        <v>2200</v>
      </c>
      <c r="P234" s="522">
        <v>2441</v>
      </c>
      <c r="Q234" s="522">
        <v>3</v>
      </c>
      <c r="R234" s="523">
        <v>5</v>
      </c>
      <c r="S234" s="523">
        <v>27</v>
      </c>
      <c r="T234" s="523">
        <v>218</v>
      </c>
      <c r="U234" s="523">
        <v>2915</v>
      </c>
      <c r="V234" s="522">
        <v>1954</v>
      </c>
      <c r="W234" s="522">
        <v>22</v>
      </c>
      <c r="X234" s="522">
        <v>34</v>
      </c>
      <c r="Y234" s="522">
        <v>56</v>
      </c>
      <c r="Z234" s="524">
        <v>100.81</v>
      </c>
      <c r="AA234" s="524">
        <v>102.5</v>
      </c>
      <c r="AB234" s="524">
        <v>6.81</v>
      </c>
      <c r="AC234" s="524">
        <v>106.75</v>
      </c>
      <c r="AD234" s="524">
        <v>1250</v>
      </c>
      <c r="AE234" s="525">
        <v>117.4</v>
      </c>
      <c r="AF234" s="525">
        <v>83.23</v>
      </c>
      <c r="AG234" s="525">
        <v>64.12</v>
      </c>
      <c r="AH234" s="525">
        <v>181.52</v>
      </c>
      <c r="AI234" s="525">
        <v>265</v>
      </c>
      <c r="AJ234" s="525">
        <v>132.28</v>
      </c>
      <c r="AK234" s="525">
        <v>503</v>
      </c>
      <c r="AL234" s="525">
        <v>0</v>
      </c>
      <c r="AM234" s="525">
        <v>0</v>
      </c>
      <c r="AN234" s="526">
        <v>0</v>
      </c>
      <c r="AO234" s="526">
        <v>0</v>
      </c>
      <c r="AP234" s="526">
        <v>0</v>
      </c>
      <c r="AQ234" s="526">
        <v>0</v>
      </c>
      <c r="AR234" s="522">
        <v>0</v>
      </c>
      <c r="AS234" s="526">
        <v>79.78</v>
      </c>
      <c r="AT234" s="526">
        <v>78.89</v>
      </c>
      <c r="AU234" s="526">
        <v>9.6300000000000008</v>
      </c>
      <c r="AV234" s="526">
        <v>89.41</v>
      </c>
      <c r="AW234" s="522">
        <v>2</v>
      </c>
      <c r="AX234" s="526">
        <v>86.35</v>
      </c>
      <c r="AY234" s="526">
        <v>86.92</v>
      </c>
      <c r="AZ234" s="526">
        <v>9.01</v>
      </c>
      <c r="BA234" s="526">
        <v>95.25</v>
      </c>
      <c r="BB234" s="522">
        <v>157</v>
      </c>
      <c r="BC234" s="526">
        <v>99.01</v>
      </c>
      <c r="BD234" s="526">
        <v>100.05</v>
      </c>
      <c r="BE234" s="526">
        <v>8.3000000000000007</v>
      </c>
      <c r="BF234" s="526">
        <v>106.34</v>
      </c>
      <c r="BG234" s="522">
        <v>662</v>
      </c>
      <c r="BH234" s="526">
        <v>107.61</v>
      </c>
      <c r="BI234" s="526">
        <v>110.74</v>
      </c>
      <c r="BJ234" s="526">
        <v>3.24</v>
      </c>
      <c r="BK234" s="526">
        <v>110.2</v>
      </c>
      <c r="BL234" s="522">
        <v>379</v>
      </c>
      <c r="BM234" s="526">
        <v>119.43</v>
      </c>
      <c r="BN234" s="526">
        <v>122.33</v>
      </c>
      <c r="BO234" s="526">
        <v>3.84</v>
      </c>
      <c r="BP234" s="526">
        <v>122.89</v>
      </c>
      <c r="BQ234" s="522">
        <v>50</v>
      </c>
      <c r="BR234" s="526">
        <v>0</v>
      </c>
      <c r="BS234" s="526">
        <v>0</v>
      </c>
      <c r="BT234" s="526">
        <v>0</v>
      </c>
      <c r="BU234" s="526">
        <v>0</v>
      </c>
      <c r="BV234" s="522">
        <v>0</v>
      </c>
      <c r="BW234" s="526">
        <v>0</v>
      </c>
      <c r="BX234" s="526">
        <v>0</v>
      </c>
      <c r="BY234" s="526">
        <v>0</v>
      </c>
      <c r="BZ234" s="526">
        <v>0</v>
      </c>
      <c r="CA234" s="522">
        <v>0</v>
      </c>
      <c r="CB234" s="526">
        <v>100.81</v>
      </c>
      <c r="CC234" s="526">
        <v>102.5</v>
      </c>
      <c r="CD234" s="526">
        <v>6.81</v>
      </c>
      <c r="CE234" s="526">
        <v>106.75</v>
      </c>
      <c r="CF234" s="522">
        <v>1250</v>
      </c>
      <c r="CG234" s="526">
        <v>100.81</v>
      </c>
      <c r="CH234" s="526">
        <v>102.5</v>
      </c>
      <c r="CI234" s="526">
        <v>6.81</v>
      </c>
      <c r="CJ234" s="526">
        <v>106.75</v>
      </c>
      <c r="CK234" s="522">
        <v>1250</v>
      </c>
      <c r="CL234" s="526">
        <v>198.21</v>
      </c>
      <c r="CM234" s="526">
        <v>79.03</v>
      </c>
      <c r="CN234" s="526">
        <v>70.069999999999993</v>
      </c>
      <c r="CO234" s="526">
        <v>268.27999999999997</v>
      </c>
      <c r="CP234" s="522">
        <v>54</v>
      </c>
      <c r="CQ234" s="526">
        <v>89.07</v>
      </c>
      <c r="CR234" s="526">
        <v>81.02</v>
      </c>
      <c r="CS234" s="526">
        <v>51.28</v>
      </c>
      <c r="CT234" s="526">
        <v>140.35</v>
      </c>
      <c r="CU234" s="522">
        <v>20</v>
      </c>
      <c r="CV234" s="526">
        <v>97.38</v>
      </c>
      <c r="CW234" s="526">
        <v>83.17</v>
      </c>
      <c r="CX234" s="526">
        <v>64.739999999999995</v>
      </c>
      <c r="CY234" s="526">
        <v>162.12</v>
      </c>
      <c r="CZ234" s="522">
        <v>184</v>
      </c>
      <c r="DA234" s="526">
        <v>101.23</v>
      </c>
      <c r="DB234" s="526">
        <v>98.22</v>
      </c>
      <c r="DC234" s="526">
        <v>38.5</v>
      </c>
      <c r="DD234" s="526">
        <v>139.72999999999999</v>
      </c>
      <c r="DE234" s="522">
        <v>7</v>
      </c>
      <c r="DF234" s="526">
        <v>0</v>
      </c>
      <c r="DG234" s="526">
        <v>0</v>
      </c>
      <c r="DH234" s="526">
        <v>0</v>
      </c>
      <c r="DI234" s="526">
        <v>0</v>
      </c>
      <c r="DJ234" s="522">
        <v>0</v>
      </c>
      <c r="DK234" s="526">
        <v>0</v>
      </c>
      <c r="DL234" s="526">
        <v>0</v>
      </c>
      <c r="DM234" s="526">
        <v>0</v>
      </c>
      <c r="DN234" s="526">
        <v>0</v>
      </c>
      <c r="DO234" s="522">
        <v>0</v>
      </c>
      <c r="DP234" s="526">
        <v>96.72</v>
      </c>
      <c r="DQ234" s="526">
        <v>83.48</v>
      </c>
      <c r="DR234" s="526">
        <v>62.59</v>
      </c>
      <c r="DS234" s="526">
        <v>159.31</v>
      </c>
      <c r="DT234" s="522">
        <v>211</v>
      </c>
      <c r="DU234" s="526">
        <v>117.4</v>
      </c>
      <c r="DV234" s="526">
        <v>83.23</v>
      </c>
      <c r="DW234" s="526">
        <v>64.12</v>
      </c>
      <c r="DX234" s="526">
        <v>181.52</v>
      </c>
      <c r="DY234" s="522">
        <v>265</v>
      </c>
      <c r="DZ234" s="526">
        <v>0</v>
      </c>
      <c r="EA234" s="526">
        <v>0</v>
      </c>
      <c r="EB234" s="526">
        <v>0</v>
      </c>
      <c r="EC234" s="522">
        <v>0</v>
      </c>
      <c r="ED234" s="526">
        <v>101.98</v>
      </c>
      <c r="EE234" s="522">
        <v>58</v>
      </c>
      <c r="EF234" s="526">
        <v>125.94</v>
      </c>
      <c r="EG234" s="522">
        <v>283</v>
      </c>
      <c r="EH234" s="526">
        <v>146.88</v>
      </c>
      <c r="EI234" s="522">
        <v>136</v>
      </c>
      <c r="EJ234" s="526">
        <v>193.92</v>
      </c>
      <c r="EK234" s="522">
        <v>25</v>
      </c>
      <c r="EL234" s="526">
        <v>157.44999999999999</v>
      </c>
      <c r="EM234" s="522">
        <v>1</v>
      </c>
      <c r="EN234" s="526">
        <v>0</v>
      </c>
      <c r="EO234" s="522">
        <v>0</v>
      </c>
      <c r="EP234" s="526">
        <v>132.28</v>
      </c>
      <c r="EQ234" s="522">
        <v>503</v>
      </c>
      <c r="ER234" s="526">
        <v>132.28</v>
      </c>
      <c r="ES234" s="522">
        <v>503</v>
      </c>
      <c r="ET234" s="526">
        <v>0</v>
      </c>
      <c r="EU234" s="526">
        <v>0</v>
      </c>
      <c r="EV234" s="526">
        <v>0</v>
      </c>
      <c r="EW234" s="522">
        <v>0</v>
      </c>
      <c r="EX234" s="526">
        <v>0</v>
      </c>
      <c r="EY234" s="522">
        <v>0</v>
      </c>
      <c r="EZ234" s="526">
        <v>0</v>
      </c>
      <c r="FA234" s="522">
        <v>0</v>
      </c>
      <c r="FB234" s="526">
        <v>0</v>
      </c>
      <c r="FC234" s="522">
        <v>0</v>
      </c>
      <c r="FD234" s="526">
        <v>0</v>
      </c>
      <c r="FE234" s="522">
        <v>0</v>
      </c>
      <c r="FF234" s="526">
        <v>0</v>
      </c>
      <c r="FG234" s="522">
        <v>0</v>
      </c>
      <c r="FH234" s="526">
        <v>0</v>
      </c>
      <c r="FI234" s="522">
        <v>0</v>
      </c>
      <c r="FJ234" s="522">
        <v>0</v>
      </c>
      <c r="FK234" s="522">
        <v>0</v>
      </c>
      <c r="FL234" s="522">
        <v>0</v>
      </c>
      <c r="FM234" s="522">
        <v>0</v>
      </c>
      <c r="FN234" s="522">
        <v>0</v>
      </c>
      <c r="FO234" s="522">
        <v>0</v>
      </c>
      <c r="FP234" s="522">
        <v>0</v>
      </c>
      <c r="FQ234" s="522">
        <v>45</v>
      </c>
      <c r="FR234" s="522">
        <v>8</v>
      </c>
    </row>
    <row r="235" spans="1:174" x14ac:dyDescent="0.25">
      <c r="A235" s="523" t="s">
        <v>718</v>
      </c>
      <c r="B235" s="523" t="s">
        <v>719</v>
      </c>
      <c r="C235" s="523" t="s">
        <v>283</v>
      </c>
      <c r="D235" s="522">
        <v>7124</v>
      </c>
      <c r="E235" s="522">
        <v>7112</v>
      </c>
      <c r="F235" s="522">
        <v>0</v>
      </c>
      <c r="G235" s="522">
        <v>0</v>
      </c>
      <c r="H235" s="522">
        <v>198</v>
      </c>
      <c r="I235" s="522">
        <v>146</v>
      </c>
      <c r="J235" s="522">
        <v>793</v>
      </c>
      <c r="K235" s="522">
        <v>793</v>
      </c>
      <c r="L235" s="522">
        <v>908</v>
      </c>
      <c r="M235" s="522">
        <v>204</v>
      </c>
      <c r="N235" s="522">
        <v>9023</v>
      </c>
      <c r="O235" s="522">
        <v>8255</v>
      </c>
      <c r="P235" s="522">
        <v>8115</v>
      </c>
      <c r="Q235" s="522">
        <v>79</v>
      </c>
      <c r="R235" s="523">
        <v>2</v>
      </c>
      <c r="S235" s="523">
        <v>23</v>
      </c>
      <c r="T235" s="523">
        <v>61</v>
      </c>
      <c r="U235" s="523">
        <v>8962</v>
      </c>
      <c r="V235" s="522">
        <v>7112</v>
      </c>
      <c r="W235" s="522">
        <v>77</v>
      </c>
      <c r="X235" s="522">
        <v>39</v>
      </c>
      <c r="Y235" s="522">
        <v>116</v>
      </c>
      <c r="Z235" s="524">
        <v>100.84</v>
      </c>
      <c r="AA235" s="524">
        <v>100.23</v>
      </c>
      <c r="AB235" s="524">
        <v>5.85</v>
      </c>
      <c r="AC235" s="524">
        <v>102.88</v>
      </c>
      <c r="AD235" s="524">
        <v>4436</v>
      </c>
      <c r="AE235" s="525">
        <v>102.56</v>
      </c>
      <c r="AF235" s="525">
        <v>91.16</v>
      </c>
      <c r="AG235" s="525">
        <v>48.77</v>
      </c>
      <c r="AH235" s="525">
        <v>151.33000000000001</v>
      </c>
      <c r="AI235" s="525">
        <v>942</v>
      </c>
      <c r="AJ235" s="525">
        <v>134.37</v>
      </c>
      <c r="AK235" s="525">
        <v>2394</v>
      </c>
      <c r="AL235" s="525">
        <v>0</v>
      </c>
      <c r="AM235" s="525">
        <v>0</v>
      </c>
      <c r="AN235" s="526">
        <v>0</v>
      </c>
      <c r="AO235" s="526">
        <v>0</v>
      </c>
      <c r="AP235" s="526">
        <v>0</v>
      </c>
      <c r="AQ235" s="526">
        <v>0</v>
      </c>
      <c r="AR235" s="522">
        <v>0</v>
      </c>
      <c r="AS235" s="526">
        <v>77.12</v>
      </c>
      <c r="AT235" s="526">
        <v>79.040000000000006</v>
      </c>
      <c r="AU235" s="526">
        <v>20.03</v>
      </c>
      <c r="AV235" s="526">
        <v>95.48</v>
      </c>
      <c r="AW235" s="522">
        <v>12</v>
      </c>
      <c r="AX235" s="526">
        <v>85.46</v>
      </c>
      <c r="AY235" s="526">
        <v>84.09</v>
      </c>
      <c r="AZ235" s="526">
        <v>8.26</v>
      </c>
      <c r="BA235" s="526">
        <v>90.21</v>
      </c>
      <c r="BB235" s="522">
        <v>708</v>
      </c>
      <c r="BC235" s="526">
        <v>98.11</v>
      </c>
      <c r="BD235" s="526">
        <v>97.38</v>
      </c>
      <c r="BE235" s="526">
        <v>5.69</v>
      </c>
      <c r="BF235" s="526">
        <v>100.33</v>
      </c>
      <c r="BG235" s="522">
        <v>2000</v>
      </c>
      <c r="BH235" s="526">
        <v>109.7</v>
      </c>
      <c r="BI235" s="526">
        <v>109.47</v>
      </c>
      <c r="BJ235" s="526">
        <v>2.94</v>
      </c>
      <c r="BK235" s="526">
        <v>110.29</v>
      </c>
      <c r="BL235" s="522">
        <v>1629</v>
      </c>
      <c r="BM235" s="526">
        <v>125.79</v>
      </c>
      <c r="BN235" s="526">
        <v>126.97</v>
      </c>
      <c r="BO235" s="526">
        <v>3.58</v>
      </c>
      <c r="BP235" s="526">
        <v>127.16</v>
      </c>
      <c r="BQ235" s="522">
        <v>86</v>
      </c>
      <c r="BR235" s="526">
        <v>130.93</v>
      </c>
      <c r="BS235" s="526">
        <v>138.05000000000001</v>
      </c>
      <c r="BT235" s="526">
        <v>0</v>
      </c>
      <c r="BU235" s="526">
        <v>130.93</v>
      </c>
      <c r="BV235" s="522">
        <v>1</v>
      </c>
      <c r="BW235" s="526">
        <v>0</v>
      </c>
      <c r="BX235" s="526">
        <v>0</v>
      </c>
      <c r="BY235" s="526">
        <v>0</v>
      </c>
      <c r="BZ235" s="526">
        <v>0</v>
      </c>
      <c r="CA235" s="522">
        <v>0</v>
      </c>
      <c r="CB235" s="526">
        <v>100.84</v>
      </c>
      <c r="CC235" s="526">
        <v>100.23</v>
      </c>
      <c r="CD235" s="526">
        <v>5.85</v>
      </c>
      <c r="CE235" s="526">
        <v>102.88</v>
      </c>
      <c r="CF235" s="522">
        <v>4436</v>
      </c>
      <c r="CG235" s="526">
        <v>100.84</v>
      </c>
      <c r="CH235" s="526">
        <v>100.23</v>
      </c>
      <c r="CI235" s="526">
        <v>5.85</v>
      </c>
      <c r="CJ235" s="526">
        <v>102.88</v>
      </c>
      <c r="CK235" s="522">
        <v>4436</v>
      </c>
      <c r="CL235" s="526">
        <v>144.86000000000001</v>
      </c>
      <c r="CM235" s="526">
        <v>93.2</v>
      </c>
      <c r="CN235" s="526">
        <v>116.52</v>
      </c>
      <c r="CO235" s="526">
        <v>261.38</v>
      </c>
      <c r="CP235" s="522">
        <v>90</v>
      </c>
      <c r="CQ235" s="526">
        <v>109.74</v>
      </c>
      <c r="CR235" s="526">
        <v>74.44</v>
      </c>
      <c r="CS235" s="526">
        <v>60.66</v>
      </c>
      <c r="CT235" s="526">
        <v>170.4</v>
      </c>
      <c r="CU235" s="522">
        <v>12</v>
      </c>
      <c r="CV235" s="526">
        <v>96.19</v>
      </c>
      <c r="CW235" s="526">
        <v>90.22</v>
      </c>
      <c r="CX235" s="526">
        <v>42.51</v>
      </c>
      <c r="CY235" s="526">
        <v>138.69999999999999</v>
      </c>
      <c r="CZ235" s="522">
        <v>716</v>
      </c>
      <c r="DA235" s="526">
        <v>107.28</v>
      </c>
      <c r="DB235" s="526">
        <v>96.35</v>
      </c>
      <c r="DC235" s="526">
        <v>33.46</v>
      </c>
      <c r="DD235" s="526">
        <v>140.74</v>
      </c>
      <c r="DE235" s="522">
        <v>120</v>
      </c>
      <c r="DF235" s="526">
        <v>124.75</v>
      </c>
      <c r="DG235" s="526">
        <v>118.34</v>
      </c>
      <c r="DH235" s="526">
        <v>63.13</v>
      </c>
      <c r="DI235" s="526">
        <v>187.87</v>
      </c>
      <c r="DJ235" s="522">
        <v>3</v>
      </c>
      <c r="DK235" s="526">
        <v>138.62</v>
      </c>
      <c r="DL235" s="526">
        <v>0</v>
      </c>
      <c r="DM235" s="526">
        <v>87</v>
      </c>
      <c r="DN235" s="526">
        <v>225.62</v>
      </c>
      <c r="DO235" s="522">
        <v>1</v>
      </c>
      <c r="DP235" s="526">
        <v>98.09</v>
      </c>
      <c r="DQ235" s="526">
        <v>91.03</v>
      </c>
      <c r="DR235" s="526">
        <v>41.62</v>
      </c>
      <c r="DS235" s="526">
        <v>139.71</v>
      </c>
      <c r="DT235" s="522">
        <v>852</v>
      </c>
      <c r="DU235" s="526">
        <v>102.56</v>
      </c>
      <c r="DV235" s="526">
        <v>91.16</v>
      </c>
      <c r="DW235" s="526">
        <v>48.77</v>
      </c>
      <c r="DX235" s="526">
        <v>151.33000000000001</v>
      </c>
      <c r="DY235" s="522">
        <v>942</v>
      </c>
      <c r="DZ235" s="526">
        <v>0</v>
      </c>
      <c r="EA235" s="526">
        <v>0</v>
      </c>
      <c r="EB235" s="526">
        <v>0</v>
      </c>
      <c r="EC235" s="522">
        <v>0</v>
      </c>
      <c r="ED235" s="526">
        <v>113.42</v>
      </c>
      <c r="EE235" s="522">
        <v>592</v>
      </c>
      <c r="EF235" s="526">
        <v>134.02000000000001</v>
      </c>
      <c r="EG235" s="522">
        <v>1246</v>
      </c>
      <c r="EH235" s="526">
        <v>154.9</v>
      </c>
      <c r="EI235" s="522">
        <v>520</v>
      </c>
      <c r="EJ235" s="526">
        <v>192.88</v>
      </c>
      <c r="EK235" s="522">
        <v>34</v>
      </c>
      <c r="EL235" s="526">
        <v>214.08</v>
      </c>
      <c r="EM235" s="522">
        <v>2</v>
      </c>
      <c r="EN235" s="526">
        <v>0</v>
      </c>
      <c r="EO235" s="522">
        <v>0</v>
      </c>
      <c r="EP235" s="526">
        <v>134.37</v>
      </c>
      <c r="EQ235" s="522">
        <v>2394</v>
      </c>
      <c r="ER235" s="526">
        <v>134.37</v>
      </c>
      <c r="ES235" s="522">
        <v>2394</v>
      </c>
      <c r="ET235" s="526">
        <v>0</v>
      </c>
      <c r="EU235" s="526">
        <v>0</v>
      </c>
      <c r="EV235" s="526">
        <v>0</v>
      </c>
      <c r="EW235" s="522">
        <v>0</v>
      </c>
      <c r="EX235" s="526">
        <v>0</v>
      </c>
      <c r="EY235" s="522">
        <v>0</v>
      </c>
      <c r="EZ235" s="526">
        <v>0</v>
      </c>
      <c r="FA235" s="522">
        <v>0</v>
      </c>
      <c r="FB235" s="526">
        <v>0</v>
      </c>
      <c r="FC235" s="522">
        <v>0</v>
      </c>
      <c r="FD235" s="526">
        <v>0</v>
      </c>
      <c r="FE235" s="522">
        <v>0</v>
      </c>
      <c r="FF235" s="526">
        <v>0</v>
      </c>
      <c r="FG235" s="522">
        <v>0</v>
      </c>
      <c r="FH235" s="526">
        <v>0</v>
      </c>
      <c r="FI235" s="522">
        <v>0</v>
      </c>
      <c r="FJ235" s="522">
        <v>26</v>
      </c>
      <c r="FK235" s="522">
        <v>3</v>
      </c>
      <c r="FL235" s="522">
        <v>1</v>
      </c>
      <c r="FM235" s="522">
        <v>0</v>
      </c>
      <c r="FN235" s="522">
        <v>2</v>
      </c>
      <c r="FO235" s="522">
        <v>0</v>
      </c>
      <c r="FP235" s="522">
        <v>23</v>
      </c>
      <c r="FQ235" s="522">
        <v>68</v>
      </c>
      <c r="FR235" s="522">
        <v>7</v>
      </c>
    </row>
    <row r="236" spans="1:174" x14ac:dyDescent="0.25">
      <c r="A236" s="523" t="s">
        <v>720</v>
      </c>
      <c r="B236" s="523" t="s">
        <v>721</v>
      </c>
      <c r="C236" s="523" t="s">
        <v>2</v>
      </c>
      <c r="D236" s="522">
        <v>7085</v>
      </c>
      <c r="E236" s="522">
        <v>7013</v>
      </c>
      <c r="F236" s="522">
        <v>0</v>
      </c>
      <c r="G236" s="522">
        <v>0</v>
      </c>
      <c r="H236" s="522">
        <v>289</v>
      </c>
      <c r="I236" s="522">
        <v>190</v>
      </c>
      <c r="J236" s="522">
        <v>833</v>
      </c>
      <c r="K236" s="522">
        <v>752</v>
      </c>
      <c r="L236" s="522">
        <v>1337</v>
      </c>
      <c r="M236" s="522">
        <v>25</v>
      </c>
      <c r="N236" s="522">
        <v>9544</v>
      </c>
      <c r="O236" s="522">
        <v>7980</v>
      </c>
      <c r="P236" s="522">
        <v>8207</v>
      </c>
      <c r="Q236" s="522">
        <v>16</v>
      </c>
      <c r="R236" s="523">
        <v>10</v>
      </c>
      <c r="S236" s="523">
        <v>34</v>
      </c>
      <c r="T236" s="523">
        <v>220</v>
      </c>
      <c r="U236" s="523">
        <v>9324</v>
      </c>
      <c r="V236" s="522">
        <v>7010</v>
      </c>
      <c r="W236" s="522">
        <v>62</v>
      </c>
      <c r="X236" s="522">
        <v>37</v>
      </c>
      <c r="Y236" s="522">
        <v>99</v>
      </c>
      <c r="Z236" s="524">
        <v>126.71</v>
      </c>
      <c r="AA236" s="524">
        <v>130.41</v>
      </c>
      <c r="AB236" s="524">
        <v>7.66</v>
      </c>
      <c r="AC236" s="524">
        <v>129.49</v>
      </c>
      <c r="AD236" s="524">
        <v>5374</v>
      </c>
      <c r="AE236" s="525">
        <v>111.46</v>
      </c>
      <c r="AF236" s="525">
        <v>110.63</v>
      </c>
      <c r="AG236" s="525">
        <v>43.29</v>
      </c>
      <c r="AH236" s="525">
        <v>152.72999999999999</v>
      </c>
      <c r="AI236" s="525">
        <v>901</v>
      </c>
      <c r="AJ236" s="525">
        <v>206.35</v>
      </c>
      <c r="AK236" s="525">
        <v>1604</v>
      </c>
      <c r="AL236" s="525">
        <v>182.56</v>
      </c>
      <c r="AM236" s="525">
        <v>76</v>
      </c>
      <c r="AN236" s="526">
        <v>0</v>
      </c>
      <c r="AO236" s="526">
        <v>0</v>
      </c>
      <c r="AP236" s="526">
        <v>0</v>
      </c>
      <c r="AQ236" s="526">
        <v>0</v>
      </c>
      <c r="AR236" s="522">
        <v>0</v>
      </c>
      <c r="AS236" s="526">
        <v>84.53</v>
      </c>
      <c r="AT236" s="526">
        <v>86.75</v>
      </c>
      <c r="AU236" s="526">
        <v>10.119999999999999</v>
      </c>
      <c r="AV236" s="526">
        <v>93.73</v>
      </c>
      <c r="AW236" s="522">
        <v>11</v>
      </c>
      <c r="AX236" s="526">
        <v>105.27</v>
      </c>
      <c r="AY236" s="526">
        <v>107.33</v>
      </c>
      <c r="AZ236" s="526">
        <v>10.69</v>
      </c>
      <c r="BA236" s="526">
        <v>111.93</v>
      </c>
      <c r="BB236" s="522">
        <v>966</v>
      </c>
      <c r="BC236" s="526">
        <v>122.67</v>
      </c>
      <c r="BD236" s="526">
        <v>125.54</v>
      </c>
      <c r="BE236" s="526">
        <v>7.35</v>
      </c>
      <c r="BF236" s="526">
        <v>125.96</v>
      </c>
      <c r="BG236" s="522">
        <v>2047</v>
      </c>
      <c r="BH236" s="526">
        <v>137.94999999999999</v>
      </c>
      <c r="BI236" s="526">
        <v>143.09</v>
      </c>
      <c r="BJ236" s="526">
        <v>3.67</v>
      </c>
      <c r="BK236" s="526">
        <v>138.58000000000001</v>
      </c>
      <c r="BL236" s="522">
        <v>2184</v>
      </c>
      <c r="BM236" s="526">
        <v>156.07</v>
      </c>
      <c r="BN236" s="526">
        <v>160.55000000000001</v>
      </c>
      <c r="BO236" s="526">
        <v>6.37</v>
      </c>
      <c r="BP236" s="526">
        <v>157.94</v>
      </c>
      <c r="BQ236" s="522">
        <v>163</v>
      </c>
      <c r="BR236" s="526">
        <v>0</v>
      </c>
      <c r="BS236" s="526">
        <v>0</v>
      </c>
      <c r="BT236" s="526">
        <v>0</v>
      </c>
      <c r="BU236" s="526">
        <v>0</v>
      </c>
      <c r="BV236" s="522">
        <v>0</v>
      </c>
      <c r="BW236" s="526">
        <v>160.11000000000001</v>
      </c>
      <c r="BX236" s="526">
        <v>180.64</v>
      </c>
      <c r="BY236" s="526">
        <v>0</v>
      </c>
      <c r="BZ236" s="526">
        <v>160.11000000000001</v>
      </c>
      <c r="CA236" s="522">
        <v>3</v>
      </c>
      <c r="CB236" s="526">
        <v>126.71</v>
      </c>
      <c r="CC236" s="526">
        <v>130.41</v>
      </c>
      <c r="CD236" s="526">
        <v>7.66</v>
      </c>
      <c r="CE236" s="526">
        <v>129.49</v>
      </c>
      <c r="CF236" s="522">
        <v>5374</v>
      </c>
      <c r="CG236" s="526">
        <v>126.71</v>
      </c>
      <c r="CH236" s="526">
        <v>130.41</v>
      </c>
      <c r="CI236" s="526">
        <v>7.66</v>
      </c>
      <c r="CJ236" s="526">
        <v>129.49</v>
      </c>
      <c r="CK236" s="522">
        <v>5374</v>
      </c>
      <c r="CL236" s="526">
        <v>119.29</v>
      </c>
      <c r="CM236" s="526">
        <v>101.18</v>
      </c>
      <c r="CN236" s="526">
        <v>117.34</v>
      </c>
      <c r="CO236" s="526">
        <v>197.51</v>
      </c>
      <c r="CP236" s="522">
        <v>75</v>
      </c>
      <c r="CQ236" s="526">
        <v>94.92</v>
      </c>
      <c r="CR236" s="526">
        <v>89.61</v>
      </c>
      <c r="CS236" s="526">
        <v>121.08</v>
      </c>
      <c r="CT236" s="526">
        <v>205.32</v>
      </c>
      <c r="CU236" s="522">
        <v>34</v>
      </c>
      <c r="CV236" s="526">
        <v>109.05</v>
      </c>
      <c r="CW236" s="526">
        <v>109.71</v>
      </c>
      <c r="CX236" s="526">
        <v>35.44</v>
      </c>
      <c r="CY236" s="526">
        <v>143.78</v>
      </c>
      <c r="CZ236" s="522">
        <v>599</v>
      </c>
      <c r="DA236" s="526">
        <v>118.38</v>
      </c>
      <c r="DB236" s="526">
        <v>120.02</v>
      </c>
      <c r="DC236" s="526">
        <v>34.78</v>
      </c>
      <c r="DD236" s="526">
        <v>152.80000000000001</v>
      </c>
      <c r="DE236" s="522">
        <v>192</v>
      </c>
      <c r="DF236" s="526">
        <v>0</v>
      </c>
      <c r="DG236" s="526">
        <v>0</v>
      </c>
      <c r="DH236" s="526">
        <v>0</v>
      </c>
      <c r="DI236" s="526">
        <v>0</v>
      </c>
      <c r="DJ236" s="522">
        <v>0</v>
      </c>
      <c r="DK236" s="526">
        <v>197.18</v>
      </c>
      <c r="DL236" s="526">
        <v>150.88</v>
      </c>
      <c r="DM236" s="526">
        <v>152.62</v>
      </c>
      <c r="DN236" s="526">
        <v>349.8</v>
      </c>
      <c r="DO236" s="522">
        <v>1</v>
      </c>
      <c r="DP236" s="526">
        <v>110.75</v>
      </c>
      <c r="DQ236" s="526">
        <v>111.33</v>
      </c>
      <c r="DR236" s="526">
        <v>38.71</v>
      </c>
      <c r="DS236" s="526">
        <v>148.66</v>
      </c>
      <c r="DT236" s="522">
        <v>826</v>
      </c>
      <c r="DU236" s="526">
        <v>111.46</v>
      </c>
      <c r="DV236" s="526">
        <v>110.63</v>
      </c>
      <c r="DW236" s="526">
        <v>43.29</v>
      </c>
      <c r="DX236" s="526">
        <v>152.72999999999999</v>
      </c>
      <c r="DY236" s="522">
        <v>901</v>
      </c>
      <c r="DZ236" s="526">
        <v>0</v>
      </c>
      <c r="EA236" s="526">
        <v>0</v>
      </c>
      <c r="EB236" s="526">
        <v>230.11</v>
      </c>
      <c r="EC236" s="522">
        <v>3</v>
      </c>
      <c r="ED236" s="526">
        <v>161.72</v>
      </c>
      <c r="EE236" s="522">
        <v>287</v>
      </c>
      <c r="EF236" s="526">
        <v>196.83</v>
      </c>
      <c r="EG236" s="522">
        <v>866</v>
      </c>
      <c r="EH236" s="526">
        <v>244.7</v>
      </c>
      <c r="EI236" s="522">
        <v>374</v>
      </c>
      <c r="EJ236" s="526">
        <v>296.07</v>
      </c>
      <c r="EK236" s="522">
        <v>74</v>
      </c>
      <c r="EL236" s="526">
        <v>0</v>
      </c>
      <c r="EM236" s="522">
        <v>0</v>
      </c>
      <c r="EN236" s="526">
        <v>0</v>
      </c>
      <c r="EO236" s="522">
        <v>0</v>
      </c>
      <c r="EP236" s="526">
        <v>206.35</v>
      </c>
      <c r="EQ236" s="522">
        <v>1604</v>
      </c>
      <c r="ER236" s="526">
        <v>206.35</v>
      </c>
      <c r="ES236" s="522">
        <v>1604</v>
      </c>
      <c r="ET236" s="526">
        <v>0</v>
      </c>
      <c r="EU236" s="526">
        <v>0</v>
      </c>
      <c r="EV236" s="526">
        <v>0</v>
      </c>
      <c r="EW236" s="522">
        <v>0</v>
      </c>
      <c r="EX236" s="526">
        <v>174.78</v>
      </c>
      <c r="EY236" s="522">
        <v>44</v>
      </c>
      <c r="EZ236" s="526">
        <v>193.27</v>
      </c>
      <c r="FA236" s="522">
        <v>32</v>
      </c>
      <c r="FB236" s="526">
        <v>0</v>
      </c>
      <c r="FC236" s="522">
        <v>0</v>
      </c>
      <c r="FD236" s="526">
        <v>0</v>
      </c>
      <c r="FE236" s="522">
        <v>0</v>
      </c>
      <c r="FF236" s="526">
        <v>182.56</v>
      </c>
      <c r="FG236" s="522">
        <v>76</v>
      </c>
      <c r="FH236" s="526">
        <v>182.56</v>
      </c>
      <c r="FI236" s="522">
        <v>76</v>
      </c>
      <c r="FJ236" s="522">
        <v>10</v>
      </c>
      <c r="FK236" s="522">
        <v>0</v>
      </c>
      <c r="FL236" s="522">
        <v>0</v>
      </c>
      <c r="FM236" s="522">
        <v>0</v>
      </c>
      <c r="FN236" s="522">
        <v>0</v>
      </c>
      <c r="FO236" s="522">
        <v>0</v>
      </c>
      <c r="FP236" s="522">
        <v>3</v>
      </c>
      <c r="FQ236" s="522">
        <v>115</v>
      </c>
      <c r="FR236" s="522">
        <v>18</v>
      </c>
    </row>
    <row r="237" spans="1:174" x14ac:dyDescent="0.25">
      <c r="A237" s="523" t="s">
        <v>722</v>
      </c>
      <c r="B237" s="523" t="s">
        <v>723</v>
      </c>
      <c r="C237" s="523" t="s">
        <v>286</v>
      </c>
      <c r="D237" s="522">
        <v>4176</v>
      </c>
      <c r="E237" s="522">
        <v>4186</v>
      </c>
      <c r="F237" s="522">
        <v>3</v>
      </c>
      <c r="G237" s="522">
        <v>3</v>
      </c>
      <c r="H237" s="522">
        <v>254</v>
      </c>
      <c r="I237" s="522">
        <v>121</v>
      </c>
      <c r="J237" s="522">
        <v>1043</v>
      </c>
      <c r="K237" s="522">
        <v>1043</v>
      </c>
      <c r="L237" s="522">
        <v>408</v>
      </c>
      <c r="M237" s="522">
        <v>0</v>
      </c>
      <c r="N237" s="522">
        <v>5884</v>
      </c>
      <c r="O237" s="522">
        <v>5353</v>
      </c>
      <c r="P237" s="522">
        <v>5476</v>
      </c>
      <c r="Q237" s="522">
        <v>10</v>
      </c>
      <c r="R237" s="523">
        <v>8</v>
      </c>
      <c r="S237" s="523">
        <v>18</v>
      </c>
      <c r="T237" s="523">
        <v>98</v>
      </c>
      <c r="U237" s="523">
        <v>5786</v>
      </c>
      <c r="V237" s="522">
        <v>4174</v>
      </c>
      <c r="W237" s="522">
        <v>36</v>
      </c>
      <c r="X237" s="522">
        <v>2</v>
      </c>
      <c r="Y237" s="522">
        <v>38</v>
      </c>
      <c r="Z237" s="524">
        <v>99.53</v>
      </c>
      <c r="AA237" s="524">
        <v>98.89</v>
      </c>
      <c r="AB237" s="524">
        <v>2.98</v>
      </c>
      <c r="AC237" s="524">
        <v>102.39</v>
      </c>
      <c r="AD237" s="524">
        <v>3566</v>
      </c>
      <c r="AE237" s="525">
        <v>104.17</v>
      </c>
      <c r="AF237" s="525">
        <v>88.23</v>
      </c>
      <c r="AG237" s="525">
        <v>29.01</v>
      </c>
      <c r="AH237" s="525">
        <v>132.82</v>
      </c>
      <c r="AI237" s="525">
        <v>1201</v>
      </c>
      <c r="AJ237" s="525">
        <v>122.39</v>
      </c>
      <c r="AK237" s="525">
        <v>590</v>
      </c>
      <c r="AL237" s="525">
        <v>0</v>
      </c>
      <c r="AM237" s="525">
        <v>0</v>
      </c>
      <c r="AN237" s="526">
        <v>45.9</v>
      </c>
      <c r="AO237" s="526">
        <v>45.9</v>
      </c>
      <c r="AP237" s="526">
        <v>24.31</v>
      </c>
      <c r="AQ237" s="526">
        <v>70.209999999999994</v>
      </c>
      <c r="AR237" s="522">
        <v>3</v>
      </c>
      <c r="AS237" s="526">
        <v>72.94</v>
      </c>
      <c r="AT237" s="526">
        <v>85.42</v>
      </c>
      <c r="AU237" s="526">
        <v>4.2300000000000004</v>
      </c>
      <c r="AV237" s="526">
        <v>77.17</v>
      </c>
      <c r="AW237" s="522">
        <v>1</v>
      </c>
      <c r="AX237" s="526">
        <v>83.45</v>
      </c>
      <c r="AY237" s="526">
        <v>82.4</v>
      </c>
      <c r="AZ237" s="526">
        <v>4.3099999999999996</v>
      </c>
      <c r="BA237" s="526">
        <v>87.75</v>
      </c>
      <c r="BB237" s="522">
        <v>635</v>
      </c>
      <c r="BC237" s="526">
        <v>96.36</v>
      </c>
      <c r="BD237" s="526">
        <v>95.52</v>
      </c>
      <c r="BE237" s="526">
        <v>3.23</v>
      </c>
      <c r="BF237" s="526">
        <v>99.47</v>
      </c>
      <c r="BG237" s="522">
        <v>1374</v>
      </c>
      <c r="BH237" s="526">
        <v>108.65</v>
      </c>
      <c r="BI237" s="526">
        <v>108.11</v>
      </c>
      <c r="BJ237" s="526">
        <v>2.12</v>
      </c>
      <c r="BK237" s="526">
        <v>110.65</v>
      </c>
      <c r="BL237" s="522">
        <v>1493</v>
      </c>
      <c r="BM237" s="526">
        <v>117.57</v>
      </c>
      <c r="BN237" s="526">
        <v>118.55</v>
      </c>
      <c r="BO237" s="526">
        <v>2.69</v>
      </c>
      <c r="BP237" s="526">
        <v>120.12</v>
      </c>
      <c r="BQ237" s="522">
        <v>59</v>
      </c>
      <c r="BR237" s="526">
        <v>0</v>
      </c>
      <c r="BS237" s="526">
        <v>0</v>
      </c>
      <c r="BT237" s="526">
        <v>0</v>
      </c>
      <c r="BU237" s="526">
        <v>0</v>
      </c>
      <c r="BV237" s="522">
        <v>0</v>
      </c>
      <c r="BW237" s="526">
        <v>160.78</v>
      </c>
      <c r="BX237" s="526">
        <v>159.36000000000001</v>
      </c>
      <c r="BY237" s="526">
        <v>3.62</v>
      </c>
      <c r="BZ237" s="526">
        <v>164.4</v>
      </c>
      <c r="CA237" s="522">
        <v>1</v>
      </c>
      <c r="CB237" s="526">
        <v>99.57</v>
      </c>
      <c r="CC237" s="526">
        <v>98.93</v>
      </c>
      <c r="CD237" s="526">
        <v>2.96</v>
      </c>
      <c r="CE237" s="526">
        <v>102.42</v>
      </c>
      <c r="CF237" s="522">
        <v>3563</v>
      </c>
      <c r="CG237" s="526">
        <v>99.53</v>
      </c>
      <c r="CH237" s="526">
        <v>98.89</v>
      </c>
      <c r="CI237" s="526">
        <v>2.98</v>
      </c>
      <c r="CJ237" s="526">
        <v>102.39</v>
      </c>
      <c r="CK237" s="522">
        <v>3566</v>
      </c>
      <c r="CL237" s="526">
        <v>184.04</v>
      </c>
      <c r="CM237" s="526">
        <v>98.16</v>
      </c>
      <c r="CN237" s="526">
        <v>36.270000000000003</v>
      </c>
      <c r="CO237" s="526">
        <v>219.01</v>
      </c>
      <c r="CP237" s="522">
        <v>111</v>
      </c>
      <c r="CQ237" s="526">
        <v>84.88</v>
      </c>
      <c r="CR237" s="526">
        <v>77.010000000000005</v>
      </c>
      <c r="CS237" s="526">
        <v>53.57</v>
      </c>
      <c r="CT237" s="526">
        <v>138.44999999999999</v>
      </c>
      <c r="CU237" s="522">
        <v>32</v>
      </c>
      <c r="CV237" s="526">
        <v>93.94</v>
      </c>
      <c r="CW237" s="526">
        <v>86.56</v>
      </c>
      <c r="CX237" s="526">
        <v>28.67</v>
      </c>
      <c r="CY237" s="526">
        <v>122.27</v>
      </c>
      <c r="CZ237" s="522">
        <v>916</v>
      </c>
      <c r="DA237" s="526">
        <v>104.8</v>
      </c>
      <c r="DB237" s="526">
        <v>99.55</v>
      </c>
      <c r="DC237" s="526">
        <v>19.760000000000002</v>
      </c>
      <c r="DD237" s="526">
        <v>124.56</v>
      </c>
      <c r="DE237" s="522">
        <v>130</v>
      </c>
      <c r="DF237" s="526">
        <v>199.35</v>
      </c>
      <c r="DG237" s="526">
        <v>110.15</v>
      </c>
      <c r="DH237" s="526">
        <v>27.1</v>
      </c>
      <c r="DI237" s="526">
        <v>226.44</v>
      </c>
      <c r="DJ237" s="522">
        <v>9</v>
      </c>
      <c r="DK237" s="526">
        <v>166.28</v>
      </c>
      <c r="DL237" s="526">
        <v>0</v>
      </c>
      <c r="DM237" s="526">
        <v>17.559999999999999</v>
      </c>
      <c r="DN237" s="526">
        <v>183.84</v>
      </c>
      <c r="DO237" s="522">
        <v>3</v>
      </c>
      <c r="DP237" s="526">
        <v>96.04</v>
      </c>
      <c r="DQ237" s="526">
        <v>88</v>
      </c>
      <c r="DR237" s="526">
        <v>28.29</v>
      </c>
      <c r="DS237" s="526">
        <v>124.04</v>
      </c>
      <c r="DT237" s="522">
        <v>1090</v>
      </c>
      <c r="DU237" s="526">
        <v>104.17</v>
      </c>
      <c r="DV237" s="526">
        <v>88.23</v>
      </c>
      <c r="DW237" s="526">
        <v>29.01</v>
      </c>
      <c r="DX237" s="526">
        <v>132.82</v>
      </c>
      <c r="DY237" s="522">
        <v>1201</v>
      </c>
      <c r="DZ237" s="526">
        <v>0</v>
      </c>
      <c r="EA237" s="526">
        <v>0</v>
      </c>
      <c r="EB237" s="526">
        <v>0</v>
      </c>
      <c r="EC237" s="522">
        <v>0</v>
      </c>
      <c r="ED237" s="526">
        <v>95.62</v>
      </c>
      <c r="EE237" s="522">
        <v>71</v>
      </c>
      <c r="EF237" s="526">
        <v>119.42</v>
      </c>
      <c r="EG237" s="522">
        <v>304</v>
      </c>
      <c r="EH237" s="526">
        <v>133.77000000000001</v>
      </c>
      <c r="EI237" s="522">
        <v>209</v>
      </c>
      <c r="EJ237" s="526">
        <v>193.37</v>
      </c>
      <c r="EK237" s="522">
        <v>6</v>
      </c>
      <c r="EL237" s="526">
        <v>0</v>
      </c>
      <c r="EM237" s="522">
        <v>0</v>
      </c>
      <c r="EN237" s="526">
        <v>0</v>
      </c>
      <c r="EO237" s="522">
        <v>0</v>
      </c>
      <c r="EP237" s="526">
        <v>122.39</v>
      </c>
      <c r="EQ237" s="522">
        <v>590</v>
      </c>
      <c r="ER237" s="526">
        <v>122.39</v>
      </c>
      <c r="ES237" s="522">
        <v>590</v>
      </c>
      <c r="ET237" s="526">
        <v>0</v>
      </c>
      <c r="EU237" s="526">
        <v>0</v>
      </c>
      <c r="EV237" s="526">
        <v>0</v>
      </c>
      <c r="EW237" s="522">
        <v>0</v>
      </c>
      <c r="EX237" s="526">
        <v>0</v>
      </c>
      <c r="EY237" s="522">
        <v>0</v>
      </c>
      <c r="EZ237" s="526">
        <v>0</v>
      </c>
      <c r="FA237" s="522">
        <v>0</v>
      </c>
      <c r="FB237" s="526">
        <v>0</v>
      </c>
      <c r="FC237" s="522">
        <v>0</v>
      </c>
      <c r="FD237" s="526">
        <v>0</v>
      </c>
      <c r="FE237" s="522">
        <v>0</v>
      </c>
      <c r="FF237" s="526">
        <v>0</v>
      </c>
      <c r="FG237" s="522">
        <v>0</v>
      </c>
      <c r="FH237" s="526">
        <v>0</v>
      </c>
      <c r="FI237" s="522">
        <v>0</v>
      </c>
      <c r="FJ237" s="522">
        <v>0</v>
      </c>
      <c r="FK237" s="522">
        <v>6</v>
      </c>
      <c r="FL237" s="522">
        <v>6</v>
      </c>
      <c r="FM237" s="522">
        <v>0</v>
      </c>
      <c r="FN237" s="522">
        <v>0</v>
      </c>
      <c r="FO237" s="522">
        <v>0</v>
      </c>
      <c r="FP237" s="522">
        <v>0</v>
      </c>
      <c r="FQ237" s="522">
        <v>77</v>
      </c>
      <c r="FR237" s="522">
        <v>6</v>
      </c>
    </row>
    <row r="238" spans="1:174" x14ac:dyDescent="0.25">
      <c r="A238" s="523" t="s">
        <v>724</v>
      </c>
      <c r="B238" s="523" t="s">
        <v>725</v>
      </c>
      <c r="C238" s="523" t="s">
        <v>288</v>
      </c>
      <c r="D238" s="522">
        <v>5948</v>
      </c>
      <c r="E238" s="522">
        <v>5948</v>
      </c>
      <c r="F238" s="522">
        <v>0</v>
      </c>
      <c r="G238" s="522">
        <v>0</v>
      </c>
      <c r="H238" s="522">
        <v>279</v>
      </c>
      <c r="I238" s="522">
        <v>213</v>
      </c>
      <c r="J238" s="522">
        <v>684</v>
      </c>
      <c r="K238" s="522">
        <v>684</v>
      </c>
      <c r="L238" s="522">
        <v>673</v>
      </c>
      <c r="M238" s="522">
        <v>0</v>
      </c>
      <c r="N238" s="522">
        <v>7584</v>
      </c>
      <c r="O238" s="522">
        <v>6845</v>
      </c>
      <c r="P238" s="522">
        <v>6911</v>
      </c>
      <c r="Q238" s="522">
        <v>68</v>
      </c>
      <c r="R238" s="523">
        <v>3</v>
      </c>
      <c r="S238" s="523">
        <v>16</v>
      </c>
      <c r="T238" s="523">
        <v>14</v>
      </c>
      <c r="U238" s="523">
        <v>7570</v>
      </c>
      <c r="V238" s="522">
        <v>5948</v>
      </c>
      <c r="W238" s="522">
        <v>9</v>
      </c>
      <c r="X238" s="522">
        <v>87</v>
      </c>
      <c r="Y238" s="522">
        <v>96</v>
      </c>
      <c r="Z238" s="524">
        <v>101.46</v>
      </c>
      <c r="AA238" s="524">
        <v>101.07</v>
      </c>
      <c r="AB238" s="524">
        <v>5.81</v>
      </c>
      <c r="AC238" s="524">
        <v>103.24</v>
      </c>
      <c r="AD238" s="524">
        <v>5778</v>
      </c>
      <c r="AE238" s="525">
        <v>96.44</v>
      </c>
      <c r="AF238" s="525">
        <v>90.89</v>
      </c>
      <c r="AG238" s="525">
        <v>46.36</v>
      </c>
      <c r="AH238" s="525">
        <v>139.08000000000001</v>
      </c>
      <c r="AI238" s="525">
        <v>810</v>
      </c>
      <c r="AJ238" s="525">
        <v>122.85</v>
      </c>
      <c r="AK238" s="525">
        <v>131</v>
      </c>
      <c r="AL238" s="525">
        <v>215.33</v>
      </c>
      <c r="AM238" s="525">
        <v>139</v>
      </c>
      <c r="AN238" s="526">
        <v>0</v>
      </c>
      <c r="AO238" s="526">
        <v>0</v>
      </c>
      <c r="AP238" s="526">
        <v>0</v>
      </c>
      <c r="AQ238" s="526">
        <v>0</v>
      </c>
      <c r="AR238" s="522">
        <v>0</v>
      </c>
      <c r="AS238" s="526">
        <v>71.48</v>
      </c>
      <c r="AT238" s="526">
        <v>67.31</v>
      </c>
      <c r="AU238" s="526">
        <v>10.57</v>
      </c>
      <c r="AV238" s="526">
        <v>82.05</v>
      </c>
      <c r="AW238" s="522">
        <v>1</v>
      </c>
      <c r="AX238" s="526">
        <v>88.56</v>
      </c>
      <c r="AY238" s="526">
        <v>88.18</v>
      </c>
      <c r="AZ238" s="526">
        <v>6.49</v>
      </c>
      <c r="BA238" s="526">
        <v>91.32</v>
      </c>
      <c r="BB238" s="522">
        <v>1010</v>
      </c>
      <c r="BC238" s="526">
        <v>99.52</v>
      </c>
      <c r="BD238" s="526">
        <v>99.11</v>
      </c>
      <c r="BE238" s="526">
        <v>6.14</v>
      </c>
      <c r="BF238" s="526">
        <v>101.86</v>
      </c>
      <c r="BG238" s="522">
        <v>2793</v>
      </c>
      <c r="BH238" s="526">
        <v>110.12</v>
      </c>
      <c r="BI238" s="526">
        <v>109.76</v>
      </c>
      <c r="BJ238" s="526">
        <v>3.47</v>
      </c>
      <c r="BK238" s="526">
        <v>110.6</v>
      </c>
      <c r="BL238" s="522">
        <v>1870</v>
      </c>
      <c r="BM238" s="526">
        <v>123.38</v>
      </c>
      <c r="BN238" s="526">
        <v>123.13</v>
      </c>
      <c r="BO238" s="526">
        <v>3.39</v>
      </c>
      <c r="BP238" s="526">
        <v>124</v>
      </c>
      <c r="BQ238" s="522">
        <v>104</v>
      </c>
      <c r="BR238" s="526">
        <v>0</v>
      </c>
      <c r="BS238" s="526">
        <v>0</v>
      </c>
      <c r="BT238" s="526">
        <v>0</v>
      </c>
      <c r="BU238" s="526">
        <v>0</v>
      </c>
      <c r="BV238" s="522">
        <v>0</v>
      </c>
      <c r="BW238" s="526">
        <v>0</v>
      </c>
      <c r="BX238" s="526">
        <v>0</v>
      </c>
      <c r="BY238" s="526">
        <v>0</v>
      </c>
      <c r="BZ238" s="526">
        <v>0</v>
      </c>
      <c r="CA238" s="522">
        <v>0</v>
      </c>
      <c r="CB238" s="526">
        <v>101.46</v>
      </c>
      <c r="CC238" s="526">
        <v>101.07</v>
      </c>
      <c r="CD238" s="526">
        <v>5.81</v>
      </c>
      <c r="CE238" s="526">
        <v>103.24</v>
      </c>
      <c r="CF238" s="522">
        <v>5778</v>
      </c>
      <c r="CG238" s="526">
        <v>101.46</v>
      </c>
      <c r="CH238" s="526">
        <v>101.07</v>
      </c>
      <c r="CI238" s="526">
        <v>5.81</v>
      </c>
      <c r="CJ238" s="526">
        <v>103.24</v>
      </c>
      <c r="CK238" s="522">
        <v>5778</v>
      </c>
      <c r="CL238" s="526">
        <v>166.69</v>
      </c>
      <c r="CM238" s="526">
        <v>92.76</v>
      </c>
      <c r="CN238" s="526">
        <v>109.13</v>
      </c>
      <c r="CO238" s="526">
        <v>275.82</v>
      </c>
      <c r="CP238" s="522">
        <v>21</v>
      </c>
      <c r="CQ238" s="526">
        <v>77.44</v>
      </c>
      <c r="CR238" s="526">
        <v>74.150000000000006</v>
      </c>
      <c r="CS238" s="526">
        <v>39.33</v>
      </c>
      <c r="CT238" s="526">
        <v>110.63</v>
      </c>
      <c r="CU238" s="522">
        <v>218</v>
      </c>
      <c r="CV238" s="526">
        <v>97.87</v>
      </c>
      <c r="CW238" s="526">
        <v>93.86</v>
      </c>
      <c r="CX238" s="526">
        <v>56.71</v>
      </c>
      <c r="CY238" s="526">
        <v>150.55000000000001</v>
      </c>
      <c r="CZ238" s="522">
        <v>296</v>
      </c>
      <c r="DA238" s="526">
        <v>104.51</v>
      </c>
      <c r="DB238" s="526">
        <v>100.85</v>
      </c>
      <c r="DC238" s="526">
        <v>35.61</v>
      </c>
      <c r="DD238" s="526">
        <v>138.82</v>
      </c>
      <c r="DE238" s="522">
        <v>274</v>
      </c>
      <c r="DF238" s="526">
        <v>0</v>
      </c>
      <c r="DG238" s="526">
        <v>0</v>
      </c>
      <c r="DH238" s="526">
        <v>0</v>
      </c>
      <c r="DI238" s="526">
        <v>0</v>
      </c>
      <c r="DJ238" s="522">
        <v>0</v>
      </c>
      <c r="DK238" s="526">
        <v>124.83</v>
      </c>
      <c r="DL238" s="526">
        <v>120.06</v>
      </c>
      <c r="DM238" s="526">
        <v>19.64</v>
      </c>
      <c r="DN238" s="526">
        <v>144.47</v>
      </c>
      <c r="DO238" s="522">
        <v>1</v>
      </c>
      <c r="DP238" s="526">
        <v>94.57</v>
      </c>
      <c r="DQ238" s="526">
        <v>90.88</v>
      </c>
      <c r="DR238" s="526">
        <v>44.54</v>
      </c>
      <c r="DS238" s="526">
        <v>135.44</v>
      </c>
      <c r="DT238" s="522">
        <v>789</v>
      </c>
      <c r="DU238" s="526">
        <v>96.44</v>
      </c>
      <c r="DV238" s="526">
        <v>90.89</v>
      </c>
      <c r="DW238" s="526">
        <v>46.36</v>
      </c>
      <c r="DX238" s="526">
        <v>139.08000000000001</v>
      </c>
      <c r="DY238" s="522">
        <v>810</v>
      </c>
      <c r="DZ238" s="526">
        <v>0</v>
      </c>
      <c r="EA238" s="526">
        <v>0</v>
      </c>
      <c r="EB238" s="526">
        <v>0</v>
      </c>
      <c r="EC238" s="522">
        <v>0</v>
      </c>
      <c r="ED238" s="526">
        <v>104.09</v>
      </c>
      <c r="EE238" s="522">
        <v>11</v>
      </c>
      <c r="EF238" s="526">
        <v>119.99</v>
      </c>
      <c r="EG238" s="522">
        <v>89</v>
      </c>
      <c r="EH238" s="526">
        <v>137.69999999999999</v>
      </c>
      <c r="EI238" s="522">
        <v>31</v>
      </c>
      <c r="EJ238" s="526">
        <v>0</v>
      </c>
      <c r="EK238" s="522">
        <v>0</v>
      </c>
      <c r="EL238" s="526">
        <v>0</v>
      </c>
      <c r="EM238" s="522">
        <v>0</v>
      </c>
      <c r="EN238" s="526">
        <v>0</v>
      </c>
      <c r="EO238" s="522">
        <v>0</v>
      </c>
      <c r="EP238" s="526">
        <v>122.85</v>
      </c>
      <c r="EQ238" s="522">
        <v>131</v>
      </c>
      <c r="ER238" s="526">
        <v>122.85</v>
      </c>
      <c r="ES238" s="522">
        <v>131</v>
      </c>
      <c r="ET238" s="526">
        <v>0</v>
      </c>
      <c r="EU238" s="526">
        <v>0</v>
      </c>
      <c r="EV238" s="526">
        <v>0</v>
      </c>
      <c r="EW238" s="522">
        <v>0</v>
      </c>
      <c r="EX238" s="526">
        <v>193.08</v>
      </c>
      <c r="EY238" s="522">
        <v>67</v>
      </c>
      <c r="EZ238" s="526">
        <v>236.02</v>
      </c>
      <c r="FA238" s="522">
        <v>72</v>
      </c>
      <c r="FB238" s="526">
        <v>0</v>
      </c>
      <c r="FC238" s="522">
        <v>0</v>
      </c>
      <c r="FD238" s="526">
        <v>0</v>
      </c>
      <c r="FE238" s="522">
        <v>0</v>
      </c>
      <c r="FF238" s="526">
        <v>215.33</v>
      </c>
      <c r="FG238" s="522">
        <v>139</v>
      </c>
      <c r="FH238" s="526">
        <v>215.33</v>
      </c>
      <c r="FI238" s="522">
        <v>139</v>
      </c>
      <c r="FJ238" s="522">
        <v>0</v>
      </c>
      <c r="FK238" s="522">
        <v>8</v>
      </c>
      <c r="FL238" s="522">
        <v>7</v>
      </c>
      <c r="FM238" s="522">
        <v>0</v>
      </c>
      <c r="FN238" s="522">
        <v>1</v>
      </c>
      <c r="FO238" s="522">
        <v>0</v>
      </c>
      <c r="FP238" s="522">
        <v>8</v>
      </c>
      <c r="FQ238" s="522">
        <v>94</v>
      </c>
      <c r="FR238" s="522">
        <v>1</v>
      </c>
    </row>
    <row r="239" spans="1:174" x14ac:dyDescent="0.25">
      <c r="A239" s="523" t="s">
        <v>726</v>
      </c>
      <c r="B239" s="523" t="s">
        <v>727</v>
      </c>
      <c r="C239" s="523" t="s">
        <v>285</v>
      </c>
      <c r="D239" s="522">
        <v>4225</v>
      </c>
      <c r="E239" s="522">
        <v>4182</v>
      </c>
      <c r="F239" s="522">
        <v>0</v>
      </c>
      <c r="G239" s="522">
        <v>0</v>
      </c>
      <c r="H239" s="522">
        <v>342</v>
      </c>
      <c r="I239" s="522">
        <v>266</v>
      </c>
      <c r="J239" s="522">
        <v>775</v>
      </c>
      <c r="K239" s="522">
        <v>775</v>
      </c>
      <c r="L239" s="522">
        <v>288</v>
      </c>
      <c r="M239" s="522">
        <v>2</v>
      </c>
      <c r="N239" s="522">
        <v>5630</v>
      </c>
      <c r="O239" s="522">
        <v>5225</v>
      </c>
      <c r="P239" s="522">
        <v>5342</v>
      </c>
      <c r="Q239" s="522">
        <v>10</v>
      </c>
      <c r="R239" s="523">
        <v>6</v>
      </c>
      <c r="S239" s="523">
        <v>17</v>
      </c>
      <c r="T239" s="523">
        <v>137</v>
      </c>
      <c r="U239" s="523">
        <v>5493</v>
      </c>
      <c r="V239" s="522">
        <v>4183</v>
      </c>
      <c r="W239" s="522">
        <v>25</v>
      </c>
      <c r="X239" s="522">
        <v>113</v>
      </c>
      <c r="Y239" s="522">
        <v>138</v>
      </c>
      <c r="Z239" s="524">
        <v>91.73</v>
      </c>
      <c r="AA239" s="524">
        <v>91.54</v>
      </c>
      <c r="AB239" s="524">
        <v>4.74</v>
      </c>
      <c r="AC239" s="524">
        <v>94.36</v>
      </c>
      <c r="AD239" s="524">
        <v>3104</v>
      </c>
      <c r="AE239" s="525">
        <v>98.72</v>
      </c>
      <c r="AF239" s="525">
        <v>89.88</v>
      </c>
      <c r="AG239" s="525">
        <v>75.09</v>
      </c>
      <c r="AH239" s="525">
        <v>173.19</v>
      </c>
      <c r="AI239" s="525">
        <v>966</v>
      </c>
      <c r="AJ239" s="525">
        <v>123.47</v>
      </c>
      <c r="AK239" s="525">
        <v>1054</v>
      </c>
      <c r="AL239" s="525">
        <v>122.11</v>
      </c>
      <c r="AM239" s="525">
        <v>56</v>
      </c>
      <c r="AN239" s="526">
        <v>0</v>
      </c>
      <c r="AO239" s="526">
        <v>0</v>
      </c>
      <c r="AP239" s="526">
        <v>0</v>
      </c>
      <c r="AQ239" s="526">
        <v>0</v>
      </c>
      <c r="AR239" s="522">
        <v>0</v>
      </c>
      <c r="AS239" s="526">
        <v>70.08</v>
      </c>
      <c r="AT239" s="526">
        <v>67.98</v>
      </c>
      <c r="AU239" s="526">
        <v>64.64</v>
      </c>
      <c r="AV239" s="526">
        <v>134.71</v>
      </c>
      <c r="AW239" s="522">
        <v>2</v>
      </c>
      <c r="AX239" s="526">
        <v>80.84</v>
      </c>
      <c r="AY239" s="526">
        <v>81.5</v>
      </c>
      <c r="AZ239" s="526">
        <v>9.11</v>
      </c>
      <c r="BA239" s="526">
        <v>86.99</v>
      </c>
      <c r="BB239" s="522">
        <v>764</v>
      </c>
      <c r="BC239" s="526">
        <v>90.79</v>
      </c>
      <c r="BD239" s="526">
        <v>90.16</v>
      </c>
      <c r="BE239" s="526">
        <v>3.69</v>
      </c>
      <c r="BF239" s="526">
        <v>92.59</v>
      </c>
      <c r="BG239" s="522">
        <v>1227</v>
      </c>
      <c r="BH239" s="526">
        <v>99.73</v>
      </c>
      <c r="BI239" s="526">
        <v>99.46</v>
      </c>
      <c r="BJ239" s="526">
        <v>1.93</v>
      </c>
      <c r="BK239" s="526">
        <v>100.77</v>
      </c>
      <c r="BL239" s="522">
        <v>1039</v>
      </c>
      <c r="BM239" s="526">
        <v>108.42</v>
      </c>
      <c r="BN239" s="526">
        <v>107.86</v>
      </c>
      <c r="BO239" s="526">
        <v>0.93</v>
      </c>
      <c r="BP239" s="526">
        <v>108.92</v>
      </c>
      <c r="BQ239" s="522">
        <v>72</v>
      </c>
      <c r="BR239" s="526">
        <v>0</v>
      </c>
      <c r="BS239" s="526">
        <v>0</v>
      </c>
      <c r="BT239" s="526">
        <v>0</v>
      </c>
      <c r="BU239" s="526">
        <v>0</v>
      </c>
      <c r="BV239" s="522">
        <v>0</v>
      </c>
      <c r="BW239" s="526">
        <v>0</v>
      </c>
      <c r="BX239" s="526">
        <v>0</v>
      </c>
      <c r="BY239" s="526">
        <v>0</v>
      </c>
      <c r="BZ239" s="526">
        <v>0</v>
      </c>
      <c r="CA239" s="522">
        <v>0</v>
      </c>
      <c r="CB239" s="526">
        <v>91.73</v>
      </c>
      <c r="CC239" s="526">
        <v>91.54</v>
      </c>
      <c r="CD239" s="526">
        <v>4.74</v>
      </c>
      <c r="CE239" s="526">
        <v>94.36</v>
      </c>
      <c r="CF239" s="522">
        <v>3104</v>
      </c>
      <c r="CG239" s="526">
        <v>91.73</v>
      </c>
      <c r="CH239" s="526">
        <v>91.54</v>
      </c>
      <c r="CI239" s="526">
        <v>4.74</v>
      </c>
      <c r="CJ239" s="526">
        <v>94.36</v>
      </c>
      <c r="CK239" s="522">
        <v>3104</v>
      </c>
      <c r="CL239" s="526">
        <v>147.37</v>
      </c>
      <c r="CM239" s="526">
        <v>85.76</v>
      </c>
      <c r="CN239" s="526">
        <v>136.91999999999999</v>
      </c>
      <c r="CO239" s="526">
        <v>282.44</v>
      </c>
      <c r="CP239" s="522">
        <v>74</v>
      </c>
      <c r="CQ239" s="526">
        <v>75.349999999999994</v>
      </c>
      <c r="CR239" s="526">
        <v>70.61</v>
      </c>
      <c r="CS239" s="526">
        <v>44.58</v>
      </c>
      <c r="CT239" s="526">
        <v>119.93</v>
      </c>
      <c r="CU239" s="522">
        <v>104</v>
      </c>
      <c r="CV239" s="526">
        <v>86.82</v>
      </c>
      <c r="CW239" s="526">
        <v>83.66</v>
      </c>
      <c r="CX239" s="526">
        <v>57.56</v>
      </c>
      <c r="CY239" s="526">
        <v>143.61000000000001</v>
      </c>
      <c r="CZ239" s="522">
        <v>519</v>
      </c>
      <c r="DA239" s="526">
        <v>117.16</v>
      </c>
      <c r="DB239" s="526">
        <v>110.93</v>
      </c>
      <c r="DC239" s="526">
        <v>95.85</v>
      </c>
      <c r="DD239" s="526">
        <v>213.01</v>
      </c>
      <c r="DE239" s="522">
        <v>248</v>
      </c>
      <c r="DF239" s="526">
        <v>119.48</v>
      </c>
      <c r="DG239" s="526">
        <v>100.87</v>
      </c>
      <c r="DH239" s="526">
        <v>193.42</v>
      </c>
      <c r="DI239" s="526">
        <v>312.89999999999998</v>
      </c>
      <c r="DJ239" s="522">
        <v>21</v>
      </c>
      <c r="DK239" s="526">
        <v>0</v>
      </c>
      <c r="DL239" s="526">
        <v>0</v>
      </c>
      <c r="DM239" s="526">
        <v>0</v>
      </c>
      <c r="DN239" s="526">
        <v>0</v>
      </c>
      <c r="DO239" s="522">
        <v>0</v>
      </c>
      <c r="DP239" s="526">
        <v>94.69</v>
      </c>
      <c r="DQ239" s="526">
        <v>90.02</v>
      </c>
      <c r="DR239" s="526">
        <v>69.989999999999995</v>
      </c>
      <c r="DS239" s="526">
        <v>164.13</v>
      </c>
      <c r="DT239" s="522">
        <v>892</v>
      </c>
      <c r="DU239" s="526">
        <v>98.72</v>
      </c>
      <c r="DV239" s="526">
        <v>89.88</v>
      </c>
      <c r="DW239" s="526">
        <v>75.09</v>
      </c>
      <c r="DX239" s="526">
        <v>173.19</v>
      </c>
      <c r="DY239" s="522">
        <v>966</v>
      </c>
      <c r="DZ239" s="526">
        <v>0</v>
      </c>
      <c r="EA239" s="526">
        <v>0</v>
      </c>
      <c r="EB239" s="526">
        <v>129.22999999999999</v>
      </c>
      <c r="EC239" s="522">
        <v>1</v>
      </c>
      <c r="ED239" s="526">
        <v>121.23</v>
      </c>
      <c r="EE239" s="522">
        <v>116</v>
      </c>
      <c r="EF239" s="526">
        <v>122.16</v>
      </c>
      <c r="EG239" s="522">
        <v>655</v>
      </c>
      <c r="EH239" s="526">
        <v>125.03</v>
      </c>
      <c r="EI239" s="522">
        <v>262</v>
      </c>
      <c r="EJ239" s="526">
        <v>158.58000000000001</v>
      </c>
      <c r="EK239" s="522">
        <v>20</v>
      </c>
      <c r="EL239" s="526">
        <v>0</v>
      </c>
      <c r="EM239" s="522">
        <v>0</v>
      </c>
      <c r="EN239" s="526">
        <v>0</v>
      </c>
      <c r="EO239" s="522">
        <v>0</v>
      </c>
      <c r="EP239" s="526">
        <v>123.47</v>
      </c>
      <c r="EQ239" s="522">
        <v>1054</v>
      </c>
      <c r="ER239" s="526">
        <v>123.47</v>
      </c>
      <c r="ES239" s="522">
        <v>1054</v>
      </c>
      <c r="ET239" s="526">
        <v>0</v>
      </c>
      <c r="EU239" s="526">
        <v>0</v>
      </c>
      <c r="EV239" s="526">
        <v>0</v>
      </c>
      <c r="EW239" s="522">
        <v>0</v>
      </c>
      <c r="EX239" s="526">
        <v>115.49</v>
      </c>
      <c r="EY239" s="522">
        <v>12</v>
      </c>
      <c r="EZ239" s="526">
        <v>123.32</v>
      </c>
      <c r="FA239" s="522">
        <v>41</v>
      </c>
      <c r="FB239" s="526">
        <v>132</v>
      </c>
      <c r="FC239" s="522">
        <v>3</v>
      </c>
      <c r="FD239" s="526">
        <v>0</v>
      </c>
      <c r="FE239" s="522">
        <v>0</v>
      </c>
      <c r="FF239" s="526">
        <v>122.11</v>
      </c>
      <c r="FG239" s="522">
        <v>56</v>
      </c>
      <c r="FH239" s="526">
        <v>122.11</v>
      </c>
      <c r="FI239" s="522">
        <v>56</v>
      </c>
      <c r="FJ239" s="522">
        <v>0</v>
      </c>
      <c r="FK239" s="522">
        <v>0</v>
      </c>
      <c r="FL239" s="522">
        <v>0</v>
      </c>
      <c r="FM239" s="522">
        <v>0</v>
      </c>
      <c r="FN239" s="522">
        <v>0</v>
      </c>
      <c r="FO239" s="522">
        <v>0</v>
      </c>
      <c r="FP239" s="522">
        <v>8</v>
      </c>
      <c r="FQ239" s="522">
        <v>7</v>
      </c>
      <c r="FR239" s="522">
        <v>2</v>
      </c>
    </row>
    <row r="240" spans="1:174" x14ac:dyDescent="0.25">
      <c r="A240" s="523" t="s">
        <v>728</v>
      </c>
      <c r="B240" s="523" t="s">
        <v>729</v>
      </c>
      <c r="C240" s="523" t="s">
        <v>2</v>
      </c>
      <c r="D240" s="522">
        <v>5919</v>
      </c>
      <c r="E240" s="522">
        <v>5755</v>
      </c>
      <c r="F240" s="522">
        <v>66</v>
      </c>
      <c r="G240" s="522">
        <v>0</v>
      </c>
      <c r="H240" s="522">
        <v>878</v>
      </c>
      <c r="I240" s="522">
        <v>368</v>
      </c>
      <c r="J240" s="522">
        <v>1094</v>
      </c>
      <c r="K240" s="522">
        <v>992</v>
      </c>
      <c r="L240" s="522">
        <v>944</v>
      </c>
      <c r="M240" s="522">
        <v>0</v>
      </c>
      <c r="N240" s="522">
        <v>8901</v>
      </c>
      <c r="O240" s="522">
        <v>7115</v>
      </c>
      <c r="P240" s="522">
        <v>7957</v>
      </c>
      <c r="Q240" s="522">
        <v>22</v>
      </c>
      <c r="R240" s="523">
        <v>8</v>
      </c>
      <c r="S240" s="523">
        <v>31</v>
      </c>
      <c r="T240" s="523">
        <v>756</v>
      </c>
      <c r="U240" s="523">
        <v>8145</v>
      </c>
      <c r="V240" s="522">
        <v>5762</v>
      </c>
      <c r="W240" s="522">
        <v>48</v>
      </c>
      <c r="X240" s="522">
        <v>19</v>
      </c>
      <c r="Y240" s="522">
        <v>67</v>
      </c>
      <c r="Z240" s="524">
        <v>119.75</v>
      </c>
      <c r="AA240" s="524">
        <v>121.09</v>
      </c>
      <c r="AB240" s="524">
        <v>10</v>
      </c>
      <c r="AC240" s="524">
        <v>128.36000000000001</v>
      </c>
      <c r="AD240" s="524">
        <v>4667</v>
      </c>
      <c r="AE240" s="525">
        <v>114.74</v>
      </c>
      <c r="AF240" s="525">
        <v>100.9</v>
      </c>
      <c r="AG240" s="525">
        <v>53.02</v>
      </c>
      <c r="AH240" s="525">
        <v>167.58</v>
      </c>
      <c r="AI240" s="525">
        <v>1433</v>
      </c>
      <c r="AJ240" s="525">
        <v>163.19</v>
      </c>
      <c r="AK240" s="525">
        <v>835</v>
      </c>
      <c r="AL240" s="525">
        <v>136.52000000000001</v>
      </c>
      <c r="AM240" s="525">
        <v>6</v>
      </c>
      <c r="AN240" s="526">
        <v>0</v>
      </c>
      <c r="AO240" s="526">
        <v>0</v>
      </c>
      <c r="AP240" s="526">
        <v>0</v>
      </c>
      <c r="AQ240" s="526">
        <v>0</v>
      </c>
      <c r="AR240" s="522">
        <v>0</v>
      </c>
      <c r="AS240" s="526">
        <v>101.55</v>
      </c>
      <c r="AT240" s="526">
        <v>113.31</v>
      </c>
      <c r="AU240" s="526">
        <v>8.24</v>
      </c>
      <c r="AV240" s="526">
        <v>109.79</v>
      </c>
      <c r="AW240" s="522">
        <v>50</v>
      </c>
      <c r="AX240" s="526">
        <v>104.57</v>
      </c>
      <c r="AY240" s="526">
        <v>105.82</v>
      </c>
      <c r="AZ240" s="526">
        <v>13.56</v>
      </c>
      <c r="BA240" s="526">
        <v>117.72</v>
      </c>
      <c r="BB240" s="522">
        <v>1430</v>
      </c>
      <c r="BC240" s="526">
        <v>118.32</v>
      </c>
      <c r="BD240" s="526">
        <v>119.21</v>
      </c>
      <c r="BE240" s="526">
        <v>11.07</v>
      </c>
      <c r="BF240" s="526">
        <v>128.59</v>
      </c>
      <c r="BG240" s="522">
        <v>1698</v>
      </c>
      <c r="BH240" s="526">
        <v>133.47</v>
      </c>
      <c r="BI240" s="526">
        <v>134.75</v>
      </c>
      <c r="BJ240" s="526">
        <v>3.73</v>
      </c>
      <c r="BK240" s="526">
        <v>135.96</v>
      </c>
      <c r="BL240" s="522">
        <v>1238</v>
      </c>
      <c r="BM240" s="526">
        <v>151.36000000000001</v>
      </c>
      <c r="BN240" s="526">
        <v>153.94999999999999</v>
      </c>
      <c r="BO240" s="526">
        <v>2.59</v>
      </c>
      <c r="BP240" s="526">
        <v>153.22999999999999</v>
      </c>
      <c r="BQ240" s="522">
        <v>243</v>
      </c>
      <c r="BR240" s="526">
        <v>161.91999999999999</v>
      </c>
      <c r="BS240" s="526">
        <v>179.51</v>
      </c>
      <c r="BT240" s="526">
        <v>0.22</v>
      </c>
      <c r="BU240" s="526">
        <v>161.99</v>
      </c>
      <c r="BV240" s="522">
        <v>7</v>
      </c>
      <c r="BW240" s="526">
        <v>203.1</v>
      </c>
      <c r="BX240" s="526">
        <v>252.81</v>
      </c>
      <c r="BY240" s="526">
        <v>0.22</v>
      </c>
      <c r="BZ240" s="526">
        <v>203.32</v>
      </c>
      <c r="CA240" s="522">
        <v>1</v>
      </c>
      <c r="CB240" s="526">
        <v>119.75</v>
      </c>
      <c r="CC240" s="526">
        <v>121.09</v>
      </c>
      <c r="CD240" s="526">
        <v>10</v>
      </c>
      <c r="CE240" s="526">
        <v>128.36000000000001</v>
      </c>
      <c r="CF240" s="522">
        <v>4667</v>
      </c>
      <c r="CG240" s="526">
        <v>119.75</v>
      </c>
      <c r="CH240" s="526">
        <v>121.09</v>
      </c>
      <c r="CI240" s="526">
        <v>10</v>
      </c>
      <c r="CJ240" s="526">
        <v>128.36000000000001</v>
      </c>
      <c r="CK240" s="522">
        <v>4667</v>
      </c>
      <c r="CL240" s="526">
        <v>132.29</v>
      </c>
      <c r="CM240" s="526">
        <v>89.84</v>
      </c>
      <c r="CN240" s="526">
        <v>92.87</v>
      </c>
      <c r="CO240" s="526">
        <v>225.16</v>
      </c>
      <c r="CP240" s="522">
        <v>157</v>
      </c>
      <c r="CQ240" s="526">
        <v>93.85</v>
      </c>
      <c r="CR240" s="526">
        <v>86.8</v>
      </c>
      <c r="CS240" s="526">
        <v>50.87</v>
      </c>
      <c r="CT240" s="526">
        <v>144.72999999999999</v>
      </c>
      <c r="CU240" s="522">
        <v>181</v>
      </c>
      <c r="CV240" s="526">
        <v>114.73</v>
      </c>
      <c r="CW240" s="526">
        <v>102.45</v>
      </c>
      <c r="CX240" s="526">
        <v>49.22</v>
      </c>
      <c r="CY240" s="526">
        <v>163.69999999999999</v>
      </c>
      <c r="CZ240" s="522">
        <v>973</v>
      </c>
      <c r="DA240" s="526">
        <v>121.51</v>
      </c>
      <c r="DB240" s="526">
        <v>117.74</v>
      </c>
      <c r="DC240" s="526">
        <v>34.700000000000003</v>
      </c>
      <c r="DD240" s="526">
        <v>156.19999999999999</v>
      </c>
      <c r="DE240" s="522">
        <v>108</v>
      </c>
      <c r="DF240" s="526">
        <v>136.19999999999999</v>
      </c>
      <c r="DG240" s="526">
        <v>133.51</v>
      </c>
      <c r="DH240" s="526">
        <v>38.14</v>
      </c>
      <c r="DI240" s="526">
        <v>174.34</v>
      </c>
      <c r="DJ240" s="522">
        <v>14</v>
      </c>
      <c r="DK240" s="526">
        <v>0</v>
      </c>
      <c r="DL240" s="526">
        <v>0</v>
      </c>
      <c r="DM240" s="526">
        <v>0</v>
      </c>
      <c r="DN240" s="526">
        <v>0</v>
      </c>
      <c r="DO240" s="522">
        <v>0</v>
      </c>
      <c r="DP240" s="526">
        <v>112.58</v>
      </c>
      <c r="DQ240" s="526">
        <v>101.8</v>
      </c>
      <c r="DR240" s="526">
        <v>48.1</v>
      </c>
      <c r="DS240" s="526">
        <v>160.49</v>
      </c>
      <c r="DT240" s="522">
        <v>1276</v>
      </c>
      <c r="DU240" s="526">
        <v>114.74</v>
      </c>
      <c r="DV240" s="526">
        <v>100.9</v>
      </c>
      <c r="DW240" s="526">
        <v>53.02</v>
      </c>
      <c r="DX240" s="526">
        <v>167.58</v>
      </c>
      <c r="DY240" s="522">
        <v>1433</v>
      </c>
      <c r="DZ240" s="526">
        <v>0</v>
      </c>
      <c r="EA240" s="526">
        <v>0</v>
      </c>
      <c r="EB240" s="526">
        <v>0</v>
      </c>
      <c r="EC240" s="522">
        <v>0</v>
      </c>
      <c r="ED240" s="526">
        <v>127.71</v>
      </c>
      <c r="EE240" s="522">
        <v>133</v>
      </c>
      <c r="EF240" s="526">
        <v>156.05000000000001</v>
      </c>
      <c r="EG240" s="522">
        <v>432</v>
      </c>
      <c r="EH240" s="526">
        <v>183.48</v>
      </c>
      <c r="EI240" s="522">
        <v>221</v>
      </c>
      <c r="EJ240" s="526">
        <v>231.01</v>
      </c>
      <c r="EK240" s="522">
        <v>49</v>
      </c>
      <c r="EL240" s="526">
        <v>0</v>
      </c>
      <c r="EM240" s="522">
        <v>0</v>
      </c>
      <c r="EN240" s="526">
        <v>0</v>
      </c>
      <c r="EO240" s="522">
        <v>0</v>
      </c>
      <c r="EP240" s="526">
        <v>163.19</v>
      </c>
      <c r="EQ240" s="522">
        <v>835</v>
      </c>
      <c r="ER240" s="526">
        <v>163.19</v>
      </c>
      <c r="ES240" s="522">
        <v>835</v>
      </c>
      <c r="ET240" s="526">
        <v>116.45</v>
      </c>
      <c r="EU240" s="526">
        <v>4</v>
      </c>
      <c r="EV240" s="526">
        <v>0</v>
      </c>
      <c r="EW240" s="522">
        <v>0</v>
      </c>
      <c r="EX240" s="526">
        <v>0</v>
      </c>
      <c r="EY240" s="522">
        <v>0</v>
      </c>
      <c r="EZ240" s="526">
        <v>176.65</v>
      </c>
      <c r="FA240" s="522">
        <v>2</v>
      </c>
      <c r="FB240" s="526">
        <v>0</v>
      </c>
      <c r="FC240" s="522">
        <v>0</v>
      </c>
      <c r="FD240" s="526">
        <v>0</v>
      </c>
      <c r="FE240" s="522">
        <v>0</v>
      </c>
      <c r="FF240" s="526">
        <v>176.65</v>
      </c>
      <c r="FG240" s="522">
        <v>2</v>
      </c>
      <c r="FH240" s="526">
        <v>136.52000000000001</v>
      </c>
      <c r="FI240" s="522">
        <v>6</v>
      </c>
      <c r="FJ240" s="522">
        <v>0</v>
      </c>
      <c r="FK240" s="522">
        <v>2</v>
      </c>
      <c r="FL240" s="522">
        <v>1</v>
      </c>
      <c r="FM240" s="522">
        <v>0</v>
      </c>
      <c r="FN240" s="522">
        <v>1</v>
      </c>
      <c r="FO240" s="522">
        <v>0</v>
      </c>
      <c r="FP240" s="522">
        <v>19</v>
      </c>
      <c r="FQ240" s="522">
        <v>1</v>
      </c>
      <c r="FR240" s="522">
        <v>25</v>
      </c>
    </row>
    <row r="241" spans="1:174" x14ac:dyDescent="0.25">
      <c r="A241" s="523" t="s">
        <v>730</v>
      </c>
      <c r="B241" s="523" t="s">
        <v>731</v>
      </c>
      <c r="C241" s="523" t="s">
        <v>283</v>
      </c>
      <c r="D241" s="522">
        <v>2864</v>
      </c>
      <c r="E241" s="522">
        <v>2834</v>
      </c>
      <c r="F241" s="522">
        <v>0</v>
      </c>
      <c r="G241" s="522">
        <v>0</v>
      </c>
      <c r="H241" s="522">
        <v>608</v>
      </c>
      <c r="I241" s="522">
        <v>206</v>
      </c>
      <c r="J241" s="522">
        <v>316</v>
      </c>
      <c r="K241" s="522">
        <v>269</v>
      </c>
      <c r="L241" s="522">
        <v>468</v>
      </c>
      <c r="M241" s="522">
        <v>56</v>
      </c>
      <c r="N241" s="522">
        <v>4256</v>
      </c>
      <c r="O241" s="522">
        <v>3365</v>
      </c>
      <c r="P241" s="522">
        <v>3788</v>
      </c>
      <c r="Q241" s="522">
        <v>7</v>
      </c>
      <c r="R241" s="523">
        <v>9</v>
      </c>
      <c r="S241" s="523">
        <v>28</v>
      </c>
      <c r="T241" s="523">
        <v>437</v>
      </c>
      <c r="U241" s="523">
        <v>3819</v>
      </c>
      <c r="V241" s="522">
        <v>2864</v>
      </c>
      <c r="W241" s="522">
        <v>11</v>
      </c>
      <c r="X241" s="522">
        <v>6</v>
      </c>
      <c r="Y241" s="522">
        <v>17</v>
      </c>
      <c r="Z241" s="524">
        <v>110.74</v>
      </c>
      <c r="AA241" s="524">
        <v>111.73</v>
      </c>
      <c r="AB241" s="524">
        <v>16.96</v>
      </c>
      <c r="AC241" s="524">
        <v>124.38</v>
      </c>
      <c r="AD241" s="524">
        <v>2449</v>
      </c>
      <c r="AE241" s="525">
        <v>105.21</v>
      </c>
      <c r="AF241" s="525">
        <v>94</v>
      </c>
      <c r="AG241" s="525">
        <v>78.27</v>
      </c>
      <c r="AH241" s="525">
        <v>181.07</v>
      </c>
      <c r="AI241" s="525">
        <v>487</v>
      </c>
      <c r="AJ241" s="525">
        <v>169.94</v>
      </c>
      <c r="AK241" s="525">
        <v>374</v>
      </c>
      <c r="AL241" s="525">
        <v>98.91</v>
      </c>
      <c r="AM241" s="525">
        <v>163</v>
      </c>
      <c r="AN241" s="526">
        <v>0</v>
      </c>
      <c r="AO241" s="526">
        <v>0</v>
      </c>
      <c r="AP241" s="526">
        <v>0</v>
      </c>
      <c r="AQ241" s="526">
        <v>0</v>
      </c>
      <c r="AR241" s="522">
        <v>0</v>
      </c>
      <c r="AS241" s="526">
        <v>75.430000000000007</v>
      </c>
      <c r="AT241" s="526">
        <v>75.25</v>
      </c>
      <c r="AU241" s="526">
        <v>22.97</v>
      </c>
      <c r="AV241" s="526">
        <v>98.39</v>
      </c>
      <c r="AW241" s="522">
        <v>86</v>
      </c>
      <c r="AX241" s="526">
        <v>93.38</v>
      </c>
      <c r="AY241" s="526">
        <v>93.21</v>
      </c>
      <c r="AZ241" s="526">
        <v>19.440000000000001</v>
      </c>
      <c r="BA241" s="526">
        <v>112.38</v>
      </c>
      <c r="BB241" s="522">
        <v>624</v>
      </c>
      <c r="BC241" s="526">
        <v>106.54</v>
      </c>
      <c r="BD241" s="526">
        <v>107.04</v>
      </c>
      <c r="BE241" s="526">
        <v>19.79</v>
      </c>
      <c r="BF241" s="526">
        <v>125.11</v>
      </c>
      <c r="BG241" s="522">
        <v>806</v>
      </c>
      <c r="BH241" s="526">
        <v>126.69</v>
      </c>
      <c r="BI241" s="526">
        <v>128.63</v>
      </c>
      <c r="BJ241" s="526">
        <v>8.69</v>
      </c>
      <c r="BK241" s="526">
        <v>131.44</v>
      </c>
      <c r="BL241" s="522">
        <v>754</v>
      </c>
      <c r="BM241" s="526">
        <v>139.06</v>
      </c>
      <c r="BN241" s="526">
        <v>142.76</v>
      </c>
      <c r="BO241" s="526">
        <v>9.76</v>
      </c>
      <c r="BP241" s="526">
        <v>145.02000000000001</v>
      </c>
      <c r="BQ241" s="522">
        <v>172</v>
      </c>
      <c r="BR241" s="526">
        <v>161.91</v>
      </c>
      <c r="BS241" s="526">
        <v>170.35</v>
      </c>
      <c r="BT241" s="526">
        <v>0</v>
      </c>
      <c r="BU241" s="526">
        <v>161.91</v>
      </c>
      <c r="BV241" s="522">
        <v>7</v>
      </c>
      <c r="BW241" s="526">
        <v>0</v>
      </c>
      <c r="BX241" s="526">
        <v>0</v>
      </c>
      <c r="BY241" s="526">
        <v>0</v>
      </c>
      <c r="BZ241" s="526">
        <v>0</v>
      </c>
      <c r="CA241" s="522">
        <v>0</v>
      </c>
      <c r="CB241" s="526">
        <v>110.74</v>
      </c>
      <c r="CC241" s="526">
        <v>111.73</v>
      </c>
      <c r="CD241" s="526">
        <v>16.96</v>
      </c>
      <c r="CE241" s="526">
        <v>124.38</v>
      </c>
      <c r="CF241" s="522">
        <v>2449</v>
      </c>
      <c r="CG241" s="526">
        <v>110.74</v>
      </c>
      <c r="CH241" s="526">
        <v>111.73</v>
      </c>
      <c r="CI241" s="526">
        <v>16.96</v>
      </c>
      <c r="CJ241" s="526">
        <v>124.38</v>
      </c>
      <c r="CK241" s="522">
        <v>2449</v>
      </c>
      <c r="CL241" s="526">
        <v>106.17</v>
      </c>
      <c r="CM241" s="526">
        <v>91.54</v>
      </c>
      <c r="CN241" s="526">
        <v>126.55</v>
      </c>
      <c r="CO241" s="526">
        <v>218.2</v>
      </c>
      <c r="CP241" s="522">
        <v>122</v>
      </c>
      <c r="CQ241" s="526">
        <v>94.3</v>
      </c>
      <c r="CR241" s="526">
        <v>79.67</v>
      </c>
      <c r="CS241" s="526">
        <v>51.66</v>
      </c>
      <c r="CT241" s="526">
        <v>145.96</v>
      </c>
      <c r="CU241" s="522">
        <v>81</v>
      </c>
      <c r="CV241" s="526">
        <v>106.95</v>
      </c>
      <c r="CW241" s="526">
        <v>97.04</v>
      </c>
      <c r="CX241" s="526">
        <v>66.61</v>
      </c>
      <c r="CY241" s="526">
        <v>173.31</v>
      </c>
      <c r="CZ241" s="522">
        <v>266</v>
      </c>
      <c r="DA241" s="526">
        <v>119.22</v>
      </c>
      <c r="DB241" s="526">
        <v>108.24</v>
      </c>
      <c r="DC241" s="526">
        <v>91.75</v>
      </c>
      <c r="DD241" s="526">
        <v>210.97</v>
      </c>
      <c r="DE241" s="522">
        <v>15</v>
      </c>
      <c r="DF241" s="526">
        <v>136.56</v>
      </c>
      <c r="DG241" s="526">
        <v>140.11000000000001</v>
      </c>
      <c r="DH241" s="526">
        <v>20.82</v>
      </c>
      <c r="DI241" s="526">
        <v>157.38</v>
      </c>
      <c r="DJ241" s="522">
        <v>3</v>
      </c>
      <c r="DK241" s="526">
        <v>0</v>
      </c>
      <c r="DL241" s="526">
        <v>0</v>
      </c>
      <c r="DM241" s="526">
        <v>0</v>
      </c>
      <c r="DN241" s="526">
        <v>0</v>
      </c>
      <c r="DO241" s="522">
        <v>0</v>
      </c>
      <c r="DP241" s="526">
        <v>104.89</v>
      </c>
      <c r="DQ241" s="526">
        <v>94.79</v>
      </c>
      <c r="DR241" s="526">
        <v>63.94</v>
      </c>
      <c r="DS241" s="526">
        <v>168.66</v>
      </c>
      <c r="DT241" s="522">
        <v>365</v>
      </c>
      <c r="DU241" s="526">
        <v>105.21</v>
      </c>
      <c r="DV241" s="526">
        <v>94</v>
      </c>
      <c r="DW241" s="526">
        <v>78.27</v>
      </c>
      <c r="DX241" s="526">
        <v>181.07</v>
      </c>
      <c r="DY241" s="522">
        <v>487</v>
      </c>
      <c r="DZ241" s="526">
        <v>0</v>
      </c>
      <c r="EA241" s="526">
        <v>0</v>
      </c>
      <c r="EB241" s="526">
        <v>0</v>
      </c>
      <c r="EC241" s="522">
        <v>0</v>
      </c>
      <c r="ED241" s="526">
        <v>129.16999999999999</v>
      </c>
      <c r="EE241" s="522">
        <v>51</v>
      </c>
      <c r="EF241" s="526">
        <v>165.19</v>
      </c>
      <c r="EG241" s="522">
        <v>198</v>
      </c>
      <c r="EH241" s="526">
        <v>194.39</v>
      </c>
      <c r="EI241" s="522">
        <v>118</v>
      </c>
      <c r="EJ241" s="526">
        <v>189.3</v>
      </c>
      <c r="EK241" s="522">
        <v>7</v>
      </c>
      <c r="EL241" s="526">
        <v>0</v>
      </c>
      <c r="EM241" s="522">
        <v>0</v>
      </c>
      <c r="EN241" s="526">
        <v>0</v>
      </c>
      <c r="EO241" s="522">
        <v>0</v>
      </c>
      <c r="EP241" s="526">
        <v>169.94</v>
      </c>
      <c r="EQ241" s="522">
        <v>374</v>
      </c>
      <c r="ER241" s="526">
        <v>169.94</v>
      </c>
      <c r="ES241" s="522">
        <v>374</v>
      </c>
      <c r="ET241" s="526">
        <v>0</v>
      </c>
      <c r="EU241" s="526">
        <v>0</v>
      </c>
      <c r="EV241" s="526">
        <v>98.71</v>
      </c>
      <c r="EW241" s="522">
        <v>157</v>
      </c>
      <c r="EX241" s="526">
        <v>104.14</v>
      </c>
      <c r="EY241" s="522">
        <v>6</v>
      </c>
      <c r="EZ241" s="526">
        <v>0</v>
      </c>
      <c r="FA241" s="522">
        <v>0</v>
      </c>
      <c r="FB241" s="526">
        <v>0</v>
      </c>
      <c r="FC241" s="522">
        <v>0</v>
      </c>
      <c r="FD241" s="526">
        <v>0</v>
      </c>
      <c r="FE241" s="522">
        <v>0</v>
      </c>
      <c r="FF241" s="526">
        <v>98.91</v>
      </c>
      <c r="FG241" s="522">
        <v>163</v>
      </c>
      <c r="FH241" s="526">
        <v>98.91</v>
      </c>
      <c r="FI241" s="522">
        <v>163</v>
      </c>
      <c r="FJ241" s="522">
        <v>360</v>
      </c>
      <c r="FK241" s="522">
        <v>0</v>
      </c>
      <c r="FL241" s="522">
        <v>0</v>
      </c>
      <c r="FM241" s="522">
        <v>0</v>
      </c>
      <c r="FN241" s="522">
        <v>0</v>
      </c>
      <c r="FO241" s="522">
        <v>0</v>
      </c>
      <c r="FP241" s="522">
        <v>2</v>
      </c>
      <c r="FQ241" s="522">
        <v>1</v>
      </c>
      <c r="FR241" s="522">
        <v>5</v>
      </c>
    </row>
    <row r="242" spans="1:174" x14ac:dyDescent="0.25">
      <c r="A242" s="523" t="s">
        <v>732</v>
      </c>
      <c r="B242" s="523" t="s">
        <v>733</v>
      </c>
      <c r="C242" s="523" t="s">
        <v>284</v>
      </c>
      <c r="D242" s="522">
        <v>15482</v>
      </c>
      <c r="E242" s="522">
        <v>14485</v>
      </c>
      <c r="F242" s="522">
        <v>148</v>
      </c>
      <c r="G242" s="522">
        <v>71</v>
      </c>
      <c r="H242" s="522">
        <v>1457</v>
      </c>
      <c r="I242" s="522">
        <v>1073</v>
      </c>
      <c r="J242" s="522">
        <v>681</v>
      </c>
      <c r="K242" s="522">
        <v>631</v>
      </c>
      <c r="L242" s="522">
        <v>2975</v>
      </c>
      <c r="M242" s="522">
        <v>97</v>
      </c>
      <c r="N242" s="522">
        <v>20743</v>
      </c>
      <c r="O242" s="522">
        <v>16357</v>
      </c>
      <c r="P242" s="522">
        <v>17768</v>
      </c>
      <c r="Q242" s="522">
        <v>306</v>
      </c>
      <c r="R242" s="523">
        <v>31</v>
      </c>
      <c r="S242" s="523">
        <v>30</v>
      </c>
      <c r="T242" s="523">
        <v>1134</v>
      </c>
      <c r="U242" s="523">
        <v>19609</v>
      </c>
      <c r="V242" s="522">
        <v>14554</v>
      </c>
      <c r="W242" s="522">
        <v>109</v>
      </c>
      <c r="X242" s="522">
        <v>71</v>
      </c>
      <c r="Y242" s="522">
        <v>180</v>
      </c>
      <c r="Z242" s="524">
        <v>140.08000000000001</v>
      </c>
      <c r="AA242" s="524">
        <v>146.69999999999999</v>
      </c>
      <c r="AB242" s="524">
        <v>18.73</v>
      </c>
      <c r="AC242" s="524">
        <v>155.21</v>
      </c>
      <c r="AD242" s="524">
        <v>12266</v>
      </c>
      <c r="AE242" s="525">
        <v>129.07</v>
      </c>
      <c r="AF242" s="525">
        <v>119.11</v>
      </c>
      <c r="AG242" s="525">
        <v>68.34</v>
      </c>
      <c r="AH242" s="525">
        <v>192.38</v>
      </c>
      <c r="AI242" s="525">
        <v>1961</v>
      </c>
      <c r="AJ242" s="525">
        <v>225.39</v>
      </c>
      <c r="AK242" s="525">
        <v>1340</v>
      </c>
      <c r="AL242" s="525">
        <v>176.64</v>
      </c>
      <c r="AM242" s="525">
        <v>48</v>
      </c>
      <c r="AN242" s="526">
        <v>0</v>
      </c>
      <c r="AO242" s="526">
        <v>0</v>
      </c>
      <c r="AP242" s="526">
        <v>0</v>
      </c>
      <c r="AQ242" s="526">
        <v>0</v>
      </c>
      <c r="AR242" s="522">
        <v>0</v>
      </c>
      <c r="AS242" s="526">
        <v>107.37</v>
      </c>
      <c r="AT242" s="526">
        <v>104.26</v>
      </c>
      <c r="AU242" s="526">
        <v>20.65</v>
      </c>
      <c r="AV242" s="526">
        <v>126.64</v>
      </c>
      <c r="AW242" s="522">
        <v>120</v>
      </c>
      <c r="AX242" s="526">
        <v>119.67</v>
      </c>
      <c r="AY242" s="526">
        <v>122.85</v>
      </c>
      <c r="AZ242" s="526">
        <v>17.55</v>
      </c>
      <c r="BA242" s="526">
        <v>134.9</v>
      </c>
      <c r="BB242" s="522">
        <v>3660</v>
      </c>
      <c r="BC242" s="526">
        <v>138.47</v>
      </c>
      <c r="BD242" s="526">
        <v>144.1</v>
      </c>
      <c r="BE242" s="526">
        <v>19.739999999999998</v>
      </c>
      <c r="BF242" s="526">
        <v>155.01</v>
      </c>
      <c r="BG242" s="522">
        <v>4428</v>
      </c>
      <c r="BH242" s="526">
        <v>156.74</v>
      </c>
      <c r="BI242" s="526">
        <v>167.54</v>
      </c>
      <c r="BJ242" s="526">
        <v>20.47</v>
      </c>
      <c r="BK242" s="526">
        <v>171.98</v>
      </c>
      <c r="BL242" s="522">
        <v>3133</v>
      </c>
      <c r="BM242" s="526">
        <v>174.97</v>
      </c>
      <c r="BN242" s="526">
        <v>186.42</v>
      </c>
      <c r="BO242" s="526">
        <v>11.47</v>
      </c>
      <c r="BP242" s="526">
        <v>182.49</v>
      </c>
      <c r="BQ242" s="522">
        <v>800</v>
      </c>
      <c r="BR242" s="526">
        <v>184.51</v>
      </c>
      <c r="BS242" s="526">
        <v>200.84</v>
      </c>
      <c r="BT242" s="526">
        <v>11.35</v>
      </c>
      <c r="BU242" s="526">
        <v>189.78</v>
      </c>
      <c r="BV242" s="522">
        <v>112</v>
      </c>
      <c r="BW242" s="526">
        <v>188.06</v>
      </c>
      <c r="BX242" s="526">
        <v>212.04</v>
      </c>
      <c r="BY242" s="526">
        <v>2.57</v>
      </c>
      <c r="BZ242" s="526">
        <v>189.64</v>
      </c>
      <c r="CA242" s="522">
        <v>13</v>
      </c>
      <c r="CB242" s="526">
        <v>140.08000000000001</v>
      </c>
      <c r="CC242" s="526">
        <v>146.69999999999999</v>
      </c>
      <c r="CD242" s="526">
        <v>18.73</v>
      </c>
      <c r="CE242" s="526">
        <v>155.21</v>
      </c>
      <c r="CF242" s="522">
        <v>12266</v>
      </c>
      <c r="CG242" s="526">
        <v>140.08000000000001</v>
      </c>
      <c r="CH242" s="526">
        <v>146.69999999999999</v>
      </c>
      <c r="CI242" s="526">
        <v>18.73</v>
      </c>
      <c r="CJ242" s="526">
        <v>155.21</v>
      </c>
      <c r="CK242" s="522">
        <v>12266</v>
      </c>
      <c r="CL242" s="526">
        <v>127.06</v>
      </c>
      <c r="CM242" s="526">
        <v>110.56</v>
      </c>
      <c r="CN242" s="526">
        <v>95.25</v>
      </c>
      <c r="CO242" s="526">
        <v>214.92</v>
      </c>
      <c r="CP242" s="522">
        <v>477</v>
      </c>
      <c r="CQ242" s="526">
        <v>107.37</v>
      </c>
      <c r="CR242" s="526">
        <v>105.49</v>
      </c>
      <c r="CS242" s="526">
        <v>97.73</v>
      </c>
      <c r="CT242" s="526">
        <v>193.68</v>
      </c>
      <c r="CU242" s="522">
        <v>248</v>
      </c>
      <c r="CV242" s="526">
        <v>132.72999999999999</v>
      </c>
      <c r="CW242" s="526">
        <v>123.38</v>
      </c>
      <c r="CX242" s="526">
        <v>52.56</v>
      </c>
      <c r="CY242" s="526">
        <v>182.64</v>
      </c>
      <c r="CZ242" s="522">
        <v>1132</v>
      </c>
      <c r="DA242" s="526">
        <v>149.21</v>
      </c>
      <c r="DB242" s="526">
        <v>142.58000000000001</v>
      </c>
      <c r="DC242" s="526">
        <v>53.02</v>
      </c>
      <c r="DD242" s="526">
        <v>191.4</v>
      </c>
      <c r="DE242" s="522">
        <v>98</v>
      </c>
      <c r="DF242" s="526">
        <v>165.07</v>
      </c>
      <c r="DG242" s="526">
        <v>162.63</v>
      </c>
      <c r="DH242" s="526">
        <v>43.33</v>
      </c>
      <c r="DI242" s="526">
        <v>201.17</v>
      </c>
      <c r="DJ242" s="522">
        <v>6</v>
      </c>
      <c r="DK242" s="526">
        <v>0</v>
      </c>
      <c r="DL242" s="526">
        <v>0</v>
      </c>
      <c r="DM242" s="526">
        <v>0</v>
      </c>
      <c r="DN242" s="526">
        <v>0</v>
      </c>
      <c r="DO242" s="522">
        <v>0</v>
      </c>
      <c r="DP242" s="526">
        <v>129.71</v>
      </c>
      <c r="DQ242" s="526">
        <v>121.74</v>
      </c>
      <c r="DR242" s="526">
        <v>59.74</v>
      </c>
      <c r="DS242" s="526">
        <v>185.14</v>
      </c>
      <c r="DT242" s="522">
        <v>1484</v>
      </c>
      <c r="DU242" s="526">
        <v>129.07</v>
      </c>
      <c r="DV242" s="526">
        <v>119.11</v>
      </c>
      <c r="DW242" s="526">
        <v>68.34</v>
      </c>
      <c r="DX242" s="526">
        <v>192.38</v>
      </c>
      <c r="DY242" s="522">
        <v>1961</v>
      </c>
      <c r="DZ242" s="526">
        <v>0</v>
      </c>
      <c r="EA242" s="526">
        <v>0</v>
      </c>
      <c r="EB242" s="526">
        <v>167.45</v>
      </c>
      <c r="EC242" s="522">
        <v>58</v>
      </c>
      <c r="ED242" s="526">
        <v>204.23</v>
      </c>
      <c r="EE242" s="522">
        <v>532</v>
      </c>
      <c r="EF242" s="526">
        <v>248.63</v>
      </c>
      <c r="EG242" s="522">
        <v>609</v>
      </c>
      <c r="EH242" s="526">
        <v>223.14</v>
      </c>
      <c r="EI242" s="522">
        <v>119</v>
      </c>
      <c r="EJ242" s="526">
        <v>261.91000000000003</v>
      </c>
      <c r="EK242" s="522">
        <v>19</v>
      </c>
      <c r="EL242" s="526">
        <v>0</v>
      </c>
      <c r="EM242" s="522">
        <v>0</v>
      </c>
      <c r="EN242" s="526">
        <v>237.99</v>
      </c>
      <c r="EO242" s="522">
        <v>3</v>
      </c>
      <c r="EP242" s="526">
        <v>225.39</v>
      </c>
      <c r="EQ242" s="522">
        <v>1340</v>
      </c>
      <c r="ER242" s="526">
        <v>225.39</v>
      </c>
      <c r="ES242" s="522">
        <v>1340</v>
      </c>
      <c r="ET242" s="526">
        <v>118.46</v>
      </c>
      <c r="EU242" s="526">
        <v>26</v>
      </c>
      <c r="EV242" s="526">
        <v>0</v>
      </c>
      <c r="EW242" s="522">
        <v>0</v>
      </c>
      <c r="EX242" s="526">
        <v>245.41</v>
      </c>
      <c r="EY242" s="522">
        <v>22</v>
      </c>
      <c r="EZ242" s="526">
        <v>0</v>
      </c>
      <c r="FA242" s="522">
        <v>0</v>
      </c>
      <c r="FB242" s="526">
        <v>0</v>
      </c>
      <c r="FC242" s="522">
        <v>0</v>
      </c>
      <c r="FD242" s="526">
        <v>0</v>
      </c>
      <c r="FE242" s="522">
        <v>0</v>
      </c>
      <c r="FF242" s="526">
        <v>245.41</v>
      </c>
      <c r="FG242" s="522">
        <v>22</v>
      </c>
      <c r="FH242" s="526">
        <v>176.64</v>
      </c>
      <c r="FI242" s="522">
        <v>48</v>
      </c>
      <c r="FJ242" s="522">
        <v>0</v>
      </c>
      <c r="FK242" s="522">
        <v>2</v>
      </c>
      <c r="FL242" s="522">
        <v>0</v>
      </c>
      <c r="FM242" s="522">
        <v>0</v>
      </c>
      <c r="FN242" s="522">
        <v>2</v>
      </c>
      <c r="FO242" s="522">
        <v>0</v>
      </c>
      <c r="FP242" s="522">
        <v>15</v>
      </c>
      <c r="FQ242" s="522">
        <v>42</v>
      </c>
      <c r="FR242" s="522">
        <v>78</v>
      </c>
    </row>
    <row r="243" spans="1:174" x14ac:dyDescent="0.25">
      <c r="A243" s="523" t="s">
        <v>734</v>
      </c>
      <c r="B243" s="523" t="s">
        <v>735</v>
      </c>
      <c r="C243" s="523" t="s">
        <v>2</v>
      </c>
      <c r="D243" s="522">
        <v>4962</v>
      </c>
      <c r="E243" s="522">
        <v>4960</v>
      </c>
      <c r="F243" s="522">
        <v>0</v>
      </c>
      <c r="G243" s="522">
        <v>0</v>
      </c>
      <c r="H243" s="522">
        <v>106</v>
      </c>
      <c r="I243" s="522">
        <v>74</v>
      </c>
      <c r="J243" s="522">
        <v>364</v>
      </c>
      <c r="K243" s="522">
        <v>314</v>
      </c>
      <c r="L243" s="522">
        <v>779</v>
      </c>
      <c r="M243" s="522">
        <v>0</v>
      </c>
      <c r="N243" s="522">
        <v>6211</v>
      </c>
      <c r="O243" s="522">
        <v>5348</v>
      </c>
      <c r="P243" s="522">
        <v>5432</v>
      </c>
      <c r="Q243" s="522">
        <v>23</v>
      </c>
      <c r="R243" s="523">
        <v>4</v>
      </c>
      <c r="S243" s="523">
        <v>13</v>
      </c>
      <c r="T243" s="523">
        <v>130</v>
      </c>
      <c r="U243" s="523">
        <v>6081</v>
      </c>
      <c r="V243" s="522">
        <v>4961</v>
      </c>
      <c r="W243" s="522">
        <v>2</v>
      </c>
      <c r="X243" s="522">
        <v>66</v>
      </c>
      <c r="Y243" s="522">
        <v>68</v>
      </c>
      <c r="Z243" s="524">
        <v>132.97</v>
      </c>
      <c r="AA243" s="524">
        <v>131.94999999999999</v>
      </c>
      <c r="AB243" s="524">
        <v>7.9</v>
      </c>
      <c r="AC243" s="524">
        <v>139.91</v>
      </c>
      <c r="AD243" s="524">
        <v>4713</v>
      </c>
      <c r="AE243" s="525">
        <v>126.41</v>
      </c>
      <c r="AF243" s="525">
        <v>122.89</v>
      </c>
      <c r="AG243" s="525">
        <v>108.04</v>
      </c>
      <c r="AH243" s="525">
        <v>232.21</v>
      </c>
      <c r="AI243" s="525">
        <v>337</v>
      </c>
      <c r="AJ243" s="525">
        <v>240.25</v>
      </c>
      <c r="AK243" s="525">
        <v>231</v>
      </c>
      <c r="AL243" s="525">
        <v>185.83</v>
      </c>
      <c r="AM243" s="525">
        <v>12</v>
      </c>
      <c r="AN243" s="526">
        <v>0</v>
      </c>
      <c r="AO243" s="526">
        <v>0</v>
      </c>
      <c r="AP243" s="526">
        <v>0</v>
      </c>
      <c r="AQ243" s="526">
        <v>0</v>
      </c>
      <c r="AR243" s="522">
        <v>0</v>
      </c>
      <c r="AS243" s="526">
        <v>96.48</v>
      </c>
      <c r="AT243" s="526">
        <v>95.37</v>
      </c>
      <c r="AU243" s="526">
        <v>12.04</v>
      </c>
      <c r="AV243" s="526">
        <v>108.52</v>
      </c>
      <c r="AW243" s="522">
        <v>182</v>
      </c>
      <c r="AX243" s="526">
        <v>113.44</v>
      </c>
      <c r="AY243" s="526">
        <v>112.2</v>
      </c>
      <c r="AZ243" s="526">
        <v>9.36</v>
      </c>
      <c r="BA243" s="526">
        <v>122.69</v>
      </c>
      <c r="BB243" s="522">
        <v>1454</v>
      </c>
      <c r="BC243" s="526">
        <v>134.05000000000001</v>
      </c>
      <c r="BD243" s="526">
        <v>132.91</v>
      </c>
      <c r="BE243" s="526">
        <v>9.1300000000000008</v>
      </c>
      <c r="BF243" s="526">
        <v>142.22999999999999</v>
      </c>
      <c r="BG243" s="522">
        <v>1312</v>
      </c>
      <c r="BH243" s="526">
        <v>150.83000000000001</v>
      </c>
      <c r="BI243" s="526">
        <v>150.24</v>
      </c>
      <c r="BJ243" s="526">
        <v>4.92</v>
      </c>
      <c r="BK243" s="526">
        <v>154.56</v>
      </c>
      <c r="BL243" s="522">
        <v>1628</v>
      </c>
      <c r="BM243" s="526">
        <v>165.31</v>
      </c>
      <c r="BN243" s="526">
        <v>167.96</v>
      </c>
      <c r="BO243" s="526">
        <v>2.56</v>
      </c>
      <c r="BP243" s="526">
        <v>167.45</v>
      </c>
      <c r="BQ243" s="522">
        <v>132</v>
      </c>
      <c r="BR243" s="526">
        <v>180.54</v>
      </c>
      <c r="BS243" s="526">
        <v>184.73</v>
      </c>
      <c r="BT243" s="526">
        <v>2.66</v>
      </c>
      <c r="BU243" s="526">
        <v>183.2</v>
      </c>
      <c r="BV243" s="522">
        <v>4</v>
      </c>
      <c r="BW243" s="526">
        <v>211.34</v>
      </c>
      <c r="BX243" s="526">
        <v>188.17</v>
      </c>
      <c r="BY243" s="526">
        <v>0</v>
      </c>
      <c r="BZ243" s="526">
        <v>211.34</v>
      </c>
      <c r="CA243" s="522">
        <v>1</v>
      </c>
      <c r="CB243" s="526">
        <v>132.97</v>
      </c>
      <c r="CC243" s="526">
        <v>131.94999999999999</v>
      </c>
      <c r="CD243" s="526">
        <v>7.9</v>
      </c>
      <c r="CE243" s="526">
        <v>139.91</v>
      </c>
      <c r="CF243" s="522">
        <v>4713</v>
      </c>
      <c r="CG243" s="526">
        <v>132.97</v>
      </c>
      <c r="CH243" s="526">
        <v>131.94999999999999</v>
      </c>
      <c r="CI243" s="526">
        <v>7.9</v>
      </c>
      <c r="CJ243" s="526">
        <v>139.91</v>
      </c>
      <c r="CK243" s="522">
        <v>4713</v>
      </c>
      <c r="CL243" s="526">
        <v>107.91</v>
      </c>
      <c r="CM243" s="526">
        <v>80.680000000000007</v>
      </c>
      <c r="CN243" s="526">
        <v>82.38</v>
      </c>
      <c r="CO243" s="526">
        <v>190.28</v>
      </c>
      <c r="CP243" s="522">
        <v>11</v>
      </c>
      <c r="CQ243" s="526">
        <v>114.37</v>
      </c>
      <c r="CR243" s="526">
        <v>108.98</v>
      </c>
      <c r="CS243" s="526">
        <v>79.48</v>
      </c>
      <c r="CT243" s="526">
        <v>193.85</v>
      </c>
      <c r="CU243" s="522">
        <v>7</v>
      </c>
      <c r="CV243" s="526">
        <v>124.39</v>
      </c>
      <c r="CW243" s="526">
        <v>121.85</v>
      </c>
      <c r="CX243" s="526">
        <v>106.6</v>
      </c>
      <c r="CY243" s="526">
        <v>228.73</v>
      </c>
      <c r="CZ243" s="522">
        <v>283</v>
      </c>
      <c r="DA243" s="526">
        <v>149.69999999999999</v>
      </c>
      <c r="DB243" s="526">
        <v>143.54</v>
      </c>
      <c r="DC243" s="526">
        <v>135.47999999999999</v>
      </c>
      <c r="DD243" s="526">
        <v>281.32</v>
      </c>
      <c r="DE243" s="522">
        <v>35</v>
      </c>
      <c r="DF243" s="526">
        <v>169.78</v>
      </c>
      <c r="DG243" s="526">
        <v>167.9</v>
      </c>
      <c r="DH243" s="526">
        <v>57.1</v>
      </c>
      <c r="DI243" s="526">
        <v>226.88</v>
      </c>
      <c r="DJ243" s="522">
        <v>1</v>
      </c>
      <c r="DK243" s="526">
        <v>0</v>
      </c>
      <c r="DL243" s="526">
        <v>0</v>
      </c>
      <c r="DM243" s="526">
        <v>0</v>
      </c>
      <c r="DN243" s="526">
        <v>0</v>
      </c>
      <c r="DO243" s="522">
        <v>0</v>
      </c>
      <c r="DP243" s="526">
        <v>127.03</v>
      </c>
      <c r="DQ243" s="526">
        <v>124.08</v>
      </c>
      <c r="DR243" s="526">
        <v>108.93</v>
      </c>
      <c r="DS243" s="526">
        <v>233.62</v>
      </c>
      <c r="DT243" s="522">
        <v>326</v>
      </c>
      <c r="DU243" s="526">
        <v>126.41</v>
      </c>
      <c r="DV243" s="526">
        <v>122.89</v>
      </c>
      <c r="DW243" s="526">
        <v>108.04</v>
      </c>
      <c r="DX243" s="526">
        <v>232.21</v>
      </c>
      <c r="DY243" s="522">
        <v>337</v>
      </c>
      <c r="DZ243" s="526">
        <v>0</v>
      </c>
      <c r="EA243" s="526">
        <v>0</v>
      </c>
      <c r="EB243" s="526">
        <v>0</v>
      </c>
      <c r="EC243" s="522">
        <v>0</v>
      </c>
      <c r="ED243" s="526">
        <v>187.49</v>
      </c>
      <c r="EE243" s="522">
        <v>45</v>
      </c>
      <c r="EF243" s="526">
        <v>241.45</v>
      </c>
      <c r="EG243" s="522">
        <v>150</v>
      </c>
      <c r="EH243" s="526">
        <v>297.2</v>
      </c>
      <c r="EI243" s="522">
        <v>32</v>
      </c>
      <c r="EJ243" s="526">
        <v>333.13</v>
      </c>
      <c r="EK243" s="522">
        <v>4</v>
      </c>
      <c r="EL243" s="526">
        <v>0</v>
      </c>
      <c r="EM243" s="522">
        <v>0</v>
      </c>
      <c r="EN243" s="526">
        <v>0</v>
      </c>
      <c r="EO243" s="522">
        <v>0</v>
      </c>
      <c r="EP243" s="526">
        <v>240.25</v>
      </c>
      <c r="EQ243" s="522">
        <v>231</v>
      </c>
      <c r="ER243" s="526">
        <v>240.25</v>
      </c>
      <c r="ES243" s="522">
        <v>231</v>
      </c>
      <c r="ET243" s="526">
        <v>0</v>
      </c>
      <c r="EU243" s="526">
        <v>0</v>
      </c>
      <c r="EV243" s="526">
        <v>195.62</v>
      </c>
      <c r="EW243" s="522">
        <v>1</v>
      </c>
      <c r="EX243" s="526">
        <v>184.94</v>
      </c>
      <c r="EY243" s="522">
        <v>11</v>
      </c>
      <c r="EZ243" s="526">
        <v>0</v>
      </c>
      <c r="FA243" s="522">
        <v>0</v>
      </c>
      <c r="FB243" s="526">
        <v>0</v>
      </c>
      <c r="FC243" s="522">
        <v>0</v>
      </c>
      <c r="FD243" s="526">
        <v>0</v>
      </c>
      <c r="FE243" s="522">
        <v>0</v>
      </c>
      <c r="FF243" s="526">
        <v>185.83</v>
      </c>
      <c r="FG243" s="522">
        <v>12</v>
      </c>
      <c r="FH243" s="526">
        <v>185.83</v>
      </c>
      <c r="FI243" s="522">
        <v>12</v>
      </c>
      <c r="FJ243" s="522">
        <v>0</v>
      </c>
      <c r="FK243" s="522">
        <v>0</v>
      </c>
      <c r="FL243" s="522">
        <v>0</v>
      </c>
      <c r="FM243" s="522">
        <v>0</v>
      </c>
      <c r="FN243" s="522">
        <v>0</v>
      </c>
      <c r="FO243" s="522">
        <v>0</v>
      </c>
      <c r="FP243" s="522">
        <v>3</v>
      </c>
      <c r="FQ243" s="522">
        <v>30</v>
      </c>
      <c r="FR243" s="522">
        <v>6</v>
      </c>
    </row>
    <row r="244" spans="1:174" x14ac:dyDescent="0.25">
      <c r="A244" s="523" t="s">
        <v>736</v>
      </c>
      <c r="B244" s="523" t="s">
        <v>737</v>
      </c>
      <c r="C244" s="523" t="s">
        <v>283</v>
      </c>
      <c r="D244" s="522">
        <v>2268</v>
      </c>
      <c r="E244" s="522">
        <v>2268</v>
      </c>
      <c r="F244" s="522">
        <v>93</v>
      </c>
      <c r="G244" s="522">
        <v>93</v>
      </c>
      <c r="H244" s="522">
        <v>245</v>
      </c>
      <c r="I244" s="522">
        <v>253</v>
      </c>
      <c r="J244" s="522">
        <v>208</v>
      </c>
      <c r="K244" s="522">
        <v>208</v>
      </c>
      <c r="L244" s="522">
        <v>285</v>
      </c>
      <c r="M244" s="522">
        <v>0</v>
      </c>
      <c r="N244" s="522">
        <v>3099</v>
      </c>
      <c r="O244" s="522">
        <v>2822</v>
      </c>
      <c r="P244" s="522">
        <v>2814</v>
      </c>
      <c r="Q244" s="522">
        <v>3</v>
      </c>
      <c r="R244" s="523">
        <v>5</v>
      </c>
      <c r="S244" s="523">
        <v>22</v>
      </c>
      <c r="T244" s="523">
        <v>40</v>
      </c>
      <c r="U244" s="523">
        <v>3059</v>
      </c>
      <c r="V244" s="522">
        <v>2268</v>
      </c>
      <c r="W244" s="522">
        <v>25</v>
      </c>
      <c r="X244" s="522">
        <v>2</v>
      </c>
      <c r="Y244" s="522">
        <v>27</v>
      </c>
      <c r="Z244" s="524">
        <v>139.66999999999999</v>
      </c>
      <c r="AA244" s="524">
        <v>146.4</v>
      </c>
      <c r="AB244" s="524">
        <v>9.2899999999999991</v>
      </c>
      <c r="AC244" s="524">
        <v>147.88</v>
      </c>
      <c r="AD244" s="524">
        <v>1659</v>
      </c>
      <c r="AE244" s="525">
        <v>133.65</v>
      </c>
      <c r="AF244" s="525">
        <v>124.87</v>
      </c>
      <c r="AG244" s="525">
        <v>52.19</v>
      </c>
      <c r="AH244" s="525">
        <v>183.74</v>
      </c>
      <c r="AI244" s="525">
        <v>397</v>
      </c>
      <c r="AJ244" s="525">
        <v>233.79</v>
      </c>
      <c r="AK244" s="525">
        <v>430</v>
      </c>
      <c r="AL244" s="525">
        <v>224.31</v>
      </c>
      <c r="AM244" s="525">
        <v>16</v>
      </c>
      <c r="AN244" s="526">
        <v>0</v>
      </c>
      <c r="AO244" s="526">
        <v>0</v>
      </c>
      <c r="AP244" s="526">
        <v>0</v>
      </c>
      <c r="AQ244" s="526">
        <v>0</v>
      </c>
      <c r="AR244" s="522">
        <v>0</v>
      </c>
      <c r="AS244" s="526">
        <v>104.09</v>
      </c>
      <c r="AT244" s="526">
        <v>105.03</v>
      </c>
      <c r="AU244" s="526">
        <v>15.91</v>
      </c>
      <c r="AV244" s="526">
        <v>119.12</v>
      </c>
      <c r="AW244" s="522">
        <v>18</v>
      </c>
      <c r="AX244" s="526">
        <v>118.12</v>
      </c>
      <c r="AY244" s="526">
        <v>119.53</v>
      </c>
      <c r="AZ244" s="526">
        <v>12.47</v>
      </c>
      <c r="BA244" s="526">
        <v>130.19999999999999</v>
      </c>
      <c r="BB244" s="522">
        <v>507</v>
      </c>
      <c r="BC244" s="526">
        <v>140.69999999999999</v>
      </c>
      <c r="BD244" s="526">
        <v>149.88</v>
      </c>
      <c r="BE244" s="526">
        <v>9.92</v>
      </c>
      <c r="BF244" s="526">
        <v>149.52000000000001</v>
      </c>
      <c r="BG244" s="522">
        <v>661</v>
      </c>
      <c r="BH244" s="526">
        <v>160.72999999999999</v>
      </c>
      <c r="BI244" s="526">
        <v>170.04</v>
      </c>
      <c r="BJ244" s="526">
        <v>3.85</v>
      </c>
      <c r="BK244" s="526">
        <v>163.71</v>
      </c>
      <c r="BL244" s="522">
        <v>420</v>
      </c>
      <c r="BM244" s="526">
        <v>178.32</v>
      </c>
      <c r="BN244" s="526">
        <v>186.19</v>
      </c>
      <c r="BO244" s="526">
        <v>3.17</v>
      </c>
      <c r="BP244" s="526">
        <v>181.02</v>
      </c>
      <c r="BQ244" s="522">
        <v>53</v>
      </c>
      <c r="BR244" s="526">
        <v>0</v>
      </c>
      <c r="BS244" s="526">
        <v>0</v>
      </c>
      <c r="BT244" s="526">
        <v>0</v>
      </c>
      <c r="BU244" s="526">
        <v>0</v>
      </c>
      <c r="BV244" s="522">
        <v>0</v>
      </c>
      <c r="BW244" s="526">
        <v>0</v>
      </c>
      <c r="BX244" s="526">
        <v>0</v>
      </c>
      <c r="BY244" s="526">
        <v>0</v>
      </c>
      <c r="BZ244" s="526">
        <v>0</v>
      </c>
      <c r="CA244" s="522">
        <v>0</v>
      </c>
      <c r="CB244" s="526">
        <v>139.66999999999999</v>
      </c>
      <c r="CC244" s="526">
        <v>146.4</v>
      </c>
      <c r="CD244" s="526">
        <v>9.2899999999999991</v>
      </c>
      <c r="CE244" s="526">
        <v>147.88</v>
      </c>
      <c r="CF244" s="522">
        <v>1659</v>
      </c>
      <c r="CG244" s="526">
        <v>139.66999999999999</v>
      </c>
      <c r="CH244" s="526">
        <v>146.4</v>
      </c>
      <c r="CI244" s="526">
        <v>9.2899999999999991</v>
      </c>
      <c r="CJ244" s="526">
        <v>147.88</v>
      </c>
      <c r="CK244" s="522">
        <v>1659</v>
      </c>
      <c r="CL244" s="526">
        <v>112.54</v>
      </c>
      <c r="CM244" s="526">
        <v>108.27</v>
      </c>
      <c r="CN244" s="526">
        <v>98.48</v>
      </c>
      <c r="CO244" s="526">
        <v>191.68</v>
      </c>
      <c r="CP244" s="522">
        <v>56</v>
      </c>
      <c r="CQ244" s="526">
        <v>105.2</v>
      </c>
      <c r="CR244" s="526">
        <v>99.62</v>
      </c>
      <c r="CS244" s="526">
        <v>70.19</v>
      </c>
      <c r="CT244" s="526">
        <v>173.9</v>
      </c>
      <c r="CU244" s="522">
        <v>47</v>
      </c>
      <c r="CV244" s="526">
        <v>139.28</v>
      </c>
      <c r="CW244" s="526">
        <v>130.78</v>
      </c>
      <c r="CX244" s="526">
        <v>42.12</v>
      </c>
      <c r="CY244" s="526">
        <v>180.94</v>
      </c>
      <c r="CZ244" s="522">
        <v>272</v>
      </c>
      <c r="DA244" s="526">
        <v>180.5</v>
      </c>
      <c r="DB244" s="526">
        <v>161.83000000000001</v>
      </c>
      <c r="DC244" s="526">
        <v>42.32</v>
      </c>
      <c r="DD244" s="526">
        <v>222.82</v>
      </c>
      <c r="DE244" s="522">
        <v>20</v>
      </c>
      <c r="DF244" s="526">
        <v>142.52000000000001</v>
      </c>
      <c r="DG244" s="526">
        <v>134.53</v>
      </c>
      <c r="DH244" s="526">
        <v>47.62</v>
      </c>
      <c r="DI244" s="526">
        <v>190.14</v>
      </c>
      <c r="DJ244" s="522">
        <v>1</v>
      </c>
      <c r="DK244" s="526">
        <v>173.79</v>
      </c>
      <c r="DL244" s="526">
        <v>173.79</v>
      </c>
      <c r="DM244" s="526">
        <v>0</v>
      </c>
      <c r="DN244" s="526">
        <v>173.79</v>
      </c>
      <c r="DO244" s="522">
        <v>1</v>
      </c>
      <c r="DP244" s="526">
        <v>137.12</v>
      </c>
      <c r="DQ244" s="526">
        <v>127.26</v>
      </c>
      <c r="DR244" s="526">
        <v>45.99</v>
      </c>
      <c r="DS244" s="526">
        <v>182.43</v>
      </c>
      <c r="DT244" s="522">
        <v>341</v>
      </c>
      <c r="DU244" s="526">
        <v>133.65</v>
      </c>
      <c r="DV244" s="526">
        <v>124.87</v>
      </c>
      <c r="DW244" s="526">
        <v>52.19</v>
      </c>
      <c r="DX244" s="526">
        <v>183.74</v>
      </c>
      <c r="DY244" s="522">
        <v>397</v>
      </c>
      <c r="DZ244" s="526">
        <v>0</v>
      </c>
      <c r="EA244" s="526">
        <v>0</v>
      </c>
      <c r="EB244" s="526">
        <v>162.22</v>
      </c>
      <c r="EC244" s="522">
        <v>1</v>
      </c>
      <c r="ED244" s="526">
        <v>184.27</v>
      </c>
      <c r="EE244" s="522">
        <v>123</v>
      </c>
      <c r="EF244" s="526">
        <v>238.48</v>
      </c>
      <c r="EG244" s="522">
        <v>228</v>
      </c>
      <c r="EH244" s="526">
        <v>300.8</v>
      </c>
      <c r="EI244" s="522">
        <v>71</v>
      </c>
      <c r="EJ244" s="526">
        <v>281.73</v>
      </c>
      <c r="EK244" s="522">
        <v>7</v>
      </c>
      <c r="EL244" s="526">
        <v>0</v>
      </c>
      <c r="EM244" s="522">
        <v>0</v>
      </c>
      <c r="EN244" s="526">
        <v>0</v>
      </c>
      <c r="EO244" s="522">
        <v>0</v>
      </c>
      <c r="EP244" s="526">
        <v>233.79</v>
      </c>
      <c r="EQ244" s="522">
        <v>430</v>
      </c>
      <c r="ER244" s="526">
        <v>233.79</v>
      </c>
      <c r="ES244" s="522">
        <v>430</v>
      </c>
      <c r="ET244" s="526">
        <v>0</v>
      </c>
      <c r="EU244" s="526">
        <v>0</v>
      </c>
      <c r="EV244" s="526">
        <v>0</v>
      </c>
      <c r="EW244" s="522">
        <v>0</v>
      </c>
      <c r="EX244" s="526">
        <v>212.13</v>
      </c>
      <c r="EY244" s="522">
        <v>14</v>
      </c>
      <c r="EZ244" s="526">
        <v>309.54000000000002</v>
      </c>
      <c r="FA244" s="522">
        <v>2</v>
      </c>
      <c r="FB244" s="526">
        <v>0</v>
      </c>
      <c r="FC244" s="522">
        <v>0</v>
      </c>
      <c r="FD244" s="526">
        <v>0</v>
      </c>
      <c r="FE244" s="522">
        <v>0</v>
      </c>
      <c r="FF244" s="526">
        <v>224.31</v>
      </c>
      <c r="FG244" s="522">
        <v>16</v>
      </c>
      <c r="FH244" s="526">
        <v>224.31</v>
      </c>
      <c r="FI244" s="522">
        <v>16</v>
      </c>
      <c r="FJ244" s="522">
        <v>0</v>
      </c>
      <c r="FK244" s="522">
        <v>0</v>
      </c>
      <c r="FL244" s="522">
        <v>0</v>
      </c>
      <c r="FM244" s="522">
        <v>0</v>
      </c>
      <c r="FN244" s="522">
        <v>0</v>
      </c>
      <c r="FO244" s="522">
        <v>0</v>
      </c>
      <c r="FP244" s="522">
        <v>8</v>
      </c>
      <c r="FQ244" s="522">
        <v>11</v>
      </c>
      <c r="FR244" s="522">
        <v>7</v>
      </c>
    </row>
    <row r="245" spans="1:174" x14ac:dyDescent="0.25">
      <c r="A245" s="523" t="s">
        <v>738</v>
      </c>
      <c r="B245" s="523" t="s">
        <v>739</v>
      </c>
      <c r="C245" s="523" t="s">
        <v>286</v>
      </c>
      <c r="D245" s="522">
        <v>14537</v>
      </c>
      <c r="E245" s="522">
        <v>14493</v>
      </c>
      <c r="F245" s="522">
        <v>0</v>
      </c>
      <c r="G245" s="522">
        <v>0</v>
      </c>
      <c r="H245" s="522">
        <v>625</v>
      </c>
      <c r="I245" s="522">
        <v>310</v>
      </c>
      <c r="J245" s="522">
        <v>2104</v>
      </c>
      <c r="K245" s="522">
        <v>2096</v>
      </c>
      <c r="L245" s="522">
        <v>619</v>
      </c>
      <c r="M245" s="522">
        <v>1</v>
      </c>
      <c r="N245" s="522">
        <v>17885</v>
      </c>
      <c r="O245" s="522">
        <v>16900</v>
      </c>
      <c r="P245" s="522">
        <v>17266</v>
      </c>
      <c r="Q245" s="522">
        <v>43</v>
      </c>
      <c r="R245" s="523">
        <v>4</v>
      </c>
      <c r="S245" s="523">
        <v>26</v>
      </c>
      <c r="T245" s="523">
        <v>215</v>
      </c>
      <c r="U245" s="523">
        <v>17670</v>
      </c>
      <c r="V245" s="522">
        <v>14493</v>
      </c>
      <c r="W245" s="522">
        <v>205</v>
      </c>
      <c r="X245" s="522">
        <v>72</v>
      </c>
      <c r="Y245" s="522">
        <v>277</v>
      </c>
      <c r="Z245" s="524">
        <v>101.12</v>
      </c>
      <c r="AA245" s="524">
        <v>100.48</v>
      </c>
      <c r="AB245" s="524">
        <v>2.57</v>
      </c>
      <c r="AC245" s="524">
        <v>103.42</v>
      </c>
      <c r="AD245" s="524">
        <v>12880</v>
      </c>
      <c r="AE245" s="525">
        <v>107.43</v>
      </c>
      <c r="AF245" s="525">
        <v>92.13</v>
      </c>
      <c r="AG245" s="525">
        <v>59.67</v>
      </c>
      <c r="AH245" s="525">
        <v>165.94</v>
      </c>
      <c r="AI245" s="525">
        <v>2327</v>
      </c>
      <c r="AJ245" s="525">
        <v>116.39</v>
      </c>
      <c r="AK245" s="525">
        <v>1567</v>
      </c>
      <c r="AL245" s="525">
        <v>165.79</v>
      </c>
      <c r="AM245" s="525">
        <v>231</v>
      </c>
      <c r="AN245" s="526">
        <v>0</v>
      </c>
      <c r="AO245" s="526">
        <v>0</v>
      </c>
      <c r="AP245" s="526">
        <v>0</v>
      </c>
      <c r="AQ245" s="526">
        <v>0</v>
      </c>
      <c r="AR245" s="522">
        <v>0</v>
      </c>
      <c r="AS245" s="526">
        <v>74.180000000000007</v>
      </c>
      <c r="AT245" s="526">
        <v>73.22</v>
      </c>
      <c r="AU245" s="526">
        <v>17.12</v>
      </c>
      <c r="AV245" s="526">
        <v>91.3</v>
      </c>
      <c r="AW245" s="522">
        <v>33</v>
      </c>
      <c r="AX245" s="526">
        <v>85.04</v>
      </c>
      <c r="AY245" s="526">
        <v>84.18</v>
      </c>
      <c r="AZ245" s="526">
        <v>7</v>
      </c>
      <c r="BA245" s="526">
        <v>91.62</v>
      </c>
      <c r="BB245" s="522">
        <v>1836</v>
      </c>
      <c r="BC245" s="526">
        <v>96.43</v>
      </c>
      <c r="BD245" s="526">
        <v>95.93</v>
      </c>
      <c r="BE245" s="526">
        <v>3.09</v>
      </c>
      <c r="BF245" s="526">
        <v>98.98</v>
      </c>
      <c r="BG245" s="522">
        <v>3739</v>
      </c>
      <c r="BH245" s="526">
        <v>107.38</v>
      </c>
      <c r="BI245" s="526">
        <v>106.66</v>
      </c>
      <c r="BJ245" s="526">
        <v>1.1200000000000001</v>
      </c>
      <c r="BK245" s="526">
        <v>108.41</v>
      </c>
      <c r="BL245" s="522">
        <v>6993</v>
      </c>
      <c r="BM245" s="526">
        <v>115.34</v>
      </c>
      <c r="BN245" s="526">
        <v>116</v>
      </c>
      <c r="BO245" s="526">
        <v>0.98</v>
      </c>
      <c r="BP245" s="526">
        <v>116.2</v>
      </c>
      <c r="BQ245" s="522">
        <v>259</v>
      </c>
      <c r="BR245" s="526">
        <v>122.29</v>
      </c>
      <c r="BS245" s="526">
        <v>125.35</v>
      </c>
      <c r="BT245" s="526">
        <v>0.71</v>
      </c>
      <c r="BU245" s="526">
        <v>122.89</v>
      </c>
      <c r="BV245" s="522">
        <v>13</v>
      </c>
      <c r="BW245" s="526">
        <v>139.49</v>
      </c>
      <c r="BX245" s="526">
        <v>137.59</v>
      </c>
      <c r="BY245" s="526">
        <v>1.05</v>
      </c>
      <c r="BZ245" s="526">
        <v>140.54</v>
      </c>
      <c r="CA245" s="522">
        <v>7</v>
      </c>
      <c r="CB245" s="526">
        <v>101.12</v>
      </c>
      <c r="CC245" s="526">
        <v>100.48</v>
      </c>
      <c r="CD245" s="526">
        <v>2.57</v>
      </c>
      <c r="CE245" s="526">
        <v>103.42</v>
      </c>
      <c r="CF245" s="522">
        <v>12880</v>
      </c>
      <c r="CG245" s="526">
        <v>101.12</v>
      </c>
      <c r="CH245" s="526">
        <v>100.48</v>
      </c>
      <c r="CI245" s="526">
        <v>2.57</v>
      </c>
      <c r="CJ245" s="526">
        <v>103.42</v>
      </c>
      <c r="CK245" s="522">
        <v>12880</v>
      </c>
      <c r="CL245" s="526">
        <v>140.07</v>
      </c>
      <c r="CM245" s="526">
        <v>86.05</v>
      </c>
      <c r="CN245" s="526">
        <v>190.85</v>
      </c>
      <c r="CO245" s="526">
        <v>326.17</v>
      </c>
      <c r="CP245" s="522">
        <v>201</v>
      </c>
      <c r="CQ245" s="526">
        <v>93.05</v>
      </c>
      <c r="CR245" s="526">
        <v>85.3</v>
      </c>
      <c r="CS245" s="526">
        <v>114.78</v>
      </c>
      <c r="CT245" s="526">
        <v>201.62</v>
      </c>
      <c r="CU245" s="522">
        <v>37</v>
      </c>
      <c r="CV245" s="526">
        <v>102.61</v>
      </c>
      <c r="CW245" s="526">
        <v>89.71</v>
      </c>
      <c r="CX245" s="526">
        <v>43.79</v>
      </c>
      <c r="CY245" s="526">
        <v>145.94</v>
      </c>
      <c r="CZ245" s="522">
        <v>1796</v>
      </c>
      <c r="DA245" s="526">
        <v>117.17</v>
      </c>
      <c r="DB245" s="526">
        <v>110.92</v>
      </c>
      <c r="DC245" s="526">
        <v>57.35</v>
      </c>
      <c r="DD245" s="526">
        <v>171.23</v>
      </c>
      <c r="DE245" s="522">
        <v>261</v>
      </c>
      <c r="DF245" s="526">
        <v>109.58</v>
      </c>
      <c r="DG245" s="526">
        <v>108.09</v>
      </c>
      <c r="DH245" s="526">
        <v>85.85</v>
      </c>
      <c r="DI245" s="526">
        <v>183.16</v>
      </c>
      <c r="DJ245" s="522">
        <v>28</v>
      </c>
      <c r="DK245" s="526">
        <v>111.81</v>
      </c>
      <c r="DL245" s="526">
        <v>0</v>
      </c>
      <c r="DM245" s="526">
        <v>189.98</v>
      </c>
      <c r="DN245" s="526">
        <v>301.79000000000002</v>
      </c>
      <c r="DO245" s="522">
        <v>4</v>
      </c>
      <c r="DP245" s="526">
        <v>104.34</v>
      </c>
      <c r="DQ245" s="526">
        <v>92.41</v>
      </c>
      <c r="DR245" s="526">
        <v>47.35</v>
      </c>
      <c r="DS245" s="526">
        <v>150.80000000000001</v>
      </c>
      <c r="DT245" s="522">
        <v>2126</v>
      </c>
      <c r="DU245" s="526">
        <v>107.43</v>
      </c>
      <c r="DV245" s="526">
        <v>92.13</v>
      </c>
      <c r="DW245" s="526">
        <v>59.67</v>
      </c>
      <c r="DX245" s="526">
        <v>165.94</v>
      </c>
      <c r="DY245" s="522">
        <v>2327</v>
      </c>
      <c r="DZ245" s="526">
        <v>0</v>
      </c>
      <c r="EA245" s="526">
        <v>0</v>
      </c>
      <c r="EB245" s="526">
        <v>0</v>
      </c>
      <c r="EC245" s="522">
        <v>0</v>
      </c>
      <c r="ED245" s="526">
        <v>97.89</v>
      </c>
      <c r="EE245" s="522">
        <v>272</v>
      </c>
      <c r="EF245" s="526">
        <v>115.39</v>
      </c>
      <c r="EG245" s="522">
        <v>712</v>
      </c>
      <c r="EH245" s="526">
        <v>125.09</v>
      </c>
      <c r="EI245" s="522">
        <v>560</v>
      </c>
      <c r="EJ245" s="526">
        <v>154.18</v>
      </c>
      <c r="EK245" s="522">
        <v>23</v>
      </c>
      <c r="EL245" s="526">
        <v>0</v>
      </c>
      <c r="EM245" s="522">
        <v>0</v>
      </c>
      <c r="EN245" s="526">
        <v>0</v>
      </c>
      <c r="EO245" s="522">
        <v>0</v>
      </c>
      <c r="EP245" s="526">
        <v>116.39</v>
      </c>
      <c r="EQ245" s="522">
        <v>1567</v>
      </c>
      <c r="ER245" s="526">
        <v>116.39</v>
      </c>
      <c r="ES245" s="522">
        <v>1567</v>
      </c>
      <c r="ET245" s="526">
        <v>0</v>
      </c>
      <c r="EU245" s="526">
        <v>0</v>
      </c>
      <c r="EV245" s="526">
        <v>0</v>
      </c>
      <c r="EW245" s="522">
        <v>0</v>
      </c>
      <c r="EX245" s="526">
        <v>170.01</v>
      </c>
      <c r="EY245" s="522">
        <v>180</v>
      </c>
      <c r="EZ245" s="526">
        <v>150.88999999999999</v>
      </c>
      <c r="FA245" s="522">
        <v>51</v>
      </c>
      <c r="FB245" s="526">
        <v>0</v>
      </c>
      <c r="FC245" s="522">
        <v>0</v>
      </c>
      <c r="FD245" s="526">
        <v>0</v>
      </c>
      <c r="FE245" s="522">
        <v>0</v>
      </c>
      <c r="FF245" s="526">
        <v>165.79</v>
      </c>
      <c r="FG245" s="522">
        <v>231</v>
      </c>
      <c r="FH245" s="526">
        <v>165.79</v>
      </c>
      <c r="FI245" s="522">
        <v>231</v>
      </c>
      <c r="FJ245" s="522">
        <v>0</v>
      </c>
      <c r="FK245" s="522">
        <v>36</v>
      </c>
      <c r="FL245" s="522">
        <v>19</v>
      </c>
      <c r="FM245" s="522">
        <v>8</v>
      </c>
      <c r="FN245" s="522">
        <v>9</v>
      </c>
      <c r="FO245" s="522">
        <v>0</v>
      </c>
      <c r="FP245" s="522">
        <v>4</v>
      </c>
      <c r="FQ245" s="522">
        <v>47</v>
      </c>
      <c r="FR245" s="522">
        <v>4</v>
      </c>
    </row>
    <row r="246" spans="1:174" x14ac:dyDescent="0.25">
      <c r="A246" s="523" t="s">
        <v>740</v>
      </c>
      <c r="B246" s="523" t="s">
        <v>741</v>
      </c>
      <c r="C246" s="523" t="s">
        <v>288</v>
      </c>
      <c r="D246" s="522">
        <v>7371</v>
      </c>
      <c r="E246" s="522">
        <v>7356</v>
      </c>
      <c r="F246" s="522">
        <v>0</v>
      </c>
      <c r="G246" s="522">
        <v>0</v>
      </c>
      <c r="H246" s="522">
        <v>300</v>
      </c>
      <c r="I246" s="522">
        <v>191</v>
      </c>
      <c r="J246" s="522">
        <v>1095</v>
      </c>
      <c r="K246" s="522">
        <v>1107</v>
      </c>
      <c r="L246" s="522">
        <v>599</v>
      </c>
      <c r="M246" s="522">
        <v>0</v>
      </c>
      <c r="N246" s="522">
        <v>9365</v>
      </c>
      <c r="O246" s="522">
        <v>8654</v>
      </c>
      <c r="P246" s="522">
        <v>8766</v>
      </c>
      <c r="Q246" s="522">
        <v>20</v>
      </c>
      <c r="R246" s="523">
        <v>4</v>
      </c>
      <c r="S246" s="523">
        <v>20</v>
      </c>
      <c r="T246" s="523">
        <v>20</v>
      </c>
      <c r="U246" s="523">
        <v>9345</v>
      </c>
      <c r="V246" s="522">
        <v>7371</v>
      </c>
      <c r="W246" s="522">
        <v>26</v>
      </c>
      <c r="X246" s="522">
        <v>124</v>
      </c>
      <c r="Y246" s="522">
        <v>150</v>
      </c>
      <c r="Z246" s="524">
        <v>95.29</v>
      </c>
      <c r="AA246" s="524">
        <v>98.06</v>
      </c>
      <c r="AB246" s="524">
        <v>6.35</v>
      </c>
      <c r="AC246" s="524">
        <v>99.28</v>
      </c>
      <c r="AD246" s="524">
        <v>6472</v>
      </c>
      <c r="AE246" s="525">
        <v>102.67</v>
      </c>
      <c r="AF246" s="525">
        <v>91.12</v>
      </c>
      <c r="AG246" s="525">
        <v>36.340000000000003</v>
      </c>
      <c r="AH246" s="525">
        <v>138.79</v>
      </c>
      <c r="AI246" s="525">
        <v>1206</v>
      </c>
      <c r="AJ246" s="525">
        <v>124.91</v>
      </c>
      <c r="AK246" s="525">
        <v>895</v>
      </c>
      <c r="AL246" s="525">
        <v>210.24</v>
      </c>
      <c r="AM246" s="525">
        <v>169</v>
      </c>
      <c r="AN246" s="526">
        <v>0</v>
      </c>
      <c r="AO246" s="526">
        <v>0</v>
      </c>
      <c r="AP246" s="526">
        <v>0</v>
      </c>
      <c r="AQ246" s="526">
        <v>0</v>
      </c>
      <c r="AR246" s="522">
        <v>0</v>
      </c>
      <c r="AS246" s="526">
        <v>72.239999999999995</v>
      </c>
      <c r="AT246" s="526">
        <v>75.319999999999993</v>
      </c>
      <c r="AU246" s="526">
        <v>10.45</v>
      </c>
      <c r="AV246" s="526">
        <v>82.46</v>
      </c>
      <c r="AW246" s="522">
        <v>46</v>
      </c>
      <c r="AX246" s="526">
        <v>82.69</v>
      </c>
      <c r="AY246" s="526">
        <v>84.44</v>
      </c>
      <c r="AZ246" s="526">
        <v>6.54</v>
      </c>
      <c r="BA246" s="526">
        <v>88.84</v>
      </c>
      <c r="BB246" s="522">
        <v>1396</v>
      </c>
      <c r="BC246" s="526">
        <v>94.82</v>
      </c>
      <c r="BD246" s="526">
        <v>96.63</v>
      </c>
      <c r="BE246" s="526">
        <v>8.26</v>
      </c>
      <c r="BF246" s="526">
        <v>100.65</v>
      </c>
      <c r="BG246" s="522">
        <v>2540</v>
      </c>
      <c r="BH246" s="526">
        <v>102.85</v>
      </c>
      <c r="BI246" s="526">
        <v>107.16</v>
      </c>
      <c r="BJ246" s="526">
        <v>2.17</v>
      </c>
      <c r="BK246" s="526">
        <v>103.65</v>
      </c>
      <c r="BL246" s="522">
        <v>2371</v>
      </c>
      <c r="BM246" s="526">
        <v>111.36</v>
      </c>
      <c r="BN246" s="526">
        <v>116.11</v>
      </c>
      <c r="BO246" s="526">
        <v>1.53</v>
      </c>
      <c r="BP246" s="526">
        <v>111.84</v>
      </c>
      <c r="BQ246" s="522">
        <v>119</v>
      </c>
      <c r="BR246" s="526">
        <v>0</v>
      </c>
      <c r="BS246" s="526">
        <v>0</v>
      </c>
      <c r="BT246" s="526">
        <v>0</v>
      </c>
      <c r="BU246" s="526">
        <v>0</v>
      </c>
      <c r="BV246" s="522">
        <v>0</v>
      </c>
      <c r="BW246" s="526">
        <v>0</v>
      </c>
      <c r="BX246" s="526">
        <v>0</v>
      </c>
      <c r="BY246" s="526">
        <v>0</v>
      </c>
      <c r="BZ246" s="526">
        <v>0</v>
      </c>
      <c r="CA246" s="522">
        <v>0</v>
      </c>
      <c r="CB246" s="526">
        <v>95.29</v>
      </c>
      <c r="CC246" s="526">
        <v>98.06</v>
      </c>
      <c r="CD246" s="526">
        <v>6.35</v>
      </c>
      <c r="CE246" s="526">
        <v>99.28</v>
      </c>
      <c r="CF246" s="522">
        <v>6472</v>
      </c>
      <c r="CG246" s="526">
        <v>95.29</v>
      </c>
      <c r="CH246" s="526">
        <v>98.06</v>
      </c>
      <c r="CI246" s="526">
        <v>6.35</v>
      </c>
      <c r="CJ246" s="526">
        <v>99.28</v>
      </c>
      <c r="CK246" s="522">
        <v>6472</v>
      </c>
      <c r="CL246" s="526">
        <v>114.36</v>
      </c>
      <c r="CM246" s="526">
        <v>84.16</v>
      </c>
      <c r="CN246" s="526">
        <v>79.260000000000005</v>
      </c>
      <c r="CO246" s="526">
        <v>160.97999999999999</v>
      </c>
      <c r="CP246" s="522">
        <v>17</v>
      </c>
      <c r="CQ246" s="526">
        <v>80.739999999999995</v>
      </c>
      <c r="CR246" s="526">
        <v>76.48</v>
      </c>
      <c r="CS246" s="526">
        <v>33.97</v>
      </c>
      <c r="CT246" s="526">
        <v>114.71</v>
      </c>
      <c r="CU246" s="522">
        <v>23</v>
      </c>
      <c r="CV246" s="526">
        <v>102.56</v>
      </c>
      <c r="CW246" s="526">
        <v>89.8</v>
      </c>
      <c r="CX246" s="526">
        <v>37.81</v>
      </c>
      <c r="CY246" s="526">
        <v>140.37</v>
      </c>
      <c r="CZ246" s="522">
        <v>1030</v>
      </c>
      <c r="DA246" s="526">
        <v>105</v>
      </c>
      <c r="DB246" s="526">
        <v>104.13</v>
      </c>
      <c r="DC246" s="526">
        <v>22.29</v>
      </c>
      <c r="DD246" s="526">
        <v>127.29</v>
      </c>
      <c r="DE246" s="522">
        <v>134</v>
      </c>
      <c r="DF246" s="526">
        <v>156.25</v>
      </c>
      <c r="DG246" s="526">
        <v>156.49</v>
      </c>
      <c r="DH246" s="526">
        <v>29.7</v>
      </c>
      <c r="DI246" s="526">
        <v>185.95</v>
      </c>
      <c r="DJ246" s="522">
        <v>2</v>
      </c>
      <c r="DK246" s="526">
        <v>0</v>
      </c>
      <c r="DL246" s="526">
        <v>0</v>
      </c>
      <c r="DM246" s="526">
        <v>0</v>
      </c>
      <c r="DN246" s="526">
        <v>0</v>
      </c>
      <c r="DO246" s="522">
        <v>0</v>
      </c>
      <c r="DP246" s="526">
        <v>102.5</v>
      </c>
      <c r="DQ246" s="526">
        <v>91.2</v>
      </c>
      <c r="DR246" s="526">
        <v>35.979999999999997</v>
      </c>
      <c r="DS246" s="526">
        <v>138.47999999999999</v>
      </c>
      <c r="DT246" s="522">
        <v>1189</v>
      </c>
      <c r="DU246" s="526">
        <v>102.67</v>
      </c>
      <c r="DV246" s="526">
        <v>91.12</v>
      </c>
      <c r="DW246" s="526">
        <v>36.340000000000003</v>
      </c>
      <c r="DX246" s="526">
        <v>138.79</v>
      </c>
      <c r="DY246" s="522">
        <v>1206</v>
      </c>
      <c r="DZ246" s="526">
        <v>0</v>
      </c>
      <c r="EA246" s="526">
        <v>0</v>
      </c>
      <c r="EB246" s="526">
        <v>81.75</v>
      </c>
      <c r="EC246" s="522">
        <v>1</v>
      </c>
      <c r="ED246" s="526">
        <v>100.56</v>
      </c>
      <c r="EE246" s="522">
        <v>139</v>
      </c>
      <c r="EF246" s="526">
        <v>122.64</v>
      </c>
      <c r="EG246" s="522">
        <v>547</v>
      </c>
      <c r="EH246" s="526">
        <v>145.58000000000001</v>
      </c>
      <c r="EI246" s="522">
        <v>190</v>
      </c>
      <c r="EJ246" s="526">
        <v>166.26</v>
      </c>
      <c r="EK246" s="522">
        <v>18</v>
      </c>
      <c r="EL246" s="526">
        <v>0</v>
      </c>
      <c r="EM246" s="522">
        <v>0</v>
      </c>
      <c r="EN246" s="526">
        <v>0</v>
      </c>
      <c r="EO246" s="522">
        <v>0</v>
      </c>
      <c r="EP246" s="526">
        <v>124.91</v>
      </c>
      <c r="EQ246" s="522">
        <v>895</v>
      </c>
      <c r="ER246" s="526">
        <v>124.91</v>
      </c>
      <c r="ES246" s="522">
        <v>895</v>
      </c>
      <c r="ET246" s="526">
        <v>0</v>
      </c>
      <c r="EU246" s="526">
        <v>0</v>
      </c>
      <c r="EV246" s="526">
        <v>0</v>
      </c>
      <c r="EW246" s="522">
        <v>0</v>
      </c>
      <c r="EX246" s="526">
        <v>191.1</v>
      </c>
      <c r="EY246" s="522">
        <v>92</v>
      </c>
      <c r="EZ246" s="526">
        <v>233.11</v>
      </c>
      <c r="FA246" s="522">
        <v>77</v>
      </c>
      <c r="FB246" s="526">
        <v>0</v>
      </c>
      <c r="FC246" s="522">
        <v>0</v>
      </c>
      <c r="FD246" s="526">
        <v>0</v>
      </c>
      <c r="FE246" s="522">
        <v>0</v>
      </c>
      <c r="FF246" s="526">
        <v>210.24</v>
      </c>
      <c r="FG246" s="522">
        <v>169</v>
      </c>
      <c r="FH246" s="526">
        <v>210.24</v>
      </c>
      <c r="FI246" s="522">
        <v>169</v>
      </c>
      <c r="FJ246" s="522">
        <v>0</v>
      </c>
      <c r="FK246" s="522">
        <v>12</v>
      </c>
      <c r="FL246" s="522">
        <v>11</v>
      </c>
      <c r="FM246" s="522">
        <v>0</v>
      </c>
      <c r="FN246" s="522">
        <v>1</v>
      </c>
      <c r="FO246" s="522">
        <v>0</v>
      </c>
      <c r="FP246" s="522">
        <v>11</v>
      </c>
      <c r="FQ246" s="522">
        <v>65</v>
      </c>
      <c r="FR246" s="522">
        <v>7</v>
      </c>
    </row>
    <row r="247" spans="1:174" x14ac:dyDescent="0.25">
      <c r="A247" s="523" t="s">
        <v>742</v>
      </c>
      <c r="B247" s="523" t="s">
        <v>743</v>
      </c>
      <c r="C247" s="523" t="s">
        <v>288</v>
      </c>
      <c r="D247" s="522">
        <v>3417</v>
      </c>
      <c r="E247" s="522">
        <v>3293</v>
      </c>
      <c r="F247" s="522">
        <v>10</v>
      </c>
      <c r="G247" s="522">
        <v>5</v>
      </c>
      <c r="H247" s="522">
        <v>157</v>
      </c>
      <c r="I247" s="522">
        <v>124</v>
      </c>
      <c r="J247" s="522">
        <v>279</v>
      </c>
      <c r="K247" s="522">
        <v>218</v>
      </c>
      <c r="L247" s="522">
        <v>114</v>
      </c>
      <c r="M247" s="522">
        <v>0</v>
      </c>
      <c r="N247" s="522">
        <v>3977</v>
      </c>
      <c r="O247" s="522">
        <v>3640</v>
      </c>
      <c r="P247" s="522">
        <v>3863</v>
      </c>
      <c r="Q247" s="522">
        <v>16</v>
      </c>
      <c r="R247" s="523">
        <v>6</v>
      </c>
      <c r="S247" s="523">
        <v>21</v>
      </c>
      <c r="T247" s="523">
        <v>104</v>
      </c>
      <c r="U247" s="523">
        <v>3873</v>
      </c>
      <c r="V247" s="522">
        <v>3325</v>
      </c>
      <c r="W247" s="522">
        <v>58</v>
      </c>
      <c r="X247" s="522">
        <v>8</v>
      </c>
      <c r="Y247" s="522">
        <v>66</v>
      </c>
      <c r="Z247" s="524">
        <v>96.97</v>
      </c>
      <c r="AA247" s="524">
        <v>96.7</v>
      </c>
      <c r="AB247" s="524">
        <v>6.76</v>
      </c>
      <c r="AC247" s="524">
        <v>99.71</v>
      </c>
      <c r="AD247" s="524">
        <v>3018</v>
      </c>
      <c r="AE247" s="525">
        <v>112.08</v>
      </c>
      <c r="AF247" s="525">
        <v>89.53</v>
      </c>
      <c r="AG247" s="525">
        <v>95.54</v>
      </c>
      <c r="AH247" s="525">
        <v>205.67</v>
      </c>
      <c r="AI247" s="525">
        <v>343</v>
      </c>
      <c r="AJ247" s="525">
        <v>113.85</v>
      </c>
      <c r="AK247" s="525">
        <v>291</v>
      </c>
      <c r="AL247" s="525">
        <v>161.72999999999999</v>
      </c>
      <c r="AM247" s="525">
        <v>81</v>
      </c>
      <c r="AN247" s="526">
        <v>0</v>
      </c>
      <c r="AO247" s="526">
        <v>0</v>
      </c>
      <c r="AP247" s="526">
        <v>0</v>
      </c>
      <c r="AQ247" s="526">
        <v>0</v>
      </c>
      <c r="AR247" s="522">
        <v>0</v>
      </c>
      <c r="AS247" s="526">
        <v>73.819999999999993</v>
      </c>
      <c r="AT247" s="526">
        <v>74.349999999999994</v>
      </c>
      <c r="AU247" s="526">
        <v>13.64</v>
      </c>
      <c r="AV247" s="526">
        <v>86.22</v>
      </c>
      <c r="AW247" s="522">
        <v>11</v>
      </c>
      <c r="AX247" s="526">
        <v>89.2</v>
      </c>
      <c r="AY247" s="526">
        <v>87.92</v>
      </c>
      <c r="AZ247" s="526">
        <v>6.79</v>
      </c>
      <c r="BA247" s="526">
        <v>95.48</v>
      </c>
      <c r="BB247" s="522">
        <v>958</v>
      </c>
      <c r="BC247" s="526">
        <v>95.79</v>
      </c>
      <c r="BD247" s="526">
        <v>95.68</v>
      </c>
      <c r="BE247" s="526">
        <v>5.96</v>
      </c>
      <c r="BF247" s="526">
        <v>97.5</v>
      </c>
      <c r="BG247" s="522">
        <v>908</v>
      </c>
      <c r="BH247" s="526">
        <v>104.49</v>
      </c>
      <c r="BI247" s="526">
        <v>104.89</v>
      </c>
      <c r="BJ247" s="526">
        <v>8.33</v>
      </c>
      <c r="BK247" s="526">
        <v>105.02</v>
      </c>
      <c r="BL247" s="522">
        <v>1113</v>
      </c>
      <c r="BM247" s="526">
        <v>110.73</v>
      </c>
      <c r="BN247" s="526">
        <v>113.16</v>
      </c>
      <c r="BO247" s="526">
        <v>3.56</v>
      </c>
      <c r="BP247" s="526">
        <v>110.99</v>
      </c>
      <c r="BQ247" s="522">
        <v>28</v>
      </c>
      <c r="BR247" s="526">
        <v>0</v>
      </c>
      <c r="BS247" s="526">
        <v>0</v>
      </c>
      <c r="BT247" s="526">
        <v>0</v>
      </c>
      <c r="BU247" s="526">
        <v>0</v>
      </c>
      <c r="BV247" s="522">
        <v>0</v>
      </c>
      <c r="BW247" s="526">
        <v>0</v>
      </c>
      <c r="BX247" s="526">
        <v>0</v>
      </c>
      <c r="BY247" s="526">
        <v>0</v>
      </c>
      <c r="BZ247" s="526">
        <v>0</v>
      </c>
      <c r="CA247" s="522">
        <v>0</v>
      </c>
      <c r="CB247" s="526">
        <v>96.97</v>
      </c>
      <c r="CC247" s="526">
        <v>96.7</v>
      </c>
      <c r="CD247" s="526">
        <v>6.76</v>
      </c>
      <c r="CE247" s="526">
        <v>99.71</v>
      </c>
      <c r="CF247" s="522">
        <v>3018</v>
      </c>
      <c r="CG247" s="526">
        <v>96.97</v>
      </c>
      <c r="CH247" s="526">
        <v>96.7</v>
      </c>
      <c r="CI247" s="526">
        <v>6.76</v>
      </c>
      <c r="CJ247" s="526">
        <v>99.71</v>
      </c>
      <c r="CK247" s="522">
        <v>3018</v>
      </c>
      <c r="CL247" s="526">
        <v>124.19</v>
      </c>
      <c r="CM247" s="526">
        <v>106.74</v>
      </c>
      <c r="CN247" s="526">
        <v>306.05</v>
      </c>
      <c r="CO247" s="526">
        <v>387.73</v>
      </c>
      <c r="CP247" s="522">
        <v>36</v>
      </c>
      <c r="CQ247" s="526">
        <v>82.71</v>
      </c>
      <c r="CR247" s="526">
        <v>79.75</v>
      </c>
      <c r="CS247" s="526">
        <v>108.65</v>
      </c>
      <c r="CT247" s="526">
        <v>187.85</v>
      </c>
      <c r="CU247" s="522">
        <v>31</v>
      </c>
      <c r="CV247" s="526">
        <v>114.49</v>
      </c>
      <c r="CW247" s="526">
        <v>88.34</v>
      </c>
      <c r="CX247" s="526">
        <v>68.42</v>
      </c>
      <c r="CY247" s="526">
        <v>182.65</v>
      </c>
      <c r="CZ247" s="522">
        <v>269</v>
      </c>
      <c r="DA247" s="526">
        <v>87.6</v>
      </c>
      <c r="DB247" s="526">
        <v>83.52</v>
      </c>
      <c r="DC247" s="526">
        <v>145.31</v>
      </c>
      <c r="DD247" s="526">
        <v>232.91</v>
      </c>
      <c r="DE247" s="522">
        <v>7</v>
      </c>
      <c r="DF247" s="526">
        <v>0</v>
      </c>
      <c r="DG247" s="526">
        <v>0</v>
      </c>
      <c r="DH247" s="526">
        <v>0</v>
      </c>
      <c r="DI247" s="526">
        <v>0</v>
      </c>
      <c r="DJ247" s="522">
        <v>0</v>
      </c>
      <c r="DK247" s="526">
        <v>0</v>
      </c>
      <c r="DL247" s="526">
        <v>0</v>
      </c>
      <c r="DM247" s="526">
        <v>0</v>
      </c>
      <c r="DN247" s="526">
        <v>0</v>
      </c>
      <c r="DO247" s="522">
        <v>0</v>
      </c>
      <c r="DP247" s="526">
        <v>110.66</v>
      </c>
      <c r="DQ247" s="526">
        <v>87.22</v>
      </c>
      <c r="DR247" s="526">
        <v>74.14</v>
      </c>
      <c r="DS247" s="526">
        <v>184.32</v>
      </c>
      <c r="DT247" s="522">
        <v>307</v>
      </c>
      <c r="DU247" s="526">
        <v>112.08</v>
      </c>
      <c r="DV247" s="526">
        <v>89.53</v>
      </c>
      <c r="DW247" s="526">
        <v>95.54</v>
      </c>
      <c r="DX247" s="526">
        <v>205.67</v>
      </c>
      <c r="DY247" s="522">
        <v>343</v>
      </c>
      <c r="DZ247" s="526">
        <v>0</v>
      </c>
      <c r="EA247" s="526">
        <v>0</v>
      </c>
      <c r="EB247" s="526">
        <v>0</v>
      </c>
      <c r="EC247" s="522">
        <v>0</v>
      </c>
      <c r="ED247" s="526">
        <v>97.98</v>
      </c>
      <c r="EE247" s="522">
        <v>53</v>
      </c>
      <c r="EF247" s="526">
        <v>110.7</v>
      </c>
      <c r="EG247" s="522">
        <v>110</v>
      </c>
      <c r="EH247" s="526">
        <v>122.44</v>
      </c>
      <c r="EI247" s="522">
        <v>123</v>
      </c>
      <c r="EJ247" s="526">
        <v>140.01</v>
      </c>
      <c r="EK247" s="522">
        <v>5</v>
      </c>
      <c r="EL247" s="526">
        <v>0</v>
      </c>
      <c r="EM247" s="522">
        <v>0</v>
      </c>
      <c r="EN247" s="526">
        <v>0</v>
      </c>
      <c r="EO247" s="522">
        <v>0</v>
      </c>
      <c r="EP247" s="526">
        <v>113.85</v>
      </c>
      <c r="EQ247" s="522">
        <v>291</v>
      </c>
      <c r="ER247" s="526">
        <v>113.85</v>
      </c>
      <c r="ES247" s="522">
        <v>291</v>
      </c>
      <c r="ET247" s="526">
        <v>0</v>
      </c>
      <c r="EU247" s="526">
        <v>0</v>
      </c>
      <c r="EV247" s="526">
        <v>0</v>
      </c>
      <c r="EW247" s="522">
        <v>0</v>
      </c>
      <c r="EX247" s="526">
        <v>160</v>
      </c>
      <c r="EY247" s="522">
        <v>57</v>
      </c>
      <c r="EZ247" s="526">
        <v>165.84</v>
      </c>
      <c r="FA247" s="522">
        <v>24</v>
      </c>
      <c r="FB247" s="526">
        <v>0</v>
      </c>
      <c r="FC247" s="522">
        <v>0</v>
      </c>
      <c r="FD247" s="526">
        <v>0</v>
      </c>
      <c r="FE247" s="522">
        <v>0</v>
      </c>
      <c r="FF247" s="526">
        <v>161.72999999999999</v>
      </c>
      <c r="FG247" s="522">
        <v>81</v>
      </c>
      <c r="FH247" s="526">
        <v>161.72999999999999</v>
      </c>
      <c r="FI247" s="522">
        <v>81</v>
      </c>
      <c r="FJ247" s="522">
        <v>0</v>
      </c>
      <c r="FK247" s="522">
        <v>7</v>
      </c>
      <c r="FL247" s="522">
        <v>5</v>
      </c>
      <c r="FM247" s="522">
        <v>0</v>
      </c>
      <c r="FN247" s="522">
        <v>2</v>
      </c>
      <c r="FO247" s="522">
        <v>0</v>
      </c>
      <c r="FP247" s="522">
        <v>10</v>
      </c>
      <c r="FQ247" s="522">
        <v>6</v>
      </c>
      <c r="FR247" s="522">
        <v>1</v>
      </c>
    </row>
    <row r="248" spans="1:174" x14ac:dyDescent="0.25">
      <c r="A248" s="523" t="s">
        <v>744</v>
      </c>
      <c r="B248" s="523" t="s">
        <v>745</v>
      </c>
      <c r="C248" s="523" t="s">
        <v>283</v>
      </c>
      <c r="D248" s="522">
        <v>1750</v>
      </c>
      <c r="E248" s="522">
        <v>1657</v>
      </c>
      <c r="F248" s="522">
        <v>0</v>
      </c>
      <c r="G248" s="522">
        <v>0</v>
      </c>
      <c r="H248" s="522">
        <v>186</v>
      </c>
      <c r="I248" s="522">
        <v>179</v>
      </c>
      <c r="J248" s="522">
        <v>301</v>
      </c>
      <c r="K248" s="522">
        <v>301</v>
      </c>
      <c r="L248" s="522">
        <v>588</v>
      </c>
      <c r="M248" s="522">
        <v>0</v>
      </c>
      <c r="N248" s="522">
        <v>2825</v>
      </c>
      <c r="O248" s="522">
        <v>2137</v>
      </c>
      <c r="P248" s="522">
        <v>2237</v>
      </c>
      <c r="Q248" s="522">
        <v>5</v>
      </c>
      <c r="R248" s="523">
        <v>6</v>
      </c>
      <c r="S248" s="523">
        <v>25</v>
      </c>
      <c r="T248" s="523">
        <v>175</v>
      </c>
      <c r="U248" s="523">
        <v>2650</v>
      </c>
      <c r="V248" s="522">
        <v>1656</v>
      </c>
      <c r="W248" s="522">
        <v>10</v>
      </c>
      <c r="X248" s="522">
        <v>3</v>
      </c>
      <c r="Y248" s="522">
        <v>13</v>
      </c>
      <c r="Z248" s="524">
        <v>128.94</v>
      </c>
      <c r="AA248" s="524">
        <v>129.78</v>
      </c>
      <c r="AB248" s="524">
        <v>10.84</v>
      </c>
      <c r="AC248" s="524">
        <v>138.78</v>
      </c>
      <c r="AD248" s="524">
        <v>1425</v>
      </c>
      <c r="AE248" s="525">
        <v>126.11</v>
      </c>
      <c r="AF248" s="525">
        <v>105.96</v>
      </c>
      <c r="AG248" s="525">
        <v>44.86</v>
      </c>
      <c r="AH248" s="525">
        <v>170.19</v>
      </c>
      <c r="AI248" s="525">
        <v>406</v>
      </c>
      <c r="AJ248" s="525">
        <v>176.16</v>
      </c>
      <c r="AK248" s="525">
        <v>212</v>
      </c>
      <c r="AL248" s="525">
        <v>0</v>
      </c>
      <c r="AM248" s="525">
        <v>0</v>
      </c>
      <c r="AN248" s="526">
        <v>0</v>
      </c>
      <c r="AO248" s="526">
        <v>0</v>
      </c>
      <c r="AP248" s="526">
        <v>0</v>
      </c>
      <c r="AQ248" s="526">
        <v>0</v>
      </c>
      <c r="AR248" s="522">
        <v>0</v>
      </c>
      <c r="AS248" s="526">
        <v>86.52</v>
      </c>
      <c r="AT248" s="526">
        <v>87.15</v>
      </c>
      <c r="AU248" s="526">
        <v>18.3</v>
      </c>
      <c r="AV248" s="526">
        <v>104.82</v>
      </c>
      <c r="AW248" s="522">
        <v>24</v>
      </c>
      <c r="AX248" s="526">
        <v>102.05</v>
      </c>
      <c r="AY248" s="526">
        <v>104.83</v>
      </c>
      <c r="AZ248" s="526">
        <v>14.04</v>
      </c>
      <c r="BA248" s="526">
        <v>116</v>
      </c>
      <c r="BB248" s="522">
        <v>302</v>
      </c>
      <c r="BC248" s="526">
        <v>126.55</v>
      </c>
      <c r="BD248" s="526">
        <v>126.53</v>
      </c>
      <c r="BE248" s="526">
        <v>12.72</v>
      </c>
      <c r="BF248" s="526">
        <v>138.27000000000001</v>
      </c>
      <c r="BG248" s="522">
        <v>610</v>
      </c>
      <c r="BH248" s="526">
        <v>147.38</v>
      </c>
      <c r="BI248" s="526">
        <v>147.22</v>
      </c>
      <c r="BJ248" s="526">
        <v>5.57</v>
      </c>
      <c r="BK248" s="526">
        <v>152.04</v>
      </c>
      <c r="BL248" s="522">
        <v>412</v>
      </c>
      <c r="BM248" s="526">
        <v>167.88</v>
      </c>
      <c r="BN248" s="526">
        <v>171.1</v>
      </c>
      <c r="BO248" s="526">
        <v>4.7699999999999996</v>
      </c>
      <c r="BP248" s="526">
        <v>171.76</v>
      </c>
      <c r="BQ248" s="522">
        <v>75</v>
      </c>
      <c r="BR248" s="526">
        <v>165.94</v>
      </c>
      <c r="BS248" s="526">
        <v>202.65</v>
      </c>
      <c r="BT248" s="526">
        <v>11.83</v>
      </c>
      <c r="BU248" s="526">
        <v>171.86</v>
      </c>
      <c r="BV248" s="522">
        <v>2</v>
      </c>
      <c r="BW248" s="526">
        <v>0</v>
      </c>
      <c r="BX248" s="526">
        <v>0</v>
      </c>
      <c r="BY248" s="526">
        <v>0</v>
      </c>
      <c r="BZ248" s="526">
        <v>0</v>
      </c>
      <c r="CA248" s="522">
        <v>0</v>
      </c>
      <c r="CB248" s="526">
        <v>128.94</v>
      </c>
      <c r="CC248" s="526">
        <v>129.78</v>
      </c>
      <c r="CD248" s="526">
        <v>10.84</v>
      </c>
      <c r="CE248" s="526">
        <v>138.78</v>
      </c>
      <c r="CF248" s="522">
        <v>1425</v>
      </c>
      <c r="CG248" s="526">
        <v>128.94</v>
      </c>
      <c r="CH248" s="526">
        <v>129.78</v>
      </c>
      <c r="CI248" s="526">
        <v>10.84</v>
      </c>
      <c r="CJ248" s="526">
        <v>138.78</v>
      </c>
      <c r="CK248" s="522">
        <v>1425</v>
      </c>
      <c r="CL248" s="526">
        <v>214.38</v>
      </c>
      <c r="CM248" s="526">
        <v>97.37</v>
      </c>
      <c r="CN248" s="526">
        <v>84.48</v>
      </c>
      <c r="CO248" s="526">
        <v>288.3</v>
      </c>
      <c r="CP248" s="522">
        <v>32</v>
      </c>
      <c r="CQ248" s="526">
        <v>91.31</v>
      </c>
      <c r="CR248" s="526">
        <v>86.5</v>
      </c>
      <c r="CS248" s="526">
        <v>51.55</v>
      </c>
      <c r="CT248" s="526">
        <v>142.86000000000001</v>
      </c>
      <c r="CU248" s="522">
        <v>65</v>
      </c>
      <c r="CV248" s="526">
        <v>122.33</v>
      </c>
      <c r="CW248" s="526">
        <v>106.78</v>
      </c>
      <c r="CX248" s="526">
        <v>40.450000000000003</v>
      </c>
      <c r="CY248" s="526">
        <v>162.47999999999999</v>
      </c>
      <c r="CZ248" s="522">
        <v>276</v>
      </c>
      <c r="DA248" s="526">
        <v>139.21</v>
      </c>
      <c r="DB248" s="526">
        <v>135.81</v>
      </c>
      <c r="DC248" s="526">
        <v>33.82</v>
      </c>
      <c r="DD248" s="526">
        <v>171.9</v>
      </c>
      <c r="DE248" s="522">
        <v>30</v>
      </c>
      <c r="DF248" s="526">
        <v>155.18</v>
      </c>
      <c r="DG248" s="526">
        <v>148.4</v>
      </c>
      <c r="DH248" s="526">
        <v>39.49</v>
      </c>
      <c r="DI248" s="526">
        <v>194.66</v>
      </c>
      <c r="DJ248" s="522">
        <v>3</v>
      </c>
      <c r="DK248" s="526">
        <v>0</v>
      </c>
      <c r="DL248" s="526">
        <v>0</v>
      </c>
      <c r="DM248" s="526">
        <v>0</v>
      </c>
      <c r="DN248" s="526">
        <v>0</v>
      </c>
      <c r="DO248" s="522">
        <v>0</v>
      </c>
      <c r="DP248" s="526">
        <v>118.55</v>
      </c>
      <c r="DQ248" s="526">
        <v>106.31</v>
      </c>
      <c r="DR248" s="526">
        <v>41.87</v>
      </c>
      <c r="DS248" s="526">
        <v>160.09</v>
      </c>
      <c r="DT248" s="522">
        <v>374</v>
      </c>
      <c r="DU248" s="526">
        <v>126.11</v>
      </c>
      <c r="DV248" s="526">
        <v>105.96</v>
      </c>
      <c r="DW248" s="526">
        <v>44.86</v>
      </c>
      <c r="DX248" s="526">
        <v>170.19</v>
      </c>
      <c r="DY248" s="522">
        <v>406</v>
      </c>
      <c r="DZ248" s="526">
        <v>0</v>
      </c>
      <c r="EA248" s="526">
        <v>0</v>
      </c>
      <c r="EB248" s="526">
        <v>121.08</v>
      </c>
      <c r="EC248" s="522">
        <v>11</v>
      </c>
      <c r="ED248" s="526">
        <v>139.41</v>
      </c>
      <c r="EE248" s="522">
        <v>44</v>
      </c>
      <c r="EF248" s="526">
        <v>179.16</v>
      </c>
      <c r="EG248" s="522">
        <v>101</v>
      </c>
      <c r="EH248" s="526">
        <v>211.2</v>
      </c>
      <c r="EI248" s="522">
        <v>54</v>
      </c>
      <c r="EJ248" s="526">
        <v>190.14</v>
      </c>
      <c r="EK248" s="522">
        <v>2</v>
      </c>
      <c r="EL248" s="526">
        <v>0</v>
      </c>
      <c r="EM248" s="522">
        <v>0</v>
      </c>
      <c r="EN248" s="526">
        <v>0</v>
      </c>
      <c r="EO248" s="522">
        <v>0</v>
      </c>
      <c r="EP248" s="526">
        <v>176.16</v>
      </c>
      <c r="EQ248" s="522">
        <v>212</v>
      </c>
      <c r="ER248" s="526">
        <v>176.16</v>
      </c>
      <c r="ES248" s="522">
        <v>212</v>
      </c>
      <c r="ET248" s="526">
        <v>0</v>
      </c>
      <c r="EU248" s="526">
        <v>0</v>
      </c>
      <c r="EV248" s="526">
        <v>0</v>
      </c>
      <c r="EW248" s="522">
        <v>0</v>
      </c>
      <c r="EX248" s="526">
        <v>0</v>
      </c>
      <c r="EY248" s="522">
        <v>0</v>
      </c>
      <c r="EZ248" s="526">
        <v>0</v>
      </c>
      <c r="FA248" s="522">
        <v>0</v>
      </c>
      <c r="FB248" s="526">
        <v>0</v>
      </c>
      <c r="FC248" s="522">
        <v>0</v>
      </c>
      <c r="FD248" s="526">
        <v>0</v>
      </c>
      <c r="FE248" s="522">
        <v>0</v>
      </c>
      <c r="FF248" s="526">
        <v>0</v>
      </c>
      <c r="FG248" s="522">
        <v>0</v>
      </c>
      <c r="FH248" s="526">
        <v>0</v>
      </c>
      <c r="FI248" s="522">
        <v>0</v>
      </c>
      <c r="FJ248" s="522">
        <v>0</v>
      </c>
      <c r="FK248" s="522">
        <v>1</v>
      </c>
      <c r="FL248" s="522">
        <v>0</v>
      </c>
      <c r="FM248" s="522">
        <v>0</v>
      </c>
      <c r="FN248" s="522">
        <v>1</v>
      </c>
      <c r="FO248" s="522">
        <v>0</v>
      </c>
      <c r="FP248" s="522">
        <v>10</v>
      </c>
      <c r="FQ248" s="522">
        <v>0</v>
      </c>
      <c r="FR248" s="522">
        <v>10</v>
      </c>
    </row>
    <row r="249" spans="1:174" x14ac:dyDescent="0.25">
      <c r="A249" s="523" t="s">
        <v>746</v>
      </c>
      <c r="B249" s="523" t="s">
        <v>747</v>
      </c>
      <c r="C249" s="523" t="s">
        <v>286</v>
      </c>
      <c r="D249" s="522">
        <v>4825</v>
      </c>
      <c r="E249" s="522">
        <v>4326</v>
      </c>
      <c r="F249" s="522">
        <v>0</v>
      </c>
      <c r="G249" s="522">
        <v>0</v>
      </c>
      <c r="H249" s="522">
        <v>602</v>
      </c>
      <c r="I249" s="522">
        <v>353</v>
      </c>
      <c r="J249" s="522">
        <v>1241</v>
      </c>
      <c r="K249" s="522">
        <v>1215</v>
      </c>
      <c r="L249" s="522">
        <v>1334</v>
      </c>
      <c r="M249" s="522">
        <v>0</v>
      </c>
      <c r="N249" s="522">
        <v>8002</v>
      </c>
      <c r="O249" s="522">
        <v>5894</v>
      </c>
      <c r="P249" s="522">
        <v>6668</v>
      </c>
      <c r="Q249" s="522">
        <v>3</v>
      </c>
      <c r="R249" s="523">
        <v>9</v>
      </c>
      <c r="S249" s="523">
        <v>24</v>
      </c>
      <c r="T249" s="523">
        <v>702</v>
      </c>
      <c r="U249" s="523">
        <v>7300</v>
      </c>
      <c r="V249" s="522">
        <v>4314</v>
      </c>
      <c r="W249" s="522">
        <v>28</v>
      </c>
      <c r="X249" s="522">
        <v>32</v>
      </c>
      <c r="Y249" s="522">
        <v>60</v>
      </c>
      <c r="Z249" s="524">
        <v>95.9</v>
      </c>
      <c r="AA249" s="524">
        <v>96.95</v>
      </c>
      <c r="AB249" s="524">
        <v>10.45</v>
      </c>
      <c r="AC249" s="524">
        <v>101.95</v>
      </c>
      <c r="AD249" s="524">
        <v>3884</v>
      </c>
      <c r="AE249" s="525">
        <v>99.6</v>
      </c>
      <c r="AF249" s="525">
        <v>94.3</v>
      </c>
      <c r="AG249" s="525">
        <v>40.92</v>
      </c>
      <c r="AH249" s="525">
        <v>140.04</v>
      </c>
      <c r="AI249" s="525">
        <v>1621</v>
      </c>
      <c r="AJ249" s="525">
        <v>132.69</v>
      </c>
      <c r="AK249" s="525">
        <v>666</v>
      </c>
      <c r="AL249" s="525">
        <v>200.64</v>
      </c>
      <c r="AM249" s="525">
        <v>52</v>
      </c>
      <c r="AN249" s="526">
        <v>0</v>
      </c>
      <c r="AO249" s="526">
        <v>0</v>
      </c>
      <c r="AP249" s="526">
        <v>0</v>
      </c>
      <c r="AQ249" s="526">
        <v>0</v>
      </c>
      <c r="AR249" s="522">
        <v>0</v>
      </c>
      <c r="AS249" s="526">
        <v>75.260000000000005</v>
      </c>
      <c r="AT249" s="526">
        <v>78.150000000000006</v>
      </c>
      <c r="AU249" s="526">
        <v>14.19</v>
      </c>
      <c r="AV249" s="526">
        <v>85.42</v>
      </c>
      <c r="AW249" s="522">
        <v>60</v>
      </c>
      <c r="AX249" s="526">
        <v>87.52</v>
      </c>
      <c r="AY249" s="526">
        <v>87.64</v>
      </c>
      <c r="AZ249" s="526">
        <v>12.39</v>
      </c>
      <c r="BA249" s="526">
        <v>97.9</v>
      </c>
      <c r="BB249" s="522">
        <v>1310</v>
      </c>
      <c r="BC249" s="526">
        <v>97.2</v>
      </c>
      <c r="BD249" s="526">
        <v>98.25</v>
      </c>
      <c r="BE249" s="526">
        <v>10.36</v>
      </c>
      <c r="BF249" s="526">
        <v>102.26</v>
      </c>
      <c r="BG249" s="522">
        <v>1666</v>
      </c>
      <c r="BH249" s="526">
        <v>106.76</v>
      </c>
      <c r="BI249" s="526">
        <v>109.53</v>
      </c>
      <c r="BJ249" s="526">
        <v>2.91</v>
      </c>
      <c r="BK249" s="526">
        <v>107.73</v>
      </c>
      <c r="BL249" s="522">
        <v>787</v>
      </c>
      <c r="BM249" s="526">
        <v>120.34</v>
      </c>
      <c r="BN249" s="526">
        <v>122.25</v>
      </c>
      <c r="BO249" s="526">
        <v>3.22</v>
      </c>
      <c r="BP249" s="526">
        <v>122.06</v>
      </c>
      <c r="BQ249" s="522">
        <v>58</v>
      </c>
      <c r="BR249" s="526">
        <v>125.78</v>
      </c>
      <c r="BS249" s="526">
        <v>129.99</v>
      </c>
      <c r="BT249" s="526">
        <v>0</v>
      </c>
      <c r="BU249" s="526">
        <v>125.78</v>
      </c>
      <c r="BV249" s="522">
        <v>2</v>
      </c>
      <c r="BW249" s="526">
        <v>124.12</v>
      </c>
      <c r="BX249" s="526">
        <v>128.87</v>
      </c>
      <c r="BY249" s="526">
        <v>0</v>
      </c>
      <c r="BZ249" s="526">
        <v>124.12</v>
      </c>
      <c r="CA249" s="522">
        <v>1</v>
      </c>
      <c r="CB249" s="526">
        <v>95.9</v>
      </c>
      <c r="CC249" s="526">
        <v>96.95</v>
      </c>
      <c r="CD249" s="526">
        <v>10.45</v>
      </c>
      <c r="CE249" s="526">
        <v>101.95</v>
      </c>
      <c r="CF249" s="522">
        <v>3884</v>
      </c>
      <c r="CG249" s="526">
        <v>95.9</v>
      </c>
      <c r="CH249" s="526">
        <v>96.95</v>
      </c>
      <c r="CI249" s="526">
        <v>10.45</v>
      </c>
      <c r="CJ249" s="526">
        <v>101.95</v>
      </c>
      <c r="CK249" s="522">
        <v>3884</v>
      </c>
      <c r="CL249" s="526">
        <v>123.36</v>
      </c>
      <c r="CM249" s="526">
        <v>88.12</v>
      </c>
      <c r="CN249" s="526">
        <v>55.38</v>
      </c>
      <c r="CO249" s="526">
        <v>175.43</v>
      </c>
      <c r="CP249" s="522">
        <v>184</v>
      </c>
      <c r="CQ249" s="526">
        <v>87.3</v>
      </c>
      <c r="CR249" s="526">
        <v>90.27</v>
      </c>
      <c r="CS249" s="526">
        <v>42.44</v>
      </c>
      <c r="CT249" s="526">
        <v>129.74</v>
      </c>
      <c r="CU249" s="522">
        <v>239</v>
      </c>
      <c r="CV249" s="526">
        <v>97.61</v>
      </c>
      <c r="CW249" s="526">
        <v>94</v>
      </c>
      <c r="CX249" s="526">
        <v>39.86</v>
      </c>
      <c r="CY249" s="526">
        <v>137.29</v>
      </c>
      <c r="CZ249" s="522">
        <v>1101</v>
      </c>
      <c r="DA249" s="526">
        <v>107.32</v>
      </c>
      <c r="DB249" s="526">
        <v>110.87</v>
      </c>
      <c r="DC249" s="526">
        <v>21.92</v>
      </c>
      <c r="DD249" s="526">
        <v>128.72999999999999</v>
      </c>
      <c r="DE249" s="522">
        <v>87</v>
      </c>
      <c r="DF249" s="526">
        <v>104.36</v>
      </c>
      <c r="DG249" s="526">
        <v>112.45</v>
      </c>
      <c r="DH249" s="526">
        <v>31.99</v>
      </c>
      <c r="DI249" s="526">
        <v>132.80000000000001</v>
      </c>
      <c r="DJ249" s="522">
        <v>9</v>
      </c>
      <c r="DK249" s="526">
        <v>141.55000000000001</v>
      </c>
      <c r="DL249" s="526">
        <v>152.41999999999999</v>
      </c>
      <c r="DM249" s="526">
        <v>22.84</v>
      </c>
      <c r="DN249" s="526">
        <v>164.39</v>
      </c>
      <c r="DO249" s="522">
        <v>1</v>
      </c>
      <c r="DP249" s="526">
        <v>96.56</v>
      </c>
      <c r="DQ249" s="526">
        <v>94.55</v>
      </c>
      <c r="DR249" s="526">
        <v>39.17</v>
      </c>
      <c r="DS249" s="526">
        <v>135.51</v>
      </c>
      <c r="DT249" s="522">
        <v>1437</v>
      </c>
      <c r="DU249" s="526">
        <v>99.6</v>
      </c>
      <c r="DV249" s="526">
        <v>94.3</v>
      </c>
      <c r="DW249" s="526">
        <v>40.92</v>
      </c>
      <c r="DX249" s="526">
        <v>140.04</v>
      </c>
      <c r="DY249" s="522">
        <v>1621</v>
      </c>
      <c r="DZ249" s="526">
        <v>0</v>
      </c>
      <c r="EA249" s="526">
        <v>0</v>
      </c>
      <c r="EB249" s="526">
        <v>0</v>
      </c>
      <c r="EC249" s="522">
        <v>0</v>
      </c>
      <c r="ED249" s="526">
        <v>112.43</v>
      </c>
      <c r="EE249" s="522">
        <v>131</v>
      </c>
      <c r="EF249" s="526">
        <v>135.63999999999999</v>
      </c>
      <c r="EG249" s="522">
        <v>425</v>
      </c>
      <c r="EH249" s="526">
        <v>144.11000000000001</v>
      </c>
      <c r="EI249" s="522">
        <v>105</v>
      </c>
      <c r="EJ249" s="526">
        <v>176.08</v>
      </c>
      <c r="EK249" s="522">
        <v>4</v>
      </c>
      <c r="EL249" s="526">
        <v>157.49</v>
      </c>
      <c r="EM249" s="522">
        <v>1</v>
      </c>
      <c r="EN249" s="526">
        <v>0</v>
      </c>
      <c r="EO249" s="522">
        <v>0</v>
      </c>
      <c r="EP249" s="526">
        <v>132.69</v>
      </c>
      <c r="EQ249" s="522">
        <v>666</v>
      </c>
      <c r="ER249" s="526">
        <v>132.69</v>
      </c>
      <c r="ES249" s="522">
        <v>666</v>
      </c>
      <c r="ET249" s="526">
        <v>51.39</v>
      </c>
      <c r="EU249" s="526">
        <v>4</v>
      </c>
      <c r="EV249" s="526">
        <v>0</v>
      </c>
      <c r="EW249" s="522">
        <v>0</v>
      </c>
      <c r="EX249" s="526">
        <v>213.08</v>
      </c>
      <c r="EY249" s="522">
        <v>48</v>
      </c>
      <c r="EZ249" s="526">
        <v>0</v>
      </c>
      <c r="FA249" s="522">
        <v>0</v>
      </c>
      <c r="FB249" s="526">
        <v>0</v>
      </c>
      <c r="FC249" s="522">
        <v>0</v>
      </c>
      <c r="FD249" s="526">
        <v>0</v>
      </c>
      <c r="FE249" s="522">
        <v>0</v>
      </c>
      <c r="FF249" s="526">
        <v>213.08</v>
      </c>
      <c r="FG249" s="522">
        <v>48</v>
      </c>
      <c r="FH249" s="526">
        <v>200.64</v>
      </c>
      <c r="FI249" s="522">
        <v>52</v>
      </c>
      <c r="FJ249" s="522">
        <v>0</v>
      </c>
      <c r="FK249" s="522">
        <v>4</v>
      </c>
      <c r="FL249" s="522">
        <v>3</v>
      </c>
      <c r="FM249" s="522">
        <v>0</v>
      </c>
      <c r="FN249" s="522">
        <v>1</v>
      </c>
      <c r="FO249" s="522">
        <v>0</v>
      </c>
      <c r="FP249" s="522">
        <v>1</v>
      </c>
      <c r="FQ249" s="522">
        <v>54</v>
      </c>
      <c r="FR249" s="522">
        <v>10</v>
      </c>
    </row>
    <row r="250" spans="1:174" x14ac:dyDescent="0.25">
      <c r="A250" s="523" t="s">
        <v>748</v>
      </c>
      <c r="B250" s="523" t="s">
        <v>749</v>
      </c>
      <c r="C250" s="523" t="s">
        <v>285</v>
      </c>
      <c r="D250" s="522">
        <v>12915</v>
      </c>
      <c r="E250" s="522">
        <v>12772</v>
      </c>
      <c r="F250" s="522">
        <v>0</v>
      </c>
      <c r="G250" s="522">
        <v>0</v>
      </c>
      <c r="H250" s="522">
        <v>295</v>
      </c>
      <c r="I250" s="522">
        <v>233</v>
      </c>
      <c r="J250" s="522">
        <v>776</v>
      </c>
      <c r="K250" s="522">
        <v>776</v>
      </c>
      <c r="L250" s="522">
        <v>446</v>
      </c>
      <c r="M250" s="522">
        <v>0</v>
      </c>
      <c r="N250" s="522">
        <v>14432</v>
      </c>
      <c r="O250" s="522">
        <v>13781</v>
      </c>
      <c r="P250" s="522">
        <v>13986</v>
      </c>
      <c r="Q250" s="522">
        <v>57</v>
      </c>
      <c r="R250" s="523">
        <v>6</v>
      </c>
      <c r="S250" s="523">
        <v>19</v>
      </c>
      <c r="T250" s="523">
        <v>218</v>
      </c>
      <c r="U250" s="523">
        <v>14214</v>
      </c>
      <c r="V250" s="522">
        <v>12742</v>
      </c>
      <c r="W250" s="522">
        <v>95</v>
      </c>
      <c r="X250" s="522">
        <v>156</v>
      </c>
      <c r="Y250" s="522">
        <v>251</v>
      </c>
      <c r="Z250" s="524">
        <v>94.22</v>
      </c>
      <c r="AA250" s="524">
        <v>96.38</v>
      </c>
      <c r="AB250" s="524">
        <v>12.77</v>
      </c>
      <c r="AC250" s="524">
        <v>97.83</v>
      </c>
      <c r="AD250" s="524">
        <v>10572</v>
      </c>
      <c r="AE250" s="525">
        <v>98.49</v>
      </c>
      <c r="AF250" s="525">
        <v>92.21</v>
      </c>
      <c r="AG250" s="525">
        <v>60.61</v>
      </c>
      <c r="AH250" s="525">
        <v>158.47999999999999</v>
      </c>
      <c r="AI250" s="525">
        <v>968</v>
      </c>
      <c r="AJ250" s="525">
        <v>115.33</v>
      </c>
      <c r="AK250" s="525">
        <v>2158</v>
      </c>
      <c r="AL250" s="525">
        <v>189.61</v>
      </c>
      <c r="AM250" s="525">
        <v>58</v>
      </c>
      <c r="AN250" s="526">
        <v>0</v>
      </c>
      <c r="AO250" s="526">
        <v>0</v>
      </c>
      <c r="AP250" s="526">
        <v>0</v>
      </c>
      <c r="AQ250" s="526">
        <v>0</v>
      </c>
      <c r="AR250" s="522">
        <v>0</v>
      </c>
      <c r="AS250" s="526">
        <v>73.66</v>
      </c>
      <c r="AT250" s="526">
        <v>71.63</v>
      </c>
      <c r="AU250" s="526">
        <v>5.43</v>
      </c>
      <c r="AV250" s="526">
        <v>77.849999999999994</v>
      </c>
      <c r="AW250" s="522">
        <v>97</v>
      </c>
      <c r="AX250" s="526">
        <v>83.89</v>
      </c>
      <c r="AY250" s="526">
        <v>85.14</v>
      </c>
      <c r="AZ250" s="526">
        <v>14.01</v>
      </c>
      <c r="BA250" s="526">
        <v>88.92</v>
      </c>
      <c r="BB250" s="522">
        <v>3148</v>
      </c>
      <c r="BC250" s="526">
        <v>94.23</v>
      </c>
      <c r="BD250" s="526">
        <v>95.72</v>
      </c>
      <c r="BE250" s="526">
        <v>13.67</v>
      </c>
      <c r="BF250" s="526">
        <v>99.56</v>
      </c>
      <c r="BG250" s="522">
        <v>3538</v>
      </c>
      <c r="BH250" s="526">
        <v>102.7</v>
      </c>
      <c r="BI250" s="526">
        <v>106.3</v>
      </c>
      <c r="BJ250" s="526">
        <v>7.95</v>
      </c>
      <c r="BK250" s="526">
        <v>103.53</v>
      </c>
      <c r="BL250" s="522">
        <v>3524</v>
      </c>
      <c r="BM250" s="526">
        <v>110.86</v>
      </c>
      <c r="BN250" s="526">
        <v>115.49</v>
      </c>
      <c r="BO250" s="526">
        <v>3.86</v>
      </c>
      <c r="BP250" s="526">
        <v>111.42</v>
      </c>
      <c r="BQ250" s="522">
        <v>246</v>
      </c>
      <c r="BR250" s="526">
        <v>118.18</v>
      </c>
      <c r="BS250" s="526">
        <v>122.9</v>
      </c>
      <c r="BT250" s="526">
        <v>3.03</v>
      </c>
      <c r="BU250" s="526">
        <v>118.34</v>
      </c>
      <c r="BV250" s="522">
        <v>19</v>
      </c>
      <c r="BW250" s="526">
        <v>0</v>
      </c>
      <c r="BX250" s="526">
        <v>0</v>
      </c>
      <c r="BY250" s="526">
        <v>0</v>
      </c>
      <c r="BZ250" s="526">
        <v>0</v>
      </c>
      <c r="CA250" s="522">
        <v>0</v>
      </c>
      <c r="CB250" s="526">
        <v>94.22</v>
      </c>
      <c r="CC250" s="526">
        <v>96.38</v>
      </c>
      <c r="CD250" s="526">
        <v>12.77</v>
      </c>
      <c r="CE250" s="526">
        <v>97.83</v>
      </c>
      <c r="CF250" s="522">
        <v>10572</v>
      </c>
      <c r="CG250" s="526">
        <v>94.22</v>
      </c>
      <c r="CH250" s="526">
        <v>96.38</v>
      </c>
      <c r="CI250" s="526">
        <v>12.77</v>
      </c>
      <c r="CJ250" s="526">
        <v>97.83</v>
      </c>
      <c r="CK250" s="522">
        <v>10572</v>
      </c>
      <c r="CL250" s="526">
        <v>119.56</v>
      </c>
      <c r="CM250" s="526">
        <v>98.15</v>
      </c>
      <c r="CN250" s="526">
        <v>70.25</v>
      </c>
      <c r="CO250" s="526">
        <v>185.42</v>
      </c>
      <c r="CP250" s="522">
        <v>32</v>
      </c>
      <c r="CQ250" s="526">
        <v>80.12</v>
      </c>
      <c r="CR250" s="526">
        <v>76.23</v>
      </c>
      <c r="CS250" s="526">
        <v>51.73</v>
      </c>
      <c r="CT250" s="526">
        <v>131.85</v>
      </c>
      <c r="CU250" s="522">
        <v>101</v>
      </c>
      <c r="CV250" s="526">
        <v>93.49</v>
      </c>
      <c r="CW250" s="526">
        <v>87.44</v>
      </c>
      <c r="CX250" s="526">
        <v>53.16</v>
      </c>
      <c r="CY250" s="526">
        <v>146.34</v>
      </c>
      <c r="CZ250" s="522">
        <v>520</v>
      </c>
      <c r="DA250" s="526">
        <v>109.86</v>
      </c>
      <c r="DB250" s="526">
        <v>104.14</v>
      </c>
      <c r="DC250" s="526">
        <v>76.209999999999994</v>
      </c>
      <c r="DD250" s="526">
        <v>185.82</v>
      </c>
      <c r="DE250" s="522">
        <v>300</v>
      </c>
      <c r="DF250" s="526">
        <v>123.36</v>
      </c>
      <c r="DG250" s="526">
        <v>114.06</v>
      </c>
      <c r="DH250" s="526">
        <v>42.34</v>
      </c>
      <c r="DI250" s="526">
        <v>154.41999999999999</v>
      </c>
      <c r="DJ250" s="522">
        <v>15</v>
      </c>
      <c r="DK250" s="526">
        <v>0</v>
      </c>
      <c r="DL250" s="526">
        <v>0</v>
      </c>
      <c r="DM250" s="526">
        <v>0</v>
      </c>
      <c r="DN250" s="526">
        <v>0</v>
      </c>
      <c r="DO250" s="522">
        <v>0</v>
      </c>
      <c r="DP250" s="526">
        <v>97.77</v>
      </c>
      <c r="DQ250" s="526">
        <v>92.06</v>
      </c>
      <c r="DR250" s="526">
        <v>60.3</v>
      </c>
      <c r="DS250" s="526">
        <v>157.56</v>
      </c>
      <c r="DT250" s="522">
        <v>936</v>
      </c>
      <c r="DU250" s="526">
        <v>98.49</v>
      </c>
      <c r="DV250" s="526">
        <v>92.21</v>
      </c>
      <c r="DW250" s="526">
        <v>60.61</v>
      </c>
      <c r="DX250" s="526">
        <v>158.47999999999999</v>
      </c>
      <c r="DY250" s="522">
        <v>968</v>
      </c>
      <c r="DZ250" s="526">
        <v>0</v>
      </c>
      <c r="EA250" s="526">
        <v>0</v>
      </c>
      <c r="EB250" s="526">
        <v>0</v>
      </c>
      <c r="EC250" s="522">
        <v>0</v>
      </c>
      <c r="ED250" s="526">
        <v>103.12</v>
      </c>
      <c r="EE250" s="522">
        <v>46</v>
      </c>
      <c r="EF250" s="526">
        <v>112.28</v>
      </c>
      <c r="EG250" s="522">
        <v>1156</v>
      </c>
      <c r="EH250" s="526">
        <v>118.37</v>
      </c>
      <c r="EI250" s="522">
        <v>894</v>
      </c>
      <c r="EJ250" s="526">
        <v>137.05000000000001</v>
      </c>
      <c r="EK250" s="522">
        <v>59</v>
      </c>
      <c r="EL250" s="526">
        <v>143.69999999999999</v>
      </c>
      <c r="EM250" s="522">
        <v>3</v>
      </c>
      <c r="EN250" s="526">
        <v>0</v>
      </c>
      <c r="EO250" s="522">
        <v>0</v>
      </c>
      <c r="EP250" s="526">
        <v>115.33</v>
      </c>
      <c r="EQ250" s="522">
        <v>2158</v>
      </c>
      <c r="ER250" s="526">
        <v>115.33</v>
      </c>
      <c r="ES250" s="522">
        <v>2158</v>
      </c>
      <c r="ET250" s="526">
        <v>0</v>
      </c>
      <c r="EU250" s="526">
        <v>0</v>
      </c>
      <c r="EV250" s="526">
        <v>0</v>
      </c>
      <c r="EW250" s="522">
        <v>0</v>
      </c>
      <c r="EX250" s="526">
        <v>168.59</v>
      </c>
      <c r="EY250" s="522">
        <v>31</v>
      </c>
      <c r="EZ250" s="526">
        <v>213.74</v>
      </c>
      <c r="FA250" s="522">
        <v>27</v>
      </c>
      <c r="FB250" s="526">
        <v>0</v>
      </c>
      <c r="FC250" s="522">
        <v>0</v>
      </c>
      <c r="FD250" s="526">
        <v>0</v>
      </c>
      <c r="FE250" s="522">
        <v>0</v>
      </c>
      <c r="FF250" s="526">
        <v>189.61</v>
      </c>
      <c r="FG250" s="522">
        <v>58</v>
      </c>
      <c r="FH250" s="526">
        <v>189.61</v>
      </c>
      <c r="FI250" s="522">
        <v>58</v>
      </c>
      <c r="FJ250" s="522">
        <v>0</v>
      </c>
      <c r="FK250" s="522">
        <v>32</v>
      </c>
      <c r="FL250" s="522">
        <v>19</v>
      </c>
      <c r="FM250" s="522">
        <v>0</v>
      </c>
      <c r="FN250" s="522">
        <v>13</v>
      </c>
      <c r="FO250" s="522">
        <v>0</v>
      </c>
      <c r="FP250" s="522">
        <v>22</v>
      </c>
      <c r="FQ250" s="522">
        <v>66</v>
      </c>
      <c r="FR250" s="522">
        <v>6</v>
      </c>
    </row>
    <row r="251" spans="1:174" x14ac:dyDescent="0.25">
      <c r="A251" s="523" t="s">
        <v>750</v>
      </c>
      <c r="B251" s="523" t="s">
        <v>751</v>
      </c>
      <c r="C251" s="523" t="s">
        <v>288</v>
      </c>
      <c r="D251" s="522">
        <v>6158</v>
      </c>
      <c r="E251" s="522">
        <v>5549</v>
      </c>
      <c r="F251" s="522">
        <v>6</v>
      </c>
      <c r="G251" s="522">
        <v>6</v>
      </c>
      <c r="H251" s="522">
        <v>833</v>
      </c>
      <c r="I251" s="522">
        <v>158</v>
      </c>
      <c r="J251" s="522">
        <v>1526</v>
      </c>
      <c r="K251" s="522">
        <v>1505</v>
      </c>
      <c r="L251" s="522">
        <v>261</v>
      </c>
      <c r="M251" s="522">
        <v>12</v>
      </c>
      <c r="N251" s="522">
        <v>8784</v>
      </c>
      <c r="O251" s="522">
        <v>7230</v>
      </c>
      <c r="P251" s="522">
        <v>8523</v>
      </c>
      <c r="Q251" s="522">
        <v>49</v>
      </c>
      <c r="R251" s="523">
        <v>11</v>
      </c>
      <c r="S251" s="523">
        <v>19</v>
      </c>
      <c r="T251" s="523">
        <v>1106</v>
      </c>
      <c r="U251" s="523">
        <v>7678</v>
      </c>
      <c r="V251" s="522">
        <v>5536</v>
      </c>
      <c r="W251" s="522">
        <v>45</v>
      </c>
      <c r="X251" s="522">
        <v>50</v>
      </c>
      <c r="Y251" s="522">
        <v>95</v>
      </c>
      <c r="Z251" s="524">
        <v>87.15</v>
      </c>
      <c r="AA251" s="524">
        <v>88.56</v>
      </c>
      <c r="AB251" s="524">
        <v>6.11</v>
      </c>
      <c r="AC251" s="524">
        <v>91.4</v>
      </c>
      <c r="AD251" s="524">
        <v>4826</v>
      </c>
      <c r="AE251" s="525">
        <v>115.23</v>
      </c>
      <c r="AF251" s="525">
        <v>100.51</v>
      </c>
      <c r="AG251" s="525">
        <v>86.34</v>
      </c>
      <c r="AH251" s="525">
        <v>200.8</v>
      </c>
      <c r="AI251" s="525">
        <v>1783</v>
      </c>
      <c r="AJ251" s="525">
        <v>112.1</v>
      </c>
      <c r="AK251" s="525">
        <v>745</v>
      </c>
      <c r="AL251" s="525">
        <v>271.11</v>
      </c>
      <c r="AM251" s="525">
        <v>147</v>
      </c>
      <c r="AN251" s="526">
        <v>0</v>
      </c>
      <c r="AO251" s="526">
        <v>0</v>
      </c>
      <c r="AP251" s="526">
        <v>0</v>
      </c>
      <c r="AQ251" s="526">
        <v>0</v>
      </c>
      <c r="AR251" s="522">
        <v>0</v>
      </c>
      <c r="AS251" s="526">
        <v>68.650000000000006</v>
      </c>
      <c r="AT251" s="526">
        <v>66.59</v>
      </c>
      <c r="AU251" s="526">
        <v>13.56</v>
      </c>
      <c r="AV251" s="526">
        <v>82.21</v>
      </c>
      <c r="AW251" s="522">
        <v>11</v>
      </c>
      <c r="AX251" s="526">
        <v>78.459999999999994</v>
      </c>
      <c r="AY251" s="526">
        <v>79.040000000000006</v>
      </c>
      <c r="AZ251" s="526">
        <v>9.89</v>
      </c>
      <c r="BA251" s="526">
        <v>88.08</v>
      </c>
      <c r="BB251" s="522">
        <v>1290</v>
      </c>
      <c r="BC251" s="526">
        <v>85.52</v>
      </c>
      <c r="BD251" s="526">
        <v>86.9</v>
      </c>
      <c r="BE251" s="526">
        <v>4.5199999999999996</v>
      </c>
      <c r="BF251" s="526">
        <v>88.39</v>
      </c>
      <c r="BG251" s="522">
        <v>2380</v>
      </c>
      <c r="BH251" s="526">
        <v>99.21</v>
      </c>
      <c r="BI251" s="526">
        <v>101.62</v>
      </c>
      <c r="BJ251" s="526">
        <v>1.79</v>
      </c>
      <c r="BK251" s="526">
        <v>100.13</v>
      </c>
      <c r="BL251" s="522">
        <v>1058</v>
      </c>
      <c r="BM251" s="526">
        <v>115.53</v>
      </c>
      <c r="BN251" s="526">
        <v>118.25</v>
      </c>
      <c r="BO251" s="526">
        <v>4.0999999999999996</v>
      </c>
      <c r="BP251" s="526">
        <v>117.14</v>
      </c>
      <c r="BQ251" s="522">
        <v>84</v>
      </c>
      <c r="BR251" s="526">
        <v>0</v>
      </c>
      <c r="BS251" s="526">
        <v>0</v>
      </c>
      <c r="BT251" s="526">
        <v>0</v>
      </c>
      <c r="BU251" s="526">
        <v>0</v>
      </c>
      <c r="BV251" s="522">
        <v>0</v>
      </c>
      <c r="BW251" s="526">
        <v>141.1</v>
      </c>
      <c r="BX251" s="526">
        <v>143.97999999999999</v>
      </c>
      <c r="BY251" s="526">
        <v>5.18</v>
      </c>
      <c r="BZ251" s="526">
        <v>144.55000000000001</v>
      </c>
      <c r="CA251" s="522">
        <v>3</v>
      </c>
      <c r="CB251" s="526">
        <v>87.15</v>
      </c>
      <c r="CC251" s="526">
        <v>88.56</v>
      </c>
      <c r="CD251" s="526">
        <v>6.11</v>
      </c>
      <c r="CE251" s="526">
        <v>91.4</v>
      </c>
      <c r="CF251" s="522">
        <v>4826</v>
      </c>
      <c r="CG251" s="526">
        <v>87.15</v>
      </c>
      <c r="CH251" s="526">
        <v>88.56</v>
      </c>
      <c r="CI251" s="526">
        <v>6.11</v>
      </c>
      <c r="CJ251" s="526">
        <v>91.4</v>
      </c>
      <c r="CK251" s="522">
        <v>4826</v>
      </c>
      <c r="CL251" s="526">
        <v>93.62</v>
      </c>
      <c r="CM251" s="526">
        <v>78</v>
      </c>
      <c r="CN251" s="526">
        <v>244.59</v>
      </c>
      <c r="CO251" s="526">
        <v>331.73</v>
      </c>
      <c r="CP251" s="522">
        <v>151</v>
      </c>
      <c r="CQ251" s="526">
        <v>84.87</v>
      </c>
      <c r="CR251" s="526">
        <v>71.8</v>
      </c>
      <c r="CS251" s="526">
        <v>131.36000000000001</v>
      </c>
      <c r="CT251" s="526">
        <v>216.24</v>
      </c>
      <c r="CU251" s="522">
        <v>40</v>
      </c>
      <c r="CV251" s="526">
        <v>119.66</v>
      </c>
      <c r="CW251" s="526">
        <v>104.86</v>
      </c>
      <c r="CX251" s="526">
        <v>79.569999999999993</v>
      </c>
      <c r="CY251" s="526">
        <v>198.59</v>
      </c>
      <c r="CZ251" s="522">
        <v>988</v>
      </c>
      <c r="DA251" s="526">
        <v>115.2</v>
      </c>
      <c r="DB251" s="526">
        <v>102.21</v>
      </c>
      <c r="DC251" s="526">
        <v>53.59</v>
      </c>
      <c r="DD251" s="526">
        <v>168.43</v>
      </c>
      <c r="DE251" s="522">
        <v>596</v>
      </c>
      <c r="DF251" s="526">
        <v>130.84</v>
      </c>
      <c r="DG251" s="526">
        <v>130</v>
      </c>
      <c r="DH251" s="526">
        <v>206.67</v>
      </c>
      <c r="DI251" s="526">
        <v>337.5</v>
      </c>
      <c r="DJ251" s="522">
        <v>8</v>
      </c>
      <c r="DK251" s="526">
        <v>0</v>
      </c>
      <c r="DL251" s="526">
        <v>0</v>
      </c>
      <c r="DM251" s="526">
        <v>0</v>
      </c>
      <c r="DN251" s="526">
        <v>0</v>
      </c>
      <c r="DO251" s="522">
        <v>0</v>
      </c>
      <c r="DP251" s="526">
        <v>117.23</v>
      </c>
      <c r="DQ251" s="526">
        <v>103.16</v>
      </c>
      <c r="DR251" s="526">
        <v>71.98</v>
      </c>
      <c r="DS251" s="526">
        <v>188.69</v>
      </c>
      <c r="DT251" s="522">
        <v>1632</v>
      </c>
      <c r="DU251" s="526">
        <v>115.23</v>
      </c>
      <c r="DV251" s="526">
        <v>100.51</v>
      </c>
      <c r="DW251" s="526">
        <v>86.34</v>
      </c>
      <c r="DX251" s="526">
        <v>200.8</v>
      </c>
      <c r="DY251" s="522">
        <v>1783</v>
      </c>
      <c r="DZ251" s="526">
        <v>0</v>
      </c>
      <c r="EA251" s="526">
        <v>0</v>
      </c>
      <c r="EB251" s="526">
        <v>0</v>
      </c>
      <c r="EC251" s="522">
        <v>0</v>
      </c>
      <c r="ED251" s="526">
        <v>94.27</v>
      </c>
      <c r="EE251" s="522">
        <v>77</v>
      </c>
      <c r="EF251" s="526">
        <v>105.7</v>
      </c>
      <c r="EG251" s="522">
        <v>360</v>
      </c>
      <c r="EH251" s="526">
        <v>122.04</v>
      </c>
      <c r="EI251" s="522">
        <v>281</v>
      </c>
      <c r="EJ251" s="526">
        <v>143.91999999999999</v>
      </c>
      <c r="EK251" s="522">
        <v>25</v>
      </c>
      <c r="EL251" s="526">
        <v>156.75</v>
      </c>
      <c r="EM251" s="522">
        <v>2</v>
      </c>
      <c r="EN251" s="526">
        <v>0</v>
      </c>
      <c r="EO251" s="522">
        <v>0</v>
      </c>
      <c r="EP251" s="526">
        <v>112.1</v>
      </c>
      <c r="EQ251" s="522">
        <v>745</v>
      </c>
      <c r="ER251" s="526">
        <v>112.1</v>
      </c>
      <c r="ES251" s="522">
        <v>745</v>
      </c>
      <c r="ET251" s="526">
        <v>0</v>
      </c>
      <c r="EU251" s="526">
        <v>0</v>
      </c>
      <c r="EV251" s="526">
        <v>0</v>
      </c>
      <c r="EW251" s="522">
        <v>0</v>
      </c>
      <c r="EX251" s="526">
        <v>286.23</v>
      </c>
      <c r="EY251" s="522">
        <v>74</v>
      </c>
      <c r="EZ251" s="526">
        <v>255.78</v>
      </c>
      <c r="FA251" s="522">
        <v>73</v>
      </c>
      <c r="FB251" s="526">
        <v>0</v>
      </c>
      <c r="FC251" s="522">
        <v>0</v>
      </c>
      <c r="FD251" s="526">
        <v>0</v>
      </c>
      <c r="FE251" s="522">
        <v>0</v>
      </c>
      <c r="FF251" s="526">
        <v>271.11</v>
      </c>
      <c r="FG251" s="522">
        <v>147</v>
      </c>
      <c r="FH251" s="526">
        <v>271.11</v>
      </c>
      <c r="FI251" s="522">
        <v>147</v>
      </c>
      <c r="FJ251" s="522">
        <v>0</v>
      </c>
      <c r="FK251" s="522">
        <v>4</v>
      </c>
      <c r="FL251" s="522">
        <v>1</v>
      </c>
      <c r="FM251" s="522">
        <v>0</v>
      </c>
      <c r="FN251" s="522">
        <v>2</v>
      </c>
      <c r="FO251" s="522">
        <v>1</v>
      </c>
      <c r="FP251" s="522">
        <v>14</v>
      </c>
      <c r="FQ251" s="522">
        <v>12</v>
      </c>
      <c r="FR251" s="522">
        <v>2</v>
      </c>
    </row>
    <row r="252" spans="1:174" x14ac:dyDescent="0.25">
      <c r="A252" s="523" t="s">
        <v>752</v>
      </c>
      <c r="B252" s="523" t="s">
        <v>753</v>
      </c>
      <c r="C252" s="523" t="s">
        <v>288</v>
      </c>
      <c r="D252" s="522">
        <v>7978</v>
      </c>
      <c r="E252" s="522">
        <v>7545</v>
      </c>
      <c r="F252" s="522">
        <v>2</v>
      </c>
      <c r="G252" s="522">
        <v>2</v>
      </c>
      <c r="H252" s="522">
        <v>100</v>
      </c>
      <c r="I252" s="522">
        <v>41</v>
      </c>
      <c r="J252" s="522">
        <v>843</v>
      </c>
      <c r="K252" s="522">
        <v>797</v>
      </c>
      <c r="L252" s="522">
        <v>1317</v>
      </c>
      <c r="M252" s="522">
        <v>523</v>
      </c>
      <c r="N252" s="522">
        <v>10240</v>
      </c>
      <c r="O252" s="522">
        <v>8908</v>
      </c>
      <c r="P252" s="522">
        <v>8923</v>
      </c>
      <c r="Q252" s="522">
        <v>21</v>
      </c>
      <c r="R252" s="523">
        <v>8</v>
      </c>
      <c r="S252" s="523">
        <v>23</v>
      </c>
      <c r="T252" s="523">
        <v>511</v>
      </c>
      <c r="U252" s="523">
        <v>9729</v>
      </c>
      <c r="V252" s="522">
        <v>7555</v>
      </c>
      <c r="W252" s="522">
        <v>29</v>
      </c>
      <c r="X252" s="522">
        <v>64</v>
      </c>
      <c r="Y252" s="522">
        <v>93</v>
      </c>
      <c r="Z252" s="524">
        <v>122.66</v>
      </c>
      <c r="AA252" s="524">
        <v>123.52</v>
      </c>
      <c r="AB252" s="524">
        <v>4.66</v>
      </c>
      <c r="AC252" s="524">
        <v>125.33</v>
      </c>
      <c r="AD252" s="524">
        <v>7100</v>
      </c>
      <c r="AE252" s="525">
        <v>118.22</v>
      </c>
      <c r="AF252" s="525">
        <v>111.56</v>
      </c>
      <c r="AG252" s="525">
        <v>55.66</v>
      </c>
      <c r="AH252" s="525">
        <v>173.37</v>
      </c>
      <c r="AI252" s="525">
        <v>764</v>
      </c>
      <c r="AJ252" s="525">
        <v>165.61</v>
      </c>
      <c r="AK252" s="525">
        <v>528</v>
      </c>
      <c r="AL252" s="525">
        <v>196.07</v>
      </c>
      <c r="AM252" s="525">
        <v>91</v>
      </c>
      <c r="AN252" s="526">
        <v>0</v>
      </c>
      <c r="AO252" s="526">
        <v>0</v>
      </c>
      <c r="AP252" s="526">
        <v>0</v>
      </c>
      <c r="AQ252" s="526">
        <v>0</v>
      </c>
      <c r="AR252" s="522">
        <v>0</v>
      </c>
      <c r="AS252" s="526">
        <v>94.87</v>
      </c>
      <c r="AT252" s="526">
        <v>90.35</v>
      </c>
      <c r="AU252" s="526">
        <v>11.1</v>
      </c>
      <c r="AV252" s="526">
        <v>105.97</v>
      </c>
      <c r="AW252" s="522">
        <v>1</v>
      </c>
      <c r="AX252" s="526">
        <v>102.24</v>
      </c>
      <c r="AY252" s="526">
        <v>102.21</v>
      </c>
      <c r="AZ252" s="526">
        <v>7.52</v>
      </c>
      <c r="BA252" s="526">
        <v>108.26</v>
      </c>
      <c r="BB252" s="522">
        <v>1050</v>
      </c>
      <c r="BC252" s="526">
        <v>118.61</v>
      </c>
      <c r="BD252" s="526">
        <v>118.55</v>
      </c>
      <c r="BE252" s="526">
        <v>4.72</v>
      </c>
      <c r="BF252" s="526">
        <v>121.48</v>
      </c>
      <c r="BG252" s="522">
        <v>3221</v>
      </c>
      <c r="BH252" s="526">
        <v>130.85</v>
      </c>
      <c r="BI252" s="526">
        <v>133.05000000000001</v>
      </c>
      <c r="BJ252" s="526">
        <v>2.48</v>
      </c>
      <c r="BK252" s="526">
        <v>131.86000000000001</v>
      </c>
      <c r="BL252" s="522">
        <v>2467</v>
      </c>
      <c r="BM252" s="526">
        <v>162.30000000000001</v>
      </c>
      <c r="BN252" s="526">
        <v>164.64</v>
      </c>
      <c r="BO252" s="526">
        <v>3.43</v>
      </c>
      <c r="BP252" s="526">
        <v>164.83</v>
      </c>
      <c r="BQ252" s="522">
        <v>356</v>
      </c>
      <c r="BR252" s="526">
        <v>165.68</v>
      </c>
      <c r="BS252" s="526">
        <v>170.42</v>
      </c>
      <c r="BT252" s="526">
        <v>0.73</v>
      </c>
      <c r="BU252" s="526">
        <v>165.83</v>
      </c>
      <c r="BV252" s="522">
        <v>5</v>
      </c>
      <c r="BW252" s="526">
        <v>0</v>
      </c>
      <c r="BX252" s="526">
        <v>0</v>
      </c>
      <c r="BY252" s="526">
        <v>0</v>
      </c>
      <c r="BZ252" s="526">
        <v>0</v>
      </c>
      <c r="CA252" s="522">
        <v>0</v>
      </c>
      <c r="CB252" s="526">
        <v>122.66</v>
      </c>
      <c r="CC252" s="526">
        <v>123.52</v>
      </c>
      <c r="CD252" s="526">
        <v>4.66</v>
      </c>
      <c r="CE252" s="526">
        <v>125.33</v>
      </c>
      <c r="CF252" s="522">
        <v>7100</v>
      </c>
      <c r="CG252" s="526">
        <v>122.66</v>
      </c>
      <c r="CH252" s="526">
        <v>123.52</v>
      </c>
      <c r="CI252" s="526">
        <v>4.66</v>
      </c>
      <c r="CJ252" s="526">
        <v>125.33</v>
      </c>
      <c r="CK252" s="522">
        <v>7100</v>
      </c>
      <c r="CL252" s="526">
        <v>183.2</v>
      </c>
      <c r="CM252" s="526">
        <v>92.2</v>
      </c>
      <c r="CN252" s="526">
        <v>82.26</v>
      </c>
      <c r="CO252" s="526">
        <v>261.54000000000002</v>
      </c>
      <c r="CP252" s="522">
        <v>21</v>
      </c>
      <c r="CQ252" s="526">
        <v>90.03</v>
      </c>
      <c r="CR252" s="526">
        <v>87.27</v>
      </c>
      <c r="CS252" s="526">
        <v>35.89</v>
      </c>
      <c r="CT252" s="526">
        <v>125.92</v>
      </c>
      <c r="CU252" s="522">
        <v>13</v>
      </c>
      <c r="CV252" s="526">
        <v>107.39</v>
      </c>
      <c r="CW252" s="526">
        <v>103.21</v>
      </c>
      <c r="CX252" s="526">
        <v>57.31</v>
      </c>
      <c r="CY252" s="526">
        <v>164.58</v>
      </c>
      <c r="CZ252" s="522">
        <v>517</v>
      </c>
      <c r="DA252" s="526">
        <v>140.65</v>
      </c>
      <c r="DB252" s="526">
        <v>134.5</v>
      </c>
      <c r="DC252" s="526">
        <v>50.98</v>
      </c>
      <c r="DD252" s="526">
        <v>191.63</v>
      </c>
      <c r="DE252" s="522">
        <v>203</v>
      </c>
      <c r="DF252" s="526">
        <v>122.95</v>
      </c>
      <c r="DG252" s="526">
        <v>125.39</v>
      </c>
      <c r="DH252" s="526">
        <v>21.24</v>
      </c>
      <c r="DI252" s="526">
        <v>133.57</v>
      </c>
      <c r="DJ252" s="522">
        <v>10</v>
      </c>
      <c r="DK252" s="526">
        <v>0</v>
      </c>
      <c r="DL252" s="526">
        <v>0</v>
      </c>
      <c r="DM252" s="526">
        <v>0</v>
      </c>
      <c r="DN252" s="526">
        <v>0</v>
      </c>
      <c r="DO252" s="522">
        <v>0</v>
      </c>
      <c r="DP252" s="526">
        <v>116.38</v>
      </c>
      <c r="DQ252" s="526">
        <v>111.85</v>
      </c>
      <c r="DR252" s="526">
        <v>54.94</v>
      </c>
      <c r="DS252" s="526">
        <v>170.88</v>
      </c>
      <c r="DT252" s="522">
        <v>743</v>
      </c>
      <c r="DU252" s="526">
        <v>118.22</v>
      </c>
      <c r="DV252" s="526">
        <v>111.56</v>
      </c>
      <c r="DW252" s="526">
        <v>55.66</v>
      </c>
      <c r="DX252" s="526">
        <v>173.37</v>
      </c>
      <c r="DY252" s="522">
        <v>764</v>
      </c>
      <c r="DZ252" s="526">
        <v>79.22</v>
      </c>
      <c r="EA252" s="526">
        <v>2</v>
      </c>
      <c r="EB252" s="526">
        <v>0</v>
      </c>
      <c r="EC252" s="522">
        <v>0</v>
      </c>
      <c r="ED252" s="526">
        <v>133.13</v>
      </c>
      <c r="EE252" s="522">
        <v>56</v>
      </c>
      <c r="EF252" s="526">
        <v>161.01</v>
      </c>
      <c r="EG252" s="522">
        <v>316</v>
      </c>
      <c r="EH252" s="526">
        <v>183.95</v>
      </c>
      <c r="EI252" s="522">
        <v>138</v>
      </c>
      <c r="EJ252" s="526">
        <v>222.78</v>
      </c>
      <c r="EK252" s="522">
        <v>16</v>
      </c>
      <c r="EL252" s="526">
        <v>0</v>
      </c>
      <c r="EM252" s="522">
        <v>0</v>
      </c>
      <c r="EN252" s="526">
        <v>0</v>
      </c>
      <c r="EO252" s="522">
        <v>0</v>
      </c>
      <c r="EP252" s="526">
        <v>165.94</v>
      </c>
      <c r="EQ252" s="522">
        <v>526</v>
      </c>
      <c r="ER252" s="526">
        <v>165.61</v>
      </c>
      <c r="ES252" s="522">
        <v>528</v>
      </c>
      <c r="ET252" s="526">
        <v>0</v>
      </c>
      <c r="EU252" s="526">
        <v>0</v>
      </c>
      <c r="EV252" s="526">
        <v>0</v>
      </c>
      <c r="EW252" s="522">
        <v>0</v>
      </c>
      <c r="EX252" s="526">
        <v>186.82</v>
      </c>
      <c r="EY252" s="522">
        <v>38</v>
      </c>
      <c r="EZ252" s="526">
        <v>202.71</v>
      </c>
      <c r="FA252" s="522">
        <v>53</v>
      </c>
      <c r="FB252" s="526">
        <v>0</v>
      </c>
      <c r="FC252" s="522">
        <v>0</v>
      </c>
      <c r="FD252" s="526">
        <v>0</v>
      </c>
      <c r="FE252" s="522">
        <v>0</v>
      </c>
      <c r="FF252" s="526">
        <v>196.07</v>
      </c>
      <c r="FG252" s="522">
        <v>91</v>
      </c>
      <c r="FH252" s="526">
        <v>196.07</v>
      </c>
      <c r="FI252" s="522">
        <v>91</v>
      </c>
      <c r="FJ252" s="522">
        <v>20</v>
      </c>
      <c r="FK252" s="522">
        <v>2</v>
      </c>
      <c r="FL252" s="522">
        <v>2</v>
      </c>
      <c r="FM252" s="522">
        <v>0</v>
      </c>
      <c r="FN252" s="522">
        <v>0</v>
      </c>
      <c r="FO252" s="522">
        <v>0</v>
      </c>
      <c r="FP252" s="522">
        <v>16</v>
      </c>
      <c r="FQ252" s="522">
        <v>133</v>
      </c>
      <c r="FR252" s="522">
        <v>22</v>
      </c>
    </row>
    <row r="253" spans="1:174" x14ac:dyDescent="0.25">
      <c r="A253" s="523" t="s">
        <v>754</v>
      </c>
      <c r="B253" s="523" t="s">
        <v>755</v>
      </c>
      <c r="C253" s="523" t="s">
        <v>287</v>
      </c>
      <c r="D253" s="522">
        <v>1907</v>
      </c>
      <c r="E253" s="522">
        <v>1862</v>
      </c>
      <c r="F253" s="522">
        <v>4</v>
      </c>
      <c r="G253" s="522">
        <v>4</v>
      </c>
      <c r="H253" s="522">
        <v>159</v>
      </c>
      <c r="I253" s="522">
        <v>51</v>
      </c>
      <c r="J253" s="522">
        <v>140</v>
      </c>
      <c r="K253" s="522">
        <v>140</v>
      </c>
      <c r="L253" s="522">
        <v>906</v>
      </c>
      <c r="M253" s="522">
        <v>24</v>
      </c>
      <c r="N253" s="522">
        <v>3116</v>
      </c>
      <c r="O253" s="522">
        <v>2081</v>
      </c>
      <c r="P253" s="522">
        <v>2210</v>
      </c>
      <c r="Q253" s="522">
        <v>1</v>
      </c>
      <c r="R253" s="523">
        <v>13</v>
      </c>
      <c r="S253" s="523">
        <v>30</v>
      </c>
      <c r="T253" s="523">
        <v>114</v>
      </c>
      <c r="U253" s="523">
        <v>3002</v>
      </c>
      <c r="V253" s="522">
        <v>1862</v>
      </c>
      <c r="W253" s="522">
        <v>41</v>
      </c>
      <c r="X253" s="522">
        <v>9</v>
      </c>
      <c r="Y253" s="522">
        <v>50</v>
      </c>
      <c r="Z253" s="524">
        <v>113.68</v>
      </c>
      <c r="AA253" s="524">
        <v>114.23</v>
      </c>
      <c r="AB253" s="524">
        <v>7.74</v>
      </c>
      <c r="AC253" s="524">
        <v>119.98</v>
      </c>
      <c r="AD253" s="524">
        <v>1113</v>
      </c>
      <c r="AE253" s="525">
        <v>111.88</v>
      </c>
      <c r="AF253" s="525">
        <v>94.92</v>
      </c>
      <c r="AG253" s="525">
        <v>68.45</v>
      </c>
      <c r="AH253" s="525">
        <v>179.14</v>
      </c>
      <c r="AI253" s="525">
        <v>230</v>
      </c>
      <c r="AJ253" s="525">
        <v>143.81</v>
      </c>
      <c r="AK253" s="525">
        <v>723</v>
      </c>
      <c r="AL253" s="525">
        <v>0</v>
      </c>
      <c r="AM253" s="525">
        <v>0</v>
      </c>
      <c r="AN253" s="526">
        <v>79.12</v>
      </c>
      <c r="AO253" s="526">
        <v>77.5</v>
      </c>
      <c r="AP253" s="526">
        <v>37.61</v>
      </c>
      <c r="AQ253" s="526">
        <v>116.73</v>
      </c>
      <c r="AR253" s="522">
        <v>4</v>
      </c>
      <c r="AS253" s="526">
        <v>0</v>
      </c>
      <c r="AT253" s="526">
        <v>0</v>
      </c>
      <c r="AU253" s="526">
        <v>0</v>
      </c>
      <c r="AV253" s="526">
        <v>0</v>
      </c>
      <c r="AW253" s="522">
        <v>0</v>
      </c>
      <c r="AX253" s="526">
        <v>93.46</v>
      </c>
      <c r="AY253" s="526">
        <v>93.29</v>
      </c>
      <c r="AZ253" s="526">
        <v>10.67</v>
      </c>
      <c r="BA253" s="526">
        <v>103.13</v>
      </c>
      <c r="BB253" s="522">
        <v>139</v>
      </c>
      <c r="BC253" s="526">
        <v>109.47</v>
      </c>
      <c r="BD253" s="526">
        <v>109.88</v>
      </c>
      <c r="BE253" s="526">
        <v>8.9499999999999993</v>
      </c>
      <c r="BF253" s="526">
        <v>117.17</v>
      </c>
      <c r="BG253" s="522">
        <v>596</v>
      </c>
      <c r="BH253" s="526">
        <v>125.24</v>
      </c>
      <c r="BI253" s="526">
        <v>126.36</v>
      </c>
      <c r="BJ253" s="526">
        <v>3.11</v>
      </c>
      <c r="BK253" s="526">
        <v>127.43</v>
      </c>
      <c r="BL253" s="522">
        <v>312</v>
      </c>
      <c r="BM253" s="526">
        <v>143.24</v>
      </c>
      <c r="BN253" s="526">
        <v>143.79</v>
      </c>
      <c r="BO253" s="526">
        <v>5.75</v>
      </c>
      <c r="BP253" s="526">
        <v>147.43</v>
      </c>
      <c r="BQ253" s="522">
        <v>59</v>
      </c>
      <c r="BR253" s="526">
        <v>148.83000000000001</v>
      </c>
      <c r="BS253" s="526">
        <v>154.86000000000001</v>
      </c>
      <c r="BT253" s="526">
        <v>1.54</v>
      </c>
      <c r="BU253" s="526">
        <v>149.34</v>
      </c>
      <c r="BV253" s="522">
        <v>3</v>
      </c>
      <c r="BW253" s="526">
        <v>0</v>
      </c>
      <c r="BX253" s="526">
        <v>0</v>
      </c>
      <c r="BY253" s="526">
        <v>0</v>
      </c>
      <c r="BZ253" s="526">
        <v>0</v>
      </c>
      <c r="CA253" s="522">
        <v>0</v>
      </c>
      <c r="CB253" s="526">
        <v>113.8</v>
      </c>
      <c r="CC253" s="526">
        <v>114.36</v>
      </c>
      <c r="CD253" s="526">
        <v>7.61</v>
      </c>
      <c r="CE253" s="526">
        <v>120</v>
      </c>
      <c r="CF253" s="522">
        <v>1109</v>
      </c>
      <c r="CG253" s="526">
        <v>113.68</v>
      </c>
      <c r="CH253" s="526">
        <v>114.23</v>
      </c>
      <c r="CI253" s="526">
        <v>7.74</v>
      </c>
      <c r="CJ253" s="526">
        <v>119.98</v>
      </c>
      <c r="CK253" s="522">
        <v>1113</v>
      </c>
      <c r="CL253" s="526">
        <v>114.95</v>
      </c>
      <c r="CM253" s="526">
        <v>80.31</v>
      </c>
      <c r="CN253" s="526">
        <v>152.78</v>
      </c>
      <c r="CO253" s="526">
        <v>255.74</v>
      </c>
      <c r="CP253" s="522">
        <v>51</v>
      </c>
      <c r="CQ253" s="526">
        <v>0</v>
      </c>
      <c r="CR253" s="526">
        <v>0</v>
      </c>
      <c r="CS253" s="526">
        <v>0</v>
      </c>
      <c r="CT253" s="526">
        <v>0</v>
      </c>
      <c r="CU253" s="522">
        <v>0</v>
      </c>
      <c r="CV253" s="526">
        <v>111.16</v>
      </c>
      <c r="CW253" s="526">
        <v>96.93</v>
      </c>
      <c r="CX253" s="526">
        <v>34.72</v>
      </c>
      <c r="CY253" s="526">
        <v>145.88999999999999</v>
      </c>
      <c r="CZ253" s="522">
        <v>156</v>
      </c>
      <c r="DA253" s="526">
        <v>107.07</v>
      </c>
      <c r="DB253" s="526">
        <v>102.4</v>
      </c>
      <c r="DC253" s="526">
        <v>123.86</v>
      </c>
      <c r="DD253" s="526">
        <v>230.93</v>
      </c>
      <c r="DE253" s="522">
        <v>21</v>
      </c>
      <c r="DF253" s="526">
        <v>140.37</v>
      </c>
      <c r="DG253" s="526">
        <v>136.83000000000001</v>
      </c>
      <c r="DH253" s="526">
        <v>135.25</v>
      </c>
      <c r="DI253" s="526">
        <v>275.62</v>
      </c>
      <c r="DJ253" s="522">
        <v>2</v>
      </c>
      <c r="DK253" s="526">
        <v>0</v>
      </c>
      <c r="DL253" s="526">
        <v>0</v>
      </c>
      <c r="DM253" s="526">
        <v>0</v>
      </c>
      <c r="DN253" s="526">
        <v>0</v>
      </c>
      <c r="DO253" s="522">
        <v>0</v>
      </c>
      <c r="DP253" s="526">
        <v>111.01</v>
      </c>
      <c r="DQ253" s="526">
        <v>98.06</v>
      </c>
      <c r="DR253" s="526">
        <v>46.3</v>
      </c>
      <c r="DS253" s="526">
        <v>157.31</v>
      </c>
      <c r="DT253" s="522">
        <v>179</v>
      </c>
      <c r="DU253" s="526">
        <v>111.88</v>
      </c>
      <c r="DV253" s="526">
        <v>94.92</v>
      </c>
      <c r="DW253" s="526">
        <v>68.45</v>
      </c>
      <c r="DX253" s="526">
        <v>179.14</v>
      </c>
      <c r="DY253" s="522">
        <v>230</v>
      </c>
      <c r="DZ253" s="526">
        <v>0</v>
      </c>
      <c r="EA253" s="526">
        <v>0</v>
      </c>
      <c r="EB253" s="526">
        <v>0</v>
      </c>
      <c r="EC253" s="522">
        <v>0</v>
      </c>
      <c r="ED253" s="526">
        <v>108.43</v>
      </c>
      <c r="EE253" s="522">
        <v>189</v>
      </c>
      <c r="EF253" s="526">
        <v>141.85</v>
      </c>
      <c r="EG253" s="522">
        <v>340</v>
      </c>
      <c r="EH253" s="526">
        <v>172.03</v>
      </c>
      <c r="EI253" s="522">
        <v>142</v>
      </c>
      <c r="EJ253" s="526">
        <v>208.18</v>
      </c>
      <c r="EK253" s="522">
        <v>52</v>
      </c>
      <c r="EL253" s="526">
        <v>0</v>
      </c>
      <c r="EM253" s="522">
        <v>0</v>
      </c>
      <c r="EN253" s="526">
        <v>0</v>
      </c>
      <c r="EO253" s="522">
        <v>0</v>
      </c>
      <c r="EP253" s="526">
        <v>143.81</v>
      </c>
      <c r="EQ253" s="522">
        <v>723</v>
      </c>
      <c r="ER253" s="526">
        <v>143.81</v>
      </c>
      <c r="ES253" s="522">
        <v>723</v>
      </c>
      <c r="ET253" s="526">
        <v>0</v>
      </c>
      <c r="EU253" s="526">
        <v>0</v>
      </c>
      <c r="EV253" s="526">
        <v>0</v>
      </c>
      <c r="EW253" s="522">
        <v>0</v>
      </c>
      <c r="EX253" s="526">
        <v>0</v>
      </c>
      <c r="EY253" s="522">
        <v>0</v>
      </c>
      <c r="EZ253" s="526">
        <v>0</v>
      </c>
      <c r="FA253" s="522">
        <v>0</v>
      </c>
      <c r="FB253" s="526">
        <v>0</v>
      </c>
      <c r="FC253" s="522">
        <v>0</v>
      </c>
      <c r="FD253" s="526">
        <v>0</v>
      </c>
      <c r="FE253" s="522">
        <v>0</v>
      </c>
      <c r="FF253" s="526">
        <v>0</v>
      </c>
      <c r="FG253" s="522">
        <v>0</v>
      </c>
      <c r="FH253" s="526">
        <v>0</v>
      </c>
      <c r="FI253" s="522">
        <v>0</v>
      </c>
      <c r="FJ253" s="522">
        <v>0</v>
      </c>
      <c r="FK253" s="522">
        <v>0</v>
      </c>
      <c r="FL253" s="522">
        <v>0</v>
      </c>
      <c r="FM253" s="522">
        <v>0</v>
      </c>
      <c r="FN253" s="522">
        <v>0</v>
      </c>
      <c r="FO253" s="522">
        <v>0</v>
      </c>
      <c r="FP253" s="522">
        <v>3</v>
      </c>
      <c r="FQ253" s="522">
        <v>93</v>
      </c>
      <c r="FR253" s="522">
        <v>7</v>
      </c>
    </row>
    <row r="254" spans="1:174" x14ac:dyDescent="0.25">
      <c r="A254" s="523" t="s">
        <v>756</v>
      </c>
      <c r="B254" s="523" t="s">
        <v>757</v>
      </c>
      <c r="C254" s="523" t="s">
        <v>285</v>
      </c>
      <c r="D254" s="522">
        <v>31796</v>
      </c>
      <c r="E254" s="522">
        <v>31458</v>
      </c>
      <c r="F254" s="522">
        <v>0</v>
      </c>
      <c r="G254" s="522">
        <v>0</v>
      </c>
      <c r="H254" s="522">
        <v>845</v>
      </c>
      <c r="I254" s="522">
        <v>434</v>
      </c>
      <c r="J254" s="522">
        <v>2063</v>
      </c>
      <c r="K254" s="522">
        <v>1980</v>
      </c>
      <c r="L254" s="522">
        <v>486</v>
      </c>
      <c r="M254" s="522">
        <v>0</v>
      </c>
      <c r="N254" s="522">
        <v>35190</v>
      </c>
      <c r="O254" s="522">
        <v>33872</v>
      </c>
      <c r="P254" s="522">
        <v>34704</v>
      </c>
      <c r="Q254" s="522">
        <v>35</v>
      </c>
      <c r="R254" s="523">
        <v>11</v>
      </c>
      <c r="S254" s="523">
        <v>24</v>
      </c>
      <c r="T254" s="523">
        <v>481</v>
      </c>
      <c r="U254" s="523">
        <v>34709</v>
      </c>
      <c r="V254" s="522">
        <v>31491</v>
      </c>
      <c r="W254" s="522">
        <v>164</v>
      </c>
      <c r="X254" s="522">
        <v>232</v>
      </c>
      <c r="Y254" s="522">
        <v>396</v>
      </c>
      <c r="Z254" s="524">
        <v>90.77</v>
      </c>
      <c r="AA254" s="524">
        <v>93.66</v>
      </c>
      <c r="AB254" s="524">
        <v>10.83</v>
      </c>
      <c r="AC254" s="524">
        <v>93.02</v>
      </c>
      <c r="AD254" s="524">
        <v>28694</v>
      </c>
      <c r="AE254" s="525">
        <v>106.74</v>
      </c>
      <c r="AF254" s="525">
        <v>93.64</v>
      </c>
      <c r="AG254" s="525">
        <v>59.73</v>
      </c>
      <c r="AH254" s="525">
        <v>165.33</v>
      </c>
      <c r="AI254" s="525">
        <v>2513</v>
      </c>
      <c r="AJ254" s="525">
        <v>114.91</v>
      </c>
      <c r="AK254" s="525">
        <v>2556</v>
      </c>
      <c r="AL254" s="525">
        <v>253.78</v>
      </c>
      <c r="AM254" s="525">
        <v>219</v>
      </c>
      <c r="AN254" s="526">
        <v>0</v>
      </c>
      <c r="AO254" s="526">
        <v>0</v>
      </c>
      <c r="AP254" s="526">
        <v>0</v>
      </c>
      <c r="AQ254" s="526">
        <v>0</v>
      </c>
      <c r="AR254" s="522">
        <v>0</v>
      </c>
      <c r="AS254" s="526">
        <v>71.84</v>
      </c>
      <c r="AT254" s="526">
        <v>70.95</v>
      </c>
      <c r="AU254" s="526">
        <v>14.43</v>
      </c>
      <c r="AV254" s="526">
        <v>86.27</v>
      </c>
      <c r="AW254" s="522">
        <v>10</v>
      </c>
      <c r="AX254" s="526">
        <v>79.180000000000007</v>
      </c>
      <c r="AY254" s="526">
        <v>81.81</v>
      </c>
      <c r="AZ254" s="526">
        <v>11.77</v>
      </c>
      <c r="BA254" s="526">
        <v>83.73</v>
      </c>
      <c r="BB254" s="522">
        <v>6347</v>
      </c>
      <c r="BC254" s="526">
        <v>89.43</v>
      </c>
      <c r="BD254" s="526">
        <v>92.13</v>
      </c>
      <c r="BE254" s="526">
        <v>11.19</v>
      </c>
      <c r="BF254" s="526">
        <v>92.05</v>
      </c>
      <c r="BG254" s="522">
        <v>11973</v>
      </c>
      <c r="BH254" s="526">
        <v>98.52</v>
      </c>
      <c r="BI254" s="526">
        <v>101.77</v>
      </c>
      <c r="BJ254" s="526">
        <v>5.93</v>
      </c>
      <c r="BK254" s="526">
        <v>98.93</v>
      </c>
      <c r="BL254" s="522">
        <v>9442</v>
      </c>
      <c r="BM254" s="526">
        <v>107.88</v>
      </c>
      <c r="BN254" s="526">
        <v>111.48</v>
      </c>
      <c r="BO254" s="526">
        <v>6.77</v>
      </c>
      <c r="BP254" s="526">
        <v>108.22</v>
      </c>
      <c r="BQ254" s="522">
        <v>835</v>
      </c>
      <c r="BR254" s="526">
        <v>115.72</v>
      </c>
      <c r="BS254" s="526">
        <v>119.75</v>
      </c>
      <c r="BT254" s="526">
        <v>2.63</v>
      </c>
      <c r="BU254" s="526">
        <v>115.81</v>
      </c>
      <c r="BV254" s="522">
        <v>83</v>
      </c>
      <c r="BW254" s="526">
        <v>136.71</v>
      </c>
      <c r="BX254" s="526">
        <v>143.29</v>
      </c>
      <c r="BY254" s="526">
        <v>0</v>
      </c>
      <c r="BZ254" s="526">
        <v>136.71</v>
      </c>
      <c r="CA254" s="522">
        <v>4</v>
      </c>
      <c r="CB254" s="526">
        <v>90.77</v>
      </c>
      <c r="CC254" s="526">
        <v>93.66</v>
      </c>
      <c r="CD254" s="526">
        <v>10.83</v>
      </c>
      <c r="CE254" s="526">
        <v>93.02</v>
      </c>
      <c r="CF254" s="522">
        <v>28694</v>
      </c>
      <c r="CG254" s="526">
        <v>90.77</v>
      </c>
      <c r="CH254" s="526">
        <v>93.66</v>
      </c>
      <c r="CI254" s="526">
        <v>10.83</v>
      </c>
      <c r="CJ254" s="526">
        <v>93.02</v>
      </c>
      <c r="CK254" s="522">
        <v>28694</v>
      </c>
      <c r="CL254" s="526">
        <v>115.8</v>
      </c>
      <c r="CM254" s="526">
        <v>82.9</v>
      </c>
      <c r="CN254" s="526">
        <v>108.13</v>
      </c>
      <c r="CO254" s="526">
        <v>222.34</v>
      </c>
      <c r="CP254" s="522">
        <v>340</v>
      </c>
      <c r="CQ254" s="526">
        <v>73.760000000000005</v>
      </c>
      <c r="CR254" s="526">
        <v>69.040000000000006</v>
      </c>
      <c r="CS254" s="526">
        <v>41.57</v>
      </c>
      <c r="CT254" s="526">
        <v>115.33</v>
      </c>
      <c r="CU254" s="522">
        <v>273</v>
      </c>
      <c r="CV254" s="526">
        <v>99.08</v>
      </c>
      <c r="CW254" s="526">
        <v>86.21</v>
      </c>
      <c r="CX254" s="526">
        <v>52.8</v>
      </c>
      <c r="CY254" s="526">
        <v>150.84</v>
      </c>
      <c r="CZ254" s="522">
        <v>1209</v>
      </c>
      <c r="DA254" s="526">
        <v>128.33000000000001</v>
      </c>
      <c r="DB254" s="526">
        <v>119.93</v>
      </c>
      <c r="DC254" s="526">
        <v>54.91</v>
      </c>
      <c r="DD254" s="526">
        <v>181.97</v>
      </c>
      <c r="DE254" s="522">
        <v>647</v>
      </c>
      <c r="DF254" s="526">
        <v>134.82</v>
      </c>
      <c r="DG254" s="526">
        <v>112.7</v>
      </c>
      <c r="DH254" s="526">
        <v>59.88</v>
      </c>
      <c r="DI254" s="526">
        <v>190.52</v>
      </c>
      <c r="DJ254" s="522">
        <v>43</v>
      </c>
      <c r="DK254" s="526">
        <v>107.97</v>
      </c>
      <c r="DL254" s="526">
        <v>112.11</v>
      </c>
      <c r="DM254" s="526">
        <v>0</v>
      </c>
      <c r="DN254" s="526">
        <v>107.97</v>
      </c>
      <c r="DO254" s="522">
        <v>1</v>
      </c>
      <c r="DP254" s="526">
        <v>105.32</v>
      </c>
      <c r="DQ254" s="526">
        <v>94.71</v>
      </c>
      <c r="DR254" s="526">
        <v>52.12</v>
      </c>
      <c r="DS254" s="526">
        <v>156.41</v>
      </c>
      <c r="DT254" s="522">
        <v>2173</v>
      </c>
      <c r="DU254" s="526">
        <v>106.74</v>
      </c>
      <c r="DV254" s="526">
        <v>93.64</v>
      </c>
      <c r="DW254" s="526">
        <v>59.73</v>
      </c>
      <c r="DX254" s="526">
        <v>165.33</v>
      </c>
      <c r="DY254" s="522">
        <v>2513</v>
      </c>
      <c r="DZ254" s="526">
        <v>0</v>
      </c>
      <c r="EA254" s="526">
        <v>0</v>
      </c>
      <c r="EB254" s="526">
        <v>90</v>
      </c>
      <c r="EC254" s="522">
        <v>1</v>
      </c>
      <c r="ED254" s="526">
        <v>91.07</v>
      </c>
      <c r="EE254" s="522">
        <v>149</v>
      </c>
      <c r="EF254" s="526">
        <v>111.75</v>
      </c>
      <c r="EG254" s="522">
        <v>1492</v>
      </c>
      <c r="EH254" s="526">
        <v>122.93</v>
      </c>
      <c r="EI254" s="522">
        <v>837</v>
      </c>
      <c r="EJ254" s="526">
        <v>135.37</v>
      </c>
      <c r="EK254" s="522">
        <v>76</v>
      </c>
      <c r="EL254" s="526">
        <v>128.27000000000001</v>
      </c>
      <c r="EM254" s="522">
        <v>1</v>
      </c>
      <c r="EN254" s="526">
        <v>0</v>
      </c>
      <c r="EO254" s="522">
        <v>0</v>
      </c>
      <c r="EP254" s="526">
        <v>114.91</v>
      </c>
      <c r="EQ254" s="522">
        <v>2556</v>
      </c>
      <c r="ER254" s="526">
        <v>114.91</v>
      </c>
      <c r="ES254" s="522">
        <v>2556</v>
      </c>
      <c r="ET254" s="526">
        <v>220</v>
      </c>
      <c r="EU254" s="526">
        <v>3</v>
      </c>
      <c r="EV254" s="526">
        <v>0</v>
      </c>
      <c r="EW254" s="522">
        <v>0</v>
      </c>
      <c r="EX254" s="526">
        <v>268.55</v>
      </c>
      <c r="EY254" s="522">
        <v>74</v>
      </c>
      <c r="EZ254" s="526">
        <v>246.79</v>
      </c>
      <c r="FA254" s="522">
        <v>142</v>
      </c>
      <c r="FB254" s="526">
        <v>0</v>
      </c>
      <c r="FC254" s="522">
        <v>0</v>
      </c>
      <c r="FD254" s="526">
        <v>0</v>
      </c>
      <c r="FE254" s="522">
        <v>0</v>
      </c>
      <c r="FF254" s="526">
        <v>254.24</v>
      </c>
      <c r="FG254" s="522">
        <v>216</v>
      </c>
      <c r="FH254" s="526">
        <v>253.78</v>
      </c>
      <c r="FI254" s="522">
        <v>219</v>
      </c>
      <c r="FJ254" s="522">
        <v>0</v>
      </c>
      <c r="FK254" s="522">
        <v>90</v>
      </c>
      <c r="FL254" s="522">
        <v>66</v>
      </c>
      <c r="FM254" s="522">
        <v>0</v>
      </c>
      <c r="FN254" s="522">
        <v>24</v>
      </c>
      <c r="FO254" s="522">
        <v>0</v>
      </c>
      <c r="FP254" s="522">
        <v>3</v>
      </c>
      <c r="FQ254" s="522">
        <v>18</v>
      </c>
      <c r="FR254" s="522">
        <v>2</v>
      </c>
    </row>
    <row r="255" spans="1:174" x14ac:dyDescent="0.25">
      <c r="A255" s="523" t="s">
        <v>758</v>
      </c>
      <c r="B255" s="523" t="s">
        <v>759</v>
      </c>
      <c r="C255" s="523" t="s">
        <v>2</v>
      </c>
      <c r="D255" s="522">
        <v>3302</v>
      </c>
      <c r="E255" s="522">
        <v>3303</v>
      </c>
      <c r="F255" s="522">
        <v>0</v>
      </c>
      <c r="G255" s="522">
        <v>0</v>
      </c>
      <c r="H255" s="522">
        <v>122</v>
      </c>
      <c r="I255" s="522">
        <v>43</v>
      </c>
      <c r="J255" s="522">
        <v>301</v>
      </c>
      <c r="K255" s="522">
        <v>301</v>
      </c>
      <c r="L255" s="522">
        <v>476</v>
      </c>
      <c r="M255" s="522">
        <v>19</v>
      </c>
      <c r="N255" s="522">
        <v>4201</v>
      </c>
      <c r="O255" s="522">
        <v>3666</v>
      </c>
      <c r="P255" s="522">
        <v>3725</v>
      </c>
      <c r="Q255" s="522">
        <v>1</v>
      </c>
      <c r="R255" s="523">
        <v>6</v>
      </c>
      <c r="S255" s="523">
        <v>20</v>
      </c>
      <c r="T255" s="523">
        <v>78</v>
      </c>
      <c r="U255" s="523">
        <v>4123</v>
      </c>
      <c r="V255" s="522">
        <v>3302</v>
      </c>
      <c r="W255" s="522">
        <v>22</v>
      </c>
      <c r="X255" s="522">
        <v>5</v>
      </c>
      <c r="Y255" s="522">
        <v>27</v>
      </c>
      <c r="Z255" s="524">
        <v>127.66</v>
      </c>
      <c r="AA255" s="524">
        <v>128.82</v>
      </c>
      <c r="AB255" s="524">
        <v>9.33</v>
      </c>
      <c r="AC255" s="524">
        <v>133</v>
      </c>
      <c r="AD255" s="524">
        <v>2958</v>
      </c>
      <c r="AE255" s="525">
        <v>129.04</v>
      </c>
      <c r="AF255" s="525">
        <v>106.25</v>
      </c>
      <c r="AG255" s="525">
        <v>47.82</v>
      </c>
      <c r="AH255" s="525">
        <v>176.72</v>
      </c>
      <c r="AI255" s="525">
        <v>345</v>
      </c>
      <c r="AJ255" s="525">
        <v>233.3</v>
      </c>
      <c r="AK255" s="525">
        <v>252</v>
      </c>
      <c r="AL255" s="525">
        <v>0</v>
      </c>
      <c r="AM255" s="525">
        <v>0</v>
      </c>
      <c r="AN255" s="526">
        <v>117.76</v>
      </c>
      <c r="AO255" s="526">
        <v>0</v>
      </c>
      <c r="AP255" s="526">
        <v>57.72</v>
      </c>
      <c r="AQ255" s="526">
        <v>167.61</v>
      </c>
      <c r="AR255" s="522">
        <v>44</v>
      </c>
      <c r="AS255" s="526">
        <v>94.02</v>
      </c>
      <c r="AT255" s="526">
        <v>90.74</v>
      </c>
      <c r="AU255" s="526">
        <v>6.68</v>
      </c>
      <c r="AV255" s="526">
        <v>96.48</v>
      </c>
      <c r="AW255" s="522">
        <v>19</v>
      </c>
      <c r="AX255" s="526">
        <v>108</v>
      </c>
      <c r="AY255" s="526">
        <v>106.61</v>
      </c>
      <c r="AZ255" s="526">
        <v>6.34</v>
      </c>
      <c r="BA255" s="526">
        <v>113.37</v>
      </c>
      <c r="BB255" s="522">
        <v>720</v>
      </c>
      <c r="BC255" s="526">
        <v>125.01</v>
      </c>
      <c r="BD255" s="526">
        <v>124.28</v>
      </c>
      <c r="BE255" s="526">
        <v>10.89</v>
      </c>
      <c r="BF255" s="526">
        <v>132.38999999999999</v>
      </c>
      <c r="BG255" s="522">
        <v>945</v>
      </c>
      <c r="BH255" s="526">
        <v>141.6</v>
      </c>
      <c r="BI255" s="526">
        <v>145.38</v>
      </c>
      <c r="BJ255" s="526">
        <v>6.93</v>
      </c>
      <c r="BK255" s="526">
        <v>143.85</v>
      </c>
      <c r="BL255" s="522">
        <v>1186</v>
      </c>
      <c r="BM255" s="526">
        <v>155.01</v>
      </c>
      <c r="BN255" s="526">
        <v>159.88999999999999</v>
      </c>
      <c r="BO255" s="526">
        <v>3.43</v>
      </c>
      <c r="BP255" s="526">
        <v>156.02000000000001</v>
      </c>
      <c r="BQ255" s="522">
        <v>44</v>
      </c>
      <c r="BR255" s="526">
        <v>0</v>
      </c>
      <c r="BS255" s="526">
        <v>0</v>
      </c>
      <c r="BT255" s="526">
        <v>0</v>
      </c>
      <c r="BU255" s="526">
        <v>0</v>
      </c>
      <c r="BV255" s="522">
        <v>0</v>
      </c>
      <c r="BW255" s="526">
        <v>0</v>
      </c>
      <c r="BX255" s="526">
        <v>0</v>
      </c>
      <c r="BY255" s="526">
        <v>0</v>
      </c>
      <c r="BZ255" s="526">
        <v>0</v>
      </c>
      <c r="CA255" s="522">
        <v>0</v>
      </c>
      <c r="CB255" s="526">
        <v>127.81</v>
      </c>
      <c r="CC255" s="526">
        <v>128.82</v>
      </c>
      <c r="CD255" s="526">
        <v>8.2200000000000006</v>
      </c>
      <c r="CE255" s="526">
        <v>132.47</v>
      </c>
      <c r="CF255" s="522">
        <v>2914</v>
      </c>
      <c r="CG255" s="526">
        <v>127.66</v>
      </c>
      <c r="CH255" s="526">
        <v>128.82</v>
      </c>
      <c r="CI255" s="526">
        <v>9.33</v>
      </c>
      <c r="CJ255" s="526">
        <v>133</v>
      </c>
      <c r="CK255" s="522">
        <v>2958</v>
      </c>
      <c r="CL255" s="526">
        <v>250.38</v>
      </c>
      <c r="CM255" s="526">
        <v>94.98</v>
      </c>
      <c r="CN255" s="526">
        <v>100.57</v>
      </c>
      <c r="CO255" s="526">
        <v>350.96</v>
      </c>
      <c r="CP255" s="522">
        <v>39</v>
      </c>
      <c r="CQ255" s="526">
        <v>96.11</v>
      </c>
      <c r="CR255" s="526">
        <v>90.97</v>
      </c>
      <c r="CS255" s="526">
        <v>45.41</v>
      </c>
      <c r="CT255" s="526">
        <v>141.53</v>
      </c>
      <c r="CU255" s="522">
        <v>86</v>
      </c>
      <c r="CV255" s="526">
        <v>119.27</v>
      </c>
      <c r="CW255" s="526">
        <v>111.49</v>
      </c>
      <c r="CX255" s="526">
        <v>39.729999999999997</v>
      </c>
      <c r="CY255" s="526">
        <v>158.80000000000001</v>
      </c>
      <c r="CZ255" s="522">
        <v>206</v>
      </c>
      <c r="DA255" s="526">
        <v>130.54</v>
      </c>
      <c r="DB255" s="526">
        <v>127.09</v>
      </c>
      <c r="DC255" s="526">
        <v>37.46</v>
      </c>
      <c r="DD255" s="526">
        <v>168</v>
      </c>
      <c r="DE255" s="522">
        <v>12</v>
      </c>
      <c r="DF255" s="526">
        <v>155.77000000000001</v>
      </c>
      <c r="DG255" s="526">
        <v>147.03</v>
      </c>
      <c r="DH255" s="526">
        <v>24.75</v>
      </c>
      <c r="DI255" s="526">
        <v>180.52</v>
      </c>
      <c r="DJ255" s="522">
        <v>1</v>
      </c>
      <c r="DK255" s="526">
        <v>196.47</v>
      </c>
      <c r="DL255" s="526">
        <v>196.47</v>
      </c>
      <c r="DM255" s="526">
        <v>2.15</v>
      </c>
      <c r="DN255" s="526">
        <v>198.62</v>
      </c>
      <c r="DO255" s="522">
        <v>1</v>
      </c>
      <c r="DP255" s="526">
        <v>113.57</v>
      </c>
      <c r="DQ255" s="526">
        <v>106.7</v>
      </c>
      <c r="DR255" s="526">
        <v>41.07</v>
      </c>
      <c r="DS255" s="526">
        <v>154.51</v>
      </c>
      <c r="DT255" s="522">
        <v>306</v>
      </c>
      <c r="DU255" s="526">
        <v>129.04</v>
      </c>
      <c r="DV255" s="526">
        <v>106.25</v>
      </c>
      <c r="DW255" s="526">
        <v>47.82</v>
      </c>
      <c r="DX255" s="526">
        <v>176.72</v>
      </c>
      <c r="DY255" s="522">
        <v>345</v>
      </c>
      <c r="DZ255" s="526">
        <v>0</v>
      </c>
      <c r="EA255" s="526">
        <v>0</v>
      </c>
      <c r="EB255" s="526">
        <v>0</v>
      </c>
      <c r="EC255" s="522">
        <v>0</v>
      </c>
      <c r="ED255" s="526">
        <v>177.7</v>
      </c>
      <c r="EE255" s="522">
        <v>79</v>
      </c>
      <c r="EF255" s="526">
        <v>229.14</v>
      </c>
      <c r="EG255" s="522">
        <v>100</v>
      </c>
      <c r="EH255" s="526">
        <v>285.57</v>
      </c>
      <c r="EI255" s="522">
        <v>58</v>
      </c>
      <c r="EJ255" s="526">
        <v>351.71</v>
      </c>
      <c r="EK255" s="522">
        <v>14</v>
      </c>
      <c r="EL255" s="526">
        <v>0</v>
      </c>
      <c r="EM255" s="522">
        <v>0</v>
      </c>
      <c r="EN255" s="526">
        <v>352.74</v>
      </c>
      <c r="EO255" s="522">
        <v>1</v>
      </c>
      <c r="EP255" s="526">
        <v>233.3</v>
      </c>
      <c r="EQ255" s="522">
        <v>252</v>
      </c>
      <c r="ER255" s="526">
        <v>233.3</v>
      </c>
      <c r="ES255" s="522">
        <v>252</v>
      </c>
      <c r="ET255" s="526">
        <v>0</v>
      </c>
      <c r="EU255" s="526">
        <v>0</v>
      </c>
      <c r="EV255" s="526">
        <v>0</v>
      </c>
      <c r="EW255" s="522">
        <v>0</v>
      </c>
      <c r="EX255" s="526">
        <v>0</v>
      </c>
      <c r="EY255" s="522">
        <v>0</v>
      </c>
      <c r="EZ255" s="526">
        <v>0</v>
      </c>
      <c r="FA255" s="522">
        <v>0</v>
      </c>
      <c r="FB255" s="526">
        <v>0</v>
      </c>
      <c r="FC255" s="522">
        <v>0</v>
      </c>
      <c r="FD255" s="526">
        <v>0</v>
      </c>
      <c r="FE255" s="522">
        <v>0</v>
      </c>
      <c r="FF255" s="526">
        <v>0</v>
      </c>
      <c r="FG255" s="522">
        <v>0</v>
      </c>
      <c r="FH255" s="526">
        <v>0</v>
      </c>
      <c r="FI255" s="522">
        <v>0</v>
      </c>
      <c r="FJ255" s="522">
        <v>0</v>
      </c>
      <c r="FK255" s="522">
        <v>0</v>
      </c>
      <c r="FL255" s="522">
        <v>0</v>
      </c>
      <c r="FM255" s="522">
        <v>0</v>
      </c>
      <c r="FN255" s="522">
        <v>0</v>
      </c>
      <c r="FO255" s="522">
        <v>0</v>
      </c>
      <c r="FP255" s="522">
        <v>0</v>
      </c>
      <c r="FQ255" s="522">
        <v>38</v>
      </c>
      <c r="FR255" s="522">
        <v>6</v>
      </c>
    </row>
    <row r="256" spans="1:174" x14ac:dyDescent="0.25">
      <c r="A256" s="523" t="s">
        <v>760</v>
      </c>
      <c r="B256" s="523" t="s">
        <v>761</v>
      </c>
      <c r="C256" s="523" t="s">
        <v>284</v>
      </c>
      <c r="D256" s="522">
        <v>4591</v>
      </c>
      <c r="E256" s="522">
        <v>4102</v>
      </c>
      <c r="F256" s="522">
        <v>8</v>
      </c>
      <c r="G256" s="522">
        <v>0</v>
      </c>
      <c r="H256" s="522">
        <v>410</v>
      </c>
      <c r="I256" s="522">
        <v>235</v>
      </c>
      <c r="J256" s="522">
        <v>951</v>
      </c>
      <c r="K256" s="522">
        <v>564</v>
      </c>
      <c r="L256" s="522">
        <v>972</v>
      </c>
      <c r="M256" s="522">
        <v>22</v>
      </c>
      <c r="N256" s="522">
        <v>6932</v>
      </c>
      <c r="O256" s="522">
        <v>4923</v>
      </c>
      <c r="P256" s="522">
        <v>5960</v>
      </c>
      <c r="Q256" s="522">
        <v>12</v>
      </c>
      <c r="R256" s="523">
        <v>12</v>
      </c>
      <c r="S256" s="523">
        <v>30</v>
      </c>
      <c r="T256" s="523">
        <v>989</v>
      </c>
      <c r="U256" s="523">
        <v>5943</v>
      </c>
      <c r="V256" s="522">
        <v>4159</v>
      </c>
      <c r="W256" s="522">
        <v>21</v>
      </c>
      <c r="X256" s="522">
        <v>14</v>
      </c>
      <c r="Y256" s="522">
        <v>35</v>
      </c>
      <c r="Z256" s="524">
        <v>134.82</v>
      </c>
      <c r="AA256" s="524">
        <v>137.43</v>
      </c>
      <c r="AB256" s="524">
        <v>10.26</v>
      </c>
      <c r="AC256" s="524">
        <v>144.49</v>
      </c>
      <c r="AD256" s="524">
        <v>3740</v>
      </c>
      <c r="AE256" s="525">
        <v>137.83000000000001</v>
      </c>
      <c r="AF256" s="525">
        <v>123.04</v>
      </c>
      <c r="AG256" s="525">
        <v>61.15</v>
      </c>
      <c r="AH256" s="525">
        <v>196.72</v>
      </c>
      <c r="AI256" s="525">
        <v>810</v>
      </c>
      <c r="AJ256" s="525">
        <v>211.5</v>
      </c>
      <c r="AK256" s="525">
        <v>375</v>
      </c>
      <c r="AL256" s="525">
        <v>198.17</v>
      </c>
      <c r="AM256" s="525">
        <v>34</v>
      </c>
      <c r="AN256" s="526">
        <v>0</v>
      </c>
      <c r="AO256" s="526">
        <v>0</v>
      </c>
      <c r="AP256" s="526">
        <v>0</v>
      </c>
      <c r="AQ256" s="526">
        <v>0</v>
      </c>
      <c r="AR256" s="522">
        <v>0</v>
      </c>
      <c r="AS256" s="526">
        <v>91.45</v>
      </c>
      <c r="AT256" s="526">
        <v>88.22</v>
      </c>
      <c r="AU256" s="526">
        <v>11.75</v>
      </c>
      <c r="AV256" s="526">
        <v>103.2</v>
      </c>
      <c r="AW256" s="522">
        <v>55</v>
      </c>
      <c r="AX256" s="526">
        <v>112.2</v>
      </c>
      <c r="AY256" s="526">
        <v>113.18</v>
      </c>
      <c r="AZ256" s="526">
        <v>12.49</v>
      </c>
      <c r="BA256" s="526">
        <v>124.66</v>
      </c>
      <c r="BB256" s="522">
        <v>913</v>
      </c>
      <c r="BC256" s="526">
        <v>134.18</v>
      </c>
      <c r="BD256" s="526">
        <v>136.43</v>
      </c>
      <c r="BE256" s="526">
        <v>11.33</v>
      </c>
      <c r="BF256" s="526">
        <v>144.72999999999999</v>
      </c>
      <c r="BG256" s="522">
        <v>1629</v>
      </c>
      <c r="BH256" s="526">
        <v>154.22</v>
      </c>
      <c r="BI256" s="526">
        <v>158.04</v>
      </c>
      <c r="BJ256" s="526">
        <v>6.77</v>
      </c>
      <c r="BK256" s="526">
        <v>160.38999999999999</v>
      </c>
      <c r="BL256" s="522">
        <v>991</v>
      </c>
      <c r="BM256" s="526">
        <v>166.67</v>
      </c>
      <c r="BN256" s="526">
        <v>179.28</v>
      </c>
      <c r="BO256" s="526">
        <v>6.05</v>
      </c>
      <c r="BP256" s="526">
        <v>172.29</v>
      </c>
      <c r="BQ256" s="522">
        <v>151</v>
      </c>
      <c r="BR256" s="526">
        <v>0</v>
      </c>
      <c r="BS256" s="526">
        <v>0</v>
      </c>
      <c r="BT256" s="526">
        <v>0</v>
      </c>
      <c r="BU256" s="526">
        <v>0</v>
      </c>
      <c r="BV256" s="522">
        <v>0</v>
      </c>
      <c r="BW256" s="526">
        <v>175.57</v>
      </c>
      <c r="BX256" s="526">
        <v>182.28</v>
      </c>
      <c r="BY256" s="526">
        <v>1</v>
      </c>
      <c r="BZ256" s="526">
        <v>176.57</v>
      </c>
      <c r="CA256" s="522">
        <v>1</v>
      </c>
      <c r="CB256" s="526">
        <v>134.82</v>
      </c>
      <c r="CC256" s="526">
        <v>137.43</v>
      </c>
      <c r="CD256" s="526">
        <v>10.26</v>
      </c>
      <c r="CE256" s="526">
        <v>144.49</v>
      </c>
      <c r="CF256" s="522">
        <v>3740</v>
      </c>
      <c r="CG256" s="526">
        <v>134.82</v>
      </c>
      <c r="CH256" s="526">
        <v>137.43</v>
      </c>
      <c r="CI256" s="526">
        <v>10.26</v>
      </c>
      <c r="CJ256" s="526">
        <v>144.49</v>
      </c>
      <c r="CK256" s="522">
        <v>3740</v>
      </c>
      <c r="CL256" s="526">
        <v>130.35</v>
      </c>
      <c r="CM256" s="526">
        <v>106.12</v>
      </c>
      <c r="CN256" s="526">
        <v>161.94999999999999</v>
      </c>
      <c r="CO256" s="526">
        <v>242.89</v>
      </c>
      <c r="CP256" s="522">
        <v>59</v>
      </c>
      <c r="CQ256" s="526">
        <v>112.4</v>
      </c>
      <c r="CR256" s="526">
        <v>110.24</v>
      </c>
      <c r="CS256" s="526">
        <v>97.34</v>
      </c>
      <c r="CT256" s="526">
        <v>209.74</v>
      </c>
      <c r="CU256" s="522">
        <v>64</v>
      </c>
      <c r="CV256" s="526">
        <v>139.55000000000001</v>
      </c>
      <c r="CW256" s="526">
        <v>123.83</v>
      </c>
      <c r="CX256" s="526">
        <v>51.44</v>
      </c>
      <c r="CY256" s="526">
        <v>190.02</v>
      </c>
      <c r="CZ256" s="522">
        <v>641</v>
      </c>
      <c r="DA256" s="526">
        <v>157.96</v>
      </c>
      <c r="DB256" s="526">
        <v>147.88</v>
      </c>
      <c r="DC256" s="526">
        <v>55.12</v>
      </c>
      <c r="DD256" s="526">
        <v>213.08</v>
      </c>
      <c r="DE256" s="522">
        <v>42</v>
      </c>
      <c r="DF256" s="526">
        <v>168.49</v>
      </c>
      <c r="DG256" s="526">
        <v>157.86000000000001</v>
      </c>
      <c r="DH256" s="526">
        <v>40.04</v>
      </c>
      <c r="DI256" s="526">
        <v>208.53</v>
      </c>
      <c r="DJ256" s="522">
        <v>4</v>
      </c>
      <c r="DK256" s="526">
        <v>0</v>
      </c>
      <c r="DL256" s="526">
        <v>0</v>
      </c>
      <c r="DM256" s="526">
        <v>0</v>
      </c>
      <c r="DN256" s="526">
        <v>0</v>
      </c>
      <c r="DO256" s="522">
        <v>0</v>
      </c>
      <c r="DP256" s="526">
        <v>138.41999999999999</v>
      </c>
      <c r="DQ256" s="526">
        <v>124.22</v>
      </c>
      <c r="DR256" s="526">
        <v>55.56</v>
      </c>
      <c r="DS256" s="526">
        <v>193.09</v>
      </c>
      <c r="DT256" s="522">
        <v>751</v>
      </c>
      <c r="DU256" s="526">
        <v>137.83000000000001</v>
      </c>
      <c r="DV256" s="526">
        <v>123.04</v>
      </c>
      <c r="DW256" s="526">
        <v>61.15</v>
      </c>
      <c r="DX256" s="526">
        <v>196.72</v>
      </c>
      <c r="DY256" s="522">
        <v>810</v>
      </c>
      <c r="DZ256" s="526">
        <v>0</v>
      </c>
      <c r="EA256" s="526">
        <v>0</v>
      </c>
      <c r="EB256" s="526">
        <v>0</v>
      </c>
      <c r="EC256" s="522">
        <v>0</v>
      </c>
      <c r="ED256" s="526">
        <v>174.58</v>
      </c>
      <c r="EE256" s="522">
        <v>109</v>
      </c>
      <c r="EF256" s="526">
        <v>210.1</v>
      </c>
      <c r="EG256" s="522">
        <v>168</v>
      </c>
      <c r="EH256" s="526">
        <v>252.08</v>
      </c>
      <c r="EI256" s="522">
        <v>80</v>
      </c>
      <c r="EJ256" s="526">
        <v>267.86</v>
      </c>
      <c r="EK256" s="522">
        <v>18</v>
      </c>
      <c r="EL256" s="526">
        <v>0</v>
      </c>
      <c r="EM256" s="522">
        <v>0</v>
      </c>
      <c r="EN256" s="526">
        <v>0</v>
      </c>
      <c r="EO256" s="522">
        <v>0</v>
      </c>
      <c r="EP256" s="526">
        <v>211.5</v>
      </c>
      <c r="EQ256" s="522">
        <v>375</v>
      </c>
      <c r="ER256" s="526">
        <v>211.5</v>
      </c>
      <c r="ES256" s="522">
        <v>375</v>
      </c>
      <c r="ET256" s="526">
        <v>0</v>
      </c>
      <c r="EU256" s="526">
        <v>0</v>
      </c>
      <c r="EV256" s="526">
        <v>0</v>
      </c>
      <c r="EW256" s="522">
        <v>0</v>
      </c>
      <c r="EX256" s="526">
        <v>198.17</v>
      </c>
      <c r="EY256" s="522">
        <v>34</v>
      </c>
      <c r="EZ256" s="526">
        <v>0</v>
      </c>
      <c r="FA256" s="522">
        <v>0</v>
      </c>
      <c r="FB256" s="526">
        <v>0</v>
      </c>
      <c r="FC256" s="522">
        <v>0</v>
      </c>
      <c r="FD256" s="526">
        <v>0</v>
      </c>
      <c r="FE256" s="522">
        <v>0</v>
      </c>
      <c r="FF256" s="526">
        <v>198.17</v>
      </c>
      <c r="FG256" s="522">
        <v>34</v>
      </c>
      <c r="FH256" s="526">
        <v>198.17</v>
      </c>
      <c r="FI256" s="522">
        <v>34</v>
      </c>
      <c r="FJ256" s="522">
        <v>53</v>
      </c>
      <c r="FK256" s="522">
        <v>3</v>
      </c>
      <c r="FL256" s="522">
        <v>1</v>
      </c>
      <c r="FM256" s="522">
        <v>0</v>
      </c>
      <c r="FN256" s="522">
        <v>2</v>
      </c>
      <c r="FO256" s="522">
        <v>0</v>
      </c>
      <c r="FP256" s="522">
        <v>2</v>
      </c>
      <c r="FQ256" s="522">
        <v>14</v>
      </c>
      <c r="FR256" s="522">
        <v>23</v>
      </c>
    </row>
    <row r="257" spans="1:174" x14ac:dyDescent="0.25">
      <c r="A257" s="523" t="s">
        <v>762</v>
      </c>
      <c r="B257" s="523" t="s">
        <v>763</v>
      </c>
      <c r="C257" s="523" t="s">
        <v>2</v>
      </c>
      <c r="D257" s="522">
        <v>8186</v>
      </c>
      <c r="E257" s="522">
        <v>8121</v>
      </c>
      <c r="F257" s="522">
        <v>0</v>
      </c>
      <c r="G257" s="522">
        <v>0</v>
      </c>
      <c r="H257" s="522">
        <v>238</v>
      </c>
      <c r="I257" s="522">
        <v>244</v>
      </c>
      <c r="J257" s="522">
        <v>432</v>
      </c>
      <c r="K257" s="522">
        <v>363</v>
      </c>
      <c r="L257" s="522">
        <v>1107</v>
      </c>
      <c r="M257" s="522">
        <v>153</v>
      </c>
      <c r="N257" s="522">
        <v>9963</v>
      </c>
      <c r="O257" s="522">
        <v>8881</v>
      </c>
      <c r="P257" s="522">
        <v>8856</v>
      </c>
      <c r="Q257" s="522">
        <v>11</v>
      </c>
      <c r="R257" s="523">
        <v>6</v>
      </c>
      <c r="S257" s="523">
        <v>26</v>
      </c>
      <c r="T257" s="523">
        <v>159</v>
      </c>
      <c r="U257" s="523">
        <v>9804</v>
      </c>
      <c r="V257" s="522">
        <v>8096</v>
      </c>
      <c r="W257" s="522">
        <v>112</v>
      </c>
      <c r="X257" s="522">
        <v>56</v>
      </c>
      <c r="Y257" s="522">
        <v>168</v>
      </c>
      <c r="Z257" s="524">
        <v>111.93</v>
      </c>
      <c r="AA257" s="524">
        <v>111.04</v>
      </c>
      <c r="AB257" s="524">
        <v>9.2799999999999994</v>
      </c>
      <c r="AC257" s="524">
        <v>116.08</v>
      </c>
      <c r="AD257" s="524">
        <v>6603</v>
      </c>
      <c r="AE257" s="525">
        <v>111.71</v>
      </c>
      <c r="AF257" s="525">
        <v>93.76</v>
      </c>
      <c r="AG257" s="525">
        <v>67.98</v>
      </c>
      <c r="AH257" s="525">
        <v>174.03</v>
      </c>
      <c r="AI257" s="525">
        <v>601</v>
      </c>
      <c r="AJ257" s="525">
        <v>158.02000000000001</v>
      </c>
      <c r="AK257" s="525">
        <v>1473</v>
      </c>
      <c r="AL257" s="525">
        <v>0</v>
      </c>
      <c r="AM257" s="525">
        <v>0</v>
      </c>
      <c r="AN257" s="526">
        <v>0</v>
      </c>
      <c r="AO257" s="526">
        <v>0</v>
      </c>
      <c r="AP257" s="526">
        <v>0</v>
      </c>
      <c r="AQ257" s="526">
        <v>0</v>
      </c>
      <c r="AR257" s="522">
        <v>0</v>
      </c>
      <c r="AS257" s="526">
        <v>87.09</v>
      </c>
      <c r="AT257" s="526">
        <v>86.39</v>
      </c>
      <c r="AU257" s="526">
        <v>7.71</v>
      </c>
      <c r="AV257" s="526">
        <v>94.8</v>
      </c>
      <c r="AW257" s="522">
        <v>30</v>
      </c>
      <c r="AX257" s="526">
        <v>94.93</v>
      </c>
      <c r="AY257" s="526">
        <v>93.96</v>
      </c>
      <c r="AZ257" s="526">
        <v>12.33</v>
      </c>
      <c r="BA257" s="526">
        <v>104.94</v>
      </c>
      <c r="BB257" s="522">
        <v>1553</v>
      </c>
      <c r="BC257" s="526">
        <v>109.68</v>
      </c>
      <c r="BD257" s="526">
        <v>108.9</v>
      </c>
      <c r="BE257" s="526">
        <v>7.94</v>
      </c>
      <c r="BF257" s="526">
        <v>113.49</v>
      </c>
      <c r="BG257" s="522">
        <v>2091</v>
      </c>
      <c r="BH257" s="526">
        <v>121.78</v>
      </c>
      <c r="BI257" s="526">
        <v>120.89</v>
      </c>
      <c r="BJ257" s="526">
        <v>5.61</v>
      </c>
      <c r="BK257" s="526">
        <v>122.98</v>
      </c>
      <c r="BL257" s="522">
        <v>2750</v>
      </c>
      <c r="BM257" s="526">
        <v>137.78</v>
      </c>
      <c r="BN257" s="526">
        <v>137.05000000000001</v>
      </c>
      <c r="BO257" s="526">
        <v>5.04</v>
      </c>
      <c r="BP257" s="526">
        <v>139.78</v>
      </c>
      <c r="BQ257" s="522">
        <v>167</v>
      </c>
      <c r="BR257" s="526">
        <v>148.1</v>
      </c>
      <c r="BS257" s="526">
        <v>146.25</v>
      </c>
      <c r="BT257" s="526">
        <v>7.03</v>
      </c>
      <c r="BU257" s="526">
        <v>151.22999999999999</v>
      </c>
      <c r="BV257" s="522">
        <v>9</v>
      </c>
      <c r="BW257" s="526">
        <v>153.08000000000001</v>
      </c>
      <c r="BX257" s="526">
        <v>157.38999999999999</v>
      </c>
      <c r="BY257" s="526">
        <v>3.76</v>
      </c>
      <c r="BZ257" s="526">
        <v>154.33000000000001</v>
      </c>
      <c r="CA257" s="522">
        <v>3</v>
      </c>
      <c r="CB257" s="526">
        <v>111.93</v>
      </c>
      <c r="CC257" s="526">
        <v>111.04</v>
      </c>
      <c r="CD257" s="526">
        <v>9.2799999999999994</v>
      </c>
      <c r="CE257" s="526">
        <v>116.08</v>
      </c>
      <c r="CF257" s="522">
        <v>6603</v>
      </c>
      <c r="CG257" s="526">
        <v>111.93</v>
      </c>
      <c r="CH257" s="526">
        <v>111.04</v>
      </c>
      <c r="CI257" s="526">
        <v>9.2799999999999994</v>
      </c>
      <c r="CJ257" s="526">
        <v>116.08</v>
      </c>
      <c r="CK257" s="522">
        <v>6603</v>
      </c>
      <c r="CL257" s="526">
        <v>143.65</v>
      </c>
      <c r="CM257" s="526">
        <v>88.7</v>
      </c>
      <c r="CN257" s="526">
        <v>91.74</v>
      </c>
      <c r="CO257" s="526">
        <v>235.39</v>
      </c>
      <c r="CP257" s="522">
        <v>128</v>
      </c>
      <c r="CQ257" s="526">
        <v>84.95</v>
      </c>
      <c r="CR257" s="526">
        <v>81.599999999999994</v>
      </c>
      <c r="CS257" s="526">
        <v>64.62</v>
      </c>
      <c r="CT257" s="526">
        <v>144.71</v>
      </c>
      <c r="CU257" s="522">
        <v>40</v>
      </c>
      <c r="CV257" s="526">
        <v>97.53</v>
      </c>
      <c r="CW257" s="526">
        <v>93.8</v>
      </c>
      <c r="CX257" s="526">
        <v>60.33</v>
      </c>
      <c r="CY257" s="526">
        <v>150.38</v>
      </c>
      <c r="CZ257" s="522">
        <v>379</v>
      </c>
      <c r="DA257" s="526">
        <v>119.19</v>
      </c>
      <c r="DB257" s="526">
        <v>114.45</v>
      </c>
      <c r="DC257" s="526">
        <v>59.44</v>
      </c>
      <c r="DD257" s="526">
        <v>178.63</v>
      </c>
      <c r="DE257" s="522">
        <v>45</v>
      </c>
      <c r="DF257" s="526">
        <v>335.86</v>
      </c>
      <c r="DG257" s="526">
        <v>120.57</v>
      </c>
      <c r="DH257" s="526">
        <v>69.14</v>
      </c>
      <c r="DI257" s="526">
        <v>405</v>
      </c>
      <c r="DJ257" s="522">
        <v>9</v>
      </c>
      <c r="DK257" s="526">
        <v>0</v>
      </c>
      <c r="DL257" s="526">
        <v>0</v>
      </c>
      <c r="DM257" s="526">
        <v>0</v>
      </c>
      <c r="DN257" s="526">
        <v>0</v>
      </c>
      <c r="DO257" s="522">
        <v>0</v>
      </c>
      <c r="DP257" s="526">
        <v>103.06</v>
      </c>
      <c r="DQ257" s="526">
        <v>94.8</v>
      </c>
      <c r="DR257" s="526">
        <v>60.8</v>
      </c>
      <c r="DS257" s="526">
        <v>157.43</v>
      </c>
      <c r="DT257" s="522">
        <v>473</v>
      </c>
      <c r="DU257" s="526">
        <v>111.71</v>
      </c>
      <c r="DV257" s="526">
        <v>93.76</v>
      </c>
      <c r="DW257" s="526">
        <v>67.98</v>
      </c>
      <c r="DX257" s="526">
        <v>174.03</v>
      </c>
      <c r="DY257" s="522">
        <v>601</v>
      </c>
      <c r="DZ257" s="526">
        <v>0</v>
      </c>
      <c r="EA257" s="526">
        <v>0</v>
      </c>
      <c r="EB257" s="526">
        <v>104.11</v>
      </c>
      <c r="EC257" s="522">
        <v>2</v>
      </c>
      <c r="ED257" s="526">
        <v>120.67</v>
      </c>
      <c r="EE257" s="522">
        <v>243</v>
      </c>
      <c r="EF257" s="526">
        <v>151.49</v>
      </c>
      <c r="EG257" s="522">
        <v>629</v>
      </c>
      <c r="EH257" s="526">
        <v>170.78</v>
      </c>
      <c r="EI257" s="522">
        <v>529</v>
      </c>
      <c r="EJ257" s="526">
        <v>251.55</v>
      </c>
      <c r="EK257" s="522">
        <v>69</v>
      </c>
      <c r="EL257" s="526">
        <v>247.5</v>
      </c>
      <c r="EM257" s="522">
        <v>1</v>
      </c>
      <c r="EN257" s="526">
        <v>0</v>
      </c>
      <c r="EO257" s="522">
        <v>0</v>
      </c>
      <c r="EP257" s="526">
        <v>158.02000000000001</v>
      </c>
      <c r="EQ257" s="522">
        <v>1473</v>
      </c>
      <c r="ER257" s="526">
        <v>158.02000000000001</v>
      </c>
      <c r="ES257" s="522">
        <v>1473</v>
      </c>
      <c r="ET257" s="526">
        <v>0</v>
      </c>
      <c r="EU257" s="526">
        <v>0</v>
      </c>
      <c r="EV257" s="526">
        <v>0</v>
      </c>
      <c r="EW257" s="522">
        <v>0</v>
      </c>
      <c r="EX257" s="526">
        <v>0</v>
      </c>
      <c r="EY257" s="522">
        <v>0</v>
      </c>
      <c r="EZ257" s="526">
        <v>0</v>
      </c>
      <c r="FA257" s="522">
        <v>0</v>
      </c>
      <c r="FB257" s="526">
        <v>0</v>
      </c>
      <c r="FC257" s="522">
        <v>0</v>
      </c>
      <c r="FD257" s="526">
        <v>0</v>
      </c>
      <c r="FE257" s="522">
        <v>0</v>
      </c>
      <c r="FF257" s="526">
        <v>0</v>
      </c>
      <c r="FG257" s="522">
        <v>0</v>
      </c>
      <c r="FH257" s="526">
        <v>0</v>
      </c>
      <c r="FI257" s="522">
        <v>0</v>
      </c>
      <c r="FJ257" s="522">
        <v>1</v>
      </c>
      <c r="FK257" s="522">
        <v>1</v>
      </c>
      <c r="FL257" s="522">
        <v>1</v>
      </c>
      <c r="FM257" s="522">
        <v>0</v>
      </c>
      <c r="FN257" s="522">
        <v>0</v>
      </c>
      <c r="FO257" s="522">
        <v>0</v>
      </c>
      <c r="FP257" s="522">
        <v>13</v>
      </c>
      <c r="FQ257" s="522">
        <v>166</v>
      </c>
      <c r="FR257" s="522">
        <v>5</v>
      </c>
    </row>
    <row r="258" spans="1:174" x14ac:dyDescent="0.25">
      <c r="A258" s="523" t="s">
        <v>764</v>
      </c>
      <c r="B258" s="523" t="s">
        <v>765</v>
      </c>
      <c r="C258" s="523" t="s">
        <v>287</v>
      </c>
      <c r="D258" s="522">
        <v>4378</v>
      </c>
      <c r="E258" s="522">
        <v>4318</v>
      </c>
      <c r="F258" s="522">
        <v>0</v>
      </c>
      <c r="G258" s="522">
        <v>0</v>
      </c>
      <c r="H258" s="522">
        <v>552</v>
      </c>
      <c r="I258" s="522">
        <v>365</v>
      </c>
      <c r="J258" s="522">
        <v>923</v>
      </c>
      <c r="K258" s="522">
        <v>898</v>
      </c>
      <c r="L258" s="522">
        <v>1210</v>
      </c>
      <c r="M258" s="522">
        <v>22</v>
      </c>
      <c r="N258" s="522">
        <v>7063</v>
      </c>
      <c r="O258" s="522">
        <v>5603</v>
      </c>
      <c r="P258" s="522">
        <v>5853</v>
      </c>
      <c r="Q258" s="522">
        <v>48</v>
      </c>
      <c r="R258" s="523">
        <v>4</v>
      </c>
      <c r="S258" s="523">
        <v>31</v>
      </c>
      <c r="T258" s="523">
        <v>107</v>
      </c>
      <c r="U258" s="523">
        <v>6956</v>
      </c>
      <c r="V258" s="522">
        <v>4320</v>
      </c>
      <c r="W258" s="522">
        <v>74</v>
      </c>
      <c r="X258" s="522">
        <v>19</v>
      </c>
      <c r="Y258" s="522">
        <v>93</v>
      </c>
      <c r="Z258" s="524">
        <v>112.02</v>
      </c>
      <c r="AA258" s="524">
        <v>111.95</v>
      </c>
      <c r="AB258" s="524">
        <v>9.26</v>
      </c>
      <c r="AC258" s="524">
        <v>119.23</v>
      </c>
      <c r="AD258" s="524">
        <v>3106</v>
      </c>
      <c r="AE258" s="525">
        <v>101.31</v>
      </c>
      <c r="AF258" s="525">
        <v>98</v>
      </c>
      <c r="AG258" s="525">
        <v>68.67</v>
      </c>
      <c r="AH258" s="525">
        <v>167.96</v>
      </c>
      <c r="AI258" s="525">
        <v>1425</v>
      </c>
      <c r="AJ258" s="525">
        <v>158.53</v>
      </c>
      <c r="AK258" s="525">
        <v>1089</v>
      </c>
      <c r="AL258" s="525">
        <v>137.97999999999999</v>
      </c>
      <c r="AM258" s="525">
        <v>1</v>
      </c>
      <c r="AN258" s="526">
        <v>0</v>
      </c>
      <c r="AO258" s="526">
        <v>0</v>
      </c>
      <c r="AP258" s="526">
        <v>0</v>
      </c>
      <c r="AQ258" s="526">
        <v>0</v>
      </c>
      <c r="AR258" s="522">
        <v>0</v>
      </c>
      <c r="AS258" s="526">
        <v>77.959999999999994</v>
      </c>
      <c r="AT258" s="526">
        <v>77.599999999999994</v>
      </c>
      <c r="AU258" s="526">
        <v>19.899999999999999</v>
      </c>
      <c r="AV258" s="526">
        <v>97.86</v>
      </c>
      <c r="AW258" s="522">
        <v>15</v>
      </c>
      <c r="AX258" s="526">
        <v>93.63</v>
      </c>
      <c r="AY258" s="526">
        <v>94.55</v>
      </c>
      <c r="AZ258" s="526">
        <v>12.5</v>
      </c>
      <c r="BA258" s="526">
        <v>105.71</v>
      </c>
      <c r="BB258" s="522">
        <v>859</v>
      </c>
      <c r="BC258" s="526">
        <v>111.62</v>
      </c>
      <c r="BD258" s="526">
        <v>111.07</v>
      </c>
      <c r="BE258" s="526">
        <v>9.1300000000000008</v>
      </c>
      <c r="BF258" s="526">
        <v>118.97</v>
      </c>
      <c r="BG258" s="522">
        <v>1315</v>
      </c>
      <c r="BH258" s="526">
        <v>127.55</v>
      </c>
      <c r="BI258" s="526">
        <v>127.55</v>
      </c>
      <c r="BJ258" s="526">
        <v>4.08</v>
      </c>
      <c r="BK258" s="526">
        <v>129.83000000000001</v>
      </c>
      <c r="BL258" s="522">
        <v>791</v>
      </c>
      <c r="BM258" s="526">
        <v>147.72</v>
      </c>
      <c r="BN258" s="526">
        <v>146.66</v>
      </c>
      <c r="BO258" s="526">
        <v>3.42</v>
      </c>
      <c r="BP258" s="526">
        <v>149.77000000000001</v>
      </c>
      <c r="BQ258" s="522">
        <v>120</v>
      </c>
      <c r="BR258" s="526">
        <v>157.24</v>
      </c>
      <c r="BS258" s="526">
        <v>155.49</v>
      </c>
      <c r="BT258" s="526">
        <v>2.8</v>
      </c>
      <c r="BU258" s="526">
        <v>158.36000000000001</v>
      </c>
      <c r="BV258" s="522">
        <v>5</v>
      </c>
      <c r="BW258" s="526">
        <v>139.91</v>
      </c>
      <c r="BX258" s="526">
        <v>151.55000000000001</v>
      </c>
      <c r="BY258" s="526">
        <v>0</v>
      </c>
      <c r="BZ258" s="526">
        <v>139.91</v>
      </c>
      <c r="CA258" s="522">
        <v>1</v>
      </c>
      <c r="CB258" s="526">
        <v>112.02</v>
      </c>
      <c r="CC258" s="526">
        <v>111.95</v>
      </c>
      <c r="CD258" s="526">
        <v>9.26</v>
      </c>
      <c r="CE258" s="526">
        <v>119.23</v>
      </c>
      <c r="CF258" s="522">
        <v>3106</v>
      </c>
      <c r="CG258" s="526">
        <v>112.02</v>
      </c>
      <c r="CH258" s="526">
        <v>111.95</v>
      </c>
      <c r="CI258" s="526">
        <v>9.26</v>
      </c>
      <c r="CJ258" s="526">
        <v>119.23</v>
      </c>
      <c r="CK258" s="522">
        <v>3106</v>
      </c>
      <c r="CL258" s="526">
        <v>86.28</v>
      </c>
      <c r="CM258" s="526">
        <v>80.209999999999994</v>
      </c>
      <c r="CN258" s="526">
        <v>141.4</v>
      </c>
      <c r="CO258" s="526">
        <v>227.68</v>
      </c>
      <c r="CP258" s="522">
        <v>224</v>
      </c>
      <c r="CQ258" s="526">
        <v>86.62</v>
      </c>
      <c r="CR258" s="526">
        <v>83.98</v>
      </c>
      <c r="CS258" s="526">
        <v>37.6</v>
      </c>
      <c r="CT258" s="526">
        <v>123.16</v>
      </c>
      <c r="CU258" s="522">
        <v>71</v>
      </c>
      <c r="CV258" s="526">
        <v>100.04</v>
      </c>
      <c r="CW258" s="526">
        <v>97.48</v>
      </c>
      <c r="CX258" s="526">
        <v>54.83</v>
      </c>
      <c r="CY258" s="526">
        <v>153.27000000000001</v>
      </c>
      <c r="CZ258" s="522">
        <v>928</v>
      </c>
      <c r="DA258" s="526">
        <v>123.11</v>
      </c>
      <c r="DB258" s="526">
        <v>115.94</v>
      </c>
      <c r="DC258" s="526">
        <v>57.16</v>
      </c>
      <c r="DD258" s="526">
        <v>176.26</v>
      </c>
      <c r="DE258" s="522">
        <v>185</v>
      </c>
      <c r="DF258" s="526">
        <v>193.25</v>
      </c>
      <c r="DG258" s="526">
        <v>123.89</v>
      </c>
      <c r="DH258" s="526">
        <v>86.58</v>
      </c>
      <c r="DI258" s="526">
        <v>279.83</v>
      </c>
      <c r="DJ258" s="522">
        <v>17</v>
      </c>
      <c r="DK258" s="526">
        <v>0</v>
      </c>
      <c r="DL258" s="526">
        <v>0</v>
      </c>
      <c r="DM258" s="526">
        <v>0</v>
      </c>
      <c r="DN258" s="526">
        <v>0</v>
      </c>
      <c r="DO258" s="522">
        <v>0</v>
      </c>
      <c r="DP258" s="526">
        <v>104.12</v>
      </c>
      <c r="DQ258" s="526">
        <v>99.89</v>
      </c>
      <c r="DR258" s="526">
        <v>54.61</v>
      </c>
      <c r="DS258" s="526">
        <v>156.82</v>
      </c>
      <c r="DT258" s="522">
        <v>1201</v>
      </c>
      <c r="DU258" s="526">
        <v>101.31</v>
      </c>
      <c r="DV258" s="526">
        <v>98</v>
      </c>
      <c r="DW258" s="526">
        <v>68.67</v>
      </c>
      <c r="DX258" s="526">
        <v>167.96</v>
      </c>
      <c r="DY258" s="522">
        <v>1425</v>
      </c>
      <c r="DZ258" s="526">
        <v>0</v>
      </c>
      <c r="EA258" s="526">
        <v>0</v>
      </c>
      <c r="EB258" s="526">
        <v>0</v>
      </c>
      <c r="EC258" s="522">
        <v>0</v>
      </c>
      <c r="ED258" s="526">
        <v>124.89</v>
      </c>
      <c r="EE258" s="522">
        <v>291</v>
      </c>
      <c r="EF258" s="526">
        <v>151.04</v>
      </c>
      <c r="EG258" s="522">
        <v>441</v>
      </c>
      <c r="EH258" s="526">
        <v>184.19</v>
      </c>
      <c r="EI258" s="522">
        <v>272</v>
      </c>
      <c r="EJ258" s="526">
        <v>230.5</v>
      </c>
      <c r="EK258" s="522">
        <v>85</v>
      </c>
      <c r="EL258" s="526">
        <v>0</v>
      </c>
      <c r="EM258" s="522">
        <v>0</v>
      </c>
      <c r="EN258" s="526">
        <v>0</v>
      </c>
      <c r="EO258" s="522">
        <v>0</v>
      </c>
      <c r="EP258" s="526">
        <v>158.53</v>
      </c>
      <c r="EQ258" s="522">
        <v>1089</v>
      </c>
      <c r="ER258" s="526">
        <v>158.53</v>
      </c>
      <c r="ES258" s="522">
        <v>1089</v>
      </c>
      <c r="ET258" s="526">
        <v>0</v>
      </c>
      <c r="EU258" s="526">
        <v>0</v>
      </c>
      <c r="EV258" s="526">
        <v>0</v>
      </c>
      <c r="EW258" s="522">
        <v>0</v>
      </c>
      <c r="EX258" s="526">
        <v>0</v>
      </c>
      <c r="EY258" s="522">
        <v>0</v>
      </c>
      <c r="EZ258" s="526">
        <v>137.97999999999999</v>
      </c>
      <c r="FA258" s="522">
        <v>1</v>
      </c>
      <c r="FB258" s="526">
        <v>0</v>
      </c>
      <c r="FC258" s="522">
        <v>0</v>
      </c>
      <c r="FD258" s="526">
        <v>0</v>
      </c>
      <c r="FE258" s="522">
        <v>0</v>
      </c>
      <c r="FF258" s="526">
        <v>137.97999999999999</v>
      </c>
      <c r="FG258" s="522">
        <v>1</v>
      </c>
      <c r="FH258" s="526">
        <v>137.97999999999999</v>
      </c>
      <c r="FI258" s="522">
        <v>1</v>
      </c>
      <c r="FJ258" s="522">
        <v>0</v>
      </c>
      <c r="FK258" s="522">
        <v>1</v>
      </c>
      <c r="FL258" s="522">
        <v>0</v>
      </c>
      <c r="FM258" s="522">
        <v>0</v>
      </c>
      <c r="FN258" s="522">
        <v>1</v>
      </c>
      <c r="FO258" s="522">
        <v>0</v>
      </c>
      <c r="FP258" s="522">
        <v>2</v>
      </c>
      <c r="FQ258" s="522">
        <v>97</v>
      </c>
      <c r="FR258" s="522">
        <v>15</v>
      </c>
    </row>
    <row r="259" spans="1:174" x14ac:dyDescent="0.25">
      <c r="A259" s="523" t="s">
        <v>766</v>
      </c>
      <c r="B259" s="523" t="s">
        <v>767</v>
      </c>
      <c r="C259" s="523" t="s">
        <v>286</v>
      </c>
      <c r="D259" s="522">
        <v>20359</v>
      </c>
      <c r="E259" s="522">
        <v>19322</v>
      </c>
      <c r="F259" s="522">
        <v>1</v>
      </c>
      <c r="G259" s="522">
        <v>0</v>
      </c>
      <c r="H259" s="522">
        <v>737</v>
      </c>
      <c r="I259" s="522">
        <v>197</v>
      </c>
      <c r="J259" s="522">
        <v>1374</v>
      </c>
      <c r="K259" s="522">
        <v>1374</v>
      </c>
      <c r="L259" s="522">
        <v>287</v>
      </c>
      <c r="M259" s="522">
        <v>0</v>
      </c>
      <c r="N259" s="522">
        <v>22758</v>
      </c>
      <c r="O259" s="522">
        <v>20893</v>
      </c>
      <c r="P259" s="522">
        <v>22471</v>
      </c>
      <c r="Q259" s="522">
        <v>75</v>
      </c>
      <c r="R259" s="523">
        <v>9</v>
      </c>
      <c r="S259" s="523">
        <v>23</v>
      </c>
      <c r="T259" s="523">
        <v>1179</v>
      </c>
      <c r="U259" s="523">
        <v>21579</v>
      </c>
      <c r="V259" s="522">
        <v>19303</v>
      </c>
      <c r="W259" s="522">
        <v>222</v>
      </c>
      <c r="X259" s="522">
        <v>45</v>
      </c>
      <c r="Y259" s="522">
        <v>267</v>
      </c>
      <c r="Z259" s="524">
        <v>92.94</v>
      </c>
      <c r="AA259" s="524">
        <v>92.95</v>
      </c>
      <c r="AB259" s="524">
        <v>4.62</v>
      </c>
      <c r="AC259" s="524">
        <v>97.14</v>
      </c>
      <c r="AD259" s="524">
        <v>16548</v>
      </c>
      <c r="AE259" s="525">
        <v>94.36</v>
      </c>
      <c r="AF259" s="525">
        <v>85.07</v>
      </c>
      <c r="AG259" s="525">
        <v>49.51</v>
      </c>
      <c r="AH259" s="525">
        <v>140.88</v>
      </c>
      <c r="AI259" s="525">
        <v>1935</v>
      </c>
      <c r="AJ259" s="525">
        <v>119.82</v>
      </c>
      <c r="AK259" s="525">
        <v>2737</v>
      </c>
      <c r="AL259" s="525">
        <v>154.63</v>
      </c>
      <c r="AM259" s="525">
        <v>54</v>
      </c>
      <c r="AN259" s="526">
        <v>0</v>
      </c>
      <c r="AO259" s="526">
        <v>0</v>
      </c>
      <c r="AP259" s="526">
        <v>0</v>
      </c>
      <c r="AQ259" s="526">
        <v>0</v>
      </c>
      <c r="AR259" s="522">
        <v>0</v>
      </c>
      <c r="AS259" s="526">
        <v>67.47</v>
      </c>
      <c r="AT259" s="526">
        <v>67.45</v>
      </c>
      <c r="AU259" s="526">
        <v>8.66</v>
      </c>
      <c r="AV259" s="526">
        <v>76.02</v>
      </c>
      <c r="AW259" s="522">
        <v>77</v>
      </c>
      <c r="AX259" s="526">
        <v>81.25</v>
      </c>
      <c r="AY259" s="526">
        <v>81.11</v>
      </c>
      <c r="AZ259" s="526">
        <v>6.3</v>
      </c>
      <c r="BA259" s="526">
        <v>87.5</v>
      </c>
      <c r="BB259" s="522">
        <v>5642</v>
      </c>
      <c r="BC259" s="526">
        <v>93.26</v>
      </c>
      <c r="BD259" s="526">
        <v>93.35</v>
      </c>
      <c r="BE259" s="526">
        <v>5.07</v>
      </c>
      <c r="BF259" s="526">
        <v>97.7</v>
      </c>
      <c r="BG259" s="522">
        <v>5989</v>
      </c>
      <c r="BH259" s="526">
        <v>105.91</v>
      </c>
      <c r="BI259" s="526">
        <v>105.88</v>
      </c>
      <c r="BJ259" s="526">
        <v>1.67</v>
      </c>
      <c r="BK259" s="526">
        <v>107.35</v>
      </c>
      <c r="BL259" s="522">
        <v>4537</v>
      </c>
      <c r="BM259" s="526">
        <v>115.11</v>
      </c>
      <c r="BN259" s="526">
        <v>116.93</v>
      </c>
      <c r="BO259" s="526">
        <v>2.2599999999999998</v>
      </c>
      <c r="BP259" s="526">
        <v>116.66</v>
      </c>
      <c r="BQ259" s="522">
        <v>258</v>
      </c>
      <c r="BR259" s="526">
        <v>124.1</v>
      </c>
      <c r="BS259" s="526">
        <v>126.01</v>
      </c>
      <c r="BT259" s="526">
        <v>1.76</v>
      </c>
      <c r="BU259" s="526">
        <v>125.33</v>
      </c>
      <c r="BV259" s="522">
        <v>43</v>
      </c>
      <c r="BW259" s="526">
        <v>140.16999999999999</v>
      </c>
      <c r="BX259" s="526">
        <v>139.22999999999999</v>
      </c>
      <c r="BY259" s="526">
        <v>2.44</v>
      </c>
      <c r="BZ259" s="526">
        <v>142.61000000000001</v>
      </c>
      <c r="CA259" s="522">
        <v>2</v>
      </c>
      <c r="CB259" s="526">
        <v>92.94</v>
      </c>
      <c r="CC259" s="526">
        <v>92.95</v>
      </c>
      <c r="CD259" s="526">
        <v>4.62</v>
      </c>
      <c r="CE259" s="526">
        <v>97.14</v>
      </c>
      <c r="CF259" s="522">
        <v>16548</v>
      </c>
      <c r="CG259" s="526">
        <v>92.94</v>
      </c>
      <c r="CH259" s="526">
        <v>92.95</v>
      </c>
      <c r="CI259" s="526">
        <v>4.62</v>
      </c>
      <c r="CJ259" s="526">
        <v>97.14</v>
      </c>
      <c r="CK259" s="522">
        <v>16548</v>
      </c>
      <c r="CL259" s="526">
        <v>125.33</v>
      </c>
      <c r="CM259" s="526">
        <v>106.36</v>
      </c>
      <c r="CN259" s="526">
        <v>51.98</v>
      </c>
      <c r="CO259" s="526">
        <v>167.22</v>
      </c>
      <c r="CP259" s="522">
        <v>134</v>
      </c>
      <c r="CQ259" s="526">
        <v>78.33</v>
      </c>
      <c r="CR259" s="526">
        <v>71.97</v>
      </c>
      <c r="CS259" s="526">
        <v>42.81</v>
      </c>
      <c r="CT259" s="526">
        <v>114.04</v>
      </c>
      <c r="CU259" s="522">
        <v>344</v>
      </c>
      <c r="CV259" s="526">
        <v>94.43</v>
      </c>
      <c r="CW259" s="526">
        <v>86.42</v>
      </c>
      <c r="CX259" s="526">
        <v>50.39</v>
      </c>
      <c r="CY259" s="526">
        <v>143.47999999999999</v>
      </c>
      <c r="CZ259" s="522">
        <v>1244</v>
      </c>
      <c r="DA259" s="526">
        <v>99.68</v>
      </c>
      <c r="DB259" s="526">
        <v>92.94</v>
      </c>
      <c r="DC259" s="526">
        <v>45.44</v>
      </c>
      <c r="DD259" s="526">
        <v>144.88</v>
      </c>
      <c r="DE259" s="522">
        <v>193</v>
      </c>
      <c r="DF259" s="526">
        <v>105.3</v>
      </c>
      <c r="DG259" s="526">
        <v>99.07</v>
      </c>
      <c r="DH259" s="526">
        <v>72.989999999999995</v>
      </c>
      <c r="DI259" s="526">
        <v>178.3</v>
      </c>
      <c r="DJ259" s="522">
        <v>15</v>
      </c>
      <c r="DK259" s="526">
        <v>114.57</v>
      </c>
      <c r="DL259" s="526">
        <v>0</v>
      </c>
      <c r="DM259" s="526">
        <v>255.69</v>
      </c>
      <c r="DN259" s="526">
        <v>370.26</v>
      </c>
      <c r="DO259" s="522">
        <v>5</v>
      </c>
      <c r="DP259" s="526">
        <v>92.06</v>
      </c>
      <c r="DQ259" s="526">
        <v>84.21</v>
      </c>
      <c r="DR259" s="526">
        <v>49.36</v>
      </c>
      <c r="DS259" s="526">
        <v>138.91999999999999</v>
      </c>
      <c r="DT259" s="522">
        <v>1801</v>
      </c>
      <c r="DU259" s="526">
        <v>94.36</v>
      </c>
      <c r="DV259" s="526">
        <v>85.07</v>
      </c>
      <c r="DW259" s="526">
        <v>49.51</v>
      </c>
      <c r="DX259" s="526">
        <v>140.88</v>
      </c>
      <c r="DY259" s="522">
        <v>1935</v>
      </c>
      <c r="DZ259" s="526">
        <v>0</v>
      </c>
      <c r="EA259" s="526">
        <v>0</v>
      </c>
      <c r="EB259" s="526">
        <v>0</v>
      </c>
      <c r="EC259" s="522">
        <v>0</v>
      </c>
      <c r="ED259" s="526">
        <v>104.61</v>
      </c>
      <c r="EE259" s="522">
        <v>363</v>
      </c>
      <c r="EF259" s="526">
        <v>115.61</v>
      </c>
      <c r="EG259" s="522">
        <v>1302</v>
      </c>
      <c r="EH259" s="526">
        <v>128.06</v>
      </c>
      <c r="EI259" s="522">
        <v>988</v>
      </c>
      <c r="EJ259" s="526">
        <v>154.1</v>
      </c>
      <c r="EK259" s="522">
        <v>78</v>
      </c>
      <c r="EL259" s="526">
        <v>152.44999999999999</v>
      </c>
      <c r="EM259" s="522">
        <v>6</v>
      </c>
      <c r="EN259" s="526">
        <v>0</v>
      </c>
      <c r="EO259" s="522">
        <v>0</v>
      </c>
      <c r="EP259" s="526">
        <v>119.82</v>
      </c>
      <c r="EQ259" s="522">
        <v>2737</v>
      </c>
      <c r="ER259" s="526">
        <v>119.82</v>
      </c>
      <c r="ES259" s="522">
        <v>2737</v>
      </c>
      <c r="ET259" s="526">
        <v>0</v>
      </c>
      <c r="EU259" s="526">
        <v>0</v>
      </c>
      <c r="EV259" s="526">
        <v>0</v>
      </c>
      <c r="EW259" s="522">
        <v>0</v>
      </c>
      <c r="EX259" s="526">
        <v>128.63999999999999</v>
      </c>
      <c r="EY259" s="522">
        <v>20</v>
      </c>
      <c r="EZ259" s="526">
        <v>169.92</v>
      </c>
      <c r="FA259" s="522">
        <v>34</v>
      </c>
      <c r="FB259" s="526">
        <v>0</v>
      </c>
      <c r="FC259" s="522">
        <v>0</v>
      </c>
      <c r="FD259" s="526">
        <v>0</v>
      </c>
      <c r="FE259" s="522">
        <v>0</v>
      </c>
      <c r="FF259" s="526">
        <v>154.63</v>
      </c>
      <c r="FG259" s="522">
        <v>54</v>
      </c>
      <c r="FH259" s="526">
        <v>154.63</v>
      </c>
      <c r="FI259" s="522">
        <v>54</v>
      </c>
      <c r="FJ259" s="522">
        <v>1</v>
      </c>
      <c r="FK259" s="522">
        <v>22</v>
      </c>
      <c r="FL259" s="522">
        <v>12</v>
      </c>
      <c r="FM259" s="522">
        <v>3</v>
      </c>
      <c r="FN259" s="522">
        <v>7</v>
      </c>
      <c r="FO259" s="522">
        <v>0</v>
      </c>
      <c r="FP259" s="522">
        <v>0</v>
      </c>
      <c r="FQ259" s="522">
        <v>43</v>
      </c>
      <c r="FR259" s="522">
        <v>1</v>
      </c>
    </row>
    <row r="260" spans="1:174" x14ac:dyDescent="0.25">
      <c r="A260" s="523" t="s">
        <v>768</v>
      </c>
      <c r="B260" s="523" t="s">
        <v>769</v>
      </c>
      <c r="C260" s="523" t="s">
        <v>288</v>
      </c>
      <c r="D260" s="522">
        <v>1764</v>
      </c>
      <c r="E260" s="522">
        <v>1767</v>
      </c>
      <c r="F260" s="522">
        <v>0</v>
      </c>
      <c r="G260" s="522">
        <v>0</v>
      </c>
      <c r="H260" s="522">
        <v>133</v>
      </c>
      <c r="I260" s="522">
        <v>83</v>
      </c>
      <c r="J260" s="522">
        <v>110</v>
      </c>
      <c r="K260" s="522">
        <v>110</v>
      </c>
      <c r="L260" s="522">
        <v>261</v>
      </c>
      <c r="M260" s="522">
        <v>67</v>
      </c>
      <c r="N260" s="522">
        <v>2268</v>
      </c>
      <c r="O260" s="522">
        <v>2027</v>
      </c>
      <c r="P260" s="522">
        <v>2007</v>
      </c>
      <c r="Q260" s="522">
        <v>0</v>
      </c>
      <c r="R260" s="523">
        <v>2</v>
      </c>
      <c r="S260" s="523">
        <v>21</v>
      </c>
      <c r="T260" s="523">
        <v>50</v>
      </c>
      <c r="U260" s="523">
        <v>2218</v>
      </c>
      <c r="V260" s="522">
        <v>1764</v>
      </c>
      <c r="W260" s="522">
        <v>8</v>
      </c>
      <c r="X260" s="522">
        <v>1</v>
      </c>
      <c r="Y260" s="522">
        <v>9</v>
      </c>
      <c r="Z260" s="524">
        <v>100.2</v>
      </c>
      <c r="AA260" s="524">
        <v>100.33</v>
      </c>
      <c r="AB260" s="524">
        <v>6.42</v>
      </c>
      <c r="AC260" s="524">
        <v>105.68</v>
      </c>
      <c r="AD260" s="524">
        <v>1227</v>
      </c>
      <c r="AE260" s="525">
        <v>95.62</v>
      </c>
      <c r="AF260" s="525">
        <v>91.8</v>
      </c>
      <c r="AG260" s="525">
        <v>55.11</v>
      </c>
      <c r="AH260" s="525">
        <v>150.72999999999999</v>
      </c>
      <c r="AI260" s="525">
        <v>193</v>
      </c>
      <c r="AJ260" s="525">
        <v>133.85</v>
      </c>
      <c r="AK260" s="525">
        <v>526</v>
      </c>
      <c r="AL260" s="525">
        <v>0</v>
      </c>
      <c r="AM260" s="525">
        <v>0</v>
      </c>
      <c r="AN260" s="526">
        <v>0</v>
      </c>
      <c r="AO260" s="526">
        <v>0</v>
      </c>
      <c r="AP260" s="526">
        <v>0</v>
      </c>
      <c r="AQ260" s="526">
        <v>0</v>
      </c>
      <c r="AR260" s="522">
        <v>0</v>
      </c>
      <c r="AS260" s="526">
        <v>0</v>
      </c>
      <c r="AT260" s="526">
        <v>0</v>
      </c>
      <c r="AU260" s="526">
        <v>0</v>
      </c>
      <c r="AV260" s="526">
        <v>0</v>
      </c>
      <c r="AW260" s="522">
        <v>0</v>
      </c>
      <c r="AX260" s="526">
        <v>82.45</v>
      </c>
      <c r="AY260" s="526">
        <v>81.94</v>
      </c>
      <c r="AZ260" s="526">
        <v>8.1999999999999993</v>
      </c>
      <c r="BA260" s="526">
        <v>90.65</v>
      </c>
      <c r="BB260" s="522">
        <v>266</v>
      </c>
      <c r="BC260" s="526">
        <v>100.76</v>
      </c>
      <c r="BD260" s="526">
        <v>100.66</v>
      </c>
      <c r="BE260" s="526">
        <v>7.83</v>
      </c>
      <c r="BF260" s="526">
        <v>107.34</v>
      </c>
      <c r="BG260" s="522">
        <v>530</v>
      </c>
      <c r="BH260" s="526">
        <v>109.13</v>
      </c>
      <c r="BI260" s="526">
        <v>109.8</v>
      </c>
      <c r="BJ260" s="526">
        <v>3.06</v>
      </c>
      <c r="BK260" s="526">
        <v>111.53</v>
      </c>
      <c r="BL260" s="522">
        <v>385</v>
      </c>
      <c r="BM260" s="526">
        <v>121.39</v>
      </c>
      <c r="BN260" s="526">
        <v>122.92</v>
      </c>
      <c r="BO260" s="526">
        <v>3.81</v>
      </c>
      <c r="BP260" s="526">
        <v>124.42</v>
      </c>
      <c r="BQ260" s="522">
        <v>44</v>
      </c>
      <c r="BR260" s="526">
        <v>113.16</v>
      </c>
      <c r="BS260" s="526">
        <v>119.76</v>
      </c>
      <c r="BT260" s="526">
        <v>0</v>
      </c>
      <c r="BU260" s="526">
        <v>113.16</v>
      </c>
      <c r="BV260" s="522">
        <v>1</v>
      </c>
      <c r="BW260" s="526">
        <v>145.16</v>
      </c>
      <c r="BX260" s="526">
        <v>150.19999999999999</v>
      </c>
      <c r="BY260" s="526">
        <v>0</v>
      </c>
      <c r="BZ260" s="526">
        <v>145.16</v>
      </c>
      <c r="CA260" s="522">
        <v>1</v>
      </c>
      <c r="CB260" s="526">
        <v>100.2</v>
      </c>
      <c r="CC260" s="526">
        <v>100.33</v>
      </c>
      <c r="CD260" s="526">
        <v>6.42</v>
      </c>
      <c r="CE260" s="526">
        <v>105.68</v>
      </c>
      <c r="CF260" s="522">
        <v>1227</v>
      </c>
      <c r="CG260" s="526">
        <v>100.2</v>
      </c>
      <c r="CH260" s="526">
        <v>100.33</v>
      </c>
      <c r="CI260" s="526">
        <v>6.42</v>
      </c>
      <c r="CJ260" s="526">
        <v>105.68</v>
      </c>
      <c r="CK260" s="522">
        <v>1227</v>
      </c>
      <c r="CL260" s="526">
        <v>125.92</v>
      </c>
      <c r="CM260" s="526">
        <v>0</v>
      </c>
      <c r="CN260" s="526">
        <v>79.739999999999995</v>
      </c>
      <c r="CO260" s="526">
        <v>205.66</v>
      </c>
      <c r="CP260" s="522">
        <v>6</v>
      </c>
      <c r="CQ260" s="526">
        <v>0</v>
      </c>
      <c r="CR260" s="526">
        <v>0</v>
      </c>
      <c r="CS260" s="526">
        <v>0</v>
      </c>
      <c r="CT260" s="526">
        <v>0</v>
      </c>
      <c r="CU260" s="522">
        <v>0</v>
      </c>
      <c r="CV260" s="526">
        <v>93.31</v>
      </c>
      <c r="CW260" s="526">
        <v>90.63</v>
      </c>
      <c r="CX260" s="526">
        <v>55.07</v>
      </c>
      <c r="CY260" s="526">
        <v>148.38</v>
      </c>
      <c r="CZ260" s="522">
        <v>167</v>
      </c>
      <c r="DA260" s="526">
        <v>105.43</v>
      </c>
      <c r="DB260" s="526">
        <v>101.21</v>
      </c>
      <c r="DC260" s="526">
        <v>47.84</v>
      </c>
      <c r="DD260" s="526">
        <v>153.27000000000001</v>
      </c>
      <c r="DE260" s="522">
        <v>19</v>
      </c>
      <c r="DF260" s="526">
        <v>113.87</v>
      </c>
      <c r="DG260" s="526">
        <v>108.5</v>
      </c>
      <c r="DH260" s="526">
        <v>51.45</v>
      </c>
      <c r="DI260" s="526">
        <v>165.32</v>
      </c>
      <c r="DJ260" s="522">
        <v>1</v>
      </c>
      <c r="DK260" s="526">
        <v>0</v>
      </c>
      <c r="DL260" s="526">
        <v>0</v>
      </c>
      <c r="DM260" s="526">
        <v>0</v>
      </c>
      <c r="DN260" s="526">
        <v>0</v>
      </c>
      <c r="DO260" s="522">
        <v>0</v>
      </c>
      <c r="DP260" s="526">
        <v>94.65</v>
      </c>
      <c r="DQ260" s="526">
        <v>91.8</v>
      </c>
      <c r="DR260" s="526">
        <v>54.32</v>
      </c>
      <c r="DS260" s="526">
        <v>148.97</v>
      </c>
      <c r="DT260" s="522">
        <v>187</v>
      </c>
      <c r="DU260" s="526">
        <v>95.62</v>
      </c>
      <c r="DV260" s="526">
        <v>91.8</v>
      </c>
      <c r="DW260" s="526">
        <v>55.11</v>
      </c>
      <c r="DX260" s="526">
        <v>150.72999999999999</v>
      </c>
      <c r="DY260" s="522">
        <v>193</v>
      </c>
      <c r="DZ260" s="526">
        <v>0</v>
      </c>
      <c r="EA260" s="526">
        <v>0</v>
      </c>
      <c r="EB260" s="526">
        <v>0</v>
      </c>
      <c r="EC260" s="522">
        <v>0</v>
      </c>
      <c r="ED260" s="526">
        <v>106.95</v>
      </c>
      <c r="EE260" s="522">
        <v>98</v>
      </c>
      <c r="EF260" s="526">
        <v>133.81</v>
      </c>
      <c r="EG260" s="522">
        <v>307</v>
      </c>
      <c r="EH260" s="526">
        <v>152.61000000000001</v>
      </c>
      <c r="EI260" s="522">
        <v>110</v>
      </c>
      <c r="EJ260" s="526">
        <v>186.83</v>
      </c>
      <c r="EK260" s="522">
        <v>11</v>
      </c>
      <c r="EL260" s="526">
        <v>0</v>
      </c>
      <c r="EM260" s="522">
        <v>0</v>
      </c>
      <c r="EN260" s="526">
        <v>0</v>
      </c>
      <c r="EO260" s="522">
        <v>0</v>
      </c>
      <c r="EP260" s="526">
        <v>133.85</v>
      </c>
      <c r="EQ260" s="522">
        <v>526</v>
      </c>
      <c r="ER260" s="526">
        <v>133.85</v>
      </c>
      <c r="ES260" s="522">
        <v>526</v>
      </c>
      <c r="ET260" s="526">
        <v>0</v>
      </c>
      <c r="EU260" s="526">
        <v>0</v>
      </c>
      <c r="EV260" s="526">
        <v>0</v>
      </c>
      <c r="EW260" s="522">
        <v>0</v>
      </c>
      <c r="EX260" s="526">
        <v>0</v>
      </c>
      <c r="EY260" s="522">
        <v>0</v>
      </c>
      <c r="EZ260" s="526">
        <v>0</v>
      </c>
      <c r="FA260" s="522">
        <v>0</v>
      </c>
      <c r="FB260" s="526">
        <v>0</v>
      </c>
      <c r="FC260" s="522">
        <v>0</v>
      </c>
      <c r="FD260" s="526">
        <v>0</v>
      </c>
      <c r="FE260" s="522">
        <v>0</v>
      </c>
      <c r="FF260" s="526">
        <v>0</v>
      </c>
      <c r="FG260" s="522">
        <v>0</v>
      </c>
      <c r="FH260" s="526">
        <v>0</v>
      </c>
      <c r="FI260" s="522">
        <v>0</v>
      </c>
      <c r="FJ260" s="522">
        <v>0</v>
      </c>
      <c r="FK260" s="522">
        <v>0</v>
      </c>
      <c r="FL260" s="522">
        <v>0</v>
      </c>
      <c r="FM260" s="522">
        <v>0</v>
      </c>
      <c r="FN260" s="522">
        <v>0</v>
      </c>
      <c r="FO260" s="522">
        <v>0</v>
      </c>
      <c r="FP260" s="522">
        <v>1</v>
      </c>
      <c r="FQ260" s="522">
        <v>18</v>
      </c>
      <c r="FR260" s="522">
        <v>5</v>
      </c>
    </row>
    <row r="261" spans="1:174" x14ac:dyDescent="0.25">
      <c r="A261" s="523" t="s">
        <v>770</v>
      </c>
      <c r="B261" s="523" t="s">
        <v>771</v>
      </c>
      <c r="C261" s="523" t="s">
        <v>2</v>
      </c>
      <c r="D261" s="522">
        <v>1233</v>
      </c>
      <c r="E261" s="522">
        <v>1222</v>
      </c>
      <c r="F261" s="522">
        <v>0</v>
      </c>
      <c r="G261" s="522">
        <v>0</v>
      </c>
      <c r="H261" s="522">
        <v>125</v>
      </c>
      <c r="I261" s="522">
        <v>29</v>
      </c>
      <c r="J261" s="522">
        <v>103</v>
      </c>
      <c r="K261" s="522">
        <v>27</v>
      </c>
      <c r="L261" s="522">
        <v>394</v>
      </c>
      <c r="M261" s="522">
        <v>1</v>
      </c>
      <c r="N261" s="522">
        <v>1855</v>
      </c>
      <c r="O261" s="522">
        <v>1279</v>
      </c>
      <c r="P261" s="522">
        <v>1461</v>
      </c>
      <c r="Q261" s="522">
        <v>6</v>
      </c>
      <c r="R261" s="523">
        <v>8</v>
      </c>
      <c r="S261" s="523">
        <v>20</v>
      </c>
      <c r="T261" s="523">
        <v>152</v>
      </c>
      <c r="U261" s="523">
        <v>1703</v>
      </c>
      <c r="V261" s="522">
        <v>1222</v>
      </c>
      <c r="W261" s="522">
        <v>17</v>
      </c>
      <c r="X261" s="522">
        <v>4</v>
      </c>
      <c r="Y261" s="522">
        <v>21</v>
      </c>
      <c r="Z261" s="524">
        <v>141.75</v>
      </c>
      <c r="AA261" s="524">
        <v>142.11000000000001</v>
      </c>
      <c r="AB261" s="524">
        <v>11.04</v>
      </c>
      <c r="AC261" s="524">
        <v>151.85</v>
      </c>
      <c r="AD261" s="524">
        <v>729</v>
      </c>
      <c r="AE261" s="525">
        <v>172.88</v>
      </c>
      <c r="AF261" s="525">
        <v>105.85</v>
      </c>
      <c r="AG261" s="525">
        <v>55.18</v>
      </c>
      <c r="AH261" s="525">
        <v>224.25</v>
      </c>
      <c r="AI261" s="525">
        <v>87</v>
      </c>
      <c r="AJ261" s="525">
        <v>212.9</v>
      </c>
      <c r="AK261" s="525">
        <v>432</v>
      </c>
      <c r="AL261" s="525">
        <v>166.3</v>
      </c>
      <c r="AM261" s="525">
        <v>8</v>
      </c>
      <c r="AN261" s="526">
        <v>0</v>
      </c>
      <c r="AO261" s="526">
        <v>0</v>
      </c>
      <c r="AP261" s="526">
        <v>0</v>
      </c>
      <c r="AQ261" s="526">
        <v>0</v>
      </c>
      <c r="AR261" s="522">
        <v>0</v>
      </c>
      <c r="AS261" s="526">
        <v>0</v>
      </c>
      <c r="AT261" s="526">
        <v>0</v>
      </c>
      <c r="AU261" s="526">
        <v>0</v>
      </c>
      <c r="AV261" s="526">
        <v>0</v>
      </c>
      <c r="AW261" s="522">
        <v>0</v>
      </c>
      <c r="AX261" s="526">
        <v>114.91</v>
      </c>
      <c r="AY261" s="526">
        <v>116.11</v>
      </c>
      <c r="AZ261" s="526">
        <v>16.38</v>
      </c>
      <c r="BA261" s="526">
        <v>130.72999999999999</v>
      </c>
      <c r="BB261" s="522">
        <v>149</v>
      </c>
      <c r="BC261" s="526">
        <v>138.63999999999999</v>
      </c>
      <c r="BD261" s="526">
        <v>138.59</v>
      </c>
      <c r="BE261" s="526">
        <v>11.07</v>
      </c>
      <c r="BF261" s="526">
        <v>149.22</v>
      </c>
      <c r="BG261" s="522">
        <v>337</v>
      </c>
      <c r="BH261" s="526">
        <v>161.24</v>
      </c>
      <c r="BI261" s="526">
        <v>161.54</v>
      </c>
      <c r="BJ261" s="526">
        <v>7.04</v>
      </c>
      <c r="BK261" s="526">
        <v>166.99</v>
      </c>
      <c r="BL261" s="522">
        <v>225</v>
      </c>
      <c r="BM261" s="526">
        <v>178.43</v>
      </c>
      <c r="BN261" s="526">
        <v>187.09</v>
      </c>
      <c r="BO261" s="526">
        <v>8.69</v>
      </c>
      <c r="BP261" s="526">
        <v>186.63</v>
      </c>
      <c r="BQ261" s="522">
        <v>18</v>
      </c>
      <c r="BR261" s="526">
        <v>0</v>
      </c>
      <c r="BS261" s="526">
        <v>0</v>
      </c>
      <c r="BT261" s="526">
        <v>0</v>
      </c>
      <c r="BU261" s="526">
        <v>0</v>
      </c>
      <c r="BV261" s="522">
        <v>0</v>
      </c>
      <c r="BW261" s="526">
        <v>0</v>
      </c>
      <c r="BX261" s="526">
        <v>0</v>
      </c>
      <c r="BY261" s="526">
        <v>0</v>
      </c>
      <c r="BZ261" s="526">
        <v>0</v>
      </c>
      <c r="CA261" s="522">
        <v>0</v>
      </c>
      <c r="CB261" s="526">
        <v>141.75</v>
      </c>
      <c r="CC261" s="526">
        <v>142.11000000000001</v>
      </c>
      <c r="CD261" s="526">
        <v>11.04</v>
      </c>
      <c r="CE261" s="526">
        <v>151.85</v>
      </c>
      <c r="CF261" s="522">
        <v>729</v>
      </c>
      <c r="CG261" s="526">
        <v>141.75</v>
      </c>
      <c r="CH261" s="526">
        <v>142.11000000000001</v>
      </c>
      <c r="CI261" s="526">
        <v>11.04</v>
      </c>
      <c r="CJ261" s="526">
        <v>151.85</v>
      </c>
      <c r="CK261" s="522">
        <v>729</v>
      </c>
      <c r="CL261" s="526">
        <v>217.33</v>
      </c>
      <c r="CM261" s="526">
        <v>105.67</v>
      </c>
      <c r="CN261" s="526">
        <v>64.44</v>
      </c>
      <c r="CO261" s="526">
        <v>272.57</v>
      </c>
      <c r="CP261" s="522">
        <v>42</v>
      </c>
      <c r="CQ261" s="526">
        <v>119.79</v>
      </c>
      <c r="CR261" s="526">
        <v>108.58</v>
      </c>
      <c r="CS261" s="526">
        <v>118.71</v>
      </c>
      <c r="CT261" s="526">
        <v>238.5</v>
      </c>
      <c r="CU261" s="522">
        <v>5</v>
      </c>
      <c r="CV261" s="526">
        <v>133.85</v>
      </c>
      <c r="CW261" s="526">
        <v>105.06</v>
      </c>
      <c r="CX261" s="526">
        <v>39.74</v>
      </c>
      <c r="CY261" s="526">
        <v>173.59</v>
      </c>
      <c r="CZ261" s="522">
        <v>38</v>
      </c>
      <c r="DA261" s="526">
        <v>113.63</v>
      </c>
      <c r="DB261" s="526">
        <v>113.63</v>
      </c>
      <c r="DC261" s="526">
        <v>23</v>
      </c>
      <c r="DD261" s="526">
        <v>136.63</v>
      </c>
      <c r="DE261" s="522">
        <v>2</v>
      </c>
      <c r="DF261" s="526">
        <v>0</v>
      </c>
      <c r="DG261" s="526">
        <v>0</v>
      </c>
      <c r="DH261" s="526">
        <v>0</v>
      </c>
      <c r="DI261" s="526">
        <v>0</v>
      </c>
      <c r="DJ261" s="522">
        <v>0</v>
      </c>
      <c r="DK261" s="526">
        <v>0</v>
      </c>
      <c r="DL261" s="526">
        <v>0</v>
      </c>
      <c r="DM261" s="526">
        <v>0</v>
      </c>
      <c r="DN261" s="526">
        <v>0</v>
      </c>
      <c r="DO261" s="522">
        <v>0</v>
      </c>
      <c r="DP261" s="526">
        <v>131.38999999999999</v>
      </c>
      <c r="DQ261" s="526">
        <v>105.93</v>
      </c>
      <c r="DR261" s="526">
        <v>47.77</v>
      </c>
      <c r="DS261" s="526">
        <v>179.16</v>
      </c>
      <c r="DT261" s="522">
        <v>45</v>
      </c>
      <c r="DU261" s="526">
        <v>172.88</v>
      </c>
      <c r="DV261" s="526">
        <v>105.85</v>
      </c>
      <c r="DW261" s="526">
        <v>55.18</v>
      </c>
      <c r="DX261" s="526">
        <v>224.25</v>
      </c>
      <c r="DY261" s="522">
        <v>87</v>
      </c>
      <c r="DZ261" s="526">
        <v>0</v>
      </c>
      <c r="EA261" s="526">
        <v>0</v>
      </c>
      <c r="EB261" s="526">
        <v>0</v>
      </c>
      <c r="EC261" s="522">
        <v>0</v>
      </c>
      <c r="ED261" s="526">
        <v>170.37</v>
      </c>
      <c r="EE261" s="522">
        <v>107</v>
      </c>
      <c r="EF261" s="526">
        <v>218.18</v>
      </c>
      <c r="EG261" s="522">
        <v>245</v>
      </c>
      <c r="EH261" s="526">
        <v>252.19</v>
      </c>
      <c r="EI261" s="522">
        <v>76</v>
      </c>
      <c r="EJ261" s="526">
        <v>280.93</v>
      </c>
      <c r="EK261" s="522">
        <v>4</v>
      </c>
      <c r="EL261" s="526">
        <v>0</v>
      </c>
      <c r="EM261" s="522">
        <v>0</v>
      </c>
      <c r="EN261" s="526">
        <v>0</v>
      </c>
      <c r="EO261" s="522">
        <v>0</v>
      </c>
      <c r="EP261" s="526">
        <v>212.9</v>
      </c>
      <c r="EQ261" s="522">
        <v>432</v>
      </c>
      <c r="ER261" s="526">
        <v>212.9</v>
      </c>
      <c r="ES261" s="522">
        <v>432</v>
      </c>
      <c r="ET261" s="526">
        <v>0</v>
      </c>
      <c r="EU261" s="526">
        <v>0</v>
      </c>
      <c r="EV261" s="526">
        <v>0</v>
      </c>
      <c r="EW261" s="522">
        <v>0</v>
      </c>
      <c r="EX261" s="526">
        <v>166.3</v>
      </c>
      <c r="EY261" s="522">
        <v>8</v>
      </c>
      <c r="EZ261" s="526">
        <v>0</v>
      </c>
      <c r="FA261" s="522">
        <v>0</v>
      </c>
      <c r="FB261" s="526">
        <v>0</v>
      </c>
      <c r="FC261" s="522">
        <v>0</v>
      </c>
      <c r="FD261" s="526">
        <v>0</v>
      </c>
      <c r="FE261" s="522">
        <v>0</v>
      </c>
      <c r="FF261" s="526">
        <v>166.3</v>
      </c>
      <c r="FG261" s="522">
        <v>8</v>
      </c>
      <c r="FH261" s="526">
        <v>166.3</v>
      </c>
      <c r="FI261" s="522">
        <v>8</v>
      </c>
      <c r="FJ261" s="522">
        <v>0</v>
      </c>
      <c r="FK261" s="522">
        <v>0</v>
      </c>
      <c r="FL261" s="522">
        <v>0</v>
      </c>
      <c r="FM261" s="522">
        <v>0</v>
      </c>
      <c r="FN261" s="522">
        <v>0</v>
      </c>
      <c r="FO261" s="522">
        <v>0</v>
      </c>
      <c r="FP261" s="522">
        <v>0</v>
      </c>
      <c r="FQ261" s="522">
        <v>2</v>
      </c>
      <c r="FR261" s="522">
        <v>6</v>
      </c>
    </row>
    <row r="262" spans="1:174" x14ac:dyDescent="0.25">
      <c r="A262" s="523" t="s">
        <v>772</v>
      </c>
      <c r="B262" s="523" t="s">
        <v>773</v>
      </c>
      <c r="C262" s="523" t="s">
        <v>287</v>
      </c>
      <c r="D262" s="522">
        <v>4496</v>
      </c>
      <c r="E262" s="522">
        <v>4535</v>
      </c>
      <c r="F262" s="522">
        <v>0</v>
      </c>
      <c r="G262" s="522">
        <v>0</v>
      </c>
      <c r="H262" s="522">
        <v>218</v>
      </c>
      <c r="I262" s="522">
        <v>129</v>
      </c>
      <c r="J262" s="522">
        <v>1379</v>
      </c>
      <c r="K262" s="522">
        <v>1412</v>
      </c>
      <c r="L262" s="522">
        <v>780</v>
      </c>
      <c r="M262" s="522">
        <v>21</v>
      </c>
      <c r="N262" s="522">
        <v>6873</v>
      </c>
      <c r="O262" s="522">
        <v>6097</v>
      </c>
      <c r="P262" s="522">
        <v>6093</v>
      </c>
      <c r="Q262" s="522">
        <v>32</v>
      </c>
      <c r="R262" s="523">
        <v>6</v>
      </c>
      <c r="S262" s="523">
        <v>23</v>
      </c>
      <c r="T262" s="523">
        <v>110</v>
      </c>
      <c r="U262" s="523">
        <v>6763</v>
      </c>
      <c r="V262" s="522">
        <v>4478</v>
      </c>
      <c r="W262" s="522">
        <v>58</v>
      </c>
      <c r="X262" s="522">
        <v>31</v>
      </c>
      <c r="Y262" s="522">
        <v>89</v>
      </c>
      <c r="Z262" s="524">
        <v>98.79</v>
      </c>
      <c r="AA262" s="524">
        <v>95.67</v>
      </c>
      <c r="AB262" s="524">
        <v>4.5999999999999996</v>
      </c>
      <c r="AC262" s="524">
        <v>103.18</v>
      </c>
      <c r="AD262" s="524">
        <v>3421</v>
      </c>
      <c r="AE262" s="525">
        <v>96.97</v>
      </c>
      <c r="AF262" s="525">
        <v>87.34</v>
      </c>
      <c r="AG262" s="525">
        <v>18.53</v>
      </c>
      <c r="AH262" s="525">
        <v>115.19</v>
      </c>
      <c r="AI262" s="525">
        <v>1505</v>
      </c>
      <c r="AJ262" s="525">
        <v>147.1</v>
      </c>
      <c r="AK262" s="525">
        <v>991</v>
      </c>
      <c r="AL262" s="525">
        <v>0</v>
      </c>
      <c r="AM262" s="525">
        <v>0</v>
      </c>
      <c r="AN262" s="526">
        <v>0</v>
      </c>
      <c r="AO262" s="526">
        <v>0</v>
      </c>
      <c r="AP262" s="526">
        <v>0</v>
      </c>
      <c r="AQ262" s="526">
        <v>0</v>
      </c>
      <c r="AR262" s="522">
        <v>0</v>
      </c>
      <c r="AS262" s="526">
        <v>0</v>
      </c>
      <c r="AT262" s="526">
        <v>0</v>
      </c>
      <c r="AU262" s="526">
        <v>0</v>
      </c>
      <c r="AV262" s="526">
        <v>0</v>
      </c>
      <c r="AW262" s="522">
        <v>0</v>
      </c>
      <c r="AX262" s="526">
        <v>83.33</v>
      </c>
      <c r="AY262" s="526">
        <v>80.55</v>
      </c>
      <c r="AZ262" s="526">
        <v>10.07</v>
      </c>
      <c r="BA262" s="526">
        <v>93.3</v>
      </c>
      <c r="BB262" s="522">
        <v>426</v>
      </c>
      <c r="BC262" s="526">
        <v>94.39</v>
      </c>
      <c r="BD262" s="526">
        <v>91.7</v>
      </c>
      <c r="BE262" s="526">
        <v>6.48</v>
      </c>
      <c r="BF262" s="526">
        <v>100.5</v>
      </c>
      <c r="BG262" s="522">
        <v>1289</v>
      </c>
      <c r="BH262" s="526">
        <v>105.41</v>
      </c>
      <c r="BI262" s="526">
        <v>101.72</v>
      </c>
      <c r="BJ262" s="526">
        <v>1.78</v>
      </c>
      <c r="BK262" s="526">
        <v>107.12</v>
      </c>
      <c r="BL262" s="522">
        <v>1635</v>
      </c>
      <c r="BM262" s="526">
        <v>119.3</v>
      </c>
      <c r="BN262" s="526">
        <v>117.55</v>
      </c>
      <c r="BO262" s="526">
        <v>2.06</v>
      </c>
      <c r="BP262" s="526">
        <v>121.22</v>
      </c>
      <c r="BQ262" s="522">
        <v>68</v>
      </c>
      <c r="BR262" s="526">
        <v>105.55</v>
      </c>
      <c r="BS262" s="526">
        <v>102.28</v>
      </c>
      <c r="BT262" s="526">
        <v>0.82</v>
      </c>
      <c r="BU262" s="526">
        <v>106.37</v>
      </c>
      <c r="BV262" s="522">
        <v>3</v>
      </c>
      <c r="BW262" s="526">
        <v>0</v>
      </c>
      <c r="BX262" s="526">
        <v>0</v>
      </c>
      <c r="BY262" s="526">
        <v>0</v>
      </c>
      <c r="BZ262" s="526">
        <v>0</v>
      </c>
      <c r="CA262" s="522">
        <v>0</v>
      </c>
      <c r="CB262" s="526">
        <v>98.79</v>
      </c>
      <c r="CC262" s="526">
        <v>95.67</v>
      </c>
      <c r="CD262" s="526">
        <v>4.5999999999999996</v>
      </c>
      <c r="CE262" s="526">
        <v>103.18</v>
      </c>
      <c r="CF262" s="522">
        <v>3421</v>
      </c>
      <c r="CG262" s="526">
        <v>98.79</v>
      </c>
      <c r="CH262" s="526">
        <v>95.67</v>
      </c>
      <c r="CI262" s="526">
        <v>4.5999999999999996</v>
      </c>
      <c r="CJ262" s="526">
        <v>103.18</v>
      </c>
      <c r="CK262" s="522">
        <v>3421</v>
      </c>
      <c r="CL262" s="526">
        <v>158.29</v>
      </c>
      <c r="CM262" s="526">
        <v>70.48</v>
      </c>
      <c r="CN262" s="526">
        <v>30.26</v>
      </c>
      <c r="CO262" s="526">
        <v>183.68</v>
      </c>
      <c r="CP262" s="522">
        <v>87</v>
      </c>
      <c r="CQ262" s="526">
        <v>0</v>
      </c>
      <c r="CR262" s="526">
        <v>0</v>
      </c>
      <c r="CS262" s="526">
        <v>0</v>
      </c>
      <c r="CT262" s="526">
        <v>0</v>
      </c>
      <c r="CU262" s="522">
        <v>0</v>
      </c>
      <c r="CV262" s="526">
        <v>89.21</v>
      </c>
      <c r="CW262" s="526">
        <v>83.39</v>
      </c>
      <c r="CX262" s="526">
        <v>19.79</v>
      </c>
      <c r="CY262" s="526">
        <v>108.76</v>
      </c>
      <c r="CZ262" s="522">
        <v>877</v>
      </c>
      <c r="DA262" s="526">
        <v>99.48</v>
      </c>
      <c r="DB262" s="526">
        <v>94.88</v>
      </c>
      <c r="DC262" s="526">
        <v>14.94</v>
      </c>
      <c r="DD262" s="526">
        <v>114.42</v>
      </c>
      <c r="DE262" s="522">
        <v>530</v>
      </c>
      <c r="DF262" s="526">
        <v>109.56</v>
      </c>
      <c r="DG262" s="526">
        <v>103.88</v>
      </c>
      <c r="DH262" s="526">
        <v>14.51</v>
      </c>
      <c r="DI262" s="526">
        <v>124.07</v>
      </c>
      <c r="DJ262" s="522">
        <v>11</v>
      </c>
      <c r="DK262" s="526">
        <v>0</v>
      </c>
      <c r="DL262" s="526">
        <v>0</v>
      </c>
      <c r="DM262" s="526">
        <v>0</v>
      </c>
      <c r="DN262" s="526">
        <v>0</v>
      </c>
      <c r="DO262" s="522">
        <v>0</v>
      </c>
      <c r="DP262" s="526">
        <v>93.21</v>
      </c>
      <c r="DQ262" s="526">
        <v>87.88</v>
      </c>
      <c r="DR262" s="526">
        <v>17.920000000000002</v>
      </c>
      <c r="DS262" s="526">
        <v>110.99</v>
      </c>
      <c r="DT262" s="522">
        <v>1418</v>
      </c>
      <c r="DU262" s="526">
        <v>96.97</v>
      </c>
      <c r="DV262" s="526">
        <v>87.34</v>
      </c>
      <c r="DW262" s="526">
        <v>18.53</v>
      </c>
      <c r="DX262" s="526">
        <v>115.19</v>
      </c>
      <c r="DY262" s="522">
        <v>1505</v>
      </c>
      <c r="DZ262" s="526">
        <v>0</v>
      </c>
      <c r="EA262" s="526">
        <v>0</v>
      </c>
      <c r="EB262" s="526">
        <v>0</v>
      </c>
      <c r="EC262" s="522">
        <v>0</v>
      </c>
      <c r="ED262" s="526">
        <v>108.28</v>
      </c>
      <c r="EE262" s="522">
        <v>161</v>
      </c>
      <c r="EF262" s="526">
        <v>141.94</v>
      </c>
      <c r="EG262" s="522">
        <v>497</v>
      </c>
      <c r="EH262" s="526">
        <v>168</v>
      </c>
      <c r="EI262" s="522">
        <v>277</v>
      </c>
      <c r="EJ262" s="526">
        <v>201.36</v>
      </c>
      <c r="EK262" s="522">
        <v>55</v>
      </c>
      <c r="EL262" s="526">
        <v>194.82</v>
      </c>
      <c r="EM262" s="522">
        <v>1</v>
      </c>
      <c r="EN262" s="526">
        <v>0</v>
      </c>
      <c r="EO262" s="522">
        <v>0</v>
      </c>
      <c r="EP262" s="526">
        <v>147.1</v>
      </c>
      <c r="EQ262" s="522">
        <v>991</v>
      </c>
      <c r="ER262" s="526">
        <v>147.1</v>
      </c>
      <c r="ES262" s="522">
        <v>991</v>
      </c>
      <c r="ET262" s="526">
        <v>0</v>
      </c>
      <c r="EU262" s="526">
        <v>0</v>
      </c>
      <c r="EV262" s="526">
        <v>0</v>
      </c>
      <c r="EW262" s="522">
        <v>0</v>
      </c>
      <c r="EX262" s="526">
        <v>0</v>
      </c>
      <c r="EY262" s="522">
        <v>0</v>
      </c>
      <c r="EZ262" s="526">
        <v>0</v>
      </c>
      <c r="FA262" s="522">
        <v>0</v>
      </c>
      <c r="FB262" s="526">
        <v>0</v>
      </c>
      <c r="FC262" s="522">
        <v>0</v>
      </c>
      <c r="FD262" s="526">
        <v>0</v>
      </c>
      <c r="FE262" s="522">
        <v>0</v>
      </c>
      <c r="FF262" s="526">
        <v>0</v>
      </c>
      <c r="FG262" s="522">
        <v>0</v>
      </c>
      <c r="FH262" s="526">
        <v>0</v>
      </c>
      <c r="FI262" s="522">
        <v>0</v>
      </c>
      <c r="FJ262" s="522">
        <v>0</v>
      </c>
      <c r="FK262" s="522">
        <v>3</v>
      </c>
      <c r="FL262" s="522">
        <v>3</v>
      </c>
      <c r="FM262" s="522">
        <v>0</v>
      </c>
      <c r="FN262" s="522">
        <v>0</v>
      </c>
      <c r="FO262" s="522">
        <v>0</v>
      </c>
      <c r="FP262" s="522">
        <v>8</v>
      </c>
      <c r="FQ262" s="522">
        <v>52</v>
      </c>
      <c r="FR262" s="522">
        <v>8</v>
      </c>
    </row>
    <row r="263" spans="1:174" x14ac:dyDescent="0.25">
      <c r="A263" s="523" t="s">
        <v>774</v>
      </c>
      <c r="B263" s="523" t="s">
        <v>775</v>
      </c>
      <c r="C263" s="523" t="s">
        <v>288</v>
      </c>
      <c r="D263" s="522">
        <v>12041</v>
      </c>
      <c r="E263" s="522">
        <v>11977</v>
      </c>
      <c r="F263" s="522">
        <v>0</v>
      </c>
      <c r="G263" s="522">
        <v>0</v>
      </c>
      <c r="H263" s="522">
        <v>666</v>
      </c>
      <c r="I263" s="522">
        <v>241</v>
      </c>
      <c r="J263" s="522">
        <v>2030</v>
      </c>
      <c r="K263" s="522">
        <v>1919</v>
      </c>
      <c r="L263" s="522">
        <v>805</v>
      </c>
      <c r="M263" s="522">
        <v>38</v>
      </c>
      <c r="N263" s="522">
        <v>15542</v>
      </c>
      <c r="O263" s="522">
        <v>14175</v>
      </c>
      <c r="P263" s="522">
        <v>14737</v>
      </c>
      <c r="Q263" s="522">
        <v>12</v>
      </c>
      <c r="R263" s="523">
        <v>9</v>
      </c>
      <c r="S263" s="523">
        <v>22</v>
      </c>
      <c r="T263" s="523">
        <v>450</v>
      </c>
      <c r="U263" s="523">
        <v>15092</v>
      </c>
      <c r="V263" s="522">
        <v>12037</v>
      </c>
      <c r="W263" s="522">
        <v>59</v>
      </c>
      <c r="X263" s="522">
        <v>109</v>
      </c>
      <c r="Y263" s="522">
        <v>168</v>
      </c>
      <c r="Z263" s="524">
        <v>103.18</v>
      </c>
      <c r="AA263" s="524">
        <v>103.41</v>
      </c>
      <c r="AB263" s="524">
        <v>7.12</v>
      </c>
      <c r="AC263" s="524">
        <v>106.18</v>
      </c>
      <c r="AD263" s="524">
        <v>9401</v>
      </c>
      <c r="AE263" s="525">
        <v>106.83</v>
      </c>
      <c r="AF263" s="525">
        <v>102.17</v>
      </c>
      <c r="AG263" s="525">
        <v>50.09</v>
      </c>
      <c r="AH263" s="525">
        <v>156.87</v>
      </c>
      <c r="AI263" s="525">
        <v>1988</v>
      </c>
      <c r="AJ263" s="525">
        <v>134.76</v>
      </c>
      <c r="AK263" s="525">
        <v>2167</v>
      </c>
      <c r="AL263" s="525">
        <v>233.89</v>
      </c>
      <c r="AM263" s="525">
        <v>263</v>
      </c>
      <c r="AN263" s="526">
        <v>0</v>
      </c>
      <c r="AO263" s="526">
        <v>0</v>
      </c>
      <c r="AP263" s="526">
        <v>0</v>
      </c>
      <c r="AQ263" s="526">
        <v>0</v>
      </c>
      <c r="AR263" s="522">
        <v>0</v>
      </c>
      <c r="AS263" s="526">
        <v>67.98</v>
      </c>
      <c r="AT263" s="526">
        <v>67.180000000000007</v>
      </c>
      <c r="AU263" s="526">
        <v>6.38</v>
      </c>
      <c r="AV263" s="526">
        <v>74.36</v>
      </c>
      <c r="AW263" s="522">
        <v>19</v>
      </c>
      <c r="AX263" s="526">
        <v>84.51</v>
      </c>
      <c r="AY263" s="526">
        <v>84.77</v>
      </c>
      <c r="AZ263" s="526">
        <v>7.61</v>
      </c>
      <c r="BA263" s="526">
        <v>90.03</v>
      </c>
      <c r="BB263" s="522">
        <v>1297</v>
      </c>
      <c r="BC263" s="526">
        <v>99.13</v>
      </c>
      <c r="BD263" s="526">
        <v>99.21</v>
      </c>
      <c r="BE263" s="526">
        <v>8</v>
      </c>
      <c r="BF263" s="526">
        <v>103.04</v>
      </c>
      <c r="BG263" s="522">
        <v>3624</v>
      </c>
      <c r="BH263" s="526">
        <v>110.21</v>
      </c>
      <c r="BI263" s="526">
        <v>110.47</v>
      </c>
      <c r="BJ263" s="526">
        <v>5.24</v>
      </c>
      <c r="BK263" s="526">
        <v>111.54</v>
      </c>
      <c r="BL263" s="522">
        <v>3959</v>
      </c>
      <c r="BM263" s="526">
        <v>125.75</v>
      </c>
      <c r="BN263" s="526">
        <v>126.78</v>
      </c>
      <c r="BO263" s="526">
        <v>6.39</v>
      </c>
      <c r="BP263" s="526">
        <v>128.5</v>
      </c>
      <c r="BQ263" s="522">
        <v>464</v>
      </c>
      <c r="BR263" s="526">
        <v>135.37</v>
      </c>
      <c r="BS263" s="526">
        <v>137.52000000000001</v>
      </c>
      <c r="BT263" s="526">
        <v>8.56</v>
      </c>
      <c r="BU263" s="526">
        <v>139.54</v>
      </c>
      <c r="BV263" s="522">
        <v>37</v>
      </c>
      <c r="BW263" s="526">
        <v>151.05000000000001</v>
      </c>
      <c r="BX263" s="526">
        <v>149.4</v>
      </c>
      <c r="BY263" s="526">
        <v>0</v>
      </c>
      <c r="BZ263" s="526">
        <v>151.05000000000001</v>
      </c>
      <c r="CA263" s="522">
        <v>1</v>
      </c>
      <c r="CB263" s="526">
        <v>103.18</v>
      </c>
      <c r="CC263" s="526">
        <v>103.41</v>
      </c>
      <c r="CD263" s="526">
        <v>7.12</v>
      </c>
      <c r="CE263" s="526">
        <v>106.18</v>
      </c>
      <c r="CF263" s="522">
        <v>9401</v>
      </c>
      <c r="CG263" s="526">
        <v>103.18</v>
      </c>
      <c r="CH263" s="526">
        <v>103.41</v>
      </c>
      <c r="CI263" s="526">
        <v>7.12</v>
      </c>
      <c r="CJ263" s="526">
        <v>106.18</v>
      </c>
      <c r="CK263" s="522">
        <v>9401</v>
      </c>
      <c r="CL263" s="526">
        <v>138.37</v>
      </c>
      <c r="CM263" s="526">
        <v>75.58</v>
      </c>
      <c r="CN263" s="526">
        <v>130.37</v>
      </c>
      <c r="CO263" s="526">
        <v>265.20999999999998</v>
      </c>
      <c r="CP263" s="522">
        <v>37</v>
      </c>
      <c r="CQ263" s="526">
        <v>0</v>
      </c>
      <c r="CR263" s="526">
        <v>0</v>
      </c>
      <c r="CS263" s="526">
        <v>0</v>
      </c>
      <c r="CT263" s="526">
        <v>0</v>
      </c>
      <c r="CU263" s="522">
        <v>0</v>
      </c>
      <c r="CV263" s="526">
        <v>99.3</v>
      </c>
      <c r="CW263" s="526">
        <v>93.93</v>
      </c>
      <c r="CX263" s="526">
        <v>45.56</v>
      </c>
      <c r="CY263" s="526">
        <v>144.86000000000001</v>
      </c>
      <c r="CZ263" s="522">
        <v>1285</v>
      </c>
      <c r="DA263" s="526">
        <v>119.19</v>
      </c>
      <c r="DB263" s="526">
        <v>118.62</v>
      </c>
      <c r="DC263" s="526">
        <v>55.29</v>
      </c>
      <c r="DD263" s="526">
        <v>174.48</v>
      </c>
      <c r="DE263" s="522">
        <v>634</v>
      </c>
      <c r="DF263" s="526">
        <v>127.78</v>
      </c>
      <c r="DG263" s="526">
        <v>116.43</v>
      </c>
      <c r="DH263" s="526">
        <v>38.200000000000003</v>
      </c>
      <c r="DI263" s="526">
        <v>164.79</v>
      </c>
      <c r="DJ263" s="522">
        <v>32</v>
      </c>
      <c r="DK263" s="526">
        <v>0</v>
      </c>
      <c r="DL263" s="526">
        <v>0</v>
      </c>
      <c r="DM263" s="526">
        <v>0</v>
      </c>
      <c r="DN263" s="526">
        <v>0</v>
      </c>
      <c r="DO263" s="522">
        <v>0</v>
      </c>
      <c r="DP263" s="526">
        <v>106.23</v>
      </c>
      <c r="DQ263" s="526">
        <v>102.45</v>
      </c>
      <c r="DR263" s="526">
        <v>48.61</v>
      </c>
      <c r="DS263" s="526">
        <v>154.81</v>
      </c>
      <c r="DT263" s="522">
        <v>1951</v>
      </c>
      <c r="DU263" s="526">
        <v>106.83</v>
      </c>
      <c r="DV263" s="526">
        <v>102.17</v>
      </c>
      <c r="DW263" s="526">
        <v>50.09</v>
      </c>
      <c r="DX263" s="526">
        <v>156.87</v>
      </c>
      <c r="DY263" s="522">
        <v>1988</v>
      </c>
      <c r="DZ263" s="526">
        <v>0</v>
      </c>
      <c r="EA263" s="526">
        <v>0</v>
      </c>
      <c r="EB263" s="526">
        <v>0</v>
      </c>
      <c r="EC263" s="522">
        <v>0</v>
      </c>
      <c r="ED263" s="526">
        <v>103.9</v>
      </c>
      <c r="EE263" s="522">
        <v>204</v>
      </c>
      <c r="EF263" s="526">
        <v>128.88999999999999</v>
      </c>
      <c r="EG263" s="522">
        <v>1123</v>
      </c>
      <c r="EH263" s="526">
        <v>148.37</v>
      </c>
      <c r="EI263" s="522">
        <v>767</v>
      </c>
      <c r="EJ263" s="526">
        <v>168.46</v>
      </c>
      <c r="EK263" s="522">
        <v>73</v>
      </c>
      <c r="EL263" s="526">
        <v>0</v>
      </c>
      <c r="EM263" s="522">
        <v>0</v>
      </c>
      <c r="EN263" s="526">
        <v>0</v>
      </c>
      <c r="EO263" s="522">
        <v>0</v>
      </c>
      <c r="EP263" s="526">
        <v>134.76</v>
      </c>
      <c r="EQ263" s="522">
        <v>2167</v>
      </c>
      <c r="ER263" s="526">
        <v>134.76</v>
      </c>
      <c r="ES263" s="522">
        <v>2167</v>
      </c>
      <c r="ET263" s="526">
        <v>0</v>
      </c>
      <c r="EU263" s="526">
        <v>0</v>
      </c>
      <c r="EV263" s="526">
        <v>0</v>
      </c>
      <c r="EW263" s="522">
        <v>0</v>
      </c>
      <c r="EX263" s="526">
        <v>227.4</v>
      </c>
      <c r="EY263" s="522">
        <v>110</v>
      </c>
      <c r="EZ263" s="526">
        <v>238.55</v>
      </c>
      <c r="FA263" s="522">
        <v>153</v>
      </c>
      <c r="FB263" s="526">
        <v>0</v>
      </c>
      <c r="FC263" s="522">
        <v>0</v>
      </c>
      <c r="FD263" s="526">
        <v>0</v>
      </c>
      <c r="FE263" s="522">
        <v>0</v>
      </c>
      <c r="FF263" s="526">
        <v>233.89</v>
      </c>
      <c r="FG263" s="522">
        <v>263</v>
      </c>
      <c r="FH263" s="526">
        <v>233.89</v>
      </c>
      <c r="FI263" s="522">
        <v>263</v>
      </c>
      <c r="FJ263" s="522">
        <v>0</v>
      </c>
      <c r="FK263" s="522">
        <v>19</v>
      </c>
      <c r="FL263" s="522">
        <v>11</v>
      </c>
      <c r="FM263" s="522">
        <v>0</v>
      </c>
      <c r="FN263" s="522">
        <v>8</v>
      </c>
      <c r="FO263" s="522">
        <v>0</v>
      </c>
      <c r="FP263" s="522">
        <v>115</v>
      </c>
      <c r="FQ263" s="522">
        <v>96</v>
      </c>
      <c r="FR263" s="522">
        <v>7</v>
      </c>
    </row>
    <row r="264" spans="1:174" x14ac:dyDescent="0.25">
      <c r="A264" s="523" t="s">
        <v>776</v>
      </c>
      <c r="B264" s="523" t="s">
        <v>777</v>
      </c>
      <c r="C264" s="523" t="s">
        <v>283</v>
      </c>
      <c r="D264" s="522">
        <v>2277</v>
      </c>
      <c r="E264" s="522">
        <v>2256</v>
      </c>
      <c r="F264" s="522">
        <v>0</v>
      </c>
      <c r="G264" s="522">
        <v>0</v>
      </c>
      <c r="H264" s="522">
        <v>252</v>
      </c>
      <c r="I264" s="522">
        <v>186</v>
      </c>
      <c r="J264" s="522">
        <v>553</v>
      </c>
      <c r="K264" s="522">
        <v>553</v>
      </c>
      <c r="L264" s="522">
        <v>266</v>
      </c>
      <c r="M264" s="522">
        <v>37</v>
      </c>
      <c r="N264" s="522">
        <v>3348</v>
      </c>
      <c r="O264" s="522">
        <v>3032</v>
      </c>
      <c r="P264" s="522">
        <v>3082</v>
      </c>
      <c r="Q264" s="522">
        <v>8</v>
      </c>
      <c r="R264" s="523">
        <v>7</v>
      </c>
      <c r="S264" s="523">
        <v>33</v>
      </c>
      <c r="T264" s="523">
        <v>46</v>
      </c>
      <c r="U264" s="523">
        <v>3302</v>
      </c>
      <c r="V264" s="522">
        <v>2269</v>
      </c>
      <c r="W264" s="522">
        <v>10</v>
      </c>
      <c r="X264" s="522">
        <v>11</v>
      </c>
      <c r="Y264" s="522">
        <v>21</v>
      </c>
      <c r="Z264" s="524">
        <v>114.11</v>
      </c>
      <c r="AA264" s="524">
        <v>114.05</v>
      </c>
      <c r="AB264" s="524">
        <v>4.8099999999999996</v>
      </c>
      <c r="AC264" s="524">
        <v>118.13</v>
      </c>
      <c r="AD264" s="524">
        <v>1753</v>
      </c>
      <c r="AE264" s="525">
        <v>109.85</v>
      </c>
      <c r="AF264" s="525">
        <v>96.07</v>
      </c>
      <c r="AG264" s="525">
        <v>48.5</v>
      </c>
      <c r="AH264" s="525">
        <v>156.19999999999999</v>
      </c>
      <c r="AI264" s="525">
        <v>767</v>
      </c>
      <c r="AJ264" s="525">
        <v>152.91</v>
      </c>
      <c r="AK264" s="525">
        <v>475</v>
      </c>
      <c r="AL264" s="525">
        <v>0</v>
      </c>
      <c r="AM264" s="525">
        <v>0</v>
      </c>
      <c r="AN264" s="526">
        <v>0</v>
      </c>
      <c r="AO264" s="526">
        <v>0</v>
      </c>
      <c r="AP264" s="526">
        <v>0</v>
      </c>
      <c r="AQ264" s="526">
        <v>0</v>
      </c>
      <c r="AR264" s="522">
        <v>0</v>
      </c>
      <c r="AS264" s="526">
        <v>0</v>
      </c>
      <c r="AT264" s="526">
        <v>0</v>
      </c>
      <c r="AU264" s="526">
        <v>0</v>
      </c>
      <c r="AV264" s="526">
        <v>0</v>
      </c>
      <c r="AW264" s="522">
        <v>0</v>
      </c>
      <c r="AX264" s="526">
        <v>94.82</v>
      </c>
      <c r="AY264" s="526">
        <v>94.82</v>
      </c>
      <c r="AZ264" s="526">
        <v>8.3800000000000008</v>
      </c>
      <c r="BA264" s="526">
        <v>102.93</v>
      </c>
      <c r="BB264" s="522">
        <v>184</v>
      </c>
      <c r="BC264" s="526">
        <v>108.34</v>
      </c>
      <c r="BD264" s="526">
        <v>107.89</v>
      </c>
      <c r="BE264" s="526">
        <v>5.36</v>
      </c>
      <c r="BF264" s="526">
        <v>113.3</v>
      </c>
      <c r="BG264" s="522">
        <v>912</v>
      </c>
      <c r="BH264" s="526">
        <v>125.85</v>
      </c>
      <c r="BI264" s="526">
        <v>126.04</v>
      </c>
      <c r="BJ264" s="526">
        <v>2.39</v>
      </c>
      <c r="BK264" s="526">
        <v>127.48</v>
      </c>
      <c r="BL264" s="522">
        <v>591</v>
      </c>
      <c r="BM264" s="526">
        <v>141.78</v>
      </c>
      <c r="BN264" s="526">
        <v>144.97</v>
      </c>
      <c r="BO264" s="526">
        <v>1.76</v>
      </c>
      <c r="BP264" s="526">
        <v>142.91</v>
      </c>
      <c r="BQ264" s="522">
        <v>61</v>
      </c>
      <c r="BR264" s="526">
        <v>146.75</v>
      </c>
      <c r="BS264" s="526">
        <v>151.19</v>
      </c>
      <c r="BT264" s="526">
        <v>1.51</v>
      </c>
      <c r="BU264" s="526">
        <v>147.51</v>
      </c>
      <c r="BV264" s="522">
        <v>4</v>
      </c>
      <c r="BW264" s="526">
        <v>165.38</v>
      </c>
      <c r="BX264" s="526">
        <v>163.54</v>
      </c>
      <c r="BY264" s="526">
        <v>0</v>
      </c>
      <c r="BZ264" s="526">
        <v>165.38</v>
      </c>
      <c r="CA264" s="522">
        <v>1</v>
      </c>
      <c r="CB264" s="526">
        <v>114.11</v>
      </c>
      <c r="CC264" s="526">
        <v>114.05</v>
      </c>
      <c r="CD264" s="526">
        <v>4.8099999999999996</v>
      </c>
      <c r="CE264" s="526">
        <v>118.13</v>
      </c>
      <c r="CF264" s="522">
        <v>1753</v>
      </c>
      <c r="CG264" s="526">
        <v>114.11</v>
      </c>
      <c r="CH264" s="526">
        <v>114.05</v>
      </c>
      <c r="CI264" s="526">
        <v>4.8099999999999996</v>
      </c>
      <c r="CJ264" s="526">
        <v>118.13</v>
      </c>
      <c r="CK264" s="522">
        <v>1753</v>
      </c>
      <c r="CL264" s="526">
        <v>90.31</v>
      </c>
      <c r="CM264" s="526">
        <v>89.4</v>
      </c>
      <c r="CN264" s="526">
        <v>58.14</v>
      </c>
      <c r="CO264" s="526">
        <v>138.34</v>
      </c>
      <c r="CP264" s="522">
        <v>138</v>
      </c>
      <c r="CQ264" s="526">
        <v>89.97</v>
      </c>
      <c r="CR264" s="526">
        <v>86.83</v>
      </c>
      <c r="CS264" s="526">
        <v>41.1</v>
      </c>
      <c r="CT264" s="526">
        <v>131.06</v>
      </c>
      <c r="CU264" s="522">
        <v>188</v>
      </c>
      <c r="CV264" s="526">
        <v>124.21</v>
      </c>
      <c r="CW264" s="526">
        <v>101.2</v>
      </c>
      <c r="CX264" s="526">
        <v>49.1</v>
      </c>
      <c r="CY264" s="526">
        <v>172.37</v>
      </c>
      <c r="CZ264" s="522">
        <v>419</v>
      </c>
      <c r="DA264" s="526">
        <v>123.55</v>
      </c>
      <c r="DB264" s="526">
        <v>118.39</v>
      </c>
      <c r="DC264" s="526">
        <v>55.77</v>
      </c>
      <c r="DD264" s="526">
        <v>171.36</v>
      </c>
      <c r="DE264" s="522">
        <v>14</v>
      </c>
      <c r="DF264" s="526">
        <v>137.94999999999999</v>
      </c>
      <c r="DG264" s="526">
        <v>134.44999999999999</v>
      </c>
      <c r="DH264" s="526">
        <v>43.59</v>
      </c>
      <c r="DI264" s="526">
        <v>181.55</v>
      </c>
      <c r="DJ264" s="522">
        <v>8</v>
      </c>
      <c r="DK264" s="526">
        <v>0</v>
      </c>
      <c r="DL264" s="526">
        <v>0</v>
      </c>
      <c r="DM264" s="526">
        <v>0</v>
      </c>
      <c r="DN264" s="526">
        <v>0</v>
      </c>
      <c r="DO264" s="522">
        <v>0</v>
      </c>
      <c r="DP264" s="526">
        <v>114.13</v>
      </c>
      <c r="DQ264" s="526">
        <v>97.53</v>
      </c>
      <c r="DR264" s="526">
        <v>46.73</v>
      </c>
      <c r="DS264" s="526">
        <v>160.12</v>
      </c>
      <c r="DT264" s="522">
        <v>629</v>
      </c>
      <c r="DU264" s="526">
        <v>109.85</v>
      </c>
      <c r="DV264" s="526">
        <v>96.07</v>
      </c>
      <c r="DW264" s="526">
        <v>48.5</v>
      </c>
      <c r="DX264" s="526">
        <v>156.19999999999999</v>
      </c>
      <c r="DY264" s="522">
        <v>767</v>
      </c>
      <c r="DZ264" s="526">
        <v>0</v>
      </c>
      <c r="EA264" s="526">
        <v>0</v>
      </c>
      <c r="EB264" s="526">
        <v>0</v>
      </c>
      <c r="EC264" s="522">
        <v>0</v>
      </c>
      <c r="ED264" s="526">
        <v>119.67</v>
      </c>
      <c r="EE264" s="522">
        <v>115</v>
      </c>
      <c r="EF264" s="526">
        <v>152.94</v>
      </c>
      <c r="EG264" s="522">
        <v>222</v>
      </c>
      <c r="EH264" s="526">
        <v>177.59</v>
      </c>
      <c r="EI264" s="522">
        <v>132</v>
      </c>
      <c r="EJ264" s="526">
        <v>245.83</v>
      </c>
      <c r="EK264" s="522">
        <v>6</v>
      </c>
      <c r="EL264" s="526">
        <v>0</v>
      </c>
      <c r="EM264" s="522">
        <v>0</v>
      </c>
      <c r="EN264" s="526">
        <v>0</v>
      </c>
      <c r="EO264" s="522">
        <v>0</v>
      </c>
      <c r="EP264" s="526">
        <v>152.91</v>
      </c>
      <c r="EQ264" s="522">
        <v>475</v>
      </c>
      <c r="ER264" s="526">
        <v>152.91</v>
      </c>
      <c r="ES264" s="522">
        <v>475</v>
      </c>
      <c r="ET264" s="526">
        <v>0</v>
      </c>
      <c r="EU264" s="526">
        <v>0</v>
      </c>
      <c r="EV264" s="526">
        <v>0</v>
      </c>
      <c r="EW264" s="522">
        <v>0</v>
      </c>
      <c r="EX264" s="526">
        <v>0</v>
      </c>
      <c r="EY264" s="522">
        <v>0</v>
      </c>
      <c r="EZ264" s="526">
        <v>0</v>
      </c>
      <c r="FA264" s="522">
        <v>0</v>
      </c>
      <c r="FB264" s="526">
        <v>0</v>
      </c>
      <c r="FC264" s="522">
        <v>0</v>
      </c>
      <c r="FD264" s="526">
        <v>0</v>
      </c>
      <c r="FE264" s="522">
        <v>0</v>
      </c>
      <c r="FF264" s="526">
        <v>0</v>
      </c>
      <c r="FG264" s="522">
        <v>0</v>
      </c>
      <c r="FH264" s="526">
        <v>0</v>
      </c>
      <c r="FI264" s="522">
        <v>0</v>
      </c>
      <c r="FJ264" s="522">
        <v>0</v>
      </c>
      <c r="FK264" s="522">
        <v>1</v>
      </c>
      <c r="FL264" s="522">
        <v>0</v>
      </c>
      <c r="FM264" s="522">
        <v>0</v>
      </c>
      <c r="FN264" s="522">
        <v>1</v>
      </c>
      <c r="FO264" s="522">
        <v>0</v>
      </c>
      <c r="FP264" s="522">
        <v>12</v>
      </c>
      <c r="FQ264" s="522">
        <v>34</v>
      </c>
      <c r="FR264" s="522">
        <v>6</v>
      </c>
    </row>
    <row r="265" spans="1:174" x14ac:dyDescent="0.25">
      <c r="A265" s="523" t="s">
        <v>778</v>
      </c>
      <c r="B265" s="523" t="s">
        <v>779</v>
      </c>
      <c r="C265" s="523" t="s">
        <v>2</v>
      </c>
      <c r="D265" s="522">
        <v>7837</v>
      </c>
      <c r="E265" s="522">
        <v>7835</v>
      </c>
      <c r="F265" s="522">
        <v>0</v>
      </c>
      <c r="G265" s="522">
        <v>0</v>
      </c>
      <c r="H265" s="522">
        <v>352</v>
      </c>
      <c r="I265" s="522">
        <v>286</v>
      </c>
      <c r="J265" s="522">
        <v>370</v>
      </c>
      <c r="K265" s="522">
        <v>358</v>
      </c>
      <c r="L265" s="522">
        <v>1157</v>
      </c>
      <c r="M265" s="522">
        <v>17</v>
      </c>
      <c r="N265" s="522">
        <v>9716</v>
      </c>
      <c r="O265" s="522">
        <v>8496</v>
      </c>
      <c r="P265" s="522">
        <v>8559</v>
      </c>
      <c r="Q265" s="522">
        <v>12</v>
      </c>
      <c r="R265" s="523">
        <v>6</v>
      </c>
      <c r="S265" s="523">
        <v>25</v>
      </c>
      <c r="T265" s="523">
        <v>324</v>
      </c>
      <c r="U265" s="523">
        <v>9392</v>
      </c>
      <c r="V265" s="522">
        <v>7634</v>
      </c>
      <c r="W265" s="522">
        <v>53</v>
      </c>
      <c r="X265" s="522">
        <v>55</v>
      </c>
      <c r="Y265" s="522">
        <v>108</v>
      </c>
      <c r="Z265" s="524">
        <v>123.3</v>
      </c>
      <c r="AA265" s="524">
        <v>122</v>
      </c>
      <c r="AB265" s="524">
        <v>5.99</v>
      </c>
      <c r="AC265" s="524">
        <v>128.31</v>
      </c>
      <c r="AD265" s="524">
        <v>6245</v>
      </c>
      <c r="AE265" s="525">
        <v>109.1</v>
      </c>
      <c r="AF265" s="525">
        <v>102.01</v>
      </c>
      <c r="AG265" s="525">
        <v>55.59</v>
      </c>
      <c r="AH265" s="525">
        <v>163.88</v>
      </c>
      <c r="AI265" s="525">
        <v>554</v>
      </c>
      <c r="AJ265" s="525">
        <v>173.51</v>
      </c>
      <c r="AK265" s="525">
        <v>1310</v>
      </c>
      <c r="AL265" s="525">
        <v>272.70999999999998</v>
      </c>
      <c r="AM265" s="525">
        <v>47</v>
      </c>
      <c r="AN265" s="526">
        <v>0</v>
      </c>
      <c r="AO265" s="526">
        <v>0</v>
      </c>
      <c r="AP265" s="526">
        <v>0</v>
      </c>
      <c r="AQ265" s="526">
        <v>0</v>
      </c>
      <c r="AR265" s="522">
        <v>0</v>
      </c>
      <c r="AS265" s="526">
        <v>90.09</v>
      </c>
      <c r="AT265" s="526">
        <v>87.11</v>
      </c>
      <c r="AU265" s="526">
        <v>29.27</v>
      </c>
      <c r="AV265" s="526">
        <v>116.7</v>
      </c>
      <c r="AW265" s="522">
        <v>44</v>
      </c>
      <c r="AX265" s="526">
        <v>105.08</v>
      </c>
      <c r="AY265" s="526">
        <v>104.32</v>
      </c>
      <c r="AZ265" s="526">
        <v>10.130000000000001</v>
      </c>
      <c r="BA265" s="526">
        <v>114.46</v>
      </c>
      <c r="BB265" s="522">
        <v>1586</v>
      </c>
      <c r="BC265" s="526">
        <v>122.64</v>
      </c>
      <c r="BD265" s="526">
        <v>121.59</v>
      </c>
      <c r="BE265" s="526">
        <v>5.55</v>
      </c>
      <c r="BF265" s="526">
        <v>127.27</v>
      </c>
      <c r="BG265" s="522">
        <v>2246</v>
      </c>
      <c r="BH265" s="526">
        <v>135.31</v>
      </c>
      <c r="BI265" s="526">
        <v>133.08000000000001</v>
      </c>
      <c r="BJ265" s="526">
        <v>2.6</v>
      </c>
      <c r="BK265" s="526">
        <v>137.30000000000001</v>
      </c>
      <c r="BL265" s="522">
        <v>2085</v>
      </c>
      <c r="BM265" s="526">
        <v>147.13999999999999</v>
      </c>
      <c r="BN265" s="526">
        <v>147.82</v>
      </c>
      <c r="BO265" s="526">
        <v>2.78</v>
      </c>
      <c r="BP265" s="526">
        <v>149.47</v>
      </c>
      <c r="BQ265" s="522">
        <v>278</v>
      </c>
      <c r="BR265" s="526">
        <v>147.13999999999999</v>
      </c>
      <c r="BS265" s="526">
        <v>151.06</v>
      </c>
      <c r="BT265" s="526">
        <v>1.42</v>
      </c>
      <c r="BU265" s="526">
        <v>147.99</v>
      </c>
      <c r="BV265" s="522">
        <v>5</v>
      </c>
      <c r="BW265" s="526">
        <v>168.6</v>
      </c>
      <c r="BX265" s="526">
        <v>166.7</v>
      </c>
      <c r="BY265" s="526">
        <v>0.5</v>
      </c>
      <c r="BZ265" s="526">
        <v>169.1</v>
      </c>
      <c r="CA265" s="522">
        <v>1</v>
      </c>
      <c r="CB265" s="526">
        <v>123.3</v>
      </c>
      <c r="CC265" s="526">
        <v>122</v>
      </c>
      <c r="CD265" s="526">
        <v>5.99</v>
      </c>
      <c r="CE265" s="526">
        <v>128.31</v>
      </c>
      <c r="CF265" s="522">
        <v>6245</v>
      </c>
      <c r="CG265" s="526">
        <v>123.3</v>
      </c>
      <c r="CH265" s="526">
        <v>122</v>
      </c>
      <c r="CI265" s="526">
        <v>5.99</v>
      </c>
      <c r="CJ265" s="526">
        <v>128.31</v>
      </c>
      <c r="CK265" s="522">
        <v>6245</v>
      </c>
      <c r="CL265" s="526">
        <v>88.05</v>
      </c>
      <c r="CM265" s="526">
        <v>83.14</v>
      </c>
      <c r="CN265" s="526">
        <v>86.94</v>
      </c>
      <c r="CO265" s="526">
        <v>174.99</v>
      </c>
      <c r="CP265" s="522">
        <v>56</v>
      </c>
      <c r="CQ265" s="526">
        <v>118.41</v>
      </c>
      <c r="CR265" s="526">
        <v>91.6</v>
      </c>
      <c r="CS265" s="526">
        <v>99.17</v>
      </c>
      <c r="CT265" s="526">
        <v>217.59</v>
      </c>
      <c r="CU265" s="522">
        <v>42</v>
      </c>
      <c r="CV265" s="526">
        <v>108.57</v>
      </c>
      <c r="CW265" s="526">
        <v>102.83</v>
      </c>
      <c r="CX265" s="526">
        <v>45.47</v>
      </c>
      <c r="CY265" s="526">
        <v>153.26</v>
      </c>
      <c r="CZ265" s="522">
        <v>410</v>
      </c>
      <c r="DA265" s="526">
        <v>129.94999999999999</v>
      </c>
      <c r="DB265" s="526">
        <v>122.56</v>
      </c>
      <c r="DC265" s="526">
        <v>67.13</v>
      </c>
      <c r="DD265" s="526">
        <v>195.58</v>
      </c>
      <c r="DE265" s="522">
        <v>45</v>
      </c>
      <c r="DF265" s="526">
        <v>173.45</v>
      </c>
      <c r="DG265" s="526">
        <v>157.68</v>
      </c>
      <c r="DH265" s="526">
        <v>41.01</v>
      </c>
      <c r="DI265" s="526">
        <v>214.46</v>
      </c>
      <c r="DJ265" s="522">
        <v>1</v>
      </c>
      <c r="DK265" s="526">
        <v>0</v>
      </c>
      <c r="DL265" s="526">
        <v>0</v>
      </c>
      <c r="DM265" s="526">
        <v>0</v>
      </c>
      <c r="DN265" s="526">
        <v>0</v>
      </c>
      <c r="DO265" s="522">
        <v>0</v>
      </c>
      <c r="DP265" s="526">
        <v>111.46</v>
      </c>
      <c r="DQ265" s="526">
        <v>104.21</v>
      </c>
      <c r="DR265" s="526">
        <v>52.01</v>
      </c>
      <c r="DS265" s="526">
        <v>162.63</v>
      </c>
      <c r="DT265" s="522">
        <v>498</v>
      </c>
      <c r="DU265" s="526">
        <v>109.1</v>
      </c>
      <c r="DV265" s="526">
        <v>102.01</v>
      </c>
      <c r="DW265" s="526">
        <v>55.59</v>
      </c>
      <c r="DX265" s="526">
        <v>163.88</v>
      </c>
      <c r="DY265" s="522">
        <v>554</v>
      </c>
      <c r="DZ265" s="526">
        <v>0</v>
      </c>
      <c r="EA265" s="526">
        <v>0</v>
      </c>
      <c r="EB265" s="526">
        <v>0</v>
      </c>
      <c r="EC265" s="522">
        <v>0</v>
      </c>
      <c r="ED265" s="526">
        <v>136.1</v>
      </c>
      <c r="EE265" s="522">
        <v>267</v>
      </c>
      <c r="EF265" s="526">
        <v>173.45</v>
      </c>
      <c r="EG265" s="522">
        <v>731</v>
      </c>
      <c r="EH265" s="526">
        <v>201.34</v>
      </c>
      <c r="EI265" s="522">
        <v>274</v>
      </c>
      <c r="EJ265" s="526">
        <v>236.66</v>
      </c>
      <c r="EK265" s="522">
        <v>38</v>
      </c>
      <c r="EL265" s="526">
        <v>0</v>
      </c>
      <c r="EM265" s="522">
        <v>0</v>
      </c>
      <c r="EN265" s="526">
        <v>0</v>
      </c>
      <c r="EO265" s="522">
        <v>0</v>
      </c>
      <c r="EP265" s="526">
        <v>173.51</v>
      </c>
      <c r="EQ265" s="522">
        <v>1310</v>
      </c>
      <c r="ER265" s="526">
        <v>173.51</v>
      </c>
      <c r="ES265" s="522">
        <v>1310</v>
      </c>
      <c r="ET265" s="526">
        <v>0</v>
      </c>
      <c r="EU265" s="526">
        <v>0</v>
      </c>
      <c r="EV265" s="526">
        <v>0</v>
      </c>
      <c r="EW265" s="522">
        <v>0</v>
      </c>
      <c r="EX265" s="526">
        <v>239.75</v>
      </c>
      <c r="EY265" s="522">
        <v>27</v>
      </c>
      <c r="EZ265" s="526">
        <v>317.2</v>
      </c>
      <c r="FA265" s="522">
        <v>20</v>
      </c>
      <c r="FB265" s="526">
        <v>0</v>
      </c>
      <c r="FC265" s="522">
        <v>0</v>
      </c>
      <c r="FD265" s="526">
        <v>0</v>
      </c>
      <c r="FE265" s="522">
        <v>0</v>
      </c>
      <c r="FF265" s="526">
        <v>272.70999999999998</v>
      </c>
      <c r="FG265" s="522">
        <v>47</v>
      </c>
      <c r="FH265" s="526">
        <v>272.70999999999998</v>
      </c>
      <c r="FI265" s="522">
        <v>47</v>
      </c>
      <c r="FJ265" s="522">
        <v>0</v>
      </c>
      <c r="FK265" s="522">
        <v>1</v>
      </c>
      <c r="FL265" s="522">
        <v>1</v>
      </c>
      <c r="FM265" s="522">
        <v>0</v>
      </c>
      <c r="FN265" s="522">
        <v>0</v>
      </c>
      <c r="FO265" s="522">
        <v>0</v>
      </c>
      <c r="FP265" s="522">
        <v>47</v>
      </c>
      <c r="FQ265" s="522">
        <v>34</v>
      </c>
      <c r="FR265" s="522">
        <v>18</v>
      </c>
    </row>
    <row r="266" spans="1:174" x14ac:dyDescent="0.25">
      <c r="A266" s="523" t="s">
        <v>780</v>
      </c>
      <c r="B266" s="523" t="s">
        <v>781</v>
      </c>
      <c r="C266" s="523" t="s">
        <v>287</v>
      </c>
      <c r="D266" s="522">
        <v>5244</v>
      </c>
      <c r="E266" s="522">
        <v>5244</v>
      </c>
      <c r="F266" s="522">
        <v>0</v>
      </c>
      <c r="G266" s="522">
        <v>0</v>
      </c>
      <c r="H266" s="522">
        <v>76</v>
      </c>
      <c r="I266" s="522">
        <v>68</v>
      </c>
      <c r="J266" s="522">
        <v>571</v>
      </c>
      <c r="K266" s="522">
        <v>571</v>
      </c>
      <c r="L266" s="522">
        <v>1267</v>
      </c>
      <c r="M266" s="522">
        <v>0</v>
      </c>
      <c r="N266" s="522">
        <v>7158</v>
      </c>
      <c r="O266" s="522">
        <v>5883</v>
      </c>
      <c r="P266" s="522">
        <v>5891</v>
      </c>
      <c r="Q266" s="522">
        <v>12</v>
      </c>
      <c r="R266" s="523">
        <v>2</v>
      </c>
      <c r="S266" s="523">
        <v>25</v>
      </c>
      <c r="T266" s="523">
        <v>8</v>
      </c>
      <c r="U266" s="523">
        <v>7150</v>
      </c>
      <c r="V266" s="522">
        <v>5244</v>
      </c>
      <c r="W266" s="522">
        <v>90</v>
      </c>
      <c r="X266" s="522">
        <v>34</v>
      </c>
      <c r="Y266" s="522">
        <v>124</v>
      </c>
      <c r="Z266" s="524">
        <v>109.93</v>
      </c>
      <c r="AA266" s="524">
        <v>109.76</v>
      </c>
      <c r="AB266" s="524">
        <v>6.39</v>
      </c>
      <c r="AC266" s="524">
        <v>113.52</v>
      </c>
      <c r="AD266" s="524">
        <v>3923</v>
      </c>
      <c r="AE266" s="525">
        <v>104.77</v>
      </c>
      <c r="AF266" s="525">
        <v>96.05</v>
      </c>
      <c r="AG266" s="525">
        <v>54.17</v>
      </c>
      <c r="AH266" s="525">
        <v>158.68</v>
      </c>
      <c r="AI266" s="525">
        <v>622</v>
      </c>
      <c r="AJ266" s="525">
        <v>152.51</v>
      </c>
      <c r="AK266" s="525">
        <v>1312</v>
      </c>
      <c r="AL266" s="525">
        <v>149.84</v>
      </c>
      <c r="AM266" s="525">
        <v>17</v>
      </c>
      <c r="AN266" s="526">
        <v>0</v>
      </c>
      <c r="AO266" s="526">
        <v>0</v>
      </c>
      <c r="AP266" s="526">
        <v>0</v>
      </c>
      <c r="AQ266" s="526">
        <v>0</v>
      </c>
      <c r="AR266" s="522">
        <v>0</v>
      </c>
      <c r="AS266" s="526">
        <v>74.55</v>
      </c>
      <c r="AT266" s="526">
        <v>74.599999999999994</v>
      </c>
      <c r="AU266" s="526">
        <v>9.4</v>
      </c>
      <c r="AV266" s="526">
        <v>83.17</v>
      </c>
      <c r="AW266" s="522">
        <v>12</v>
      </c>
      <c r="AX266" s="526">
        <v>91.84</v>
      </c>
      <c r="AY266" s="526">
        <v>91.89</v>
      </c>
      <c r="AZ266" s="526">
        <v>8.85</v>
      </c>
      <c r="BA266" s="526">
        <v>98.39</v>
      </c>
      <c r="BB266" s="522">
        <v>631</v>
      </c>
      <c r="BC266" s="526">
        <v>105.67</v>
      </c>
      <c r="BD266" s="526">
        <v>104.93</v>
      </c>
      <c r="BE266" s="526">
        <v>7.13</v>
      </c>
      <c r="BF266" s="526">
        <v>110.7</v>
      </c>
      <c r="BG266" s="522">
        <v>1647</v>
      </c>
      <c r="BH266" s="526">
        <v>118.86</v>
      </c>
      <c r="BI266" s="526">
        <v>119.22</v>
      </c>
      <c r="BJ266" s="526">
        <v>2.72</v>
      </c>
      <c r="BK266" s="526">
        <v>119.78</v>
      </c>
      <c r="BL266" s="522">
        <v>1460</v>
      </c>
      <c r="BM266" s="526">
        <v>142.09</v>
      </c>
      <c r="BN266" s="526">
        <v>142.26</v>
      </c>
      <c r="BO266" s="526">
        <v>2.79</v>
      </c>
      <c r="BP266" s="526">
        <v>143.19</v>
      </c>
      <c r="BQ266" s="522">
        <v>162</v>
      </c>
      <c r="BR266" s="526">
        <v>164.08</v>
      </c>
      <c r="BS266" s="526">
        <v>161.66999999999999</v>
      </c>
      <c r="BT266" s="526">
        <v>0.78</v>
      </c>
      <c r="BU266" s="526">
        <v>164.47</v>
      </c>
      <c r="BV266" s="522">
        <v>8</v>
      </c>
      <c r="BW266" s="526">
        <v>171.12</v>
      </c>
      <c r="BX266" s="526">
        <v>170.98</v>
      </c>
      <c r="BY266" s="526">
        <v>9.56</v>
      </c>
      <c r="BZ266" s="526">
        <v>177.49</v>
      </c>
      <c r="CA266" s="522">
        <v>3</v>
      </c>
      <c r="CB266" s="526">
        <v>109.93</v>
      </c>
      <c r="CC266" s="526">
        <v>109.76</v>
      </c>
      <c r="CD266" s="526">
        <v>6.39</v>
      </c>
      <c r="CE266" s="526">
        <v>113.52</v>
      </c>
      <c r="CF266" s="522">
        <v>3923</v>
      </c>
      <c r="CG266" s="526">
        <v>109.93</v>
      </c>
      <c r="CH266" s="526">
        <v>109.76</v>
      </c>
      <c r="CI266" s="526">
        <v>6.39</v>
      </c>
      <c r="CJ266" s="526">
        <v>113.52</v>
      </c>
      <c r="CK266" s="522">
        <v>3923</v>
      </c>
      <c r="CL266" s="526">
        <v>103.29</v>
      </c>
      <c r="CM266" s="526">
        <v>89.96</v>
      </c>
      <c r="CN266" s="526">
        <v>126.42</v>
      </c>
      <c r="CO266" s="526">
        <v>229.71</v>
      </c>
      <c r="CP266" s="522">
        <v>42</v>
      </c>
      <c r="CQ266" s="526">
        <v>107.57</v>
      </c>
      <c r="CR266" s="526">
        <v>97.79</v>
      </c>
      <c r="CS266" s="526">
        <v>54.55</v>
      </c>
      <c r="CT266" s="526">
        <v>162.12</v>
      </c>
      <c r="CU266" s="522">
        <v>10</v>
      </c>
      <c r="CV266" s="526">
        <v>99.94</v>
      </c>
      <c r="CW266" s="526">
        <v>91.45</v>
      </c>
      <c r="CX266" s="526">
        <v>47.38</v>
      </c>
      <c r="CY266" s="526">
        <v>147.04</v>
      </c>
      <c r="CZ266" s="522">
        <v>496</v>
      </c>
      <c r="DA266" s="526">
        <v>137.58000000000001</v>
      </c>
      <c r="DB266" s="526">
        <v>129.33000000000001</v>
      </c>
      <c r="DC266" s="526">
        <v>58.33</v>
      </c>
      <c r="DD266" s="526">
        <v>195.92</v>
      </c>
      <c r="DE266" s="522">
        <v>74</v>
      </c>
      <c r="DF266" s="526">
        <v>0</v>
      </c>
      <c r="DG266" s="526">
        <v>0</v>
      </c>
      <c r="DH266" s="526">
        <v>0</v>
      </c>
      <c r="DI266" s="526">
        <v>0</v>
      </c>
      <c r="DJ266" s="522">
        <v>0</v>
      </c>
      <c r="DK266" s="526">
        <v>0</v>
      </c>
      <c r="DL266" s="526">
        <v>0</v>
      </c>
      <c r="DM266" s="526">
        <v>0</v>
      </c>
      <c r="DN266" s="526">
        <v>0</v>
      </c>
      <c r="DO266" s="522">
        <v>0</v>
      </c>
      <c r="DP266" s="526">
        <v>104.88</v>
      </c>
      <c r="DQ266" s="526">
        <v>96.45</v>
      </c>
      <c r="DR266" s="526">
        <v>48.91</v>
      </c>
      <c r="DS266" s="526">
        <v>153.53</v>
      </c>
      <c r="DT266" s="522">
        <v>580</v>
      </c>
      <c r="DU266" s="526">
        <v>104.77</v>
      </c>
      <c r="DV266" s="526">
        <v>96.05</v>
      </c>
      <c r="DW266" s="526">
        <v>54.17</v>
      </c>
      <c r="DX266" s="526">
        <v>158.68</v>
      </c>
      <c r="DY266" s="522">
        <v>622</v>
      </c>
      <c r="DZ266" s="526">
        <v>0</v>
      </c>
      <c r="EA266" s="526">
        <v>0</v>
      </c>
      <c r="EB266" s="526">
        <v>0</v>
      </c>
      <c r="EC266" s="522">
        <v>0</v>
      </c>
      <c r="ED266" s="526">
        <v>112.76</v>
      </c>
      <c r="EE266" s="522">
        <v>340</v>
      </c>
      <c r="EF266" s="526">
        <v>150.44</v>
      </c>
      <c r="EG266" s="522">
        <v>561</v>
      </c>
      <c r="EH266" s="526">
        <v>180.98</v>
      </c>
      <c r="EI266" s="522">
        <v>321</v>
      </c>
      <c r="EJ266" s="526">
        <v>214.18</v>
      </c>
      <c r="EK266" s="522">
        <v>88</v>
      </c>
      <c r="EL266" s="526">
        <v>206.69</v>
      </c>
      <c r="EM266" s="522">
        <v>1</v>
      </c>
      <c r="EN266" s="526">
        <v>214.01</v>
      </c>
      <c r="EO266" s="522">
        <v>1</v>
      </c>
      <c r="EP266" s="526">
        <v>152.51</v>
      </c>
      <c r="EQ266" s="522">
        <v>1312</v>
      </c>
      <c r="ER266" s="526">
        <v>152.51</v>
      </c>
      <c r="ES266" s="522">
        <v>1312</v>
      </c>
      <c r="ET266" s="526">
        <v>280.62</v>
      </c>
      <c r="EU266" s="526">
        <v>3</v>
      </c>
      <c r="EV266" s="526">
        <v>0</v>
      </c>
      <c r="EW266" s="522">
        <v>0</v>
      </c>
      <c r="EX266" s="526">
        <v>119.11</v>
      </c>
      <c r="EY266" s="522">
        <v>12</v>
      </c>
      <c r="EZ266" s="526">
        <v>138.08000000000001</v>
      </c>
      <c r="FA266" s="522">
        <v>2</v>
      </c>
      <c r="FB266" s="526">
        <v>0</v>
      </c>
      <c r="FC266" s="522">
        <v>0</v>
      </c>
      <c r="FD266" s="526">
        <v>0</v>
      </c>
      <c r="FE266" s="522">
        <v>0</v>
      </c>
      <c r="FF266" s="526">
        <v>121.82</v>
      </c>
      <c r="FG266" s="522">
        <v>14</v>
      </c>
      <c r="FH266" s="526">
        <v>149.84</v>
      </c>
      <c r="FI266" s="522">
        <v>17</v>
      </c>
      <c r="FJ266" s="522">
        <v>0</v>
      </c>
      <c r="FK266" s="522">
        <v>1</v>
      </c>
      <c r="FL266" s="522">
        <v>1</v>
      </c>
      <c r="FM266" s="522">
        <v>0</v>
      </c>
      <c r="FN266" s="522">
        <v>0</v>
      </c>
      <c r="FO266" s="522">
        <v>0</v>
      </c>
      <c r="FP266" s="522">
        <v>10</v>
      </c>
      <c r="FQ266" s="522">
        <v>188</v>
      </c>
      <c r="FR266" s="522">
        <v>8</v>
      </c>
    </row>
    <row r="267" spans="1:174" x14ac:dyDescent="0.25">
      <c r="A267" s="523" t="s">
        <v>782</v>
      </c>
      <c r="B267" s="523" t="s">
        <v>783</v>
      </c>
      <c r="C267" s="523" t="s">
        <v>2</v>
      </c>
      <c r="D267" s="522">
        <v>4047</v>
      </c>
      <c r="E267" s="522">
        <v>4047</v>
      </c>
      <c r="F267" s="522">
        <v>0</v>
      </c>
      <c r="G267" s="522">
        <v>0</v>
      </c>
      <c r="H267" s="522">
        <v>134</v>
      </c>
      <c r="I267" s="522">
        <v>82</v>
      </c>
      <c r="J267" s="522">
        <v>692</v>
      </c>
      <c r="K267" s="522">
        <v>717</v>
      </c>
      <c r="L267" s="522">
        <v>512</v>
      </c>
      <c r="M267" s="522">
        <v>210</v>
      </c>
      <c r="N267" s="522">
        <v>5385</v>
      </c>
      <c r="O267" s="522">
        <v>5056</v>
      </c>
      <c r="P267" s="522">
        <v>4873</v>
      </c>
      <c r="Q267" s="522">
        <v>18</v>
      </c>
      <c r="R267" s="523">
        <v>6</v>
      </c>
      <c r="S267" s="523">
        <v>22</v>
      </c>
      <c r="T267" s="523">
        <v>54</v>
      </c>
      <c r="U267" s="523">
        <v>5331</v>
      </c>
      <c r="V267" s="522">
        <v>4046</v>
      </c>
      <c r="W267" s="522">
        <v>13</v>
      </c>
      <c r="X267" s="522">
        <v>51</v>
      </c>
      <c r="Y267" s="522">
        <v>64</v>
      </c>
      <c r="Z267" s="524">
        <v>106.44</v>
      </c>
      <c r="AA267" s="524">
        <v>106.74</v>
      </c>
      <c r="AB267" s="524">
        <v>10.24</v>
      </c>
      <c r="AC267" s="524">
        <v>113.97</v>
      </c>
      <c r="AD267" s="524">
        <v>3616</v>
      </c>
      <c r="AE267" s="525">
        <v>113.87</v>
      </c>
      <c r="AF267" s="525">
        <v>92.65</v>
      </c>
      <c r="AG267" s="525">
        <v>70.94</v>
      </c>
      <c r="AH267" s="525">
        <v>181.13</v>
      </c>
      <c r="AI267" s="525">
        <v>772</v>
      </c>
      <c r="AJ267" s="525">
        <v>141.44999999999999</v>
      </c>
      <c r="AK267" s="525">
        <v>395</v>
      </c>
      <c r="AL267" s="525">
        <v>0</v>
      </c>
      <c r="AM267" s="525">
        <v>0</v>
      </c>
      <c r="AN267" s="526">
        <v>0</v>
      </c>
      <c r="AO267" s="526">
        <v>0</v>
      </c>
      <c r="AP267" s="526">
        <v>0</v>
      </c>
      <c r="AQ267" s="526">
        <v>0</v>
      </c>
      <c r="AR267" s="522">
        <v>0</v>
      </c>
      <c r="AS267" s="526">
        <v>85.39</v>
      </c>
      <c r="AT267" s="526">
        <v>84.45</v>
      </c>
      <c r="AU267" s="526">
        <v>9.65</v>
      </c>
      <c r="AV267" s="526">
        <v>95.04</v>
      </c>
      <c r="AW267" s="522">
        <v>23</v>
      </c>
      <c r="AX267" s="526">
        <v>92.67</v>
      </c>
      <c r="AY267" s="526">
        <v>92.63</v>
      </c>
      <c r="AZ267" s="526">
        <v>13.21</v>
      </c>
      <c r="BA267" s="526">
        <v>105.34</v>
      </c>
      <c r="BB267" s="522">
        <v>1286</v>
      </c>
      <c r="BC267" s="526">
        <v>107.89</v>
      </c>
      <c r="BD267" s="526">
        <v>107.95</v>
      </c>
      <c r="BE267" s="526">
        <v>9.99</v>
      </c>
      <c r="BF267" s="526">
        <v>115.12</v>
      </c>
      <c r="BG267" s="522">
        <v>1306</v>
      </c>
      <c r="BH267" s="526">
        <v>121.69</v>
      </c>
      <c r="BI267" s="526">
        <v>122.7</v>
      </c>
      <c r="BJ267" s="526">
        <v>2.79</v>
      </c>
      <c r="BK267" s="526">
        <v>122.9</v>
      </c>
      <c r="BL267" s="522">
        <v>924</v>
      </c>
      <c r="BM267" s="526">
        <v>134.88999999999999</v>
      </c>
      <c r="BN267" s="526">
        <v>136.66999999999999</v>
      </c>
      <c r="BO267" s="526">
        <v>2.57</v>
      </c>
      <c r="BP267" s="526">
        <v>136.72999999999999</v>
      </c>
      <c r="BQ267" s="522">
        <v>74</v>
      </c>
      <c r="BR267" s="526">
        <v>139.36000000000001</v>
      </c>
      <c r="BS267" s="526">
        <v>141.16999999999999</v>
      </c>
      <c r="BT267" s="526">
        <v>2.76</v>
      </c>
      <c r="BU267" s="526">
        <v>141.19999999999999</v>
      </c>
      <c r="BV267" s="522">
        <v>3</v>
      </c>
      <c r="BW267" s="526">
        <v>0</v>
      </c>
      <c r="BX267" s="526">
        <v>0</v>
      </c>
      <c r="BY267" s="526">
        <v>0</v>
      </c>
      <c r="BZ267" s="526">
        <v>0</v>
      </c>
      <c r="CA267" s="522">
        <v>0</v>
      </c>
      <c r="CB267" s="526">
        <v>106.44</v>
      </c>
      <c r="CC267" s="526">
        <v>106.74</v>
      </c>
      <c r="CD267" s="526">
        <v>10.24</v>
      </c>
      <c r="CE267" s="526">
        <v>113.97</v>
      </c>
      <c r="CF267" s="522">
        <v>3616</v>
      </c>
      <c r="CG267" s="526">
        <v>106.44</v>
      </c>
      <c r="CH267" s="526">
        <v>106.74</v>
      </c>
      <c r="CI267" s="526">
        <v>10.24</v>
      </c>
      <c r="CJ267" s="526">
        <v>113.97</v>
      </c>
      <c r="CK267" s="522">
        <v>3616</v>
      </c>
      <c r="CL267" s="526">
        <v>122.93</v>
      </c>
      <c r="CM267" s="526">
        <v>97.35</v>
      </c>
      <c r="CN267" s="526">
        <v>326.07</v>
      </c>
      <c r="CO267" s="526">
        <v>344.2</v>
      </c>
      <c r="CP267" s="522">
        <v>56</v>
      </c>
      <c r="CQ267" s="526">
        <v>84.2</v>
      </c>
      <c r="CR267" s="526">
        <v>79.73</v>
      </c>
      <c r="CS267" s="526">
        <v>52.18</v>
      </c>
      <c r="CT267" s="526">
        <v>134.85</v>
      </c>
      <c r="CU267" s="522">
        <v>171</v>
      </c>
      <c r="CV267" s="526">
        <v>114.71</v>
      </c>
      <c r="CW267" s="526">
        <v>95.27</v>
      </c>
      <c r="CX267" s="526">
        <v>59.98</v>
      </c>
      <c r="CY267" s="526">
        <v>172.86</v>
      </c>
      <c r="CZ267" s="522">
        <v>458</v>
      </c>
      <c r="DA267" s="526">
        <v>163.32</v>
      </c>
      <c r="DB267" s="526">
        <v>106.26</v>
      </c>
      <c r="DC267" s="526">
        <v>50.67</v>
      </c>
      <c r="DD267" s="526">
        <v>212.18</v>
      </c>
      <c r="DE267" s="522">
        <v>84</v>
      </c>
      <c r="DF267" s="526">
        <v>121.83</v>
      </c>
      <c r="DG267" s="526">
        <v>128.16999999999999</v>
      </c>
      <c r="DH267" s="526">
        <v>47.87</v>
      </c>
      <c r="DI267" s="526">
        <v>169.7</v>
      </c>
      <c r="DJ267" s="522">
        <v>3</v>
      </c>
      <c r="DK267" s="526">
        <v>0</v>
      </c>
      <c r="DL267" s="526">
        <v>0</v>
      </c>
      <c r="DM267" s="526">
        <v>0</v>
      </c>
      <c r="DN267" s="526">
        <v>0</v>
      </c>
      <c r="DO267" s="522">
        <v>0</v>
      </c>
      <c r="DP267" s="526">
        <v>113.16</v>
      </c>
      <c r="DQ267" s="526">
        <v>92.28</v>
      </c>
      <c r="DR267" s="526">
        <v>56.97</v>
      </c>
      <c r="DS267" s="526">
        <v>168.38</v>
      </c>
      <c r="DT267" s="522">
        <v>716</v>
      </c>
      <c r="DU267" s="526">
        <v>113.87</v>
      </c>
      <c r="DV267" s="526">
        <v>92.65</v>
      </c>
      <c r="DW267" s="526">
        <v>70.94</v>
      </c>
      <c r="DX267" s="526">
        <v>181.13</v>
      </c>
      <c r="DY267" s="522">
        <v>772</v>
      </c>
      <c r="DZ267" s="526">
        <v>0</v>
      </c>
      <c r="EA267" s="526">
        <v>0</v>
      </c>
      <c r="EB267" s="526">
        <v>0</v>
      </c>
      <c r="EC267" s="522">
        <v>0</v>
      </c>
      <c r="ED267" s="526">
        <v>96.3</v>
      </c>
      <c r="EE267" s="522">
        <v>43</v>
      </c>
      <c r="EF267" s="526">
        <v>133.4</v>
      </c>
      <c r="EG267" s="522">
        <v>204</v>
      </c>
      <c r="EH267" s="526">
        <v>159.68</v>
      </c>
      <c r="EI267" s="522">
        <v>118</v>
      </c>
      <c r="EJ267" s="526">
        <v>189.28</v>
      </c>
      <c r="EK267" s="522">
        <v>30</v>
      </c>
      <c r="EL267" s="526">
        <v>0</v>
      </c>
      <c r="EM267" s="522">
        <v>0</v>
      </c>
      <c r="EN267" s="526">
        <v>0</v>
      </c>
      <c r="EO267" s="522">
        <v>0</v>
      </c>
      <c r="EP267" s="526">
        <v>141.44999999999999</v>
      </c>
      <c r="EQ267" s="522">
        <v>395</v>
      </c>
      <c r="ER267" s="526">
        <v>141.44999999999999</v>
      </c>
      <c r="ES267" s="522">
        <v>395</v>
      </c>
      <c r="ET267" s="526">
        <v>0</v>
      </c>
      <c r="EU267" s="526">
        <v>0</v>
      </c>
      <c r="EV267" s="526">
        <v>0</v>
      </c>
      <c r="EW267" s="522">
        <v>0</v>
      </c>
      <c r="EX267" s="526">
        <v>0</v>
      </c>
      <c r="EY267" s="522">
        <v>0</v>
      </c>
      <c r="EZ267" s="526">
        <v>0</v>
      </c>
      <c r="FA267" s="522">
        <v>0</v>
      </c>
      <c r="FB267" s="526">
        <v>0</v>
      </c>
      <c r="FC267" s="522">
        <v>0</v>
      </c>
      <c r="FD267" s="526">
        <v>0</v>
      </c>
      <c r="FE267" s="522">
        <v>0</v>
      </c>
      <c r="FF267" s="526">
        <v>0</v>
      </c>
      <c r="FG267" s="522">
        <v>0</v>
      </c>
      <c r="FH267" s="526">
        <v>0</v>
      </c>
      <c r="FI267" s="522">
        <v>0</v>
      </c>
      <c r="FJ267" s="522">
        <v>1</v>
      </c>
      <c r="FK267" s="522">
        <v>0</v>
      </c>
      <c r="FL267" s="522">
        <v>0</v>
      </c>
      <c r="FM267" s="522">
        <v>0</v>
      </c>
      <c r="FN267" s="522">
        <v>0</v>
      </c>
      <c r="FO267" s="522">
        <v>0</v>
      </c>
      <c r="FP267" s="522">
        <v>34</v>
      </c>
      <c r="FQ267" s="522">
        <v>142</v>
      </c>
      <c r="FR267" s="522">
        <v>2</v>
      </c>
    </row>
    <row r="268" spans="1:174" x14ac:dyDescent="0.25">
      <c r="A268" s="523" t="s">
        <v>784</v>
      </c>
      <c r="B268" s="523" t="s">
        <v>785</v>
      </c>
      <c r="C268" s="523" t="s">
        <v>283</v>
      </c>
      <c r="D268" s="522">
        <v>4475</v>
      </c>
      <c r="E268" s="522">
        <v>4647</v>
      </c>
      <c r="F268" s="522">
        <v>21</v>
      </c>
      <c r="G268" s="522">
        <v>21</v>
      </c>
      <c r="H268" s="522">
        <v>60</v>
      </c>
      <c r="I268" s="522">
        <v>74</v>
      </c>
      <c r="J268" s="522">
        <v>860</v>
      </c>
      <c r="K268" s="522">
        <v>821</v>
      </c>
      <c r="L268" s="522">
        <v>324</v>
      </c>
      <c r="M268" s="522">
        <v>53</v>
      </c>
      <c r="N268" s="522">
        <v>5740</v>
      </c>
      <c r="O268" s="522">
        <v>5616</v>
      </c>
      <c r="P268" s="522">
        <v>5416</v>
      </c>
      <c r="Q268" s="522">
        <v>12</v>
      </c>
      <c r="R268" s="523">
        <v>3</v>
      </c>
      <c r="S268" s="523">
        <v>22</v>
      </c>
      <c r="T268" s="523">
        <v>44</v>
      </c>
      <c r="U268" s="523">
        <v>5696</v>
      </c>
      <c r="V268" s="522">
        <v>4475</v>
      </c>
      <c r="W268" s="522">
        <v>19</v>
      </c>
      <c r="X268" s="522">
        <v>38</v>
      </c>
      <c r="Y268" s="522">
        <v>57</v>
      </c>
      <c r="Z268" s="524">
        <v>130.19</v>
      </c>
      <c r="AA268" s="524">
        <v>142.38999999999999</v>
      </c>
      <c r="AB268" s="524">
        <v>9.4499999999999993</v>
      </c>
      <c r="AC268" s="524">
        <v>134.38</v>
      </c>
      <c r="AD268" s="524">
        <v>4162</v>
      </c>
      <c r="AE268" s="525">
        <v>117.71</v>
      </c>
      <c r="AF268" s="525">
        <v>118.59</v>
      </c>
      <c r="AG268" s="525">
        <v>32.75</v>
      </c>
      <c r="AH268" s="525">
        <v>147.09</v>
      </c>
      <c r="AI268" s="525">
        <v>872</v>
      </c>
      <c r="AJ268" s="525">
        <v>192.2</v>
      </c>
      <c r="AK268" s="525">
        <v>226</v>
      </c>
      <c r="AL268" s="525">
        <v>215.7</v>
      </c>
      <c r="AM268" s="525">
        <v>4</v>
      </c>
      <c r="AN268" s="526">
        <v>0</v>
      </c>
      <c r="AO268" s="526">
        <v>0</v>
      </c>
      <c r="AP268" s="526">
        <v>0</v>
      </c>
      <c r="AQ268" s="526">
        <v>0</v>
      </c>
      <c r="AR268" s="522">
        <v>0</v>
      </c>
      <c r="AS268" s="526">
        <v>94.26</v>
      </c>
      <c r="AT268" s="526">
        <v>95.84</v>
      </c>
      <c r="AU268" s="526">
        <v>12.18</v>
      </c>
      <c r="AV268" s="526">
        <v>101.12</v>
      </c>
      <c r="AW268" s="522">
        <v>197</v>
      </c>
      <c r="AX268" s="526">
        <v>107.97</v>
      </c>
      <c r="AY268" s="526">
        <v>113.04</v>
      </c>
      <c r="AZ268" s="526">
        <v>10.41</v>
      </c>
      <c r="BA268" s="526">
        <v>117.04</v>
      </c>
      <c r="BB268" s="522">
        <v>891</v>
      </c>
      <c r="BC268" s="526">
        <v>129.63</v>
      </c>
      <c r="BD268" s="526">
        <v>140.6</v>
      </c>
      <c r="BE268" s="526">
        <v>10.16</v>
      </c>
      <c r="BF268" s="526">
        <v>134.65</v>
      </c>
      <c r="BG268" s="522">
        <v>1351</v>
      </c>
      <c r="BH268" s="526">
        <v>145.63999999999999</v>
      </c>
      <c r="BI268" s="526">
        <v>163.55000000000001</v>
      </c>
      <c r="BJ268" s="526">
        <v>4.3</v>
      </c>
      <c r="BK268" s="526">
        <v>146.34</v>
      </c>
      <c r="BL268" s="522">
        <v>1659</v>
      </c>
      <c r="BM268" s="526">
        <v>161.03</v>
      </c>
      <c r="BN268" s="526">
        <v>180.94</v>
      </c>
      <c r="BO268" s="526">
        <v>3.23</v>
      </c>
      <c r="BP268" s="526">
        <v>161.83000000000001</v>
      </c>
      <c r="BQ268" s="522">
        <v>61</v>
      </c>
      <c r="BR268" s="526">
        <v>174.36</v>
      </c>
      <c r="BS268" s="526">
        <v>181.04</v>
      </c>
      <c r="BT268" s="526">
        <v>1.3</v>
      </c>
      <c r="BU268" s="526">
        <v>175.66</v>
      </c>
      <c r="BV268" s="522">
        <v>3</v>
      </c>
      <c r="BW268" s="526">
        <v>0</v>
      </c>
      <c r="BX268" s="526">
        <v>0</v>
      </c>
      <c r="BY268" s="526">
        <v>0</v>
      </c>
      <c r="BZ268" s="526">
        <v>0</v>
      </c>
      <c r="CA268" s="522">
        <v>0</v>
      </c>
      <c r="CB268" s="526">
        <v>130.19</v>
      </c>
      <c r="CC268" s="526">
        <v>142.38999999999999</v>
      </c>
      <c r="CD268" s="526">
        <v>9.4499999999999993</v>
      </c>
      <c r="CE268" s="526">
        <v>134.38</v>
      </c>
      <c r="CF268" s="522">
        <v>4162</v>
      </c>
      <c r="CG268" s="526">
        <v>130.19</v>
      </c>
      <c r="CH268" s="526">
        <v>142.38999999999999</v>
      </c>
      <c r="CI268" s="526">
        <v>9.4499999999999993</v>
      </c>
      <c r="CJ268" s="526">
        <v>134.38</v>
      </c>
      <c r="CK268" s="522">
        <v>4162</v>
      </c>
      <c r="CL268" s="526">
        <v>103.7</v>
      </c>
      <c r="CM268" s="526">
        <v>99.62</v>
      </c>
      <c r="CN268" s="526">
        <v>113.39</v>
      </c>
      <c r="CO268" s="526">
        <v>217.09</v>
      </c>
      <c r="CP268" s="522">
        <v>8</v>
      </c>
      <c r="CQ268" s="526">
        <v>102.92</v>
      </c>
      <c r="CR268" s="526">
        <v>102.99</v>
      </c>
      <c r="CS268" s="526">
        <v>26.73</v>
      </c>
      <c r="CT268" s="526">
        <v>126.97</v>
      </c>
      <c r="CU268" s="522">
        <v>120</v>
      </c>
      <c r="CV268" s="526">
        <v>118.26</v>
      </c>
      <c r="CW268" s="526">
        <v>119.2</v>
      </c>
      <c r="CX268" s="526">
        <v>34.590000000000003</v>
      </c>
      <c r="CY268" s="526">
        <v>149.56</v>
      </c>
      <c r="CZ268" s="522">
        <v>684</v>
      </c>
      <c r="DA268" s="526">
        <v>140.69</v>
      </c>
      <c r="DB268" s="526">
        <v>143.78</v>
      </c>
      <c r="DC268" s="526">
        <v>5.97</v>
      </c>
      <c r="DD268" s="526">
        <v>145.25</v>
      </c>
      <c r="DE268" s="522">
        <v>55</v>
      </c>
      <c r="DF268" s="526">
        <v>167.72</v>
      </c>
      <c r="DG268" s="526">
        <v>163.77000000000001</v>
      </c>
      <c r="DH268" s="526">
        <v>31.44</v>
      </c>
      <c r="DI268" s="526">
        <v>199.16</v>
      </c>
      <c r="DJ268" s="522">
        <v>5</v>
      </c>
      <c r="DK268" s="526">
        <v>0</v>
      </c>
      <c r="DL268" s="526">
        <v>0</v>
      </c>
      <c r="DM268" s="526">
        <v>0</v>
      </c>
      <c r="DN268" s="526">
        <v>0</v>
      </c>
      <c r="DO268" s="522">
        <v>0</v>
      </c>
      <c r="DP268" s="526">
        <v>117.84</v>
      </c>
      <c r="DQ268" s="526">
        <v>118.76</v>
      </c>
      <c r="DR268" s="526">
        <v>31.92</v>
      </c>
      <c r="DS268" s="526">
        <v>146.44</v>
      </c>
      <c r="DT268" s="522">
        <v>864</v>
      </c>
      <c r="DU268" s="526">
        <v>117.71</v>
      </c>
      <c r="DV268" s="526">
        <v>118.59</v>
      </c>
      <c r="DW268" s="526">
        <v>32.75</v>
      </c>
      <c r="DX268" s="526">
        <v>147.09</v>
      </c>
      <c r="DY268" s="522">
        <v>872</v>
      </c>
      <c r="DZ268" s="526">
        <v>0</v>
      </c>
      <c r="EA268" s="526">
        <v>0</v>
      </c>
      <c r="EB268" s="526">
        <v>149.16</v>
      </c>
      <c r="EC268" s="522">
        <v>4</v>
      </c>
      <c r="ED268" s="526">
        <v>157.61000000000001</v>
      </c>
      <c r="EE268" s="522">
        <v>50</v>
      </c>
      <c r="EF268" s="526">
        <v>194.39</v>
      </c>
      <c r="EG268" s="522">
        <v>111</v>
      </c>
      <c r="EH268" s="526">
        <v>217.57</v>
      </c>
      <c r="EI268" s="522">
        <v>58</v>
      </c>
      <c r="EJ268" s="526">
        <v>254.49</v>
      </c>
      <c r="EK268" s="522">
        <v>3</v>
      </c>
      <c r="EL268" s="526">
        <v>0</v>
      </c>
      <c r="EM268" s="522">
        <v>0</v>
      </c>
      <c r="EN268" s="526">
        <v>0</v>
      </c>
      <c r="EO268" s="522">
        <v>0</v>
      </c>
      <c r="EP268" s="526">
        <v>192.2</v>
      </c>
      <c r="EQ268" s="522">
        <v>226</v>
      </c>
      <c r="ER268" s="526">
        <v>192.2</v>
      </c>
      <c r="ES268" s="522">
        <v>226</v>
      </c>
      <c r="ET268" s="526">
        <v>0</v>
      </c>
      <c r="EU268" s="526">
        <v>0</v>
      </c>
      <c r="EV268" s="526">
        <v>0</v>
      </c>
      <c r="EW268" s="522">
        <v>0</v>
      </c>
      <c r="EX268" s="526">
        <v>215.7</v>
      </c>
      <c r="EY268" s="522">
        <v>4</v>
      </c>
      <c r="EZ268" s="526">
        <v>0</v>
      </c>
      <c r="FA268" s="522">
        <v>0</v>
      </c>
      <c r="FB268" s="526">
        <v>0</v>
      </c>
      <c r="FC268" s="522">
        <v>0</v>
      </c>
      <c r="FD268" s="526">
        <v>0</v>
      </c>
      <c r="FE268" s="522">
        <v>0</v>
      </c>
      <c r="FF268" s="526">
        <v>215.7</v>
      </c>
      <c r="FG268" s="522">
        <v>4</v>
      </c>
      <c r="FH268" s="526">
        <v>215.7</v>
      </c>
      <c r="FI268" s="522">
        <v>4</v>
      </c>
      <c r="FJ268" s="522">
        <v>0</v>
      </c>
      <c r="FK268" s="522">
        <v>3</v>
      </c>
      <c r="FL268" s="522">
        <v>3</v>
      </c>
      <c r="FM268" s="522">
        <v>0</v>
      </c>
      <c r="FN268" s="522">
        <v>0</v>
      </c>
      <c r="FO268" s="522">
        <v>0</v>
      </c>
      <c r="FP268" s="522">
        <v>0</v>
      </c>
      <c r="FQ268" s="522">
        <v>56</v>
      </c>
      <c r="FR268" s="522">
        <v>14</v>
      </c>
    </row>
    <row r="269" spans="1:174" x14ac:dyDescent="0.25">
      <c r="A269" s="523" t="s">
        <v>786</v>
      </c>
      <c r="B269" s="523" t="s">
        <v>787</v>
      </c>
      <c r="C269" s="523" t="s">
        <v>283</v>
      </c>
      <c r="D269" s="522">
        <v>1954</v>
      </c>
      <c r="E269" s="522">
        <v>1874</v>
      </c>
      <c r="F269" s="522">
        <v>0</v>
      </c>
      <c r="G269" s="522">
        <v>0</v>
      </c>
      <c r="H269" s="522">
        <v>127</v>
      </c>
      <c r="I269" s="522">
        <v>121</v>
      </c>
      <c r="J269" s="522">
        <v>93</v>
      </c>
      <c r="K269" s="522">
        <v>63</v>
      </c>
      <c r="L269" s="522">
        <v>441</v>
      </c>
      <c r="M269" s="522">
        <v>82</v>
      </c>
      <c r="N269" s="522">
        <v>2615</v>
      </c>
      <c r="O269" s="522">
        <v>2140</v>
      </c>
      <c r="P269" s="522">
        <v>2174</v>
      </c>
      <c r="Q269" s="522">
        <v>2</v>
      </c>
      <c r="R269" s="523">
        <v>2</v>
      </c>
      <c r="S269" s="523">
        <v>20</v>
      </c>
      <c r="T269" s="523">
        <v>53</v>
      </c>
      <c r="U269" s="523">
        <v>2562</v>
      </c>
      <c r="V269" s="522">
        <v>1937</v>
      </c>
      <c r="W269" s="522">
        <v>6</v>
      </c>
      <c r="X269" s="522">
        <v>2</v>
      </c>
      <c r="Y269" s="522">
        <v>8</v>
      </c>
      <c r="Z269" s="524">
        <v>117.92</v>
      </c>
      <c r="AA269" s="524">
        <v>121.01</v>
      </c>
      <c r="AB269" s="524">
        <v>9.3800000000000008</v>
      </c>
      <c r="AC269" s="524">
        <v>124.4</v>
      </c>
      <c r="AD269" s="524">
        <v>1195</v>
      </c>
      <c r="AE269" s="525">
        <v>131.79</v>
      </c>
      <c r="AF269" s="525">
        <v>124.52</v>
      </c>
      <c r="AG269" s="525">
        <v>118.69</v>
      </c>
      <c r="AH269" s="525">
        <v>244.67</v>
      </c>
      <c r="AI269" s="525">
        <v>184</v>
      </c>
      <c r="AJ269" s="525">
        <v>183.64</v>
      </c>
      <c r="AK269" s="525">
        <v>611</v>
      </c>
      <c r="AL269" s="525">
        <v>188.88</v>
      </c>
      <c r="AM269" s="525">
        <v>4</v>
      </c>
      <c r="AN269" s="526">
        <v>0</v>
      </c>
      <c r="AO269" s="526">
        <v>0</v>
      </c>
      <c r="AP269" s="526">
        <v>0</v>
      </c>
      <c r="AQ269" s="526">
        <v>0</v>
      </c>
      <c r="AR269" s="522">
        <v>0</v>
      </c>
      <c r="AS269" s="526">
        <v>94.43</v>
      </c>
      <c r="AT269" s="526">
        <v>93.82</v>
      </c>
      <c r="AU269" s="526">
        <v>9.61</v>
      </c>
      <c r="AV269" s="526">
        <v>104.04</v>
      </c>
      <c r="AW269" s="522">
        <v>2</v>
      </c>
      <c r="AX269" s="526">
        <v>102.91</v>
      </c>
      <c r="AY269" s="526">
        <v>105.3</v>
      </c>
      <c r="AZ269" s="526">
        <v>11.51</v>
      </c>
      <c r="BA269" s="526">
        <v>113.35</v>
      </c>
      <c r="BB269" s="522">
        <v>278</v>
      </c>
      <c r="BC269" s="526">
        <v>115.12</v>
      </c>
      <c r="BD269" s="526">
        <v>117.81</v>
      </c>
      <c r="BE269" s="526">
        <v>10.89</v>
      </c>
      <c r="BF269" s="526">
        <v>123.52</v>
      </c>
      <c r="BG269" s="522">
        <v>502</v>
      </c>
      <c r="BH269" s="526">
        <v>128.86000000000001</v>
      </c>
      <c r="BI269" s="526">
        <v>132.27000000000001</v>
      </c>
      <c r="BJ269" s="526">
        <v>2.6</v>
      </c>
      <c r="BK269" s="526">
        <v>129.93</v>
      </c>
      <c r="BL269" s="522">
        <v>364</v>
      </c>
      <c r="BM269" s="526">
        <v>150.99</v>
      </c>
      <c r="BN269" s="526">
        <v>159.93</v>
      </c>
      <c r="BO269" s="526">
        <v>6.37</v>
      </c>
      <c r="BP269" s="526">
        <v>155.46</v>
      </c>
      <c r="BQ269" s="522">
        <v>47</v>
      </c>
      <c r="BR269" s="526">
        <v>161.05000000000001</v>
      </c>
      <c r="BS269" s="526">
        <v>170.1</v>
      </c>
      <c r="BT269" s="526">
        <v>6.22</v>
      </c>
      <c r="BU269" s="526">
        <v>167.27</v>
      </c>
      <c r="BV269" s="522">
        <v>2</v>
      </c>
      <c r="BW269" s="526">
        <v>0</v>
      </c>
      <c r="BX269" s="526">
        <v>0</v>
      </c>
      <c r="BY269" s="526">
        <v>0</v>
      </c>
      <c r="BZ269" s="526">
        <v>0</v>
      </c>
      <c r="CA269" s="522">
        <v>0</v>
      </c>
      <c r="CB269" s="526">
        <v>117.92</v>
      </c>
      <c r="CC269" s="526">
        <v>121.01</v>
      </c>
      <c r="CD269" s="526">
        <v>9.3800000000000008</v>
      </c>
      <c r="CE269" s="526">
        <v>124.4</v>
      </c>
      <c r="CF269" s="522">
        <v>1195</v>
      </c>
      <c r="CG269" s="526">
        <v>117.92</v>
      </c>
      <c r="CH269" s="526">
        <v>121.01</v>
      </c>
      <c r="CI269" s="526">
        <v>9.3800000000000008</v>
      </c>
      <c r="CJ269" s="526">
        <v>124.4</v>
      </c>
      <c r="CK269" s="522">
        <v>1195</v>
      </c>
      <c r="CL269" s="526">
        <v>130.46</v>
      </c>
      <c r="CM269" s="526">
        <v>104.38</v>
      </c>
      <c r="CN269" s="526">
        <v>159.91999999999999</v>
      </c>
      <c r="CO269" s="526">
        <v>277.41000000000003</v>
      </c>
      <c r="CP269" s="522">
        <v>74</v>
      </c>
      <c r="CQ269" s="526">
        <v>0</v>
      </c>
      <c r="CR269" s="526">
        <v>0</v>
      </c>
      <c r="CS269" s="526">
        <v>0</v>
      </c>
      <c r="CT269" s="526">
        <v>0</v>
      </c>
      <c r="CU269" s="522">
        <v>0</v>
      </c>
      <c r="CV269" s="526">
        <v>126.6</v>
      </c>
      <c r="CW269" s="526">
        <v>122.82</v>
      </c>
      <c r="CX269" s="526">
        <v>84.06</v>
      </c>
      <c r="CY269" s="526">
        <v>207.38</v>
      </c>
      <c r="CZ269" s="522">
        <v>77</v>
      </c>
      <c r="DA269" s="526">
        <v>146.86000000000001</v>
      </c>
      <c r="DB269" s="526">
        <v>138.43</v>
      </c>
      <c r="DC269" s="526">
        <v>111.38</v>
      </c>
      <c r="DD269" s="526">
        <v>258.24</v>
      </c>
      <c r="DE269" s="522">
        <v>33</v>
      </c>
      <c r="DF269" s="526">
        <v>0</v>
      </c>
      <c r="DG269" s="526">
        <v>0</v>
      </c>
      <c r="DH269" s="526">
        <v>0</v>
      </c>
      <c r="DI269" s="526">
        <v>0</v>
      </c>
      <c r="DJ269" s="522">
        <v>0</v>
      </c>
      <c r="DK269" s="526">
        <v>0</v>
      </c>
      <c r="DL269" s="526">
        <v>0</v>
      </c>
      <c r="DM269" s="526">
        <v>0</v>
      </c>
      <c r="DN269" s="526">
        <v>0</v>
      </c>
      <c r="DO269" s="522">
        <v>0</v>
      </c>
      <c r="DP269" s="526">
        <v>132.68</v>
      </c>
      <c r="DQ269" s="526">
        <v>127.87</v>
      </c>
      <c r="DR269" s="526">
        <v>92.48</v>
      </c>
      <c r="DS269" s="526">
        <v>222.64</v>
      </c>
      <c r="DT269" s="522">
        <v>110</v>
      </c>
      <c r="DU269" s="526">
        <v>131.79</v>
      </c>
      <c r="DV269" s="526">
        <v>124.52</v>
      </c>
      <c r="DW269" s="526">
        <v>118.69</v>
      </c>
      <c r="DX269" s="526">
        <v>244.67</v>
      </c>
      <c r="DY269" s="522">
        <v>184</v>
      </c>
      <c r="DZ269" s="526">
        <v>0</v>
      </c>
      <c r="EA269" s="526">
        <v>0</v>
      </c>
      <c r="EB269" s="526">
        <v>151.77000000000001</v>
      </c>
      <c r="EC269" s="522">
        <v>1</v>
      </c>
      <c r="ED269" s="526">
        <v>151.72999999999999</v>
      </c>
      <c r="EE269" s="522">
        <v>95</v>
      </c>
      <c r="EF269" s="526">
        <v>179.03</v>
      </c>
      <c r="EG269" s="522">
        <v>347</v>
      </c>
      <c r="EH269" s="526">
        <v>206.01</v>
      </c>
      <c r="EI269" s="522">
        <v>137</v>
      </c>
      <c r="EJ269" s="526">
        <v>235.07</v>
      </c>
      <c r="EK269" s="522">
        <v>31</v>
      </c>
      <c r="EL269" s="526">
        <v>0</v>
      </c>
      <c r="EM269" s="522">
        <v>0</v>
      </c>
      <c r="EN269" s="526">
        <v>0</v>
      </c>
      <c r="EO269" s="522">
        <v>0</v>
      </c>
      <c r="EP269" s="526">
        <v>183.64</v>
      </c>
      <c r="EQ269" s="522">
        <v>611</v>
      </c>
      <c r="ER269" s="526">
        <v>183.64</v>
      </c>
      <c r="ES269" s="522">
        <v>611</v>
      </c>
      <c r="ET269" s="526">
        <v>0</v>
      </c>
      <c r="EU269" s="526">
        <v>0</v>
      </c>
      <c r="EV269" s="526">
        <v>0</v>
      </c>
      <c r="EW269" s="522">
        <v>0</v>
      </c>
      <c r="EX269" s="526">
        <v>175.98</v>
      </c>
      <c r="EY269" s="522">
        <v>2</v>
      </c>
      <c r="EZ269" s="526">
        <v>201.77</v>
      </c>
      <c r="FA269" s="522">
        <v>2</v>
      </c>
      <c r="FB269" s="526">
        <v>0</v>
      </c>
      <c r="FC269" s="522">
        <v>0</v>
      </c>
      <c r="FD269" s="526">
        <v>0</v>
      </c>
      <c r="FE269" s="522">
        <v>0</v>
      </c>
      <c r="FF269" s="526">
        <v>188.88</v>
      </c>
      <c r="FG269" s="522">
        <v>4</v>
      </c>
      <c r="FH269" s="526">
        <v>188.88</v>
      </c>
      <c r="FI269" s="522">
        <v>4</v>
      </c>
      <c r="FJ269" s="522">
        <v>0</v>
      </c>
      <c r="FK269" s="522">
        <v>0</v>
      </c>
      <c r="FL269" s="522">
        <v>0</v>
      </c>
      <c r="FM269" s="522">
        <v>0</v>
      </c>
      <c r="FN269" s="522">
        <v>0</v>
      </c>
      <c r="FO269" s="522">
        <v>0</v>
      </c>
      <c r="FP269" s="522">
        <v>0</v>
      </c>
      <c r="FQ269" s="522">
        <v>4</v>
      </c>
      <c r="FR269" s="522">
        <v>16</v>
      </c>
    </row>
    <row r="270" spans="1:174" x14ac:dyDescent="0.25">
      <c r="A270" s="523" t="s">
        <v>788</v>
      </c>
      <c r="B270" s="523" t="s">
        <v>789</v>
      </c>
      <c r="C270" s="523" t="s">
        <v>2</v>
      </c>
      <c r="D270" s="522">
        <v>7863</v>
      </c>
      <c r="E270" s="522">
        <v>7841</v>
      </c>
      <c r="F270" s="522">
        <v>1</v>
      </c>
      <c r="G270" s="522">
        <v>1</v>
      </c>
      <c r="H270" s="522">
        <v>150</v>
      </c>
      <c r="I270" s="522">
        <v>60</v>
      </c>
      <c r="J270" s="522">
        <v>606</v>
      </c>
      <c r="K270" s="522">
        <v>580</v>
      </c>
      <c r="L270" s="522">
        <v>1167</v>
      </c>
      <c r="M270" s="522">
        <v>115</v>
      </c>
      <c r="N270" s="522">
        <v>9787</v>
      </c>
      <c r="O270" s="522">
        <v>8597</v>
      </c>
      <c r="P270" s="522">
        <v>8620</v>
      </c>
      <c r="Q270" s="522">
        <v>29</v>
      </c>
      <c r="R270" s="523">
        <v>10</v>
      </c>
      <c r="S270" s="523">
        <v>26</v>
      </c>
      <c r="T270" s="523">
        <v>129</v>
      </c>
      <c r="U270" s="523">
        <v>9658</v>
      </c>
      <c r="V270" s="522">
        <v>7841</v>
      </c>
      <c r="W270" s="522">
        <v>104</v>
      </c>
      <c r="X270" s="522">
        <v>23</v>
      </c>
      <c r="Y270" s="522">
        <v>127</v>
      </c>
      <c r="Z270" s="524">
        <v>130.1</v>
      </c>
      <c r="AA270" s="524">
        <v>134.87</v>
      </c>
      <c r="AB270" s="524">
        <v>7.26</v>
      </c>
      <c r="AC270" s="524">
        <v>132.36000000000001</v>
      </c>
      <c r="AD270" s="524">
        <v>6488</v>
      </c>
      <c r="AE270" s="525">
        <v>113.78</v>
      </c>
      <c r="AF270" s="525">
        <v>106.55</v>
      </c>
      <c r="AG270" s="525">
        <v>54.77</v>
      </c>
      <c r="AH270" s="525">
        <v>166.41</v>
      </c>
      <c r="AI270" s="525">
        <v>540</v>
      </c>
      <c r="AJ270" s="525">
        <v>170.83</v>
      </c>
      <c r="AK270" s="525">
        <v>1296</v>
      </c>
      <c r="AL270" s="525">
        <v>332.14</v>
      </c>
      <c r="AM270" s="525">
        <v>109</v>
      </c>
      <c r="AN270" s="526">
        <v>62.3</v>
      </c>
      <c r="AO270" s="526">
        <v>113.81</v>
      </c>
      <c r="AP270" s="526">
        <v>45.11</v>
      </c>
      <c r="AQ270" s="526">
        <v>107.41</v>
      </c>
      <c r="AR270" s="522">
        <v>1</v>
      </c>
      <c r="AS270" s="526">
        <v>91.97</v>
      </c>
      <c r="AT270" s="526">
        <v>106.47</v>
      </c>
      <c r="AU270" s="526">
        <v>43.7</v>
      </c>
      <c r="AV270" s="526">
        <v>135.66999999999999</v>
      </c>
      <c r="AW270" s="522">
        <v>3</v>
      </c>
      <c r="AX270" s="526">
        <v>107.75</v>
      </c>
      <c r="AY270" s="526">
        <v>110.3</v>
      </c>
      <c r="AZ270" s="526">
        <v>7.65</v>
      </c>
      <c r="BA270" s="526">
        <v>112.12</v>
      </c>
      <c r="BB270" s="522">
        <v>1378</v>
      </c>
      <c r="BC270" s="526">
        <v>125.85</v>
      </c>
      <c r="BD270" s="526">
        <v>129</v>
      </c>
      <c r="BE270" s="526">
        <v>9.81</v>
      </c>
      <c r="BF270" s="526">
        <v>129.22999999999999</v>
      </c>
      <c r="BG270" s="522">
        <v>1909</v>
      </c>
      <c r="BH270" s="526">
        <v>141.34</v>
      </c>
      <c r="BI270" s="526">
        <v>148.13</v>
      </c>
      <c r="BJ270" s="526">
        <v>3.32</v>
      </c>
      <c r="BK270" s="526">
        <v>141.91</v>
      </c>
      <c r="BL270" s="522">
        <v>3021</v>
      </c>
      <c r="BM270" s="526">
        <v>158.65</v>
      </c>
      <c r="BN270" s="526">
        <v>164.89</v>
      </c>
      <c r="BO270" s="526">
        <v>5.05</v>
      </c>
      <c r="BP270" s="526">
        <v>160.01</v>
      </c>
      <c r="BQ270" s="522">
        <v>171</v>
      </c>
      <c r="BR270" s="526">
        <v>175.84</v>
      </c>
      <c r="BS270" s="526">
        <v>175.32</v>
      </c>
      <c r="BT270" s="526">
        <v>0</v>
      </c>
      <c r="BU270" s="526">
        <v>175.84</v>
      </c>
      <c r="BV270" s="522">
        <v>3</v>
      </c>
      <c r="BW270" s="526">
        <v>199.29</v>
      </c>
      <c r="BX270" s="526">
        <v>189.05</v>
      </c>
      <c r="BY270" s="526">
        <v>0</v>
      </c>
      <c r="BZ270" s="526">
        <v>199.29</v>
      </c>
      <c r="CA270" s="522">
        <v>2</v>
      </c>
      <c r="CB270" s="526">
        <v>130.11000000000001</v>
      </c>
      <c r="CC270" s="526">
        <v>134.88</v>
      </c>
      <c r="CD270" s="526">
        <v>7.24</v>
      </c>
      <c r="CE270" s="526">
        <v>132.36000000000001</v>
      </c>
      <c r="CF270" s="522">
        <v>6487</v>
      </c>
      <c r="CG270" s="526">
        <v>130.1</v>
      </c>
      <c r="CH270" s="526">
        <v>134.87</v>
      </c>
      <c r="CI270" s="526">
        <v>7.26</v>
      </c>
      <c r="CJ270" s="526">
        <v>132.36000000000001</v>
      </c>
      <c r="CK270" s="522">
        <v>6488</v>
      </c>
      <c r="CL270" s="526">
        <v>134.4</v>
      </c>
      <c r="CM270" s="526">
        <v>95.26</v>
      </c>
      <c r="CN270" s="526">
        <v>37.29</v>
      </c>
      <c r="CO270" s="526">
        <v>153.55000000000001</v>
      </c>
      <c r="CP270" s="522">
        <v>37</v>
      </c>
      <c r="CQ270" s="526">
        <v>97.3</v>
      </c>
      <c r="CR270" s="526">
        <v>95.69</v>
      </c>
      <c r="CS270" s="526">
        <v>49.44</v>
      </c>
      <c r="CT270" s="526">
        <v>146.72999999999999</v>
      </c>
      <c r="CU270" s="522">
        <v>66</v>
      </c>
      <c r="CV270" s="526">
        <v>112.1</v>
      </c>
      <c r="CW270" s="526">
        <v>107.03</v>
      </c>
      <c r="CX270" s="526">
        <v>56.22</v>
      </c>
      <c r="CY270" s="526">
        <v>167.89</v>
      </c>
      <c r="CZ270" s="522">
        <v>398</v>
      </c>
      <c r="DA270" s="526">
        <v>128.51</v>
      </c>
      <c r="DB270" s="526">
        <v>125.61</v>
      </c>
      <c r="DC270" s="526">
        <v>55.54</v>
      </c>
      <c r="DD270" s="526">
        <v>184.05</v>
      </c>
      <c r="DE270" s="522">
        <v>33</v>
      </c>
      <c r="DF270" s="526">
        <v>198.22</v>
      </c>
      <c r="DG270" s="526">
        <v>144.63</v>
      </c>
      <c r="DH270" s="526">
        <v>68.98</v>
      </c>
      <c r="DI270" s="526">
        <v>267.2</v>
      </c>
      <c r="DJ270" s="522">
        <v>6</v>
      </c>
      <c r="DK270" s="526">
        <v>0</v>
      </c>
      <c r="DL270" s="526">
        <v>0</v>
      </c>
      <c r="DM270" s="526">
        <v>0</v>
      </c>
      <c r="DN270" s="526">
        <v>0</v>
      </c>
      <c r="DO270" s="522">
        <v>0</v>
      </c>
      <c r="DP270" s="526">
        <v>112.26</v>
      </c>
      <c r="DQ270" s="526">
        <v>107.14</v>
      </c>
      <c r="DR270" s="526">
        <v>55.43</v>
      </c>
      <c r="DS270" s="526">
        <v>167.36</v>
      </c>
      <c r="DT270" s="522">
        <v>503</v>
      </c>
      <c r="DU270" s="526">
        <v>113.78</v>
      </c>
      <c r="DV270" s="526">
        <v>106.55</v>
      </c>
      <c r="DW270" s="526">
        <v>54.77</v>
      </c>
      <c r="DX270" s="526">
        <v>166.41</v>
      </c>
      <c r="DY270" s="522">
        <v>540</v>
      </c>
      <c r="DZ270" s="526">
        <v>0</v>
      </c>
      <c r="EA270" s="526">
        <v>0</v>
      </c>
      <c r="EB270" s="526">
        <v>0</v>
      </c>
      <c r="EC270" s="522">
        <v>0</v>
      </c>
      <c r="ED270" s="526">
        <v>132.81</v>
      </c>
      <c r="EE270" s="522">
        <v>378</v>
      </c>
      <c r="EF270" s="526">
        <v>176.07</v>
      </c>
      <c r="EG270" s="522">
        <v>553</v>
      </c>
      <c r="EH270" s="526">
        <v>197.34</v>
      </c>
      <c r="EI270" s="522">
        <v>343</v>
      </c>
      <c r="EJ270" s="526">
        <v>275.83</v>
      </c>
      <c r="EK270" s="522">
        <v>21</v>
      </c>
      <c r="EL270" s="526">
        <v>341.54</v>
      </c>
      <c r="EM270" s="522">
        <v>1</v>
      </c>
      <c r="EN270" s="526">
        <v>0</v>
      </c>
      <c r="EO270" s="522">
        <v>0</v>
      </c>
      <c r="EP270" s="526">
        <v>170.83</v>
      </c>
      <c r="EQ270" s="522">
        <v>1296</v>
      </c>
      <c r="ER270" s="526">
        <v>170.83</v>
      </c>
      <c r="ES270" s="522">
        <v>1296</v>
      </c>
      <c r="ET270" s="526">
        <v>0</v>
      </c>
      <c r="EU270" s="526">
        <v>0</v>
      </c>
      <c r="EV270" s="526">
        <v>0</v>
      </c>
      <c r="EW270" s="522">
        <v>0</v>
      </c>
      <c r="EX270" s="526">
        <v>317.66000000000003</v>
      </c>
      <c r="EY270" s="522">
        <v>73</v>
      </c>
      <c r="EZ270" s="526">
        <v>361.5</v>
      </c>
      <c r="FA270" s="522">
        <v>36</v>
      </c>
      <c r="FB270" s="526">
        <v>0</v>
      </c>
      <c r="FC270" s="522">
        <v>0</v>
      </c>
      <c r="FD270" s="526">
        <v>0</v>
      </c>
      <c r="FE270" s="522">
        <v>0</v>
      </c>
      <c r="FF270" s="526">
        <v>332.14</v>
      </c>
      <c r="FG270" s="522">
        <v>109</v>
      </c>
      <c r="FH270" s="526">
        <v>332.14</v>
      </c>
      <c r="FI270" s="522">
        <v>109</v>
      </c>
      <c r="FJ270" s="522">
        <v>0</v>
      </c>
      <c r="FK270" s="522">
        <v>0</v>
      </c>
      <c r="FL270" s="522">
        <v>0</v>
      </c>
      <c r="FM270" s="522">
        <v>0</v>
      </c>
      <c r="FN270" s="522">
        <v>0</v>
      </c>
      <c r="FO270" s="522">
        <v>0</v>
      </c>
      <c r="FP270" s="522">
        <v>2</v>
      </c>
      <c r="FQ270" s="522">
        <v>33</v>
      </c>
      <c r="FR270" s="522">
        <v>8</v>
      </c>
    </row>
    <row r="271" spans="1:174" x14ac:dyDescent="0.25">
      <c r="A271" s="523" t="s">
        <v>790</v>
      </c>
      <c r="B271" s="523" t="s">
        <v>791</v>
      </c>
      <c r="C271" s="523" t="s">
        <v>287</v>
      </c>
      <c r="D271" s="522">
        <v>4308</v>
      </c>
      <c r="E271" s="522">
        <v>4185</v>
      </c>
      <c r="F271" s="522">
        <v>11</v>
      </c>
      <c r="G271" s="522">
        <v>11</v>
      </c>
      <c r="H271" s="522">
        <v>336</v>
      </c>
      <c r="I271" s="522">
        <v>247</v>
      </c>
      <c r="J271" s="522">
        <v>881</v>
      </c>
      <c r="K271" s="522">
        <v>842</v>
      </c>
      <c r="L271" s="522">
        <v>571</v>
      </c>
      <c r="M271" s="522">
        <v>0</v>
      </c>
      <c r="N271" s="522">
        <v>6107</v>
      </c>
      <c r="O271" s="522">
        <v>5285</v>
      </c>
      <c r="P271" s="522">
        <v>5536</v>
      </c>
      <c r="Q271" s="522">
        <v>4</v>
      </c>
      <c r="R271" s="523">
        <v>6</v>
      </c>
      <c r="S271" s="523">
        <v>24</v>
      </c>
      <c r="T271" s="523">
        <v>230</v>
      </c>
      <c r="U271" s="523">
        <v>5877</v>
      </c>
      <c r="V271" s="522">
        <v>4223</v>
      </c>
      <c r="W271" s="522">
        <v>21</v>
      </c>
      <c r="X271" s="522">
        <v>53</v>
      </c>
      <c r="Y271" s="522">
        <v>74</v>
      </c>
      <c r="Z271" s="524">
        <v>100.52</v>
      </c>
      <c r="AA271" s="524">
        <v>102.18</v>
      </c>
      <c r="AB271" s="524">
        <v>8.64</v>
      </c>
      <c r="AC271" s="524">
        <v>107.95</v>
      </c>
      <c r="AD271" s="524">
        <v>3708</v>
      </c>
      <c r="AE271" s="525">
        <v>108.18</v>
      </c>
      <c r="AF271" s="525">
        <v>94.4</v>
      </c>
      <c r="AG271" s="525">
        <v>49.54</v>
      </c>
      <c r="AH271" s="525">
        <v>157.06</v>
      </c>
      <c r="AI271" s="525">
        <v>1069</v>
      </c>
      <c r="AJ271" s="525">
        <v>138.66999999999999</v>
      </c>
      <c r="AK271" s="525">
        <v>507</v>
      </c>
      <c r="AL271" s="525">
        <v>117.36</v>
      </c>
      <c r="AM271" s="525">
        <v>17</v>
      </c>
      <c r="AN271" s="526">
        <v>71.55</v>
      </c>
      <c r="AO271" s="526">
        <v>70.77</v>
      </c>
      <c r="AP271" s="526">
        <v>69.959999999999994</v>
      </c>
      <c r="AQ271" s="526">
        <v>141.51</v>
      </c>
      <c r="AR271" s="522">
        <v>11</v>
      </c>
      <c r="AS271" s="526">
        <v>75.06</v>
      </c>
      <c r="AT271" s="526">
        <v>77.790000000000006</v>
      </c>
      <c r="AU271" s="526">
        <v>11.41</v>
      </c>
      <c r="AV271" s="526">
        <v>86.47</v>
      </c>
      <c r="AW271" s="522">
        <v>38</v>
      </c>
      <c r="AX271" s="526">
        <v>85.05</v>
      </c>
      <c r="AY271" s="526">
        <v>86.18</v>
      </c>
      <c r="AZ271" s="526">
        <v>15</v>
      </c>
      <c r="BA271" s="526">
        <v>99.83</v>
      </c>
      <c r="BB271" s="522">
        <v>908</v>
      </c>
      <c r="BC271" s="526">
        <v>98.07</v>
      </c>
      <c r="BD271" s="526">
        <v>99.45</v>
      </c>
      <c r="BE271" s="526">
        <v>8.77</v>
      </c>
      <c r="BF271" s="526">
        <v>106.22</v>
      </c>
      <c r="BG271" s="522">
        <v>1221</v>
      </c>
      <c r="BH271" s="526">
        <v>110.72</v>
      </c>
      <c r="BI271" s="526">
        <v>113.16</v>
      </c>
      <c r="BJ271" s="526">
        <v>2.54</v>
      </c>
      <c r="BK271" s="526">
        <v>112.57</v>
      </c>
      <c r="BL271" s="522">
        <v>1364</v>
      </c>
      <c r="BM271" s="526">
        <v>125.76</v>
      </c>
      <c r="BN271" s="526">
        <v>125.89</v>
      </c>
      <c r="BO271" s="526">
        <v>3.84</v>
      </c>
      <c r="BP271" s="526">
        <v>128.79</v>
      </c>
      <c r="BQ271" s="522">
        <v>150</v>
      </c>
      <c r="BR271" s="526">
        <v>134.16999999999999</v>
      </c>
      <c r="BS271" s="526">
        <v>138.97999999999999</v>
      </c>
      <c r="BT271" s="526">
        <v>3.56</v>
      </c>
      <c r="BU271" s="526">
        <v>134.88</v>
      </c>
      <c r="BV271" s="522">
        <v>10</v>
      </c>
      <c r="BW271" s="526">
        <v>146.35</v>
      </c>
      <c r="BX271" s="526">
        <v>146.26</v>
      </c>
      <c r="BY271" s="526">
        <v>3.32</v>
      </c>
      <c r="BZ271" s="526">
        <v>148.01</v>
      </c>
      <c r="CA271" s="522">
        <v>6</v>
      </c>
      <c r="CB271" s="526">
        <v>100.6</v>
      </c>
      <c r="CC271" s="526">
        <v>102.28</v>
      </c>
      <c r="CD271" s="526">
        <v>8.43</v>
      </c>
      <c r="CE271" s="526">
        <v>107.85</v>
      </c>
      <c r="CF271" s="522">
        <v>3697</v>
      </c>
      <c r="CG271" s="526">
        <v>100.52</v>
      </c>
      <c r="CH271" s="526">
        <v>102.18</v>
      </c>
      <c r="CI271" s="526">
        <v>8.64</v>
      </c>
      <c r="CJ271" s="526">
        <v>107.95</v>
      </c>
      <c r="CK271" s="522">
        <v>3708</v>
      </c>
      <c r="CL271" s="526">
        <v>151.33000000000001</v>
      </c>
      <c r="CM271" s="526">
        <v>71.52</v>
      </c>
      <c r="CN271" s="526">
        <v>91.41</v>
      </c>
      <c r="CO271" s="526">
        <v>232.97</v>
      </c>
      <c r="CP271" s="522">
        <v>131</v>
      </c>
      <c r="CQ271" s="526">
        <v>86.39</v>
      </c>
      <c r="CR271" s="526">
        <v>79.290000000000006</v>
      </c>
      <c r="CS271" s="526">
        <v>64.58</v>
      </c>
      <c r="CT271" s="526">
        <v>150.97</v>
      </c>
      <c r="CU271" s="522">
        <v>16</v>
      </c>
      <c r="CV271" s="526">
        <v>100.58</v>
      </c>
      <c r="CW271" s="526">
        <v>91.86</v>
      </c>
      <c r="CX271" s="526">
        <v>43.46</v>
      </c>
      <c r="CY271" s="526">
        <v>144.04</v>
      </c>
      <c r="CZ271" s="522">
        <v>749</v>
      </c>
      <c r="DA271" s="526">
        <v>109.94</v>
      </c>
      <c r="DB271" s="526">
        <v>112.71</v>
      </c>
      <c r="DC271" s="526">
        <v>44.89</v>
      </c>
      <c r="DD271" s="526">
        <v>154.83000000000001</v>
      </c>
      <c r="DE271" s="522">
        <v>168</v>
      </c>
      <c r="DF271" s="526">
        <v>125.62</v>
      </c>
      <c r="DG271" s="526">
        <v>126.66</v>
      </c>
      <c r="DH271" s="526">
        <v>88.84</v>
      </c>
      <c r="DI271" s="526">
        <v>214.46</v>
      </c>
      <c r="DJ271" s="522">
        <v>5</v>
      </c>
      <c r="DK271" s="526">
        <v>0</v>
      </c>
      <c r="DL271" s="526">
        <v>0</v>
      </c>
      <c r="DM271" s="526">
        <v>0</v>
      </c>
      <c r="DN271" s="526">
        <v>0</v>
      </c>
      <c r="DO271" s="522">
        <v>0</v>
      </c>
      <c r="DP271" s="526">
        <v>102.15</v>
      </c>
      <c r="DQ271" s="526">
        <v>95.69</v>
      </c>
      <c r="DR271" s="526">
        <v>44.31</v>
      </c>
      <c r="DS271" s="526">
        <v>146.46</v>
      </c>
      <c r="DT271" s="522">
        <v>938</v>
      </c>
      <c r="DU271" s="526">
        <v>108.18</v>
      </c>
      <c r="DV271" s="526">
        <v>94.4</v>
      </c>
      <c r="DW271" s="526">
        <v>49.54</v>
      </c>
      <c r="DX271" s="526">
        <v>157.06</v>
      </c>
      <c r="DY271" s="522">
        <v>1069</v>
      </c>
      <c r="DZ271" s="526">
        <v>0</v>
      </c>
      <c r="EA271" s="526">
        <v>0</v>
      </c>
      <c r="EB271" s="526">
        <v>0</v>
      </c>
      <c r="EC271" s="522">
        <v>0</v>
      </c>
      <c r="ED271" s="526">
        <v>101.14</v>
      </c>
      <c r="EE271" s="522">
        <v>26</v>
      </c>
      <c r="EF271" s="526">
        <v>130.69999999999999</v>
      </c>
      <c r="EG271" s="522">
        <v>352</v>
      </c>
      <c r="EH271" s="526">
        <v>160.93</v>
      </c>
      <c r="EI271" s="522">
        <v>106</v>
      </c>
      <c r="EJ271" s="526">
        <v>198.84</v>
      </c>
      <c r="EK271" s="522">
        <v>15</v>
      </c>
      <c r="EL271" s="526">
        <v>203.26</v>
      </c>
      <c r="EM271" s="522">
        <v>8</v>
      </c>
      <c r="EN271" s="526">
        <v>0</v>
      </c>
      <c r="EO271" s="522">
        <v>0</v>
      </c>
      <c r="EP271" s="526">
        <v>138.66999999999999</v>
      </c>
      <c r="EQ271" s="522">
        <v>507</v>
      </c>
      <c r="ER271" s="526">
        <v>138.66999999999999</v>
      </c>
      <c r="ES271" s="522">
        <v>507</v>
      </c>
      <c r="ET271" s="526">
        <v>70</v>
      </c>
      <c r="EU271" s="526">
        <v>4</v>
      </c>
      <c r="EV271" s="526">
        <v>0</v>
      </c>
      <c r="EW271" s="522">
        <v>0</v>
      </c>
      <c r="EX271" s="526">
        <v>111.53</v>
      </c>
      <c r="EY271" s="522">
        <v>10</v>
      </c>
      <c r="EZ271" s="526">
        <v>199.93</v>
      </c>
      <c r="FA271" s="522">
        <v>3</v>
      </c>
      <c r="FB271" s="526">
        <v>0</v>
      </c>
      <c r="FC271" s="522">
        <v>0</v>
      </c>
      <c r="FD271" s="526">
        <v>0</v>
      </c>
      <c r="FE271" s="522">
        <v>0</v>
      </c>
      <c r="FF271" s="526">
        <v>131.93</v>
      </c>
      <c r="FG271" s="522">
        <v>13</v>
      </c>
      <c r="FH271" s="526">
        <v>117.36</v>
      </c>
      <c r="FI271" s="522">
        <v>17</v>
      </c>
      <c r="FJ271" s="522">
        <v>12</v>
      </c>
      <c r="FK271" s="522">
        <v>2</v>
      </c>
      <c r="FL271" s="522">
        <v>1</v>
      </c>
      <c r="FM271" s="522">
        <v>0</v>
      </c>
      <c r="FN271" s="522">
        <v>1</v>
      </c>
      <c r="FO271" s="522">
        <v>0</v>
      </c>
      <c r="FP271" s="522">
        <v>0</v>
      </c>
      <c r="FQ271" s="522">
        <v>5</v>
      </c>
      <c r="FR271" s="522">
        <v>4</v>
      </c>
    </row>
    <row r="272" spans="1:174" x14ac:dyDescent="0.25">
      <c r="A272" s="523" t="s">
        <v>792</v>
      </c>
      <c r="B272" s="523" t="s">
        <v>793</v>
      </c>
      <c r="C272" s="523" t="s">
        <v>287</v>
      </c>
      <c r="D272" s="522">
        <v>2527</v>
      </c>
      <c r="E272" s="522">
        <v>2519</v>
      </c>
      <c r="F272" s="522">
        <v>0</v>
      </c>
      <c r="G272" s="522">
        <v>0</v>
      </c>
      <c r="H272" s="522">
        <v>40</v>
      </c>
      <c r="I272" s="522">
        <v>20</v>
      </c>
      <c r="J272" s="522">
        <v>351</v>
      </c>
      <c r="K272" s="522">
        <v>330</v>
      </c>
      <c r="L272" s="522">
        <v>239</v>
      </c>
      <c r="M272" s="522">
        <v>21</v>
      </c>
      <c r="N272" s="522">
        <v>3157</v>
      </c>
      <c r="O272" s="522">
        <v>2890</v>
      </c>
      <c r="P272" s="522">
        <v>2918</v>
      </c>
      <c r="Q272" s="522">
        <v>6</v>
      </c>
      <c r="R272" s="523">
        <v>7</v>
      </c>
      <c r="S272" s="523">
        <v>18</v>
      </c>
      <c r="T272" s="523">
        <v>49</v>
      </c>
      <c r="U272" s="523">
        <v>3108</v>
      </c>
      <c r="V272" s="522">
        <v>2519</v>
      </c>
      <c r="W272" s="522">
        <v>18</v>
      </c>
      <c r="X272" s="522">
        <v>7</v>
      </c>
      <c r="Y272" s="522">
        <v>25</v>
      </c>
      <c r="Z272" s="524">
        <v>95.62</v>
      </c>
      <c r="AA272" s="524">
        <v>96.06</v>
      </c>
      <c r="AB272" s="524">
        <v>4.9400000000000004</v>
      </c>
      <c r="AC272" s="524">
        <v>98.84</v>
      </c>
      <c r="AD272" s="524">
        <v>2380</v>
      </c>
      <c r="AE272" s="525">
        <v>87.46</v>
      </c>
      <c r="AF272" s="525">
        <v>80.78</v>
      </c>
      <c r="AG272" s="525">
        <v>40.049999999999997</v>
      </c>
      <c r="AH272" s="525">
        <v>123.49</v>
      </c>
      <c r="AI272" s="525">
        <v>309</v>
      </c>
      <c r="AJ272" s="525">
        <v>123.28</v>
      </c>
      <c r="AK272" s="525">
        <v>147</v>
      </c>
      <c r="AL272" s="525">
        <v>254.88</v>
      </c>
      <c r="AM272" s="525">
        <v>41</v>
      </c>
      <c r="AN272" s="526">
        <v>0</v>
      </c>
      <c r="AO272" s="526">
        <v>0</v>
      </c>
      <c r="AP272" s="526">
        <v>0</v>
      </c>
      <c r="AQ272" s="526">
        <v>0</v>
      </c>
      <c r="AR272" s="522">
        <v>0</v>
      </c>
      <c r="AS272" s="526">
        <v>0</v>
      </c>
      <c r="AT272" s="526">
        <v>0</v>
      </c>
      <c r="AU272" s="526">
        <v>0</v>
      </c>
      <c r="AV272" s="526">
        <v>0</v>
      </c>
      <c r="AW272" s="522">
        <v>0</v>
      </c>
      <c r="AX272" s="526">
        <v>80.45</v>
      </c>
      <c r="AY272" s="526">
        <v>80.12</v>
      </c>
      <c r="AZ272" s="526">
        <v>10.84</v>
      </c>
      <c r="BA272" s="526">
        <v>89.61</v>
      </c>
      <c r="BB272" s="522">
        <v>347</v>
      </c>
      <c r="BC272" s="526">
        <v>91.9</v>
      </c>
      <c r="BD272" s="526">
        <v>92.35</v>
      </c>
      <c r="BE272" s="526">
        <v>4.2300000000000004</v>
      </c>
      <c r="BF272" s="526">
        <v>94.74</v>
      </c>
      <c r="BG272" s="522">
        <v>1112</v>
      </c>
      <c r="BH272" s="526">
        <v>103.94</v>
      </c>
      <c r="BI272" s="526">
        <v>104.7</v>
      </c>
      <c r="BJ272" s="526">
        <v>2.63</v>
      </c>
      <c r="BK272" s="526">
        <v>105.36</v>
      </c>
      <c r="BL272" s="522">
        <v>827</v>
      </c>
      <c r="BM272" s="526">
        <v>121</v>
      </c>
      <c r="BN272" s="526">
        <v>121.93</v>
      </c>
      <c r="BO272" s="526">
        <v>2.37</v>
      </c>
      <c r="BP272" s="526">
        <v>122.74</v>
      </c>
      <c r="BQ272" s="522">
        <v>90</v>
      </c>
      <c r="BR272" s="526">
        <v>136.47999999999999</v>
      </c>
      <c r="BS272" s="526">
        <v>135.16</v>
      </c>
      <c r="BT272" s="526">
        <v>3.35</v>
      </c>
      <c r="BU272" s="526">
        <v>138.15</v>
      </c>
      <c r="BV272" s="522">
        <v>2</v>
      </c>
      <c r="BW272" s="526">
        <v>168.03</v>
      </c>
      <c r="BX272" s="526">
        <v>146.96</v>
      </c>
      <c r="BY272" s="526">
        <v>4.3</v>
      </c>
      <c r="BZ272" s="526">
        <v>170.18</v>
      </c>
      <c r="CA272" s="522">
        <v>2</v>
      </c>
      <c r="CB272" s="526">
        <v>95.62</v>
      </c>
      <c r="CC272" s="526">
        <v>96.06</v>
      </c>
      <c r="CD272" s="526">
        <v>4.9400000000000004</v>
      </c>
      <c r="CE272" s="526">
        <v>98.84</v>
      </c>
      <c r="CF272" s="522">
        <v>2380</v>
      </c>
      <c r="CG272" s="526">
        <v>95.62</v>
      </c>
      <c r="CH272" s="526">
        <v>96.06</v>
      </c>
      <c r="CI272" s="526">
        <v>4.9400000000000004</v>
      </c>
      <c r="CJ272" s="526">
        <v>98.84</v>
      </c>
      <c r="CK272" s="522">
        <v>2380</v>
      </c>
      <c r="CL272" s="526">
        <v>148.1</v>
      </c>
      <c r="CM272" s="526">
        <v>73.08</v>
      </c>
      <c r="CN272" s="526">
        <v>72.34</v>
      </c>
      <c r="CO272" s="526">
        <v>220.44</v>
      </c>
      <c r="CP272" s="522">
        <v>17</v>
      </c>
      <c r="CQ272" s="526">
        <v>0</v>
      </c>
      <c r="CR272" s="526">
        <v>0</v>
      </c>
      <c r="CS272" s="526">
        <v>0</v>
      </c>
      <c r="CT272" s="526">
        <v>0</v>
      </c>
      <c r="CU272" s="522">
        <v>0</v>
      </c>
      <c r="CV272" s="526">
        <v>81.98</v>
      </c>
      <c r="CW272" s="526">
        <v>79.05</v>
      </c>
      <c r="CX272" s="526">
        <v>38.64</v>
      </c>
      <c r="CY272" s="526">
        <v>116.77</v>
      </c>
      <c r="CZ272" s="522">
        <v>251</v>
      </c>
      <c r="DA272" s="526">
        <v>95.7</v>
      </c>
      <c r="DB272" s="526">
        <v>93.11</v>
      </c>
      <c r="DC272" s="526">
        <v>33.729999999999997</v>
      </c>
      <c r="DD272" s="526">
        <v>124.24</v>
      </c>
      <c r="DE272" s="522">
        <v>39</v>
      </c>
      <c r="DF272" s="526">
        <v>98.62</v>
      </c>
      <c r="DG272" s="526">
        <v>96.07</v>
      </c>
      <c r="DH272" s="526">
        <v>29.89</v>
      </c>
      <c r="DI272" s="526">
        <v>128.51</v>
      </c>
      <c r="DJ272" s="522">
        <v>2</v>
      </c>
      <c r="DK272" s="526">
        <v>0</v>
      </c>
      <c r="DL272" s="526">
        <v>0</v>
      </c>
      <c r="DM272" s="526">
        <v>0</v>
      </c>
      <c r="DN272" s="526">
        <v>0</v>
      </c>
      <c r="DO272" s="522">
        <v>0</v>
      </c>
      <c r="DP272" s="526">
        <v>83.93</v>
      </c>
      <c r="DQ272" s="526">
        <v>81.05</v>
      </c>
      <c r="DR272" s="526">
        <v>37.950000000000003</v>
      </c>
      <c r="DS272" s="526">
        <v>117.85</v>
      </c>
      <c r="DT272" s="522">
        <v>292</v>
      </c>
      <c r="DU272" s="526">
        <v>87.46</v>
      </c>
      <c r="DV272" s="526">
        <v>80.78</v>
      </c>
      <c r="DW272" s="526">
        <v>40.049999999999997</v>
      </c>
      <c r="DX272" s="526">
        <v>123.49</v>
      </c>
      <c r="DY272" s="522">
        <v>309</v>
      </c>
      <c r="DZ272" s="526">
        <v>0</v>
      </c>
      <c r="EA272" s="526">
        <v>0</v>
      </c>
      <c r="EB272" s="526">
        <v>0</v>
      </c>
      <c r="EC272" s="522">
        <v>0</v>
      </c>
      <c r="ED272" s="526">
        <v>102.38</v>
      </c>
      <c r="EE272" s="522">
        <v>29</v>
      </c>
      <c r="EF272" s="526">
        <v>121.56</v>
      </c>
      <c r="EG272" s="522">
        <v>89</v>
      </c>
      <c r="EH272" s="526">
        <v>148.03</v>
      </c>
      <c r="EI272" s="522">
        <v>27</v>
      </c>
      <c r="EJ272" s="526">
        <v>168.7</v>
      </c>
      <c r="EK272" s="522">
        <v>2</v>
      </c>
      <c r="EL272" s="526">
        <v>0</v>
      </c>
      <c r="EM272" s="522">
        <v>0</v>
      </c>
      <c r="EN272" s="526">
        <v>0</v>
      </c>
      <c r="EO272" s="522">
        <v>0</v>
      </c>
      <c r="EP272" s="526">
        <v>123.28</v>
      </c>
      <c r="EQ272" s="522">
        <v>147</v>
      </c>
      <c r="ER272" s="526">
        <v>123.28</v>
      </c>
      <c r="ES272" s="522">
        <v>147</v>
      </c>
      <c r="ET272" s="526">
        <v>0</v>
      </c>
      <c r="EU272" s="526">
        <v>0</v>
      </c>
      <c r="EV272" s="526">
        <v>0</v>
      </c>
      <c r="EW272" s="522">
        <v>0</v>
      </c>
      <c r="EX272" s="526">
        <v>253.07</v>
      </c>
      <c r="EY272" s="522">
        <v>35</v>
      </c>
      <c r="EZ272" s="526">
        <v>265.42</v>
      </c>
      <c r="FA272" s="522">
        <v>6</v>
      </c>
      <c r="FB272" s="526">
        <v>0</v>
      </c>
      <c r="FC272" s="522">
        <v>0</v>
      </c>
      <c r="FD272" s="526">
        <v>0</v>
      </c>
      <c r="FE272" s="522">
        <v>0</v>
      </c>
      <c r="FF272" s="526">
        <v>254.88</v>
      </c>
      <c r="FG272" s="522">
        <v>41</v>
      </c>
      <c r="FH272" s="526">
        <v>254.88</v>
      </c>
      <c r="FI272" s="522">
        <v>41</v>
      </c>
      <c r="FJ272" s="522">
        <v>0</v>
      </c>
      <c r="FK272" s="522">
        <v>2</v>
      </c>
      <c r="FL272" s="522">
        <v>2</v>
      </c>
      <c r="FM272" s="522">
        <v>0</v>
      </c>
      <c r="FN272" s="522">
        <v>0</v>
      </c>
      <c r="FO272" s="522">
        <v>0</v>
      </c>
      <c r="FP272" s="522">
        <v>2</v>
      </c>
      <c r="FQ272" s="522">
        <v>22</v>
      </c>
      <c r="FR272" s="522">
        <v>3</v>
      </c>
    </row>
    <row r="273" spans="1:174" x14ac:dyDescent="0.25">
      <c r="A273" s="523" t="s">
        <v>794</v>
      </c>
      <c r="B273" s="523" t="s">
        <v>795</v>
      </c>
      <c r="C273" s="523" t="s">
        <v>284</v>
      </c>
      <c r="D273" s="522">
        <v>30645</v>
      </c>
      <c r="E273" s="522">
        <v>28669</v>
      </c>
      <c r="F273" s="522">
        <v>119</v>
      </c>
      <c r="G273" s="522">
        <v>26</v>
      </c>
      <c r="H273" s="522">
        <v>1286</v>
      </c>
      <c r="I273" s="522">
        <v>643</v>
      </c>
      <c r="J273" s="522">
        <v>1041</v>
      </c>
      <c r="K273" s="522">
        <v>996</v>
      </c>
      <c r="L273" s="522">
        <v>3970</v>
      </c>
      <c r="M273" s="522">
        <v>326</v>
      </c>
      <c r="N273" s="522">
        <v>37061</v>
      </c>
      <c r="O273" s="522">
        <v>30660</v>
      </c>
      <c r="P273" s="522">
        <v>33091</v>
      </c>
      <c r="Q273" s="522">
        <v>456</v>
      </c>
      <c r="R273" s="523">
        <v>18</v>
      </c>
      <c r="S273" s="523">
        <v>34</v>
      </c>
      <c r="T273" s="523">
        <v>1594</v>
      </c>
      <c r="U273" s="523">
        <v>35467</v>
      </c>
      <c r="V273" s="522">
        <v>29477</v>
      </c>
      <c r="W273" s="522">
        <v>176</v>
      </c>
      <c r="X273" s="522">
        <v>429</v>
      </c>
      <c r="Y273" s="522">
        <v>605</v>
      </c>
      <c r="Z273" s="524">
        <v>143.75</v>
      </c>
      <c r="AA273" s="524">
        <v>153.09</v>
      </c>
      <c r="AB273" s="524">
        <v>22.14</v>
      </c>
      <c r="AC273" s="524">
        <v>164.16</v>
      </c>
      <c r="AD273" s="524">
        <v>25161</v>
      </c>
      <c r="AE273" s="525">
        <v>131.4</v>
      </c>
      <c r="AF273" s="525">
        <v>129.93</v>
      </c>
      <c r="AG273" s="525">
        <v>86.27</v>
      </c>
      <c r="AH273" s="525">
        <v>214.03</v>
      </c>
      <c r="AI273" s="525">
        <v>1896</v>
      </c>
      <c r="AJ273" s="525">
        <v>240.17</v>
      </c>
      <c r="AK273" s="525">
        <v>3487</v>
      </c>
      <c r="AL273" s="525">
        <v>284.10000000000002</v>
      </c>
      <c r="AM273" s="525">
        <v>214</v>
      </c>
      <c r="AN273" s="526">
        <v>109.91</v>
      </c>
      <c r="AO273" s="526">
        <v>103.77</v>
      </c>
      <c r="AP273" s="526">
        <v>18.78</v>
      </c>
      <c r="AQ273" s="526">
        <v>121.93</v>
      </c>
      <c r="AR273" s="522">
        <v>25</v>
      </c>
      <c r="AS273" s="526">
        <v>101.33</v>
      </c>
      <c r="AT273" s="526">
        <v>103.34</v>
      </c>
      <c r="AU273" s="526">
        <v>13.1</v>
      </c>
      <c r="AV273" s="526">
        <v>112.85</v>
      </c>
      <c r="AW273" s="522">
        <v>296</v>
      </c>
      <c r="AX273" s="526">
        <v>123.03</v>
      </c>
      <c r="AY273" s="526">
        <v>128.56</v>
      </c>
      <c r="AZ273" s="526">
        <v>20.21</v>
      </c>
      <c r="BA273" s="526">
        <v>142.47999999999999</v>
      </c>
      <c r="BB273" s="522">
        <v>6230</v>
      </c>
      <c r="BC273" s="526">
        <v>139.52000000000001</v>
      </c>
      <c r="BD273" s="526">
        <v>147.22</v>
      </c>
      <c r="BE273" s="526">
        <v>23.18</v>
      </c>
      <c r="BF273" s="526">
        <v>161.65</v>
      </c>
      <c r="BG273" s="522">
        <v>9139</v>
      </c>
      <c r="BH273" s="526">
        <v>157.03</v>
      </c>
      <c r="BI273" s="526">
        <v>168.25</v>
      </c>
      <c r="BJ273" s="526">
        <v>23.06</v>
      </c>
      <c r="BK273" s="526">
        <v>177.36</v>
      </c>
      <c r="BL273" s="522">
        <v>6633</v>
      </c>
      <c r="BM273" s="526">
        <v>173.01</v>
      </c>
      <c r="BN273" s="526">
        <v>190.19</v>
      </c>
      <c r="BO273" s="526">
        <v>23.21</v>
      </c>
      <c r="BP273" s="526">
        <v>192.44</v>
      </c>
      <c r="BQ273" s="522">
        <v>2071</v>
      </c>
      <c r="BR273" s="526">
        <v>183.54</v>
      </c>
      <c r="BS273" s="526">
        <v>208.39</v>
      </c>
      <c r="BT273" s="526">
        <v>20.48</v>
      </c>
      <c r="BU273" s="526">
        <v>200.64</v>
      </c>
      <c r="BV273" s="522">
        <v>582</v>
      </c>
      <c r="BW273" s="526">
        <v>193.39</v>
      </c>
      <c r="BX273" s="526">
        <v>219.92</v>
      </c>
      <c r="BY273" s="526">
        <v>10.98</v>
      </c>
      <c r="BZ273" s="526">
        <v>201.64</v>
      </c>
      <c r="CA273" s="522">
        <v>185</v>
      </c>
      <c r="CB273" s="526">
        <v>143.78</v>
      </c>
      <c r="CC273" s="526">
        <v>153.13</v>
      </c>
      <c r="CD273" s="526">
        <v>22.14</v>
      </c>
      <c r="CE273" s="526">
        <v>164.2</v>
      </c>
      <c r="CF273" s="522">
        <v>25136</v>
      </c>
      <c r="CG273" s="526">
        <v>143.75</v>
      </c>
      <c r="CH273" s="526">
        <v>153.09</v>
      </c>
      <c r="CI273" s="526">
        <v>22.14</v>
      </c>
      <c r="CJ273" s="526">
        <v>164.16</v>
      </c>
      <c r="CK273" s="522">
        <v>25161</v>
      </c>
      <c r="CL273" s="526">
        <v>116.32</v>
      </c>
      <c r="CM273" s="526">
        <v>110.99</v>
      </c>
      <c r="CN273" s="526">
        <v>159.1</v>
      </c>
      <c r="CO273" s="526">
        <v>267.74</v>
      </c>
      <c r="CP273" s="522">
        <v>228</v>
      </c>
      <c r="CQ273" s="526">
        <v>111.12</v>
      </c>
      <c r="CR273" s="526">
        <v>107.23</v>
      </c>
      <c r="CS273" s="526">
        <v>51.6</v>
      </c>
      <c r="CT273" s="526">
        <v>162.09</v>
      </c>
      <c r="CU273" s="522">
        <v>82</v>
      </c>
      <c r="CV273" s="526">
        <v>133.69</v>
      </c>
      <c r="CW273" s="526">
        <v>132.75</v>
      </c>
      <c r="CX273" s="526">
        <v>78.27</v>
      </c>
      <c r="CY273" s="526">
        <v>208.55</v>
      </c>
      <c r="CZ273" s="522">
        <v>1516</v>
      </c>
      <c r="DA273" s="526">
        <v>154.24</v>
      </c>
      <c r="DB273" s="526">
        <v>156.03</v>
      </c>
      <c r="DC273" s="526">
        <v>65.42</v>
      </c>
      <c r="DD273" s="526">
        <v>218.67</v>
      </c>
      <c r="DE273" s="522">
        <v>66</v>
      </c>
      <c r="DF273" s="526">
        <v>162.28</v>
      </c>
      <c r="DG273" s="526">
        <v>175.72</v>
      </c>
      <c r="DH273" s="526">
        <v>71.62</v>
      </c>
      <c r="DI273" s="526">
        <v>215.99</v>
      </c>
      <c r="DJ273" s="522">
        <v>4</v>
      </c>
      <c r="DK273" s="526">
        <v>0</v>
      </c>
      <c r="DL273" s="526">
        <v>0</v>
      </c>
      <c r="DM273" s="526">
        <v>0</v>
      </c>
      <c r="DN273" s="526">
        <v>0</v>
      </c>
      <c r="DO273" s="522">
        <v>0</v>
      </c>
      <c r="DP273" s="526">
        <v>133.46</v>
      </c>
      <c r="DQ273" s="526">
        <v>132.52000000000001</v>
      </c>
      <c r="DR273" s="526">
        <v>76.38</v>
      </c>
      <c r="DS273" s="526">
        <v>206.69</v>
      </c>
      <c r="DT273" s="522">
        <v>1668</v>
      </c>
      <c r="DU273" s="526">
        <v>131.4</v>
      </c>
      <c r="DV273" s="526">
        <v>129.93</v>
      </c>
      <c r="DW273" s="526">
        <v>86.27</v>
      </c>
      <c r="DX273" s="526">
        <v>214.03</v>
      </c>
      <c r="DY273" s="522">
        <v>1896</v>
      </c>
      <c r="DZ273" s="526">
        <v>0</v>
      </c>
      <c r="EA273" s="526">
        <v>0</v>
      </c>
      <c r="EB273" s="526">
        <v>153.57</v>
      </c>
      <c r="EC273" s="522">
        <v>12</v>
      </c>
      <c r="ED273" s="526">
        <v>212.73</v>
      </c>
      <c r="EE273" s="522">
        <v>1123</v>
      </c>
      <c r="EF273" s="526">
        <v>241.66</v>
      </c>
      <c r="EG273" s="522">
        <v>1174</v>
      </c>
      <c r="EH273" s="526">
        <v>265.17</v>
      </c>
      <c r="EI273" s="522">
        <v>893</v>
      </c>
      <c r="EJ273" s="526">
        <v>269.07</v>
      </c>
      <c r="EK273" s="522">
        <v>253</v>
      </c>
      <c r="EL273" s="526">
        <v>254.49</v>
      </c>
      <c r="EM273" s="522">
        <v>32</v>
      </c>
      <c r="EN273" s="526">
        <v>0</v>
      </c>
      <c r="EO273" s="522">
        <v>0</v>
      </c>
      <c r="EP273" s="526">
        <v>240.17</v>
      </c>
      <c r="EQ273" s="522">
        <v>3487</v>
      </c>
      <c r="ER273" s="526">
        <v>240.17</v>
      </c>
      <c r="ES273" s="522">
        <v>3487</v>
      </c>
      <c r="ET273" s="526">
        <v>0</v>
      </c>
      <c r="EU273" s="526">
        <v>0</v>
      </c>
      <c r="EV273" s="526">
        <v>322.79000000000002</v>
      </c>
      <c r="EW273" s="522">
        <v>98</v>
      </c>
      <c r="EX273" s="526">
        <v>252.1</v>
      </c>
      <c r="EY273" s="522">
        <v>113</v>
      </c>
      <c r="EZ273" s="526">
        <v>225.66</v>
      </c>
      <c r="FA273" s="522">
        <v>3</v>
      </c>
      <c r="FB273" s="526">
        <v>0</v>
      </c>
      <c r="FC273" s="522">
        <v>0</v>
      </c>
      <c r="FD273" s="526">
        <v>0</v>
      </c>
      <c r="FE273" s="522">
        <v>0</v>
      </c>
      <c r="FF273" s="526">
        <v>284.10000000000002</v>
      </c>
      <c r="FG273" s="522">
        <v>214</v>
      </c>
      <c r="FH273" s="526">
        <v>284.10000000000002</v>
      </c>
      <c r="FI273" s="522">
        <v>214</v>
      </c>
      <c r="FJ273" s="522">
        <v>127</v>
      </c>
      <c r="FK273" s="522">
        <v>14</v>
      </c>
      <c r="FL273" s="522">
        <v>11</v>
      </c>
      <c r="FM273" s="522">
        <v>0</v>
      </c>
      <c r="FN273" s="522">
        <v>3</v>
      </c>
      <c r="FO273" s="522">
        <v>0</v>
      </c>
      <c r="FP273" s="522">
        <v>92</v>
      </c>
      <c r="FQ273" s="522">
        <v>268</v>
      </c>
      <c r="FR273" s="522">
        <v>99</v>
      </c>
    </row>
    <row r="274" spans="1:174" x14ac:dyDescent="0.25">
      <c r="A274" s="523" t="s">
        <v>796</v>
      </c>
      <c r="B274" s="523" t="s">
        <v>797</v>
      </c>
      <c r="C274" s="523" t="s">
        <v>286</v>
      </c>
      <c r="D274" s="522">
        <v>11904</v>
      </c>
      <c r="E274" s="522">
        <v>11854</v>
      </c>
      <c r="F274" s="522">
        <v>1</v>
      </c>
      <c r="G274" s="522">
        <v>1</v>
      </c>
      <c r="H274" s="522">
        <v>389</v>
      </c>
      <c r="I274" s="522">
        <v>257</v>
      </c>
      <c r="J274" s="522">
        <v>3369</v>
      </c>
      <c r="K274" s="522">
        <v>3369</v>
      </c>
      <c r="L274" s="522">
        <v>817</v>
      </c>
      <c r="M274" s="522">
        <v>6</v>
      </c>
      <c r="N274" s="522">
        <v>16480</v>
      </c>
      <c r="O274" s="522">
        <v>15487</v>
      </c>
      <c r="P274" s="522">
        <v>15663</v>
      </c>
      <c r="Q274" s="522">
        <v>128</v>
      </c>
      <c r="R274" s="523">
        <v>6</v>
      </c>
      <c r="S274" s="523">
        <v>30</v>
      </c>
      <c r="T274" s="523">
        <v>61</v>
      </c>
      <c r="U274" s="523">
        <v>16419</v>
      </c>
      <c r="V274" s="522">
        <v>11904</v>
      </c>
      <c r="W274" s="522">
        <v>62</v>
      </c>
      <c r="X274" s="522">
        <v>243</v>
      </c>
      <c r="Y274" s="522">
        <v>305</v>
      </c>
      <c r="Z274" s="524">
        <v>100.75</v>
      </c>
      <c r="AA274" s="524">
        <v>104.17</v>
      </c>
      <c r="AB274" s="524">
        <v>7.54</v>
      </c>
      <c r="AC274" s="524">
        <v>106.35</v>
      </c>
      <c r="AD274" s="524">
        <v>9869</v>
      </c>
      <c r="AE274" s="525">
        <v>104.54</v>
      </c>
      <c r="AF274" s="525">
        <v>102.17</v>
      </c>
      <c r="AG274" s="525">
        <v>35.58</v>
      </c>
      <c r="AH274" s="525">
        <v>139.82</v>
      </c>
      <c r="AI274" s="525">
        <v>3580</v>
      </c>
      <c r="AJ274" s="525">
        <v>140</v>
      </c>
      <c r="AK274" s="525">
        <v>1951</v>
      </c>
      <c r="AL274" s="525">
        <v>200.15</v>
      </c>
      <c r="AM274" s="525">
        <v>117</v>
      </c>
      <c r="AN274" s="526">
        <v>0</v>
      </c>
      <c r="AO274" s="526">
        <v>0</v>
      </c>
      <c r="AP274" s="526">
        <v>0</v>
      </c>
      <c r="AQ274" s="526">
        <v>0</v>
      </c>
      <c r="AR274" s="522">
        <v>0</v>
      </c>
      <c r="AS274" s="526">
        <v>75.37</v>
      </c>
      <c r="AT274" s="526">
        <v>79.47</v>
      </c>
      <c r="AU274" s="526">
        <v>18.2</v>
      </c>
      <c r="AV274" s="526">
        <v>90.97</v>
      </c>
      <c r="AW274" s="522">
        <v>42</v>
      </c>
      <c r="AX274" s="526">
        <v>86.64</v>
      </c>
      <c r="AY274" s="526">
        <v>88.22</v>
      </c>
      <c r="AZ274" s="526">
        <v>11.36</v>
      </c>
      <c r="BA274" s="526">
        <v>97.51</v>
      </c>
      <c r="BB274" s="522">
        <v>2050</v>
      </c>
      <c r="BC274" s="526">
        <v>98.16</v>
      </c>
      <c r="BD274" s="526">
        <v>101.16</v>
      </c>
      <c r="BE274" s="526">
        <v>9.57</v>
      </c>
      <c r="BF274" s="526">
        <v>105.85</v>
      </c>
      <c r="BG274" s="522">
        <v>3844</v>
      </c>
      <c r="BH274" s="526">
        <v>110.12</v>
      </c>
      <c r="BI274" s="526">
        <v>115</v>
      </c>
      <c r="BJ274" s="526">
        <v>1.2</v>
      </c>
      <c r="BK274" s="526">
        <v>110.8</v>
      </c>
      <c r="BL274" s="522">
        <v>3556</v>
      </c>
      <c r="BM274" s="526">
        <v>116.68</v>
      </c>
      <c r="BN274" s="526">
        <v>119.92</v>
      </c>
      <c r="BO274" s="526">
        <v>1.35</v>
      </c>
      <c r="BP274" s="526">
        <v>117.58</v>
      </c>
      <c r="BQ274" s="522">
        <v>302</v>
      </c>
      <c r="BR274" s="526">
        <v>123.19</v>
      </c>
      <c r="BS274" s="526">
        <v>129.66999999999999</v>
      </c>
      <c r="BT274" s="526">
        <v>0.61</v>
      </c>
      <c r="BU274" s="526">
        <v>123.22</v>
      </c>
      <c r="BV274" s="522">
        <v>53</v>
      </c>
      <c r="BW274" s="526">
        <v>130.49</v>
      </c>
      <c r="BX274" s="526">
        <v>136.65</v>
      </c>
      <c r="BY274" s="526">
        <v>1.24</v>
      </c>
      <c r="BZ274" s="526">
        <v>131.22</v>
      </c>
      <c r="CA274" s="522">
        <v>22</v>
      </c>
      <c r="CB274" s="526">
        <v>100.75</v>
      </c>
      <c r="CC274" s="526">
        <v>104.17</v>
      </c>
      <c r="CD274" s="526">
        <v>7.54</v>
      </c>
      <c r="CE274" s="526">
        <v>106.35</v>
      </c>
      <c r="CF274" s="522">
        <v>9869</v>
      </c>
      <c r="CG274" s="526">
        <v>100.75</v>
      </c>
      <c r="CH274" s="526">
        <v>104.17</v>
      </c>
      <c r="CI274" s="526">
        <v>7.54</v>
      </c>
      <c r="CJ274" s="526">
        <v>106.35</v>
      </c>
      <c r="CK274" s="522">
        <v>9869</v>
      </c>
      <c r="CL274" s="526">
        <v>173.83</v>
      </c>
      <c r="CM274" s="526">
        <v>98.65</v>
      </c>
      <c r="CN274" s="526">
        <v>75.290000000000006</v>
      </c>
      <c r="CO274" s="526">
        <v>247.87</v>
      </c>
      <c r="CP274" s="522">
        <v>180</v>
      </c>
      <c r="CQ274" s="526">
        <v>77.680000000000007</v>
      </c>
      <c r="CR274" s="526">
        <v>78.430000000000007</v>
      </c>
      <c r="CS274" s="526">
        <v>42.42</v>
      </c>
      <c r="CT274" s="526">
        <v>114.64</v>
      </c>
      <c r="CU274" s="522">
        <v>171</v>
      </c>
      <c r="CV274" s="526">
        <v>100.24</v>
      </c>
      <c r="CW274" s="526">
        <v>100.92</v>
      </c>
      <c r="CX274" s="526">
        <v>35.22</v>
      </c>
      <c r="CY274" s="526">
        <v>135.41999999999999</v>
      </c>
      <c r="CZ274" s="522">
        <v>2653</v>
      </c>
      <c r="DA274" s="526">
        <v>110.47</v>
      </c>
      <c r="DB274" s="526">
        <v>115.11</v>
      </c>
      <c r="DC274" s="526">
        <v>22.85</v>
      </c>
      <c r="DD274" s="526">
        <v>133.24</v>
      </c>
      <c r="DE274" s="522">
        <v>562</v>
      </c>
      <c r="DF274" s="526">
        <v>117.52</v>
      </c>
      <c r="DG274" s="526">
        <v>120.76</v>
      </c>
      <c r="DH274" s="526">
        <v>38.67</v>
      </c>
      <c r="DI274" s="526">
        <v>156.19</v>
      </c>
      <c r="DJ274" s="522">
        <v>14</v>
      </c>
      <c r="DK274" s="526">
        <v>0</v>
      </c>
      <c r="DL274" s="526">
        <v>0</v>
      </c>
      <c r="DM274" s="526">
        <v>0</v>
      </c>
      <c r="DN274" s="526">
        <v>0</v>
      </c>
      <c r="DO274" s="522">
        <v>0</v>
      </c>
      <c r="DP274" s="526">
        <v>100.87</v>
      </c>
      <c r="DQ274" s="526">
        <v>102.22</v>
      </c>
      <c r="DR274" s="526">
        <v>33.5</v>
      </c>
      <c r="DS274" s="526">
        <v>134.1</v>
      </c>
      <c r="DT274" s="522">
        <v>3400</v>
      </c>
      <c r="DU274" s="526">
        <v>104.54</v>
      </c>
      <c r="DV274" s="526">
        <v>102.17</v>
      </c>
      <c r="DW274" s="526">
        <v>35.58</v>
      </c>
      <c r="DX274" s="526">
        <v>139.82</v>
      </c>
      <c r="DY274" s="522">
        <v>3580</v>
      </c>
      <c r="DZ274" s="526">
        <v>0</v>
      </c>
      <c r="EA274" s="526">
        <v>0</v>
      </c>
      <c r="EB274" s="526">
        <v>0</v>
      </c>
      <c r="EC274" s="522">
        <v>0</v>
      </c>
      <c r="ED274" s="526">
        <v>117.04</v>
      </c>
      <c r="EE274" s="522">
        <v>318</v>
      </c>
      <c r="EF274" s="526">
        <v>136.91999999999999</v>
      </c>
      <c r="EG274" s="522">
        <v>958</v>
      </c>
      <c r="EH274" s="526">
        <v>154.16999999999999</v>
      </c>
      <c r="EI274" s="522">
        <v>633</v>
      </c>
      <c r="EJ274" s="526">
        <v>170.01</v>
      </c>
      <c r="EK274" s="522">
        <v>34</v>
      </c>
      <c r="EL274" s="526">
        <v>172.53</v>
      </c>
      <c r="EM274" s="522">
        <v>8</v>
      </c>
      <c r="EN274" s="526">
        <v>0</v>
      </c>
      <c r="EO274" s="522">
        <v>0</v>
      </c>
      <c r="EP274" s="526">
        <v>140</v>
      </c>
      <c r="EQ274" s="522">
        <v>1951</v>
      </c>
      <c r="ER274" s="526">
        <v>140</v>
      </c>
      <c r="ES274" s="522">
        <v>1951</v>
      </c>
      <c r="ET274" s="526">
        <v>0</v>
      </c>
      <c r="EU274" s="526">
        <v>0</v>
      </c>
      <c r="EV274" s="526">
        <v>0</v>
      </c>
      <c r="EW274" s="522">
        <v>0</v>
      </c>
      <c r="EX274" s="526">
        <v>171.98</v>
      </c>
      <c r="EY274" s="522">
        <v>30</v>
      </c>
      <c r="EZ274" s="526">
        <v>209.87</v>
      </c>
      <c r="FA274" s="522">
        <v>87</v>
      </c>
      <c r="FB274" s="526">
        <v>0</v>
      </c>
      <c r="FC274" s="522">
        <v>0</v>
      </c>
      <c r="FD274" s="526">
        <v>0</v>
      </c>
      <c r="FE274" s="522">
        <v>0</v>
      </c>
      <c r="FF274" s="526">
        <v>200.15</v>
      </c>
      <c r="FG274" s="522">
        <v>117</v>
      </c>
      <c r="FH274" s="526">
        <v>200.15</v>
      </c>
      <c r="FI274" s="522">
        <v>117</v>
      </c>
      <c r="FJ274" s="522">
        <v>7</v>
      </c>
      <c r="FK274" s="522">
        <v>7</v>
      </c>
      <c r="FL274" s="522">
        <v>5</v>
      </c>
      <c r="FM274" s="522">
        <v>1</v>
      </c>
      <c r="FN274" s="522">
        <v>1</v>
      </c>
      <c r="FO274" s="522">
        <v>0</v>
      </c>
      <c r="FP274" s="522">
        <v>15</v>
      </c>
      <c r="FQ274" s="522">
        <v>29</v>
      </c>
      <c r="FR274" s="522">
        <v>10</v>
      </c>
    </row>
    <row r="275" spans="1:174" x14ac:dyDescent="0.25">
      <c r="A275" s="523" t="s">
        <v>798</v>
      </c>
      <c r="B275" s="523" t="s">
        <v>799</v>
      </c>
      <c r="C275" s="523" t="s">
        <v>2</v>
      </c>
      <c r="D275" s="522">
        <v>6544</v>
      </c>
      <c r="E275" s="522">
        <v>6362</v>
      </c>
      <c r="F275" s="522">
        <v>9</v>
      </c>
      <c r="G275" s="522">
        <v>0</v>
      </c>
      <c r="H275" s="522">
        <v>205</v>
      </c>
      <c r="I275" s="522">
        <v>86</v>
      </c>
      <c r="J275" s="522">
        <v>797</v>
      </c>
      <c r="K275" s="522">
        <v>690</v>
      </c>
      <c r="L275" s="522">
        <v>683</v>
      </c>
      <c r="M275" s="522">
        <v>8</v>
      </c>
      <c r="N275" s="522">
        <v>8238</v>
      </c>
      <c r="O275" s="522">
        <v>7146</v>
      </c>
      <c r="P275" s="522">
        <v>7555</v>
      </c>
      <c r="Q275" s="522">
        <v>10</v>
      </c>
      <c r="R275" s="523">
        <v>13</v>
      </c>
      <c r="S275" s="523">
        <v>24</v>
      </c>
      <c r="T275" s="523">
        <v>374</v>
      </c>
      <c r="U275" s="523">
        <v>7864</v>
      </c>
      <c r="V275" s="522">
        <v>6383</v>
      </c>
      <c r="W275" s="522">
        <v>58</v>
      </c>
      <c r="X275" s="522">
        <v>88</v>
      </c>
      <c r="Y275" s="522">
        <v>146</v>
      </c>
      <c r="Z275" s="524">
        <v>125.4</v>
      </c>
      <c r="AA275" s="524">
        <v>125.48</v>
      </c>
      <c r="AB275" s="524">
        <v>7.15</v>
      </c>
      <c r="AC275" s="524">
        <v>131.32</v>
      </c>
      <c r="AD275" s="524">
        <v>5483</v>
      </c>
      <c r="AE275" s="525">
        <v>118.34</v>
      </c>
      <c r="AF275" s="525">
        <v>100.7</v>
      </c>
      <c r="AG275" s="525">
        <v>60.23</v>
      </c>
      <c r="AH275" s="525">
        <v>175.57</v>
      </c>
      <c r="AI275" s="525">
        <v>662</v>
      </c>
      <c r="AJ275" s="525">
        <v>186.74</v>
      </c>
      <c r="AK275" s="525">
        <v>839</v>
      </c>
      <c r="AL275" s="525">
        <v>151.78</v>
      </c>
      <c r="AM275" s="525">
        <v>136</v>
      </c>
      <c r="AN275" s="526">
        <v>0</v>
      </c>
      <c r="AO275" s="526">
        <v>0</v>
      </c>
      <c r="AP275" s="526">
        <v>0</v>
      </c>
      <c r="AQ275" s="526">
        <v>0</v>
      </c>
      <c r="AR275" s="522">
        <v>0</v>
      </c>
      <c r="AS275" s="526">
        <v>87.01</v>
      </c>
      <c r="AT275" s="526">
        <v>88.71</v>
      </c>
      <c r="AU275" s="526">
        <v>16.52</v>
      </c>
      <c r="AV275" s="526">
        <v>103.4</v>
      </c>
      <c r="AW275" s="522">
        <v>121</v>
      </c>
      <c r="AX275" s="526">
        <v>104.82</v>
      </c>
      <c r="AY275" s="526">
        <v>103.97</v>
      </c>
      <c r="AZ275" s="526">
        <v>10.96</v>
      </c>
      <c r="BA275" s="526">
        <v>114.99</v>
      </c>
      <c r="BB275" s="522">
        <v>1329</v>
      </c>
      <c r="BC275" s="526">
        <v>122.03</v>
      </c>
      <c r="BD275" s="526">
        <v>123.21</v>
      </c>
      <c r="BE275" s="526">
        <v>7.22</v>
      </c>
      <c r="BF275" s="526">
        <v>127.89</v>
      </c>
      <c r="BG275" s="522">
        <v>2039</v>
      </c>
      <c r="BH275" s="526">
        <v>143.86000000000001</v>
      </c>
      <c r="BI275" s="526">
        <v>143.06</v>
      </c>
      <c r="BJ275" s="526">
        <v>3.26</v>
      </c>
      <c r="BK275" s="526">
        <v>146.41</v>
      </c>
      <c r="BL275" s="522">
        <v>1866</v>
      </c>
      <c r="BM275" s="526">
        <v>159.36000000000001</v>
      </c>
      <c r="BN275" s="526">
        <v>160.01</v>
      </c>
      <c r="BO275" s="526">
        <v>3.42</v>
      </c>
      <c r="BP275" s="526">
        <v>161.38999999999999</v>
      </c>
      <c r="BQ275" s="522">
        <v>123</v>
      </c>
      <c r="BR275" s="526">
        <v>175.18</v>
      </c>
      <c r="BS275" s="526">
        <v>173.97</v>
      </c>
      <c r="BT275" s="526">
        <v>1.72</v>
      </c>
      <c r="BU275" s="526">
        <v>176.04</v>
      </c>
      <c r="BV275" s="522">
        <v>4</v>
      </c>
      <c r="BW275" s="526">
        <v>194.38</v>
      </c>
      <c r="BX275" s="526">
        <v>192.21</v>
      </c>
      <c r="BY275" s="526">
        <v>3.53</v>
      </c>
      <c r="BZ275" s="526">
        <v>197.91</v>
      </c>
      <c r="CA275" s="522">
        <v>1</v>
      </c>
      <c r="CB275" s="526">
        <v>125.4</v>
      </c>
      <c r="CC275" s="526">
        <v>125.48</v>
      </c>
      <c r="CD275" s="526">
        <v>7.15</v>
      </c>
      <c r="CE275" s="526">
        <v>131.32</v>
      </c>
      <c r="CF275" s="522">
        <v>5483</v>
      </c>
      <c r="CG275" s="526">
        <v>125.4</v>
      </c>
      <c r="CH275" s="526">
        <v>125.48</v>
      </c>
      <c r="CI275" s="526">
        <v>7.15</v>
      </c>
      <c r="CJ275" s="526">
        <v>131.32</v>
      </c>
      <c r="CK275" s="522">
        <v>5483</v>
      </c>
      <c r="CL275" s="526">
        <v>108.74</v>
      </c>
      <c r="CM275" s="526">
        <v>85.98</v>
      </c>
      <c r="CN275" s="526">
        <v>251.57</v>
      </c>
      <c r="CO275" s="526">
        <v>229.87</v>
      </c>
      <c r="CP275" s="522">
        <v>54</v>
      </c>
      <c r="CQ275" s="526">
        <v>96.79</v>
      </c>
      <c r="CR275" s="526">
        <v>90.01</v>
      </c>
      <c r="CS275" s="526">
        <v>86.24</v>
      </c>
      <c r="CT275" s="526">
        <v>183.04</v>
      </c>
      <c r="CU275" s="522">
        <v>76</v>
      </c>
      <c r="CV275" s="526">
        <v>115.79</v>
      </c>
      <c r="CW275" s="526">
        <v>100.67</v>
      </c>
      <c r="CX275" s="526">
        <v>47.01</v>
      </c>
      <c r="CY275" s="526">
        <v>162.49</v>
      </c>
      <c r="CZ275" s="522">
        <v>466</v>
      </c>
      <c r="DA275" s="526">
        <v>171.07</v>
      </c>
      <c r="DB275" s="526">
        <v>128.97</v>
      </c>
      <c r="DC275" s="526">
        <v>47.07</v>
      </c>
      <c r="DD275" s="526">
        <v>217.39</v>
      </c>
      <c r="DE275" s="522">
        <v>63</v>
      </c>
      <c r="DF275" s="526">
        <v>126.77</v>
      </c>
      <c r="DG275" s="526">
        <v>122.04</v>
      </c>
      <c r="DH275" s="526">
        <v>52.96</v>
      </c>
      <c r="DI275" s="526">
        <v>162.08000000000001</v>
      </c>
      <c r="DJ275" s="522">
        <v>3</v>
      </c>
      <c r="DK275" s="526">
        <v>0</v>
      </c>
      <c r="DL275" s="526">
        <v>0</v>
      </c>
      <c r="DM275" s="526">
        <v>0</v>
      </c>
      <c r="DN275" s="526">
        <v>0</v>
      </c>
      <c r="DO275" s="522">
        <v>0</v>
      </c>
      <c r="DP275" s="526">
        <v>119.2</v>
      </c>
      <c r="DQ275" s="526">
        <v>101.84</v>
      </c>
      <c r="DR275" s="526">
        <v>51.98</v>
      </c>
      <c r="DS275" s="526">
        <v>170.75</v>
      </c>
      <c r="DT275" s="522">
        <v>608</v>
      </c>
      <c r="DU275" s="526">
        <v>118.34</v>
      </c>
      <c r="DV275" s="526">
        <v>100.7</v>
      </c>
      <c r="DW275" s="526">
        <v>60.23</v>
      </c>
      <c r="DX275" s="526">
        <v>175.57</v>
      </c>
      <c r="DY275" s="522">
        <v>662</v>
      </c>
      <c r="DZ275" s="526">
        <v>0</v>
      </c>
      <c r="EA275" s="526">
        <v>0</v>
      </c>
      <c r="EB275" s="526">
        <v>109.19</v>
      </c>
      <c r="EC275" s="522">
        <v>1</v>
      </c>
      <c r="ED275" s="526">
        <v>149.47999999999999</v>
      </c>
      <c r="EE275" s="522">
        <v>262</v>
      </c>
      <c r="EF275" s="526">
        <v>186.58</v>
      </c>
      <c r="EG275" s="522">
        <v>385</v>
      </c>
      <c r="EH275" s="526">
        <v>228.91</v>
      </c>
      <c r="EI275" s="522">
        <v>161</v>
      </c>
      <c r="EJ275" s="526">
        <v>290.48</v>
      </c>
      <c r="EK275" s="522">
        <v>30</v>
      </c>
      <c r="EL275" s="526">
        <v>0</v>
      </c>
      <c r="EM275" s="522">
        <v>0</v>
      </c>
      <c r="EN275" s="526">
        <v>0</v>
      </c>
      <c r="EO275" s="522">
        <v>0</v>
      </c>
      <c r="EP275" s="526">
        <v>186.74</v>
      </c>
      <c r="EQ275" s="522">
        <v>839</v>
      </c>
      <c r="ER275" s="526">
        <v>186.74</v>
      </c>
      <c r="ES275" s="522">
        <v>839</v>
      </c>
      <c r="ET275" s="526">
        <v>0</v>
      </c>
      <c r="EU275" s="526">
        <v>0</v>
      </c>
      <c r="EV275" s="526">
        <v>0</v>
      </c>
      <c r="EW275" s="522">
        <v>0</v>
      </c>
      <c r="EX275" s="526">
        <v>142.88</v>
      </c>
      <c r="EY275" s="522">
        <v>100</v>
      </c>
      <c r="EZ275" s="526">
        <v>176.5</v>
      </c>
      <c r="FA275" s="522">
        <v>36</v>
      </c>
      <c r="FB275" s="526">
        <v>0</v>
      </c>
      <c r="FC275" s="522">
        <v>0</v>
      </c>
      <c r="FD275" s="526">
        <v>0</v>
      </c>
      <c r="FE275" s="522">
        <v>0</v>
      </c>
      <c r="FF275" s="526">
        <v>151.78</v>
      </c>
      <c r="FG275" s="522">
        <v>136</v>
      </c>
      <c r="FH275" s="526">
        <v>151.78</v>
      </c>
      <c r="FI275" s="522">
        <v>136</v>
      </c>
      <c r="FJ275" s="522">
        <v>0</v>
      </c>
      <c r="FK275" s="522">
        <v>0</v>
      </c>
      <c r="FL275" s="522">
        <v>0</v>
      </c>
      <c r="FM275" s="522">
        <v>0</v>
      </c>
      <c r="FN275" s="522">
        <v>0</v>
      </c>
      <c r="FO275" s="522">
        <v>0</v>
      </c>
      <c r="FP275" s="522">
        <v>32</v>
      </c>
      <c r="FQ275" s="522">
        <v>82</v>
      </c>
      <c r="FR275" s="522">
        <v>8</v>
      </c>
    </row>
    <row r="276" spans="1:174" x14ac:dyDescent="0.25">
      <c r="A276" s="523" t="s">
        <v>800</v>
      </c>
      <c r="B276" s="523" t="s">
        <v>801</v>
      </c>
      <c r="C276" s="523" t="s">
        <v>283</v>
      </c>
      <c r="D276" s="522">
        <v>2114</v>
      </c>
      <c r="E276" s="522">
        <v>2114</v>
      </c>
      <c r="F276" s="522">
        <v>0</v>
      </c>
      <c r="G276" s="522">
        <v>0</v>
      </c>
      <c r="H276" s="522">
        <v>89</v>
      </c>
      <c r="I276" s="522">
        <v>79</v>
      </c>
      <c r="J276" s="522">
        <v>260</v>
      </c>
      <c r="K276" s="522">
        <v>260</v>
      </c>
      <c r="L276" s="522">
        <v>680</v>
      </c>
      <c r="M276" s="522">
        <v>59</v>
      </c>
      <c r="N276" s="522">
        <v>3143</v>
      </c>
      <c r="O276" s="522">
        <v>2512</v>
      </c>
      <c r="P276" s="522">
        <v>2463</v>
      </c>
      <c r="Q276" s="522">
        <v>5</v>
      </c>
      <c r="R276" s="523">
        <v>2</v>
      </c>
      <c r="S276" s="523">
        <v>31</v>
      </c>
      <c r="T276" s="523">
        <v>4</v>
      </c>
      <c r="U276" s="523">
        <v>3139</v>
      </c>
      <c r="V276" s="522">
        <v>2114</v>
      </c>
      <c r="W276" s="522">
        <v>24</v>
      </c>
      <c r="X276" s="522">
        <v>11</v>
      </c>
      <c r="Y276" s="522">
        <v>35</v>
      </c>
      <c r="Z276" s="524">
        <v>123.96</v>
      </c>
      <c r="AA276" s="524">
        <v>125.61</v>
      </c>
      <c r="AB276" s="524">
        <v>8.61</v>
      </c>
      <c r="AC276" s="524">
        <v>130.13999999999999</v>
      </c>
      <c r="AD276" s="524">
        <v>992</v>
      </c>
      <c r="AE276" s="525">
        <v>123.94</v>
      </c>
      <c r="AF276" s="525">
        <v>109.04</v>
      </c>
      <c r="AG276" s="525">
        <v>79.650000000000006</v>
      </c>
      <c r="AH276" s="525">
        <v>202.42</v>
      </c>
      <c r="AI276" s="525">
        <v>272</v>
      </c>
      <c r="AJ276" s="525">
        <v>189.53</v>
      </c>
      <c r="AK276" s="525">
        <v>1103</v>
      </c>
      <c r="AL276" s="525">
        <v>197.67</v>
      </c>
      <c r="AM276" s="525">
        <v>73</v>
      </c>
      <c r="AN276" s="526">
        <v>0</v>
      </c>
      <c r="AO276" s="526">
        <v>0</v>
      </c>
      <c r="AP276" s="526">
        <v>0</v>
      </c>
      <c r="AQ276" s="526">
        <v>0</v>
      </c>
      <c r="AR276" s="522">
        <v>0</v>
      </c>
      <c r="AS276" s="526">
        <v>0</v>
      </c>
      <c r="AT276" s="526">
        <v>0</v>
      </c>
      <c r="AU276" s="526">
        <v>0</v>
      </c>
      <c r="AV276" s="526">
        <v>0</v>
      </c>
      <c r="AW276" s="522">
        <v>0</v>
      </c>
      <c r="AX276" s="526">
        <v>103.97</v>
      </c>
      <c r="AY276" s="526">
        <v>104.39</v>
      </c>
      <c r="AZ276" s="526">
        <v>12.2</v>
      </c>
      <c r="BA276" s="526">
        <v>115.84</v>
      </c>
      <c r="BB276" s="522">
        <v>222</v>
      </c>
      <c r="BC276" s="526">
        <v>122.41</v>
      </c>
      <c r="BD276" s="526">
        <v>123.55</v>
      </c>
      <c r="BE276" s="526">
        <v>8.61</v>
      </c>
      <c r="BF276" s="526">
        <v>128.84</v>
      </c>
      <c r="BG276" s="522">
        <v>430</v>
      </c>
      <c r="BH276" s="526">
        <v>137.68</v>
      </c>
      <c r="BI276" s="526">
        <v>140.65</v>
      </c>
      <c r="BJ276" s="526">
        <v>4.0599999999999996</v>
      </c>
      <c r="BK276" s="526">
        <v>139.72</v>
      </c>
      <c r="BL276" s="522">
        <v>320</v>
      </c>
      <c r="BM276" s="526">
        <v>159.76</v>
      </c>
      <c r="BN276" s="526">
        <v>164.7</v>
      </c>
      <c r="BO276" s="526">
        <v>5.67</v>
      </c>
      <c r="BP276" s="526">
        <v>163.72</v>
      </c>
      <c r="BQ276" s="522">
        <v>20</v>
      </c>
      <c r="BR276" s="526">
        <v>0</v>
      </c>
      <c r="BS276" s="526">
        <v>0</v>
      </c>
      <c r="BT276" s="526">
        <v>0</v>
      </c>
      <c r="BU276" s="526">
        <v>0</v>
      </c>
      <c r="BV276" s="522">
        <v>0</v>
      </c>
      <c r="BW276" s="526">
        <v>0</v>
      </c>
      <c r="BX276" s="526">
        <v>0</v>
      </c>
      <c r="BY276" s="526">
        <v>0</v>
      </c>
      <c r="BZ276" s="526">
        <v>0</v>
      </c>
      <c r="CA276" s="522">
        <v>0</v>
      </c>
      <c r="CB276" s="526">
        <v>123.96</v>
      </c>
      <c r="CC276" s="526">
        <v>125.61</v>
      </c>
      <c r="CD276" s="526">
        <v>8.61</v>
      </c>
      <c r="CE276" s="526">
        <v>130.13999999999999</v>
      </c>
      <c r="CF276" s="522">
        <v>992</v>
      </c>
      <c r="CG276" s="526">
        <v>123.96</v>
      </c>
      <c r="CH276" s="526">
        <v>125.61</v>
      </c>
      <c r="CI276" s="526">
        <v>8.61</v>
      </c>
      <c r="CJ276" s="526">
        <v>130.13999999999999</v>
      </c>
      <c r="CK276" s="522">
        <v>992</v>
      </c>
      <c r="CL276" s="526">
        <v>150.88</v>
      </c>
      <c r="CM276" s="526">
        <v>107.1</v>
      </c>
      <c r="CN276" s="526">
        <v>105.53</v>
      </c>
      <c r="CO276" s="526">
        <v>250.01</v>
      </c>
      <c r="CP276" s="522">
        <v>66</v>
      </c>
      <c r="CQ276" s="526">
        <v>89.12</v>
      </c>
      <c r="CR276" s="526">
        <v>89.17</v>
      </c>
      <c r="CS276" s="526">
        <v>180.68</v>
      </c>
      <c r="CT276" s="526">
        <v>269.8</v>
      </c>
      <c r="CU276" s="522">
        <v>27</v>
      </c>
      <c r="CV276" s="526">
        <v>115.81</v>
      </c>
      <c r="CW276" s="526">
        <v>108.69</v>
      </c>
      <c r="CX276" s="526">
        <v>58.66</v>
      </c>
      <c r="CY276" s="526">
        <v>174.47</v>
      </c>
      <c r="CZ276" s="522">
        <v>149</v>
      </c>
      <c r="DA276" s="526">
        <v>133.27000000000001</v>
      </c>
      <c r="DB276" s="526">
        <v>127.8</v>
      </c>
      <c r="DC276" s="526">
        <v>39.76</v>
      </c>
      <c r="DD276" s="526">
        <v>173.03</v>
      </c>
      <c r="DE276" s="522">
        <v>26</v>
      </c>
      <c r="DF276" s="526">
        <v>156.38</v>
      </c>
      <c r="DG276" s="526">
        <v>156.80000000000001</v>
      </c>
      <c r="DH276" s="526">
        <v>37.79</v>
      </c>
      <c r="DI276" s="526">
        <v>194.16</v>
      </c>
      <c r="DJ276" s="522">
        <v>4</v>
      </c>
      <c r="DK276" s="526">
        <v>0</v>
      </c>
      <c r="DL276" s="526">
        <v>0</v>
      </c>
      <c r="DM276" s="526">
        <v>0</v>
      </c>
      <c r="DN276" s="526">
        <v>0</v>
      </c>
      <c r="DO276" s="522">
        <v>0</v>
      </c>
      <c r="DP276" s="526">
        <v>115.3</v>
      </c>
      <c r="DQ276" s="526">
        <v>109.5</v>
      </c>
      <c r="DR276" s="526">
        <v>71.86</v>
      </c>
      <c r="DS276" s="526">
        <v>187.17</v>
      </c>
      <c r="DT276" s="522">
        <v>206</v>
      </c>
      <c r="DU276" s="526">
        <v>123.94</v>
      </c>
      <c r="DV276" s="526">
        <v>109.04</v>
      </c>
      <c r="DW276" s="526">
        <v>79.650000000000006</v>
      </c>
      <c r="DX276" s="526">
        <v>202.42</v>
      </c>
      <c r="DY276" s="522">
        <v>272</v>
      </c>
      <c r="DZ276" s="526">
        <v>0</v>
      </c>
      <c r="EA276" s="526">
        <v>0</v>
      </c>
      <c r="EB276" s="526">
        <v>0</v>
      </c>
      <c r="EC276" s="522">
        <v>0</v>
      </c>
      <c r="ED276" s="526">
        <v>151.81</v>
      </c>
      <c r="EE276" s="522">
        <v>290</v>
      </c>
      <c r="EF276" s="526">
        <v>188.23</v>
      </c>
      <c r="EG276" s="522">
        <v>516</v>
      </c>
      <c r="EH276" s="526">
        <v>223.64</v>
      </c>
      <c r="EI276" s="522">
        <v>269</v>
      </c>
      <c r="EJ276" s="526">
        <v>276.08999999999997</v>
      </c>
      <c r="EK276" s="522">
        <v>28</v>
      </c>
      <c r="EL276" s="526">
        <v>0</v>
      </c>
      <c r="EM276" s="522">
        <v>0</v>
      </c>
      <c r="EN276" s="526">
        <v>0</v>
      </c>
      <c r="EO276" s="522">
        <v>0</v>
      </c>
      <c r="EP276" s="526">
        <v>189.53</v>
      </c>
      <c r="EQ276" s="522">
        <v>1103</v>
      </c>
      <c r="ER276" s="526">
        <v>189.53</v>
      </c>
      <c r="ES276" s="522">
        <v>1103</v>
      </c>
      <c r="ET276" s="526">
        <v>0</v>
      </c>
      <c r="EU276" s="526">
        <v>0</v>
      </c>
      <c r="EV276" s="526">
        <v>0</v>
      </c>
      <c r="EW276" s="522">
        <v>0</v>
      </c>
      <c r="EX276" s="526">
        <v>187.72</v>
      </c>
      <c r="EY276" s="522">
        <v>49</v>
      </c>
      <c r="EZ276" s="526">
        <v>217.98</v>
      </c>
      <c r="FA276" s="522">
        <v>24</v>
      </c>
      <c r="FB276" s="526">
        <v>0</v>
      </c>
      <c r="FC276" s="522">
        <v>0</v>
      </c>
      <c r="FD276" s="526">
        <v>0</v>
      </c>
      <c r="FE276" s="522">
        <v>0</v>
      </c>
      <c r="FF276" s="526">
        <v>197.67</v>
      </c>
      <c r="FG276" s="522">
        <v>73</v>
      </c>
      <c r="FH276" s="526">
        <v>197.67</v>
      </c>
      <c r="FI276" s="522">
        <v>73</v>
      </c>
      <c r="FJ276" s="522">
        <v>1</v>
      </c>
      <c r="FK276" s="522">
        <v>1</v>
      </c>
      <c r="FL276" s="522">
        <v>1</v>
      </c>
      <c r="FM276" s="522">
        <v>0</v>
      </c>
      <c r="FN276" s="522">
        <v>0</v>
      </c>
      <c r="FO276" s="522">
        <v>0</v>
      </c>
      <c r="FP276" s="522">
        <v>8</v>
      </c>
      <c r="FQ276" s="522">
        <v>58</v>
      </c>
      <c r="FR276" s="522">
        <v>7</v>
      </c>
    </row>
    <row r="277" spans="1:174" x14ac:dyDescent="0.25">
      <c r="A277" s="523" t="s">
        <v>802</v>
      </c>
      <c r="B277" s="523" t="s">
        <v>803</v>
      </c>
      <c r="C277" s="523" t="s">
        <v>2</v>
      </c>
      <c r="D277" s="522">
        <v>8278</v>
      </c>
      <c r="E277" s="522">
        <v>8164</v>
      </c>
      <c r="F277" s="522">
        <v>0</v>
      </c>
      <c r="G277" s="522">
        <v>0</v>
      </c>
      <c r="H277" s="522">
        <v>233</v>
      </c>
      <c r="I277" s="522">
        <v>175</v>
      </c>
      <c r="J277" s="522">
        <v>406</v>
      </c>
      <c r="K277" s="522">
        <v>406</v>
      </c>
      <c r="L277" s="522">
        <v>1212</v>
      </c>
      <c r="M277" s="522">
        <v>10</v>
      </c>
      <c r="N277" s="522">
        <v>10129</v>
      </c>
      <c r="O277" s="522">
        <v>8755</v>
      </c>
      <c r="P277" s="522">
        <v>8917</v>
      </c>
      <c r="Q277" s="522">
        <v>33</v>
      </c>
      <c r="R277" s="523">
        <v>7</v>
      </c>
      <c r="S277" s="523">
        <v>26</v>
      </c>
      <c r="T277" s="523">
        <v>74</v>
      </c>
      <c r="U277" s="523">
        <v>10055</v>
      </c>
      <c r="V277" s="522">
        <v>8261</v>
      </c>
      <c r="W277" s="522">
        <v>315</v>
      </c>
      <c r="X277" s="522">
        <v>61</v>
      </c>
      <c r="Y277" s="522">
        <v>376</v>
      </c>
      <c r="Z277" s="524">
        <v>122.66</v>
      </c>
      <c r="AA277" s="524">
        <v>123.45</v>
      </c>
      <c r="AB277" s="524">
        <v>8.6300000000000008</v>
      </c>
      <c r="AC277" s="524">
        <v>124.48</v>
      </c>
      <c r="AD277" s="524">
        <v>5501</v>
      </c>
      <c r="AE277" s="525">
        <v>118.65</v>
      </c>
      <c r="AF277" s="525">
        <v>108.55</v>
      </c>
      <c r="AG277" s="525">
        <v>40.18</v>
      </c>
      <c r="AH277" s="525">
        <v>155.86000000000001</v>
      </c>
      <c r="AI277" s="525">
        <v>555</v>
      </c>
      <c r="AJ277" s="525">
        <v>197.77</v>
      </c>
      <c r="AK277" s="525">
        <v>2765</v>
      </c>
      <c r="AL277" s="525">
        <v>197.11</v>
      </c>
      <c r="AM277" s="525">
        <v>27</v>
      </c>
      <c r="AN277" s="526">
        <v>0</v>
      </c>
      <c r="AO277" s="526">
        <v>0</v>
      </c>
      <c r="AP277" s="526">
        <v>0</v>
      </c>
      <c r="AQ277" s="526">
        <v>0</v>
      </c>
      <c r="AR277" s="522">
        <v>0</v>
      </c>
      <c r="AS277" s="526">
        <v>82.46</v>
      </c>
      <c r="AT277" s="526">
        <v>81</v>
      </c>
      <c r="AU277" s="526">
        <v>6.4</v>
      </c>
      <c r="AV277" s="526">
        <v>85.87</v>
      </c>
      <c r="AW277" s="522">
        <v>62</v>
      </c>
      <c r="AX277" s="526">
        <v>102.88</v>
      </c>
      <c r="AY277" s="526">
        <v>101.46</v>
      </c>
      <c r="AZ277" s="526">
        <v>10.63</v>
      </c>
      <c r="BA277" s="526">
        <v>107.65</v>
      </c>
      <c r="BB277" s="522">
        <v>998</v>
      </c>
      <c r="BC277" s="526">
        <v>117.91</v>
      </c>
      <c r="BD277" s="526">
        <v>117.03</v>
      </c>
      <c r="BE277" s="526">
        <v>8.49</v>
      </c>
      <c r="BF277" s="526">
        <v>120.09</v>
      </c>
      <c r="BG277" s="522">
        <v>2028</v>
      </c>
      <c r="BH277" s="526">
        <v>134.94999999999999</v>
      </c>
      <c r="BI277" s="526">
        <v>138.16</v>
      </c>
      <c r="BJ277" s="526">
        <v>3.91</v>
      </c>
      <c r="BK277" s="526">
        <v>135.19999999999999</v>
      </c>
      <c r="BL277" s="522">
        <v>2272</v>
      </c>
      <c r="BM277" s="526">
        <v>150.77000000000001</v>
      </c>
      <c r="BN277" s="526">
        <v>152.71</v>
      </c>
      <c r="BO277" s="526">
        <v>3.8</v>
      </c>
      <c r="BP277" s="526">
        <v>151.16999999999999</v>
      </c>
      <c r="BQ277" s="522">
        <v>133</v>
      </c>
      <c r="BR277" s="526">
        <v>144.41</v>
      </c>
      <c r="BS277" s="526">
        <v>157.87</v>
      </c>
      <c r="BT277" s="526">
        <v>0</v>
      </c>
      <c r="BU277" s="526">
        <v>144.41</v>
      </c>
      <c r="BV277" s="522">
        <v>8</v>
      </c>
      <c r="BW277" s="526">
        <v>0</v>
      </c>
      <c r="BX277" s="526">
        <v>0</v>
      </c>
      <c r="BY277" s="526">
        <v>0</v>
      </c>
      <c r="BZ277" s="526">
        <v>0</v>
      </c>
      <c r="CA277" s="522">
        <v>0</v>
      </c>
      <c r="CB277" s="526">
        <v>122.66</v>
      </c>
      <c r="CC277" s="526">
        <v>123.45</v>
      </c>
      <c r="CD277" s="526">
        <v>8.6300000000000008</v>
      </c>
      <c r="CE277" s="526">
        <v>124.48</v>
      </c>
      <c r="CF277" s="522">
        <v>5501</v>
      </c>
      <c r="CG277" s="526">
        <v>122.66</v>
      </c>
      <c r="CH277" s="526">
        <v>123.45</v>
      </c>
      <c r="CI277" s="526">
        <v>8.6300000000000008</v>
      </c>
      <c r="CJ277" s="526">
        <v>124.48</v>
      </c>
      <c r="CK277" s="522">
        <v>5501</v>
      </c>
      <c r="CL277" s="526">
        <v>148.07</v>
      </c>
      <c r="CM277" s="526">
        <v>101.98</v>
      </c>
      <c r="CN277" s="526">
        <v>114.76</v>
      </c>
      <c r="CO277" s="526">
        <v>253.06</v>
      </c>
      <c r="CP277" s="522">
        <v>47</v>
      </c>
      <c r="CQ277" s="526">
        <v>94.72</v>
      </c>
      <c r="CR277" s="526">
        <v>86.67</v>
      </c>
      <c r="CS277" s="526">
        <v>32.28</v>
      </c>
      <c r="CT277" s="526">
        <v>126.58</v>
      </c>
      <c r="CU277" s="522">
        <v>77</v>
      </c>
      <c r="CV277" s="526">
        <v>119.51</v>
      </c>
      <c r="CW277" s="526">
        <v>112.37</v>
      </c>
      <c r="CX277" s="526">
        <v>34.799999999999997</v>
      </c>
      <c r="CY277" s="526">
        <v>152.43</v>
      </c>
      <c r="CZ277" s="522">
        <v>390</v>
      </c>
      <c r="DA277" s="526">
        <v>121.02</v>
      </c>
      <c r="DB277" s="526">
        <v>117.71</v>
      </c>
      <c r="DC277" s="526">
        <v>15.78</v>
      </c>
      <c r="DD277" s="526">
        <v>130.57</v>
      </c>
      <c r="DE277" s="522">
        <v>38</v>
      </c>
      <c r="DF277" s="526">
        <v>130.57</v>
      </c>
      <c r="DG277" s="526">
        <v>125.35</v>
      </c>
      <c r="DH277" s="526">
        <v>20.329999999999998</v>
      </c>
      <c r="DI277" s="526">
        <v>150.9</v>
      </c>
      <c r="DJ277" s="522">
        <v>3</v>
      </c>
      <c r="DK277" s="526">
        <v>0</v>
      </c>
      <c r="DL277" s="526">
        <v>0</v>
      </c>
      <c r="DM277" s="526">
        <v>0</v>
      </c>
      <c r="DN277" s="526">
        <v>0</v>
      </c>
      <c r="DO277" s="522">
        <v>0</v>
      </c>
      <c r="DP277" s="526">
        <v>115.93</v>
      </c>
      <c r="DQ277" s="526">
        <v>108.93</v>
      </c>
      <c r="DR277" s="526">
        <v>33.369999999999997</v>
      </c>
      <c r="DS277" s="526">
        <v>146.87</v>
      </c>
      <c r="DT277" s="522">
        <v>508</v>
      </c>
      <c r="DU277" s="526">
        <v>118.65</v>
      </c>
      <c r="DV277" s="526">
        <v>108.55</v>
      </c>
      <c r="DW277" s="526">
        <v>40.18</v>
      </c>
      <c r="DX277" s="526">
        <v>155.86000000000001</v>
      </c>
      <c r="DY277" s="522">
        <v>555</v>
      </c>
      <c r="DZ277" s="526">
        <v>0</v>
      </c>
      <c r="EA277" s="526">
        <v>0</v>
      </c>
      <c r="EB277" s="526">
        <v>0</v>
      </c>
      <c r="EC277" s="522">
        <v>0</v>
      </c>
      <c r="ED277" s="526">
        <v>150.46</v>
      </c>
      <c r="EE277" s="522">
        <v>462</v>
      </c>
      <c r="EF277" s="526">
        <v>190.69</v>
      </c>
      <c r="EG277" s="522">
        <v>1400</v>
      </c>
      <c r="EH277" s="526">
        <v>225.95</v>
      </c>
      <c r="EI277" s="522">
        <v>728</v>
      </c>
      <c r="EJ277" s="526">
        <v>262.08</v>
      </c>
      <c r="EK277" s="522">
        <v>175</v>
      </c>
      <c r="EL277" s="526">
        <v>0</v>
      </c>
      <c r="EM277" s="522">
        <v>0</v>
      </c>
      <c r="EN277" s="526">
        <v>0</v>
      </c>
      <c r="EO277" s="522">
        <v>0</v>
      </c>
      <c r="EP277" s="526">
        <v>197.77</v>
      </c>
      <c r="EQ277" s="522">
        <v>2765</v>
      </c>
      <c r="ER277" s="526">
        <v>197.77</v>
      </c>
      <c r="ES277" s="522">
        <v>2765</v>
      </c>
      <c r="ET277" s="526">
        <v>0</v>
      </c>
      <c r="EU277" s="526">
        <v>0</v>
      </c>
      <c r="EV277" s="526">
        <v>0</v>
      </c>
      <c r="EW277" s="522">
        <v>0</v>
      </c>
      <c r="EX277" s="526">
        <v>178.36</v>
      </c>
      <c r="EY277" s="522">
        <v>11</v>
      </c>
      <c r="EZ277" s="526">
        <v>210</v>
      </c>
      <c r="FA277" s="522">
        <v>16</v>
      </c>
      <c r="FB277" s="526">
        <v>0</v>
      </c>
      <c r="FC277" s="522">
        <v>0</v>
      </c>
      <c r="FD277" s="526">
        <v>0</v>
      </c>
      <c r="FE277" s="522">
        <v>0</v>
      </c>
      <c r="FF277" s="526">
        <v>197.11</v>
      </c>
      <c r="FG277" s="522">
        <v>27</v>
      </c>
      <c r="FH277" s="526">
        <v>197.11</v>
      </c>
      <c r="FI277" s="522">
        <v>27</v>
      </c>
      <c r="FJ277" s="522">
        <v>133</v>
      </c>
      <c r="FK277" s="522">
        <v>1</v>
      </c>
      <c r="FL277" s="522">
        <v>0</v>
      </c>
      <c r="FM277" s="522">
        <v>0</v>
      </c>
      <c r="FN277" s="522">
        <v>0</v>
      </c>
      <c r="FO277" s="522">
        <v>1</v>
      </c>
      <c r="FP277" s="522">
        <v>40</v>
      </c>
      <c r="FQ277" s="522">
        <v>97</v>
      </c>
      <c r="FR277" s="522">
        <v>17</v>
      </c>
    </row>
    <row r="278" spans="1:174" x14ac:dyDescent="0.25">
      <c r="A278" s="523" t="s">
        <v>804</v>
      </c>
      <c r="B278" s="523" t="s">
        <v>805</v>
      </c>
      <c r="C278" s="523" t="s">
        <v>289</v>
      </c>
      <c r="D278" s="522">
        <v>32600</v>
      </c>
      <c r="E278" s="522">
        <v>32569</v>
      </c>
      <c r="F278" s="522">
        <v>0</v>
      </c>
      <c r="G278" s="522">
        <v>0</v>
      </c>
      <c r="H278" s="522">
        <v>1904</v>
      </c>
      <c r="I278" s="522">
        <v>1792</v>
      </c>
      <c r="J278" s="522">
        <v>664</v>
      </c>
      <c r="K278" s="522">
        <v>633</v>
      </c>
      <c r="L278" s="522">
        <v>1428</v>
      </c>
      <c r="M278" s="522">
        <v>31</v>
      </c>
      <c r="N278" s="522">
        <v>36596</v>
      </c>
      <c r="O278" s="522">
        <v>35025</v>
      </c>
      <c r="P278" s="522">
        <v>35168</v>
      </c>
      <c r="Q278" s="522">
        <v>14</v>
      </c>
      <c r="R278" s="523">
        <v>12</v>
      </c>
      <c r="S278" s="523">
        <v>28</v>
      </c>
      <c r="T278" s="523">
        <v>177</v>
      </c>
      <c r="U278" s="523">
        <v>36419</v>
      </c>
      <c r="V278" s="522">
        <v>32565</v>
      </c>
      <c r="W278" s="522">
        <v>183</v>
      </c>
      <c r="X278" s="522">
        <v>251</v>
      </c>
      <c r="Y278" s="522">
        <v>434</v>
      </c>
      <c r="Z278" s="524">
        <v>94.49</v>
      </c>
      <c r="AA278" s="524">
        <v>94.15</v>
      </c>
      <c r="AB278" s="524">
        <v>5.87</v>
      </c>
      <c r="AC278" s="524">
        <v>95.67</v>
      </c>
      <c r="AD278" s="524">
        <v>29575</v>
      </c>
      <c r="AE278" s="525">
        <v>96.75</v>
      </c>
      <c r="AF278" s="525">
        <v>88.82</v>
      </c>
      <c r="AG278" s="525">
        <v>43.83</v>
      </c>
      <c r="AH278" s="525">
        <v>140.22</v>
      </c>
      <c r="AI278" s="525">
        <v>2409</v>
      </c>
      <c r="AJ278" s="525">
        <v>116.85</v>
      </c>
      <c r="AK278" s="525">
        <v>2715</v>
      </c>
      <c r="AL278" s="525">
        <v>228.34</v>
      </c>
      <c r="AM278" s="525">
        <v>77</v>
      </c>
      <c r="AN278" s="526">
        <v>0</v>
      </c>
      <c r="AO278" s="526">
        <v>0</v>
      </c>
      <c r="AP278" s="526">
        <v>0</v>
      </c>
      <c r="AQ278" s="526">
        <v>0</v>
      </c>
      <c r="AR278" s="522">
        <v>0</v>
      </c>
      <c r="AS278" s="526">
        <v>70.31</v>
      </c>
      <c r="AT278" s="526">
        <v>70.180000000000007</v>
      </c>
      <c r="AU278" s="526">
        <v>8.11</v>
      </c>
      <c r="AV278" s="526">
        <v>76.19</v>
      </c>
      <c r="AW278" s="522">
        <v>98</v>
      </c>
      <c r="AX278" s="526">
        <v>81.94</v>
      </c>
      <c r="AY278" s="526">
        <v>81.11</v>
      </c>
      <c r="AZ278" s="526">
        <v>5.7</v>
      </c>
      <c r="BA278" s="526">
        <v>84.05</v>
      </c>
      <c r="BB278" s="522">
        <v>5654</v>
      </c>
      <c r="BC278" s="526">
        <v>92.28</v>
      </c>
      <c r="BD278" s="526">
        <v>91.56</v>
      </c>
      <c r="BE278" s="526">
        <v>6.44</v>
      </c>
      <c r="BF278" s="526">
        <v>93.88</v>
      </c>
      <c r="BG278" s="522">
        <v>12222</v>
      </c>
      <c r="BH278" s="526">
        <v>102.7</v>
      </c>
      <c r="BI278" s="526">
        <v>102.97</v>
      </c>
      <c r="BJ278" s="526">
        <v>3.82</v>
      </c>
      <c r="BK278" s="526">
        <v>102.93</v>
      </c>
      <c r="BL278" s="522">
        <v>11060</v>
      </c>
      <c r="BM278" s="526">
        <v>111.59</v>
      </c>
      <c r="BN278" s="526">
        <v>112.15</v>
      </c>
      <c r="BO278" s="526">
        <v>2.36</v>
      </c>
      <c r="BP278" s="526">
        <v>111.79</v>
      </c>
      <c r="BQ278" s="522">
        <v>520</v>
      </c>
      <c r="BR278" s="526">
        <v>128.97</v>
      </c>
      <c r="BS278" s="526">
        <v>127.39</v>
      </c>
      <c r="BT278" s="526">
        <v>1.54</v>
      </c>
      <c r="BU278" s="526">
        <v>129.05000000000001</v>
      </c>
      <c r="BV278" s="522">
        <v>19</v>
      </c>
      <c r="BW278" s="526">
        <v>124.16</v>
      </c>
      <c r="BX278" s="526">
        <v>130.24</v>
      </c>
      <c r="BY278" s="526">
        <v>0</v>
      </c>
      <c r="BZ278" s="526">
        <v>124.16</v>
      </c>
      <c r="CA278" s="522">
        <v>2</v>
      </c>
      <c r="CB278" s="526">
        <v>94.49</v>
      </c>
      <c r="CC278" s="526">
        <v>94.15</v>
      </c>
      <c r="CD278" s="526">
        <v>5.87</v>
      </c>
      <c r="CE278" s="526">
        <v>95.67</v>
      </c>
      <c r="CF278" s="522">
        <v>29575</v>
      </c>
      <c r="CG278" s="526">
        <v>94.49</v>
      </c>
      <c r="CH278" s="526">
        <v>94.15</v>
      </c>
      <c r="CI278" s="526">
        <v>5.87</v>
      </c>
      <c r="CJ278" s="526">
        <v>95.67</v>
      </c>
      <c r="CK278" s="522">
        <v>29575</v>
      </c>
      <c r="CL278" s="526">
        <v>115.51</v>
      </c>
      <c r="CM278" s="526">
        <v>84.77</v>
      </c>
      <c r="CN278" s="526">
        <v>51.7</v>
      </c>
      <c r="CO278" s="526">
        <v>167.22</v>
      </c>
      <c r="CP278" s="522">
        <v>147</v>
      </c>
      <c r="CQ278" s="526">
        <v>77.540000000000006</v>
      </c>
      <c r="CR278" s="526">
        <v>72.77</v>
      </c>
      <c r="CS278" s="526">
        <v>58.53</v>
      </c>
      <c r="CT278" s="526">
        <v>136.07</v>
      </c>
      <c r="CU278" s="522">
        <v>81</v>
      </c>
      <c r="CV278" s="526">
        <v>91.95</v>
      </c>
      <c r="CW278" s="526">
        <v>84.63</v>
      </c>
      <c r="CX278" s="526">
        <v>45.57</v>
      </c>
      <c r="CY278" s="526">
        <v>137.53</v>
      </c>
      <c r="CZ278" s="522">
        <v>1444</v>
      </c>
      <c r="DA278" s="526">
        <v>104.5</v>
      </c>
      <c r="DB278" s="526">
        <v>99.23</v>
      </c>
      <c r="DC278" s="526">
        <v>37.340000000000003</v>
      </c>
      <c r="DD278" s="526">
        <v>140.81</v>
      </c>
      <c r="DE278" s="522">
        <v>727</v>
      </c>
      <c r="DF278" s="526">
        <v>99.53</v>
      </c>
      <c r="DG278" s="526">
        <v>98.77</v>
      </c>
      <c r="DH278" s="526">
        <v>9.5299999999999994</v>
      </c>
      <c r="DI278" s="526">
        <v>109.06</v>
      </c>
      <c r="DJ278" s="522">
        <v>5</v>
      </c>
      <c r="DK278" s="526">
        <v>111.54</v>
      </c>
      <c r="DL278" s="526">
        <v>111.38</v>
      </c>
      <c r="DM278" s="526">
        <v>24.81</v>
      </c>
      <c r="DN278" s="526">
        <v>136.35</v>
      </c>
      <c r="DO278" s="522">
        <v>5</v>
      </c>
      <c r="DP278" s="526">
        <v>95.53</v>
      </c>
      <c r="DQ278" s="526">
        <v>88.97</v>
      </c>
      <c r="DR278" s="526">
        <v>43.32</v>
      </c>
      <c r="DS278" s="526">
        <v>138.47</v>
      </c>
      <c r="DT278" s="522">
        <v>2262</v>
      </c>
      <c r="DU278" s="526">
        <v>96.75</v>
      </c>
      <c r="DV278" s="526">
        <v>88.82</v>
      </c>
      <c r="DW278" s="526">
        <v>43.83</v>
      </c>
      <c r="DX278" s="526">
        <v>140.22</v>
      </c>
      <c r="DY278" s="522">
        <v>2409</v>
      </c>
      <c r="DZ278" s="526">
        <v>0</v>
      </c>
      <c r="EA278" s="526">
        <v>0</v>
      </c>
      <c r="EB278" s="526">
        <v>82.26</v>
      </c>
      <c r="EC278" s="522">
        <v>1</v>
      </c>
      <c r="ED278" s="526">
        <v>95.93</v>
      </c>
      <c r="EE278" s="522">
        <v>164</v>
      </c>
      <c r="EF278" s="526">
        <v>112.36</v>
      </c>
      <c r="EG278" s="522">
        <v>1408</v>
      </c>
      <c r="EH278" s="526">
        <v>123.92</v>
      </c>
      <c r="EI278" s="522">
        <v>1081</v>
      </c>
      <c r="EJ278" s="526">
        <v>151.57</v>
      </c>
      <c r="EK278" s="522">
        <v>58</v>
      </c>
      <c r="EL278" s="526">
        <v>158.25</v>
      </c>
      <c r="EM278" s="522">
        <v>3</v>
      </c>
      <c r="EN278" s="526">
        <v>0</v>
      </c>
      <c r="EO278" s="522">
        <v>0</v>
      </c>
      <c r="EP278" s="526">
        <v>116.85</v>
      </c>
      <c r="EQ278" s="522">
        <v>2715</v>
      </c>
      <c r="ER278" s="526">
        <v>116.85</v>
      </c>
      <c r="ES278" s="522">
        <v>2715</v>
      </c>
      <c r="ET278" s="526">
        <v>178.2</v>
      </c>
      <c r="EU278" s="526">
        <v>3</v>
      </c>
      <c r="EV278" s="526">
        <v>0</v>
      </c>
      <c r="EW278" s="522">
        <v>0</v>
      </c>
      <c r="EX278" s="526">
        <v>257.06</v>
      </c>
      <c r="EY278" s="522">
        <v>37</v>
      </c>
      <c r="EZ278" s="526">
        <v>203.68</v>
      </c>
      <c r="FA278" s="522">
        <v>37</v>
      </c>
      <c r="FB278" s="526">
        <v>0</v>
      </c>
      <c r="FC278" s="522">
        <v>0</v>
      </c>
      <c r="FD278" s="526">
        <v>0</v>
      </c>
      <c r="FE278" s="522">
        <v>0</v>
      </c>
      <c r="FF278" s="526">
        <v>230.37</v>
      </c>
      <c r="FG278" s="522">
        <v>74</v>
      </c>
      <c r="FH278" s="526">
        <v>228.34</v>
      </c>
      <c r="FI278" s="522">
        <v>77</v>
      </c>
      <c r="FJ278" s="522">
        <v>0</v>
      </c>
      <c r="FK278" s="522">
        <v>77</v>
      </c>
      <c r="FL278" s="522">
        <v>53</v>
      </c>
      <c r="FM278" s="522">
        <v>0</v>
      </c>
      <c r="FN278" s="522">
        <v>24</v>
      </c>
      <c r="FO278" s="522">
        <v>0</v>
      </c>
      <c r="FP278" s="522">
        <v>2</v>
      </c>
      <c r="FQ278" s="522">
        <v>134</v>
      </c>
      <c r="FR278" s="522">
        <v>32</v>
      </c>
    </row>
    <row r="279" spans="1:174" x14ac:dyDescent="0.25">
      <c r="A279" s="523" t="s">
        <v>806</v>
      </c>
      <c r="B279" s="523" t="s">
        <v>807</v>
      </c>
      <c r="C279" s="523" t="s">
        <v>288</v>
      </c>
      <c r="D279" s="522">
        <v>26951</v>
      </c>
      <c r="E279" s="522">
        <v>26594</v>
      </c>
      <c r="F279" s="522">
        <v>7</v>
      </c>
      <c r="G279" s="522">
        <v>7</v>
      </c>
      <c r="H279" s="522">
        <v>524</v>
      </c>
      <c r="I279" s="522">
        <v>451</v>
      </c>
      <c r="J279" s="522">
        <v>792</v>
      </c>
      <c r="K279" s="522">
        <v>792</v>
      </c>
      <c r="L279" s="522">
        <v>556</v>
      </c>
      <c r="M279" s="522">
        <v>1</v>
      </c>
      <c r="N279" s="522">
        <v>28830</v>
      </c>
      <c r="O279" s="522">
        <v>27845</v>
      </c>
      <c r="P279" s="522">
        <v>28274</v>
      </c>
      <c r="Q279" s="522">
        <v>158</v>
      </c>
      <c r="R279" s="523">
        <v>11</v>
      </c>
      <c r="S279" s="523">
        <v>21</v>
      </c>
      <c r="T279" s="523">
        <v>131</v>
      </c>
      <c r="U279" s="523">
        <v>28699</v>
      </c>
      <c r="V279" s="522">
        <v>26894</v>
      </c>
      <c r="W279" s="522">
        <v>121</v>
      </c>
      <c r="X279" s="522">
        <v>273</v>
      </c>
      <c r="Y279" s="522">
        <v>394</v>
      </c>
      <c r="Z279" s="524">
        <v>97.37</v>
      </c>
      <c r="AA279" s="524">
        <v>100.92</v>
      </c>
      <c r="AB279" s="524">
        <v>12.43</v>
      </c>
      <c r="AC279" s="524">
        <v>103.69</v>
      </c>
      <c r="AD279" s="524">
        <v>23820</v>
      </c>
      <c r="AE279" s="525">
        <v>115.16</v>
      </c>
      <c r="AF279" s="525">
        <v>104.27</v>
      </c>
      <c r="AG279" s="525">
        <v>62.09</v>
      </c>
      <c r="AH279" s="525">
        <v>172.03</v>
      </c>
      <c r="AI279" s="525">
        <v>988</v>
      </c>
      <c r="AJ279" s="525">
        <v>125.58</v>
      </c>
      <c r="AK279" s="525">
        <v>2382</v>
      </c>
      <c r="AL279" s="525">
        <v>175.23</v>
      </c>
      <c r="AM279" s="525">
        <v>261</v>
      </c>
      <c r="AN279" s="526">
        <v>66.59</v>
      </c>
      <c r="AO279" s="526">
        <v>71.28</v>
      </c>
      <c r="AP279" s="526">
        <v>39.67</v>
      </c>
      <c r="AQ279" s="526">
        <v>106.26</v>
      </c>
      <c r="AR279" s="522">
        <v>7</v>
      </c>
      <c r="AS279" s="526">
        <v>74.72</v>
      </c>
      <c r="AT279" s="526">
        <v>76.41</v>
      </c>
      <c r="AU279" s="526">
        <v>20.36</v>
      </c>
      <c r="AV279" s="526">
        <v>90.35</v>
      </c>
      <c r="AW279" s="522">
        <v>112</v>
      </c>
      <c r="AX279" s="526">
        <v>86.66</v>
      </c>
      <c r="AY279" s="526">
        <v>88.93</v>
      </c>
      <c r="AZ279" s="526">
        <v>10.31</v>
      </c>
      <c r="BA279" s="526">
        <v>95.67</v>
      </c>
      <c r="BB279" s="522">
        <v>5181</v>
      </c>
      <c r="BC279" s="526">
        <v>94.45</v>
      </c>
      <c r="BD279" s="526">
        <v>97.24</v>
      </c>
      <c r="BE279" s="526">
        <v>15.3</v>
      </c>
      <c r="BF279" s="526">
        <v>105.09</v>
      </c>
      <c r="BG279" s="522">
        <v>9205</v>
      </c>
      <c r="BH279" s="526">
        <v>105.96</v>
      </c>
      <c r="BI279" s="526">
        <v>110.96</v>
      </c>
      <c r="BJ279" s="526">
        <v>3.56</v>
      </c>
      <c r="BK279" s="526">
        <v>106.35</v>
      </c>
      <c r="BL279" s="522">
        <v>8886</v>
      </c>
      <c r="BM279" s="526">
        <v>115.66</v>
      </c>
      <c r="BN279" s="526">
        <v>122.42</v>
      </c>
      <c r="BO279" s="526">
        <v>3.31</v>
      </c>
      <c r="BP279" s="526">
        <v>116.29</v>
      </c>
      <c r="BQ279" s="522">
        <v>370</v>
      </c>
      <c r="BR279" s="526">
        <v>127.38</v>
      </c>
      <c r="BS279" s="526">
        <v>128.66999999999999</v>
      </c>
      <c r="BT279" s="526">
        <v>3.65</v>
      </c>
      <c r="BU279" s="526">
        <v>128.57</v>
      </c>
      <c r="BV279" s="522">
        <v>46</v>
      </c>
      <c r="BW279" s="526">
        <v>148.91999999999999</v>
      </c>
      <c r="BX279" s="526">
        <v>150.27000000000001</v>
      </c>
      <c r="BY279" s="526">
        <v>1.44</v>
      </c>
      <c r="BZ279" s="526">
        <v>149.69</v>
      </c>
      <c r="CA279" s="522">
        <v>13</v>
      </c>
      <c r="CB279" s="526">
        <v>97.38</v>
      </c>
      <c r="CC279" s="526">
        <v>100.93</v>
      </c>
      <c r="CD279" s="526">
        <v>12.41</v>
      </c>
      <c r="CE279" s="526">
        <v>103.69</v>
      </c>
      <c r="CF279" s="522">
        <v>23813</v>
      </c>
      <c r="CG279" s="526">
        <v>97.37</v>
      </c>
      <c r="CH279" s="526">
        <v>100.92</v>
      </c>
      <c r="CI279" s="526">
        <v>12.43</v>
      </c>
      <c r="CJ279" s="526">
        <v>103.69</v>
      </c>
      <c r="CK279" s="522">
        <v>23820</v>
      </c>
      <c r="CL279" s="526">
        <v>125.39</v>
      </c>
      <c r="CM279" s="526">
        <v>86.83</v>
      </c>
      <c r="CN279" s="526">
        <v>29.79</v>
      </c>
      <c r="CO279" s="526">
        <v>149.44999999999999</v>
      </c>
      <c r="CP279" s="522">
        <v>26</v>
      </c>
      <c r="CQ279" s="526">
        <v>64.16</v>
      </c>
      <c r="CR279" s="526">
        <v>78</v>
      </c>
      <c r="CS279" s="526">
        <v>93.35</v>
      </c>
      <c r="CT279" s="526">
        <v>126.39</v>
      </c>
      <c r="CU279" s="522">
        <v>18</v>
      </c>
      <c r="CV279" s="526">
        <v>112.68</v>
      </c>
      <c r="CW279" s="526">
        <v>100.33</v>
      </c>
      <c r="CX279" s="526">
        <v>67.17</v>
      </c>
      <c r="CY279" s="526">
        <v>173.38</v>
      </c>
      <c r="CZ279" s="522">
        <v>706</v>
      </c>
      <c r="DA279" s="526">
        <v>125.47</v>
      </c>
      <c r="DB279" s="526">
        <v>118.05</v>
      </c>
      <c r="DC279" s="526">
        <v>49.37</v>
      </c>
      <c r="DD279" s="526">
        <v>174.42</v>
      </c>
      <c r="DE279" s="522">
        <v>233</v>
      </c>
      <c r="DF279" s="526">
        <v>114.62</v>
      </c>
      <c r="DG279" s="526">
        <v>113.58</v>
      </c>
      <c r="DH279" s="526">
        <v>62.64</v>
      </c>
      <c r="DI279" s="526">
        <v>152.19999999999999</v>
      </c>
      <c r="DJ279" s="522">
        <v>5</v>
      </c>
      <c r="DK279" s="526">
        <v>0</v>
      </c>
      <c r="DL279" s="526">
        <v>0</v>
      </c>
      <c r="DM279" s="526">
        <v>0</v>
      </c>
      <c r="DN279" s="526">
        <v>0</v>
      </c>
      <c r="DO279" s="522">
        <v>0</v>
      </c>
      <c r="DP279" s="526">
        <v>114.88</v>
      </c>
      <c r="DQ279" s="526">
        <v>104.41</v>
      </c>
      <c r="DR279" s="526">
        <v>62.86</v>
      </c>
      <c r="DS279" s="526">
        <v>172.64</v>
      </c>
      <c r="DT279" s="522">
        <v>962</v>
      </c>
      <c r="DU279" s="526">
        <v>115.16</v>
      </c>
      <c r="DV279" s="526">
        <v>104.27</v>
      </c>
      <c r="DW279" s="526">
        <v>62.09</v>
      </c>
      <c r="DX279" s="526">
        <v>172.03</v>
      </c>
      <c r="DY279" s="522">
        <v>988</v>
      </c>
      <c r="DZ279" s="526">
        <v>0</v>
      </c>
      <c r="EA279" s="526">
        <v>0</v>
      </c>
      <c r="EB279" s="526">
        <v>0</v>
      </c>
      <c r="EC279" s="522">
        <v>0</v>
      </c>
      <c r="ED279" s="526">
        <v>103.6</v>
      </c>
      <c r="EE279" s="522">
        <v>188</v>
      </c>
      <c r="EF279" s="526">
        <v>121.03</v>
      </c>
      <c r="EG279" s="522">
        <v>1095</v>
      </c>
      <c r="EH279" s="526">
        <v>131.15</v>
      </c>
      <c r="EI279" s="522">
        <v>964</v>
      </c>
      <c r="EJ279" s="526">
        <v>152.11000000000001</v>
      </c>
      <c r="EK279" s="522">
        <v>124</v>
      </c>
      <c r="EL279" s="526">
        <v>170.16</v>
      </c>
      <c r="EM279" s="522">
        <v>10</v>
      </c>
      <c r="EN279" s="526">
        <v>122.78</v>
      </c>
      <c r="EO279" s="522">
        <v>1</v>
      </c>
      <c r="EP279" s="526">
        <v>125.58</v>
      </c>
      <c r="EQ279" s="522">
        <v>2382</v>
      </c>
      <c r="ER279" s="526">
        <v>125.58</v>
      </c>
      <c r="ES279" s="522">
        <v>2382</v>
      </c>
      <c r="ET279" s="526">
        <v>104.37</v>
      </c>
      <c r="EU279" s="526">
        <v>2</v>
      </c>
      <c r="EV279" s="526">
        <v>0</v>
      </c>
      <c r="EW279" s="522">
        <v>0</v>
      </c>
      <c r="EX279" s="526">
        <v>156.31</v>
      </c>
      <c r="EY279" s="522">
        <v>117</v>
      </c>
      <c r="EZ279" s="526">
        <v>188.88</v>
      </c>
      <c r="FA279" s="522">
        <v>139</v>
      </c>
      <c r="FB279" s="526">
        <v>327.64</v>
      </c>
      <c r="FC279" s="522">
        <v>3</v>
      </c>
      <c r="FD279" s="526">
        <v>0</v>
      </c>
      <c r="FE279" s="522">
        <v>0</v>
      </c>
      <c r="FF279" s="526">
        <v>175.77</v>
      </c>
      <c r="FG279" s="522">
        <v>259</v>
      </c>
      <c r="FH279" s="526">
        <v>175.23</v>
      </c>
      <c r="FI279" s="522">
        <v>261</v>
      </c>
      <c r="FJ279" s="522">
        <v>1</v>
      </c>
      <c r="FK279" s="522">
        <v>69</v>
      </c>
      <c r="FL279" s="522">
        <v>36</v>
      </c>
      <c r="FM279" s="522">
        <v>0</v>
      </c>
      <c r="FN279" s="522">
        <v>33</v>
      </c>
      <c r="FO279" s="522">
        <v>0</v>
      </c>
      <c r="FP279" s="522">
        <v>44</v>
      </c>
      <c r="FQ279" s="522">
        <v>32</v>
      </c>
      <c r="FR279" s="522">
        <v>4</v>
      </c>
    </row>
    <row r="280" spans="1:174" x14ac:dyDescent="0.25">
      <c r="A280" s="523" t="s">
        <v>808</v>
      </c>
      <c r="B280" s="523" t="s">
        <v>809</v>
      </c>
      <c r="C280" s="523" t="s">
        <v>284</v>
      </c>
      <c r="D280" s="522">
        <v>11028</v>
      </c>
      <c r="E280" s="522">
        <v>10777</v>
      </c>
      <c r="F280" s="522">
        <v>13</v>
      </c>
      <c r="G280" s="522">
        <v>7</v>
      </c>
      <c r="H280" s="522">
        <v>960</v>
      </c>
      <c r="I280" s="522">
        <v>708</v>
      </c>
      <c r="J280" s="522">
        <v>927</v>
      </c>
      <c r="K280" s="522">
        <v>765</v>
      </c>
      <c r="L280" s="522">
        <v>2002</v>
      </c>
      <c r="M280" s="522">
        <v>108</v>
      </c>
      <c r="N280" s="522">
        <v>14930</v>
      </c>
      <c r="O280" s="522">
        <v>12365</v>
      </c>
      <c r="P280" s="522">
        <v>12928</v>
      </c>
      <c r="Q280" s="522">
        <v>88</v>
      </c>
      <c r="R280" s="523">
        <v>14</v>
      </c>
      <c r="S280" s="523">
        <v>32</v>
      </c>
      <c r="T280" s="523">
        <v>415</v>
      </c>
      <c r="U280" s="523">
        <v>14515</v>
      </c>
      <c r="V280" s="522">
        <v>10831</v>
      </c>
      <c r="W280" s="522">
        <v>93</v>
      </c>
      <c r="X280" s="522">
        <v>56</v>
      </c>
      <c r="Y280" s="522">
        <v>149</v>
      </c>
      <c r="Z280" s="524">
        <v>133.91</v>
      </c>
      <c r="AA280" s="524">
        <v>136.65</v>
      </c>
      <c r="AB280" s="524">
        <v>14.53</v>
      </c>
      <c r="AC280" s="524">
        <v>142.41999999999999</v>
      </c>
      <c r="AD280" s="524">
        <v>8747</v>
      </c>
      <c r="AE280" s="525">
        <v>124.72</v>
      </c>
      <c r="AF280" s="525">
        <v>118.32</v>
      </c>
      <c r="AG280" s="525">
        <v>77.099999999999994</v>
      </c>
      <c r="AH280" s="525">
        <v>200.44</v>
      </c>
      <c r="AI280" s="525">
        <v>1615</v>
      </c>
      <c r="AJ280" s="525">
        <v>213.59</v>
      </c>
      <c r="AK280" s="525">
        <v>1816</v>
      </c>
      <c r="AL280" s="525">
        <v>254.99</v>
      </c>
      <c r="AM280" s="525">
        <v>83</v>
      </c>
      <c r="AN280" s="526">
        <v>82.9</v>
      </c>
      <c r="AO280" s="526">
        <v>0</v>
      </c>
      <c r="AP280" s="526">
        <v>16.93</v>
      </c>
      <c r="AQ280" s="526">
        <v>99.83</v>
      </c>
      <c r="AR280" s="522">
        <v>7</v>
      </c>
      <c r="AS280" s="526">
        <v>97.64</v>
      </c>
      <c r="AT280" s="526">
        <v>94.2</v>
      </c>
      <c r="AU280" s="526">
        <v>15.1</v>
      </c>
      <c r="AV280" s="526">
        <v>112.6</v>
      </c>
      <c r="AW280" s="522">
        <v>109</v>
      </c>
      <c r="AX280" s="526">
        <v>111.03</v>
      </c>
      <c r="AY280" s="526">
        <v>111.86</v>
      </c>
      <c r="AZ280" s="526">
        <v>13.78</v>
      </c>
      <c r="BA280" s="526">
        <v>120.9</v>
      </c>
      <c r="BB280" s="522">
        <v>1859</v>
      </c>
      <c r="BC280" s="526">
        <v>129.27000000000001</v>
      </c>
      <c r="BD280" s="526">
        <v>131.71</v>
      </c>
      <c r="BE280" s="526">
        <v>16.100000000000001</v>
      </c>
      <c r="BF280" s="526">
        <v>140.59</v>
      </c>
      <c r="BG280" s="522">
        <v>3298</v>
      </c>
      <c r="BH280" s="526">
        <v>148.4</v>
      </c>
      <c r="BI280" s="526">
        <v>151.88</v>
      </c>
      <c r="BJ280" s="526">
        <v>13.14</v>
      </c>
      <c r="BK280" s="526">
        <v>153.44999999999999</v>
      </c>
      <c r="BL280" s="522">
        <v>2878</v>
      </c>
      <c r="BM280" s="526">
        <v>165.46</v>
      </c>
      <c r="BN280" s="526">
        <v>170.51</v>
      </c>
      <c r="BO280" s="526">
        <v>10.61</v>
      </c>
      <c r="BP280" s="526">
        <v>170.2</v>
      </c>
      <c r="BQ280" s="522">
        <v>490</v>
      </c>
      <c r="BR280" s="526">
        <v>179.23</v>
      </c>
      <c r="BS280" s="526">
        <v>184.71</v>
      </c>
      <c r="BT280" s="526">
        <v>4.79</v>
      </c>
      <c r="BU280" s="526">
        <v>180.96</v>
      </c>
      <c r="BV280" s="522">
        <v>91</v>
      </c>
      <c r="BW280" s="526">
        <v>191.66</v>
      </c>
      <c r="BX280" s="526">
        <v>208.97</v>
      </c>
      <c r="BY280" s="526">
        <v>0</v>
      </c>
      <c r="BZ280" s="526">
        <v>191.66</v>
      </c>
      <c r="CA280" s="522">
        <v>15</v>
      </c>
      <c r="CB280" s="526">
        <v>133.94999999999999</v>
      </c>
      <c r="CC280" s="526">
        <v>136.65</v>
      </c>
      <c r="CD280" s="526">
        <v>14.53</v>
      </c>
      <c r="CE280" s="526">
        <v>142.46</v>
      </c>
      <c r="CF280" s="522">
        <v>8740</v>
      </c>
      <c r="CG280" s="526">
        <v>133.91</v>
      </c>
      <c r="CH280" s="526">
        <v>136.65</v>
      </c>
      <c r="CI280" s="526">
        <v>14.53</v>
      </c>
      <c r="CJ280" s="526">
        <v>142.41999999999999</v>
      </c>
      <c r="CK280" s="522">
        <v>8747</v>
      </c>
      <c r="CL280" s="526">
        <v>135.37</v>
      </c>
      <c r="CM280" s="526">
        <v>127.01</v>
      </c>
      <c r="CN280" s="526">
        <v>123.68</v>
      </c>
      <c r="CO280" s="526">
        <v>258.12</v>
      </c>
      <c r="CP280" s="522">
        <v>535</v>
      </c>
      <c r="CQ280" s="526">
        <v>101.93</v>
      </c>
      <c r="CR280" s="526">
        <v>102.1</v>
      </c>
      <c r="CS280" s="526">
        <v>94.63</v>
      </c>
      <c r="CT280" s="526">
        <v>196.56</v>
      </c>
      <c r="CU280" s="522">
        <v>97</v>
      </c>
      <c r="CV280" s="526">
        <v>119.27</v>
      </c>
      <c r="CW280" s="526">
        <v>113.68</v>
      </c>
      <c r="CX280" s="526">
        <v>49.68</v>
      </c>
      <c r="CY280" s="526">
        <v>167.82</v>
      </c>
      <c r="CZ280" s="522">
        <v>912</v>
      </c>
      <c r="DA280" s="526">
        <v>143.07</v>
      </c>
      <c r="DB280" s="526">
        <v>132.01</v>
      </c>
      <c r="DC280" s="526">
        <v>51.34</v>
      </c>
      <c r="DD280" s="526">
        <v>193.5</v>
      </c>
      <c r="DE280" s="522">
        <v>57</v>
      </c>
      <c r="DF280" s="526">
        <v>155.01</v>
      </c>
      <c r="DG280" s="526">
        <v>157.72999999999999</v>
      </c>
      <c r="DH280" s="526">
        <v>25.58</v>
      </c>
      <c r="DI280" s="526">
        <v>174.69</v>
      </c>
      <c r="DJ280" s="522">
        <v>13</v>
      </c>
      <c r="DK280" s="526">
        <v>169.82</v>
      </c>
      <c r="DL280" s="526">
        <v>179.71</v>
      </c>
      <c r="DM280" s="526">
        <v>27.57</v>
      </c>
      <c r="DN280" s="526">
        <v>197.39</v>
      </c>
      <c r="DO280" s="522">
        <v>1</v>
      </c>
      <c r="DP280" s="526">
        <v>119.45</v>
      </c>
      <c r="DQ280" s="526">
        <v>114.2</v>
      </c>
      <c r="DR280" s="526">
        <v>53.66</v>
      </c>
      <c r="DS280" s="526">
        <v>171.86</v>
      </c>
      <c r="DT280" s="522">
        <v>1080</v>
      </c>
      <c r="DU280" s="526">
        <v>124.72</v>
      </c>
      <c r="DV280" s="526">
        <v>118.32</v>
      </c>
      <c r="DW280" s="526">
        <v>77.099999999999994</v>
      </c>
      <c r="DX280" s="526">
        <v>200.44</v>
      </c>
      <c r="DY280" s="522">
        <v>1615</v>
      </c>
      <c r="DZ280" s="526">
        <v>0</v>
      </c>
      <c r="EA280" s="526">
        <v>0</v>
      </c>
      <c r="EB280" s="526">
        <v>122.5</v>
      </c>
      <c r="EC280" s="522">
        <v>13</v>
      </c>
      <c r="ED280" s="526">
        <v>181.17</v>
      </c>
      <c r="EE280" s="522">
        <v>347</v>
      </c>
      <c r="EF280" s="526">
        <v>211.29</v>
      </c>
      <c r="EG280" s="522">
        <v>915</v>
      </c>
      <c r="EH280" s="526">
        <v>240.07</v>
      </c>
      <c r="EI280" s="522">
        <v>409</v>
      </c>
      <c r="EJ280" s="526">
        <v>240.02</v>
      </c>
      <c r="EK280" s="522">
        <v>128</v>
      </c>
      <c r="EL280" s="526">
        <v>297</v>
      </c>
      <c r="EM280" s="522">
        <v>4</v>
      </c>
      <c r="EN280" s="526">
        <v>0</v>
      </c>
      <c r="EO280" s="522">
        <v>0</v>
      </c>
      <c r="EP280" s="526">
        <v>213.59</v>
      </c>
      <c r="EQ280" s="522">
        <v>1816</v>
      </c>
      <c r="ER280" s="526">
        <v>213.59</v>
      </c>
      <c r="ES280" s="522">
        <v>1816</v>
      </c>
      <c r="ET280" s="526">
        <v>0</v>
      </c>
      <c r="EU280" s="526">
        <v>0</v>
      </c>
      <c r="EV280" s="526">
        <v>0</v>
      </c>
      <c r="EW280" s="522">
        <v>0</v>
      </c>
      <c r="EX280" s="526">
        <v>249.22</v>
      </c>
      <c r="EY280" s="522">
        <v>73</v>
      </c>
      <c r="EZ280" s="526">
        <v>297.11</v>
      </c>
      <c r="FA280" s="522">
        <v>10</v>
      </c>
      <c r="FB280" s="526">
        <v>0</v>
      </c>
      <c r="FC280" s="522">
        <v>0</v>
      </c>
      <c r="FD280" s="526">
        <v>0</v>
      </c>
      <c r="FE280" s="522">
        <v>0</v>
      </c>
      <c r="FF280" s="526">
        <v>254.99</v>
      </c>
      <c r="FG280" s="522">
        <v>83</v>
      </c>
      <c r="FH280" s="526">
        <v>254.99</v>
      </c>
      <c r="FI280" s="522">
        <v>83</v>
      </c>
      <c r="FJ280" s="522">
        <v>48</v>
      </c>
      <c r="FK280" s="522">
        <v>0</v>
      </c>
      <c r="FL280" s="522">
        <v>0</v>
      </c>
      <c r="FM280" s="522">
        <v>0</v>
      </c>
      <c r="FN280" s="522">
        <v>0</v>
      </c>
      <c r="FO280" s="522">
        <v>0</v>
      </c>
      <c r="FP280" s="522">
        <v>23</v>
      </c>
      <c r="FQ280" s="522">
        <v>155</v>
      </c>
      <c r="FR280" s="522">
        <v>46</v>
      </c>
    </row>
    <row r="281" spans="1:174" x14ac:dyDescent="0.25">
      <c r="A281" s="523" t="s">
        <v>810</v>
      </c>
      <c r="B281" s="523" t="s">
        <v>811</v>
      </c>
      <c r="C281" s="523" t="s">
        <v>284</v>
      </c>
      <c r="D281" s="522">
        <v>9509</v>
      </c>
      <c r="E281" s="522">
        <v>9049</v>
      </c>
      <c r="F281" s="522">
        <v>6</v>
      </c>
      <c r="G281" s="522">
        <v>0</v>
      </c>
      <c r="H281" s="522">
        <v>1029</v>
      </c>
      <c r="I281" s="522">
        <v>694</v>
      </c>
      <c r="J281" s="522">
        <v>1010</v>
      </c>
      <c r="K281" s="522">
        <v>924</v>
      </c>
      <c r="L281" s="522">
        <v>2663</v>
      </c>
      <c r="M281" s="522">
        <v>225</v>
      </c>
      <c r="N281" s="522">
        <v>14217</v>
      </c>
      <c r="O281" s="522">
        <v>10892</v>
      </c>
      <c r="P281" s="522">
        <v>11554</v>
      </c>
      <c r="Q281" s="522">
        <v>194</v>
      </c>
      <c r="R281" s="523">
        <v>17</v>
      </c>
      <c r="S281" s="523">
        <v>25</v>
      </c>
      <c r="T281" s="523">
        <v>601</v>
      </c>
      <c r="U281" s="523">
        <v>13616</v>
      </c>
      <c r="V281" s="522">
        <v>9039</v>
      </c>
      <c r="W281" s="522">
        <v>230</v>
      </c>
      <c r="X281" s="522">
        <v>37</v>
      </c>
      <c r="Y281" s="522">
        <v>267</v>
      </c>
      <c r="Z281" s="524">
        <v>148.35</v>
      </c>
      <c r="AA281" s="524">
        <v>162.04</v>
      </c>
      <c r="AB281" s="524">
        <v>12.77</v>
      </c>
      <c r="AC281" s="524">
        <v>157.72999999999999</v>
      </c>
      <c r="AD281" s="524">
        <v>6678</v>
      </c>
      <c r="AE281" s="525">
        <v>140.43</v>
      </c>
      <c r="AF281" s="525">
        <v>134.36000000000001</v>
      </c>
      <c r="AG281" s="525">
        <v>58.18</v>
      </c>
      <c r="AH281" s="525">
        <v>193.95</v>
      </c>
      <c r="AI281" s="525">
        <v>1874</v>
      </c>
      <c r="AJ281" s="525">
        <v>230.42</v>
      </c>
      <c r="AK281" s="525">
        <v>1452</v>
      </c>
      <c r="AL281" s="525">
        <v>265.33</v>
      </c>
      <c r="AM281" s="525">
        <v>34</v>
      </c>
      <c r="AN281" s="526">
        <v>0</v>
      </c>
      <c r="AO281" s="526">
        <v>0</v>
      </c>
      <c r="AP281" s="526">
        <v>0</v>
      </c>
      <c r="AQ281" s="526">
        <v>0</v>
      </c>
      <c r="AR281" s="522">
        <v>0</v>
      </c>
      <c r="AS281" s="526">
        <v>113.48</v>
      </c>
      <c r="AT281" s="526">
        <v>116.13</v>
      </c>
      <c r="AU281" s="526">
        <v>11.38</v>
      </c>
      <c r="AV281" s="526">
        <v>124.78</v>
      </c>
      <c r="AW281" s="522">
        <v>149</v>
      </c>
      <c r="AX281" s="526">
        <v>133.53</v>
      </c>
      <c r="AY281" s="526">
        <v>140.03</v>
      </c>
      <c r="AZ281" s="526">
        <v>12.55</v>
      </c>
      <c r="BA281" s="526">
        <v>144.08000000000001</v>
      </c>
      <c r="BB281" s="522">
        <v>2499</v>
      </c>
      <c r="BC281" s="526">
        <v>151.62</v>
      </c>
      <c r="BD281" s="526">
        <v>166.33</v>
      </c>
      <c r="BE281" s="526">
        <v>13.56</v>
      </c>
      <c r="BF281" s="526">
        <v>161.63999999999999</v>
      </c>
      <c r="BG281" s="522">
        <v>2186</v>
      </c>
      <c r="BH281" s="526">
        <v>165.44</v>
      </c>
      <c r="BI281" s="526">
        <v>187.09</v>
      </c>
      <c r="BJ281" s="526">
        <v>12.71</v>
      </c>
      <c r="BK281" s="526">
        <v>172.38</v>
      </c>
      <c r="BL281" s="522">
        <v>1523</v>
      </c>
      <c r="BM281" s="526">
        <v>174.64</v>
      </c>
      <c r="BN281" s="526">
        <v>204.97</v>
      </c>
      <c r="BO281" s="526">
        <v>9.35</v>
      </c>
      <c r="BP281" s="526">
        <v>180.81</v>
      </c>
      <c r="BQ281" s="522">
        <v>273</v>
      </c>
      <c r="BR281" s="526">
        <v>183.14</v>
      </c>
      <c r="BS281" s="526">
        <v>213.96</v>
      </c>
      <c r="BT281" s="526">
        <v>14.23</v>
      </c>
      <c r="BU281" s="526">
        <v>191.15</v>
      </c>
      <c r="BV281" s="522">
        <v>32</v>
      </c>
      <c r="BW281" s="526">
        <v>197.11</v>
      </c>
      <c r="BX281" s="526">
        <v>217</v>
      </c>
      <c r="BY281" s="526">
        <v>16.62</v>
      </c>
      <c r="BZ281" s="526">
        <v>209.58</v>
      </c>
      <c r="CA281" s="522">
        <v>16</v>
      </c>
      <c r="CB281" s="526">
        <v>148.35</v>
      </c>
      <c r="CC281" s="526">
        <v>162.04</v>
      </c>
      <c r="CD281" s="526">
        <v>12.77</v>
      </c>
      <c r="CE281" s="526">
        <v>157.72999999999999</v>
      </c>
      <c r="CF281" s="522">
        <v>6678</v>
      </c>
      <c r="CG281" s="526">
        <v>148.35</v>
      </c>
      <c r="CH281" s="526">
        <v>162.04</v>
      </c>
      <c r="CI281" s="526">
        <v>12.77</v>
      </c>
      <c r="CJ281" s="526">
        <v>157.72999999999999</v>
      </c>
      <c r="CK281" s="522">
        <v>6678</v>
      </c>
      <c r="CL281" s="526">
        <v>124.33</v>
      </c>
      <c r="CM281" s="526">
        <v>110.21</v>
      </c>
      <c r="CN281" s="526">
        <v>92.91</v>
      </c>
      <c r="CO281" s="526">
        <v>198.57</v>
      </c>
      <c r="CP281" s="522">
        <v>438</v>
      </c>
      <c r="CQ281" s="526">
        <v>121.3</v>
      </c>
      <c r="CR281" s="526">
        <v>119.19</v>
      </c>
      <c r="CS281" s="526">
        <v>108.63</v>
      </c>
      <c r="CT281" s="526">
        <v>229.93</v>
      </c>
      <c r="CU281" s="522">
        <v>79</v>
      </c>
      <c r="CV281" s="526">
        <v>146</v>
      </c>
      <c r="CW281" s="526">
        <v>142.12</v>
      </c>
      <c r="CX281" s="526">
        <v>45.34</v>
      </c>
      <c r="CY281" s="526">
        <v>189.21</v>
      </c>
      <c r="CZ281" s="522">
        <v>1258</v>
      </c>
      <c r="DA281" s="526">
        <v>155.72999999999999</v>
      </c>
      <c r="DB281" s="526">
        <v>152.28</v>
      </c>
      <c r="DC281" s="526">
        <v>50.28</v>
      </c>
      <c r="DD281" s="526">
        <v>204.95</v>
      </c>
      <c r="DE281" s="522">
        <v>95</v>
      </c>
      <c r="DF281" s="526">
        <v>165.09</v>
      </c>
      <c r="DG281" s="526">
        <v>162.63999999999999</v>
      </c>
      <c r="DH281" s="526">
        <v>58.72</v>
      </c>
      <c r="DI281" s="526">
        <v>209.13</v>
      </c>
      <c r="DJ281" s="522">
        <v>4</v>
      </c>
      <c r="DK281" s="526">
        <v>0</v>
      </c>
      <c r="DL281" s="526">
        <v>0</v>
      </c>
      <c r="DM281" s="526">
        <v>0</v>
      </c>
      <c r="DN281" s="526">
        <v>0</v>
      </c>
      <c r="DO281" s="522">
        <v>0</v>
      </c>
      <c r="DP281" s="526">
        <v>145.34</v>
      </c>
      <c r="DQ281" s="526">
        <v>141.59</v>
      </c>
      <c r="DR281" s="526">
        <v>49.34</v>
      </c>
      <c r="DS281" s="526">
        <v>192.55</v>
      </c>
      <c r="DT281" s="522">
        <v>1436</v>
      </c>
      <c r="DU281" s="526">
        <v>140.43</v>
      </c>
      <c r="DV281" s="526">
        <v>134.36000000000001</v>
      </c>
      <c r="DW281" s="526">
        <v>58.18</v>
      </c>
      <c r="DX281" s="526">
        <v>193.95</v>
      </c>
      <c r="DY281" s="522">
        <v>1874</v>
      </c>
      <c r="DZ281" s="526">
        <v>0</v>
      </c>
      <c r="EA281" s="526">
        <v>0</v>
      </c>
      <c r="EB281" s="526">
        <v>172.8</v>
      </c>
      <c r="EC281" s="522">
        <v>22</v>
      </c>
      <c r="ED281" s="526">
        <v>209.03</v>
      </c>
      <c r="EE281" s="522">
        <v>462</v>
      </c>
      <c r="EF281" s="526">
        <v>236.44</v>
      </c>
      <c r="EG281" s="522">
        <v>589</v>
      </c>
      <c r="EH281" s="526">
        <v>247.11</v>
      </c>
      <c r="EI281" s="522">
        <v>298</v>
      </c>
      <c r="EJ281" s="526">
        <v>262.97000000000003</v>
      </c>
      <c r="EK281" s="522">
        <v>81</v>
      </c>
      <c r="EL281" s="526">
        <v>0</v>
      </c>
      <c r="EM281" s="522">
        <v>0</v>
      </c>
      <c r="EN281" s="526">
        <v>0</v>
      </c>
      <c r="EO281" s="522">
        <v>0</v>
      </c>
      <c r="EP281" s="526">
        <v>230.42</v>
      </c>
      <c r="EQ281" s="522">
        <v>1452</v>
      </c>
      <c r="ER281" s="526">
        <v>230.42</v>
      </c>
      <c r="ES281" s="522">
        <v>1452</v>
      </c>
      <c r="ET281" s="526">
        <v>0</v>
      </c>
      <c r="EU281" s="526">
        <v>0</v>
      </c>
      <c r="EV281" s="526">
        <v>0</v>
      </c>
      <c r="EW281" s="522">
        <v>0</v>
      </c>
      <c r="EX281" s="526">
        <v>265.33</v>
      </c>
      <c r="EY281" s="522">
        <v>34</v>
      </c>
      <c r="EZ281" s="526">
        <v>0</v>
      </c>
      <c r="FA281" s="522">
        <v>0</v>
      </c>
      <c r="FB281" s="526">
        <v>0</v>
      </c>
      <c r="FC281" s="522">
        <v>0</v>
      </c>
      <c r="FD281" s="526">
        <v>0</v>
      </c>
      <c r="FE281" s="522">
        <v>0</v>
      </c>
      <c r="FF281" s="526">
        <v>265.33</v>
      </c>
      <c r="FG281" s="522">
        <v>34</v>
      </c>
      <c r="FH281" s="526">
        <v>265.33</v>
      </c>
      <c r="FI281" s="522">
        <v>34</v>
      </c>
      <c r="FJ281" s="522">
        <v>13</v>
      </c>
      <c r="FK281" s="522">
        <v>1</v>
      </c>
      <c r="FL281" s="522">
        <v>0</v>
      </c>
      <c r="FM281" s="522">
        <v>0</v>
      </c>
      <c r="FN281" s="522">
        <v>1</v>
      </c>
      <c r="FO281" s="522">
        <v>0</v>
      </c>
      <c r="FP281" s="522">
        <v>54</v>
      </c>
      <c r="FQ281" s="522">
        <v>97</v>
      </c>
      <c r="FR281" s="522">
        <v>70</v>
      </c>
    </row>
    <row r="282" spans="1:174" x14ac:dyDescent="0.25">
      <c r="A282" s="523" t="s">
        <v>812</v>
      </c>
      <c r="B282" s="523" t="s">
        <v>813</v>
      </c>
      <c r="C282" s="523" t="s">
        <v>286</v>
      </c>
      <c r="D282" s="522">
        <v>12189</v>
      </c>
      <c r="E282" s="522">
        <v>12089</v>
      </c>
      <c r="F282" s="522">
        <v>0</v>
      </c>
      <c r="G282" s="522">
        <v>102</v>
      </c>
      <c r="H282" s="522">
        <v>524</v>
      </c>
      <c r="I282" s="522">
        <v>190</v>
      </c>
      <c r="J282" s="522">
        <v>2211</v>
      </c>
      <c r="K282" s="522">
        <v>2299</v>
      </c>
      <c r="L282" s="522">
        <v>778</v>
      </c>
      <c r="M282" s="522">
        <v>0</v>
      </c>
      <c r="N282" s="522">
        <v>15702</v>
      </c>
      <c r="O282" s="522">
        <v>14680</v>
      </c>
      <c r="P282" s="522">
        <v>14924</v>
      </c>
      <c r="Q282" s="522">
        <v>68</v>
      </c>
      <c r="R282" s="523">
        <v>7</v>
      </c>
      <c r="S282" s="523">
        <v>26</v>
      </c>
      <c r="T282" s="523">
        <v>136</v>
      </c>
      <c r="U282" s="523">
        <v>15566</v>
      </c>
      <c r="V282" s="522">
        <v>12189</v>
      </c>
      <c r="W282" s="522">
        <v>172</v>
      </c>
      <c r="X282" s="522">
        <v>36</v>
      </c>
      <c r="Y282" s="522">
        <v>208</v>
      </c>
      <c r="Z282" s="524">
        <v>96.98</v>
      </c>
      <c r="AA282" s="524">
        <v>100.52</v>
      </c>
      <c r="AB282" s="524">
        <v>7.7</v>
      </c>
      <c r="AC282" s="524">
        <v>99.45</v>
      </c>
      <c r="AD282" s="524">
        <v>10906</v>
      </c>
      <c r="AE282" s="525">
        <v>100.15</v>
      </c>
      <c r="AF282" s="525">
        <v>92.3</v>
      </c>
      <c r="AG282" s="525">
        <v>43.85</v>
      </c>
      <c r="AH282" s="525">
        <v>139.79</v>
      </c>
      <c r="AI282" s="525">
        <v>2506</v>
      </c>
      <c r="AJ282" s="525">
        <v>127.01</v>
      </c>
      <c r="AK282" s="525">
        <v>1025</v>
      </c>
      <c r="AL282" s="525">
        <v>170.98</v>
      </c>
      <c r="AM282" s="525">
        <v>93</v>
      </c>
      <c r="AN282" s="526">
        <v>0</v>
      </c>
      <c r="AO282" s="526">
        <v>0</v>
      </c>
      <c r="AP282" s="526">
        <v>0</v>
      </c>
      <c r="AQ282" s="526">
        <v>0</v>
      </c>
      <c r="AR282" s="522">
        <v>0</v>
      </c>
      <c r="AS282" s="526">
        <v>77.05</v>
      </c>
      <c r="AT282" s="526">
        <v>77.540000000000006</v>
      </c>
      <c r="AU282" s="526">
        <v>12.12</v>
      </c>
      <c r="AV282" s="526">
        <v>85.83</v>
      </c>
      <c r="AW282" s="522">
        <v>29</v>
      </c>
      <c r="AX282" s="526">
        <v>83.58</v>
      </c>
      <c r="AY282" s="526">
        <v>85.04</v>
      </c>
      <c r="AZ282" s="526">
        <v>7.73</v>
      </c>
      <c r="BA282" s="526">
        <v>87.23</v>
      </c>
      <c r="BB282" s="522">
        <v>3344</v>
      </c>
      <c r="BC282" s="526">
        <v>96.61</v>
      </c>
      <c r="BD282" s="526">
        <v>100.47</v>
      </c>
      <c r="BE282" s="526">
        <v>10.3</v>
      </c>
      <c r="BF282" s="526">
        <v>100.14</v>
      </c>
      <c r="BG282" s="522">
        <v>2809</v>
      </c>
      <c r="BH282" s="526">
        <v>106.02</v>
      </c>
      <c r="BI282" s="526">
        <v>111.08</v>
      </c>
      <c r="BJ282" s="526">
        <v>4.8899999999999997</v>
      </c>
      <c r="BK282" s="526">
        <v>106.99</v>
      </c>
      <c r="BL282" s="522">
        <v>4334</v>
      </c>
      <c r="BM282" s="526">
        <v>114.91</v>
      </c>
      <c r="BN282" s="526">
        <v>119.43</v>
      </c>
      <c r="BO282" s="526">
        <v>4.3</v>
      </c>
      <c r="BP282" s="526">
        <v>115.76</v>
      </c>
      <c r="BQ282" s="522">
        <v>377</v>
      </c>
      <c r="BR282" s="526">
        <v>134.4</v>
      </c>
      <c r="BS282" s="526">
        <v>148.84</v>
      </c>
      <c r="BT282" s="526">
        <v>0</v>
      </c>
      <c r="BU282" s="526">
        <v>134.4</v>
      </c>
      <c r="BV282" s="522">
        <v>12</v>
      </c>
      <c r="BW282" s="526">
        <v>140.27000000000001</v>
      </c>
      <c r="BX282" s="526">
        <v>138.36000000000001</v>
      </c>
      <c r="BY282" s="526">
        <v>0</v>
      </c>
      <c r="BZ282" s="526">
        <v>140.27000000000001</v>
      </c>
      <c r="CA282" s="522">
        <v>1</v>
      </c>
      <c r="CB282" s="526">
        <v>96.98</v>
      </c>
      <c r="CC282" s="526">
        <v>100.52</v>
      </c>
      <c r="CD282" s="526">
        <v>7.7</v>
      </c>
      <c r="CE282" s="526">
        <v>99.45</v>
      </c>
      <c r="CF282" s="522">
        <v>10906</v>
      </c>
      <c r="CG282" s="526">
        <v>96.98</v>
      </c>
      <c r="CH282" s="526">
        <v>100.52</v>
      </c>
      <c r="CI282" s="526">
        <v>7.7</v>
      </c>
      <c r="CJ282" s="526">
        <v>99.45</v>
      </c>
      <c r="CK282" s="522">
        <v>10906</v>
      </c>
      <c r="CL282" s="526">
        <v>108.29</v>
      </c>
      <c r="CM282" s="526">
        <v>80.17</v>
      </c>
      <c r="CN282" s="526">
        <v>227.68</v>
      </c>
      <c r="CO282" s="526">
        <v>328.85</v>
      </c>
      <c r="CP282" s="522">
        <v>96</v>
      </c>
      <c r="CQ282" s="526">
        <v>75.69</v>
      </c>
      <c r="CR282" s="526">
        <v>75.58</v>
      </c>
      <c r="CS282" s="526">
        <v>38.49</v>
      </c>
      <c r="CT282" s="526">
        <v>114.18</v>
      </c>
      <c r="CU282" s="522">
        <v>111</v>
      </c>
      <c r="CV282" s="526">
        <v>99.24</v>
      </c>
      <c r="CW282" s="526">
        <v>89.96</v>
      </c>
      <c r="CX282" s="526">
        <v>38.58</v>
      </c>
      <c r="CY282" s="526">
        <v>134.24</v>
      </c>
      <c r="CZ282" s="522">
        <v>1802</v>
      </c>
      <c r="DA282" s="526">
        <v>102.77</v>
      </c>
      <c r="DB282" s="526">
        <v>103.43</v>
      </c>
      <c r="DC282" s="526">
        <v>23.78</v>
      </c>
      <c r="DD282" s="526">
        <v>123.19</v>
      </c>
      <c r="DE282" s="522">
        <v>468</v>
      </c>
      <c r="DF282" s="526">
        <v>170.75</v>
      </c>
      <c r="DG282" s="526">
        <v>148.35</v>
      </c>
      <c r="DH282" s="526">
        <v>45.97</v>
      </c>
      <c r="DI282" s="526">
        <v>208.72</v>
      </c>
      <c r="DJ282" s="522">
        <v>23</v>
      </c>
      <c r="DK282" s="526">
        <v>219.69</v>
      </c>
      <c r="DL282" s="526">
        <v>0</v>
      </c>
      <c r="DM282" s="526">
        <v>67.27</v>
      </c>
      <c r="DN282" s="526">
        <v>286.95</v>
      </c>
      <c r="DO282" s="522">
        <v>6</v>
      </c>
      <c r="DP282" s="526">
        <v>99.82</v>
      </c>
      <c r="DQ282" s="526">
        <v>92.4</v>
      </c>
      <c r="DR282" s="526">
        <v>35.979999999999997</v>
      </c>
      <c r="DS282" s="526">
        <v>132.26</v>
      </c>
      <c r="DT282" s="522">
        <v>2410</v>
      </c>
      <c r="DU282" s="526">
        <v>100.15</v>
      </c>
      <c r="DV282" s="526">
        <v>92.3</v>
      </c>
      <c r="DW282" s="526">
        <v>43.85</v>
      </c>
      <c r="DX282" s="526">
        <v>139.79</v>
      </c>
      <c r="DY282" s="522">
        <v>2506</v>
      </c>
      <c r="DZ282" s="526">
        <v>0</v>
      </c>
      <c r="EA282" s="526">
        <v>0</v>
      </c>
      <c r="EB282" s="526">
        <v>78.930000000000007</v>
      </c>
      <c r="EC282" s="522">
        <v>1</v>
      </c>
      <c r="ED282" s="526">
        <v>107.53</v>
      </c>
      <c r="EE282" s="522">
        <v>166</v>
      </c>
      <c r="EF282" s="526">
        <v>124.65</v>
      </c>
      <c r="EG282" s="522">
        <v>605</v>
      </c>
      <c r="EH282" s="526">
        <v>144.56</v>
      </c>
      <c r="EI282" s="522">
        <v>237</v>
      </c>
      <c r="EJ282" s="526">
        <v>161.12</v>
      </c>
      <c r="EK282" s="522">
        <v>15</v>
      </c>
      <c r="EL282" s="526">
        <v>161.15</v>
      </c>
      <c r="EM282" s="522">
        <v>1</v>
      </c>
      <c r="EN282" s="526">
        <v>0</v>
      </c>
      <c r="EO282" s="522">
        <v>0</v>
      </c>
      <c r="EP282" s="526">
        <v>127.01</v>
      </c>
      <c r="EQ282" s="522">
        <v>1025</v>
      </c>
      <c r="ER282" s="526">
        <v>127.01</v>
      </c>
      <c r="ES282" s="522">
        <v>1025</v>
      </c>
      <c r="ET282" s="526">
        <v>0</v>
      </c>
      <c r="EU282" s="526">
        <v>0</v>
      </c>
      <c r="EV282" s="526">
        <v>0</v>
      </c>
      <c r="EW282" s="522">
        <v>0</v>
      </c>
      <c r="EX282" s="526">
        <v>165.9</v>
      </c>
      <c r="EY282" s="522">
        <v>51</v>
      </c>
      <c r="EZ282" s="526">
        <v>177.14</v>
      </c>
      <c r="FA282" s="522">
        <v>42</v>
      </c>
      <c r="FB282" s="526">
        <v>0</v>
      </c>
      <c r="FC282" s="522">
        <v>0</v>
      </c>
      <c r="FD282" s="526">
        <v>0</v>
      </c>
      <c r="FE282" s="522">
        <v>0</v>
      </c>
      <c r="FF282" s="526">
        <v>170.98</v>
      </c>
      <c r="FG282" s="522">
        <v>93</v>
      </c>
      <c r="FH282" s="526">
        <v>170.98</v>
      </c>
      <c r="FI282" s="522">
        <v>93</v>
      </c>
      <c r="FJ282" s="522">
        <v>0</v>
      </c>
      <c r="FK282" s="522">
        <v>20</v>
      </c>
      <c r="FL282" s="522">
        <v>16</v>
      </c>
      <c r="FM282" s="522">
        <v>0</v>
      </c>
      <c r="FN282" s="522">
        <v>4</v>
      </c>
      <c r="FO282" s="522">
        <v>0</v>
      </c>
      <c r="FP282" s="522">
        <v>2</v>
      </c>
      <c r="FQ282" s="522">
        <v>45</v>
      </c>
      <c r="FR282" s="522">
        <v>16</v>
      </c>
    </row>
    <row r="283" spans="1:174" x14ac:dyDescent="0.25">
      <c r="A283" s="523" t="s">
        <v>814</v>
      </c>
      <c r="B283" s="523" t="s">
        <v>815</v>
      </c>
      <c r="C283" s="523" t="s">
        <v>288</v>
      </c>
      <c r="D283" s="522">
        <v>3651</v>
      </c>
      <c r="E283" s="522">
        <v>3836</v>
      </c>
      <c r="F283" s="522">
        <v>0</v>
      </c>
      <c r="G283" s="522">
        <v>0</v>
      </c>
      <c r="H283" s="522">
        <v>165</v>
      </c>
      <c r="I283" s="522">
        <v>59</v>
      </c>
      <c r="J283" s="522">
        <v>546</v>
      </c>
      <c r="K283" s="522">
        <v>501</v>
      </c>
      <c r="L283" s="522">
        <v>1186</v>
      </c>
      <c r="M283" s="522">
        <v>341</v>
      </c>
      <c r="N283" s="522">
        <v>5548</v>
      </c>
      <c r="O283" s="522">
        <v>4737</v>
      </c>
      <c r="P283" s="522">
        <v>4362</v>
      </c>
      <c r="Q283" s="522">
        <v>8</v>
      </c>
      <c r="R283" s="523">
        <v>8</v>
      </c>
      <c r="S283" s="523">
        <v>25</v>
      </c>
      <c r="T283" s="523">
        <v>152</v>
      </c>
      <c r="U283" s="523">
        <v>5396</v>
      </c>
      <c r="V283" s="522">
        <v>3587</v>
      </c>
      <c r="W283" s="522">
        <v>27</v>
      </c>
      <c r="X283" s="522">
        <v>102</v>
      </c>
      <c r="Y283" s="522">
        <v>129</v>
      </c>
      <c r="Z283" s="524">
        <v>123.97</v>
      </c>
      <c r="AA283" s="524">
        <v>125.43</v>
      </c>
      <c r="AB283" s="524">
        <v>8.3699999999999992</v>
      </c>
      <c r="AC283" s="524">
        <v>130.97</v>
      </c>
      <c r="AD283" s="524">
        <v>2863</v>
      </c>
      <c r="AE283" s="525">
        <v>124.18</v>
      </c>
      <c r="AF283" s="525">
        <v>108.4</v>
      </c>
      <c r="AG283" s="525">
        <v>71.81</v>
      </c>
      <c r="AH283" s="525">
        <v>195.87</v>
      </c>
      <c r="AI283" s="525">
        <v>590</v>
      </c>
      <c r="AJ283" s="525">
        <v>172.08</v>
      </c>
      <c r="AK283" s="525">
        <v>950</v>
      </c>
      <c r="AL283" s="525">
        <v>184.82</v>
      </c>
      <c r="AM283" s="525">
        <v>25</v>
      </c>
      <c r="AN283" s="526">
        <v>0</v>
      </c>
      <c r="AO283" s="526">
        <v>0</v>
      </c>
      <c r="AP283" s="526">
        <v>0</v>
      </c>
      <c r="AQ283" s="526">
        <v>0</v>
      </c>
      <c r="AR283" s="522">
        <v>0</v>
      </c>
      <c r="AS283" s="526">
        <v>84.97</v>
      </c>
      <c r="AT283" s="526">
        <v>83.81</v>
      </c>
      <c r="AU283" s="526">
        <v>20.98</v>
      </c>
      <c r="AV283" s="526">
        <v>105.95</v>
      </c>
      <c r="AW283" s="522">
        <v>43</v>
      </c>
      <c r="AX283" s="526">
        <v>102.83</v>
      </c>
      <c r="AY283" s="526">
        <v>102.82</v>
      </c>
      <c r="AZ283" s="526">
        <v>13.26</v>
      </c>
      <c r="BA283" s="526">
        <v>115.44</v>
      </c>
      <c r="BB283" s="522">
        <v>697</v>
      </c>
      <c r="BC283" s="526">
        <v>124.37</v>
      </c>
      <c r="BD283" s="526">
        <v>125.65</v>
      </c>
      <c r="BE283" s="526">
        <v>7.32</v>
      </c>
      <c r="BF283" s="526">
        <v>130.19999999999999</v>
      </c>
      <c r="BG283" s="522">
        <v>1330</v>
      </c>
      <c r="BH283" s="526">
        <v>141.16999999999999</v>
      </c>
      <c r="BI283" s="526">
        <v>144.32</v>
      </c>
      <c r="BJ283" s="526">
        <v>4.21</v>
      </c>
      <c r="BK283" s="526">
        <v>144.53</v>
      </c>
      <c r="BL283" s="522">
        <v>691</v>
      </c>
      <c r="BM283" s="526">
        <v>163.28</v>
      </c>
      <c r="BN283" s="526">
        <v>166.77</v>
      </c>
      <c r="BO283" s="526">
        <v>3.43</v>
      </c>
      <c r="BP283" s="526">
        <v>165.93</v>
      </c>
      <c r="BQ283" s="522">
        <v>100</v>
      </c>
      <c r="BR283" s="526">
        <v>151.5</v>
      </c>
      <c r="BS283" s="526">
        <v>154.84</v>
      </c>
      <c r="BT283" s="526">
        <v>4.0999999999999996</v>
      </c>
      <c r="BU283" s="526">
        <v>155.6</v>
      </c>
      <c r="BV283" s="522">
        <v>2</v>
      </c>
      <c r="BW283" s="526">
        <v>0</v>
      </c>
      <c r="BX283" s="526">
        <v>0</v>
      </c>
      <c r="BY283" s="526">
        <v>0</v>
      </c>
      <c r="BZ283" s="526">
        <v>0</v>
      </c>
      <c r="CA283" s="522">
        <v>0</v>
      </c>
      <c r="CB283" s="526">
        <v>123.97</v>
      </c>
      <c r="CC283" s="526">
        <v>125.43</v>
      </c>
      <c r="CD283" s="526">
        <v>8.3699999999999992</v>
      </c>
      <c r="CE283" s="526">
        <v>130.97</v>
      </c>
      <c r="CF283" s="522">
        <v>2863</v>
      </c>
      <c r="CG283" s="526">
        <v>123.97</v>
      </c>
      <c r="CH283" s="526">
        <v>125.43</v>
      </c>
      <c r="CI283" s="526">
        <v>8.3699999999999992</v>
      </c>
      <c r="CJ283" s="526">
        <v>130.97</v>
      </c>
      <c r="CK283" s="522">
        <v>2863</v>
      </c>
      <c r="CL283" s="526">
        <v>97.92</v>
      </c>
      <c r="CM283" s="526">
        <v>80.53</v>
      </c>
      <c r="CN283" s="526">
        <v>144.62</v>
      </c>
      <c r="CO283" s="526">
        <v>240.85</v>
      </c>
      <c r="CP283" s="522">
        <v>86</v>
      </c>
      <c r="CQ283" s="526">
        <v>101.32</v>
      </c>
      <c r="CR283" s="526">
        <v>93.18</v>
      </c>
      <c r="CS283" s="526">
        <v>44.75</v>
      </c>
      <c r="CT283" s="526">
        <v>146.07</v>
      </c>
      <c r="CU283" s="522">
        <v>29</v>
      </c>
      <c r="CV283" s="526">
        <v>123.06</v>
      </c>
      <c r="CW283" s="526">
        <v>104.14</v>
      </c>
      <c r="CX283" s="526">
        <v>61.38</v>
      </c>
      <c r="CY283" s="526">
        <v>184.44</v>
      </c>
      <c r="CZ283" s="522">
        <v>324</v>
      </c>
      <c r="DA283" s="526">
        <v>146.05000000000001</v>
      </c>
      <c r="DB283" s="526">
        <v>134.93</v>
      </c>
      <c r="DC283" s="526">
        <v>58.3</v>
      </c>
      <c r="DD283" s="526">
        <v>204.35</v>
      </c>
      <c r="DE283" s="522">
        <v>150</v>
      </c>
      <c r="DF283" s="526">
        <v>128.11000000000001</v>
      </c>
      <c r="DG283" s="526">
        <v>122.1</v>
      </c>
      <c r="DH283" s="526">
        <v>72.349999999999994</v>
      </c>
      <c r="DI283" s="526">
        <v>200.46</v>
      </c>
      <c r="DJ283" s="522">
        <v>1</v>
      </c>
      <c r="DK283" s="526">
        <v>0</v>
      </c>
      <c r="DL283" s="526">
        <v>0</v>
      </c>
      <c r="DM283" s="526">
        <v>0</v>
      </c>
      <c r="DN283" s="526">
        <v>0</v>
      </c>
      <c r="DO283" s="522">
        <v>0</v>
      </c>
      <c r="DP283" s="526">
        <v>128.66</v>
      </c>
      <c r="DQ283" s="526">
        <v>113.08</v>
      </c>
      <c r="DR283" s="526">
        <v>59.53</v>
      </c>
      <c r="DS283" s="526">
        <v>188.19</v>
      </c>
      <c r="DT283" s="522">
        <v>504</v>
      </c>
      <c r="DU283" s="526">
        <v>124.18</v>
      </c>
      <c r="DV283" s="526">
        <v>108.4</v>
      </c>
      <c r="DW283" s="526">
        <v>71.81</v>
      </c>
      <c r="DX283" s="526">
        <v>195.87</v>
      </c>
      <c r="DY283" s="522">
        <v>590</v>
      </c>
      <c r="DZ283" s="526">
        <v>0</v>
      </c>
      <c r="EA283" s="526">
        <v>0</v>
      </c>
      <c r="EB283" s="526">
        <v>80.34</v>
      </c>
      <c r="EC283" s="522">
        <v>4</v>
      </c>
      <c r="ED283" s="526">
        <v>138.09</v>
      </c>
      <c r="EE283" s="522">
        <v>176</v>
      </c>
      <c r="EF283" s="526">
        <v>169.65</v>
      </c>
      <c r="EG283" s="522">
        <v>523</v>
      </c>
      <c r="EH283" s="526">
        <v>196.94</v>
      </c>
      <c r="EI283" s="522">
        <v>212</v>
      </c>
      <c r="EJ283" s="526">
        <v>239.34</v>
      </c>
      <c r="EK283" s="522">
        <v>35</v>
      </c>
      <c r="EL283" s="526">
        <v>0</v>
      </c>
      <c r="EM283" s="522">
        <v>0</v>
      </c>
      <c r="EN283" s="526">
        <v>0</v>
      </c>
      <c r="EO283" s="522">
        <v>0</v>
      </c>
      <c r="EP283" s="526">
        <v>172.08</v>
      </c>
      <c r="EQ283" s="522">
        <v>950</v>
      </c>
      <c r="ER283" s="526">
        <v>172.08</v>
      </c>
      <c r="ES283" s="522">
        <v>950</v>
      </c>
      <c r="ET283" s="526">
        <v>0</v>
      </c>
      <c r="EU283" s="526">
        <v>0</v>
      </c>
      <c r="EV283" s="526">
        <v>0</v>
      </c>
      <c r="EW283" s="522">
        <v>0</v>
      </c>
      <c r="EX283" s="526">
        <v>167.48</v>
      </c>
      <c r="EY283" s="522">
        <v>3</v>
      </c>
      <c r="EZ283" s="526">
        <v>187.19</v>
      </c>
      <c r="FA283" s="522">
        <v>22</v>
      </c>
      <c r="FB283" s="526">
        <v>0</v>
      </c>
      <c r="FC283" s="522">
        <v>0</v>
      </c>
      <c r="FD283" s="526">
        <v>0</v>
      </c>
      <c r="FE283" s="522">
        <v>0</v>
      </c>
      <c r="FF283" s="526">
        <v>184.82</v>
      </c>
      <c r="FG283" s="522">
        <v>25</v>
      </c>
      <c r="FH283" s="526">
        <v>184.82</v>
      </c>
      <c r="FI283" s="522">
        <v>25</v>
      </c>
      <c r="FJ283" s="522">
        <v>0</v>
      </c>
      <c r="FK283" s="522">
        <v>1</v>
      </c>
      <c r="FL283" s="522">
        <v>0</v>
      </c>
      <c r="FM283" s="522">
        <v>0</v>
      </c>
      <c r="FN283" s="522">
        <v>1</v>
      </c>
      <c r="FO283" s="522">
        <v>0</v>
      </c>
      <c r="FP283" s="522">
        <v>59</v>
      </c>
      <c r="FQ283" s="522">
        <v>70</v>
      </c>
      <c r="FR283" s="522">
        <v>27</v>
      </c>
    </row>
    <row r="284" spans="1:174" x14ac:dyDescent="0.25">
      <c r="A284" s="523" t="s">
        <v>816</v>
      </c>
      <c r="B284" s="523" t="s">
        <v>817</v>
      </c>
      <c r="C284" s="523" t="s">
        <v>283</v>
      </c>
      <c r="D284" s="522">
        <v>5923</v>
      </c>
      <c r="E284" s="522">
        <v>6020</v>
      </c>
      <c r="F284" s="522">
        <v>161</v>
      </c>
      <c r="G284" s="522">
        <v>159</v>
      </c>
      <c r="H284" s="522">
        <v>403</v>
      </c>
      <c r="I284" s="522">
        <v>112</v>
      </c>
      <c r="J284" s="522">
        <v>589</v>
      </c>
      <c r="K284" s="522">
        <v>595</v>
      </c>
      <c r="L284" s="522">
        <v>566</v>
      </c>
      <c r="M284" s="522">
        <v>33</v>
      </c>
      <c r="N284" s="522">
        <v>7642</v>
      </c>
      <c r="O284" s="522">
        <v>6919</v>
      </c>
      <c r="P284" s="522">
        <v>7076</v>
      </c>
      <c r="Q284" s="522">
        <v>16</v>
      </c>
      <c r="R284" s="523">
        <v>7</v>
      </c>
      <c r="S284" s="523">
        <v>27</v>
      </c>
      <c r="T284" s="523">
        <v>302</v>
      </c>
      <c r="U284" s="523">
        <v>7340</v>
      </c>
      <c r="V284" s="522">
        <v>5910</v>
      </c>
      <c r="W284" s="522">
        <v>17</v>
      </c>
      <c r="X284" s="522">
        <v>43</v>
      </c>
      <c r="Y284" s="522">
        <v>60</v>
      </c>
      <c r="Z284" s="524">
        <v>131.31</v>
      </c>
      <c r="AA284" s="524">
        <v>141.47999999999999</v>
      </c>
      <c r="AB284" s="524">
        <v>11.53</v>
      </c>
      <c r="AC284" s="524">
        <v>136.62</v>
      </c>
      <c r="AD284" s="524">
        <v>5029</v>
      </c>
      <c r="AE284" s="525">
        <v>107.74</v>
      </c>
      <c r="AF284" s="525">
        <v>105.37</v>
      </c>
      <c r="AG284" s="525">
        <v>43.06</v>
      </c>
      <c r="AH284" s="525">
        <v>149.15</v>
      </c>
      <c r="AI284" s="525">
        <v>701</v>
      </c>
      <c r="AJ284" s="525">
        <v>214.45</v>
      </c>
      <c r="AK284" s="525">
        <v>744</v>
      </c>
      <c r="AL284" s="525">
        <v>192.4</v>
      </c>
      <c r="AM284" s="525">
        <v>13</v>
      </c>
      <c r="AN284" s="526">
        <v>0</v>
      </c>
      <c r="AO284" s="526">
        <v>0</v>
      </c>
      <c r="AP284" s="526">
        <v>0</v>
      </c>
      <c r="AQ284" s="526">
        <v>0</v>
      </c>
      <c r="AR284" s="522">
        <v>0</v>
      </c>
      <c r="AS284" s="526">
        <v>104.08</v>
      </c>
      <c r="AT284" s="526">
        <v>102.07</v>
      </c>
      <c r="AU284" s="526">
        <v>11.43</v>
      </c>
      <c r="AV284" s="526">
        <v>114.89</v>
      </c>
      <c r="AW284" s="522">
        <v>92</v>
      </c>
      <c r="AX284" s="526">
        <v>113.71</v>
      </c>
      <c r="AY284" s="526">
        <v>115.17</v>
      </c>
      <c r="AZ284" s="526">
        <v>13.18</v>
      </c>
      <c r="BA284" s="526">
        <v>124.41</v>
      </c>
      <c r="BB284" s="522">
        <v>1027</v>
      </c>
      <c r="BC284" s="526">
        <v>128.43</v>
      </c>
      <c r="BD284" s="526">
        <v>135.16999999999999</v>
      </c>
      <c r="BE284" s="526">
        <v>11.51</v>
      </c>
      <c r="BF284" s="526">
        <v>135.69</v>
      </c>
      <c r="BG284" s="522">
        <v>1687</v>
      </c>
      <c r="BH284" s="526">
        <v>141.46</v>
      </c>
      <c r="BI284" s="526">
        <v>158.19</v>
      </c>
      <c r="BJ284" s="526">
        <v>7.92</v>
      </c>
      <c r="BK284" s="526">
        <v>142.58000000000001</v>
      </c>
      <c r="BL284" s="522">
        <v>2045</v>
      </c>
      <c r="BM284" s="526">
        <v>156.87</v>
      </c>
      <c r="BN284" s="526">
        <v>174.54</v>
      </c>
      <c r="BO284" s="526">
        <v>4.84</v>
      </c>
      <c r="BP284" s="526">
        <v>158.1</v>
      </c>
      <c r="BQ284" s="522">
        <v>173</v>
      </c>
      <c r="BR284" s="526">
        <v>178.63</v>
      </c>
      <c r="BS284" s="526">
        <v>186.14</v>
      </c>
      <c r="BT284" s="526">
        <v>3.74</v>
      </c>
      <c r="BU284" s="526">
        <v>180.5</v>
      </c>
      <c r="BV284" s="522">
        <v>4</v>
      </c>
      <c r="BW284" s="526">
        <v>188.36</v>
      </c>
      <c r="BX284" s="526">
        <v>201.48</v>
      </c>
      <c r="BY284" s="526">
        <v>2.08</v>
      </c>
      <c r="BZ284" s="526">
        <v>190.44</v>
      </c>
      <c r="CA284" s="522">
        <v>1</v>
      </c>
      <c r="CB284" s="526">
        <v>131.31</v>
      </c>
      <c r="CC284" s="526">
        <v>141.47999999999999</v>
      </c>
      <c r="CD284" s="526">
        <v>11.53</v>
      </c>
      <c r="CE284" s="526">
        <v>136.62</v>
      </c>
      <c r="CF284" s="522">
        <v>5029</v>
      </c>
      <c r="CG284" s="526">
        <v>131.31</v>
      </c>
      <c r="CH284" s="526">
        <v>141.47999999999999</v>
      </c>
      <c r="CI284" s="526">
        <v>11.53</v>
      </c>
      <c r="CJ284" s="526">
        <v>136.62</v>
      </c>
      <c r="CK284" s="522">
        <v>5029</v>
      </c>
      <c r="CL284" s="526">
        <v>138.61000000000001</v>
      </c>
      <c r="CM284" s="526">
        <v>92.53</v>
      </c>
      <c r="CN284" s="526">
        <v>184.15</v>
      </c>
      <c r="CO284" s="526">
        <v>264.37</v>
      </c>
      <c r="CP284" s="522">
        <v>41</v>
      </c>
      <c r="CQ284" s="526">
        <v>91.61</v>
      </c>
      <c r="CR284" s="526">
        <v>93.48</v>
      </c>
      <c r="CS284" s="526">
        <v>32.51</v>
      </c>
      <c r="CT284" s="526">
        <v>124.12</v>
      </c>
      <c r="CU284" s="522">
        <v>298</v>
      </c>
      <c r="CV284" s="526">
        <v>117.27</v>
      </c>
      <c r="CW284" s="526">
        <v>115.76</v>
      </c>
      <c r="CX284" s="526">
        <v>40.81</v>
      </c>
      <c r="CY284" s="526">
        <v>156.41999999999999</v>
      </c>
      <c r="CZ284" s="522">
        <v>344</v>
      </c>
      <c r="DA284" s="526">
        <v>121.4</v>
      </c>
      <c r="DB284" s="526">
        <v>131.1</v>
      </c>
      <c r="DC284" s="526">
        <v>39.61</v>
      </c>
      <c r="DD284" s="526">
        <v>161</v>
      </c>
      <c r="DE284" s="522">
        <v>16</v>
      </c>
      <c r="DF284" s="526">
        <v>131.35</v>
      </c>
      <c r="DG284" s="526">
        <v>136.65</v>
      </c>
      <c r="DH284" s="526">
        <v>39.950000000000003</v>
      </c>
      <c r="DI284" s="526">
        <v>171.3</v>
      </c>
      <c r="DJ284" s="522">
        <v>2</v>
      </c>
      <c r="DK284" s="526">
        <v>0</v>
      </c>
      <c r="DL284" s="526">
        <v>0</v>
      </c>
      <c r="DM284" s="526">
        <v>0</v>
      </c>
      <c r="DN284" s="526">
        <v>0</v>
      </c>
      <c r="DO284" s="522">
        <v>0</v>
      </c>
      <c r="DP284" s="526">
        <v>105.83</v>
      </c>
      <c r="DQ284" s="526">
        <v>105.77</v>
      </c>
      <c r="DR284" s="526">
        <v>36.950000000000003</v>
      </c>
      <c r="DS284" s="526">
        <v>141.99</v>
      </c>
      <c r="DT284" s="522">
        <v>660</v>
      </c>
      <c r="DU284" s="526">
        <v>107.74</v>
      </c>
      <c r="DV284" s="526">
        <v>105.37</v>
      </c>
      <c r="DW284" s="526">
        <v>43.06</v>
      </c>
      <c r="DX284" s="526">
        <v>149.15</v>
      </c>
      <c r="DY284" s="522">
        <v>701</v>
      </c>
      <c r="DZ284" s="526">
        <v>0</v>
      </c>
      <c r="EA284" s="526">
        <v>0</v>
      </c>
      <c r="EB284" s="526">
        <v>97.25</v>
      </c>
      <c r="EC284" s="522">
        <v>2</v>
      </c>
      <c r="ED284" s="526">
        <v>180.27</v>
      </c>
      <c r="EE284" s="522">
        <v>242</v>
      </c>
      <c r="EF284" s="526">
        <v>223.25</v>
      </c>
      <c r="EG284" s="522">
        <v>439</v>
      </c>
      <c r="EH284" s="526">
        <v>281.44</v>
      </c>
      <c r="EI284" s="522">
        <v>44</v>
      </c>
      <c r="EJ284" s="526">
        <v>314.04000000000002</v>
      </c>
      <c r="EK284" s="522">
        <v>17</v>
      </c>
      <c r="EL284" s="526">
        <v>0</v>
      </c>
      <c r="EM284" s="522">
        <v>0</v>
      </c>
      <c r="EN284" s="526">
        <v>0</v>
      </c>
      <c r="EO284" s="522">
        <v>0</v>
      </c>
      <c r="EP284" s="526">
        <v>214.45</v>
      </c>
      <c r="EQ284" s="522">
        <v>744</v>
      </c>
      <c r="ER284" s="526">
        <v>214.45</v>
      </c>
      <c r="ES284" s="522">
        <v>744</v>
      </c>
      <c r="ET284" s="526">
        <v>0</v>
      </c>
      <c r="EU284" s="526">
        <v>0</v>
      </c>
      <c r="EV284" s="526">
        <v>190.03</v>
      </c>
      <c r="EW284" s="522">
        <v>11</v>
      </c>
      <c r="EX284" s="526">
        <v>205.41</v>
      </c>
      <c r="EY284" s="522">
        <v>2</v>
      </c>
      <c r="EZ284" s="526">
        <v>0</v>
      </c>
      <c r="FA284" s="522">
        <v>0</v>
      </c>
      <c r="FB284" s="526">
        <v>0</v>
      </c>
      <c r="FC284" s="522">
        <v>0</v>
      </c>
      <c r="FD284" s="526">
        <v>0</v>
      </c>
      <c r="FE284" s="522">
        <v>0</v>
      </c>
      <c r="FF284" s="526">
        <v>192.4</v>
      </c>
      <c r="FG284" s="522">
        <v>13</v>
      </c>
      <c r="FH284" s="526">
        <v>192.4</v>
      </c>
      <c r="FI284" s="522">
        <v>13</v>
      </c>
      <c r="FJ284" s="522">
        <v>0</v>
      </c>
      <c r="FK284" s="522">
        <v>5</v>
      </c>
      <c r="FL284" s="522">
        <v>4</v>
      </c>
      <c r="FM284" s="522">
        <v>0</v>
      </c>
      <c r="FN284" s="522">
        <v>1</v>
      </c>
      <c r="FO284" s="522">
        <v>0</v>
      </c>
      <c r="FP284" s="522">
        <v>1</v>
      </c>
      <c r="FQ284" s="522">
        <v>24</v>
      </c>
      <c r="FR284" s="522">
        <v>7</v>
      </c>
    </row>
    <row r="285" spans="1:174" x14ac:dyDescent="0.25">
      <c r="A285" s="523" t="s">
        <v>818</v>
      </c>
      <c r="B285" s="523" t="s">
        <v>819</v>
      </c>
      <c r="C285" s="523" t="s">
        <v>2</v>
      </c>
      <c r="D285" s="522">
        <v>1646</v>
      </c>
      <c r="E285" s="522">
        <v>1570</v>
      </c>
      <c r="F285" s="522">
        <v>0</v>
      </c>
      <c r="G285" s="522">
        <v>0</v>
      </c>
      <c r="H285" s="522">
        <v>162</v>
      </c>
      <c r="I285" s="522">
        <v>37</v>
      </c>
      <c r="J285" s="522">
        <v>164</v>
      </c>
      <c r="K285" s="522">
        <v>133</v>
      </c>
      <c r="L285" s="522">
        <v>754</v>
      </c>
      <c r="M285" s="522">
        <v>131</v>
      </c>
      <c r="N285" s="522">
        <v>2726</v>
      </c>
      <c r="O285" s="522">
        <v>1871</v>
      </c>
      <c r="P285" s="522">
        <v>1972</v>
      </c>
      <c r="Q285" s="522">
        <v>18</v>
      </c>
      <c r="R285" s="523">
        <v>8</v>
      </c>
      <c r="S285" s="523">
        <v>25</v>
      </c>
      <c r="T285" s="523">
        <v>280</v>
      </c>
      <c r="U285" s="523">
        <v>2446</v>
      </c>
      <c r="V285" s="522">
        <v>1538</v>
      </c>
      <c r="W285" s="522">
        <v>10</v>
      </c>
      <c r="X285" s="522">
        <v>1</v>
      </c>
      <c r="Y285" s="522">
        <v>11</v>
      </c>
      <c r="Z285" s="524">
        <v>134.31</v>
      </c>
      <c r="AA285" s="524">
        <v>135.41</v>
      </c>
      <c r="AB285" s="524">
        <v>6.46</v>
      </c>
      <c r="AC285" s="524">
        <v>140.19</v>
      </c>
      <c r="AD285" s="524">
        <v>916</v>
      </c>
      <c r="AE285" s="525">
        <v>144.91999999999999</v>
      </c>
      <c r="AF285" s="525">
        <v>112.5</v>
      </c>
      <c r="AG285" s="525">
        <v>50.89</v>
      </c>
      <c r="AH285" s="525">
        <v>195.81</v>
      </c>
      <c r="AI285" s="525">
        <v>141</v>
      </c>
      <c r="AJ285" s="525">
        <v>219.66</v>
      </c>
      <c r="AK285" s="525">
        <v>677</v>
      </c>
      <c r="AL285" s="525">
        <v>148.6</v>
      </c>
      <c r="AM285" s="525">
        <v>3</v>
      </c>
      <c r="AN285" s="526">
        <v>0</v>
      </c>
      <c r="AO285" s="526">
        <v>0</v>
      </c>
      <c r="AP285" s="526">
        <v>0</v>
      </c>
      <c r="AQ285" s="526">
        <v>0</v>
      </c>
      <c r="AR285" s="522">
        <v>0</v>
      </c>
      <c r="AS285" s="526">
        <v>0</v>
      </c>
      <c r="AT285" s="526">
        <v>0</v>
      </c>
      <c r="AU285" s="526">
        <v>0</v>
      </c>
      <c r="AV285" s="526">
        <v>0</v>
      </c>
      <c r="AW285" s="522">
        <v>0</v>
      </c>
      <c r="AX285" s="526">
        <v>114.73</v>
      </c>
      <c r="AY285" s="526">
        <v>116.29</v>
      </c>
      <c r="AZ285" s="526">
        <v>8.66</v>
      </c>
      <c r="BA285" s="526">
        <v>123.18</v>
      </c>
      <c r="BB285" s="522">
        <v>166</v>
      </c>
      <c r="BC285" s="526">
        <v>134.32</v>
      </c>
      <c r="BD285" s="526">
        <v>134.6</v>
      </c>
      <c r="BE285" s="526">
        <v>7.24</v>
      </c>
      <c r="BF285" s="526">
        <v>140.96</v>
      </c>
      <c r="BG285" s="522">
        <v>435</v>
      </c>
      <c r="BH285" s="526">
        <v>143.44</v>
      </c>
      <c r="BI285" s="526">
        <v>145.19</v>
      </c>
      <c r="BJ285" s="526">
        <v>3.88</v>
      </c>
      <c r="BK285" s="526">
        <v>146.78</v>
      </c>
      <c r="BL285" s="522">
        <v>301</v>
      </c>
      <c r="BM285" s="526">
        <v>170.19</v>
      </c>
      <c r="BN285" s="526">
        <v>175.77</v>
      </c>
      <c r="BO285" s="526">
        <v>6.69</v>
      </c>
      <c r="BP285" s="526">
        <v>176.4</v>
      </c>
      <c r="BQ285" s="522">
        <v>14</v>
      </c>
      <c r="BR285" s="526">
        <v>0</v>
      </c>
      <c r="BS285" s="526">
        <v>0</v>
      </c>
      <c r="BT285" s="526">
        <v>0</v>
      </c>
      <c r="BU285" s="526">
        <v>0</v>
      </c>
      <c r="BV285" s="522">
        <v>0</v>
      </c>
      <c r="BW285" s="526">
        <v>0</v>
      </c>
      <c r="BX285" s="526">
        <v>0</v>
      </c>
      <c r="BY285" s="526">
        <v>0</v>
      </c>
      <c r="BZ285" s="526">
        <v>0</v>
      </c>
      <c r="CA285" s="522">
        <v>0</v>
      </c>
      <c r="CB285" s="526">
        <v>134.31</v>
      </c>
      <c r="CC285" s="526">
        <v>135.41</v>
      </c>
      <c r="CD285" s="526">
        <v>6.46</v>
      </c>
      <c r="CE285" s="526">
        <v>140.19</v>
      </c>
      <c r="CF285" s="522">
        <v>916</v>
      </c>
      <c r="CG285" s="526">
        <v>134.31</v>
      </c>
      <c r="CH285" s="526">
        <v>135.41</v>
      </c>
      <c r="CI285" s="526">
        <v>6.46</v>
      </c>
      <c r="CJ285" s="526">
        <v>140.19</v>
      </c>
      <c r="CK285" s="522">
        <v>916</v>
      </c>
      <c r="CL285" s="526">
        <v>197.69</v>
      </c>
      <c r="CM285" s="526">
        <v>98.35</v>
      </c>
      <c r="CN285" s="526">
        <v>88.07</v>
      </c>
      <c r="CO285" s="526">
        <v>285.76</v>
      </c>
      <c r="CP285" s="522">
        <v>15</v>
      </c>
      <c r="CQ285" s="526">
        <v>105.82</v>
      </c>
      <c r="CR285" s="526">
        <v>109.57</v>
      </c>
      <c r="CS285" s="526">
        <v>30.05</v>
      </c>
      <c r="CT285" s="526">
        <v>135.87</v>
      </c>
      <c r="CU285" s="522">
        <v>7</v>
      </c>
      <c r="CV285" s="526">
        <v>139.21</v>
      </c>
      <c r="CW285" s="526">
        <v>110.65</v>
      </c>
      <c r="CX285" s="526">
        <v>47.72</v>
      </c>
      <c r="CY285" s="526">
        <v>186.93</v>
      </c>
      <c r="CZ285" s="522">
        <v>112</v>
      </c>
      <c r="DA285" s="526">
        <v>164.39</v>
      </c>
      <c r="DB285" s="526">
        <v>157.62</v>
      </c>
      <c r="DC285" s="526">
        <v>44.67</v>
      </c>
      <c r="DD285" s="526">
        <v>209.06</v>
      </c>
      <c r="DE285" s="522">
        <v>6</v>
      </c>
      <c r="DF285" s="526">
        <v>149.61000000000001</v>
      </c>
      <c r="DG285" s="526">
        <v>164.19</v>
      </c>
      <c r="DH285" s="526">
        <v>30.94</v>
      </c>
      <c r="DI285" s="526">
        <v>180.55</v>
      </c>
      <c r="DJ285" s="522">
        <v>1</v>
      </c>
      <c r="DK285" s="526">
        <v>0</v>
      </c>
      <c r="DL285" s="526">
        <v>0</v>
      </c>
      <c r="DM285" s="526">
        <v>0</v>
      </c>
      <c r="DN285" s="526">
        <v>0</v>
      </c>
      <c r="DO285" s="522">
        <v>0</v>
      </c>
      <c r="DP285" s="526">
        <v>138.63</v>
      </c>
      <c r="DQ285" s="526">
        <v>113.47</v>
      </c>
      <c r="DR285" s="526">
        <v>46.46</v>
      </c>
      <c r="DS285" s="526">
        <v>185.1</v>
      </c>
      <c r="DT285" s="522">
        <v>126</v>
      </c>
      <c r="DU285" s="526">
        <v>144.91999999999999</v>
      </c>
      <c r="DV285" s="526">
        <v>112.5</v>
      </c>
      <c r="DW285" s="526">
        <v>50.89</v>
      </c>
      <c r="DX285" s="526">
        <v>195.81</v>
      </c>
      <c r="DY285" s="522">
        <v>141</v>
      </c>
      <c r="DZ285" s="526">
        <v>0</v>
      </c>
      <c r="EA285" s="526">
        <v>0</v>
      </c>
      <c r="EB285" s="526">
        <v>0</v>
      </c>
      <c r="EC285" s="522">
        <v>0</v>
      </c>
      <c r="ED285" s="526">
        <v>176.23</v>
      </c>
      <c r="EE285" s="522">
        <v>257</v>
      </c>
      <c r="EF285" s="526">
        <v>229.28</v>
      </c>
      <c r="EG285" s="522">
        <v>266</v>
      </c>
      <c r="EH285" s="526">
        <v>272.72000000000003</v>
      </c>
      <c r="EI285" s="522">
        <v>148</v>
      </c>
      <c r="EJ285" s="526">
        <v>344.85</v>
      </c>
      <c r="EK285" s="522">
        <v>6</v>
      </c>
      <c r="EL285" s="526">
        <v>0</v>
      </c>
      <c r="EM285" s="522">
        <v>0</v>
      </c>
      <c r="EN285" s="526">
        <v>0</v>
      </c>
      <c r="EO285" s="522">
        <v>0</v>
      </c>
      <c r="EP285" s="526">
        <v>219.66</v>
      </c>
      <c r="EQ285" s="522">
        <v>677</v>
      </c>
      <c r="ER285" s="526">
        <v>219.66</v>
      </c>
      <c r="ES285" s="522">
        <v>677</v>
      </c>
      <c r="ET285" s="526">
        <v>0</v>
      </c>
      <c r="EU285" s="526">
        <v>0</v>
      </c>
      <c r="EV285" s="526">
        <v>0</v>
      </c>
      <c r="EW285" s="522">
        <v>0</v>
      </c>
      <c r="EX285" s="526">
        <v>148.6</v>
      </c>
      <c r="EY285" s="522">
        <v>3</v>
      </c>
      <c r="EZ285" s="526">
        <v>0</v>
      </c>
      <c r="FA285" s="522">
        <v>0</v>
      </c>
      <c r="FB285" s="526">
        <v>0</v>
      </c>
      <c r="FC285" s="522">
        <v>0</v>
      </c>
      <c r="FD285" s="526">
        <v>0</v>
      </c>
      <c r="FE285" s="522">
        <v>0</v>
      </c>
      <c r="FF285" s="526">
        <v>148.6</v>
      </c>
      <c r="FG285" s="522">
        <v>3</v>
      </c>
      <c r="FH285" s="526">
        <v>148.6</v>
      </c>
      <c r="FI285" s="522">
        <v>3</v>
      </c>
      <c r="FJ285" s="522">
        <v>8</v>
      </c>
      <c r="FK285" s="522">
        <v>0</v>
      </c>
      <c r="FL285" s="522">
        <v>0</v>
      </c>
      <c r="FM285" s="522">
        <v>0</v>
      </c>
      <c r="FN285" s="522">
        <v>0</v>
      </c>
      <c r="FO285" s="522">
        <v>0</v>
      </c>
      <c r="FP285" s="522">
        <v>0</v>
      </c>
      <c r="FQ285" s="522">
        <v>81</v>
      </c>
      <c r="FR285" s="522">
        <v>9</v>
      </c>
    </row>
    <row r="286" spans="1:174" x14ac:dyDescent="0.25">
      <c r="A286" s="523" t="s">
        <v>820</v>
      </c>
      <c r="B286" s="523" t="s">
        <v>821</v>
      </c>
      <c r="C286" s="523" t="s">
        <v>2</v>
      </c>
      <c r="D286" s="522">
        <v>2937</v>
      </c>
      <c r="E286" s="522">
        <v>2693</v>
      </c>
      <c r="F286" s="522">
        <v>0</v>
      </c>
      <c r="G286" s="522">
        <v>0</v>
      </c>
      <c r="H286" s="522">
        <v>134</v>
      </c>
      <c r="I286" s="522">
        <v>41</v>
      </c>
      <c r="J286" s="522">
        <v>326</v>
      </c>
      <c r="K286" s="522">
        <v>225</v>
      </c>
      <c r="L286" s="522">
        <v>918</v>
      </c>
      <c r="M286" s="522">
        <v>176</v>
      </c>
      <c r="N286" s="522">
        <v>4315</v>
      </c>
      <c r="O286" s="522">
        <v>3135</v>
      </c>
      <c r="P286" s="522">
        <v>3397</v>
      </c>
      <c r="Q286" s="522">
        <v>19</v>
      </c>
      <c r="R286" s="523">
        <v>5</v>
      </c>
      <c r="S286" s="523">
        <v>25</v>
      </c>
      <c r="T286" s="523">
        <v>205</v>
      </c>
      <c r="U286" s="523">
        <v>4110</v>
      </c>
      <c r="V286" s="522">
        <v>2919</v>
      </c>
      <c r="W286" s="522">
        <v>34</v>
      </c>
      <c r="X286" s="522">
        <v>12</v>
      </c>
      <c r="Y286" s="522">
        <v>46</v>
      </c>
      <c r="Z286" s="524">
        <v>117.1</v>
      </c>
      <c r="AA286" s="524">
        <v>117.25</v>
      </c>
      <c r="AB286" s="524">
        <v>8.24</v>
      </c>
      <c r="AC286" s="524">
        <v>123.44</v>
      </c>
      <c r="AD286" s="524">
        <v>1481</v>
      </c>
      <c r="AE286" s="525">
        <v>102.81</v>
      </c>
      <c r="AF286" s="525">
        <v>89.21</v>
      </c>
      <c r="AG286" s="525">
        <v>59.7</v>
      </c>
      <c r="AH286" s="525">
        <v>162.24</v>
      </c>
      <c r="AI286" s="525">
        <v>218</v>
      </c>
      <c r="AJ286" s="525">
        <v>176.82</v>
      </c>
      <c r="AK286" s="525">
        <v>1414</v>
      </c>
      <c r="AL286" s="525">
        <v>308.63</v>
      </c>
      <c r="AM286" s="525">
        <v>103</v>
      </c>
      <c r="AN286" s="526">
        <v>0</v>
      </c>
      <c r="AO286" s="526">
        <v>0</v>
      </c>
      <c r="AP286" s="526">
        <v>0</v>
      </c>
      <c r="AQ286" s="526">
        <v>0</v>
      </c>
      <c r="AR286" s="522">
        <v>0</v>
      </c>
      <c r="AS286" s="526">
        <v>77.91</v>
      </c>
      <c r="AT286" s="526">
        <v>76.64</v>
      </c>
      <c r="AU286" s="526">
        <v>5.5</v>
      </c>
      <c r="AV286" s="526">
        <v>83.41</v>
      </c>
      <c r="AW286" s="522">
        <v>9</v>
      </c>
      <c r="AX286" s="526">
        <v>93.23</v>
      </c>
      <c r="AY286" s="526">
        <v>99.39</v>
      </c>
      <c r="AZ286" s="526">
        <v>12.96</v>
      </c>
      <c r="BA286" s="526">
        <v>105.96</v>
      </c>
      <c r="BB286" s="522">
        <v>172</v>
      </c>
      <c r="BC286" s="526">
        <v>112.29</v>
      </c>
      <c r="BD286" s="526">
        <v>112.11</v>
      </c>
      <c r="BE286" s="526">
        <v>9.3800000000000008</v>
      </c>
      <c r="BF286" s="526">
        <v>119.66</v>
      </c>
      <c r="BG286" s="522">
        <v>660</v>
      </c>
      <c r="BH286" s="526">
        <v>126.83</v>
      </c>
      <c r="BI286" s="526">
        <v>125.46</v>
      </c>
      <c r="BJ286" s="526">
        <v>4.96</v>
      </c>
      <c r="BK286" s="526">
        <v>130.21</v>
      </c>
      <c r="BL286" s="522">
        <v>583</v>
      </c>
      <c r="BM286" s="526">
        <v>150.94</v>
      </c>
      <c r="BN286" s="526">
        <v>152.38</v>
      </c>
      <c r="BO286" s="526">
        <v>7.08</v>
      </c>
      <c r="BP286" s="526">
        <v>156.5</v>
      </c>
      <c r="BQ286" s="522">
        <v>56</v>
      </c>
      <c r="BR286" s="526">
        <v>191.13</v>
      </c>
      <c r="BS286" s="526">
        <v>189.02</v>
      </c>
      <c r="BT286" s="526">
        <v>0</v>
      </c>
      <c r="BU286" s="526">
        <v>191.13</v>
      </c>
      <c r="BV286" s="522">
        <v>1</v>
      </c>
      <c r="BW286" s="526">
        <v>0</v>
      </c>
      <c r="BX286" s="526">
        <v>0</v>
      </c>
      <c r="BY286" s="526">
        <v>0</v>
      </c>
      <c r="BZ286" s="526">
        <v>0</v>
      </c>
      <c r="CA286" s="522">
        <v>0</v>
      </c>
      <c r="CB286" s="526">
        <v>117.1</v>
      </c>
      <c r="CC286" s="526">
        <v>117.25</v>
      </c>
      <c r="CD286" s="526">
        <v>8.24</v>
      </c>
      <c r="CE286" s="526">
        <v>123.44</v>
      </c>
      <c r="CF286" s="522">
        <v>1481</v>
      </c>
      <c r="CG286" s="526">
        <v>117.1</v>
      </c>
      <c r="CH286" s="526">
        <v>117.25</v>
      </c>
      <c r="CI286" s="526">
        <v>8.24</v>
      </c>
      <c r="CJ286" s="526">
        <v>123.44</v>
      </c>
      <c r="CK286" s="522">
        <v>1481</v>
      </c>
      <c r="CL286" s="526">
        <v>413.17</v>
      </c>
      <c r="CM286" s="526">
        <v>0</v>
      </c>
      <c r="CN286" s="526">
        <v>112.48</v>
      </c>
      <c r="CO286" s="526">
        <v>525.65</v>
      </c>
      <c r="CP286" s="522">
        <v>7</v>
      </c>
      <c r="CQ286" s="526">
        <v>75.84</v>
      </c>
      <c r="CR286" s="526">
        <v>71.22</v>
      </c>
      <c r="CS286" s="526">
        <v>41.48</v>
      </c>
      <c r="CT286" s="526">
        <v>117.32</v>
      </c>
      <c r="CU286" s="522">
        <v>37</v>
      </c>
      <c r="CV286" s="526">
        <v>92.4</v>
      </c>
      <c r="CW286" s="526">
        <v>89.83</v>
      </c>
      <c r="CX286" s="526">
        <v>58.57</v>
      </c>
      <c r="CY286" s="526">
        <v>150.59</v>
      </c>
      <c r="CZ286" s="522">
        <v>153</v>
      </c>
      <c r="DA286" s="526">
        <v>123.31</v>
      </c>
      <c r="DB286" s="526">
        <v>117.6</v>
      </c>
      <c r="DC286" s="526">
        <v>84.4</v>
      </c>
      <c r="DD286" s="526">
        <v>207.71</v>
      </c>
      <c r="DE286" s="522">
        <v>20</v>
      </c>
      <c r="DF286" s="526">
        <v>111.58</v>
      </c>
      <c r="DG286" s="526">
        <v>105.64</v>
      </c>
      <c r="DH286" s="526">
        <v>41.48</v>
      </c>
      <c r="DI286" s="526">
        <v>153.06</v>
      </c>
      <c r="DJ286" s="522">
        <v>1</v>
      </c>
      <c r="DK286" s="526">
        <v>0</v>
      </c>
      <c r="DL286" s="526">
        <v>0</v>
      </c>
      <c r="DM286" s="526">
        <v>0</v>
      </c>
      <c r="DN286" s="526">
        <v>0</v>
      </c>
      <c r="DO286" s="522">
        <v>0</v>
      </c>
      <c r="DP286" s="526">
        <v>92.52</v>
      </c>
      <c r="DQ286" s="526">
        <v>89.21</v>
      </c>
      <c r="DR286" s="526">
        <v>57.94</v>
      </c>
      <c r="DS286" s="526">
        <v>150.18</v>
      </c>
      <c r="DT286" s="522">
        <v>211</v>
      </c>
      <c r="DU286" s="526">
        <v>102.81</v>
      </c>
      <c r="DV286" s="526">
        <v>89.21</v>
      </c>
      <c r="DW286" s="526">
        <v>59.7</v>
      </c>
      <c r="DX286" s="526">
        <v>162.24</v>
      </c>
      <c r="DY286" s="522">
        <v>218</v>
      </c>
      <c r="DZ286" s="526">
        <v>0</v>
      </c>
      <c r="EA286" s="526">
        <v>0</v>
      </c>
      <c r="EB286" s="526">
        <v>0</v>
      </c>
      <c r="EC286" s="522">
        <v>0</v>
      </c>
      <c r="ED286" s="526">
        <v>135.80000000000001</v>
      </c>
      <c r="EE286" s="522">
        <v>267</v>
      </c>
      <c r="EF286" s="526">
        <v>170.44</v>
      </c>
      <c r="EG286" s="522">
        <v>666</v>
      </c>
      <c r="EH286" s="526">
        <v>202.29</v>
      </c>
      <c r="EI286" s="522">
        <v>422</v>
      </c>
      <c r="EJ286" s="526">
        <v>252.14</v>
      </c>
      <c r="EK286" s="522">
        <v>59</v>
      </c>
      <c r="EL286" s="526">
        <v>0</v>
      </c>
      <c r="EM286" s="522">
        <v>0</v>
      </c>
      <c r="EN286" s="526">
        <v>0</v>
      </c>
      <c r="EO286" s="522">
        <v>0</v>
      </c>
      <c r="EP286" s="526">
        <v>176.82</v>
      </c>
      <c r="EQ286" s="522">
        <v>1414</v>
      </c>
      <c r="ER286" s="526">
        <v>176.82</v>
      </c>
      <c r="ES286" s="522">
        <v>1414</v>
      </c>
      <c r="ET286" s="526">
        <v>0</v>
      </c>
      <c r="EU286" s="526">
        <v>0</v>
      </c>
      <c r="EV286" s="526">
        <v>0</v>
      </c>
      <c r="EW286" s="522">
        <v>0</v>
      </c>
      <c r="EX286" s="526">
        <v>271.83999999999997</v>
      </c>
      <c r="EY286" s="522">
        <v>62</v>
      </c>
      <c r="EZ286" s="526">
        <v>364.27</v>
      </c>
      <c r="FA286" s="522">
        <v>41</v>
      </c>
      <c r="FB286" s="526">
        <v>0</v>
      </c>
      <c r="FC286" s="522">
        <v>0</v>
      </c>
      <c r="FD286" s="526">
        <v>0</v>
      </c>
      <c r="FE286" s="522">
        <v>0</v>
      </c>
      <c r="FF286" s="526">
        <v>308.63</v>
      </c>
      <c r="FG286" s="522">
        <v>103</v>
      </c>
      <c r="FH286" s="526">
        <v>308.63</v>
      </c>
      <c r="FI286" s="522">
        <v>103</v>
      </c>
      <c r="FJ286" s="522">
        <v>28</v>
      </c>
      <c r="FK286" s="522">
        <v>0</v>
      </c>
      <c r="FL286" s="522">
        <v>0</v>
      </c>
      <c r="FM286" s="522">
        <v>0</v>
      </c>
      <c r="FN286" s="522">
        <v>0</v>
      </c>
      <c r="FO286" s="522">
        <v>0</v>
      </c>
      <c r="FP286" s="522">
        <v>0</v>
      </c>
      <c r="FQ286" s="522">
        <v>88</v>
      </c>
      <c r="FR286" s="522">
        <v>2</v>
      </c>
    </row>
    <row r="287" spans="1:174" x14ac:dyDescent="0.25">
      <c r="A287" s="523" t="s">
        <v>822</v>
      </c>
      <c r="B287" s="523" t="s">
        <v>823</v>
      </c>
      <c r="C287" s="523" t="s">
        <v>283</v>
      </c>
      <c r="D287" s="522">
        <v>3067</v>
      </c>
      <c r="E287" s="522">
        <v>3026</v>
      </c>
      <c r="F287" s="522">
        <v>0</v>
      </c>
      <c r="G287" s="522">
        <v>0</v>
      </c>
      <c r="H287" s="522">
        <v>309</v>
      </c>
      <c r="I287" s="522">
        <v>207</v>
      </c>
      <c r="J287" s="522">
        <v>389</v>
      </c>
      <c r="K287" s="522">
        <v>370</v>
      </c>
      <c r="L287" s="522">
        <v>809</v>
      </c>
      <c r="M287" s="522">
        <v>0</v>
      </c>
      <c r="N287" s="522">
        <v>4574</v>
      </c>
      <c r="O287" s="522">
        <v>3603</v>
      </c>
      <c r="P287" s="522">
        <v>3765</v>
      </c>
      <c r="Q287" s="522">
        <v>4</v>
      </c>
      <c r="R287" s="523">
        <v>4</v>
      </c>
      <c r="S287" s="523">
        <v>26</v>
      </c>
      <c r="T287" s="523">
        <v>169</v>
      </c>
      <c r="U287" s="523">
        <v>4405</v>
      </c>
      <c r="V287" s="522">
        <v>3024</v>
      </c>
      <c r="W287" s="522">
        <v>25</v>
      </c>
      <c r="X287" s="522">
        <v>24</v>
      </c>
      <c r="Y287" s="522">
        <v>49</v>
      </c>
      <c r="Z287" s="524">
        <v>126.95</v>
      </c>
      <c r="AA287" s="524">
        <v>129.37</v>
      </c>
      <c r="AB287" s="524">
        <v>11.48</v>
      </c>
      <c r="AC287" s="524">
        <v>136.66999999999999</v>
      </c>
      <c r="AD287" s="524">
        <v>2367</v>
      </c>
      <c r="AE287" s="525">
        <v>127.02</v>
      </c>
      <c r="AF287" s="525">
        <v>118.57</v>
      </c>
      <c r="AG287" s="525">
        <v>49.8</v>
      </c>
      <c r="AH287" s="525">
        <v>171.52</v>
      </c>
      <c r="AI287" s="525">
        <v>573</v>
      </c>
      <c r="AJ287" s="525">
        <v>183.1</v>
      </c>
      <c r="AK287" s="525">
        <v>633</v>
      </c>
      <c r="AL287" s="525">
        <v>0</v>
      </c>
      <c r="AM287" s="525">
        <v>0</v>
      </c>
      <c r="AN287" s="526">
        <v>0</v>
      </c>
      <c r="AO287" s="526">
        <v>0</v>
      </c>
      <c r="AP287" s="526">
        <v>0</v>
      </c>
      <c r="AQ287" s="526">
        <v>0</v>
      </c>
      <c r="AR287" s="522">
        <v>0</v>
      </c>
      <c r="AS287" s="526">
        <v>94.41</v>
      </c>
      <c r="AT287" s="526">
        <v>92.69</v>
      </c>
      <c r="AU287" s="526">
        <v>18.7</v>
      </c>
      <c r="AV287" s="526">
        <v>112.13</v>
      </c>
      <c r="AW287" s="522">
        <v>76</v>
      </c>
      <c r="AX287" s="526">
        <v>110.31</v>
      </c>
      <c r="AY287" s="526">
        <v>110.82</v>
      </c>
      <c r="AZ287" s="526">
        <v>16.27</v>
      </c>
      <c r="BA287" s="526">
        <v>125.98</v>
      </c>
      <c r="BB287" s="522">
        <v>806</v>
      </c>
      <c r="BC287" s="526">
        <v>129.78</v>
      </c>
      <c r="BD287" s="526">
        <v>132.47999999999999</v>
      </c>
      <c r="BE287" s="526">
        <v>10.32</v>
      </c>
      <c r="BF287" s="526">
        <v>138.68</v>
      </c>
      <c r="BG287" s="522">
        <v>829</v>
      </c>
      <c r="BH287" s="526">
        <v>145.57</v>
      </c>
      <c r="BI287" s="526">
        <v>150.97</v>
      </c>
      <c r="BJ287" s="526">
        <v>3.68</v>
      </c>
      <c r="BK287" s="526">
        <v>148.01</v>
      </c>
      <c r="BL287" s="522">
        <v>591</v>
      </c>
      <c r="BM287" s="526">
        <v>165.11</v>
      </c>
      <c r="BN287" s="526">
        <v>168.51</v>
      </c>
      <c r="BO287" s="526">
        <v>4.29</v>
      </c>
      <c r="BP287" s="526">
        <v>168.48</v>
      </c>
      <c r="BQ287" s="522">
        <v>61</v>
      </c>
      <c r="BR287" s="526">
        <v>175.05</v>
      </c>
      <c r="BS287" s="526">
        <v>181.76</v>
      </c>
      <c r="BT287" s="526">
        <v>6.28</v>
      </c>
      <c r="BU287" s="526">
        <v>181.33</v>
      </c>
      <c r="BV287" s="522">
        <v>4</v>
      </c>
      <c r="BW287" s="526">
        <v>0</v>
      </c>
      <c r="BX287" s="526">
        <v>0</v>
      </c>
      <c r="BY287" s="526">
        <v>0</v>
      </c>
      <c r="BZ287" s="526">
        <v>0</v>
      </c>
      <c r="CA287" s="522">
        <v>0</v>
      </c>
      <c r="CB287" s="526">
        <v>126.95</v>
      </c>
      <c r="CC287" s="526">
        <v>129.37</v>
      </c>
      <c r="CD287" s="526">
        <v>11.48</v>
      </c>
      <c r="CE287" s="526">
        <v>136.66999999999999</v>
      </c>
      <c r="CF287" s="522">
        <v>2367</v>
      </c>
      <c r="CG287" s="526">
        <v>126.95</v>
      </c>
      <c r="CH287" s="526">
        <v>129.37</v>
      </c>
      <c r="CI287" s="526">
        <v>11.48</v>
      </c>
      <c r="CJ287" s="526">
        <v>136.66999999999999</v>
      </c>
      <c r="CK287" s="522">
        <v>2367</v>
      </c>
      <c r="CL287" s="526">
        <v>185.3</v>
      </c>
      <c r="CM287" s="526">
        <v>82.76</v>
      </c>
      <c r="CN287" s="526">
        <v>133.29</v>
      </c>
      <c r="CO287" s="526">
        <v>265.27999999999997</v>
      </c>
      <c r="CP287" s="522">
        <v>25</v>
      </c>
      <c r="CQ287" s="526">
        <v>97.71</v>
      </c>
      <c r="CR287" s="526">
        <v>97.41</v>
      </c>
      <c r="CS287" s="526">
        <v>70.650000000000006</v>
      </c>
      <c r="CT287" s="526">
        <v>167.48</v>
      </c>
      <c r="CU287" s="522">
        <v>80</v>
      </c>
      <c r="CV287" s="526">
        <v>121.73</v>
      </c>
      <c r="CW287" s="526">
        <v>115.23</v>
      </c>
      <c r="CX287" s="526">
        <v>44.89</v>
      </c>
      <c r="CY287" s="526">
        <v>163.66</v>
      </c>
      <c r="CZ287" s="522">
        <v>333</v>
      </c>
      <c r="DA287" s="526">
        <v>146.62</v>
      </c>
      <c r="DB287" s="526">
        <v>142.31</v>
      </c>
      <c r="DC287" s="526">
        <v>36.97</v>
      </c>
      <c r="DD287" s="526">
        <v>175.93</v>
      </c>
      <c r="DE287" s="522">
        <v>135</v>
      </c>
      <c r="DF287" s="526">
        <v>0</v>
      </c>
      <c r="DG287" s="526">
        <v>0</v>
      </c>
      <c r="DH287" s="526">
        <v>0</v>
      </c>
      <c r="DI287" s="526">
        <v>0</v>
      </c>
      <c r="DJ287" s="522">
        <v>0</v>
      </c>
      <c r="DK287" s="526">
        <v>0</v>
      </c>
      <c r="DL287" s="526">
        <v>0</v>
      </c>
      <c r="DM287" s="526">
        <v>0</v>
      </c>
      <c r="DN287" s="526">
        <v>0</v>
      </c>
      <c r="DO287" s="522">
        <v>0</v>
      </c>
      <c r="DP287" s="526">
        <v>124.36</v>
      </c>
      <c r="DQ287" s="526">
        <v>119.3</v>
      </c>
      <c r="DR287" s="526">
        <v>47.28</v>
      </c>
      <c r="DS287" s="526">
        <v>167.24</v>
      </c>
      <c r="DT287" s="522">
        <v>548</v>
      </c>
      <c r="DU287" s="526">
        <v>127.02</v>
      </c>
      <c r="DV287" s="526">
        <v>118.57</v>
      </c>
      <c r="DW287" s="526">
        <v>49.8</v>
      </c>
      <c r="DX287" s="526">
        <v>171.52</v>
      </c>
      <c r="DY287" s="522">
        <v>573</v>
      </c>
      <c r="DZ287" s="526">
        <v>0</v>
      </c>
      <c r="EA287" s="526">
        <v>0</v>
      </c>
      <c r="EB287" s="526">
        <v>152.87</v>
      </c>
      <c r="EC287" s="522">
        <v>1</v>
      </c>
      <c r="ED287" s="526">
        <v>154.26</v>
      </c>
      <c r="EE287" s="522">
        <v>246</v>
      </c>
      <c r="EF287" s="526">
        <v>194.29</v>
      </c>
      <c r="EG287" s="522">
        <v>299</v>
      </c>
      <c r="EH287" s="526">
        <v>228.83</v>
      </c>
      <c r="EI287" s="522">
        <v>83</v>
      </c>
      <c r="EJ287" s="526">
        <v>178.45</v>
      </c>
      <c r="EK287" s="522">
        <v>4</v>
      </c>
      <c r="EL287" s="526">
        <v>0</v>
      </c>
      <c r="EM287" s="522">
        <v>0</v>
      </c>
      <c r="EN287" s="526">
        <v>0</v>
      </c>
      <c r="EO287" s="522">
        <v>0</v>
      </c>
      <c r="EP287" s="526">
        <v>183.1</v>
      </c>
      <c r="EQ287" s="522">
        <v>633</v>
      </c>
      <c r="ER287" s="526">
        <v>183.1</v>
      </c>
      <c r="ES287" s="522">
        <v>633</v>
      </c>
      <c r="ET287" s="526">
        <v>0</v>
      </c>
      <c r="EU287" s="526">
        <v>0</v>
      </c>
      <c r="EV287" s="526">
        <v>0</v>
      </c>
      <c r="EW287" s="522">
        <v>0</v>
      </c>
      <c r="EX287" s="526">
        <v>0</v>
      </c>
      <c r="EY287" s="522">
        <v>0</v>
      </c>
      <c r="EZ287" s="526">
        <v>0</v>
      </c>
      <c r="FA287" s="522">
        <v>0</v>
      </c>
      <c r="FB287" s="526">
        <v>0</v>
      </c>
      <c r="FC287" s="522">
        <v>0</v>
      </c>
      <c r="FD287" s="526">
        <v>0</v>
      </c>
      <c r="FE287" s="522">
        <v>0</v>
      </c>
      <c r="FF287" s="526">
        <v>0</v>
      </c>
      <c r="FG287" s="522">
        <v>0</v>
      </c>
      <c r="FH287" s="526">
        <v>0</v>
      </c>
      <c r="FI287" s="522">
        <v>0</v>
      </c>
      <c r="FJ287" s="522">
        <v>11</v>
      </c>
      <c r="FK287" s="522">
        <v>1</v>
      </c>
      <c r="FL287" s="522">
        <v>0</v>
      </c>
      <c r="FM287" s="522">
        <v>0</v>
      </c>
      <c r="FN287" s="522">
        <v>1</v>
      </c>
      <c r="FO287" s="522">
        <v>0</v>
      </c>
      <c r="FP287" s="522">
        <v>1</v>
      </c>
      <c r="FQ287" s="522">
        <v>52</v>
      </c>
      <c r="FR287" s="522">
        <v>16</v>
      </c>
    </row>
    <row r="288" spans="1:174" x14ac:dyDescent="0.25">
      <c r="A288" s="523" t="s">
        <v>824</v>
      </c>
      <c r="B288" s="523" t="s">
        <v>825</v>
      </c>
      <c r="C288" s="523" t="s">
        <v>2</v>
      </c>
      <c r="D288" s="522">
        <v>8222</v>
      </c>
      <c r="E288" s="522">
        <v>8096</v>
      </c>
      <c r="F288" s="522">
        <v>0</v>
      </c>
      <c r="G288" s="522">
        <v>0</v>
      </c>
      <c r="H288" s="522">
        <v>349</v>
      </c>
      <c r="I288" s="522">
        <v>229</v>
      </c>
      <c r="J288" s="522">
        <v>883</v>
      </c>
      <c r="K288" s="522">
        <v>883</v>
      </c>
      <c r="L288" s="522">
        <v>928</v>
      </c>
      <c r="M288" s="522">
        <v>24</v>
      </c>
      <c r="N288" s="522">
        <v>10382</v>
      </c>
      <c r="O288" s="522">
        <v>9232</v>
      </c>
      <c r="P288" s="522">
        <v>9454</v>
      </c>
      <c r="Q288" s="522">
        <v>40</v>
      </c>
      <c r="R288" s="523">
        <v>5</v>
      </c>
      <c r="S288" s="523">
        <v>33</v>
      </c>
      <c r="T288" s="523">
        <v>218</v>
      </c>
      <c r="U288" s="523">
        <v>10164</v>
      </c>
      <c r="V288" s="522">
        <v>8117</v>
      </c>
      <c r="W288" s="522">
        <v>191</v>
      </c>
      <c r="X288" s="522">
        <v>95</v>
      </c>
      <c r="Y288" s="522">
        <v>286</v>
      </c>
      <c r="Z288" s="524">
        <v>135.38999999999999</v>
      </c>
      <c r="AA288" s="524">
        <v>138.51</v>
      </c>
      <c r="AB288" s="524">
        <v>7.63</v>
      </c>
      <c r="AC288" s="524">
        <v>139.43</v>
      </c>
      <c r="AD288" s="524">
        <v>7718</v>
      </c>
      <c r="AE288" s="525">
        <v>123.29</v>
      </c>
      <c r="AF288" s="525">
        <v>118.68</v>
      </c>
      <c r="AG288" s="525">
        <v>47.8</v>
      </c>
      <c r="AH288" s="525">
        <v>170.09</v>
      </c>
      <c r="AI288" s="525">
        <v>1093</v>
      </c>
      <c r="AJ288" s="525">
        <v>181.87</v>
      </c>
      <c r="AK288" s="525">
        <v>467</v>
      </c>
      <c r="AL288" s="525">
        <v>176.51</v>
      </c>
      <c r="AM288" s="525">
        <v>42</v>
      </c>
      <c r="AN288" s="526">
        <v>0</v>
      </c>
      <c r="AO288" s="526">
        <v>0</v>
      </c>
      <c r="AP288" s="526">
        <v>0</v>
      </c>
      <c r="AQ288" s="526">
        <v>0</v>
      </c>
      <c r="AR288" s="522">
        <v>0</v>
      </c>
      <c r="AS288" s="526">
        <v>90.74</v>
      </c>
      <c r="AT288" s="526">
        <v>89.42</v>
      </c>
      <c r="AU288" s="526">
        <v>15.18</v>
      </c>
      <c r="AV288" s="526">
        <v>105.36</v>
      </c>
      <c r="AW288" s="522">
        <v>109</v>
      </c>
      <c r="AX288" s="526">
        <v>111.11</v>
      </c>
      <c r="AY288" s="526">
        <v>110.31</v>
      </c>
      <c r="AZ288" s="526">
        <v>10.27</v>
      </c>
      <c r="BA288" s="526">
        <v>119.75</v>
      </c>
      <c r="BB288" s="522">
        <v>1602</v>
      </c>
      <c r="BC288" s="526">
        <v>135.02000000000001</v>
      </c>
      <c r="BD288" s="526">
        <v>135.79</v>
      </c>
      <c r="BE288" s="526">
        <v>7.8</v>
      </c>
      <c r="BF288" s="526">
        <v>139.91999999999999</v>
      </c>
      <c r="BG288" s="522">
        <v>2691</v>
      </c>
      <c r="BH288" s="526">
        <v>147.52000000000001</v>
      </c>
      <c r="BI288" s="526">
        <v>154.36000000000001</v>
      </c>
      <c r="BJ288" s="526">
        <v>2.7</v>
      </c>
      <c r="BK288" s="526">
        <v>148.27000000000001</v>
      </c>
      <c r="BL288" s="522">
        <v>3065</v>
      </c>
      <c r="BM288" s="526">
        <v>164.93</v>
      </c>
      <c r="BN288" s="526">
        <v>174.33</v>
      </c>
      <c r="BO288" s="526">
        <v>2.85</v>
      </c>
      <c r="BP288" s="526">
        <v>166.01</v>
      </c>
      <c r="BQ288" s="522">
        <v>239</v>
      </c>
      <c r="BR288" s="526">
        <v>179.44</v>
      </c>
      <c r="BS288" s="526">
        <v>188.68</v>
      </c>
      <c r="BT288" s="526">
        <v>2.69</v>
      </c>
      <c r="BU288" s="526">
        <v>180.12</v>
      </c>
      <c r="BV288" s="522">
        <v>12</v>
      </c>
      <c r="BW288" s="526">
        <v>0</v>
      </c>
      <c r="BX288" s="526">
        <v>0</v>
      </c>
      <c r="BY288" s="526">
        <v>0</v>
      </c>
      <c r="BZ288" s="526">
        <v>0</v>
      </c>
      <c r="CA288" s="522">
        <v>0</v>
      </c>
      <c r="CB288" s="526">
        <v>135.38999999999999</v>
      </c>
      <c r="CC288" s="526">
        <v>138.51</v>
      </c>
      <c r="CD288" s="526">
        <v>7.63</v>
      </c>
      <c r="CE288" s="526">
        <v>139.43</v>
      </c>
      <c r="CF288" s="522">
        <v>7718</v>
      </c>
      <c r="CG288" s="526">
        <v>135.38999999999999</v>
      </c>
      <c r="CH288" s="526">
        <v>138.51</v>
      </c>
      <c r="CI288" s="526">
        <v>7.63</v>
      </c>
      <c r="CJ288" s="526">
        <v>139.43</v>
      </c>
      <c r="CK288" s="522">
        <v>7718</v>
      </c>
      <c r="CL288" s="526">
        <v>113.71</v>
      </c>
      <c r="CM288" s="526">
        <v>96.11</v>
      </c>
      <c r="CN288" s="526">
        <v>104.8</v>
      </c>
      <c r="CO288" s="526">
        <v>208.68</v>
      </c>
      <c r="CP288" s="522">
        <v>64</v>
      </c>
      <c r="CQ288" s="526">
        <v>91.76</v>
      </c>
      <c r="CR288" s="526">
        <v>88.91</v>
      </c>
      <c r="CS288" s="526">
        <v>28.74</v>
      </c>
      <c r="CT288" s="526">
        <v>120.51</v>
      </c>
      <c r="CU288" s="522">
        <v>136</v>
      </c>
      <c r="CV288" s="526">
        <v>121.1</v>
      </c>
      <c r="CW288" s="526">
        <v>116.99</v>
      </c>
      <c r="CX288" s="526">
        <v>50.8</v>
      </c>
      <c r="CY288" s="526">
        <v>170.75</v>
      </c>
      <c r="CZ288" s="522">
        <v>663</v>
      </c>
      <c r="DA288" s="526">
        <v>150.76</v>
      </c>
      <c r="DB288" s="526">
        <v>146.52000000000001</v>
      </c>
      <c r="DC288" s="526">
        <v>36.51</v>
      </c>
      <c r="DD288" s="526">
        <v>187.1</v>
      </c>
      <c r="DE288" s="522">
        <v>223</v>
      </c>
      <c r="DF288" s="526">
        <v>156.58000000000001</v>
      </c>
      <c r="DG288" s="526">
        <v>156.66</v>
      </c>
      <c r="DH288" s="526">
        <v>22.96</v>
      </c>
      <c r="DI288" s="526">
        <v>176.26</v>
      </c>
      <c r="DJ288" s="522">
        <v>7</v>
      </c>
      <c r="DK288" s="526">
        <v>0</v>
      </c>
      <c r="DL288" s="526">
        <v>0</v>
      </c>
      <c r="DM288" s="526">
        <v>0</v>
      </c>
      <c r="DN288" s="526">
        <v>0</v>
      </c>
      <c r="DO288" s="522">
        <v>0</v>
      </c>
      <c r="DP288" s="526">
        <v>123.89</v>
      </c>
      <c r="DQ288" s="526">
        <v>119.95</v>
      </c>
      <c r="DR288" s="526">
        <v>44.54</v>
      </c>
      <c r="DS288" s="526">
        <v>167.69</v>
      </c>
      <c r="DT288" s="522">
        <v>1029</v>
      </c>
      <c r="DU288" s="526">
        <v>123.29</v>
      </c>
      <c r="DV288" s="526">
        <v>118.68</v>
      </c>
      <c r="DW288" s="526">
        <v>47.8</v>
      </c>
      <c r="DX288" s="526">
        <v>170.09</v>
      </c>
      <c r="DY288" s="522">
        <v>1093</v>
      </c>
      <c r="DZ288" s="526">
        <v>0</v>
      </c>
      <c r="EA288" s="526">
        <v>0</v>
      </c>
      <c r="EB288" s="526">
        <v>0</v>
      </c>
      <c r="EC288" s="522">
        <v>0</v>
      </c>
      <c r="ED288" s="526">
        <v>152.04</v>
      </c>
      <c r="EE288" s="522">
        <v>134</v>
      </c>
      <c r="EF288" s="526">
        <v>183.49</v>
      </c>
      <c r="EG288" s="522">
        <v>212</v>
      </c>
      <c r="EH288" s="526">
        <v>211.32</v>
      </c>
      <c r="EI288" s="522">
        <v>111</v>
      </c>
      <c r="EJ288" s="526">
        <v>220.4</v>
      </c>
      <c r="EK288" s="522">
        <v>10</v>
      </c>
      <c r="EL288" s="526">
        <v>0</v>
      </c>
      <c r="EM288" s="522">
        <v>0</v>
      </c>
      <c r="EN288" s="526">
        <v>0</v>
      </c>
      <c r="EO288" s="522">
        <v>0</v>
      </c>
      <c r="EP288" s="526">
        <v>181.87</v>
      </c>
      <c r="EQ288" s="522">
        <v>467</v>
      </c>
      <c r="ER288" s="526">
        <v>181.87</v>
      </c>
      <c r="ES288" s="522">
        <v>467</v>
      </c>
      <c r="ET288" s="526">
        <v>0</v>
      </c>
      <c r="EU288" s="526">
        <v>0</v>
      </c>
      <c r="EV288" s="526">
        <v>0</v>
      </c>
      <c r="EW288" s="522">
        <v>0</v>
      </c>
      <c r="EX288" s="526">
        <v>159.16999999999999</v>
      </c>
      <c r="EY288" s="522">
        <v>21</v>
      </c>
      <c r="EZ288" s="526">
        <v>193.85</v>
      </c>
      <c r="FA288" s="522">
        <v>21</v>
      </c>
      <c r="FB288" s="526">
        <v>0</v>
      </c>
      <c r="FC288" s="522">
        <v>0</v>
      </c>
      <c r="FD288" s="526">
        <v>0</v>
      </c>
      <c r="FE288" s="522">
        <v>0</v>
      </c>
      <c r="FF288" s="526">
        <v>176.51</v>
      </c>
      <c r="FG288" s="522">
        <v>42</v>
      </c>
      <c r="FH288" s="526">
        <v>176.51</v>
      </c>
      <c r="FI288" s="522">
        <v>42</v>
      </c>
      <c r="FJ288" s="522">
        <v>22</v>
      </c>
      <c r="FK288" s="522">
        <v>0</v>
      </c>
      <c r="FL288" s="522">
        <v>0</v>
      </c>
      <c r="FM288" s="522">
        <v>0</v>
      </c>
      <c r="FN288" s="522">
        <v>0</v>
      </c>
      <c r="FO288" s="522">
        <v>0</v>
      </c>
      <c r="FP288" s="522">
        <v>16</v>
      </c>
      <c r="FQ288" s="522">
        <v>42</v>
      </c>
      <c r="FR288" s="522">
        <v>8</v>
      </c>
    </row>
    <row r="289" spans="1:174" x14ac:dyDescent="0.25">
      <c r="A289" s="523" t="s">
        <v>826</v>
      </c>
      <c r="B289" s="523" t="s">
        <v>827</v>
      </c>
      <c r="C289" s="523" t="s">
        <v>287</v>
      </c>
      <c r="D289" s="522">
        <v>2272</v>
      </c>
      <c r="E289" s="522">
        <v>2238</v>
      </c>
      <c r="F289" s="522">
        <v>2</v>
      </c>
      <c r="G289" s="522">
        <v>2</v>
      </c>
      <c r="H289" s="522">
        <v>92</v>
      </c>
      <c r="I289" s="522">
        <v>21</v>
      </c>
      <c r="J289" s="522">
        <v>307</v>
      </c>
      <c r="K289" s="522">
        <v>270</v>
      </c>
      <c r="L289" s="522">
        <v>181</v>
      </c>
      <c r="M289" s="522">
        <v>0</v>
      </c>
      <c r="N289" s="522">
        <v>2854</v>
      </c>
      <c r="O289" s="522">
        <v>2531</v>
      </c>
      <c r="P289" s="522">
        <v>2673</v>
      </c>
      <c r="Q289" s="522">
        <v>0</v>
      </c>
      <c r="R289" s="523">
        <v>7</v>
      </c>
      <c r="S289" s="523">
        <v>18</v>
      </c>
      <c r="T289" s="523">
        <v>120</v>
      </c>
      <c r="U289" s="523">
        <v>2734</v>
      </c>
      <c r="V289" s="522">
        <v>2260</v>
      </c>
      <c r="W289" s="522">
        <v>14</v>
      </c>
      <c r="X289" s="522">
        <v>15</v>
      </c>
      <c r="Y289" s="522">
        <v>29</v>
      </c>
      <c r="Z289" s="524">
        <v>98.5</v>
      </c>
      <c r="AA289" s="524">
        <v>98.08</v>
      </c>
      <c r="AB289" s="524">
        <v>3.8</v>
      </c>
      <c r="AC289" s="524">
        <v>101.18</v>
      </c>
      <c r="AD289" s="524">
        <v>1942</v>
      </c>
      <c r="AE289" s="525">
        <v>93.11</v>
      </c>
      <c r="AF289" s="525">
        <v>87.79</v>
      </c>
      <c r="AG289" s="525">
        <v>28.2</v>
      </c>
      <c r="AH289" s="525">
        <v>120.54</v>
      </c>
      <c r="AI289" s="525">
        <v>291</v>
      </c>
      <c r="AJ289" s="525">
        <v>137.69999999999999</v>
      </c>
      <c r="AK289" s="525">
        <v>292</v>
      </c>
      <c r="AL289" s="525">
        <v>0</v>
      </c>
      <c r="AM289" s="525">
        <v>0</v>
      </c>
      <c r="AN289" s="526">
        <v>71.680000000000007</v>
      </c>
      <c r="AO289" s="526">
        <v>69.760000000000005</v>
      </c>
      <c r="AP289" s="526">
        <v>3.34</v>
      </c>
      <c r="AQ289" s="526">
        <v>75.02</v>
      </c>
      <c r="AR289" s="522">
        <v>2</v>
      </c>
      <c r="AS289" s="526">
        <v>0</v>
      </c>
      <c r="AT289" s="526">
        <v>0</v>
      </c>
      <c r="AU289" s="526">
        <v>0</v>
      </c>
      <c r="AV289" s="526">
        <v>0</v>
      </c>
      <c r="AW289" s="522">
        <v>0</v>
      </c>
      <c r="AX289" s="526">
        <v>82.54</v>
      </c>
      <c r="AY289" s="526">
        <v>81.790000000000006</v>
      </c>
      <c r="AZ289" s="526">
        <v>4.54</v>
      </c>
      <c r="BA289" s="526">
        <v>86.58</v>
      </c>
      <c r="BB289" s="522">
        <v>498</v>
      </c>
      <c r="BC289" s="526">
        <v>97.85</v>
      </c>
      <c r="BD289" s="526">
        <v>97.37</v>
      </c>
      <c r="BE289" s="526">
        <v>3.85</v>
      </c>
      <c r="BF289" s="526">
        <v>100.69</v>
      </c>
      <c r="BG289" s="522">
        <v>761</v>
      </c>
      <c r="BH289" s="526">
        <v>109.86</v>
      </c>
      <c r="BI289" s="526">
        <v>109.8</v>
      </c>
      <c r="BJ289" s="526">
        <v>2.85</v>
      </c>
      <c r="BK289" s="526">
        <v>111.35</v>
      </c>
      <c r="BL289" s="522">
        <v>647</v>
      </c>
      <c r="BM289" s="526">
        <v>130.47999999999999</v>
      </c>
      <c r="BN289" s="526">
        <v>130.08000000000001</v>
      </c>
      <c r="BO289" s="526">
        <v>2.58</v>
      </c>
      <c r="BP289" s="526">
        <v>132.13999999999999</v>
      </c>
      <c r="BQ289" s="522">
        <v>31</v>
      </c>
      <c r="BR289" s="526">
        <v>149.19999999999999</v>
      </c>
      <c r="BS289" s="526">
        <v>146.46</v>
      </c>
      <c r="BT289" s="526">
        <v>1.79</v>
      </c>
      <c r="BU289" s="526">
        <v>150.38999999999999</v>
      </c>
      <c r="BV289" s="522">
        <v>3</v>
      </c>
      <c r="BW289" s="526">
        <v>0</v>
      </c>
      <c r="BX289" s="526">
        <v>0</v>
      </c>
      <c r="BY289" s="526">
        <v>0</v>
      </c>
      <c r="BZ289" s="526">
        <v>0</v>
      </c>
      <c r="CA289" s="522">
        <v>0</v>
      </c>
      <c r="CB289" s="526">
        <v>98.53</v>
      </c>
      <c r="CC289" s="526">
        <v>98.11</v>
      </c>
      <c r="CD289" s="526">
        <v>3.8</v>
      </c>
      <c r="CE289" s="526">
        <v>101.2</v>
      </c>
      <c r="CF289" s="522">
        <v>1940</v>
      </c>
      <c r="CG289" s="526">
        <v>98.5</v>
      </c>
      <c r="CH289" s="526">
        <v>98.08</v>
      </c>
      <c r="CI289" s="526">
        <v>3.8</v>
      </c>
      <c r="CJ289" s="526">
        <v>101.18</v>
      </c>
      <c r="CK289" s="522">
        <v>1942</v>
      </c>
      <c r="CL289" s="526">
        <v>124.03</v>
      </c>
      <c r="CM289" s="526">
        <v>70.92</v>
      </c>
      <c r="CN289" s="526">
        <v>35.42</v>
      </c>
      <c r="CO289" s="526">
        <v>156.72</v>
      </c>
      <c r="CP289" s="522">
        <v>13</v>
      </c>
      <c r="CQ289" s="526">
        <v>76.36</v>
      </c>
      <c r="CR289" s="526">
        <v>71.099999999999994</v>
      </c>
      <c r="CS289" s="526">
        <v>10.48</v>
      </c>
      <c r="CT289" s="526">
        <v>86.84</v>
      </c>
      <c r="CU289" s="522">
        <v>6</v>
      </c>
      <c r="CV289" s="526">
        <v>88.77</v>
      </c>
      <c r="CW289" s="526">
        <v>86.15</v>
      </c>
      <c r="CX289" s="526">
        <v>26.98</v>
      </c>
      <c r="CY289" s="526">
        <v>114.91</v>
      </c>
      <c r="CZ289" s="522">
        <v>224</v>
      </c>
      <c r="DA289" s="526">
        <v>107.1</v>
      </c>
      <c r="DB289" s="526">
        <v>101.39</v>
      </c>
      <c r="DC289" s="526">
        <v>34.11</v>
      </c>
      <c r="DD289" s="526">
        <v>141.19999999999999</v>
      </c>
      <c r="DE289" s="522">
        <v>48</v>
      </c>
      <c r="DF289" s="526">
        <v>0</v>
      </c>
      <c r="DG289" s="526">
        <v>0</v>
      </c>
      <c r="DH289" s="526">
        <v>0</v>
      </c>
      <c r="DI289" s="526">
        <v>0</v>
      </c>
      <c r="DJ289" s="522">
        <v>0</v>
      </c>
      <c r="DK289" s="526">
        <v>0</v>
      </c>
      <c r="DL289" s="526">
        <v>0</v>
      </c>
      <c r="DM289" s="526">
        <v>0</v>
      </c>
      <c r="DN289" s="526">
        <v>0</v>
      </c>
      <c r="DO289" s="522">
        <v>0</v>
      </c>
      <c r="DP289" s="526">
        <v>91.67</v>
      </c>
      <c r="DQ289" s="526">
        <v>88.45</v>
      </c>
      <c r="DR289" s="526">
        <v>27.88</v>
      </c>
      <c r="DS289" s="526">
        <v>118.84</v>
      </c>
      <c r="DT289" s="522">
        <v>278</v>
      </c>
      <c r="DU289" s="526">
        <v>93.11</v>
      </c>
      <c r="DV289" s="526">
        <v>87.79</v>
      </c>
      <c r="DW289" s="526">
        <v>28.2</v>
      </c>
      <c r="DX289" s="526">
        <v>120.54</v>
      </c>
      <c r="DY289" s="522">
        <v>291</v>
      </c>
      <c r="DZ289" s="526">
        <v>0</v>
      </c>
      <c r="EA289" s="526">
        <v>0</v>
      </c>
      <c r="EB289" s="526">
        <v>0</v>
      </c>
      <c r="EC289" s="522">
        <v>0</v>
      </c>
      <c r="ED289" s="526">
        <v>110.88</v>
      </c>
      <c r="EE289" s="522">
        <v>70</v>
      </c>
      <c r="EF289" s="526">
        <v>134.97999999999999</v>
      </c>
      <c r="EG289" s="522">
        <v>127</v>
      </c>
      <c r="EH289" s="526">
        <v>157.21</v>
      </c>
      <c r="EI289" s="522">
        <v>88</v>
      </c>
      <c r="EJ289" s="526">
        <v>209.79</v>
      </c>
      <c r="EK289" s="522">
        <v>7</v>
      </c>
      <c r="EL289" s="526">
        <v>0</v>
      </c>
      <c r="EM289" s="522">
        <v>0</v>
      </c>
      <c r="EN289" s="526">
        <v>0</v>
      </c>
      <c r="EO289" s="522">
        <v>0</v>
      </c>
      <c r="EP289" s="526">
        <v>137.69999999999999</v>
      </c>
      <c r="EQ289" s="522">
        <v>292</v>
      </c>
      <c r="ER289" s="526">
        <v>137.69999999999999</v>
      </c>
      <c r="ES289" s="522">
        <v>292</v>
      </c>
      <c r="ET289" s="526">
        <v>0</v>
      </c>
      <c r="EU289" s="526">
        <v>0</v>
      </c>
      <c r="EV289" s="526">
        <v>0</v>
      </c>
      <c r="EW289" s="522">
        <v>0</v>
      </c>
      <c r="EX289" s="526">
        <v>0</v>
      </c>
      <c r="EY289" s="522">
        <v>0</v>
      </c>
      <c r="EZ289" s="526">
        <v>0</v>
      </c>
      <c r="FA289" s="522">
        <v>0</v>
      </c>
      <c r="FB289" s="526">
        <v>0</v>
      </c>
      <c r="FC289" s="522">
        <v>0</v>
      </c>
      <c r="FD289" s="526">
        <v>0</v>
      </c>
      <c r="FE289" s="522">
        <v>0</v>
      </c>
      <c r="FF289" s="526">
        <v>0</v>
      </c>
      <c r="FG289" s="522">
        <v>0</v>
      </c>
      <c r="FH289" s="526">
        <v>0</v>
      </c>
      <c r="FI289" s="522">
        <v>0</v>
      </c>
      <c r="FJ289" s="522">
        <v>9</v>
      </c>
      <c r="FK289" s="522">
        <v>1</v>
      </c>
      <c r="FL289" s="522">
        <v>1</v>
      </c>
      <c r="FM289" s="522">
        <v>0</v>
      </c>
      <c r="FN289" s="522">
        <v>0</v>
      </c>
      <c r="FO289" s="522">
        <v>0</v>
      </c>
      <c r="FP289" s="522">
        <v>17</v>
      </c>
      <c r="FQ289" s="522">
        <v>24</v>
      </c>
      <c r="FR289" s="522">
        <v>2</v>
      </c>
    </row>
    <row r="290" spans="1:174" x14ac:dyDescent="0.25">
      <c r="A290" s="523" t="s">
        <v>828</v>
      </c>
      <c r="B290" s="523" t="s">
        <v>829</v>
      </c>
      <c r="C290" s="523" t="s">
        <v>286</v>
      </c>
      <c r="D290" s="522">
        <v>1163</v>
      </c>
      <c r="E290" s="522">
        <v>1148</v>
      </c>
      <c r="F290" s="522">
        <v>0</v>
      </c>
      <c r="G290" s="522">
        <v>0</v>
      </c>
      <c r="H290" s="522">
        <v>218</v>
      </c>
      <c r="I290" s="522">
        <v>83</v>
      </c>
      <c r="J290" s="522">
        <v>371</v>
      </c>
      <c r="K290" s="522">
        <v>365</v>
      </c>
      <c r="L290" s="522">
        <v>568</v>
      </c>
      <c r="M290" s="522">
        <v>0</v>
      </c>
      <c r="N290" s="522">
        <v>2320</v>
      </c>
      <c r="O290" s="522">
        <v>1596</v>
      </c>
      <c r="P290" s="522">
        <v>1752</v>
      </c>
      <c r="Q290" s="522">
        <v>3</v>
      </c>
      <c r="R290" s="523">
        <v>9</v>
      </c>
      <c r="S290" s="523">
        <v>25</v>
      </c>
      <c r="T290" s="523">
        <v>106</v>
      </c>
      <c r="U290" s="523">
        <v>2214</v>
      </c>
      <c r="V290" s="522">
        <v>1148</v>
      </c>
      <c r="W290" s="522">
        <v>7</v>
      </c>
      <c r="X290" s="522">
        <v>1</v>
      </c>
      <c r="Y290" s="522">
        <v>8</v>
      </c>
      <c r="Z290" s="524">
        <v>104.53</v>
      </c>
      <c r="AA290" s="524">
        <v>105.01</v>
      </c>
      <c r="AB290" s="524">
        <v>6.68</v>
      </c>
      <c r="AC290" s="524">
        <v>108.87</v>
      </c>
      <c r="AD290" s="524">
        <v>537</v>
      </c>
      <c r="AE290" s="525">
        <v>119.2</v>
      </c>
      <c r="AF290" s="525">
        <v>97.49</v>
      </c>
      <c r="AG290" s="525">
        <v>62.4</v>
      </c>
      <c r="AH290" s="525">
        <v>180.94</v>
      </c>
      <c r="AI290" s="525">
        <v>474</v>
      </c>
      <c r="AJ290" s="525">
        <v>122.44</v>
      </c>
      <c r="AK290" s="525">
        <v>554</v>
      </c>
      <c r="AL290" s="525">
        <v>471.06</v>
      </c>
      <c r="AM290" s="525">
        <v>24</v>
      </c>
      <c r="AN290" s="526">
        <v>0</v>
      </c>
      <c r="AO290" s="526">
        <v>0</v>
      </c>
      <c r="AP290" s="526">
        <v>0</v>
      </c>
      <c r="AQ290" s="526">
        <v>0</v>
      </c>
      <c r="AR290" s="522">
        <v>0</v>
      </c>
      <c r="AS290" s="526">
        <v>77.41</v>
      </c>
      <c r="AT290" s="526">
        <v>76.569999999999993</v>
      </c>
      <c r="AU290" s="526">
        <v>11.18</v>
      </c>
      <c r="AV290" s="526">
        <v>88.59</v>
      </c>
      <c r="AW290" s="522">
        <v>2</v>
      </c>
      <c r="AX290" s="526">
        <v>86.2</v>
      </c>
      <c r="AY290" s="526">
        <v>87.31</v>
      </c>
      <c r="AZ290" s="526">
        <v>13.21</v>
      </c>
      <c r="BA290" s="526">
        <v>97.49</v>
      </c>
      <c r="BB290" s="522">
        <v>110</v>
      </c>
      <c r="BC290" s="526">
        <v>106.34</v>
      </c>
      <c r="BD290" s="526">
        <v>106.2</v>
      </c>
      <c r="BE290" s="526">
        <v>5.24</v>
      </c>
      <c r="BF290" s="526">
        <v>110.11</v>
      </c>
      <c r="BG290" s="522">
        <v>224</v>
      </c>
      <c r="BH290" s="526">
        <v>112.8</v>
      </c>
      <c r="BI290" s="526">
        <v>113.7</v>
      </c>
      <c r="BJ290" s="526">
        <v>2.33</v>
      </c>
      <c r="BK290" s="526">
        <v>113.94</v>
      </c>
      <c r="BL290" s="522">
        <v>182</v>
      </c>
      <c r="BM290" s="526">
        <v>113.03</v>
      </c>
      <c r="BN290" s="526">
        <v>113.13</v>
      </c>
      <c r="BO290" s="526">
        <v>5.65</v>
      </c>
      <c r="BP290" s="526">
        <v>113.92</v>
      </c>
      <c r="BQ290" s="522">
        <v>19</v>
      </c>
      <c r="BR290" s="526">
        <v>0</v>
      </c>
      <c r="BS290" s="526">
        <v>0</v>
      </c>
      <c r="BT290" s="526">
        <v>0</v>
      </c>
      <c r="BU290" s="526">
        <v>0</v>
      </c>
      <c r="BV290" s="522">
        <v>0</v>
      </c>
      <c r="BW290" s="526">
        <v>0</v>
      </c>
      <c r="BX290" s="526">
        <v>0</v>
      </c>
      <c r="BY290" s="526">
        <v>0</v>
      </c>
      <c r="BZ290" s="526">
        <v>0</v>
      </c>
      <c r="CA290" s="522">
        <v>0</v>
      </c>
      <c r="CB290" s="526">
        <v>104.53</v>
      </c>
      <c r="CC290" s="526">
        <v>105.01</v>
      </c>
      <c r="CD290" s="526">
        <v>6.68</v>
      </c>
      <c r="CE290" s="526">
        <v>108.87</v>
      </c>
      <c r="CF290" s="522">
        <v>537</v>
      </c>
      <c r="CG290" s="526">
        <v>104.53</v>
      </c>
      <c r="CH290" s="526">
        <v>105.01</v>
      </c>
      <c r="CI290" s="526">
        <v>6.68</v>
      </c>
      <c r="CJ290" s="526">
        <v>108.87</v>
      </c>
      <c r="CK290" s="522">
        <v>537</v>
      </c>
      <c r="CL290" s="526">
        <v>183.97</v>
      </c>
      <c r="CM290" s="526">
        <v>91.84</v>
      </c>
      <c r="CN290" s="526">
        <v>94.85</v>
      </c>
      <c r="CO290" s="526">
        <v>277.74</v>
      </c>
      <c r="CP290" s="522">
        <v>88</v>
      </c>
      <c r="CQ290" s="526">
        <v>89.57</v>
      </c>
      <c r="CR290" s="526">
        <v>84</v>
      </c>
      <c r="CS290" s="526">
        <v>56.41</v>
      </c>
      <c r="CT290" s="526">
        <v>145.97</v>
      </c>
      <c r="CU290" s="522">
        <v>41</v>
      </c>
      <c r="CV290" s="526">
        <v>100.74</v>
      </c>
      <c r="CW290" s="526">
        <v>93.95</v>
      </c>
      <c r="CX290" s="526">
        <v>49.43</v>
      </c>
      <c r="CY290" s="526">
        <v>149.35</v>
      </c>
      <c r="CZ290" s="522">
        <v>241</v>
      </c>
      <c r="DA290" s="526">
        <v>117.37</v>
      </c>
      <c r="DB290" s="526">
        <v>110.77</v>
      </c>
      <c r="DC290" s="526">
        <v>68.56</v>
      </c>
      <c r="DD290" s="526">
        <v>185.94</v>
      </c>
      <c r="DE290" s="522">
        <v>99</v>
      </c>
      <c r="DF290" s="526">
        <v>148.05000000000001</v>
      </c>
      <c r="DG290" s="526">
        <v>137.18</v>
      </c>
      <c r="DH290" s="526">
        <v>39.69</v>
      </c>
      <c r="DI290" s="526">
        <v>187.73</v>
      </c>
      <c r="DJ290" s="522">
        <v>5</v>
      </c>
      <c r="DK290" s="526">
        <v>0</v>
      </c>
      <c r="DL290" s="526">
        <v>0</v>
      </c>
      <c r="DM290" s="526">
        <v>0</v>
      </c>
      <c r="DN290" s="526">
        <v>0</v>
      </c>
      <c r="DO290" s="522">
        <v>0</v>
      </c>
      <c r="DP290" s="526">
        <v>104.43</v>
      </c>
      <c r="DQ290" s="526">
        <v>97.76</v>
      </c>
      <c r="DR290" s="526">
        <v>55.01</v>
      </c>
      <c r="DS290" s="526">
        <v>158.87</v>
      </c>
      <c r="DT290" s="522">
        <v>386</v>
      </c>
      <c r="DU290" s="526">
        <v>119.2</v>
      </c>
      <c r="DV290" s="526">
        <v>97.49</v>
      </c>
      <c r="DW290" s="526">
        <v>62.4</v>
      </c>
      <c r="DX290" s="526">
        <v>180.94</v>
      </c>
      <c r="DY290" s="522">
        <v>474</v>
      </c>
      <c r="DZ290" s="526">
        <v>0</v>
      </c>
      <c r="EA290" s="526">
        <v>0</v>
      </c>
      <c r="EB290" s="526">
        <v>0</v>
      </c>
      <c r="EC290" s="522">
        <v>0</v>
      </c>
      <c r="ED290" s="526">
        <v>102.11</v>
      </c>
      <c r="EE290" s="522">
        <v>93</v>
      </c>
      <c r="EF290" s="526">
        <v>121.11</v>
      </c>
      <c r="EG290" s="522">
        <v>285</v>
      </c>
      <c r="EH290" s="526">
        <v>132.69999999999999</v>
      </c>
      <c r="EI290" s="522">
        <v>163</v>
      </c>
      <c r="EJ290" s="526">
        <v>166.85</v>
      </c>
      <c r="EK290" s="522">
        <v>12</v>
      </c>
      <c r="EL290" s="526">
        <v>189.96</v>
      </c>
      <c r="EM290" s="522">
        <v>1</v>
      </c>
      <c r="EN290" s="526">
        <v>0</v>
      </c>
      <c r="EO290" s="522">
        <v>0</v>
      </c>
      <c r="EP290" s="526">
        <v>122.44</v>
      </c>
      <c r="EQ290" s="522">
        <v>554</v>
      </c>
      <c r="ER290" s="526">
        <v>122.44</v>
      </c>
      <c r="ES290" s="522">
        <v>554</v>
      </c>
      <c r="ET290" s="526">
        <v>0</v>
      </c>
      <c r="EU290" s="526">
        <v>0</v>
      </c>
      <c r="EV290" s="526">
        <v>0</v>
      </c>
      <c r="EW290" s="522">
        <v>0</v>
      </c>
      <c r="EX290" s="526">
        <v>471.06</v>
      </c>
      <c r="EY290" s="522">
        <v>24</v>
      </c>
      <c r="EZ290" s="526">
        <v>0</v>
      </c>
      <c r="FA290" s="522">
        <v>0</v>
      </c>
      <c r="FB290" s="526">
        <v>0</v>
      </c>
      <c r="FC290" s="522">
        <v>0</v>
      </c>
      <c r="FD290" s="526">
        <v>0</v>
      </c>
      <c r="FE290" s="522">
        <v>0</v>
      </c>
      <c r="FF290" s="526">
        <v>471.06</v>
      </c>
      <c r="FG290" s="522">
        <v>24</v>
      </c>
      <c r="FH290" s="526">
        <v>471.06</v>
      </c>
      <c r="FI290" s="522">
        <v>24</v>
      </c>
      <c r="FJ290" s="522">
        <v>0</v>
      </c>
      <c r="FK290" s="522">
        <v>0</v>
      </c>
      <c r="FL290" s="522">
        <v>0</v>
      </c>
      <c r="FM290" s="522">
        <v>0</v>
      </c>
      <c r="FN290" s="522">
        <v>0</v>
      </c>
      <c r="FO290" s="522">
        <v>0</v>
      </c>
      <c r="FP290" s="522">
        <v>0</v>
      </c>
      <c r="FQ290" s="522">
        <v>23</v>
      </c>
      <c r="FR290" s="522">
        <v>4</v>
      </c>
    </row>
    <row r="291" spans="1:174" x14ac:dyDescent="0.25">
      <c r="A291" s="523" t="s">
        <v>830</v>
      </c>
      <c r="B291" s="523" t="s">
        <v>831</v>
      </c>
      <c r="C291" s="523" t="s">
        <v>282</v>
      </c>
      <c r="D291" s="522">
        <v>4473</v>
      </c>
      <c r="E291" s="522">
        <v>4446</v>
      </c>
      <c r="F291" s="522">
        <v>0</v>
      </c>
      <c r="G291" s="522">
        <v>0</v>
      </c>
      <c r="H291" s="522">
        <v>95</v>
      </c>
      <c r="I291" s="522">
        <v>58</v>
      </c>
      <c r="J291" s="522">
        <v>423</v>
      </c>
      <c r="K291" s="522">
        <v>423</v>
      </c>
      <c r="L291" s="522">
        <v>459</v>
      </c>
      <c r="M291" s="522">
        <v>1</v>
      </c>
      <c r="N291" s="522">
        <v>5450</v>
      </c>
      <c r="O291" s="522">
        <v>4928</v>
      </c>
      <c r="P291" s="522">
        <v>4991</v>
      </c>
      <c r="Q291" s="522">
        <v>2</v>
      </c>
      <c r="R291" s="523">
        <v>4</v>
      </c>
      <c r="S291" s="523">
        <v>17</v>
      </c>
      <c r="T291" s="523">
        <v>111</v>
      </c>
      <c r="U291" s="523">
        <v>5339</v>
      </c>
      <c r="V291" s="522">
        <v>4396</v>
      </c>
      <c r="W291" s="522">
        <v>31</v>
      </c>
      <c r="X291" s="522">
        <v>10</v>
      </c>
      <c r="Y291" s="522">
        <v>41</v>
      </c>
      <c r="Z291" s="524">
        <v>90.91</v>
      </c>
      <c r="AA291" s="524">
        <v>93.96</v>
      </c>
      <c r="AB291" s="524">
        <v>5.23</v>
      </c>
      <c r="AC291" s="524">
        <v>92.87</v>
      </c>
      <c r="AD291" s="524">
        <v>3712</v>
      </c>
      <c r="AE291" s="525">
        <v>89.66</v>
      </c>
      <c r="AF291" s="525">
        <v>86.78</v>
      </c>
      <c r="AG291" s="525">
        <v>36.99</v>
      </c>
      <c r="AH291" s="525">
        <v>126.57</v>
      </c>
      <c r="AI291" s="525">
        <v>460</v>
      </c>
      <c r="AJ291" s="525">
        <v>118.48</v>
      </c>
      <c r="AK291" s="525">
        <v>738</v>
      </c>
      <c r="AL291" s="525">
        <v>134.63999999999999</v>
      </c>
      <c r="AM291" s="525">
        <v>36</v>
      </c>
      <c r="AN291" s="526">
        <v>0</v>
      </c>
      <c r="AO291" s="526">
        <v>0</v>
      </c>
      <c r="AP291" s="526">
        <v>0</v>
      </c>
      <c r="AQ291" s="526">
        <v>0</v>
      </c>
      <c r="AR291" s="522">
        <v>0</v>
      </c>
      <c r="AS291" s="526">
        <v>64.38</v>
      </c>
      <c r="AT291" s="526">
        <v>66.84</v>
      </c>
      <c r="AU291" s="526">
        <v>0.55000000000000004</v>
      </c>
      <c r="AV291" s="526">
        <v>64.66</v>
      </c>
      <c r="AW291" s="522">
        <v>2</v>
      </c>
      <c r="AX291" s="526">
        <v>73.930000000000007</v>
      </c>
      <c r="AY291" s="526">
        <v>76.28</v>
      </c>
      <c r="AZ291" s="526">
        <v>6.92</v>
      </c>
      <c r="BA291" s="526">
        <v>78.959999999999994</v>
      </c>
      <c r="BB291" s="522">
        <v>590</v>
      </c>
      <c r="BC291" s="526">
        <v>90.59</v>
      </c>
      <c r="BD291" s="526">
        <v>93.46</v>
      </c>
      <c r="BE291" s="526">
        <v>4.92</v>
      </c>
      <c r="BF291" s="526">
        <v>92.67</v>
      </c>
      <c r="BG291" s="522">
        <v>1651</v>
      </c>
      <c r="BH291" s="526">
        <v>97.59</v>
      </c>
      <c r="BI291" s="526">
        <v>101.15</v>
      </c>
      <c r="BJ291" s="526">
        <v>3.49</v>
      </c>
      <c r="BK291" s="526">
        <v>98.22</v>
      </c>
      <c r="BL291" s="522">
        <v>1388</v>
      </c>
      <c r="BM291" s="526">
        <v>107.11</v>
      </c>
      <c r="BN291" s="526">
        <v>110.32</v>
      </c>
      <c r="BO291" s="526">
        <v>1.02</v>
      </c>
      <c r="BP291" s="526">
        <v>107.3</v>
      </c>
      <c r="BQ291" s="522">
        <v>80</v>
      </c>
      <c r="BR291" s="526">
        <v>105.56</v>
      </c>
      <c r="BS291" s="526">
        <v>109.61</v>
      </c>
      <c r="BT291" s="526">
        <v>0</v>
      </c>
      <c r="BU291" s="526">
        <v>105.56</v>
      </c>
      <c r="BV291" s="522">
        <v>1</v>
      </c>
      <c r="BW291" s="526">
        <v>0</v>
      </c>
      <c r="BX291" s="526">
        <v>0</v>
      </c>
      <c r="BY291" s="526">
        <v>0</v>
      </c>
      <c r="BZ291" s="526">
        <v>0</v>
      </c>
      <c r="CA291" s="522">
        <v>0</v>
      </c>
      <c r="CB291" s="526">
        <v>90.91</v>
      </c>
      <c r="CC291" s="526">
        <v>93.96</v>
      </c>
      <c r="CD291" s="526">
        <v>5.23</v>
      </c>
      <c r="CE291" s="526">
        <v>92.87</v>
      </c>
      <c r="CF291" s="522">
        <v>3712</v>
      </c>
      <c r="CG291" s="526">
        <v>90.91</v>
      </c>
      <c r="CH291" s="526">
        <v>93.96</v>
      </c>
      <c r="CI291" s="526">
        <v>5.23</v>
      </c>
      <c r="CJ291" s="526">
        <v>92.87</v>
      </c>
      <c r="CK291" s="522">
        <v>3712</v>
      </c>
      <c r="CL291" s="526">
        <v>161.22</v>
      </c>
      <c r="CM291" s="526">
        <v>87.95</v>
      </c>
      <c r="CN291" s="526">
        <v>103.3</v>
      </c>
      <c r="CO291" s="526">
        <v>260.39</v>
      </c>
      <c r="CP291" s="522">
        <v>25</v>
      </c>
      <c r="CQ291" s="526">
        <v>69.099999999999994</v>
      </c>
      <c r="CR291" s="526">
        <v>69.099999999999994</v>
      </c>
      <c r="CS291" s="526">
        <v>39.31</v>
      </c>
      <c r="CT291" s="526">
        <v>108.41</v>
      </c>
      <c r="CU291" s="522">
        <v>1</v>
      </c>
      <c r="CV291" s="526">
        <v>77.819999999999993</v>
      </c>
      <c r="CW291" s="526">
        <v>79.39</v>
      </c>
      <c r="CX291" s="526">
        <v>42.96</v>
      </c>
      <c r="CY291" s="526">
        <v>120.78</v>
      </c>
      <c r="CZ291" s="522">
        <v>282</v>
      </c>
      <c r="DA291" s="526">
        <v>100.17</v>
      </c>
      <c r="DB291" s="526">
        <v>100.59</v>
      </c>
      <c r="DC291" s="526">
        <v>15.4</v>
      </c>
      <c r="DD291" s="526">
        <v>115.57</v>
      </c>
      <c r="DE291" s="522">
        <v>147</v>
      </c>
      <c r="DF291" s="526">
        <v>95.15</v>
      </c>
      <c r="DG291" s="526">
        <v>98.17</v>
      </c>
      <c r="DH291" s="526">
        <v>16.43</v>
      </c>
      <c r="DI291" s="526">
        <v>111.58</v>
      </c>
      <c r="DJ291" s="522">
        <v>5</v>
      </c>
      <c r="DK291" s="526">
        <v>0</v>
      </c>
      <c r="DL291" s="526">
        <v>0</v>
      </c>
      <c r="DM291" s="526">
        <v>0</v>
      </c>
      <c r="DN291" s="526">
        <v>0</v>
      </c>
      <c r="DO291" s="522">
        <v>0</v>
      </c>
      <c r="DP291" s="526">
        <v>85.55</v>
      </c>
      <c r="DQ291" s="526">
        <v>86.75</v>
      </c>
      <c r="DR291" s="526">
        <v>33.33</v>
      </c>
      <c r="DS291" s="526">
        <v>118.88</v>
      </c>
      <c r="DT291" s="522">
        <v>435</v>
      </c>
      <c r="DU291" s="526">
        <v>89.66</v>
      </c>
      <c r="DV291" s="526">
        <v>86.78</v>
      </c>
      <c r="DW291" s="526">
        <v>36.99</v>
      </c>
      <c r="DX291" s="526">
        <v>126.57</v>
      </c>
      <c r="DY291" s="522">
        <v>460</v>
      </c>
      <c r="DZ291" s="526">
        <v>0</v>
      </c>
      <c r="EA291" s="526">
        <v>0</v>
      </c>
      <c r="EB291" s="526">
        <v>77.16</v>
      </c>
      <c r="EC291" s="522">
        <v>2</v>
      </c>
      <c r="ED291" s="526">
        <v>107.17</v>
      </c>
      <c r="EE291" s="522">
        <v>175</v>
      </c>
      <c r="EF291" s="526">
        <v>118.79</v>
      </c>
      <c r="EG291" s="522">
        <v>396</v>
      </c>
      <c r="EH291" s="526">
        <v>128.44</v>
      </c>
      <c r="EI291" s="522">
        <v>152</v>
      </c>
      <c r="EJ291" s="526">
        <v>150.93</v>
      </c>
      <c r="EK291" s="522">
        <v>13</v>
      </c>
      <c r="EL291" s="526">
        <v>0</v>
      </c>
      <c r="EM291" s="522">
        <v>0</v>
      </c>
      <c r="EN291" s="526">
        <v>0</v>
      </c>
      <c r="EO291" s="522">
        <v>0</v>
      </c>
      <c r="EP291" s="526">
        <v>118.48</v>
      </c>
      <c r="EQ291" s="522">
        <v>738</v>
      </c>
      <c r="ER291" s="526">
        <v>118.48</v>
      </c>
      <c r="ES291" s="522">
        <v>738</v>
      </c>
      <c r="ET291" s="526">
        <v>0</v>
      </c>
      <c r="EU291" s="526">
        <v>0</v>
      </c>
      <c r="EV291" s="526">
        <v>0</v>
      </c>
      <c r="EW291" s="522">
        <v>0</v>
      </c>
      <c r="EX291" s="526">
        <v>135.57</v>
      </c>
      <c r="EY291" s="522">
        <v>24</v>
      </c>
      <c r="EZ291" s="526">
        <v>132.79</v>
      </c>
      <c r="FA291" s="522">
        <v>12</v>
      </c>
      <c r="FB291" s="526">
        <v>0</v>
      </c>
      <c r="FC291" s="522">
        <v>0</v>
      </c>
      <c r="FD291" s="526">
        <v>0</v>
      </c>
      <c r="FE291" s="522">
        <v>0</v>
      </c>
      <c r="FF291" s="526">
        <v>134.63999999999999</v>
      </c>
      <c r="FG291" s="522">
        <v>36</v>
      </c>
      <c r="FH291" s="526">
        <v>134.63999999999999</v>
      </c>
      <c r="FI291" s="522">
        <v>36</v>
      </c>
      <c r="FJ291" s="522">
        <v>3</v>
      </c>
      <c r="FK291" s="522">
        <v>2</v>
      </c>
      <c r="FL291" s="522">
        <v>1</v>
      </c>
      <c r="FM291" s="522">
        <v>0</v>
      </c>
      <c r="FN291" s="522">
        <v>1</v>
      </c>
      <c r="FO291" s="522">
        <v>0</v>
      </c>
      <c r="FP291" s="522">
        <v>1</v>
      </c>
      <c r="FQ291" s="522">
        <v>53</v>
      </c>
      <c r="FR291" s="522">
        <v>4</v>
      </c>
    </row>
    <row r="292" spans="1:174" x14ac:dyDescent="0.25">
      <c r="A292" s="523" t="s">
        <v>10560</v>
      </c>
      <c r="B292" s="523" t="s">
        <v>10561</v>
      </c>
      <c r="C292" s="523" t="s">
        <v>282</v>
      </c>
      <c r="D292" s="522">
        <v>12224</v>
      </c>
      <c r="E292" s="522">
        <v>12275</v>
      </c>
      <c r="F292" s="522">
        <v>9</v>
      </c>
      <c r="G292" s="522">
        <v>9</v>
      </c>
      <c r="H292" s="522">
        <v>489</v>
      </c>
      <c r="I292" s="522">
        <v>309</v>
      </c>
      <c r="J292" s="522">
        <v>2255</v>
      </c>
      <c r="K292" s="522">
        <v>2249</v>
      </c>
      <c r="L292" s="522">
        <v>2936</v>
      </c>
      <c r="M292" s="522">
        <v>309</v>
      </c>
      <c r="N292" s="522">
        <v>17913</v>
      </c>
      <c r="O292" s="522">
        <v>15151</v>
      </c>
      <c r="P292" s="522">
        <v>14977</v>
      </c>
      <c r="Q292" s="522">
        <v>19</v>
      </c>
      <c r="R292" s="523">
        <v>6</v>
      </c>
      <c r="S292" s="523">
        <v>44</v>
      </c>
      <c r="T292" s="523">
        <v>316</v>
      </c>
      <c r="U292" s="523">
        <v>17597</v>
      </c>
      <c r="V292" s="522">
        <v>11947</v>
      </c>
      <c r="W292" s="522">
        <v>114</v>
      </c>
      <c r="X292" s="522">
        <v>100</v>
      </c>
      <c r="Y292" s="522">
        <v>214</v>
      </c>
      <c r="Z292" s="524">
        <v>111.9</v>
      </c>
      <c r="AA292" s="524">
        <v>114.67</v>
      </c>
      <c r="AB292" s="524">
        <v>8.25</v>
      </c>
      <c r="AC292" s="524">
        <v>117.24</v>
      </c>
      <c r="AD292" s="524">
        <v>9454</v>
      </c>
      <c r="AE292" s="525">
        <v>111.59</v>
      </c>
      <c r="AF292" s="525">
        <v>105.72</v>
      </c>
      <c r="AG292" s="525">
        <v>43.5</v>
      </c>
      <c r="AH292" s="525">
        <v>146.53</v>
      </c>
      <c r="AI292" s="525">
        <v>2706</v>
      </c>
      <c r="AJ292" s="525">
        <v>149.84</v>
      </c>
      <c r="AK292" s="525">
        <v>2562</v>
      </c>
      <c r="AL292" s="525">
        <v>126.36</v>
      </c>
      <c r="AM292" s="525">
        <v>1</v>
      </c>
      <c r="AN292" s="526">
        <v>98.7</v>
      </c>
      <c r="AO292" s="526">
        <v>102.47</v>
      </c>
      <c r="AP292" s="526">
        <v>161.86000000000001</v>
      </c>
      <c r="AQ292" s="526">
        <v>260.56</v>
      </c>
      <c r="AR292" s="522">
        <v>9</v>
      </c>
      <c r="AS292" s="526">
        <v>77.94</v>
      </c>
      <c r="AT292" s="526">
        <v>78.75</v>
      </c>
      <c r="AU292" s="526">
        <v>20.68</v>
      </c>
      <c r="AV292" s="526">
        <v>98.62</v>
      </c>
      <c r="AW292" s="522">
        <v>75</v>
      </c>
      <c r="AX292" s="526">
        <v>94.34</v>
      </c>
      <c r="AY292" s="526">
        <v>94.77</v>
      </c>
      <c r="AZ292" s="526">
        <v>14.31</v>
      </c>
      <c r="BA292" s="526">
        <v>107.4</v>
      </c>
      <c r="BB292" s="522">
        <v>1560</v>
      </c>
      <c r="BC292" s="526">
        <v>109.14</v>
      </c>
      <c r="BD292" s="526">
        <v>110.7</v>
      </c>
      <c r="BE292" s="526">
        <v>8.93</v>
      </c>
      <c r="BF292" s="526">
        <v>114.68</v>
      </c>
      <c r="BG292" s="522">
        <v>3705</v>
      </c>
      <c r="BH292" s="526">
        <v>120.1</v>
      </c>
      <c r="BI292" s="526">
        <v>124.89</v>
      </c>
      <c r="BJ292" s="526">
        <v>2.64</v>
      </c>
      <c r="BK292" s="526">
        <v>121.57</v>
      </c>
      <c r="BL292" s="522">
        <v>3664</v>
      </c>
      <c r="BM292" s="526">
        <v>134.77000000000001</v>
      </c>
      <c r="BN292" s="526">
        <v>139.33000000000001</v>
      </c>
      <c r="BO292" s="526">
        <v>4.3600000000000003</v>
      </c>
      <c r="BP292" s="526">
        <v>137.44</v>
      </c>
      <c r="BQ292" s="522">
        <v>432</v>
      </c>
      <c r="BR292" s="526">
        <v>147.47999999999999</v>
      </c>
      <c r="BS292" s="526">
        <v>161.63</v>
      </c>
      <c r="BT292" s="526">
        <v>5.0999999999999996</v>
      </c>
      <c r="BU292" s="526">
        <v>150.03</v>
      </c>
      <c r="BV292" s="522">
        <v>8</v>
      </c>
      <c r="BW292" s="526">
        <v>183</v>
      </c>
      <c r="BX292" s="526">
        <v>181.02</v>
      </c>
      <c r="BY292" s="526">
        <v>7.79</v>
      </c>
      <c r="BZ292" s="526">
        <v>190.79</v>
      </c>
      <c r="CA292" s="522">
        <v>1</v>
      </c>
      <c r="CB292" s="526">
        <v>111.91</v>
      </c>
      <c r="CC292" s="526">
        <v>114.68</v>
      </c>
      <c r="CD292" s="526">
        <v>8.02</v>
      </c>
      <c r="CE292" s="526">
        <v>117.1</v>
      </c>
      <c r="CF292" s="522">
        <v>9445</v>
      </c>
      <c r="CG292" s="526">
        <v>111.9</v>
      </c>
      <c r="CH292" s="526">
        <v>114.67</v>
      </c>
      <c r="CI292" s="526">
        <v>8.25</v>
      </c>
      <c r="CJ292" s="526">
        <v>117.24</v>
      </c>
      <c r="CK292" s="522">
        <v>9454</v>
      </c>
      <c r="CL292" s="526">
        <v>109.66</v>
      </c>
      <c r="CM292" s="526">
        <v>79.180000000000007</v>
      </c>
      <c r="CN292" s="526">
        <v>127.3</v>
      </c>
      <c r="CO292" s="526">
        <v>196.97</v>
      </c>
      <c r="CP292" s="522">
        <v>191</v>
      </c>
      <c r="CQ292" s="526">
        <v>80.400000000000006</v>
      </c>
      <c r="CR292" s="526">
        <v>74.900000000000006</v>
      </c>
      <c r="CS292" s="526">
        <v>107.78</v>
      </c>
      <c r="CT292" s="526">
        <v>167.04</v>
      </c>
      <c r="CU292" s="522">
        <v>102</v>
      </c>
      <c r="CV292" s="526">
        <v>107.11</v>
      </c>
      <c r="CW292" s="526">
        <v>101.27</v>
      </c>
      <c r="CX292" s="526">
        <v>51.45</v>
      </c>
      <c r="CY292" s="526">
        <v>153.31</v>
      </c>
      <c r="CZ292" s="522">
        <v>1226</v>
      </c>
      <c r="DA292" s="526">
        <v>118.91</v>
      </c>
      <c r="DB292" s="526">
        <v>114.76</v>
      </c>
      <c r="DC292" s="526">
        <v>14.22</v>
      </c>
      <c r="DD292" s="526">
        <v>129.19999999999999</v>
      </c>
      <c r="DE292" s="522">
        <v>1164</v>
      </c>
      <c r="DF292" s="526">
        <v>113.4</v>
      </c>
      <c r="DG292" s="526">
        <v>127.36</v>
      </c>
      <c r="DH292" s="526">
        <v>14.13</v>
      </c>
      <c r="DI292" s="526">
        <v>123.11</v>
      </c>
      <c r="DJ292" s="522">
        <v>16</v>
      </c>
      <c r="DK292" s="526">
        <v>184.15</v>
      </c>
      <c r="DL292" s="526">
        <v>141.5</v>
      </c>
      <c r="DM292" s="526">
        <v>45.04</v>
      </c>
      <c r="DN292" s="526">
        <v>216.32</v>
      </c>
      <c r="DO292" s="522">
        <v>7</v>
      </c>
      <c r="DP292" s="526">
        <v>111.74</v>
      </c>
      <c r="DQ292" s="526">
        <v>106.86</v>
      </c>
      <c r="DR292" s="526">
        <v>38.130000000000003</v>
      </c>
      <c r="DS292" s="526">
        <v>142.69</v>
      </c>
      <c r="DT292" s="522">
        <v>2515</v>
      </c>
      <c r="DU292" s="526">
        <v>111.59</v>
      </c>
      <c r="DV292" s="526">
        <v>105.72</v>
      </c>
      <c r="DW292" s="526">
        <v>43.5</v>
      </c>
      <c r="DX292" s="526">
        <v>146.53</v>
      </c>
      <c r="DY292" s="522">
        <v>2706</v>
      </c>
      <c r="DZ292" s="526">
        <v>0</v>
      </c>
      <c r="EA292" s="526">
        <v>0</v>
      </c>
      <c r="EB292" s="526">
        <v>0</v>
      </c>
      <c r="EC292" s="522">
        <v>0</v>
      </c>
      <c r="ED292" s="526">
        <v>122.58</v>
      </c>
      <c r="EE292" s="522">
        <v>529</v>
      </c>
      <c r="EF292" s="526">
        <v>148.79</v>
      </c>
      <c r="EG292" s="522">
        <v>1300</v>
      </c>
      <c r="EH292" s="526">
        <v>166.49</v>
      </c>
      <c r="EI292" s="522">
        <v>646</v>
      </c>
      <c r="EJ292" s="526">
        <v>207.64</v>
      </c>
      <c r="EK292" s="522">
        <v>87</v>
      </c>
      <c r="EL292" s="526">
        <v>0</v>
      </c>
      <c r="EM292" s="522">
        <v>0</v>
      </c>
      <c r="EN292" s="526">
        <v>0</v>
      </c>
      <c r="EO292" s="522">
        <v>0</v>
      </c>
      <c r="EP292" s="526">
        <v>149.84</v>
      </c>
      <c r="EQ292" s="522">
        <v>2562</v>
      </c>
      <c r="ER292" s="526">
        <v>149.84</v>
      </c>
      <c r="ES292" s="522">
        <v>2562</v>
      </c>
      <c r="ET292" s="526">
        <v>0</v>
      </c>
      <c r="EU292" s="526">
        <v>0</v>
      </c>
      <c r="EV292" s="526">
        <v>0</v>
      </c>
      <c r="EW292" s="522">
        <v>0</v>
      </c>
      <c r="EX292" s="526">
        <v>126.36</v>
      </c>
      <c r="EY292" s="522">
        <v>1</v>
      </c>
      <c r="EZ292" s="526">
        <v>0</v>
      </c>
      <c r="FA292" s="522">
        <v>0</v>
      </c>
      <c r="FB292" s="526">
        <v>0</v>
      </c>
      <c r="FC292" s="522">
        <v>0</v>
      </c>
      <c r="FD292" s="526">
        <v>0</v>
      </c>
      <c r="FE292" s="522">
        <v>0</v>
      </c>
      <c r="FF292" s="526">
        <v>126.36</v>
      </c>
      <c r="FG292" s="522">
        <v>1</v>
      </c>
      <c r="FH292" s="526">
        <v>126.36</v>
      </c>
      <c r="FI292" s="522">
        <v>1</v>
      </c>
      <c r="FJ292" s="522">
        <v>15</v>
      </c>
      <c r="FK292" s="522">
        <v>13</v>
      </c>
      <c r="FL292" s="522">
        <v>10</v>
      </c>
      <c r="FM292" s="522">
        <v>0</v>
      </c>
      <c r="FN292" s="522">
        <v>3</v>
      </c>
      <c r="FO292" s="522">
        <v>0</v>
      </c>
      <c r="FP292" s="522">
        <v>3</v>
      </c>
      <c r="FQ292" s="522">
        <v>184</v>
      </c>
      <c r="FR292" s="522">
        <v>31</v>
      </c>
    </row>
    <row r="293" spans="1:174" x14ac:dyDescent="0.25">
      <c r="A293" s="523" t="s">
        <v>832</v>
      </c>
      <c r="B293" s="523" t="s">
        <v>833</v>
      </c>
      <c r="C293" s="523" t="s">
        <v>2</v>
      </c>
      <c r="D293" s="522">
        <v>6587</v>
      </c>
      <c r="E293" s="522">
        <v>6587</v>
      </c>
      <c r="F293" s="522">
        <v>2</v>
      </c>
      <c r="G293" s="522">
        <v>2</v>
      </c>
      <c r="H293" s="522">
        <v>137</v>
      </c>
      <c r="I293" s="522">
        <v>109</v>
      </c>
      <c r="J293" s="522">
        <v>219</v>
      </c>
      <c r="K293" s="522">
        <v>219</v>
      </c>
      <c r="L293" s="522">
        <v>1173</v>
      </c>
      <c r="M293" s="522">
        <v>21</v>
      </c>
      <c r="N293" s="522">
        <v>8118</v>
      </c>
      <c r="O293" s="522">
        <v>6938</v>
      </c>
      <c r="P293" s="522">
        <v>6945</v>
      </c>
      <c r="Q293" s="522">
        <v>16</v>
      </c>
      <c r="R293" s="523">
        <v>2</v>
      </c>
      <c r="S293" s="523">
        <v>27</v>
      </c>
      <c r="T293" s="523">
        <v>36</v>
      </c>
      <c r="U293" s="523">
        <v>8082</v>
      </c>
      <c r="V293" s="522">
        <v>6555</v>
      </c>
      <c r="W293" s="522">
        <v>52</v>
      </c>
      <c r="X293" s="522">
        <v>111</v>
      </c>
      <c r="Y293" s="522">
        <v>163</v>
      </c>
      <c r="Z293" s="524">
        <v>126.54</v>
      </c>
      <c r="AA293" s="524">
        <v>132.59</v>
      </c>
      <c r="AB293" s="524">
        <v>4.82</v>
      </c>
      <c r="AC293" s="524">
        <v>128.86000000000001</v>
      </c>
      <c r="AD293" s="524">
        <v>5007</v>
      </c>
      <c r="AE293" s="525">
        <v>120.33</v>
      </c>
      <c r="AF293" s="525">
        <v>108.75</v>
      </c>
      <c r="AG293" s="525">
        <v>79.56</v>
      </c>
      <c r="AH293" s="525">
        <v>196.02</v>
      </c>
      <c r="AI293" s="525">
        <v>350</v>
      </c>
      <c r="AJ293" s="525">
        <v>196.93</v>
      </c>
      <c r="AK293" s="525">
        <v>1582</v>
      </c>
      <c r="AL293" s="525">
        <v>183.51</v>
      </c>
      <c r="AM293" s="525">
        <v>2</v>
      </c>
      <c r="AN293" s="526">
        <v>90.96</v>
      </c>
      <c r="AO293" s="526">
        <v>96.52</v>
      </c>
      <c r="AP293" s="526">
        <v>1.38</v>
      </c>
      <c r="AQ293" s="526">
        <v>92.34</v>
      </c>
      <c r="AR293" s="522">
        <v>2</v>
      </c>
      <c r="AS293" s="526">
        <v>94.74</v>
      </c>
      <c r="AT293" s="526">
        <v>97.15</v>
      </c>
      <c r="AU293" s="526">
        <v>11.48</v>
      </c>
      <c r="AV293" s="526">
        <v>105.07</v>
      </c>
      <c r="AW293" s="522">
        <v>30</v>
      </c>
      <c r="AX293" s="526">
        <v>106.17</v>
      </c>
      <c r="AY293" s="526">
        <v>112.09</v>
      </c>
      <c r="AZ293" s="526">
        <v>9.66</v>
      </c>
      <c r="BA293" s="526">
        <v>112.96</v>
      </c>
      <c r="BB293" s="522">
        <v>698</v>
      </c>
      <c r="BC293" s="526">
        <v>124.93</v>
      </c>
      <c r="BD293" s="526">
        <v>129.44999999999999</v>
      </c>
      <c r="BE293" s="526">
        <v>4.57</v>
      </c>
      <c r="BF293" s="526">
        <v>127.22</v>
      </c>
      <c r="BG293" s="522">
        <v>2220</v>
      </c>
      <c r="BH293" s="526">
        <v>134.76</v>
      </c>
      <c r="BI293" s="526">
        <v>142.63</v>
      </c>
      <c r="BJ293" s="526">
        <v>1.76</v>
      </c>
      <c r="BK293" s="526">
        <v>135.43</v>
      </c>
      <c r="BL293" s="522">
        <v>1936</v>
      </c>
      <c r="BM293" s="526">
        <v>150.06</v>
      </c>
      <c r="BN293" s="526">
        <v>156.62</v>
      </c>
      <c r="BO293" s="526">
        <v>4.55</v>
      </c>
      <c r="BP293" s="526">
        <v>151.61000000000001</v>
      </c>
      <c r="BQ293" s="522">
        <v>117</v>
      </c>
      <c r="BR293" s="526">
        <v>163.80000000000001</v>
      </c>
      <c r="BS293" s="526">
        <v>171.02</v>
      </c>
      <c r="BT293" s="526">
        <v>2.7</v>
      </c>
      <c r="BU293" s="526">
        <v>164.47</v>
      </c>
      <c r="BV293" s="522">
        <v>4</v>
      </c>
      <c r="BW293" s="526">
        <v>0</v>
      </c>
      <c r="BX293" s="526">
        <v>0</v>
      </c>
      <c r="BY293" s="526">
        <v>0</v>
      </c>
      <c r="BZ293" s="526">
        <v>0</v>
      </c>
      <c r="CA293" s="522">
        <v>0</v>
      </c>
      <c r="CB293" s="526">
        <v>126.55</v>
      </c>
      <c r="CC293" s="526">
        <v>132.6</v>
      </c>
      <c r="CD293" s="526">
        <v>4.83</v>
      </c>
      <c r="CE293" s="526">
        <v>128.87</v>
      </c>
      <c r="CF293" s="522">
        <v>5005</v>
      </c>
      <c r="CG293" s="526">
        <v>126.54</v>
      </c>
      <c r="CH293" s="526">
        <v>132.59</v>
      </c>
      <c r="CI293" s="526">
        <v>4.82</v>
      </c>
      <c r="CJ293" s="526">
        <v>128.86000000000001</v>
      </c>
      <c r="CK293" s="522">
        <v>5007</v>
      </c>
      <c r="CL293" s="526">
        <v>98.6</v>
      </c>
      <c r="CM293" s="526">
        <v>96.03</v>
      </c>
      <c r="CN293" s="526">
        <v>120.98</v>
      </c>
      <c r="CO293" s="526">
        <v>208.21</v>
      </c>
      <c r="CP293" s="522">
        <v>117</v>
      </c>
      <c r="CQ293" s="526">
        <v>101.19</v>
      </c>
      <c r="CR293" s="526">
        <v>92.76</v>
      </c>
      <c r="CS293" s="526">
        <v>53.92</v>
      </c>
      <c r="CT293" s="526">
        <v>152.27000000000001</v>
      </c>
      <c r="CU293" s="522">
        <v>19</v>
      </c>
      <c r="CV293" s="526">
        <v>131.4</v>
      </c>
      <c r="CW293" s="526">
        <v>113.01</v>
      </c>
      <c r="CX293" s="526">
        <v>53.12</v>
      </c>
      <c r="CY293" s="526">
        <v>182.98</v>
      </c>
      <c r="CZ293" s="522">
        <v>138</v>
      </c>
      <c r="DA293" s="526">
        <v>138.61000000000001</v>
      </c>
      <c r="DB293" s="526">
        <v>124.93</v>
      </c>
      <c r="DC293" s="526">
        <v>75.47</v>
      </c>
      <c r="DD293" s="526">
        <v>214.08</v>
      </c>
      <c r="DE293" s="522">
        <v>73</v>
      </c>
      <c r="DF293" s="526">
        <v>135.11000000000001</v>
      </c>
      <c r="DG293" s="526">
        <v>126.67</v>
      </c>
      <c r="DH293" s="526">
        <v>34.799999999999997</v>
      </c>
      <c r="DI293" s="526">
        <v>158.31</v>
      </c>
      <c r="DJ293" s="522">
        <v>3</v>
      </c>
      <c r="DK293" s="526">
        <v>0</v>
      </c>
      <c r="DL293" s="526">
        <v>0</v>
      </c>
      <c r="DM293" s="526">
        <v>0</v>
      </c>
      <c r="DN293" s="526">
        <v>0</v>
      </c>
      <c r="DO293" s="522">
        <v>0</v>
      </c>
      <c r="DP293" s="526">
        <v>131.24</v>
      </c>
      <c r="DQ293" s="526">
        <v>115.22</v>
      </c>
      <c r="DR293" s="526">
        <v>60.21</v>
      </c>
      <c r="DS293" s="526">
        <v>189.9</v>
      </c>
      <c r="DT293" s="522">
        <v>233</v>
      </c>
      <c r="DU293" s="526">
        <v>120.33</v>
      </c>
      <c r="DV293" s="526">
        <v>108.75</v>
      </c>
      <c r="DW293" s="526">
        <v>79.56</v>
      </c>
      <c r="DX293" s="526">
        <v>196.02</v>
      </c>
      <c r="DY293" s="522">
        <v>350</v>
      </c>
      <c r="DZ293" s="526">
        <v>0</v>
      </c>
      <c r="EA293" s="526">
        <v>0</v>
      </c>
      <c r="EB293" s="526">
        <v>21.4</v>
      </c>
      <c r="EC293" s="522">
        <v>1</v>
      </c>
      <c r="ED293" s="526">
        <v>152.85</v>
      </c>
      <c r="EE293" s="522">
        <v>256</v>
      </c>
      <c r="EF293" s="526">
        <v>191.83</v>
      </c>
      <c r="EG293" s="522">
        <v>830</v>
      </c>
      <c r="EH293" s="526">
        <v>224.5</v>
      </c>
      <c r="EI293" s="522">
        <v>458</v>
      </c>
      <c r="EJ293" s="526">
        <v>279.83</v>
      </c>
      <c r="EK293" s="522">
        <v>37</v>
      </c>
      <c r="EL293" s="526">
        <v>0</v>
      </c>
      <c r="EM293" s="522">
        <v>0</v>
      </c>
      <c r="EN293" s="526">
        <v>0</v>
      </c>
      <c r="EO293" s="522">
        <v>0</v>
      </c>
      <c r="EP293" s="526">
        <v>196.93</v>
      </c>
      <c r="EQ293" s="522">
        <v>1582</v>
      </c>
      <c r="ER293" s="526">
        <v>196.93</v>
      </c>
      <c r="ES293" s="522">
        <v>1582</v>
      </c>
      <c r="ET293" s="526">
        <v>0</v>
      </c>
      <c r="EU293" s="526">
        <v>0</v>
      </c>
      <c r="EV293" s="526">
        <v>0</v>
      </c>
      <c r="EW293" s="522">
        <v>0</v>
      </c>
      <c r="EX293" s="526">
        <v>0</v>
      </c>
      <c r="EY293" s="522">
        <v>0</v>
      </c>
      <c r="EZ293" s="526">
        <v>183.51</v>
      </c>
      <c r="FA293" s="522">
        <v>2</v>
      </c>
      <c r="FB293" s="526">
        <v>0</v>
      </c>
      <c r="FC293" s="522">
        <v>0</v>
      </c>
      <c r="FD293" s="526">
        <v>0</v>
      </c>
      <c r="FE293" s="522">
        <v>0</v>
      </c>
      <c r="FF293" s="526">
        <v>183.51</v>
      </c>
      <c r="FG293" s="522">
        <v>2</v>
      </c>
      <c r="FH293" s="526">
        <v>183.51</v>
      </c>
      <c r="FI293" s="522">
        <v>2</v>
      </c>
      <c r="FJ293" s="522">
        <v>0</v>
      </c>
      <c r="FK293" s="522">
        <v>1</v>
      </c>
      <c r="FL293" s="522">
        <v>1</v>
      </c>
      <c r="FM293" s="522">
        <v>0</v>
      </c>
      <c r="FN293" s="522">
        <v>0</v>
      </c>
      <c r="FO293" s="522">
        <v>0</v>
      </c>
      <c r="FP293" s="522">
        <v>5</v>
      </c>
      <c r="FQ293" s="522">
        <v>81</v>
      </c>
      <c r="FR293" s="522">
        <v>13</v>
      </c>
    </row>
    <row r="294" spans="1:174" x14ac:dyDescent="0.25">
      <c r="A294" s="523" t="s">
        <v>834</v>
      </c>
      <c r="B294" s="523" t="s">
        <v>835</v>
      </c>
      <c r="C294" s="523" t="s">
        <v>283</v>
      </c>
      <c r="D294" s="522">
        <v>11736</v>
      </c>
      <c r="E294" s="522">
        <v>11687</v>
      </c>
      <c r="F294" s="522">
        <v>0</v>
      </c>
      <c r="G294" s="522">
        <v>0</v>
      </c>
      <c r="H294" s="522">
        <v>416</v>
      </c>
      <c r="I294" s="522">
        <v>380</v>
      </c>
      <c r="J294" s="522">
        <v>768</v>
      </c>
      <c r="K294" s="522">
        <v>761</v>
      </c>
      <c r="L294" s="522">
        <v>1010</v>
      </c>
      <c r="M294" s="522">
        <v>100</v>
      </c>
      <c r="N294" s="522">
        <v>13930</v>
      </c>
      <c r="O294" s="522">
        <v>12928</v>
      </c>
      <c r="P294" s="522">
        <v>12920</v>
      </c>
      <c r="Q294" s="522">
        <v>103</v>
      </c>
      <c r="R294" s="523">
        <v>6</v>
      </c>
      <c r="S294" s="523">
        <v>33</v>
      </c>
      <c r="T294" s="523">
        <v>69</v>
      </c>
      <c r="U294" s="523">
        <v>13861</v>
      </c>
      <c r="V294" s="522">
        <v>11687</v>
      </c>
      <c r="W294" s="522">
        <v>31</v>
      </c>
      <c r="X294" s="522">
        <v>54</v>
      </c>
      <c r="Y294" s="522">
        <v>85</v>
      </c>
      <c r="Z294" s="524">
        <v>103.39</v>
      </c>
      <c r="AA294" s="524">
        <v>105.6</v>
      </c>
      <c r="AB294" s="524">
        <v>7.72</v>
      </c>
      <c r="AC294" s="524">
        <v>106.14</v>
      </c>
      <c r="AD294" s="524">
        <v>9267</v>
      </c>
      <c r="AE294" s="525">
        <v>104.02</v>
      </c>
      <c r="AF294" s="525">
        <v>99.91</v>
      </c>
      <c r="AG294" s="525">
        <v>75.2</v>
      </c>
      <c r="AH294" s="525">
        <v>176.45</v>
      </c>
      <c r="AI294" s="525">
        <v>1164</v>
      </c>
      <c r="AJ294" s="525">
        <v>152.47999999999999</v>
      </c>
      <c r="AK294" s="525">
        <v>2185</v>
      </c>
      <c r="AL294" s="525">
        <v>0</v>
      </c>
      <c r="AM294" s="525">
        <v>0</v>
      </c>
      <c r="AN294" s="526">
        <v>0</v>
      </c>
      <c r="AO294" s="526">
        <v>0</v>
      </c>
      <c r="AP294" s="526">
        <v>0</v>
      </c>
      <c r="AQ294" s="526">
        <v>0</v>
      </c>
      <c r="AR294" s="522">
        <v>0</v>
      </c>
      <c r="AS294" s="526">
        <v>76.48</v>
      </c>
      <c r="AT294" s="526">
        <v>78.3</v>
      </c>
      <c r="AU294" s="526">
        <v>8.42</v>
      </c>
      <c r="AV294" s="526">
        <v>82.06</v>
      </c>
      <c r="AW294" s="522">
        <v>136</v>
      </c>
      <c r="AX294" s="526">
        <v>88.74</v>
      </c>
      <c r="AY294" s="526">
        <v>90.18</v>
      </c>
      <c r="AZ294" s="526">
        <v>10.59</v>
      </c>
      <c r="BA294" s="526">
        <v>95.55</v>
      </c>
      <c r="BB294" s="522">
        <v>2185</v>
      </c>
      <c r="BC294" s="526">
        <v>102.75</v>
      </c>
      <c r="BD294" s="526">
        <v>104.76</v>
      </c>
      <c r="BE294" s="526">
        <v>6.24</v>
      </c>
      <c r="BF294" s="526">
        <v>105.04</v>
      </c>
      <c r="BG294" s="522">
        <v>3535</v>
      </c>
      <c r="BH294" s="526">
        <v>113.43</v>
      </c>
      <c r="BI294" s="526">
        <v>116.34</v>
      </c>
      <c r="BJ294" s="526">
        <v>3.57</v>
      </c>
      <c r="BK294" s="526">
        <v>113.95</v>
      </c>
      <c r="BL294" s="522">
        <v>3130</v>
      </c>
      <c r="BM294" s="526">
        <v>125.99</v>
      </c>
      <c r="BN294" s="526">
        <v>129</v>
      </c>
      <c r="BO294" s="526">
        <v>3.23</v>
      </c>
      <c r="BP294" s="526">
        <v>126.67</v>
      </c>
      <c r="BQ294" s="522">
        <v>269</v>
      </c>
      <c r="BR294" s="526">
        <v>139.07</v>
      </c>
      <c r="BS294" s="526">
        <v>143.53</v>
      </c>
      <c r="BT294" s="526">
        <v>4.38</v>
      </c>
      <c r="BU294" s="526">
        <v>140.82</v>
      </c>
      <c r="BV294" s="522">
        <v>10</v>
      </c>
      <c r="BW294" s="526">
        <v>123.67</v>
      </c>
      <c r="BX294" s="526">
        <v>132.94</v>
      </c>
      <c r="BY294" s="526">
        <v>0</v>
      </c>
      <c r="BZ294" s="526">
        <v>123.67</v>
      </c>
      <c r="CA294" s="522">
        <v>2</v>
      </c>
      <c r="CB294" s="526">
        <v>103.39</v>
      </c>
      <c r="CC294" s="526">
        <v>105.6</v>
      </c>
      <c r="CD294" s="526">
        <v>7.72</v>
      </c>
      <c r="CE294" s="526">
        <v>106.14</v>
      </c>
      <c r="CF294" s="522">
        <v>9267</v>
      </c>
      <c r="CG294" s="526">
        <v>103.39</v>
      </c>
      <c r="CH294" s="526">
        <v>105.6</v>
      </c>
      <c r="CI294" s="526">
        <v>7.72</v>
      </c>
      <c r="CJ294" s="526">
        <v>106.14</v>
      </c>
      <c r="CK294" s="522">
        <v>9267</v>
      </c>
      <c r="CL294" s="526">
        <v>96.6</v>
      </c>
      <c r="CM294" s="526">
        <v>90.22</v>
      </c>
      <c r="CN294" s="526">
        <v>134.30000000000001</v>
      </c>
      <c r="CO294" s="526">
        <v>228.91</v>
      </c>
      <c r="CP294" s="522">
        <v>202</v>
      </c>
      <c r="CQ294" s="526">
        <v>88.37</v>
      </c>
      <c r="CR294" s="526">
        <v>84.23</v>
      </c>
      <c r="CS294" s="526">
        <v>102.67</v>
      </c>
      <c r="CT294" s="526">
        <v>173.93</v>
      </c>
      <c r="CU294" s="522">
        <v>72</v>
      </c>
      <c r="CV294" s="526">
        <v>104.52</v>
      </c>
      <c r="CW294" s="526">
        <v>100.73</v>
      </c>
      <c r="CX294" s="526">
        <v>59.8</v>
      </c>
      <c r="CY294" s="526">
        <v>162.54</v>
      </c>
      <c r="CZ294" s="522">
        <v>772</v>
      </c>
      <c r="DA294" s="526">
        <v>123.1</v>
      </c>
      <c r="DB294" s="526">
        <v>119.36</v>
      </c>
      <c r="DC294" s="526">
        <v>58.67</v>
      </c>
      <c r="DD294" s="526">
        <v>179.76</v>
      </c>
      <c r="DE294" s="522">
        <v>117</v>
      </c>
      <c r="DF294" s="526">
        <v>109.51</v>
      </c>
      <c r="DG294" s="526">
        <v>109.51</v>
      </c>
      <c r="DH294" s="526">
        <v>0</v>
      </c>
      <c r="DI294" s="526">
        <v>109.51</v>
      </c>
      <c r="DJ294" s="522">
        <v>1</v>
      </c>
      <c r="DK294" s="526">
        <v>0</v>
      </c>
      <c r="DL294" s="526">
        <v>0</v>
      </c>
      <c r="DM294" s="526">
        <v>0</v>
      </c>
      <c r="DN294" s="526">
        <v>0</v>
      </c>
      <c r="DO294" s="522">
        <v>0</v>
      </c>
      <c r="DP294" s="526">
        <v>105.58</v>
      </c>
      <c r="DQ294" s="526">
        <v>101.76</v>
      </c>
      <c r="DR294" s="526">
        <v>62.45</v>
      </c>
      <c r="DS294" s="526">
        <v>165.43</v>
      </c>
      <c r="DT294" s="522">
        <v>962</v>
      </c>
      <c r="DU294" s="526">
        <v>104.02</v>
      </c>
      <c r="DV294" s="526">
        <v>99.91</v>
      </c>
      <c r="DW294" s="526">
        <v>75.2</v>
      </c>
      <c r="DX294" s="526">
        <v>176.45</v>
      </c>
      <c r="DY294" s="522">
        <v>1164</v>
      </c>
      <c r="DZ294" s="526">
        <v>0</v>
      </c>
      <c r="EA294" s="526">
        <v>0</v>
      </c>
      <c r="EB294" s="526">
        <v>116.44</v>
      </c>
      <c r="EC294" s="522">
        <v>4</v>
      </c>
      <c r="ED294" s="526">
        <v>126.91</v>
      </c>
      <c r="EE294" s="522">
        <v>569</v>
      </c>
      <c r="EF294" s="526">
        <v>150.96</v>
      </c>
      <c r="EG294" s="522">
        <v>1006</v>
      </c>
      <c r="EH294" s="526">
        <v>170.91</v>
      </c>
      <c r="EI294" s="522">
        <v>515</v>
      </c>
      <c r="EJ294" s="526">
        <v>224.31</v>
      </c>
      <c r="EK294" s="522">
        <v>87</v>
      </c>
      <c r="EL294" s="526">
        <v>275.31</v>
      </c>
      <c r="EM294" s="522">
        <v>4</v>
      </c>
      <c r="EN294" s="526">
        <v>0</v>
      </c>
      <c r="EO294" s="522">
        <v>0</v>
      </c>
      <c r="EP294" s="526">
        <v>152.47999999999999</v>
      </c>
      <c r="EQ294" s="522">
        <v>2185</v>
      </c>
      <c r="ER294" s="526">
        <v>152.47999999999999</v>
      </c>
      <c r="ES294" s="522">
        <v>2185</v>
      </c>
      <c r="ET294" s="526">
        <v>0</v>
      </c>
      <c r="EU294" s="526">
        <v>0</v>
      </c>
      <c r="EV294" s="526">
        <v>0</v>
      </c>
      <c r="EW294" s="522">
        <v>0</v>
      </c>
      <c r="EX294" s="526">
        <v>0</v>
      </c>
      <c r="EY294" s="522">
        <v>0</v>
      </c>
      <c r="EZ294" s="526">
        <v>0</v>
      </c>
      <c r="FA294" s="522">
        <v>0</v>
      </c>
      <c r="FB294" s="526">
        <v>0</v>
      </c>
      <c r="FC294" s="522">
        <v>0</v>
      </c>
      <c r="FD294" s="526">
        <v>0</v>
      </c>
      <c r="FE294" s="522">
        <v>0</v>
      </c>
      <c r="FF294" s="526">
        <v>0</v>
      </c>
      <c r="FG294" s="522">
        <v>0</v>
      </c>
      <c r="FH294" s="526">
        <v>0</v>
      </c>
      <c r="FI294" s="522">
        <v>0</v>
      </c>
      <c r="FJ294" s="522">
        <v>4</v>
      </c>
      <c r="FK294" s="522">
        <v>13</v>
      </c>
      <c r="FL294" s="522">
        <v>13</v>
      </c>
      <c r="FM294" s="522">
        <v>0</v>
      </c>
      <c r="FN294" s="522">
        <v>0</v>
      </c>
      <c r="FO294" s="522">
        <v>0</v>
      </c>
      <c r="FP294" s="522">
        <v>21</v>
      </c>
      <c r="FQ294" s="522">
        <v>37</v>
      </c>
      <c r="FR294" s="522">
        <v>9</v>
      </c>
    </row>
    <row r="295" spans="1:174" x14ac:dyDescent="0.25">
      <c r="A295" s="523" t="s">
        <v>836</v>
      </c>
      <c r="B295" s="523" t="s">
        <v>837</v>
      </c>
      <c r="C295" s="523" t="s">
        <v>284</v>
      </c>
      <c r="D295" s="522">
        <v>13059</v>
      </c>
      <c r="E295" s="522">
        <v>11539</v>
      </c>
      <c r="F295" s="522">
        <v>424</v>
      </c>
      <c r="G295" s="522">
        <v>411</v>
      </c>
      <c r="H295" s="522">
        <v>1364</v>
      </c>
      <c r="I295" s="522">
        <v>857</v>
      </c>
      <c r="J295" s="522">
        <v>915</v>
      </c>
      <c r="K295" s="522">
        <v>874</v>
      </c>
      <c r="L295" s="522">
        <v>493</v>
      </c>
      <c r="M295" s="522">
        <v>0</v>
      </c>
      <c r="N295" s="522">
        <v>16255</v>
      </c>
      <c r="O295" s="522">
        <v>13681</v>
      </c>
      <c r="P295" s="522">
        <v>15762</v>
      </c>
      <c r="Q295" s="522">
        <v>95</v>
      </c>
      <c r="R295" s="523">
        <v>19</v>
      </c>
      <c r="S295" s="523">
        <v>20</v>
      </c>
      <c r="T295" s="523">
        <v>2061</v>
      </c>
      <c r="U295" s="523">
        <v>14194</v>
      </c>
      <c r="V295" s="522">
        <v>11244</v>
      </c>
      <c r="W295" s="522">
        <v>55</v>
      </c>
      <c r="X295" s="522">
        <v>105</v>
      </c>
      <c r="Y295" s="522">
        <v>160</v>
      </c>
      <c r="Z295" s="524">
        <v>151.12</v>
      </c>
      <c r="AA295" s="524">
        <v>170.89</v>
      </c>
      <c r="AB295" s="524">
        <v>16.47</v>
      </c>
      <c r="AC295" s="524">
        <v>165.54</v>
      </c>
      <c r="AD295" s="524">
        <v>8052</v>
      </c>
      <c r="AE295" s="525">
        <v>137.79</v>
      </c>
      <c r="AF295" s="525">
        <v>134.01</v>
      </c>
      <c r="AG295" s="525">
        <v>89.41</v>
      </c>
      <c r="AH295" s="525">
        <v>210.73</v>
      </c>
      <c r="AI295" s="525">
        <v>1862</v>
      </c>
      <c r="AJ295" s="525">
        <v>240.82</v>
      </c>
      <c r="AK295" s="525">
        <v>620</v>
      </c>
      <c r="AL295" s="525">
        <v>290.24</v>
      </c>
      <c r="AM295" s="525">
        <v>77</v>
      </c>
      <c r="AN295" s="526">
        <v>195.94</v>
      </c>
      <c r="AO295" s="526">
        <v>173.02</v>
      </c>
      <c r="AP295" s="526">
        <v>3.37</v>
      </c>
      <c r="AQ295" s="526">
        <v>196.57</v>
      </c>
      <c r="AR295" s="522">
        <v>16</v>
      </c>
      <c r="AS295" s="526">
        <v>122.72</v>
      </c>
      <c r="AT295" s="526">
        <v>130.13</v>
      </c>
      <c r="AU295" s="526">
        <v>12.57</v>
      </c>
      <c r="AV295" s="526">
        <v>134.74</v>
      </c>
      <c r="AW295" s="522">
        <v>202</v>
      </c>
      <c r="AX295" s="526">
        <v>140.66999999999999</v>
      </c>
      <c r="AY295" s="526">
        <v>154.26</v>
      </c>
      <c r="AZ295" s="526">
        <v>12.31</v>
      </c>
      <c r="BA295" s="526">
        <v>151.65</v>
      </c>
      <c r="BB295" s="522">
        <v>3352</v>
      </c>
      <c r="BC295" s="526">
        <v>155.72999999999999</v>
      </c>
      <c r="BD295" s="526">
        <v>177.88</v>
      </c>
      <c r="BE295" s="526">
        <v>18.97</v>
      </c>
      <c r="BF295" s="526">
        <v>172.31</v>
      </c>
      <c r="BG295" s="522">
        <v>2914</v>
      </c>
      <c r="BH295" s="526">
        <v>166.41</v>
      </c>
      <c r="BI295" s="526">
        <v>196.7</v>
      </c>
      <c r="BJ295" s="526">
        <v>22.61</v>
      </c>
      <c r="BK295" s="526">
        <v>185.99</v>
      </c>
      <c r="BL295" s="522">
        <v>1347</v>
      </c>
      <c r="BM295" s="526">
        <v>177.3</v>
      </c>
      <c r="BN295" s="526">
        <v>209.16</v>
      </c>
      <c r="BO295" s="526">
        <v>14.01</v>
      </c>
      <c r="BP295" s="526">
        <v>186.97</v>
      </c>
      <c r="BQ295" s="522">
        <v>200</v>
      </c>
      <c r="BR295" s="526">
        <v>187.7</v>
      </c>
      <c r="BS295" s="526">
        <v>219.08</v>
      </c>
      <c r="BT295" s="526">
        <v>18.059999999999999</v>
      </c>
      <c r="BU295" s="526">
        <v>197.73</v>
      </c>
      <c r="BV295" s="522">
        <v>18</v>
      </c>
      <c r="BW295" s="526">
        <v>198.44</v>
      </c>
      <c r="BX295" s="526">
        <v>224.87</v>
      </c>
      <c r="BY295" s="526">
        <v>23.56</v>
      </c>
      <c r="BZ295" s="526">
        <v>206.29</v>
      </c>
      <c r="CA295" s="522">
        <v>3</v>
      </c>
      <c r="CB295" s="526">
        <v>151.03</v>
      </c>
      <c r="CC295" s="526">
        <v>170.89</v>
      </c>
      <c r="CD295" s="526">
        <v>16.47</v>
      </c>
      <c r="CE295" s="526">
        <v>165.48</v>
      </c>
      <c r="CF295" s="522">
        <v>8036</v>
      </c>
      <c r="CG295" s="526">
        <v>151.12</v>
      </c>
      <c r="CH295" s="526">
        <v>170.89</v>
      </c>
      <c r="CI295" s="526">
        <v>16.47</v>
      </c>
      <c r="CJ295" s="526">
        <v>165.54</v>
      </c>
      <c r="CK295" s="522">
        <v>8052</v>
      </c>
      <c r="CL295" s="526">
        <v>119.67</v>
      </c>
      <c r="CM295" s="526">
        <v>119.94</v>
      </c>
      <c r="CN295" s="526">
        <v>146.5</v>
      </c>
      <c r="CO295" s="526">
        <v>225.03</v>
      </c>
      <c r="CP295" s="522">
        <v>609</v>
      </c>
      <c r="CQ295" s="526">
        <v>129.87</v>
      </c>
      <c r="CR295" s="526">
        <v>123.1</v>
      </c>
      <c r="CS295" s="526">
        <v>57.13</v>
      </c>
      <c r="CT295" s="526">
        <v>177.27</v>
      </c>
      <c r="CU295" s="522">
        <v>458</v>
      </c>
      <c r="CV295" s="526">
        <v>155.49</v>
      </c>
      <c r="CW295" s="526">
        <v>151.65</v>
      </c>
      <c r="CX295" s="526">
        <v>71.31</v>
      </c>
      <c r="CY295" s="526">
        <v>219.28</v>
      </c>
      <c r="CZ295" s="522">
        <v>749</v>
      </c>
      <c r="DA295" s="526">
        <v>166.45</v>
      </c>
      <c r="DB295" s="526">
        <v>169.71</v>
      </c>
      <c r="DC295" s="526">
        <v>70.17</v>
      </c>
      <c r="DD295" s="526">
        <v>216.58</v>
      </c>
      <c r="DE295" s="522">
        <v>42</v>
      </c>
      <c r="DF295" s="526">
        <v>175.8</v>
      </c>
      <c r="DG295" s="526">
        <v>168.65</v>
      </c>
      <c r="DH295" s="526">
        <v>46.59</v>
      </c>
      <c r="DI295" s="526">
        <v>199.1</v>
      </c>
      <c r="DJ295" s="522">
        <v>2</v>
      </c>
      <c r="DK295" s="526">
        <v>203.49</v>
      </c>
      <c r="DL295" s="526">
        <v>0</v>
      </c>
      <c r="DM295" s="526">
        <v>0</v>
      </c>
      <c r="DN295" s="526">
        <v>203.49</v>
      </c>
      <c r="DO295" s="522">
        <v>2</v>
      </c>
      <c r="DP295" s="526">
        <v>146.6</v>
      </c>
      <c r="DQ295" s="526">
        <v>141.19</v>
      </c>
      <c r="DR295" s="526">
        <v>66.27</v>
      </c>
      <c r="DS295" s="526">
        <v>203.78</v>
      </c>
      <c r="DT295" s="522">
        <v>1253</v>
      </c>
      <c r="DU295" s="526">
        <v>137.79</v>
      </c>
      <c r="DV295" s="526">
        <v>134.01</v>
      </c>
      <c r="DW295" s="526">
        <v>89.41</v>
      </c>
      <c r="DX295" s="526">
        <v>210.73</v>
      </c>
      <c r="DY295" s="522">
        <v>1862</v>
      </c>
      <c r="DZ295" s="526">
        <v>0</v>
      </c>
      <c r="EA295" s="526">
        <v>0</v>
      </c>
      <c r="EB295" s="526">
        <v>204.3</v>
      </c>
      <c r="EC295" s="522">
        <v>34</v>
      </c>
      <c r="ED295" s="526">
        <v>239.53</v>
      </c>
      <c r="EE295" s="522">
        <v>305</v>
      </c>
      <c r="EF295" s="526">
        <v>254.14</v>
      </c>
      <c r="EG295" s="522">
        <v>211</v>
      </c>
      <c r="EH295" s="526">
        <v>223.26</v>
      </c>
      <c r="EI295" s="522">
        <v>64</v>
      </c>
      <c r="EJ295" s="526">
        <v>232.17</v>
      </c>
      <c r="EK295" s="522">
        <v>6</v>
      </c>
      <c r="EL295" s="526">
        <v>0</v>
      </c>
      <c r="EM295" s="522">
        <v>0</v>
      </c>
      <c r="EN295" s="526">
        <v>0</v>
      </c>
      <c r="EO295" s="522">
        <v>0</v>
      </c>
      <c r="EP295" s="526">
        <v>240.82</v>
      </c>
      <c r="EQ295" s="522">
        <v>620</v>
      </c>
      <c r="ER295" s="526">
        <v>240.82</v>
      </c>
      <c r="ES295" s="522">
        <v>620</v>
      </c>
      <c r="ET295" s="526">
        <v>0</v>
      </c>
      <c r="EU295" s="526">
        <v>0</v>
      </c>
      <c r="EV295" s="526">
        <v>0</v>
      </c>
      <c r="EW295" s="522">
        <v>0</v>
      </c>
      <c r="EX295" s="526">
        <v>290.19</v>
      </c>
      <c r="EY295" s="522">
        <v>74</v>
      </c>
      <c r="EZ295" s="526">
        <v>291.35000000000002</v>
      </c>
      <c r="FA295" s="522">
        <v>3</v>
      </c>
      <c r="FB295" s="526">
        <v>0</v>
      </c>
      <c r="FC295" s="522">
        <v>0</v>
      </c>
      <c r="FD295" s="526">
        <v>0</v>
      </c>
      <c r="FE295" s="522">
        <v>0</v>
      </c>
      <c r="FF295" s="526">
        <v>290.24</v>
      </c>
      <c r="FG295" s="522">
        <v>77</v>
      </c>
      <c r="FH295" s="526">
        <v>290.24</v>
      </c>
      <c r="FI295" s="522">
        <v>77</v>
      </c>
      <c r="FJ295" s="522">
        <v>0</v>
      </c>
      <c r="FK295" s="522">
        <v>1</v>
      </c>
      <c r="FL295" s="522">
        <v>0</v>
      </c>
      <c r="FM295" s="522">
        <v>0</v>
      </c>
      <c r="FN295" s="522">
        <v>1</v>
      </c>
      <c r="FO295" s="522">
        <v>0</v>
      </c>
      <c r="FP295" s="522">
        <v>12</v>
      </c>
      <c r="FQ295" s="522">
        <v>0</v>
      </c>
      <c r="FR295" s="522">
        <v>14</v>
      </c>
    </row>
    <row r="296" spans="1:174" x14ac:dyDescent="0.25">
      <c r="A296" s="523" t="s">
        <v>14371</v>
      </c>
      <c r="B296" s="523" t="s">
        <v>14372</v>
      </c>
      <c r="C296" s="523" t="s">
        <v>286</v>
      </c>
      <c r="D296" s="522">
        <v>6950</v>
      </c>
      <c r="E296" s="522">
        <v>6897</v>
      </c>
      <c r="F296" s="522">
        <v>0</v>
      </c>
      <c r="G296" s="522">
        <v>0</v>
      </c>
      <c r="H296" s="522">
        <v>537</v>
      </c>
      <c r="I296" s="522">
        <v>329</v>
      </c>
      <c r="J296" s="522">
        <v>1003</v>
      </c>
      <c r="K296" s="522">
        <v>1033</v>
      </c>
      <c r="L296" s="522">
        <v>685</v>
      </c>
      <c r="M296" s="522">
        <v>10</v>
      </c>
      <c r="N296" s="522">
        <v>9175</v>
      </c>
      <c r="O296" s="522">
        <v>8269</v>
      </c>
      <c r="P296" s="522">
        <v>8490</v>
      </c>
      <c r="Q296" s="522">
        <v>7</v>
      </c>
      <c r="R296" s="523">
        <v>12</v>
      </c>
      <c r="S296" s="523">
        <v>18</v>
      </c>
      <c r="T296" s="523">
        <v>296</v>
      </c>
      <c r="U296" s="523">
        <v>8879</v>
      </c>
      <c r="V296" s="522">
        <v>6810</v>
      </c>
      <c r="W296" s="522">
        <v>56</v>
      </c>
      <c r="X296" s="522">
        <v>42</v>
      </c>
      <c r="Y296" s="522">
        <v>98</v>
      </c>
      <c r="Z296" s="524">
        <v>106.38</v>
      </c>
      <c r="AA296" s="524">
        <v>109.31</v>
      </c>
      <c r="AB296" s="524">
        <v>6.36</v>
      </c>
      <c r="AC296" s="524">
        <v>108.7</v>
      </c>
      <c r="AD296" s="524">
        <v>5884</v>
      </c>
      <c r="AE296" s="525">
        <v>106.29</v>
      </c>
      <c r="AF296" s="525">
        <v>98.97</v>
      </c>
      <c r="AG296" s="525">
        <v>52.03</v>
      </c>
      <c r="AH296" s="525">
        <v>156.06</v>
      </c>
      <c r="AI296" s="525">
        <v>1384</v>
      </c>
      <c r="AJ296" s="525">
        <v>127.47</v>
      </c>
      <c r="AK296" s="525">
        <v>913</v>
      </c>
      <c r="AL296" s="525">
        <v>222.74</v>
      </c>
      <c r="AM296" s="525">
        <v>32</v>
      </c>
      <c r="AN296" s="526">
        <v>0</v>
      </c>
      <c r="AO296" s="526">
        <v>0</v>
      </c>
      <c r="AP296" s="526">
        <v>0</v>
      </c>
      <c r="AQ296" s="526">
        <v>0</v>
      </c>
      <c r="AR296" s="522">
        <v>0</v>
      </c>
      <c r="AS296" s="526">
        <v>80.39</v>
      </c>
      <c r="AT296" s="526">
        <v>81.89</v>
      </c>
      <c r="AU296" s="526">
        <v>11.03</v>
      </c>
      <c r="AV296" s="526">
        <v>84.38</v>
      </c>
      <c r="AW296" s="522">
        <v>58</v>
      </c>
      <c r="AX296" s="526">
        <v>90.18</v>
      </c>
      <c r="AY296" s="526">
        <v>91.79</v>
      </c>
      <c r="AZ296" s="526">
        <v>9.5299999999999994</v>
      </c>
      <c r="BA296" s="526">
        <v>95.12</v>
      </c>
      <c r="BB296" s="522">
        <v>1050</v>
      </c>
      <c r="BC296" s="526">
        <v>105.42</v>
      </c>
      <c r="BD296" s="526">
        <v>107.56</v>
      </c>
      <c r="BE296" s="526">
        <v>6.05</v>
      </c>
      <c r="BF296" s="526">
        <v>108.03</v>
      </c>
      <c r="BG296" s="522">
        <v>2552</v>
      </c>
      <c r="BH296" s="526">
        <v>115.43</v>
      </c>
      <c r="BI296" s="526">
        <v>120.11</v>
      </c>
      <c r="BJ296" s="526">
        <v>3.29</v>
      </c>
      <c r="BK296" s="526">
        <v>116.14</v>
      </c>
      <c r="BL296" s="522">
        <v>2109</v>
      </c>
      <c r="BM296" s="526">
        <v>122.62</v>
      </c>
      <c r="BN296" s="526">
        <v>123.53</v>
      </c>
      <c r="BO296" s="526">
        <v>2.85</v>
      </c>
      <c r="BP296" s="526">
        <v>123.2</v>
      </c>
      <c r="BQ296" s="522">
        <v>113</v>
      </c>
      <c r="BR296" s="526">
        <v>132.79</v>
      </c>
      <c r="BS296" s="526">
        <v>134.81</v>
      </c>
      <c r="BT296" s="526">
        <v>0</v>
      </c>
      <c r="BU296" s="526">
        <v>132.79</v>
      </c>
      <c r="BV296" s="522">
        <v>2</v>
      </c>
      <c r="BW296" s="526">
        <v>0</v>
      </c>
      <c r="BX296" s="526">
        <v>0</v>
      </c>
      <c r="BY296" s="526">
        <v>0</v>
      </c>
      <c r="BZ296" s="526">
        <v>0</v>
      </c>
      <c r="CA296" s="522">
        <v>0</v>
      </c>
      <c r="CB296" s="526">
        <v>106.38</v>
      </c>
      <c r="CC296" s="526">
        <v>109.31</v>
      </c>
      <c r="CD296" s="526">
        <v>6.36</v>
      </c>
      <c r="CE296" s="526">
        <v>108.7</v>
      </c>
      <c r="CF296" s="522">
        <v>5884</v>
      </c>
      <c r="CG296" s="526">
        <v>106.38</v>
      </c>
      <c r="CH296" s="526">
        <v>109.31</v>
      </c>
      <c r="CI296" s="526">
        <v>6.36</v>
      </c>
      <c r="CJ296" s="526">
        <v>108.7</v>
      </c>
      <c r="CK296" s="522">
        <v>5884</v>
      </c>
      <c r="CL296" s="526">
        <v>111.87</v>
      </c>
      <c r="CM296" s="526">
        <v>82.71</v>
      </c>
      <c r="CN296" s="526">
        <v>81.47</v>
      </c>
      <c r="CO296" s="526">
        <v>183.37</v>
      </c>
      <c r="CP296" s="522">
        <v>147</v>
      </c>
      <c r="CQ296" s="526">
        <v>86.56</v>
      </c>
      <c r="CR296" s="526">
        <v>84.94</v>
      </c>
      <c r="CS296" s="526">
        <v>69.709999999999994</v>
      </c>
      <c r="CT296" s="526">
        <v>156.27000000000001</v>
      </c>
      <c r="CU296" s="522">
        <v>133</v>
      </c>
      <c r="CV296" s="526">
        <v>106.25</v>
      </c>
      <c r="CW296" s="526">
        <v>98.35</v>
      </c>
      <c r="CX296" s="526">
        <v>48.87</v>
      </c>
      <c r="CY296" s="526">
        <v>153.38</v>
      </c>
      <c r="CZ296" s="522">
        <v>868</v>
      </c>
      <c r="DA296" s="526">
        <v>113.36</v>
      </c>
      <c r="DB296" s="526">
        <v>114.28</v>
      </c>
      <c r="DC296" s="526">
        <v>36.49</v>
      </c>
      <c r="DD296" s="526">
        <v>148.26</v>
      </c>
      <c r="DE296" s="522">
        <v>229</v>
      </c>
      <c r="DF296" s="526">
        <v>137.12</v>
      </c>
      <c r="DG296" s="526">
        <v>120.51</v>
      </c>
      <c r="DH296" s="526">
        <v>34.979999999999997</v>
      </c>
      <c r="DI296" s="526">
        <v>167.1</v>
      </c>
      <c r="DJ296" s="522">
        <v>7</v>
      </c>
      <c r="DK296" s="526">
        <v>0</v>
      </c>
      <c r="DL296" s="526">
        <v>0</v>
      </c>
      <c r="DM296" s="526">
        <v>0</v>
      </c>
      <c r="DN296" s="526">
        <v>0</v>
      </c>
      <c r="DO296" s="522">
        <v>0</v>
      </c>
      <c r="DP296" s="526">
        <v>105.63</v>
      </c>
      <c r="DQ296" s="526">
        <v>100.02</v>
      </c>
      <c r="DR296" s="526">
        <v>48.85</v>
      </c>
      <c r="DS296" s="526">
        <v>152.82</v>
      </c>
      <c r="DT296" s="522">
        <v>1237</v>
      </c>
      <c r="DU296" s="526">
        <v>106.29</v>
      </c>
      <c r="DV296" s="526">
        <v>98.97</v>
      </c>
      <c r="DW296" s="526">
        <v>52.03</v>
      </c>
      <c r="DX296" s="526">
        <v>156.06</v>
      </c>
      <c r="DY296" s="522">
        <v>1384</v>
      </c>
      <c r="DZ296" s="526">
        <v>0</v>
      </c>
      <c r="EA296" s="526">
        <v>0</v>
      </c>
      <c r="EB296" s="526">
        <v>0</v>
      </c>
      <c r="EC296" s="522">
        <v>0</v>
      </c>
      <c r="ED296" s="526">
        <v>107.92</v>
      </c>
      <c r="EE296" s="522">
        <v>168</v>
      </c>
      <c r="EF296" s="526">
        <v>127.35</v>
      </c>
      <c r="EG296" s="522">
        <v>480</v>
      </c>
      <c r="EH296" s="526">
        <v>139.99</v>
      </c>
      <c r="EI296" s="522">
        <v>257</v>
      </c>
      <c r="EJ296" s="526">
        <v>143.36000000000001</v>
      </c>
      <c r="EK296" s="522">
        <v>8</v>
      </c>
      <c r="EL296" s="526">
        <v>0</v>
      </c>
      <c r="EM296" s="522">
        <v>0</v>
      </c>
      <c r="EN296" s="526">
        <v>0</v>
      </c>
      <c r="EO296" s="522">
        <v>0</v>
      </c>
      <c r="EP296" s="526">
        <v>127.47</v>
      </c>
      <c r="EQ296" s="522">
        <v>913</v>
      </c>
      <c r="ER296" s="526">
        <v>127.47</v>
      </c>
      <c r="ES296" s="522">
        <v>913</v>
      </c>
      <c r="ET296" s="526">
        <v>210.16</v>
      </c>
      <c r="EU296" s="526">
        <v>2</v>
      </c>
      <c r="EV296" s="526">
        <v>0</v>
      </c>
      <c r="EW296" s="522">
        <v>0</v>
      </c>
      <c r="EX296" s="526">
        <v>222.15</v>
      </c>
      <c r="EY296" s="522">
        <v>27</v>
      </c>
      <c r="EZ296" s="526">
        <v>236.45</v>
      </c>
      <c r="FA296" s="522">
        <v>3</v>
      </c>
      <c r="FB296" s="526">
        <v>0</v>
      </c>
      <c r="FC296" s="522">
        <v>0</v>
      </c>
      <c r="FD296" s="526">
        <v>0</v>
      </c>
      <c r="FE296" s="522">
        <v>0</v>
      </c>
      <c r="FF296" s="526">
        <v>223.58</v>
      </c>
      <c r="FG296" s="522">
        <v>30</v>
      </c>
      <c r="FH296" s="526">
        <v>222.74</v>
      </c>
      <c r="FI296" s="522">
        <v>32</v>
      </c>
      <c r="FJ296" s="522">
        <v>0</v>
      </c>
      <c r="FK296" s="522">
        <v>15</v>
      </c>
      <c r="FL296" s="522">
        <v>13</v>
      </c>
      <c r="FM296" s="522">
        <v>0</v>
      </c>
      <c r="FN296" s="522">
        <v>1</v>
      </c>
      <c r="FO296" s="522">
        <v>1</v>
      </c>
      <c r="FP296" s="522">
        <v>0</v>
      </c>
      <c r="FQ296" s="522">
        <v>59</v>
      </c>
      <c r="FR296" s="522">
        <v>2</v>
      </c>
    </row>
    <row r="297" spans="1:174" x14ac:dyDescent="0.25">
      <c r="A297" s="523" t="s">
        <v>838</v>
      </c>
      <c r="B297" s="523" t="s">
        <v>839</v>
      </c>
      <c r="C297" s="523" t="s">
        <v>286</v>
      </c>
      <c r="D297" s="522">
        <v>3013</v>
      </c>
      <c r="E297" s="522">
        <v>2993</v>
      </c>
      <c r="F297" s="522">
        <v>0</v>
      </c>
      <c r="G297" s="522">
        <v>0</v>
      </c>
      <c r="H297" s="522">
        <v>795</v>
      </c>
      <c r="I297" s="522">
        <v>438</v>
      </c>
      <c r="J297" s="522">
        <v>867</v>
      </c>
      <c r="K297" s="522">
        <v>951</v>
      </c>
      <c r="L297" s="522">
        <v>942</v>
      </c>
      <c r="M297" s="522">
        <v>70</v>
      </c>
      <c r="N297" s="522">
        <v>5617</v>
      </c>
      <c r="O297" s="522">
        <v>4452</v>
      </c>
      <c r="P297" s="522">
        <v>4675</v>
      </c>
      <c r="Q297" s="522">
        <v>6</v>
      </c>
      <c r="R297" s="523">
        <v>10</v>
      </c>
      <c r="S297" s="523">
        <v>22</v>
      </c>
      <c r="T297" s="523">
        <v>157</v>
      </c>
      <c r="U297" s="523">
        <v>5460</v>
      </c>
      <c r="V297" s="522">
        <v>2990</v>
      </c>
      <c r="W297" s="522">
        <v>55</v>
      </c>
      <c r="X297" s="522">
        <v>19</v>
      </c>
      <c r="Y297" s="522">
        <v>74</v>
      </c>
      <c r="Z297" s="524">
        <v>90.3</v>
      </c>
      <c r="AA297" s="524">
        <v>89.99</v>
      </c>
      <c r="AB297" s="524">
        <v>10.15</v>
      </c>
      <c r="AC297" s="524">
        <v>96.44</v>
      </c>
      <c r="AD297" s="524">
        <v>1712</v>
      </c>
      <c r="AE297" s="525">
        <v>119.48</v>
      </c>
      <c r="AF297" s="525">
        <v>81.78</v>
      </c>
      <c r="AG297" s="525">
        <v>83.98</v>
      </c>
      <c r="AH297" s="525">
        <v>203.35</v>
      </c>
      <c r="AI297" s="525">
        <v>1500</v>
      </c>
      <c r="AJ297" s="525">
        <v>118.15</v>
      </c>
      <c r="AK297" s="525">
        <v>1187</v>
      </c>
      <c r="AL297" s="525">
        <v>178.35</v>
      </c>
      <c r="AM297" s="525">
        <v>28</v>
      </c>
      <c r="AN297" s="526">
        <v>0</v>
      </c>
      <c r="AO297" s="526">
        <v>0</v>
      </c>
      <c r="AP297" s="526">
        <v>0</v>
      </c>
      <c r="AQ297" s="526">
        <v>0</v>
      </c>
      <c r="AR297" s="522">
        <v>0</v>
      </c>
      <c r="AS297" s="526">
        <v>70.819999999999993</v>
      </c>
      <c r="AT297" s="526">
        <v>73.540000000000006</v>
      </c>
      <c r="AU297" s="526">
        <v>12.43</v>
      </c>
      <c r="AV297" s="526">
        <v>83.25</v>
      </c>
      <c r="AW297" s="522">
        <v>1</v>
      </c>
      <c r="AX297" s="526">
        <v>78.86</v>
      </c>
      <c r="AY297" s="526">
        <v>78.38</v>
      </c>
      <c r="AZ297" s="526">
        <v>14</v>
      </c>
      <c r="BA297" s="526">
        <v>92.17</v>
      </c>
      <c r="BB297" s="522">
        <v>650</v>
      </c>
      <c r="BC297" s="526">
        <v>93.06</v>
      </c>
      <c r="BD297" s="526">
        <v>92.84</v>
      </c>
      <c r="BE297" s="526">
        <v>5.57</v>
      </c>
      <c r="BF297" s="526">
        <v>95.51</v>
      </c>
      <c r="BG297" s="522">
        <v>636</v>
      </c>
      <c r="BH297" s="526">
        <v>102.94</v>
      </c>
      <c r="BI297" s="526">
        <v>102.83</v>
      </c>
      <c r="BJ297" s="526">
        <v>2.13</v>
      </c>
      <c r="BK297" s="526">
        <v>103.64</v>
      </c>
      <c r="BL297" s="522">
        <v>406</v>
      </c>
      <c r="BM297" s="526">
        <v>119.3</v>
      </c>
      <c r="BN297" s="526">
        <v>119.09</v>
      </c>
      <c r="BO297" s="526">
        <v>2.42</v>
      </c>
      <c r="BP297" s="526">
        <v>119.78</v>
      </c>
      <c r="BQ297" s="522">
        <v>15</v>
      </c>
      <c r="BR297" s="526">
        <v>122.87</v>
      </c>
      <c r="BS297" s="526">
        <v>122.08</v>
      </c>
      <c r="BT297" s="526">
        <v>0</v>
      </c>
      <c r="BU297" s="526">
        <v>122.87</v>
      </c>
      <c r="BV297" s="522">
        <v>3</v>
      </c>
      <c r="BW297" s="526">
        <v>126.84</v>
      </c>
      <c r="BX297" s="526">
        <v>125.42</v>
      </c>
      <c r="BY297" s="526">
        <v>0</v>
      </c>
      <c r="BZ297" s="526">
        <v>126.84</v>
      </c>
      <c r="CA297" s="522">
        <v>1</v>
      </c>
      <c r="CB297" s="526">
        <v>90.3</v>
      </c>
      <c r="CC297" s="526">
        <v>89.99</v>
      </c>
      <c r="CD297" s="526">
        <v>10.15</v>
      </c>
      <c r="CE297" s="526">
        <v>96.44</v>
      </c>
      <c r="CF297" s="522">
        <v>1712</v>
      </c>
      <c r="CG297" s="526">
        <v>90.3</v>
      </c>
      <c r="CH297" s="526">
        <v>89.99</v>
      </c>
      <c r="CI297" s="526">
        <v>10.15</v>
      </c>
      <c r="CJ297" s="526">
        <v>96.44</v>
      </c>
      <c r="CK297" s="522">
        <v>1712</v>
      </c>
      <c r="CL297" s="526">
        <v>111.57</v>
      </c>
      <c r="CM297" s="526">
        <v>76</v>
      </c>
      <c r="CN297" s="526">
        <v>92.53</v>
      </c>
      <c r="CO297" s="526">
        <v>204.1</v>
      </c>
      <c r="CP297" s="522">
        <v>225</v>
      </c>
      <c r="CQ297" s="526">
        <v>79.650000000000006</v>
      </c>
      <c r="CR297" s="526">
        <v>74.400000000000006</v>
      </c>
      <c r="CS297" s="526">
        <v>56.48</v>
      </c>
      <c r="CT297" s="526">
        <v>136.13</v>
      </c>
      <c r="CU297" s="522">
        <v>109</v>
      </c>
      <c r="CV297" s="526">
        <v>126.26</v>
      </c>
      <c r="CW297" s="526">
        <v>82.33</v>
      </c>
      <c r="CX297" s="526">
        <v>81.42</v>
      </c>
      <c r="CY297" s="526">
        <v>207.6</v>
      </c>
      <c r="CZ297" s="522">
        <v>1052</v>
      </c>
      <c r="DA297" s="526">
        <v>106.89</v>
      </c>
      <c r="DB297" s="526">
        <v>91.93</v>
      </c>
      <c r="DC297" s="526">
        <v>125.17</v>
      </c>
      <c r="DD297" s="526">
        <v>232.05</v>
      </c>
      <c r="DE297" s="522">
        <v>94</v>
      </c>
      <c r="DF297" s="526">
        <v>122.61</v>
      </c>
      <c r="DG297" s="526">
        <v>99.3</v>
      </c>
      <c r="DH297" s="526">
        <v>74.92</v>
      </c>
      <c r="DI297" s="526">
        <v>193.37</v>
      </c>
      <c r="DJ297" s="522">
        <v>18</v>
      </c>
      <c r="DK297" s="526">
        <v>177.57</v>
      </c>
      <c r="DL297" s="526">
        <v>0</v>
      </c>
      <c r="DM297" s="526">
        <v>107.11</v>
      </c>
      <c r="DN297" s="526">
        <v>284.68</v>
      </c>
      <c r="DO297" s="522">
        <v>2</v>
      </c>
      <c r="DP297" s="526">
        <v>120.87</v>
      </c>
      <c r="DQ297" s="526">
        <v>82.47</v>
      </c>
      <c r="DR297" s="526">
        <v>82.47</v>
      </c>
      <c r="DS297" s="526">
        <v>203.21</v>
      </c>
      <c r="DT297" s="522">
        <v>1275</v>
      </c>
      <c r="DU297" s="526">
        <v>119.48</v>
      </c>
      <c r="DV297" s="526">
        <v>81.78</v>
      </c>
      <c r="DW297" s="526">
        <v>83.98</v>
      </c>
      <c r="DX297" s="526">
        <v>203.35</v>
      </c>
      <c r="DY297" s="522">
        <v>1500</v>
      </c>
      <c r="DZ297" s="526">
        <v>0</v>
      </c>
      <c r="EA297" s="526">
        <v>0</v>
      </c>
      <c r="EB297" s="526">
        <v>0</v>
      </c>
      <c r="EC297" s="522">
        <v>0</v>
      </c>
      <c r="ED297" s="526">
        <v>89.55</v>
      </c>
      <c r="EE297" s="522">
        <v>183</v>
      </c>
      <c r="EF297" s="526">
        <v>113.31</v>
      </c>
      <c r="EG297" s="522">
        <v>576</v>
      </c>
      <c r="EH297" s="526">
        <v>135.56</v>
      </c>
      <c r="EI297" s="522">
        <v>406</v>
      </c>
      <c r="EJ297" s="526">
        <v>162.28</v>
      </c>
      <c r="EK297" s="522">
        <v>21</v>
      </c>
      <c r="EL297" s="526">
        <v>147.16999999999999</v>
      </c>
      <c r="EM297" s="522">
        <v>1</v>
      </c>
      <c r="EN297" s="526">
        <v>0</v>
      </c>
      <c r="EO297" s="522">
        <v>0</v>
      </c>
      <c r="EP297" s="526">
        <v>118.15</v>
      </c>
      <c r="EQ297" s="522">
        <v>1187</v>
      </c>
      <c r="ER297" s="526">
        <v>118.15</v>
      </c>
      <c r="ES297" s="522">
        <v>1187</v>
      </c>
      <c r="ET297" s="526">
        <v>0</v>
      </c>
      <c r="EU297" s="526">
        <v>0</v>
      </c>
      <c r="EV297" s="526">
        <v>0</v>
      </c>
      <c r="EW297" s="522">
        <v>0</v>
      </c>
      <c r="EX297" s="526">
        <v>179.43</v>
      </c>
      <c r="EY297" s="522">
        <v>25</v>
      </c>
      <c r="EZ297" s="526">
        <v>0</v>
      </c>
      <c r="FA297" s="522">
        <v>0</v>
      </c>
      <c r="FB297" s="526">
        <v>169.39</v>
      </c>
      <c r="FC297" s="522">
        <v>3</v>
      </c>
      <c r="FD297" s="526">
        <v>0</v>
      </c>
      <c r="FE297" s="522">
        <v>0</v>
      </c>
      <c r="FF297" s="526">
        <v>178.35</v>
      </c>
      <c r="FG297" s="522">
        <v>28</v>
      </c>
      <c r="FH297" s="526">
        <v>178.35</v>
      </c>
      <c r="FI297" s="522">
        <v>28</v>
      </c>
      <c r="FJ297" s="522">
        <v>0</v>
      </c>
      <c r="FK297" s="522">
        <v>2</v>
      </c>
      <c r="FL297" s="522">
        <v>0</v>
      </c>
      <c r="FM297" s="522">
        <v>0</v>
      </c>
      <c r="FN297" s="522">
        <v>2</v>
      </c>
      <c r="FO297" s="522">
        <v>0</v>
      </c>
      <c r="FP297" s="522">
        <v>8</v>
      </c>
      <c r="FQ297" s="522">
        <v>120</v>
      </c>
      <c r="FR297" s="522">
        <v>15</v>
      </c>
    </row>
    <row r="298" spans="1:174" x14ac:dyDescent="0.25">
      <c r="A298" s="523" t="s">
        <v>840</v>
      </c>
      <c r="B298" s="523" t="s">
        <v>841</v>
      </c>
      <c r="C298" s="523" t="s">
        <v>287</v>
      </c>
      <c r="D298" s="522">
        <v>23139</v>
      </c>
      <c r="E298" s="522">
        <v>22977</v>
      </c>
      <c r="F298" s="522">
        <v>0</v>
      </c>
      <c r="G298" s="522">
        <v>0</v>
      </c>
      <c r="H298" s="522">
        <v>725</v>
      </c>
      <c r="I298" s="522">
        <v>457</v>
      </c>
      <c r="J298" s="522">
        <v>2914</v>
      </c>
      <c r="K298" s="522">
        <v>2642</v>
      </c>
      <c r="L298" s="522">
        <v>3298</v>
      </c>
      <c r="M298" s="522">
        <v>181</v>
      </c>
      <c r="N298" s="522">
        <v>30076</v>
      </c>
      <c r="O298" s="522">
        <v>26257</v>
      </c>
      <c r="P298" s="522">
        <v>26778</v>
      </c>
      <c r="Q298" s="522">
        <v>385</v>
      </c>
      <c r="R298" s="523">
        <v>13</v>
      </c>
      <c r="S298" s="523">
        <v>47</v>
      </c>
      <c r="T298" s="523">
        <v>822</v>
      </c>
      <c r="U298" s="523">
        <v>29254</v>
      </c>
      <c r="V298" s="522">
        <v>22688</v>
      </c>
      <c r="W298" s="522">
        <v>175</v>
      </c>
      <c r="X298" s="522">
        <v>181</v>
      </c>
      <c r="Y298" s="522">
        <v>356</v>
      </c>
      <c r="Z298" s="524">
        <v>113.93</v>
      </c>
      <c r="AA298" s="524">
        <v>114.16</v>
      </c>
      <c r="AB298" s="524">
        <v>5.45</v>
      </c>
      <c r="AC298" s="524">
        <v>117.36</v>
      </c>
      <c r="AD298" s="524">
        <v>18727</v>
      </c>
      <c r="AE298" s="525">
        <v>110.9</v>
      </c>
      <c r="AF298" s="525">
        <v>101.91</v>
      </c>
      <c r="AG298" s="525">
        <v>32.94</v>
      </c>
      <c r="AH298" s="525">
        <v>142.99</v>
      </c>
      <c r="AI298" s="525">
        <v>3194</v>
      </c>
      <c r="AJ298" s="525">
        <v>155.29</v>
      </c>
      <c r="AK298" s="525">
        <v>3963</v>
      </c>
      <c r="AL298" s="525">
        <v>178.88</v>
      </c>
      <c r="AM298" s="525">
        <v>74</v>
      </c>
      <c r="AN298" s="526">
        <v>0</v>
      </c>
      <c r="AO298" s="526">
        <v>0</v>
      </c>
      <c r="AP298" s="526">
        <v>0</v>
      </c>
      <c r="AQ298" s="526">
        <v>0</v>
      </c>
      <c r="AR298" s="522">
        <v>0</v>
      </c>
      <c r="AS298" s="526">
        <v>76.61</v>
      </c>
      <c r="AT298" s="526">
        <v>76.16</v>
      </c>
      <c r="AU298" s="526">
        <v>13.48</v>
      </c>
      <c r="AV298" s="526">
        <v>88.19</v>
      </c>
      <c r="AW298" s="522">
        <v>135</v>
      </c>
      <c r="AX298" s="526">
        <v>94.84</v>
      </c>
      <c r="AY298" s="526">
        <v>94.7</v>
      </c>
      <c r="AZ298" s="526">
        <v>9.09</v>
      </c>
      <c r="BA298" s="526">
        <v>102.24</v>
      </c>
      <c r="BB298" s="522">
        <v>2949</v>
      </c>
      <c r="BC298" s="526">
        <v>110.43</v>
      </c>
      <c r="BD298" s="526">
        <v>110.3</v>
      </c>
      <c r="BE298" s="526">
        <v>5.95</v>
      </c>
      <c r="BF298" s="526">
        <v>114.65</v>
      </c>
      <c r="BG298" s="522">
        <v>7995</v>
      </c>
      <c r="BH298" s="526">
        <v>124.47</v>
      </c>
      <c r="BI298" s="526">
        <v>125.2</v>
      </c>
      <c r="BJ298" s="526">
        <v>1.98</v>
      </c>
      <c r="BK298" s="526">
        <v>125.4</v>
      </c>
      <c r="BL298" s="522">
        <v>7056</v>
      </c>
      <c r="BM298" s="526">
        <v>138.56</v>
      </c>
      <c r="BN298" s="526">
        <v>139.86000000000001</v>
      </c>
      <c r="BO298" s="526">
        <v>2.0299999999999998</v>
      </c>
      <c r="BP298" s="526">
        <v>139.61000000000001</v>
      </c>
      <c r="BQ298" s="522">
        <v>562</v>
      </c>
      <c r="BR298" s="526">
        <v>142.71</v>
      </c>
      <c r="BS298" s="526">
        <v>143.25</v>
      </c>
      <c r="BT298" s="526">
        <v>1.39</v>
      </c>
      <c r="BU298" s="526">
        <v>143.24</v>
      </c>
      <c r="BV298" s="522">
        <v>21</v>
      </c>
      <c r="BW298" s="526">
        <v>159.03</v>
      </c>
      <c r="BX298" s="526">
        <v>159.99</v>
      </c>
      <c r="BY298" s="526">
        <v>1.07</v>
      </c>
      <c r="BZ298" s="526">
        <v>159.38999999999999</v>
      </c>
      <c r="CA298" s="522">
        <v>9</v>
      </c>
      <c r="CB298" s="526">
        <v>113.93</v>
      </c>
      <c r="CC298" s="526">
        <v>114.16</v>
      </c>
      <c r="CD298" s="526">
        <v>5.45</v>
      </c>
      <c r="CE298" s="526">
        <v>117.36</v>
      </c>
      <c r="CF298" s="522">
        <v>18727</v>
      </c>
      <c r="CG298" s="526">
        <v>113.93</v>
      </c>
      <c r="CH298" s="526">
        <v>114.16</v>
      </c>
      <c r="CI298" s="526">
        <v>5.45</v>
      </c>
      <c r="CJ298" s="526">
        <v>117.36</v>
      </c>
      <c r="CK298" s="522">
        <v>18727</v>
      </c>
      <c r="CL298" s="526">
        <v>116.6</v>
      </c>
      <c r="CM298" s="526">
        <v>83.91</v>
      </c>
      <c r="CN298" s="526">
        <v>93.81</v>
      </c>
      <c r="CO298" s="526">
        <v>201.93</v>
      </c>
      <c r="CP298" s="522">
        <v>376</v>
      </c>
      <c r="CQ298" s="526">
        <v>87.48</v>
      </c>
      <c r="CR298" s="526">
        <v>80.98</v>
      </c>
      <c r="CS298" s="526">
        <v>34.090000000000003</v>
      </c>
      <c r="CT298" s="526">
        <v>121.26</v>
      </c>
      <c r="CU298" s="522">
        <v>227</v>
      </c>
      <c r="CV298" s="526">
        <v>104.59</v>
      </c>
      <c r="CW298" s="526">
        <v>97.49</v>
      </c>
      <c r="CX298" s="526">
        <v>34.5</v>
      </c>
      <c r="CY298" s="526">
        <v>138.57</v>
      </c>
      <c r="CZ298" s="522">
        <v>1396</v>
      </c>
      <c r="DA298" s="526">
        <v>120.17</v>
      </c>
      <c r="DB298" s="526">
        <v>114.42</v>
      </c>
      <c r="DC298" s="526">
        <v>12.42</v>
      </c>
      <c r="DD298" s="526">
        <v>132.34</v>
      </c>
      <c r="DE298" s="522">
        <v>1165</v>
      </c>
      <c r="DF298" s="526">
        <v>151.53</v>
      </c>
      <c r="DG298" s="526">
        <v>123.35</v>
      </c>
      <c r="DH298" s="526">
        <v>41.85</v>
      </c>
      <c r="DI298" s="526">
        <v>190.39</v>
      </c>
      <c r="DJ298" s="522">
        <v>28</v>
      </c>
      <c r="DK298" s="526">
        <v>138.72</v>
      </c>
      <c r="DL298" s="526">
        <v>130.94</v>
      </c>
      <c r="DM298" s="526">
        <v>10.38</v>
      </c>
      <c r="DN298" s="526">
        <v>149.1</v>
      </c>
      <c r="DO298" s="522">
        <v>2</v>
      </c>
      <c r="DP298" s="526">
        <v>110.14</v>
      </c>
      <c r="DQ298" s="526">
        <v>103.51</v>
      </c>
      <c r="DR298" s="526">
        <v>25.42</v>
      </c>
      <c r="DS298" s="526">
        <v>135.12</v>
      </c>
      <c r="DT298" s="522">
        <v>2818</v>
      </c>
      <c r="DU298" s="526">
        <v>110.9</v>
      </c>
      <c r="DV298" s="526">
        <v>101.91</v>
      </c>
      <c r="DW298" s="526">
        <v>32.94</v>
      </c>
      <c r="DX298" s="526">
        <v>142.99</v>
      </c>
      <c r="DY298" s="522">
        <v>3194</v>
      </c>
      <c r="DZ298" s="526">
        <v>0</v>
      </c>
      <c r="EA298" s="526">
        <v>0</v>
      </c>
      <c r="EB298" s="526">
        <v>0</v>
      </c>
      <c r="EC298" s="522">
        <v>0</v>
      </c>
      <c r="ED298" s="526">
        <v>124.94</v>
      </c>
      <c r="EE298" s="522">
        <v>946</v>
      </c>
      <c r="EF298" s="526">
        <v>150.15</v>
      </c>
      <c r="EG298" s="522">
        <v>1760</v>
      </c>
      <c r="EH298" s="526">
        <v>179.69</v>
      </c>
      <c r="EI298" s="522">
        <v>1069</v>
      </c>
      <c r="EJ298" s="526">
        <v>216.98</v>
      </c>
      <c r="EK298" s="522">
        <v>184</v>
      </c>
      <c r="EL298" s="526">
        <v>247.34</v>
      </c>
      <c r="EM298" s="522">
        <v>3</v>
      </c>
      <c r="EN298" s="526">
        <v>213.9</v>
      </c>
      <c r="EO298" s="522">
        <v>1</v>
      </c>
      <c r="EP298" s="526">
        <v>155.29</v>
      </c>
      <c r="EQ298" s="522">
        <v>3963</v>
      </c>
      <c r="ER298" s="526">
        <v>155.29</v>
      </c>
      <c r="ES298" s="522">
        <v>3963</v>
      </c>
      <c r="ET298" s="526">
        <v>0</v>
      </c>
      <c r="EU298" s="526">
        <v>0</v>
      </c>
      <c r="EV298" s="526">
        <v>0</v>
      </c>
      <c r="EW298" s="522">
        <v>0</v>
      </c>
      <c r="EX298" s="526">
        <v>153.19</v>
      </c>
      <c r="EY298" s="522">
        <v>15</v>
      </c>
      <c r="EZ298" s="526">
        <v>185.41</v>
      </c>
      <c r="FA298" s="522">
        <v>59</v>
      </c>
      <c r="FB298" s="526">
        <v>0</v>
      </c>
      <c r="FC298" s="522">
        <v>0</v>
      </c>
      <c r="FD298" s="526">
        <v>0</v>
      </c>
      <c r="FE298" s="522">
        <v>0</v>
      </c>
      <c r="FF298" s="526">
        <v>178.88</v>
      </c>
      <c r="FG298" s="522">
        <v>74</v>
      </c>
      <c r="FH298" s="526">
        <v>178.88</v>
      </c>
      <c r="FI298" s="522">
        <v>74</v>
      </c>
      <c r="FJ298" s="522">
        <v>0</v>
      </c>
      <c r="FK298" s="522">
        <v>4</v>
      </c>
      <c r="FL298" s="522">
        <v>2</v>
      </c>
      <c r="FM298" s="522">
        <v>0</v>
      </c>
      <c r="FN298" s="522">
        <v>2</v>
      </c>
      <c r="FO298" s="522">
        <v>0</v>
      </c>
      <c r="FP298" s="522">
        <v>108</v>
      </c>
      <c r="FQ298" s="522">
        <v>321</v>
      </c>
      <c r="FR298" s="522">
        <v>32</v>
      </c>
    </row>
    <row r="299" spans="1:174" x14ac:dyDescent="0.25">
      <c r="A299" s="523" t="s">
        <v>842</v>
      </c>
      <c r="B299" s="523" t="s">
        <v>843</v>
      </c>
      <c r="C299" s="523" t="s">
        <v>2</v>
      </c>
      <c r="D299" s="522">
        <v>3041</v>
      </c>
      <c r="E299" s="522">
        <v>2777</v>
      </c>
      <c r="F299" s="522">
        <v>0</v>
      </c>
      <c r="G299" s="522">
        <v>0</v>
      </c>
      <c r="H299" s="522">
        <v>163</v>
      </c>
      <c r="I299" s="522">
        <v>131</v>
      </c>
      <c r="J299" s="522">
        <v>244</v>
      </c>
      <c r="K299" s="522">
        <v>234</v>
      </c>
      <c r="L299" s="522">
        <v>494</v>
      </c>
      <c r="M299" s="522">
        <v>56</v>
      </c>
      <c r="N299" s="522">
        <v>3942</v>
      </c>
      <c r="O299" s="522">
        <v>3198</v>
      </c>
      <c r="P299" s="522">
        <v>3448</v>
      </c>
      <c r="Q299" s="522">
        <v>2</v>
      </c>
      <c r="R299" s="523">
        <v>8</v>
      </c>
      <c r="S299" s="523">
        <v>25</v>
      </c>
      <c r="T299" s="523">
        <v>292</v>
      </c>
      <c r="U299" s="523">
        <v>3650</v>
      </c>
      <c r="V299" s="522">
        <v>2777</v>
      </c>
      <c r="W299" s="522">
        <v>37</v>
      </c>
      <c r="X299" s="522">
        <v>11</v>
      </c>
      <c r="Y299" s="522">
        <v>48</v>
      </c>
      <c r="Z299" s="524">
        <v>130.15</v>
      </c>
      <c r="AA299" s="524">
        <v>130.08000000000001</v>
      </c>
      <c r="AB299" s="524">
        <v>10.68</v>
      </c>
      <c r="AC299" s="524">
        <v>140.18</v>
      </c>
      <c r="AD299" s="524">
        <v>1896</v>
      </c>
      <c r="AE299" s="525">
        <v>121.87</v>
      </c>
      <c r="AF299" s="525">
        <v>111.85</v>
      </c>
      <c r="AG299" s="525">
        <v>62.12</v>
      </c>
      <c r="AH299" s="525">
        <v>180.88</v>
      </c>
      <c r="AI299" s="525">
        <v>379</v>
      </c>
      <c r="AJ299" s="525">
        <v>192.45</v>
      </c>
      <c r="AK299" s="525">
        <v>998</v>
      </c>
      <c r="AL299" s="525">
        <v>0</v>
      </c>
      <c r="AM299" s="525">
        <v>0</v>
      </c>
      <c r="AN299" s="526">
        <v>0</v>
      </c>
      <c r="AO299" s="526">
        <v>0</v>
      </c>
      <c r="AP299" s="526">
        <v>0</v>
      </c>
      <c r="AQ299" s="526">
        <v>0</v>
      </c>
      <c r="AR299" s="522">
        <v>0</v>
      </c>
      <c r="AS299" s="526">
        <v>94.21</v>
      </c>
      <c r="AT299" s="526">
        <v>93.16</v>
      </c>
      <c r="AU299" s="526">
        <v>6.13</v>
      </c>
      <c r="AV299" s="526">
        <v>100.34</v>
      </c>
      <c r="AW299" s="522">
        <v>3</v>
      </c>
      <c r="AX299" s="526">
        <v>111.9</v>
      </c>
      <c r="AY299" s="526">
        <v>111.76</v>
      </c>
      <c r="AZ299" s="526">
        <v>12.7</v>
      </c>
      <c r="BA299" s="526">
        <v>124.48</v>
      </c>
      <c r="BB299" s="522">
        <v>618</v>
      </c>
      <c r="BC299" s="526">
        <v>130.27000000000001</v>
      </c>
      <c r="BD299" s="526">
        <v>130.04</v>
      </c>
      <c r="BE299" s="526">
        <v>11.71</v>
      </c>
      <c r="BF299" s="526">
        <v>141.47</v>
      </c>
      <c r="BG299" s="522">
        <v>755</v>
      </c>
      <c r="BH299" s="526">
        <v>150.6</v>
      </c>
      <c r="BI299" s="526">
        <v>150.77000000000001</v>
      </c>
      <c r="BJ299" s="526">
        <v>6.35</v>
      </c>
      <c r="BK299" s="526">
        <v>156.08000000000001</v>
      </c>
      <c r="BL299" s="522">
        <v>477</v>
      </c>
      <c r="BM299" s="526">
        <v>165.94</v>
      </c>
      <c r="BN299" s="526">
        <v>167.14</v>
      </c>
      <c r="BO299" s="526">
        <v>4.8899999999999997</v>
      </c>
      <c r="BP299" s="526">
        <v>169.46</v>
      </c>
      <c r="BQ299" s="522">
        <v>43</v>
      </c>
      <c r="BR299" s="526">
        <v>0</v>
      </c>
      <c r="BS299" s="526">
        <v>0</v>
      </c>
      <c r="BT299" s="526">
        <v>0</v>
      </c>
      <c r="BU299" s="526">
        <v>0</v>
      </c>
      <c r="BV299" s="522">
        <v>0</v>
      </c>
      <c r="BW299" s="526">
        <v>0</v>
      </c>
      <c r="BX299" s="526">
        <v>0</v>
      </c>
      <c r="BY299" s="526">
        <v>0</v>
      </c>
      <c r="BZ299" s="526">
        <v>0</v>
      </c>
      <c r="CA299" s="522">
        <v>0</v>
      </c>
      <c r="CB299" s="526">
        <v>130.15</v>
      </c>
      <c r="CC299" s="526">
        <v>130.08000000000001</v>
      </c>
      <c r="CD299" s="526">
        <v>10.68</v>
      </c>
      <c r="CE299" s="526">
        <v>140.18</v>
      </c>
      <c r="CF299" s="522">
        <v>1896</v>
      </c>
      <c r="CG299" s="526">
        <v>130.15</v>
      </c>
      <c r="CH299" s="526">
        <v>130.08000000000001</v>
      </c>
      <c r="CI299" s="526">
        <v>10.68</v>
      </c>
      <c r="CJ299" s="526">
        <v>140.18</v>
      </c>
      <c r="CK299" s="522">
        <v>1896</v>
      </c>
      <c r="CL299" s="526">
        <v>106.55</v>
      </c>
      <c r="CM299" s="526">
        <v>96.15</v>
      </c>
      <c r="CN299" s="526">
        <v>127.35</v>
      </c>
      <c r="CO299" s="526">
        <v>225.07</v>
      </c>
      <c r="CP299" s="522">
        <v>101</v>
      </c>
      <c r="CQ299" s="526">
        <v>102.96</v>
      </c>
      <c r="CR299" s="526">
        <v>95.39</v>
      </c>
      <c r="CS299" s="526">
        <v>41.75</v>
      </c>
      <c r="CT299" s="526">
        <v>144.72</v>
      </c>
      <c r="CU299" s="522">
        <v>59</v>
      </c>
      <c r="CV299" s="526">
        <v>129.86000000000001</v>
      </c>
      <c r="CW299" s="526">
        <v>118.96</v>
      </c>
      <c r="CX299" s="526">
        <v>39.67</v>
      </c>
      <c r="CY299" s="526">
        <v>169.1</v>
      </c>
      <c r="CZ299" s="522">
        <v>185</v>
      </c>
      <c r="DA299" s="526">
        <v>156.44999999999999</v>
      </c>
      <c r="DB299" s="526">
        <v>144.31</v>
      </c>
      <c r="DC299" s="526">
        <v>26.96</v>
      </c>
      <c r="DD299" s="526">
        <v>174.98</v>
      </c>
      <c r="DE299" s="522">
        <v>32</v>
      </c>
      <c r="DF299" s="526">
        <v>160.68</v>
      </c>
      <c r="DG299" s="526">
        <v>149.13</v>
      </c>
      <c r="DH299" s="526">
        <v>38.770000000000003</v>
      </c>
      <c r="DI299" s="526">
        <v>199.45</v>
      </c>
      <c r="DJ299" s="522">
        <v>2</v>
      </c>
      <c r="DK299" s="526">
        <v>0</v>
      </c>
      <c r="DL299" s="526">
        <v>0</v>
      </c>
      <c r="DM299" s="526">
        <v>0</v>
      </c>
      <c r="DN299" s="526">
        <v>0</v>
      </c>
      <c r="DO299" s="522">
        <v>0</v>
      </c>
      <c r="DP299" s="526">
        <v>127.44</v>
      </c>
      <c r="DQ299" s="526">
        <v>117.08</v>
      </c>
      <c r="DR299" s="526">
        <v>39.07</v>
      </c>
      <c r="DS299" s="526">
        <v>164.82</v>
      </c>
      <c r="DT299" s="522">
        <v>278</v>
      </c>
      <c r="DU299" s="526">
        <v>121.87</v>
      </c>
      <c r="DV299" s="526">
        <v>111.85</v>
      </c>
      <c r="DW299" s="526">
        <v>62.12</v>
      </c>
      <c r="DX299" s="526">
        <v>180.88</v>
      </c>
      <c r="DY299" s="522">
        <v>379</v>
      </c>
      <c r="DZ299" s="526">
        <v>0</v>
      </c>
      <c r="EA299" s="526">
        <v>0</v>
      </c>
      <c r="EB299" s="526">
        <v>0</v>
      </c>
      <c r="EC299" s="522">
        <v>0</v>
      </c>
      <c r="ED299" s="526">
        <v>148.94</v>
      </c>
      <c r="EE299" s="522">
        <v>255</v>
      </c>
      <c r="EF299" s="526">
        <v>186.24</v>
      </c>
      <c r="EG299" s="522">
        <v>448</v>
      </c>
      <c r="EH299" s="526">
        <v>228.54</v>
      </c>
      <c r="EI299" s="522">
        <v>244</v>
      </c>
      <c r="EJ299" s="526">
        <v>291.89</v>
      </c>
      <c r="EK299" s="522">
        <v>51</v>
      </c>
      <c r="EL299" s="526">
        <v>0</v>
      </c>
      <c r="EM299" s="522">
        <v>0</v>
      </c>
      <c r="EN299" s="526">
        <v>0</v>
      </c>
      <c r="EO299" s="522">
        <v>0</v>
      </c>
      <c r="EP299" s="526">
        <v>192.45</v>
      </c>
      <c r="EQ299" s="522">
        <v>998</v>
      </c>
      <c r="ER299" s="526">
        <v>192.45</v>
      </c>
      <c r="ES299" s="522">
        <v>998</v>
      </c>
      <c r="ET299" s="526">
        <v>0</v>
      </c>
      <c r="EU299" s="526">
        <v>0</v>
      </c>
      <c r="EV299" s="526">
        <v>0</v>
      </c>
      <c r="EW299" s="522">
        <v>0</v>
      </c>
      <c r="EX299" s="526">
        <v>0</v>
      </c>
      <c r="EY299" s="522">
        <v>0</v>
      </c>
      <c r="EZ299" s="526">
        <v>0</v>
      </c>
      <c r="FA299" s="522">
        <v>0</v>
      </c>
      <c r="FB299" s="526">
        <v>0</v>
      </c>
      <c r="FC299" s="522">
        <v>0</v>
      </c>
      <c r="FD299" s="526">
        <v>0</v>
      </c>
      <c r="FE299" s="522">
        <v>0</v>
      </c>
      <c r="FF299" s="526">
        <v>0</v>
      </c>
      <c r="FG299" s="522">
        <v>0</v>
      </c>
      <c r="FH299" s="526">
        <v>0</v>
      </c>
      <c r="FI299" s="522">
        <v>0</v>
      </c>
      <c r="FJ299" s="522">
        <v>59</v>
      </c>
      <c r="FK299" s="522">
        <v>0</v>
      </c>
      <c r="FL299" s="522">
        <v>0</v>
      </c>
      <c r="FM299" s="522">
        <v>0</v>
      </c>
      <c r="FN299" s="522">
        <v>0</v>
      </c>
      <c r="FO299" s="522">
        <v>0</v>
      </c>
      <c r="FP299" s="522">
        <v>24</v>
      </c>
      <c r="FQ299" s="522">
        <v>48</v>
      </c>
      <c r="FR299" s="522">
        <v>7</v>
      </c>
    </row>
    <row r="300" spans="1:174" x14ac:dyDescent="0.25">
      <c r="A300" s="523" t="s">
        <v>844</v>
      </c>
      <c r="B300" s="523" t="s">
        <v>845</v>
      </c>
      <c r="C300" s="523" t="s">
        <v>2</v>
      </c>
      <c r="D300" s="522">
        <v>6804</v>
      </c>
      <c r="E300" s="522">
        <v>6800</v>
      </c>
      <c r="F300" s="522">
        <v>18</v>
      </c>
      <c r="G300" s="522">
        <v>16</v>
      </c>
      <c r="H300" s="522">
        <v>178</v>
      </c>
      <c r="I300" s="522">
        <v>175</v>
      </c>
      <c r="J300" s="522">
        <v>868</v>
      </c>
      <c r="K300" s="522">
        <v>868</v>
      </c>
      <c r="L300" s="522">
        <v>447</v>
      </c>
      <c r="M300" s="522">
        <v>0</v>
      </c>
      <c r="N300" s="522">
        <v>8315</v>
      </c>
      <c r="O300" s="522">
        <v>7859</v>
      </c>
      <c r="P300" s="522">
        <v>7868</v>
      </c>
      <c r="Q300" s="522">
        <v>4</v>
      </c>
      <c r="R300" s="523">
        <v>3</v>
      </c>
      <c r="S300" s="523">
        <v>19</v>
      </c>
      <c r="T300" s="523">
        <v>9</v>
      </c>
      <c r="U300" s="523">
        <v>8306</v>
      </c>
      <c r="V300" s="522">
        <v>6800</v>
      </c>
      <c r="W300" s="522">
        <v>8</v>
      </c>
      <c r="X300" s="522">
        <v>33</v>
      </c>
      <c r="Y300" s="522">
        <v>41</v>
      </c>
      <c r="Z300" s="524">
        <v>139.36000000000001</v>
      </c>
      <c r="AA300" s="524">
        <v>146.13</v>
      </c>
      <c r="AB300" s="524">
        <v>10.199999999999999</v>
      </c>
      <c r="AC300" s="524">
        <v>144.15</v>
      </c>
      <c r="AD300" s="524">
        <v>6222</v>
      </c>
      <c r="AE300" s="525">
        <v>127.97</v>
      </c>
      <c r="AF300" s="525">
        <v>125.5</v>
      </c>
      <c r="AG300" s="525">
        <v>36.83</v>
      </c>
      <c r="AH300" s="525">
        <v>164.45</v>
      </c>
      <c r="AI300" s="525">
        <v>1033</v>
      </c>
      <c r="AJ300" s="525">
        <v>211.25</v>
      </c>
      <c r="AK300" s="525">
        <v>362</v>
      </c>
      <c r="AL300" s="525">
        <v>182.82</v>
      </c>
      <c r="AM300" s="525">
        <v>10</v>
      </c>
      <c r="AN300" s="526">
        <v>0</v>
      </c>
      <c r="AO300" s="526">
        <v>0</v>
      </c>
      <c r="AP300" s="526">
        <v>0</v>
      </c>
      <c r="AQ300" s="526">
        <v>0</v>
      </c>
      <c r="AR300" s="522">
        <v>0</v>
      </c>
      <c r="AS300" s="526">
        <v>110.79</v>
      </c>
      <c r="AT300" s="526">
        <v>112.44</v>
      </c>
      <c r="AU300" s="526">
        <v>9.7200000000000006</v>
      </c>
      <c r="AV300" s="526">
        <v>118.57</v>
      </c>
      <c r="AW300" s="522">
        <v>10</v>
      </c>
      <c r="AX300" s="526">
        <v>118.14</v>
      </c>
      <c r="AY300" s="526">
        <v>122.3</v>
      </c>
      <c r="AZ300" s="526">
        <v>10.55</v>
      </c>
      <c r="BA300" s="526">
        <v>125.7</v>
      </c>
      <c r="BB300" s="522">
        <v>1801</v>
      </c>
      <c r="BC300" s="526">
        <v>136.51</v>
      </c>
      <c r="BD300" s="526">
        <v>142.68</v>
      </c>
      <c r="BE300" s="526">
        <v>11.36</v>
      </c>
      <c r="BF300" s="526">
        <v>143.29</v>
      </c>
      <c r="BG300" s="522">
        <v>1918</v>
      </c>
      <c r="BH300" s="526">
        <v>155.91999999999999</v>
      </c>
      <c r="BI300" s="526">
        <v>164.78</v>
      </c>
      <c r="BJ300" s="526">
        <v>6.49</v>
      </c>
      <c r="BK300" s="526">
        <v>157.19999999999999</v>
      </c>
      <c r="BL300" s="522">
        <v>2358</v>
      </c>
      <c r="BM300" s="526">
        <v>175.37</v>
      </c>
      <c r="BN300" s="526">
        <v>190.08</v>
      </c>
      <c r="BO300" s="526">
        <v>6.38</v>
      </c>
      <c r="BP300" s="526">
        <v>176.17</v>
      </c>
      <c r="BQ300" s="522">
        <v>127</v>
      </c>
      <c r="BR300" s="526">
        <v>182.89</v>
      </c>
      <c r="BS300" s="526">
        <v>190.85</v>
      </c>
      <c r="BT300" s="526">
        <v>0</v>
      </c>
      <c r="BU300" s="526">
        <v>182.89</v>
      </c>
      <c r="BV300" s="522">
        <v>6</v>
      </c>
      <c r="BW300" s="526">
        <v>192.18</v>
      </c>
      <c r="BX300" s="526">
        <v>205.15</v>
      </c>
      <c r="BY300" s="526">
        <v>0</v>
      </c>
      <c r="BZ300" s="526">
        <v>192.18</v>
      </c>
      <c r="CA300" s="522">
        <v>2</v>
      </c>
      <c r="CB300" s="526">
        <v>139.36000000000001</v>
      </c>
      <c r="CC300" s="526">
        <v>146.13</v>
      </c>
      <c r="CD300" s="526">
        <v>10.199999999999999</v>
      </c>
      <c r="CE300" s="526">
        <v>144.15</v>
      </c>
      <c r="CF300" s="522">
        <v>6222</v>
      </c>
      <c r="CG300" s="526">
        <v>139.36000000000001</v>
      </c>
      <c r="CH300" s="526">
        <v>146.13</v>
      </c>
      <c r="CI300" s="526">
        <v>10.199999999999999</v>
      </c>
      <c r="CJ300" s="526">
        <v>144.15</v>
      </c>
      <c r="CK300" s="522">
        <v>6222</v>
      </c>
      <c r="CL300" s="526">
        <v>127.36</v>
      </c>
      <c r="CM300" s="526">
        <v>108.48</v>
      </c>
      <c r="CN300" s="526">
        <v>83.9</v>
      </c>
      <c r="CO300" s="526">
        <v>202.87</v>
      </c>
      <c r="CP300" s="522">
        <v>40</v>
      </c>
      <c r="CQ300" s="526">
        <v>108.69</v>
      </c>
      <c r="CR300" s="526">
        <v>102.19</v>
      </c>
      <c r="CS300" s="526">
        <v>32.020000000000003</v>
      </c>
      <c r="CT300" s="526">
        <v>138.97</v>
      </c>
      <c r="CU300" s="522">
        <v>74</v>
      </c>
      <c r="CV300" s="526">
        <v>128.13999999999999</v>
      </c>
      <c r="CW300" s="526">
        <v>126.4</v>
      </c>
      <c r="CX300" s="526">
        <v>33.36</v>
      </c>
      <c r="CY300" s="526">
        <v>161.5</v>
      </c>
      <c r="CZ300" s="522">
        <v>861</v>
      </c>
      <c r="DA300" s="526">
        <v>151.80000000000001</v>
      </c>
      <c r="DB300" s="526">
        <v>150.28</v>
      </c>
      <c r="DC300" s="526">
        <v>65.510000000000005</v>
      </c>
      <c r="DD300" s="526">
        <v>217.31</v>
      </c>
      <c r="DE300" s="522">
        <v>54</v>
      </c>
      <c r="DF300" s="526">
        <v>132.22</v>
      </c>
      <c r="DG300" s="526">
        <v>150.62</v>
      </c>
      <c r="DH300" s="526">
        <v>79.41</v>
      </c>
      <c r="DI300" s="526">
        <v>171.93</v>
      </c>
      <c r="DJ300" s="522">
        <v>4</v>
      </c>
      <c r="DK300" s="526">
        <v>0</v>
      </c>
      <c r="DL300" s="526">
        <v>0</v>
      </c>
      <c r="DM300" s="526">
        <v>0</v>
      </c>
      <c r="DN300" s="526">
        <v>0</v>
      </c>
      <c r="DO300" s="522">
        <v>0</v>
      </c>
      <c r="DP300" s="526">
        <v>127.99</v>
      </c>
      <c r="DQ300" s="526">
        <v>126.1</v>
      </c>
      <c r="DR300" s="526">
        <v>35.119999999999997</v>
      </c>
      <c r="DS300" s="526">
        <v>162.9</v>
      </c>
      <c r="DT300" s="522">
        <v>993</v>
      </c>
      <c r="DU300" s="526">
        <v>127.97</v>
      </c>
      <c r="DV300" s="526">
        <v>125.5</v>
      </c>
      <c r="DW300" s="526">
        <v>36.83</v>
      </c>
      <c r="DX300" s="526">
        <v>164.45</v>
      </c>
      <c r="DY300" s="522">
        <v>1033</v>
      </c>
      <c r="DZ300" s="526">
        <v>0</v>
      </c>
      <c r="EA300" s="526">
        <v>0</v>
      </c>
      <c r="EB300" s="526">
        <v>0</v>
      </c>
      <c r="EC300" s="522">
        <v>0</v>
      </c>
      <c r="ED300" s="526">
        <v>169.73</v>
      </c>
      <c r="EE300" s="522">
        <v>126</v>
      </c>
      <c r="EF300" s="526">
        <v>217.57</v>
      </c>
      <c r="EG300" s="522">
        <v>160</v>
      </c>
      <c r="EH300" s="526">
        <v>258.36</v>
      </c>
      <c r="EI300" s="522">
        <v>64</v>
      </c>
      <c r="EJ300" s="526">
        <v>311.75</v>
      </c>
      <c r="EK300" s="522">
        <v>12</v>
      </c>
      <c r="EL300" s="526">
        <v>0</v>
      </c>
      <c r="EM300" s="522">
        <v>0</v>
      </c>
      <c r="EN300" s="526">
        <v>0</v>
      </c>
      <c r="EO300" s="522">
        <v>0</v>
      </c>
      <c r="EP300" s="526">
        <v>211.25</v>
      </c>
      <c r="EQ300" s="522">
        <v>362</v>
      </c>
      <c r="ER300" s="526">
        <v>211.25</v>
      </c>
      <c r="ES300" s="522">
        <v>362</v>
      </c>
      <c r="ET300" s="526">
        <v>0</v>
      </c>
      <c r="EU300" s="526">
        <v>0</v>
      </c>
      <c r="EV300" s="526">
        <v>0</v>
      </c>
      <c r="EW300" s="522">
        <v>0</v>
      </c>
      <c r="EX300" s="526">
        <v>182.82</v>
      </c>
      <c r="EY300" s="522">
        <v>10</v>
      </c>
      <c r="EZ300" s="526">
        <v>0</v>
      </c>
      <c r="FA300" s="522">
        <v>0</v>
      </c>
      <c r="FB300" s="526">
        <v>0</v>
      </c>
      <c r="FC300" s="522">
        <v>0</v>
      </c>
      <c r="FD300" s="526">
        <v>0</v>
      </c>
      <c r="FE300" s="522">
        <v>0</v>
      </c>
      <c r="FF300" s="526">
        <v>182.82</v>
      </c>
      <c r="FG300" s="522">
        <v>10</v>
      </c>
      <c r="FH300" s="526">
        <v>182.82</v>
      </c>
      <c r="FI300" s="522">
        <v>10</v>
      </c>
      <c r="FJ300" s="522">
        <v>0</v>
      </c>
      <c r="FK300" s="522">
        <v>0</v>
      </c>
      <c r="FL300" s="522">
        <v>0</v>
      </c>
      <c r="FM300" s="522">
        <v>0</v>
      </c>
      <c r="FN300" s="522">
        <v>0</v>
      </c>
      <c r="FO300" s="522">
        <v>0</v>
      </c>
      <c r="FP300" s="522">
        <v>11</v>
      </c>
      <c r="FQ300" s="522">
        <v>37</v>
      </c>
      <c r="FR300" s="522">
        <v>8</v>
      </c>
    </row>
    <row r="301" spans="1:174" x14ac:dyDescent="0.25">
      <c r="A301" s="523" t="s">
        <v>846</v>
      </c>
      <c r="B301" s="523" t="s">
        <v>847</v>
      </c>
      <c r="C301" s="523" t="s">
        <v>286</v>
      </c>
      <c r="D301" s="522">
        <v>18330</v>
      </c>
      <c r="E301" s="522">
        <v>17305</v>
      </c>
      <c r="F301" s="522">
        <v>184</v>
      </c>
      <c r="G301" s="522">
        <v>184</v>
      </c>
      <c r="H301" s="522">
        <v>1228</v>
      </c>
      <c r="I301" s="522">
        <v>655</v>
      </c>
      <c r="J301" s="522">
        <v>3831</v>
      </c>
      <c r="K301" s="522">
        <v>3073</v>
      </c>
      <c r="L301" s="522">
        <v>653</v>
      </c>
      <c r="M301" s="522">
        <v>0</v>
      </c>
      <c r="N301" s="522">
        <v>24226</v>
      </c>
      <c r="O301" s="522">
        <v>21217</v>
      </c>
      <c r="P301" s="522">
        <v>23573</v>
      </c>
      <c r="Q301" s="522">
        <v>4</v>
      </c>
      <c r="R301" s="523">
        <v>15</v>
      </c>
      <c r="S301" s="523">
        <v>22</v>
      </c>
      <c r="T301" s="523">
        <v>2336</v>
      </c>
      <c r="U301" s="523">
        <v>21890</v>
      </c>
      <c r="V301" s="522">
        <v>17265</v>
      </c>
      <c r="W301" s="522">
        <v>163</v>
      </c>
      <c r="X301" s="522">
        <v>148</v>
      </c>
      <c r="Y301" s="522">
        <v>311</v>
      </c>
      <c r="Z301" s="524">
        <v>97.84</v>
      </c>
      <c r="AA301" s="524">
        <v>98.17</v>
      </c>
      <c r="AB301" s="524">
        <v>10.84</v>
      </c>
      <c r="AC301" s="524">
        <v>102.37</v>
      </c>
      <c r="AD301" s="524">
        <v>14548</v>
      </c>
      <c r="AE301" s="525">
        <v>104.26</v>
      </c>
      <c r="AF301" s="525">
        <v>90.91</v>
      </c>
      <c r="AG301" s="525">
        <v>37.64</v>
      </c>
      <c r="AH301" s="525">
        <v>140.62</v>
      </c>
      <c r="AI301" s="525">
        <v>3676</v>
      </c>
      <c r="AJ301" s="525">
        <v>125.12</v>
      </c>
      <c r="AK301" s="525">
        <v>2699</v>
      </c>
      <c r="AL301" s="525">
        <v>234.07</v>
      </c>
      <c r="AM301" s="525">
        <v>236</v>
      </c>
      <c r="AN301" s="526">
        <v>0</v>
      </c>
      <c r="AO301" s="526">
        <v>0</v>
      </c>
      <c r="AP301" s="526">
        <v>0</v>
      </c>
      <c r="AQ301" s="526">
        <v>0</v>
      </c>
      <c r="AR301" s="522">
        <v>0</v>
      </c>
      <c r="AS301" s="526">
        <v>72.400000000000006</v>
      </c>
      <c r="AT301" s="526">
        <v>71.03</v>
      </c>
      <c r="AU301" s="526">
        <v>16.61</v>
      </c>
      <c r="AV301" s="526">
        <v>87.37</v>
      </c>
      <c r="AW301" s="522">
        <v>71</v>
      </c>
      <c r="AX301" s="526">
        <v>83.21</v>
      </c>
      <c r="AY301" s="526">
        <v>83.11</v>
      </c>
      <c r="AZ301" s="526">
        <v>12.02</v>
      </c>
      <c r="BA301" s="526">
        <v>93.44</v>
      </c>
      <c r="BB301" s="522">
        <v>2598</v>
      </c>
      <c r="BC301" s="526">
        <v>93.55</v>
      </c>
      <c r="BD301" s="526">
        <v>93.62</v>
      </c>
      <c r="BE301" s="526">
        <v>11.62</v>
      </c>
      <c r="BF301" s="526">
        <v>100.23</v>
      </c>
      <c r="BG301" s="522">
        <v>4325</v>
      </c>
      <c r="BH301" s="526">
        <v>104.89</v>
      </c>
      <c r="BI301" s="526">
        <v>105.57</v>
      </c>
      <c r="BJ301" s="526">
        <v>7.13</v>
      </c>
      <c r="BK301" s="526">
        <v>106.16</v>
      </c>
      <c r="BL301" s="522">
        <v>6980</v>
      </c>
      <c r="BM301" s="526">
        <v>113.82</v>
      </c>
      <c r="BN301" s="526">
        <v>113.83</v>
      </c>
      <c r="BO301" s="526">
        <v>6.83</v>
      </c>
      <c r="BP301" s="526">
        <v>114.68</v>
      </c>
      <c r="BQ301" s="522">
        <v>562</v>
      </c>
      <c r="BR301" s="526">
        <v>113.64</v>
      </c>
      <c r="BS301" s="526">
        <v>119.16</v>
      </c>
      <c r="BT301" s="526">
        <v>0</v>
      </c>
      <c r="BU301" s="526">
        <v>113.64</v>
      </c>
      <c r="BV301" s="522">
        <v>12</v>
      </c>
      <c r="BW301" s="526">
        <v>0</v>
      </c>
      <c r="BX301" s="526">
        <v>0</v>
      </c>
      <c r="BY301" s="526">
        <v>0</v>
      </c>
      <c r="BZ301" s="526">
        <v>0</v>
      </c>
      <c r="CA301" s="522">
        <v>0</v>
      </c>
      <c r="CB301" s="526">
        <v>97.84</v>
      </c>
      <c r="CC301" s="526">
        <v>98.17</v>
      </c>
      <c r="CD301" s="526">
        <v>10.84</v>
      </c>
      <c r="CE301" s="526">
        <v>102.37</v>
      </c>
      <c r="CF301" s="522">
        <v>14548</v>
      </c>
      <c r="CG301" s="526">
        <v>97.84</v>
      </c>
      <c r="CH301" s="526">
        <v>98.17</v>
      </c>
      <c r="CI301" s="526">
        <v>10.84</v>
      </c>
      <c r="CJ301" s="526">
        <v>102.37</v>
      </c>
      <c r="CK301" s="522">
        <v>14548</v>
      </c>
      <c r="CL301" s="526">
        <v>162.32</v>
      </c>
      <c r="CM301" s="526">
        <v>83.87</v>
      </c>
      <c r="CN301" s="526">
        <v>71.55</v>
      </c>
      <c r="CO301" s="526">
        <v>228.3</v>
      </c>
      <c r="CP301" s="522">
        <v>295</v>
      </c>
      <c r="CQ301" s="526">
        <v>76.08</v>
      </c>
      <c r="CR301" s="526">
        <v>75.08</v>
      </c>
      <c r="CS301" s="526">
        <v>48.05</v>
      </c>
      <c r="CT301" s="526">
        <v>122.83</v>
      </c>
      <c r="CU301" s="522">
        <v>37</v>
      </c>
      <c r="CV301" s="526">
        <v>97.22</v>
      </c>
      <c r="CW301" s="526">
        <v>88.33</v>
      </c>
      <c r="CX301" s="526">
        <v>37.17</v>
      </c>
      <c r="CY301" s="526">
        <v>133.53</v>
      </c>
      <c r="CZ301" s="522">
        <v>2718</v>
      </c>
      <c r="DA301" s="526">
        <v>107.95</v>
      </c>
      <c r="DB301" s="526">
        <v>103.68</v>
      </c>
      <c r="DC301" s="526">
        <v>23.19</v>
      </c>
      <c r="DD301" s="526">
        <v>129.83000000000001</v>
      </c>
      <c r="DE301" s="522">
        <v>601</v>
      </c>
      <c r="DF301" s="526">
        <v>126.38</v>
      </c>
      <c r="DG301" s="526">
        <v>112.4</v>
      </c>
      <c r="DH301" s="526">
        <v>36.29</v>
      </c>
      <c r="DI301" s="526">
        <v>155.41999999999999</v>
      </c>
      <c r="DJ301" s="522">
        <v>20</v>
      </c>
      <c r="DK301" s="526">
        <v>182.47</v>
      </c>
      <c r="DL301" s="526">
        <v>0</v>
      </c>
      <c r="DM301" s="526">
        <v>11.54</v>
      </c>
      <c r="DN301" s="526">
        <v>194.01</v>
      </c>
      <c r="DO301" s="522">
        <v>5</v>
      </c>
      <c r="DP301" s="526">
        <v>99.2</v>
      </c>
      <c r="DQ301" s="526">
        <v>91.17</v>
      </c>
      <c r="DR301" s="526">
        <v>34.83</v>
      </c>
      <c r="DS301" s="526">
        <v>132.97</v>
      </c>
      <c r="DT301" s="522">
        <v>3381</v>
      </c>
      <c r="DU301" s="526">
        <v>104.26</v>
      </c>
      <c r="DV301" s="526">
        <v>90.91</v>
      </c>
      <c r="DW301" s="526">
        <v>37.64</v>
      </c>
      <c r="DX301" s="526">
        <v>140.62</v>
      </c>
      <c r="DY301" s="522">
        <v>3676</v>
      </c>
      <c r="DZ301" s="526">
        <v>0</v>
      </c>
      <c r="EA301" s="526">
        <v>0</v>
      </c>
      <c r="EB301" s="526">
        <v>0</v>
      </c>
      <c r="EC301" s="522">
        <v>0</v>
      </c>
      <c r="ED301" s="526">
        <v>107.68</v>
      </c>
      <c r="EE301" s="522">
        <v>285</v>
      </c>
      <c r="EF301" s="526">
        <v>119.88</v>
      </c>
      <c r="EG301" s="522">
        <v>1368</v>
      </c>
      <c r="EH301" s="526">
        <v>134.49</v>
      </c>
      <c r="EI301" s="522">
        <v>916</v>
      </c>
      <c r="EJ301" s="526">
        <v>152.53</v>
      </c>
      <c r="EK301" s="522">
        <v>129</v>
      </c>
      <c r="EL301" s="526">
        <v>155.24</v>
      </c>
      <c r="EM301" s="522">
        <v>1</v>
      </c>
      <c r="EN301" s="526">
        <v>0</v>
      </c>
      <c r="EO301" s="522">
        <v>0</v>
      </c>
      <c r="EP301" s="526">
        <v>125.12</v>
      </c>
      <c r="EQ301" s="522">
        <v>2699</v>
      </c>
      <c r="ER301" s="526">
        <v>125.12</v>
      </c>
      <c r="ES301" s="522">
        <v>2699</v>
      </c>
      <c r="ET301" s="526">
        <v>109.6</v>
      </c>
      <c r="EU301" s="526">
        <v>21</v>
      </c>
      <c r="EV301" s="526">
        <v>377.01</v>
      </c>
      <c r="EW301" s="522">
        <v>27</v>
      </c>
      <c r="EX301" s="526">
        <v>229.96</v>
      </c>
      <c r="EY301" s="522">
        <v>148</v>
      </c>
      <c r="EZ301" s="526">
        <v>218.16</v>
      </c>
      <c r="FA301" s="522">
        <v>40</v>
      </c>
      <c r="FB301" s="526">
        <v>0</v>
      </c>
      <c r="FC301" s="522">
        <v>0</v>
      </c>
      <c r="FD301" s="526">
        <v>0</v>
      </c>
      <c r="FE301" s="522">
        <v>0</v>
      </c>
      <c r="FF301" s="526">
        <v>246.23</v>
      </c>
      <c r="FG301" s="522">
        <v>215</v>
      </c>
      <c r="FH301" s="526">
        <v>234.07</v>
      </c>
      <c r="FI301" s="522">
        <v>236</v>
      </c>
      <c r="FJ301" s="522">
        <v>0</v>
      </c>
      <c r="FK301" s="522">
        <v>53</v>
      </c>
      <c r="FL301" s="522">
        <v>28</v>
      </c>
      <c r="FM301" s="522">
        <v>16</v>
      </c>
      <c r="FN301" s="522">
        <v>9</v>
      </c>
      <c r="FO301" s="522">
        <v>0</v>
      </c>
      <c r="FP301" s="522">
        <v>9</v>
      </c>
      <c r="FQ301" s="522">
        <v>8</v>
      </c>
      <c r="FR301" s="522">
        <v>1</v>
      </c>
    </row>
    <row r="302" spans="1:174" x14ac:dyDescent="0.25">
      <c r="A302" s="523" t="s">
        <v>848</v>
      </c>
      <c r="B302" s="523" t="s">
        <v>849</v>
      </c>
      <c r="C302" s="523" t="s">
        <v>2</v>
      </c>
      <c r="D302" s="522">
        <v>1122</v>
      </c>
      <c r="E302" s="522">
        <v>988</v>
      </c>
      <c r="F302" s="522">
        <v>7</v>
      </c>
      <c r="G302" s="522">
        <v>7</v>
      </c>
      <c r="H302" s="522">
        <v>171</v>
      </c>
      <c r="I302" s="522">
        <v>49</v>
      </c>
      <c r="J302" s="522">
        <v>357</v>
      </c>
      <c r="K302" s="522">
        <v>187</v>
      </c>
      <c r="L302" s="522">
        <v>239</v>
      </c>
      <c r="M302" s="522">
        <v>1</v>
      </c>
      <c r="N302" s="522">
        <v>1896</v>
      </c>
      <c r="O302" s="522">
        <v>1232</v>
      </c>
      <c r="P302" s="522">
        <v>1657</v>
      </c>
      <c r="Q302" s="522">
        <v>4</v>
      </c>
      <c r="R302" s="523">
        <v>8</v>
      </c>
      <c r="S302" s="523">
        <v>23</v>
      </c>
      <c r="T302" s="523">
        <v>361</v>
      </c>
      <c r="U302" s="523">
        <v>1535</v>
      </c>
      <c r="V302" s="522">
        <v>1026</v>
      </c>
      <c r="W302" s="522">
        <v>2</v>
      </c>
      <c r="X302" s="522">
        <v>12</v>
      </c>
      <c r="Y302" s="522">
        <v>14</v>
      </c>
      <c r="Z302" s="524">
        <v>148.51</v>
      </c>
      <c r="AA302" s="524">
        <v>140.5</v>
      </c>
      <c r="AB302" s="524">
        <v>12.39</v>
      </c>
      <c r="AC302" s="524">
        <v>159.44</v>
      </c>
      <c r="AD302" s="524">
        <v>960</v>
      </c>
      <c r="AE302" s="525">
        <v>119.35</v>
      </c>
      <c r="AF302" s="525">
        <v>110.54</v>
      </c>
      <c r="AG302" s="525">
        <v>47.46</v>
      </c>
      <c r="AH302" s="525">
        <v>166.61</v>
      </c>
      <c r="AI302" s="525">
        <v>238</v>
      </c>
      <c r="AJ302" s="525">
        <v>236.52</v>
      </c>
      <c r="AK302" s="525">
        <v>67</v>
      </c>
      <c r="AL302" s="525">
        <v>186.93</v>
      </c>
      <c r="AM302" s="525">
        <v>30</v>
      </c>
      <c r="AN302" s="526">
        <v>101.44</v>
      </c>
      <c r="AO302" s="526">
        <v>101.2</v>
      </c>
      <c r="AP302" s="526">
        <v>17.989999999999998</v>
      </c>
      <c r="AQ302" s="526">
        <v>119.43</v>
      </c>
      <c r="AR302" s="522">
        <v>7</v>
      </c>
      <c r="AS302" s="526">
        <v>108.46</v>
      </c>
      <c r="AT302" s="526">
        <v>106.95</v>
      </c>
      <c r="AU302" s="526">
        <v>18.61</v>
      </c>
      <c r="AV302" s="526">
        <v>127.07</v>
      </c>
      <c r="AW302" s="522">
        <v>2</v>
      </c>
      <c r="AX302" s="526">
        <v>121.79</v>
      </c>
      <c r="AY302" s="526">
        <v>118.39</v>
      </c>
      <c r="AZ302" s="526">
        <v>18.79</v>
      </c>
      <c r="BA302" s="526">
        <v>139.88999999999999</v>
      </c>
      <c r="BB302" s="522">
        <v>137</v>
      </c>
      <c r="BC302" s="526">
        <v>143.09</v>
      </c>
      <c r="BD302" s="526">
        <v>135.44999999999999</v>
      </c>
      <c r="BE302" s="526">
        <v>14.9</v>
      </c>
      <c r="BF302" s="526">
        <v>156.63</v>
      </c>
      <c r="BG302" s="522">
        <v>330</v>
      </c>
      <c r="BH302" s="526">
        <v>158.83000000000001</v>
      </c>
      <c r="BI302" s="526">
        <v>149.56</v>
      </c>
      <c r="BJ302" s="526">
        <v>8.26</v>
      </c>
      <c r="BK302" s="526">
        <v>165.78</v>
      </c>
      <c r="BL302" s="522">
        <v>448</v>
      </c>
      <c r="BM302" s="526">
        <v>182.81</v>
      </c>
      <c r="BN302" s="526">
        <v>182.71</v>
      </c>
      <c r="BO302" s="526">
        <v>9.14</v>
      </c>
      <c r="BP302" s="526">
        <v>190.37</v>
      </c>
      <c r="BQ302" s="522">
        <v>35</v>
      </c>
      <c r="BR302" s="526">
        <v>188.79</v>
      </c>
      <c r="BS302" s="526">
        <v>198.85</v>
      </c>
      <c r="BT302" s="526">
        <v>0</v>
      </c>
      <c r="BU302" s="526">
        <v>188.79</v>
      </c>
      <c r="BV302" s="522">
        <v>1</v>
      </c>
      <c r="BW302" s="526">
        <v>0</v>
      </c>
      <c r="BX302" s="526">
        <v>0</v>
      </c>
      <c r="BY302" s="526">
        <v>0</v>
      </c>
      <c r="BZ302" s="526">
        <v>0</v>
      </c>
      <c r="CA302" s="522">
        <v>0</v>
      </c>
      <c r="CB302" s="526">
        <v>148.86000000000001</v>
      </c>
      <c r="CC302" s="526">
        <v>140.88999999999999</v>
      </c>
      <c r="CD302" s="526">
        <v>12.34</v>
      </c>
      <c r="CE302" s="526">
        <v>159.74</v>
      </c>
      <c r="CF302" s="522">
        <v>953</v>
      </c>
      <c r="CG302" s="526">
        <v>148.51</v>
      </c>
      <c r="CH302" s="526">
        <v>140.5</v>
      </c>
      <c r="CI302" s="526">
        <v>12.39</v>
      </c>
      <c r="CJ302" s="526">
        <v>159.44</v>
      </c>
      <c r="CK302" s="522">
        <v>960</v>
      </c>
      <c r="CL302" s="526">
        <v>131.49</v>
      </c>
      <c r="CM302" s="526">
        <v>101.39</v>
      </c>
      <c r="CN302" s="526">
        <v>83.31</v>
      </c>
      <c r="CO302" s="526">
        <v>214.79</v>
      </c>
      <c r="CP302" s="522">
        <v>34</v>
      </c>
      <c r="CQ302" s="526">
        <v>103.97</v>
      </c>
      <c r="CR302" s="526">
        <v>99.56</v>
      </c>
      <c r="CS302" s="526">
        <v>42.57</v>
      </c>
      <c r="CT302" s="526">
        <v>146.53</v>
      </c>
      <c r="CU302" s="522">
        <v>31</v>
      </c>
      <c r="CV302" s="526">
        <v>117.89</v>
      </c>
      <c r="CW302" s="526">
        <v>111.67</v>
      </c>
      <c r="CX302" s="526">
        <v>41.57</v>
      </c>
      <c r="CY302" s="526">
        <v>159.19</v>
      </c>
      <c r="CZ302" s="522">
        <v>158</v>
      </c>
      <c r="DA302" s="526">
        <v>135.66</v>
      </c>
      <c r="DB302" s="526">
        <v>136.71</v>
      </c>
      <c r="DC302" s="526">
        <v>37.11</v>
      </c>
      <c r="DD302" s="526">
        <v>172.76</v>
      </c>
      <c r="DE302" s="522">
        <v>13</v>
      </c>
      <c r="DF302" s="526">
        <v>161.21</v>
      </c>
      <c r="DG302" s="526">
        <v>159</v>
      </c>
      <c r="DH302" s="526">
        <v>43.77</v>
      </c>
      <c r="DI302" s="526">
        <v>204.98</v>
      </c>
      <c r="DJ302" s="522">
        <v>2</v>
      </c>
      <c r="DK302" s="526">
        <v>0</v>
      </c>
      <c r="DL302" s="526">
        <v>0</v>
      </c>
      <c r="DM302" s="526">
        <v>0</v>
      </c>
      <c r="DN302" s="526">
        <v>0</v>
      </c>
      <c r="DO302" s="522">
        <v>0</v>
      </c>
      <c r="DP302" s="526">
        <v>117.33</v>
      </c>
      <c r="DQ302" s="526">
        <v>111.89</v>
      </c>
      <c r="DR302" s="526">
        <v>41.46</v>
      </c>
      <c r="DS302" s="526">
        <v>158.58000000000001</v>
      </c>
      <c r="DT302" s="522">
        <v>204</v>
      </c>
      <c r="DU302" s="526">
        <v>119.35</v>
      </c>
      <c r="DV302" s="526">
        <v>110.54</v>
      </c>
      <c r="DW302" s="526">
        <v>47.46</v>
      </c>
      <c r="DX302" s="526">
        <v>166.61</v>
      </c>
      <c r="DY302" s="522">
        <v>238</v>
      </c>
      <c r="DZ302" s="526">
        <v>0</v>
      </c>
      <c r="EA302" s="526">
        <v>0</v>
      </c>
      <c r="EB302" s="526">
        <v>0</v>
      </c>
      <c r="EC302" s="522">
        <v>0</v>
      </c>
      <c r="ED302" s="526">
        <v>202.89</v>
      </c>
      <c r="EE302" s="522">
        <v>24</v>
      </c>
      <c r="EF302" s="526">
        <v>239.11</v>
      </c>
      <c r="EG302" s="522">
        <v>27</v>
      </c>
      <c r="EH302" s="526">
        <v>243.33</v>
      </c>
      <c r="EI302" s="522">
        <v>8</v>
      </c>
      <c r="EJ302" s="526">
        <v>321.85000000000002</v>
      </c>
      <c r="EK302" s="522">
        <v>8</v>
      </c>
      <c r="EL302" s="526">
        <v>0</v>
      </c>
      <c r="EM302" s="522">
        <v>0</v>
      </c>
      <c r="EN302" s="526">
        <v>0</v>
      </c>
      <c r="EO302" s="522">
        <v>0</v>
      </c>
      <c r="EP302" s="526">
        <v>236.52</v>
      </c>
      <c r="EQ302" s="522">
        <v>67</v>
      </c>
      <c r="ER302" s="526">
        <v>236.52</v>
      </c>
      <c r="ES302" s="522">
        <v>67</v>
      </c>
      <c r="ET302" s="526">
        <v>0</v>
      </c>
      <c r="EU302" s="526">
        <v>0</v>
      </c>
      <c r="EV302" s="526">
        <v>0</v>
      </c>
      <c r="EW302" s="522">
        <v>0</v>
      </c>
      <c r="EX302" s="526">
        <v>185.83</v>
      </c>
      <c r="EY302" s="522">
        <v>29</v>
      </c>
      <c r="EZ302" s="526">
        <v>218.86</v>
      </c>
      <c r="FA302" s="522">
        <v>1</v>
      </c>
      <c r="FB302" s="526">
        <v>0</v>
      </c>
      <c r="FC302" s="522">
        <v>0</v>
      </c>
      <c r="FD302" s="526">
        <v>0</v>
      </c>
      <c r="FE302" s="522">
        <v>0</v>
      </c>
      <c r="FF302" s="526">
        <v>186.93</v>
      </c>
      <c r="FG302" s="522">
        <v>30</v>
      </c>
      <c r="FH302" s="526">
        <v>186.93</v>
      </c>
      <c r="FI302" s="522">
        <v>30</v>
      </c>
      <c r="FJ302" s="522">
        <v>0</v>
      </c>
      <c r="FK302" s="522">
        <v>0</v>
      </c>
      <c r="FL302" s="522">
        <v>0</v>
      </c>
      <c r="FM302" s="522">
        <v>0</v>
      </c>
      <c r="FN302" s="522">
        <v>0</v>
      </c>
      <c r="FO302" s="522">
        <v>0</v>
      </c>
      <c r="FP302" s="522">
        <v>1</v>
      </c>
      <c r="FQ302" s="522">
        <v>0</v>
      </c>
      <c r="FR302" s="522">
        <v>6</v>
      </c>
    </row>
    <row r="303" spans="1:174" x14ac:dyDescent="0.25">
      <c r="A303" s="523" t="s">
        <v>850</v>
      </c>
      <c r="B303" s="523" t="s">
        <v>851</v>
      </c>
      <c r="C303" s="523" t="s">
        <v>2</v>
      </c>
      <c r="D303" s="522">
        <v>2420</v>
      </c>
      <c r="E303" s="522">
        <v>2384</v>
      </c>
      <c r="F303" s="522">
        <v>37</v>
      </c>
      <c r="G303" s="522">
        <v>4</v>
      </c>
      <c r="H303" s="522">
        <v>159</v>
      </c>
      <c r="I303" s="522">
        <v>97</v>
      </c>
      <c r="J303" s="522">
        <v>249</v>
      </c>
      <c r="K303" s="522">
        <v>188</v>
      </c>
      <c r="L303" s="522">
        <v>1510</v>
      </c>
      <c r="M303" s="522">
        <v>0</v>
      </c>
      <c r="N303" s="522">
        <v>4375</v>
      </c>
      <c r="O303" s="522">
        <v>2673</v>
      </c>
      <c r="P303" s="522">
        <v>2865</v>
      </c>
      <c r="Q303" s="522">
        <v>11</v>
      </c>
      <c r="R303" s="523">
        <v>6</v>
      </c>
      <c r="S303" s="523">
        <v>28</v>
      </c>
      <c r="T303" s="523">
        <v>197</v>
      </c>
      <c r="U303" s="523">
        <v>4178</v>
      </c>
      <c r="V303" s="522">
        <v>2393</v>
      </c>
      <c r="W303" s="522">
        <v>13</v>
      </c>
      <c r="X303" s="522">
        <v>17</v>
      </c>
      <c r="Y303" s="522">
        <v>30</v>
      </c>
      <c r="Z303" s="524">
        <v>149.25</v>
      </c>
      <c r="AA303" s="524">
        <v>152.28</v>
      </c>
      <c r="AB303" s="524">
        <v>9.8699999999999992</v>
      </c>
      <c r="AC303" s="524">
        <v>157.91</v>
      </c>
      <c r="AD303" s="524">
        <v>2121</v>
      </c>
      <c r="AE303" s="525">
        <v>131.18</v>
      </c>
      <c r="AF303" s="525">
        <v>126.94</v>
      </c>
      <c r="AG303" s="525">
        <v>78.150000000000006</v>
      </c>
      <c r="AH303" s="525">
        <v>209.33</v>
      </c>
      <c r="AI303" s="525">
        <v>271</v>
      </c>
      <c r="AJ303" s="525">
        <v>202.57</v>
      </c>
      <c r="AK303" s="525">
        <v>235</v>
      </c>
      <c r="AL303" s="525">
        <v>210.4</v>
      </c>
      <c r="AM303" s="525">
        <v>76</v>
      </c>
      <c r="AN303" s="526">
        <v>102.45</v>
      </c>
      <c r="AO303" s="526">
        <v>109.92</v>
      </c>
      <c r="AP303" s="526">
        <v>7.67</v>
      </c>
      <c r="AQ303" s="526">
        <v>110.12</v>
      </c>
      <c r="AR303" s="522">
        <v>4</v>
      </c>
      <c r="AS303" s="526">
        <v>0</v>
      </c>
      <c r="AT303" s="526">
        <v>0</v>
      </c>
      <c r="AU303" s="526">
        <v>0</v>
      </c>
      <c r="AV303" s="526">
        <v>0</v>
      </c>
      <c r="AW303" s="522">
        <v>0</v>
      </c>
      <c r="AX303" s="526">
        <v>119.54</v>
      </c>
      <c r="AY303" s="526">
        <v>121.8</v>
      </c>
      <c r="AZ303" s="526">
        <v>15.55</v>
      </c>
      <c r="BA303" s="526">
        <v>134.94999999999999</v>
      </c>
      <c r="BB303" s="522">
        <v>334</v>
      </c>
      <c r="BC303" s="526">
        <v>144.83000000000001</v>
      </c>
      <c r="BD303" s="526">
        <v>147.09</v>
      </c>
      <c r="BE303" s="526">
        <v>11.01</v>
      </c>
      <c r="BF303" s="526">
        <v>154.75</v>
      </c>
      <c r="BG303" s="522">
        <v>995</v>
      </c>
      <c r="BH303" s="526">
        <v>164.01</v>
      </c>
      <c r="BI303" s="526">
        <v>166.99</v>
      </c>
      <c r="BJ303" s="526">
        <v>5.32</v>
      </c>
      <c r="BK303" s="526">
        <v>168.28</v>
      </c>
      <c r="BL303" s="522">
        <v>641</v>
      </c>
      <c r="BM303" s="526">
        <v>183.15</v>
      </c>
      <c r="BN303" s="526">
        <v>192.91</v>
      </c>
      <c r="BO303" s="526">
        <v>5.2</v>
      </c>
      <c r="BP303" s="526">
        <v>187.26</v>
      </c>
      <c r="BQ303" s="522">
        <v>143</v>
      </c>
      <c r="BR303" s="526">
        <v>196.12</v>
      </c>
      <c r="BS303" s="526">
        <v>219.85</v>
      </c>
      <c r="BT303" s="526">
        <v>2.92</v>
      </c>
      <c r="BU303" s="526">
        <v>198.31</v>
      </c>
      <c r="BV303" s="522">
        <v>4</v>
      </c>
      <c r="BW303" s="526">
        <v>0</v>
      </c>
      <c r="BX303" s="526">
        <v>0</v>
      </c>
      <c r="BY303" s="526">
        <v>0</v>
      </c>
      <c r="BZ303" s="526">
        <v>0</v>
      </c>
      <c r="CA303" s="522">
        <v>0</v>
      </c>
      <c r="CB303" s="526">
        <v>149.33000000000001</v>
      </c>
      <c r="CC303" s="526">
        <v>152.36000000000001</v>
      </c>
      <c r="CD303" s="526">
        <v>9.8800000000000008</v>
      </c>
      <c r="CE303" s="526">
        <v>158</v>
      </c>
      <c r="CF303" s="522">
        <v>2117</v>
      </c>
      <c r="CG303" s="526">
        <v>149.25</v>
      </c>
      <c r="CH303" s="526">
        <v>152.28</v>
      </c>
      <c r="CI303" s="526">
        <v>9.8699999999999992</v>
      </c>
      <c r="CJ303" s="526">
        <v>157.91</v>
      </c>
      <c r="CK303" s="522">
        <v>2121</v>
      </c>
      <c r="CL303" s="526">
        <v>121.65</v>
      </c>
      <c r="CM303" s="526">
        <v>97.19</v>
      </c>
      <c r="CN303" s="526">
        <v>85.38</v>
      </c>
      <c r="CO303" s="526">
        <v>207.03</v>
      </c>
      <c r="CP303" s="522">
        <v>40</v>
      </c>
      <c r="CQ303" s="526">
        <v>111.04</v>
      </c>
      <c r="CR303" s="526">
        <v>120.65</v>
      </c>
      <c r="CS303" s="526">
        <v>23.41</v>
      </c>
      <c r="CT303" s="526">
        <v>134.44999999999999</v>
      </c>
      <c r="CU303" s="522">
        <v>1</v>
      </c>
      <c r="CV303" s="526">
        <v>128.01</v>
      </c>
      <c r="CW303" s="526">
        <v>124.85</v>
      </c>
      <c r="CX303" s="526">
        <v>81.84</v>
      </c>
      <c r="CY303" s="526">
        <v>209.85</v>
      </c>
      <c r="CZ303" s="522">
        <v>173</v>
      </c>
      <c r="DA303" s="526">
        <v>148.4</v>
      </c>
      <c r="DB303" s="526">
        <v>142.46</v>
      </c>
      <c r="DC303" s="526">
        <v>61.66</v>
      </c>
      <c r="DD303" s="526">
        <v>210.05</v>
      </c>
      <c r="DE303" s="522">
        <v>56</v>
      </c>
      <c r="DF303" s="526">
        <v>117.6</v>
      </c>
      <c r="DG303" s="526">
        <v>117.6</v>
      </c>
      <c r="DH303" s="526">
        <v>127.77</v>
      </c>
      <c r="DI303" s="526">
        <v>245.37</v>
      </c>
      <c r="DJ303" s="522">
        <v>1</v>
      </c>
      <c r="DK303" s="526">
        <v>0</v>
      </c>
      <c r="DL303" s="526">
        <v>0</v>
      </c>
      <c r="DM303" s="526">
        <v>0</v>
      </c>
      <c r="DN303" s="526">
        <v>0</v>
      </c>
      <c r="DO303" s="522">
        <v>0</v>
      </c>
      <c r="DP303" s="526">
        <v>132.83000000000001</v>
      </c>
      <c r="DQ303" s="526">
        <v>129.01</v>
      </c>
      <c r="DR303" s="526">
        <v>76.900000000000006</v>
      </c>
      <c r="DS303" s="526">
        <v>209.73</v>
      </c>
      <c r="DT303" s="522">
        <v>231</v>
      </c>
      <c r="DU303" s="526">
        <v>131.18</v>
      </c>
      <c r="DV303" s="526">
        <v>126.94</v>
      </c>
      <c r="DW303" s="526">
        <v>78.150000000000006</v>
      </c>
      <c r="DX303" s="526">
        <v>209.33</v>
      </c>
      <c r="DY303" s="522">
        <v>271</v>
      </c>
      <c r="DZ303" s="526">
        <v>0</v>
      </c>
      <c r="EA303" s="526">
        <v>0</v>
      </c>
      <c r="EB303" s="526">
        <v>0</v>
      </c>
      <c r="EC303" s="522">
        <v>0</v>
      </c>
      <c r="ED303" s="526">
        <v>166.76</v>
      </c>
      <c r="EE303" s="522">
        <v>62</v>
      </c>
      <c r="EF303" s="526">
        <v>210.35</v>
      </c>
      <c r="EG303" s="522">
        <v>147</v>
      </c>
      <c r="EH303" s="526">
        <v>242.82</v>
      </c>
      <c r="EI303" s="522">
        <v>25</v>
      </c>
      <c r="EJ303" s="526">
        <v>271.73</v>
      </c>
      <c r="EK303" s="522">
        <v>1</v>
      </c>
      <c r="EL303" s="526">
        <v>0</v>
      </c>
      <c r="EM303" s="522">
        <v>0</v>
      </c>
      <c r="EN303" s="526">
        <v>0</v>
      </c>
      <c r="EO303" s="522">
        <v>0</v>
      </c>
      <c r="EP303" s="526">
        <v>202.57</v>
      </c>
      <c r="EQ303" s="522">
        <v>235</v>
      </c>
      <c r="ER303" s="526">
        <v>202.57</v>
      </c>
      <c r="ES303" s="522">
        <v>235</v>
      </c>
      <c r="ET303" s="526">
        <v>193.12</v>
      </c>
      <c r="EU303" s="526">
        <v>18</v>
      </c>
      <c r="EV303" s="526">
        <v>111.68</v>
      </c>
      <c r="EW303" s="522">
        <v>2</v>
      </c>
      <c r="EX303" s="526">
        <v>218.05</v>
      </c>
      <c r="EY303" s="522">
        <v>51</v>
      </c>
      <c r="EZ303" s="526">
        <v>233.99</v>
      </c>
      <c r="FA303" s="522">
        <v>5</v>
      </c>
      <c r="FB303" s="526">
        <v>0</v>
      </c>
      <c r="FC303" s="522">
        <v>0</v>
      </c>
      <c r="FD303" s="526">
        <v>0</v>
      </c>
      <c r="FE303" s="522">
        <v>0</v>
      </c>
      <c r="FF303" s="526">
        <v>215.76</v>
      </c>
      <c r="FG303" s="522">
        <v>58</v>
      </c>
      <c r="FH303" s="526">
        <v>210.4</v>
      </c>
      <c r="FI303" s="522">
        <v>76</v>
      </c>
      <c r="FJ303" s="522">
        <v>0</v>
      </c>
      <c r="FK303" s="522">
        <v>0</v>
      </c>
      <c r="FL303" s="522">
        <v>0</v>
      </c>
      <c r="FM303" s="522">
        <v>0</v>
      </c>
      <c r="FN303" s="522">
        <v>0</v>
      </c>
      <c r="FO303" s="522">
        <v>0</v>
      </c>
      <c r="FP303" s="522">
        <v>0</v>
      </c>
      <c r="FQ303" s="522">
        <v>66</v>
      </c>
      <c r="FR303" s="522">
        <v>8</v>
      </c>
    </row>
    <row r="304" spans="1:174" x14ac:dyDescent="0.25">
      <c r="A304" s="523" t="s">
        <v>852</v>
      </c>
      <c r="B304" s="523" t="s">
        <v>853</v>
      </c>
      <c r="C304" s="523" t="s">
        <v>288</v>
      </c>
      <c r="D304" s="522">
        <v>5180</v>
      </c>
      <c r="E304" s="522">
        <v>5076</v>
      </c>
      <c r="F304" s="522">
        <v>43</v>
      </c>
      <c r="G304" s="522">
        <v>7</v>
      </c>
      <c r="H304" s="522">
        <v>541</v>
      </c>
      <c r="I304" s="522">
        <v>322</v>
      </c>
      <c r="J304" s="522">
        <v>1282</v>
      </c>
      <c r="K304" s="522">
        <v>1242</v>
      </c>
      <c r="L304" s="522">
        <v>339</v>
      </c>
      <c r="M304" s="522">
        <v>0</v>
      </c>
      <c r="N304" s="522">
        <v>7385</v>
      </c>
      <c r="O304" s="522">
        <v>6647</v>
      </c>
      <c r="P304" s="522">
        <v>7046</v>
      </c>
      <c r="Q304" s="522">
        <v>16</v>
      </c>
      <c r="R304" s="523">
        <v>11</v>
      </c>
      <c r="S304" s="523">
        <v>22</v>
      </c>
      <c r="T304" s="523">
        <v>328</v>
      </c>
      <c r="U304" s="523">
        <v>7057</v>
      </c>
      <c r="V304" s="522">
        <v>5131</v>
      </c>
      <c r="W304" s="522">
        <v>44</v>
      </c>
      <c r="X304" s="522">
        <v>46</v>
      </c>
      <c r="Y304" s="522">
        <v>90</v>
      </c>
      <c r="Z304" s="524">
        <v>100.42</v>
      </c>
      <c r="AA304" s="524">
        <v>100.01</v>
      </c>
      <c r="AB304" s="524">
        <v>9.06</v>
      </c>
      <c r="AC304" s="524">
        <v>108.26</v>
      </c>
      <c r="AD304" s="524">
        <v>4071</v>
      </c>
      <c r="AE304" s="525">
        <v>114.19</v>
      </c>
      <c r="AF304" s="525">
        <v>98.88</v>
      </c>
      <c r="AG304" s="525">
        <v>66.760000000000005</v>
      </c>
      <c r="AH304" s="525">
        <v>178.01</v>
      </c>
      <c r="AI304" s="525">
        <v>1544</v>
      </c>
      <c r="AJ304" s="525">
        <v>130.87</v>
      </c>
      <c r="AK304" s="525">
        <v>976</v>
      </c>
      <c r="AL304" s="525">
        <v>198.82</v>
      </c>
      <c r="AM304" s="525">
        <v>40</v>
      </c>
      <c r="AN304" s="526">
        <v>72.59</v>
      </c>
      <c r="AO304" s="526">
        <v>74.83</v>
      </c>
      <c r="AP304" s="526">
        <v>14.24</v>
      </c>
      <c r="AQ304" s="526">
        <v>86.83</v>
      </c>
      <c r="AR304" s="522">
        <v>7</v>
      </c>
      <c r="AS304" s="526">
        <v>78.400000000000006</v>
      </c>
      <c r="AT304" s="526">
        <v>76.13</v>
      </c>
      <c r="AU304" s="526">
        <v>16.489999999999998</v>
      </c>
      <c r="AV304" s="526">
        <v>94.89</v>
      </c>
      <c r="AW304" s="522">
        <v>77</v>
      </c>
      <c r="AX304" s="526">
        <v>88.63</v>
      </c>
      <c r="AY304" s="526">
        <v>88.15</v>
      </c>
      <c r="AZ304" s="526">
        <v>14.71</v>
      </c>
      <c r="BA304" s="526">
        <v>103.04</v>
      </c>
      <c r="BB304" s="522">
        <v>1096</v>
      </c>
      <c r="BC304" s="526">
        <v>101.18</v>
      </c>
      <c r="BD304" s="526">
        <v>100.6</v>
      </c>
      <c r="BE304" s="526">
        <v>8.16</v>
      </c>
      <c r="BF304" s="526">
        <v>108.2</v>
      </c>
      <c r="BG304" s="522">
        <v>1926</v>
      </c>
      <c r="BH304" s="526">
        <v>112.24</v>
      </c>
      <c r="BI304" s="526">
        <v>112.31</v>
      </c>
      <c r="BJ304" s="526">
        <v>1.7</v>
      </c>
      <c r="BK304" s="526">
        <v>113.49</v>
      </c>
      <c r="BL304" s="522">
        <v>807</v>
      </c>
      <c r="BM304" s="526">
        <v>123.49</v>
      </c>
      <c r="BN304" s="526">
        <v>124.18</v>
      </c>
      <c r="BO304" s="526">
        <v>2.09</v>
      </c>
      <c r="BP304" s="526">
        <v>124.98</v>
      </c>
      <c r="BQ304" s="522">
        <v>144</v>
      </c>
      <c r="BR304" s="526">
        <v>134.11000000000001</v>
      </c>
      <c r="BS304" s="526">
        <v>135.94</v>
      </c>
      <c r="BT304" s="526">
        <v>0.81</v>
      </c>
      <c r="BU304" s="526">
        <v>134.79</v>
      </c>
      <c r="BV304" s="522">
        <v>13</v>
      </c>
      <c r="BW304" s="526">
        <v>141.91</v>
      </c>
      <c r="BX304" s="526">
        <v>140.32</v>
      </c>
      <c r="BY304" s="526">
        <v>0.47</v>
      </c>
      <c r="BZ304" s="526">
        <v>142.38</v>
      </c>
      <c r="CA304" s="522">
        <v>1</v>
      </c>
      <c r="CB304" s="526">
        <v>100.46</v>
      </c>
      <c r="CC304" s="526">
        <v>100.05</v>
      </c>
      <c r="CD304" s="526">
        <v>9.0500000000000007</v>
      </c>
      <c r="CE304" s="526">
        <v>108.29</v>
      </c>
      <c r="CF304" s="522">
        <v>4064</v>
      </c>
      <c r="CG304" s="526">
        <v>100.42</v>
      </c>
      <c r="CH304" s="526">
        <v>100.01</v>
      </c>
      <c r="CI304" s="526">
        <v>9.06</v>
      </c>
      <c r="CJ304" s="526">
        <v>108.26</v>
      </c>
      <c r="CK304" s="522">
        <v>4071</v>
      </c>
      <c r="CL304" s="526">
        <v>107.91</v>
      </c>
      <c r="CM304" s="526">
        <v>80.97</v>
      </c>
      <c r="CN304" s="526">
        <v>159.88999999999999</v>
      </c>
      <c r="CO304" s="526">
        <v>251.4</v>
      </c>
      <c r="CP304" s="522">
        <v>78</v>
      </c>
      <c r="CQ304" s="526">
        <v>83.01</v>
      </c>
      <c r="CR304" s="526">
        <v>77.069999999999993</v>
      </c>
      <c r="CS304" s="526">
        <v>51.76</v>
      </c>
      <c r="CT304" s="526">
        <v>127.38</v>
      </c>
      <c r="CU304" s="522">
        <v>56</v>
      </c>
      <c r="CV304" s="526">
        <v>115.49</v>
      </c>
      <c r="CW304" s="526">
        <v>98.57</v>
      </c>
      <c r="CX304" s="526">
        <v>64.72</v>
      </c>
      <c r="CY304" s="526">
        <v>178.16</v>
      </c>
      <c r="CZ304" s="522">
        <v>1203</v>
      </c>
      <c r="DA304" s="526">
        <v>117.32</v>
      </c>
      <c r="DB304" s="526">
        <v>111.23</v>
      </c>
      <c r="DC304" s="526">
        <v>50.11</v>
      </c>
      <c r="DD304" s="526">
        <v>163.93</v>
      </c>
      <c r="DE304" s="522">
        <v>200</v>
      </c>
      <c r="DF304" s="526">
        <v>121.05</v>
      </c>
      <c r="DG304" s="526">
        <v>115.66</v>
      </c>
      <c r="DH304" s="526">
        <v>20.56</v>
      </c>
      <c r="DI304" s="526">
        <v>141.61000000000001</v>
      </c>
      <c r="DJ304" s="522">
        <v>7</v>
      </c>
      <c r="DK304" s="526">
        <v>0</v>
      </c>
      <c r="DL304" s="526">
        <v>0</v>
      </c>
      <c r="DM304" s="526">
        <v>0</v>
      </c>
      <c r="DN304" s="526">
        <v>0</v>
      </c>
      <c r="DO304" s="522">
        <v>0</v>
      </c>
      <c r="DP304" s="526">
        <v>114.52</v>
      </c>
      <c r="DQ304" s="526">
        <v>99.61</v>
      </c>
      <c r="DR304" s="526">
        <v>62.12</v>
      </c>
      <c r="DS304" s="526">
        <v>174.11</v>
      </c>
      <c r="DT304" s="522">
        <v>1466</v>
      </c>
      <c r="DU304" s="526">
        <v>114.19</v>
      </c>
      <c r="DV304" s="526">
        <v>98.88</v>
      </c>
      <c r="DW304" s="526">
        <v>66.760000000000005</v>
      </c>
      <c r="DX304" s="526">
        <v>178.01</v>
      </c>
      <c r="DY304" s="522">
        <v>1544</v>
      </c>
      <c r="DZ304" s="526">
        <v>145.6</v>
      </c>
      <c r="EA304" s="526">
        <v>27</v>
      </c>
      <c r="EB304" s="526">
        <v>134.9</v>
      </c>
      <c r="EC304" s="522">
        <v>36</v>
      </c>
      <c r="ED304" s="526">
        <v>100.18</v>
      </c>
      <c r="EE304" s="522">
        <v>123</v>
      </c>
      <c r="EF304" s="526">
        <v>127.2</v>
      </c>
      <c r="EG304" s="522">
        <v>556</v>
      </c>
      <c r="EH304" s="526">
        <v>145.05000000000001</v>
      </c>
      <c r="EI304" s="522">
        <v>172</v>
      </c>
      <c r="EJ304" s="526">
        <v>176.55</v>
      </c>
      <c r="EK304" s="522">
        <v>61</v>
      </c>
      <c r="EL304" s="526">
        <v>172.6</v>
      </c>
      <c r="EM304" s="522">
        <v>1</v>
      </c>
      <c r="EN304" s="526">
        <v>0</v>
      </c>
      <c r="EO304" s="522">
        <v>0</v>
      </c>
      <c r="EP304" s="526">
        <v>130.44999999999999</v>
      </c>
      <c r="EQ304" s="522">
        <v>949</v>
      </c>
      <c r="ER304" s="526">
        <v>130.87</v>
      </c>
      <c r="ES304" s="522">
        <v>976</v>
      </c>
      <c r="ET304" s="526">
        <v>0</v>
      </c>
      <c r="EU304" s="526">
        <v>0</v>
      </c>
      <c r="EV304" s="526">
        <v>0</v>
      </c>
      <c r="EW304" s="522">
        <v>0</v>
      </c>
      <c r="EX304" s="526">
        <v>198.82</v>
      </c>
      <c r="EY304" s="522">
        <v>40</v>
      </c>
      <c r="EZ304" s="526">
        <v>0</v>
      </c>
      <c r="FA304" s="522">
        <v>0</v>
      </c>
      <c r="FB304" s="526">
        <v>0</v>
      </c>
      <c r="FC304" s="522">
        <v>0</v>
      </c>
      <c r="FD304" s="526">
        <v>0</v>
      </c>
      <c r="FE304" s="522">
        <v>0</v>
      </c>
      <c r="FF304" s="526">
        <v>198.82</v>
      </c>
      <c r="FG304" s="522">
        <v>40</v>
      </c>
      <c r="FH304" s="526">
        <v>198.82</v>
      </c>
      <c r="FI304" s="522">
        <v>40</v>
      </c>
      <c r="FJ304" s="522">
        <v>0</v>
      </c>
      <c r="FK304" s="522">
        <v>2</v>
      </c>
      <c r="FL304" s="522">
        <v>1</v>
      </c>
      <c r="FM304" s="522">
        <v>0</v>
      </c>
      <c r="FN304" s="522">
        <v>1</v>
      </c>
      <c r="FO304" s="522">
        <v>0</v>
      </c>
      <c r="FP304" s="522">
        <v>1</v>
      </c>
      <c r="FQ304" s="522">
        <v>15</v>
      </c>
      <c r="FR304" s="522">
        <v>9</v>
      </c>
    </row>
    <row r="305" spans="1:174" x14ac:dyDescent="0.25">
      <c r="A305" s="523" t="s">
        <v>854</v>
      </c>
      <c r="B305" s="523" t="s">
        <v>855</v>
      </c>
      <c r="C305" s="523" t="s">
        <v>288</v>
      </c>
      <c r="D305" s="522">
        <v>6475</v>
      </c>
      <c r="E305" s="522">
        <v>6398</v>
      </c>
      <c r="F305" s="522">
        <v>46</v>
      </c>
      <c r="G305" s="522">
        <v>41</v>
      </c>
      <c r="H305" s="522">
        <v>575</v>
      </c>
      <c r="I305" s="522">
        <v>353</v>
      </c>
      <c r="J305" s="522">
        <v>860</v>
      </c>
      <c r="K305" s="522">
        <v>860</v>
      </c>
      <c r="L305" s="522">
        <v>608</v>
      </c>
      <c r="M305" s="522">
        <v>6</v>
      </c>
      <c r="N305" s="522">
        <v>8564</v>
      </c>
      <c r="O305" s="522">
        <v>7658</v>
      </c>
      <c r="P305" s="522">
        <v>7956</v>
      </c>
      <c r="Q305" s="522">
        <v>13</v>
      </c>
      <c r="R305" s="523">
        <v>11</v>
      </c>
      <c r="S305" s="523">
        <v>21</v>
      </c>
      <c r="T305" s="523">
        <v>253</v>
      </c>
      <c r="U305" s="523">
        <v>8311</v>
      </c>
      <c r="V305" s="522">
        <v>6397</v>
      </c>
      <c r="W305" s="522">
        <v>22</v>
      </c>
      <c r="X305" s="522">
        <v>19</v>
      </c>
      <c r="Y305" s="522">
        <v>41</v>
      </c>
      <c r="Z305" s="524">
        <v>100.01</v>
      </c>
      <c r="AA305" s="524">
        <v>104.24</v>
      </c>
      <c r="AB305" s="524">
        <v>7.72</v>
      </c>
      <c r="AC305" s="524">
        <v>107.16</v>
      </c>
      <c r="AD305" s="524">
        <v>5385</v>
      </c>
      <c r="AE305" s="525">
        <v>99.1</v>
      </c>
      <c r="AF305" s="525">
        <v>94.94</v>
      </c>
      <c r="AG305" s="525">
        <v>60.24</v>
      </c>
      <c r="AH305" s="525">
        <v>158.6</v>
      </c>
      <c r="AI305" s="525">
        <v>1128</v>
      </c>
      <c r="AJ305" s="525">
        <v>132.63</v>
      </c>
      <c r="AK305" s="525">
        <v>1023</v>
      </c>
      <c r="AL305" s="525">
        <v>231.22</v>
      </c>
      <c r="AM305" s="525">
        <v>169</v>
      </c>
      <c r="AN305" s="526">
        <v>0</v>
      </c>
      <c r="AO305" s="526">
        <v>0</v>
      </c>
      <c r="AP305" s="526">
        <v>0</v>
      </c>
      <c r="AQ305" s="526">
        <v>0</v>
      </c>
      <c r="AR305" s="522">
        <v>0</v>
      </c>
      <c r="AS305" s="526">
        <v>70.34</v>
      </c>
      <c r="AT305" s="526">
        <v>72.510000000000005</v>
      </c>
      <c r="AU305" s="526">
        <v>15.19</v>
      </c>
      <c r="AV305" s="526">
        <v>85.44</v>
      </c>
      <c r="AW305" s="522">
        <v>177</v>
      </c>
      <c r="AX305" s="526">
        <v>83.96</v>
      </c>
      <c r="AY305" s="526">
        <v>86.82</v>
      </c>
      <c r="AZ305" s="526">
        <v>13.32</v>
      </c>
      <c r="BA305" s="526">
        <v>97.24</v>
      </c>
      <c r="BB305" s="522">
        <v>1167</v>
      </c>
      <c r="BC305" s="526">
        <v>99.75</v>
      </c>
      <c r="BD305" s="526">
        <v>102.93</v>
      </c>
      <c r="BE305" s="526">
        <v>9.14</v>
      </c>
      <c r="BF305" s="526">
        <v>108.17</v>
      </c>
      <c r="BG305" s="522">
        <v>1817</v>
      </c>
      <c r="BH305" s="526">
        <v>109.43</v>
      </c>
      <c r="BI305" s="526">
        <v>115.53</v>
      </c>
      <c r="BJ305" s="526">
        <v>2.5099999999999998</v>
      </c>
      <c r="BK305" s="526">
        <v>111.66</v>
      </c>
      <c r="BL305" s="522">
        <v>2051</v>
      </c>
      <c r="BM305" s="526">
        <v>129.19</v>
      </c>
      <c r="BN305" s="526">
        <v>134.41</v>
      </c>
      <c r="BO305" s="526">
        <v>3.01</v>
      </c>
      <c r="BP305" s="526">
        <v>131.88</v>
      </c>
      <c r="BQ305" s="522">
        <v>171</v>
      </c>
      <c r="BR305" s="526">
        <v>157.96</v>
      </c>
      <c r="BS305" s="526">
        <v>164.02</v>
      </c>
      <c r="BT305" s="526">
        <v>0</v>
      </c>
      <c r="BU305" s="526">
        <v>157.96</v>
      </c>
      <c r="BV305" s="522">
        <v>1</v>
      </c>
      <c r="BW305" s="526">
        <v>181.35</v>
      </c>
      <c r="BX305" s="526">
        <v>176.57</v>
      </c>
      <c r="BY305" s="526">
        <v>0</v>
      </c>
      <c r="BZ305" s="526">
        <v>181.35</v>
      </c>
      <c r="CA305" s="522">
        <v>1</v>
      </c>
      <c r="CB305" s="526">
        <v>100.01</v>
      </c>
      <c r="CC305" s="526">
        <v>104.24</v>
      </c>
      <c r="CD305" s="526">
        <v>7.72</v>
      </c>
      <c r="CE305" s="526">
        <v>107.16</v>
      </c>
      <c r="CF305" s="522">
        <v>5385</v>
      </c>
      <c r="CG305" s="526">
        <v>100.01</v>
      </c>
      <c r="CH305" s="526">
        <v>104.24</v>
      </c>
      <c r="CI305" s="526">
        <v>7.72</v>
      </c>
      <c r="CJ305" s="526">
        <v>107.16</v>
      </c>
      <c r="CK305" s="522">
        <v>5385</v>
      </c>
      <c r="CL305" s="526">
        <v>106.71</v>
      </c>
      <c r="CM305" s="526">
        <v>69.37</v>
      </c>
      <c r="CN305" s="526">
        <v>163.66</v>
      </c>
      <c r="CO305" s="526">
        <v>253.72</v>
      </c>
      <c r="CP305" s="522">
        <v>118</v>
      </c>
      <c r="CQ305" s="526">
        <v>86.23</v>
      </c>
      <c r="CR305" s="526">
        <v>82.89</v>
      </c>
      <c r="CS305" s="526">
        <v>62.09</v>
      </c>
      <c r="CT305" s="526">
        <v>148.32</v>
      </c>
      <c r="CU305" s="522">
        <v>41</v>
      </c>
      <c r="CV305" s="526">
        <v>94.05</v>
      </c>
      <c r="CW305" s="526">
        <v>93.12</v>
      </c>
      <c r="CX305" s="526">
        <v>51.52</v>
      </c>
      <c r="CY305" s="526">
        <v>145.57</v>
      </c>
      <c r="CZ305" s="522">
        <v>777</v>
      </c>
      <c r="DA305" s="526">
        <v>117.47</v>
      </c>
      <c r="DB305" s="526">
        <v>109.08</v>
      </c>
      <c r="DC305" s="526">
        <v>37.880000000000003</v>
      </c>
      <c r="DD305" s="526">
        <v>154.94999999999999</v>
      </c>
      <c r="DE305" s="522">
        <v>191</v>
      </c>
      <c r="DF305" s="526">
        <v>145.59</v>
      </c>
      <c r="DG305" s="526">
        <v>145.6</v>
      </c>
      <c r="DH305" s="526">
        <v>28.52</v>
      </c>
      <c r="DI305" s="526">
        <v>174.11</v>
      </c>
      <c r="DJ305" s="522">
        <v>1</v>
      </c>
      <c r="DK305" s="526">
        <v>0</v>
      </c>
      <c r="DL305" s="526">
        <v>0</v>
      </c>
      <c r="DM305" s="526">
        <v>0</v>
      </c>
      <c r="DN305" s="526">
        <v>0</v>
      </c>
      <c r="DO305" s="522">
        <v>0</v>
      </c>
      <c r="DP305" s="526">
        <v>98.21</v>
      </c>
      <c r="DQ305" s="526">
        <v>95.87</v>
      </c>
      <c r="DR305" s="526">
        <v>49.37</v>
      </c>
      <c r="DS305" s="526">
        <v>147.47999999999999</v>
      </c>
      <c r="DT305" s="522">
        <v>1010</v>
      </c>
      <c r="DU305" s="526">
        <v>99.1</v>
      </c>
      <c r="DV305" s="526">
        <v>94.94</v>
      </c>
      <c r="DW305" s="526">
        <v>60.24</v>
      </c>
      <c r="DX305" s="526">
        <v>158.6</v>
      </c>
      <c r="DY305" s="522">
        <v>1128</v>
      </c>
      <c r="DZ305" s="526">
        <v>0</v>
      </c>
      <c r="EA305" s="526">
        <v>0</v>
      </c>
      <c r="EB305" s="526">
        <v>111.78</v>
      </c>
      <c r="EC305" s="522">
        <v>4</v>
      </c>
      <c r="ED305" s="526">
        <v>116.7</v>
      </c>
      <c r="EE305" s="522">
        <v>189</v>
      </c>
      <c r="EF305" s="526">
        <v>134.30000000000001</v>
      </c>
      <c r="EG305" s="522">
        <v>428</v>
      </c>
      <c r="EH305" s="526">
        <v>134.91999999999999</v>
      </c>
      <c r="EI305" s="522">
        <v>365</v>
      </c>
      <c r="EJ305" s="526">
        <v>174.32</v>
      </c>
      <c r="EK305" s="522">
        <v>37</v>
      </c>
      <c r="EL305" s="526">
        <v>0</v>
      </c>
      <c r="EM305" s="522">
        <v>0</v>
      </c>
      <c r="EN305" s="526">
        <v>0</v>
      </c>
      <c r="EO305" s="522">
        <v>0</v>
      </c>
      <c r="EP305" s="526">
        <v>132.63</v>
      </c>
      <c r="EQ305" s="522">
        <v>1023</v>
      </c>
      <c r="ER305" s="526">
        <v>132.63</v>
      </c>
      <c r="ES305" s="522">
        <v>1023</v>
      </c>
      <c r="ET305" s="526">
        <v>0</v>
      </c>
      <c r="EU305" s="526">
        <v>0</v>
      </c>
      <c r="EV305" s="526">
        <v>0</v>
      </c>
      <c r="EW305" s="522">
        <v>0</v>
      </c>
      <c r="EX305" s="526">
        <v>228.11</v>
      </c>
      <c r="EY305" s="522">
        <v>106</v>
      </c>
      <c r="EZ305" s="526">
        <v>236.46</v>
      </c>
      <c r="FA305" s="522">
        <v>63</v>
      </c>
      <c r="FB305" s="526">
        <v>0</v>
      </c>
      <c r="FC305" s="522">
        <v>0</v>
      </c>
      <c r="FD305" s="526">
        <v>0</v>
      </c>
      <c r="FE305" s="522">
        <v>0</v>
      </c>
      <c r="FF305" s="526">
        <v>231.22</v>
      </c>
      <c r="FG305" s="522">
        <v>169</v>
      </c>
      <c r="FH305" s="526">
        <v>231.22</v>
      </c>
      <c r="FI305" s="522">
        <v>169</v>
      </c>
      <c r="FJ305" s="522">
        <v>0</v>
      </c>
      <c r="FK305" s="522">
        <v>4</v>
      </c>
      <c r="FL305" s="522">
        <v>2</v>
      </c>
      <c r="FM305" s="522">
        <v>0</v>
      </c>
      <c r="FN305" s="522">
        <v>2</v>
      </c>
      <c r="FO305" s="522">
        <v>0</v>
      </c>
      <c r="FP305" s="522">
        <v>0</v>
      </c>
      <c r="FQ305" s="522">
        <v>17</v>
      </c>
      <c r="FR305" s="522">
        <v>8</v>
      </c>
    </row>
    <row r="306" spans="1:174" x14ac:dyDescent="0.25">
      <c r="A306" s="523" t="s">
        <v>856</v>
      </c>
      <c r="B306" s="523" t="s">
        <v>857</v>
      </c>
      <c r="C306" s="523" t="s">
        <v>2</v>
      </c>
      <c r="D306" s="522">
        <v>4201</v>
      </c>
      <c r="E306" s="522">
        <v>4175</v>
      </c>
      <c r="F306" s="522">
        <v>0</v>
      </c>
      <c r="G306" s="522">
        <v>0</v>
      </c>
      <c r="H306" s="522">
        <v>176</v>
      </c>
      <c r="I306" s="522">
        <v>79</v>
      </c>
      <c r="J306" s="522">
        <v>534</v>
      </c>
      <c r="K306" s="522">
        <v>502</v>
      </c>
      <c r="L306" s="522">
        <v>267</v>
      </c>
      <c r="M306" s="522">
        <v>0</v>
      </c>
      <c r="N306" s="522">
        <v>5178</v>
      </c>
      <c r="O306" s="522">
        <v>4756</v>
      </c>
      <c r="P306" s="522">
        <v>4911</v>
      </c>
      <c r="Q306" s="522">
        <v>21</v>
      </c>
      <c r="R306" s="523">
        <v>6</v>
      </c>
      <c r="S306" s="523">
        <v>16</v>
      </c>
      <c r="T306" s="523">
        <v>200</v>
      </c>
      <c r="U306" s="523">
        <v>4978</v>
      </c>
      <c r="V306" s="522">
        <v>4185</v>
      </c>
      <c r="W306" s="522">
        <v>5</v>
      </c>
      <c r="X306" s="522">
        <v>32</v>
      </c>
      <c r="Y306" s="522">
        <v>37</v>
      </c>
      <c r="Z306" s="524">
        <v>116.34</v>
      </c>
      <c r="AA306" s="524">
        <v>117.99</v>
      </c>
      <c r="AB306" s="524">
        <v>8.08</v>
      </c>
      <c r="AC306" s="524">
        <v>121.43</v>
      </c>
      <c r="AD306" s="524">
        <v>3758</v>
      </c>
      <c r="AE306" s="525">
        <v>109.36</v>
      </c>
      <c r="AF306" s="525">
        <v>96.45</v>
      </c>
      <c r="AG306" s="525">
        <v>57.93</v>
      </c>
      <c r="AH306" s="525">
        <v>167.29</v>
      </c>
      <c r="AI306" s="525">
        <v>526</v>
      </c>
      <c r="AJ306" s="525">
        <v>174.16</v>
      </c>
      <c r="AK306" s="525">
        <v>310</v>
      </c>
      <c r="AL306" s="525">
        <v>0</v>
      </c>
      <c r="AM306" s="525">
        <v>0</v>
      </c>
      <c r="AN306" s="526">
        <v>0</v>
      </c>
      <c r="AO306" s="526">
        <v>0</v>
      </c>
      <c r="AP306" s="526">
        <v>0</v>
      </c>
      <c r="AQ306" s="526">
        <v>0</v>
      </c>
      <c r="AR306" s="522">
        <v>0</v>
      </c>
      <c r="AS306" s="526">
        <v>83.56</v>
      </c>
      <c r="AT306" s="526">
        <v>83.76</v>
      </c>
      <c r="AU306" s="526">
        <v>8.2899999999999991</v>
      </c>
      <c r="AV306" s="526">
        <v>91.78</v>
      </c>
      <c r="AW306" s="522">
        <v>113</v>
      </c>
      <c r="AX306" s="526">
        <v>99.53</v>
      </c>
      <c r="AY306" s="526">
        <v>99.25</v>
      </c>
      <c r="AZ306" s="526">
        <v>9.56</v>
      </c>
      <c r="BA306" s="526">
        <v>108.29</v>
      </c>
      <c r="BB306" s="522">
        <v>1041</v>
      </c>
      <c r="BC306" s="526">
        <v>117.12</v>
      </c>
      <c r="BD306" s="526">
        <v>118.2</v>
      </c>
      <c r="BE306" s="526">
        <v>8.77</v>
      </c>
      <c r="BF306" s="526">
        <v>123.61</v>
      </c>
      <c r="BG306" s="522">
        <v>1232</v>
      </c>
      <c r="BH306" s="526">
        <v>130.19</v>
      </c>
      <c r="BI306" s="526">
        <v>133.72</v>
      </c>
      <c r="BJ306" s="526">
        <v>2.81</v>
      </c>
      <c r="BK306" s="526">
        <v>130.94999999999999</v>
      </c>
      <c r="BL306" s="522">
        <v>1299</v>
      </c>
      <c r="BM306" s="526">
        <v>146.59</v>
      </c>
      <c r="BN306" s="526">
        <v>153.18</v>
      </c>
      <c r="BO306" s="526">
        <v>2.3199999999999998</v>
      </c>
      <c r="BP306" s="526">
        <v>147.82</v>
      </c>
      <c r="BQ306" s="522">
        <v>68</v>
      </c>
      <c r="BR306" s="526">
        <v>137.44</v>
      </c>
      <c r="BS306" s="526">
        <v>170.64</v>
      </c>
      <c r="BT306" s="526">
        <v>0</v>
      </c>
      <c r="BU306" s="526">
        <v>137.44</v>
      </c>
      <c r="BV306" s="522">
        <v>2</v>
      </c>
      <c r="BW306" s="526">
        <v>169.79</v>
      </c>
      <c r="BX306" s="526">
        <v>181.2</v>
      </c>
      <c r="BY306" s="526">
        <v>3.12</v>
      </c>
      <c r="BZ306" s="526">
        <v>172.91</v>
      </c>
      <c r="CA306" s="522">
        <v>3</v>
      </c>
      <c r="CB306" s="526">
        <v>116.34</v>
      </c>
      <c r="CC306" s="526">
        <v>117.99</v>
      </c>
      <c r="CD306" s="526">
        <v>8.08</v>
      </c>
      <c r="CE306" s="526">
        <v>121.43</v>
      </c>
      <c r="CF306" s="522">
        <v>3758</v>
      </c>
      <c r="CG306" s="526">
        <v>116.34</v>
      </c>
      <c r="CH306" s="526">
        <v>117.99</v>
      </c>
      <c r="CI306" s="526">
        <v>8.08</v>
      </c>
      <c r="CJ306" s="526">
        <v>121.43</v>
      </c>
      <c r="CK306" s="522">
        <v>3758</v>
      </c>
      <c r="CL306" s="526">
        <v>136.21</v>
      </c>
      <c r="CM306" s="526">
        <v>91.01</v>
      </c>
      <c r="CN306" s="526">
        <v>138.87</v>
      </c>
      <c r="CO306" s="526">
        <v>275.08</v>
      </c>
      <c r="CP306" s="522">
        <v>27</v>
      </c>
      <c r="CQ306" s="526">
        <v>89.03</v>
      </c>
      <c r="CR306" s="526">
        <v>85.34</v>
      </c>
      <c r="CS306" s="526">
        <v>46.88</v>
      </c>
      <c r="CT306" s="526">
        <v>135.91</v>
      </c>
      <c r="CU306" s="522">
        <v>122</v>
      </c>
      <c r="CV306" s="526">
        <v>112.94</v>
      </c>
      <c r="CW306" s="526">
        <v>98.61</v>
      </c>
      <c r="CX306" s="526">
        <v>54.88</v>
      </c>
      <c r="CY306" s="526">
        <v>167.82</v>
      </c>
      <c r="CZ306" s="522">
        <v>353</v>
      </c>
      <c r="DA306" s="526">
        <v>128.56</v>
      </c>
      <c r="DB306" s="526">
        <v>127.36</v>
      </c>
      <c r="DC306" s="526">
        <v>69.34</v>
      </c>
      <c r="DD306" s="526">
        <v>197.9</v>
      </c>
      <c r="DE306" s="522">
        <v>23</v>
      </c>
      <c r="DF306" s="526">
        <v>157.69</v>
      </c>
      <c r="DG306" s="526">
        <v>143.36000000000001</v>
      </c>
      <c r="DH306" s="526">
        <v>36.659999999999997</v>
      </c>
      <c r="DI306" s="526">
        <v>194.35</v>
      </c>
      <c r="DJ306" s="522">
        <v>1</v>
      </c>
      <c r="DK306" s="526">
        <v>0</v>
      </c>
      <c r="DL306" s="526">
        <v>0</v>
      </c>
      <c r="DM306" s="526">
        <v>0</v>
      </c>
      <c r="DN306" s="526">
        <v>0</v>
      </c>
      <c r="DO306" s="522">
        <v>0</v>
      </c>
      <c r="DP306" s="526">
        <v>107.91</v>
      </c>
      <c r="DQ306" s="526">
        <v>96.69</v>
      </c>
      <c r="DR306" s="526">
        <v>53.55</v>
      </c>
      <c r="DS306" s="526">
        <v>161.46</v>
      </c>
      <c r="DT306" s="522">
        <v>499</v>
      </c>
      <c r="DU306" s="526">
        <v>109.36</v>
      </c>
      <c r="DV306" s="526">
        <v>96.45</v>
      </c>
      <c r="DW306" s="526">
        <v>57.93</v>
      </c>
      <c r="DX306" s="526">
        <v>167.29</v>
      </c>
      <c r="DY306" s="522">
        <v>526</v>
      </c>
      <c r="DZ306" s="526">
        <v>0</v>
      </c>
      <c r="EA306" s="526">
        <v>0</v>
      </c>
      <c r="EB306" s="526">
        <v>0</v>
      </c>
      <c r="EC306" s="522">
        <v>0</v>
      </c>
      <c r="ED306" s="526">
        <v>136.08000000000001</v>
      </c>
      <c r="EE306" s="522">
        <v>77</v>
      </c>
      <c r="EF306" s="526">
        <v>176.56</v>
      </c>
      <c r="EG306" s="522">
        <v>181</v>
      </c>
      <c r="EH306" s="526">
        <v>213.51</v>
      </c>
      <c r="EI306" s="522">
        <v>43</v>
      </c>
      <c r="EJ306" s="526">
        <v>263.77999999999997</v>
      </c>
      <c r="EK306" s="522">
        <v>9</v>
      </c>
      <c r="EL306" s="526">
        <v>0</v>
      </c>
      <c r="EM306" s="522">
        <v>0</v>
      </c>
      <c r="EN306" s="526">
        <v>0</v>
      </c>
      <c r="EO306" s="522">
        <v>0</v>
      </c>
      <c r="EP306" s="526">
        <v>174.16</v>
      </c>
      <c r="EQ306" s="522">
        <v>310</v>
      </c>
      <c r="ER306" s="526">
        <v>174.16</v>
      </c>
      <c r="ES306" s="522">
        <v>310</v>
      </c>
      <c r="ET306" s="526">
        <v>0</v>
      </c>
      <c r="EU306" s="526">
        <v>0</v>
      </c>
      <c r="EV306" s="526">
        <v>0</v>
      </c>
      <c r="EW306" s="522">
        <v>0</v>
      </c>
      <c r="EX306" s="526">
        <v>0</v>
      </c>
      <c r="EY306" s="522">
        <v>0</v>
      </c>
      <c r="EZ306" s="526">
        <v>0</v>
      </c>
      <c r="FA306" s="522">
        <v>0</v>
      </c>
      <c r="FB306" s="526">
        <v>0</v>
      </c>
      <c r="FC306" s="522">
        <v>0</v>
      </c>
      <c r="FD306" s="526">
        <v>0</v>
      </c>
      <c r="FE306" s="522">
        <v>0</v>
      </c>
      <c r="FF306" s="526">
        <v>0</v>
      </c>
      <c r="FG306" s="522">
        <v>0</v>
      </c>
      <c r="FH306" s="526">
        <v>0</v>
      </c>
      <c r="FI306" s="522">
        <v>0</v>
      </c>
      <c r="FJ306" s="522">
        <v>0</v>
      </c>
      <c r="FK306" s="522">
        <v>1</v>
      </c>
      <c r="FL306" s="522">
        <v>1</v>
      </c>
      <c r="FM306" s="522">
        <v>0</v>
      </c>
      <c r="FN306" s="522">
        <v>0</v>
      </c>
      <c r="FO306" s="522">
        <v>0</v>
      </c>
      <c r="FP306" s="522">
        <v>2</v>
      </c>
      <c r="FQ306" s="522">
        <v>30</v>
      </c>
      <c r="FR306" s="522">
        <v>0</v>
      </c>
    </row>
    <row r="307" spans="1:174" x14ac:dyDescent="0.25">
      <c r="A307" s="523" t="s">
        <v>858</v>
      </c>
      <c r="B307" s="523" t="s">
        <v>859</v>
      </c>
      <c r="C307" s="523" t="s">
        <v>288</v>
      </c>
      <c r="D307" s="522">
        <v>8824</v>
      </c>
      <c r="E307" s="522">
        <v>8819</v>
      </c>
      <c r="F307" s="522">
        <v>0</v>
      </c>
      <c r="G307" s="522">
        <v>0</v>
      </c>
      <c r="H307" s="522">
        <v>153</v>
      </c>
      <c r="I307" s="522">
        <v>84</v>
      </c>
      <c r="J307" s="522">
        <v>834</v>
      </c>
      <c r="K307" s="522">
        <v>834</v>
      </c>
      <c r="L307" s="522">
        <v>872</v>
      </c>
      <c r="M307" s="522">
        <v>65</v>
      </c>
      <c r="N307" s="522">
        <v>10683</v>
      </c>
      <c r="O307" s="522">
        <v>9802</v>
      </c>
      <c r="P307" s="522">
        <v>9811</v>
      </c>
      <c r="Q307" s="522">
        <v>80</v>
      </c>
      <c r="R307" s="523">
        <v>4</v>
      </c>
      <c r="S307" s="523">
        <v>20</v>
      </c>
      <c r="T307" s="523">
        <v>79</v>
      </c>
      <c r="U307" s="523">
        <v>10604</v>
      </c>
      <c r="V307" s="522">
        <v>8814</v>
      </c>
      <c r="W307" s="522">
        <v>45</v>
      </c>
      <c r="X307" s="522">
        <v>87</v>
      </c>
      <c r="Y307" s="522">
        <v>132</v>
      </c>
      <c r="Z307" s="524">
        <v>109.1</v>
      </c>
      <c r="AA307" s="524">
        <v>110.57</v>
      </c>
      <c r="AB307" s="524">
        <v>4.96</v>
      </c>
      <c r="AC307" s="524">
        <v>111.99</v>
      </c>
      <c r="AD307" s="524">
        <v>7547</v>
      </c>
      <c r="AE307" s="525">
        <v>102.95</v>
      </c>
      <c r="AF307" s="525">
        <v>99.73</v>
      </c>
      <c r="AG307" s="525">
        <v>50.03</v>
      </c>
      <c r="AH307" s="525">
        <v>151.36000000000001</v>
      </c>
      <c r="AI307" s="525">
        <v>835</v>
      </c>
      <c r="AJ307" s="525">
        <v>139.94999999999999</v>
      </c>
      <c r="AK307" s="525">
        <v>1264</v>
      </c>
      <c r="AL307" s="525">
        <v>269.85000000000002</v>
      </c>
      <c r="AM307" s="525">
        <v>83</v>
      </c>
      <c r="AN307" s="526">
        <v>0</v>
      </c>
      <c r="AO307" s="526">
        <v>0</v>
      </c>
      <c r="AP307" s="526">
        <v>0</v>
      </c>
      <c r="AQ307" s="526">
        <v>0</v>
      </c>
      <c r="AR307" s="522">
        <v>0</v>
      </c>
      <c r="AS307" s="526">
        <v>73.38</v>
      </c>
      <c r="AT307" s="526">
        <v>73.349999999999994</v>
      </c>
      <c r="AU307" s="526">
        <v>12.75</v>
      </c>
      <c r="AV307" s="526">
        <v>80.58</v>
      </c>
      <c r="AW307" s="522">
        <v>85</v>
      </c>
      <c r="AX307" s="526">
        <v>91.51</v>
      </c>
      <c r="AY307" s="526">
        <v>92.28</v>
      </c>
      <c r="AZ307" s="526">
        <v>6.45</v>
      </c>
      <c r="BA307" s="526">
        <v>95.9</v>
      </c>
      <c r="BB307" s="522">
        <v>1709</v>
      </c>
      <c r="BC307" s="526">
        <v>108.64</v>
      </c>
      <c r="BD307" s="526">
        <v>109.73</v>
      </c>
      <c r="BE307" s="526">
        <v>5.48</v>
      </c>
      <c r="BF307" s="526">
        <v>112</v>
      </c>
      <c r="BG307" s="522">
        <v>2995</v>
      </c>
      <c r="BH307" s="526">
        <v>120.67</v>
      </c>
      <c r="BI307" s="526">
        <v>122.91</v>
      </c>
      <c r="BJ307" s="526">
        <v>2.7</v>
      </c>
      <c r="BK307" s="526">
        <v>121.93</v>
      </c>
      <c r="BL307" s="522">
        <v>2539</v>
      </c>
      <c r="BM307" s="526">
        <v>131.88999999999999</v>
      </c>
      <c r="BN307" s="526">
        <v>135.56</v>
      </c>
      <c r="BO307" s="526">
        <v>2.72</v>
      </c>
      <c r="BP307" s="526">
        <v>134</v>
      </c>
      <c r="BQ307" s="522">
        <v>216</v>
      </c>
      <c r="BR307" s="526">
        <v>169.06</v>
      </c>
      <c r="BS307" s="526">
        <v>164.03</v>
      </c>
      <c r="BT307" s="526">
        <v>0</v>
      </c>
      <c r="BU307" s="526">
        <v>169.06</v>
      </c>
      <c r="BV307" s="522">
        <v>2</v>
      </c>
      <c r="BW307" s="526">
        <v>174.31</v>
      </c>
      <c r="BX307" s="526">
        <v>172.37</v>
      </c>
      <c r="BY307" s="526">
        <v>6.46</v>
      </c>
      <c r="BZ307" s="526">
        <v>180.77</v>
      </c>
      <c r="CA307" s="522">
        <v>1</v>
      </c>
      <c r="CB307" s="526">
        <v>109.1</v>
      </c>
      <c r="CC307" s="526">
        <v>110.57</v>
      </c>
      <c r="CD307" s="526">
        <v>4.96</v>
      </c>
      <c r="CE307" s="526">
        <v>111.99</v>
      </c>
      <c r="CF307" s="522">
        <v>7547</v>
      </c>
      <c r="CG307" s="526">
        <v>109.1</v>
      </c>
      <c r="CH307" s="526">
        <v>110.57</v>
      </c>
      <c r="CI307" s="526">
        <v>4.96</v>
      </c>
      <c r="CJ307" s="526">
        <v>111.99</v>
      </c>
      <c r="CK307" s="522">
        <v>7547</v>
      </c>
      <c r="CL307" s="526">
        <v>167.53</v>
      </c>
      <c r="CM307" s="526">
        <v>75.099999999999994</v>
      </c>
      <c r="CN307" s="526">
        <v>134.27000000000001</v>
      </c>
      <c r="CO307" s="526">
        <v>301.8</v>
      </c>
      <c r="CP307" s="522">
        <v>26</v>
      </c>
      <c r="CQ307" s="526">
        <v>80.06</v>
      </c>
      <c r="CR307" s="526">
        <v>78.34</v>
      </c>
      <c r="CS307" s="526">
        <v>56.3</v>
      </c>
      <c r="CT307" s="526">
        <v>136.36000000000001</v>
      </c>
      <c r="CU307" s="522">
        <v>55</v>
      </c>
      <c r="CV307" s="526">
        <v>100.37</v>
      </c>
      <c r="CW307" s="526">
        <v>99.98</v>
      </c>
      <c r="CX307" s="526">
        <v>48.24</v>
      </c>
      <c r="CY307" s="526">
        <v>146.88999999999999</v>
      </c>
      <c r="CZ307" s="522">
        <v>647</v>
      </c>
      <c r="DA307" s="526">
        <v>114.02</v>
      </c>
      <c r="DB307" s="526">
        <v>111.94</v>
      </c>
      <c r="DC307" s="526">
        <v>35.68</v>
      </c>
      <c r="DD307" s="526">
        <v>148.28</v>
      </c>
      <c r="DE307" s="522">
        <v>101</v>
      </c>
      <c r="DF307" s="526">
        <v>125.24</v>
      </c>
      <c r="DG307" s="526">
        <v>123.12</v>
      </c>
      <c r="DH307" s="526">
        <v>45.06</v>
      </c>
      <c r="DI307" s="526">
        <v>170.3</v>
      </c>
      <c r="DJ307" s="522">
        <v>6</v>
      </c>
      <c r="DK307" s="526">
        <v>0</v>
      </c>
      <c r="DL307" s="526">
        <v>0</v>
      </c>
      <c r="DM307" s="526">
        <v>0</v>
      </c>
      <c r="DN307" s="526">
        <v>0</v>
      </c>
      <c r="DO307" s="522">
        <v>0</v>
      </c>
      <c r="DP307" s="526">
        <v>100.87</v>
      </c>
      <c r="DQ307" s="526">
        <v>100.16</v>
      </c>
      <c r="DR307" s="526">
        <v>47.22</v>
      </c>
      <c r="DS307" s="526">
        <v>146.52000000000001</v>
      </c>
      <c r="DT307" s="522">
        <v>809</v>
      </c>
      <c r="DU307" s="526">
        <v>102.95</v>
      </c>
      <c r="DV307" s="526">
        <v>99.73</v>
      </c>
      <c r="DW307" s="526">
        <v>50.03</v>
      </c>
      <c r="DX307" s="526">
        <v>151.36000000000001</v>
      </c>
      <c r="DY307" s="522">
        <v>835</v>
      </c>
      <c r="DZ307" s="526">
        <v>0</v>
      </c>
      <c r="EA307" s="526">
        <v>0</v>
      </c>
      <c r="EB307" s="526">
        <v>111.21</v>
      </c>
      <c r="EC307" s="522">
        <v>2</v>
      </c>
      <c r="ED307" s="526">
        <v>112.28</v>
      </c>
      <c r="EE307" s="522">
        <v>290</v>
      </c>
      <c r="EF307" s="526">
        <v>137.93</v>
      </c>
      <c r="EG307" s="522">
        <v>561</v>
      </c>
      <c r="EH307" s="526">
        <v>157.30000000000001</v>
      </c>
      <c r="EI307" s="522">
        <v>367</v>
      </c>
      <c r="EJ307" s="526">
        <v>204.71</v>
      </c>
      <c r="EK307" s="522">
        <v>44</v>
      </c>
      <c r="EL307" s="526">
        <v>0</v>
      </c>
      <c r="EM307" s="522">
        <v>0</v>
      </c>
      <c r="EN307" s="526">
        <v>0</v>
      </c>
      <c r="EO307" s="522">
        <v>0</v>
      </c>
      <c r="EP307" s="526">
        <v>139.94999999999999</v>
      </c>
      <c r="EQ307" s="522">
        <v>1264</v>
      </c>
      <c r="ER307" s="526">
        <v>139.94999999999999</v>
      </c>
      <c r="ES307" s="522">
        <v>1264</v>
      </c>
      <c r="ET307" s="526">
        <v>0</v>
      </c>
      <c r="EU307" s="526">
        <v>0</v>
      </c>
      <c r="EV307" s="526">
        <v>0</v>
      </c>
      <c r="EW307" s="522">
        <v>0</v>
      </c>
      <c r="EX307" s="526">
        <v>266.25</v>
      </c>
      <c r="EY307" s="522">
        <v>64</v>
      </c>
      <c r="EZ307" s="526">
        <v>282</v>
      </c>
      <c r="FA307" s="522">
        <v>19</v>
      </c>
      <c r="FB307" s="526">
        <v>0</v>
      </c>
      <c r="FC307" s="522">
        <v>0</v>
      </c>
      <c r="FD307" s="526">
        <v>0</v>
      </c>
      <c r="FE307" s="522">
        <v>0</v>
      </c>
      <c r="FF307" s="526">
        <v>269.85000000000002</v>
      </c>
      <c r="FG307" s="522">
        <v>83</v>
      </c>
      <c r="FH307" s="526">
        <v>269.85000000000002</v>
      </c>
      <c r="FI307" s="522">
        <v>83</v>
      </c>
      <c r="FJ307" s="522">
        <v>0</v>
      </c>
      <c r="FK307" s="522">
        <v>0</v>
      </c>
      <c r="FL307" s="522">
        <v>0</v>
      </c>
      <c r="FM307" s="522">
        <v>0</v>
      </c>
      <c r="FN307" s="522">
        <v>0</v>
      </c>
      <c r="FO307" s="522">
        <v>0</v>
      </c>
      <c r="FP307" s="522">
        <v>3</v>
      </c>
      <c r="FQ307" s="522">
        <v>67</v>
      </c>
      <c r="FR307" s="522">
        <v>11</v>
      </c>
    </row>
    <row r="308" spans="1:174" x14ac:dyDescent="0.25">
      <c r="A308" s="523" t="s">
        <v>860</v>
      </c>
      <c r="B308" s="523" t="s">
        <v>861</v>
      </c>
      <c r="C308" s="523" t="s">
        <v>286</v>
      </c>
      <c r="D308" s="522">
        <v>3635</v>
      </c>
      <c r="E308" s="522">
        <v>3622</v>
      </c>
      <c r="F308" s="522">
        <v>0</v>
      </c>
      <c r="G308" s="522">
        <v>0</v>
      </c>
      <c r="H308" s="522">
        <v>279</v>
      </c>
      <c r="I308" s="522">
        <v>126</v>
      </c>
      <c r="J308" s="522">
        <v>477</v>
      </c>
      <c r="K308" s="522">
        <v>477</v>
      </c>
      <c r="L308" s="522">
        <v>418</v>
      </c>
      <c r="M308" s="522">
        <v>22</v>
      </c>
      <c r="N308" s="522">
        <v>4809</v>
      </c>
      <c r="O308" s="522">
        <v>4247</v>
      </c>
      <c r="P308" s="522">
        <v>4391</v>
      </c>
      <c r="Q308" s="522">
        <v>4</v>
      </c>
      <c r="R308" s="523">
        <v>14</v>
      </c>
      <c r="S308" s="523">
        <v>20</v>
      </c>
      <c r="T308" s="523">
        <v>150</v>
      </c>
      <c r="U308" s="523">
        <v>4659</v>
      </c>
      <c r="V308" s="522">
        <v>3594</v>
      </c>
      <c r="W308" s="522">
        <v>18</v>
      </c>
      <c r="X308" s="522">
        <v>14</v>
      </c>
      <c r="Y308" s="522">
        <v>32</v>
      </c>
      <c r="Z308" s="524">
        <v>98.6</v>
      </c>
      <c r="AA308" s="524">
        <v>91.47</v>
      </c>
      <c r="AB308" s="524">
        <v>5.41</v>
      </c>
      <c r="AC308" s="524">
        <v>101.83</v>
      </c>
      <c r="AD308" s="524">
        <v>2803</v>
      </c>
      <c r="AE308" s="525">
        <v>111.28</v>
      </c>
      <c r="AF308" s="525">
        <v>84.5</v>
      </c>
      <c r="AG308" s="525">
        <v>46.27</v>
      </c>
      <c r="AH308" s="525">
        <v>156.13999999999999</v>
      </c>
      <c r="AI308" s="525">
        <v>559</v>
      </c>
      <c r="AJ308" s="525">
        <v>123.18</v>
      </c>
      <c r="AK308" s="525">
        <v>730</v>
      </c>
      <c r="AL308" s="525">
        <v>203.21</v>
      </c>
      <c r="AM308" s="525">
        <v>88</v>
      </c>
      <c r="AN308" s="526">
        <v>0</v>
      </c>
      <c r="AO308" s="526">
        <v>0</v>
      </c>
      <c r="AP308" s="526">
        <v>0</v>
      </c>
      <c r="AQ308" s="526">
        <v>0</v>
      </c>
      <c r="AR308" s="522">
        <v>0</v>
      </c>
      <c r="AS308" s="526">
        <v>75.150000000000006</v>
      </c>
      <c r="AT308" s="526">
        <v>71.06</v>
      </c>
      <c r="AU308" s="526">
        <v>9.08</v>
      </c>
      <c r="AV308" s="526">
        <v>83.37</v>
      </c>
      <c r="AW308" s="522">
        <v>21</v>
      </c>
      <c r="AX308" s="526">
        <v>84.25</v>
      </c>
      <c r="AY308" s="526">
        <v>80.099999999999994</v>
      </c>
      <c r="AZ308" s="526">
        <v>6.92</v>
      </c>
      <c r="BA308" s="526">
        <v>90.66</v>
      </c>
      <c r="BB308" s="522">
        <v>677</v>
      </c>
      <c r="BC308" s="526">
        <v>96.71</v>
      </c>
      <c r="BD308" s="526">
        <v>90.86</v>
      </c>
      <c r="BE308" s="526">
        <v>5.95</v>
      </c>
      <c r="BF308" s="526">
        <v>100.67</v>
      </c>
      <c r="BG308" s="522">
        <v>924</v>
      </c>
      <c r="BH308" s="526">
        <v>108.39</v>
      </c>
      <c r="BI308" s="526">
        <v>98.42</v>
      </c>
      <c r="BJ308" s="526">
        <v>2.09</v>
      </c>
      <c r="BK308" s="526">
        <v>109.12</v>
      </c>
      <c r="BL308" s="522">
        <v>1148</v>
      </c>
      <c r="BM308" s="526">
        <v>118.27</v>
      </c>
      <c r="BN308" s="526">
        <v>111.42</v>
      </c>
      <c r="BO308" s="526">
        <v>3.99</v>
      </c>
      <c r="BP308" s="526">
        <v>119.77</v>
      </c>
      <c r="BQ308" s="522">
        <v>24</v>
      </c>
      <c r="BR308" s="526">
        <v>125.27</v>
      </c>
      <c r="BS308" s="526">
        <v>116.52</v>
      </c>
      <c r="BT308" s="526">
        <v>5.5</v>
      </c>
      <c r="BU308" s="526">
        <v>127.33</v>
      </c>
      <c r="BV308" s="522">
        <v>8</v>
      </c>
      <c r="BW308" s="526">
        <v>126.06</v>
      </c>
      <c r="BX308" s="526">
        <v>119.41</v>
      </c>
      <c r="BY308" s="526">
        <v>0</v>
      </c>
      <c r="BZ308" s="526">
        <v>126.06</v>
      </c>
      <c r="CA308" s="522">
        <v>1</v>
      </c>
      <c r="CB308" s="526">
        <v>98.6</v>
      </c>
      <c r="CC308" s="526">
        <v>91.47</v>
      </c>
      <c r="CD308" s="526">
        <v>5.41</v>
      </c>
      <c r="CE308" s="526">
        <v>101.83</v>
      </c>
      <c r="CF308" s="522">
        <v>2803</v>
      </c>
      <c r="CG308" s="526">
        <v>98.6</v>
      </c>
      <c r="CH308" s="526">
        <v>91.47</v>
      </c>
      <c r="CI308" s="526">
        <v>5.41</v>
      </c>
      <c r="CJ308" s="526">
        <v>101.83</v>
      </c>
      <c r="CK308" s="522">
        <v>2803</v>
      </c>
      <c r="CL308" s="526">
        <v>167.3</v>
      </c>
      <c r="CM308" s="526">
        <v>79.77</v>
      </c>
      <c r="CN308" s="526">
        <v>104.43</v>
      </c>
      <c r="CO308" s="526">
        <v>270.14999999999998</v>
      </c>
      <c r="CP308" s="522">
        <v>66</v>
      </c>
      <c r="CQ308" s="526">
        <v>96.05</v>
      </c>
      <c r="CR308" s="526">
        <v>72.02</v>
      </c>
      <c r="CS308" s="526">
        <v>44.22</v>
      </c>
      <c r="CT308" s="526">
        <v>138.88999999999999</v>
      </c>
      <c r="CU308" s="522">
        <v>64</v>
      </c>
      <c r="CV308" s="526">
        <v>104.65</v>
      </c>
      <c r="CW308" s="526">
        <v>83.56</v>
      </c>
      <c r="CX308" s="526">
        <v>35.03</v>
      </c>
      <c r="CY308" s="526">
        <v>139.1</v>
      </c>
      <c r="CZ308" s="522">
        <v>365</v>
      </c>
      <c r="DA308" s="526">
        <v>105.95</v>
      </c>
      <c r="DB308" s="526">
        <v>102.75</v>
      </c>
      <c r="DC308" s="526">
        <v>54.45</v>
      </c>
      <c r="DD308" s="526">
        <v>153.26</v>
      </c>
      <c r="DE308" s="522">
        <v>61</v>
      </c>
      <c r="DF308" s="526">
        <v>118.56</v>
      </c>
      <c r="DG308" s="526">
        <v>107.26</v>
      </c>
      <c r="DH308" s="526">
        <v>29.74</v>
      </c>
      <c r="DI308" s="526">
        <v>148.30000000000001</v>
      </c>
      <c r="DJ308" s="522">
        <v>3</v>
      </c>
      <c r="DK308" s="526">
        <v>0</v>
      </c>
      <c r="DL308" s="526">
        <v>0</v>
      </c>
      <c r="DM308" s="526">
        <v>0</v>
      </c>
      <c r="DN308" s="526">
        <v>0</v>
      </c>
      <c r="DO308" s="522">
        <v>0</v>
      </c>
      <c r="DP308" s="526">
        <v>103.78</v>
      </c>
      <c r="DQ308" s="526">
        <v>84.72</v>
      </c>
      <c r="DR308" s="526">
        <v>38.35</v>
      </c>
      <c r="DS308" s="526">
        <v>140.88</v>
      </c>
      <c r="DT308" s="522">
        <v>493</v>
      </c>
      <c r="DU308" s="526">
        <v>111.28</v>
      </c>
      <c r="DV308" s="526">
        <v>84.5</v>
      </c>
      <c r="DW308" s="526">
        <v>46.27</v>
      </c>
      <c r="DX308" s="526">
        <v>156.13999999999999</v>
      </c>
      <c r="DY308" s="522">
        <v>559</v>
      </c>
      <c r="DZ308" s="526">
        <v>0</v>
      </c>
      <c r="EA308" s="526">
        <v>0</v>
      </c>
      <c r="EB308" s="526">
        <v>0</v>
      </c>
      <c r="EC308" s="522">
        <v>0</v>
      </c>
      <c r="ED308" s="526">
        <v>95.64</v>
      </c>
      <c r="EE308" s="522">
        <v>111</v>
      </c>
      <c r="EF308" s="526">
        <v>121.76</v>
      </c>
      <c r="EG308" s="522">
        <v>359</v>
      </c>
      <c r="EH308" s="526">
        <v>136.41</v>
      </c>
      <c r="EI308" s="522">
        <v>251</v>
      </c>
      <c r="EJ308" s="526">
        <v>148.53</v>
      </c>
      <c r="EK308" s="522">
        <v>8</v>
      </c>
      <c r="EL308" s="526">
        <v>0</v>
      </c>
      <c r="EM308" s="522">
        <v>0</v>
      </c>
      <c r="EN308" s="526">
        <v>167.08</v>
      </c>
      <c r="EO308" s="522">
        <v>1</v>
      </c>
      <c r="EP308" s="526">
        <v>123.18</v>
      </c>
      <c r="EQ308" s="522">
        <v>730</v>
      </c>
      <c r="ER308" s="526">
        <v>123.18</v>
      </c>
      <c r="ES308" s="522">
        <v>730</v>
      </c>
      <c r="ET308" s="526">
        <v>0</v>
      </c>
      <c r="EU308" s="526">
        <v>0</v>
      </c>
      <c r="EV308" s="526">
        <v>0</v>
      </c>
      <c r="EW308" s="522">
        <v>0</v>
      </c>
      <c r="EX308" s="526">
        <v>199.91</v>
      </c>
      <c r="EY308" s="522">
        <v>74</v>
      </c>
      <c r="EZ308" s="526">
        <v>220.68</v>
      </c>
      <c r="FA308" s="522">
        <v>14</v>
      </c>
      <c r="FB308" s="526">
        <v>0</v>
      </c>
      <c r="FC308" s="522">
        <v>0</v>
      </c>
      <c r="FD308" s="526">
        <v>0</v>
      </c>
      <c r="FE308" s="522">
        <v>0</v>
      </c>
      <c r="FF308" s="526">
        <v>203.21</v>
      </c>
      <c r="FG308" s="522">
        <v>88</v>
      </c>
      <c r="FH308" s="526">
        <v>203.21</v>
      </c>
      <c r="FI308" s="522">
        <v>88</v>
      </c>
      <c r="FJ308" s="522">
        <v>0</v>
      </c>
      <c r="FK308" s="522">
        <v>5</v>
      </c>
      <c r="FL308" s="522">
        <v>1</v>
      </c>
      <c r="FM308" s="522">
        <v>4</v>
      </c>
      <c r="FN308" s="522">
        <v>0</v>
      </c>
      <c r="FO308" s="522">
        <v>0</v>
      </c>
      <c r="FP308" s="522">
        <v>1</v>
      </c>
      <c r="FQ308" s="522">
        <v>41</v>
      </c>
      <c r="FR308" s="522">
        <v>7</v>
      </c>
    </row>
    <row r="309" spans="1:174" x14ac:dyDescent="0.25">
      <c r="A309" s="523" t="s">
        <v>862</v>
      </c>
      <c r="B309" s="523" t="s">
        <v>863</v>
      </c>
      <c r="C309" s="523" t="s">
        <v>288</v>
      </c>
      <c r="D309" s="522">
        <v>4734</v>
      </c>
      <c r="E309" s="522">
        <v>4729</v>
      </c>
      <c r="F309" s="522">
        <v>0</v>
      </c>
      <c r="G309" s="522">
        <v>0</v>
      </c>
      <c r="H309" s="522">
        <v>2215</v>
      </c>
      <c r="I309" s="522">
        <v>2167</v>
      </c>
      <c r="J309" s="522">
        <v>58</v>
      </c>
      <c r="K309" s="522">
        <v>58</v>
      </c>
      <c r="L309" s="522">
        <v>663</v>
      </c>
      <c r="M309" s="522">
        <v>0</v>
      </c>
      <c r="N309" s="522">
        <v>7670</v>
      </c>
      <c r="O309" s="522">
        <v>6954</v>
      </c>
      <c r="P309" s="522">
        <v>7007</v>
      </c>
      <c r="Q309" s="522">
        <v>0</v>
      </c>
      <c r="R309" s="523">
        <v>3</v>
      </c>
      <c r="S309" s="523">
        <v>12</v>
      </c>
      <c r="T309" s="523">
        <v>16</v>
      </c>
      <c r="U309" s="523">
        <v>7654</v>
      </c>
      <c r="V309" s="522">
        <v>4734</v>
      </c>
      <c r="W309" s="522">
        <v>17</v>
      </c>
      <c r="X309" s="522">
        <v>168</v>
      </c>
      <c r="Y309" s="522">
        <v>185</v>
      </c>
      <c r="Z309" s="524">
        <v>100.4</v>
      </c>
      <c r="AA309" s="524">
        <v>100.49</v>
      </c>
      <c r="AB309" s="524">
        <v>9.5399999999999991</v>
      </c>
      <c r="AC309" s="524">
        <v>104.88</v>
      </c>
      <c r="AD309" s="524">
        <v>4078</v>
      </c>
      <c r="AE309" s="525">
        <v>100.6</v>
      </c>
      <c r="AF309" s="525">
        <v>93.66</v>
      </c>
      <c r="AG309" s="525">
        <v>22.1</v>
      </c>
      <c r="AH309" s="525">
        <v>122.68</v>
      </c>
      <c r="AI309" s="525">
        <v>2057</v>
      </c>
      <c r="AJ309" s="525">
        <v>129.57</v>
      </c>
      <c r="AK309" s="525">
        <v>605</v>
      </c>
      <c r="AL309" s="525">
        <v>228.78</v>
      </c>
      <c r="AM309" s="525">
        <v>200</v>
      </c>
      <c r="AN309" s="526">
        <v>0</v>
      </c>
      <c r="AO309" s="526">
        <v>0</v>
      </c>
      <c r="AP309" s="526">
        <v>0</v>
      </c>
      <c r="AQ309" s="526">
        <v>0</v>
      </c>
      <c r="AR309" s="522">
        <v>0</v>
      </c>
      <c r="AS309" s="526">
        <v>71.83</v>
      </c>
      <c r="AT309" s="526">
        <v>71.040000000000006</v>
      </c>
      <c r="AU309" s="526">
        <v>10.62</v>
      </c>
      <c r="AV309" s="526">
        <v>82.45</v>
      </c>
      <c r="AW309" s="522">
        <v>1</v>
      </c>
      <c r="AX309" s="526">
        <v>82.27</v>
      </c>
      <c r="AY309" s="526">
        <v>82.19</v>
      </c>
      <c r="AZ309" s="526">
        <v>12.51</v>
      </c>
      <c r="BA309" s="526">
        <v>94.47</v>
      </c>
      <c r="BB309" s="522">
        <v>561</v>
      </c>
      <c r="BC309" s="526">
        <v>97.41</v>
      </c>
      <c r="BD309" s="526">
        <v>97.59</v>
      </c>
      <c r="BE309" s="526">
        <v>10.15</v>
      </c>
      <c r="BF309" s="526">
        <v>104.11</v>
      </c>
      <c r="BG309" s="522">
        <v>1519</v>
      </c>
      <c r="BH309" s="526">
        <v>107.18</v>
      </c>
      <c r="BI309" s="526">
        <v>107.21</v>
      </c>
      <c r="BJ309" s="526">
        <v>3.37</v>
      </c>
      <c r="BK309" s="526">
        <v>107.8</v>
      </c>
      <c r="BL309" s="522">
        <v>1892</v>
      </c>
      <c r="BM309" s="526">
        <v>118.18</v>
      </c>
      <c r="BN309" s="526">
        <v>118.62</v>
      </c>
      <c r="BO309" s="526">
        <v>3.72</v>
      </c>
      <c r="BP309" s="526">
        <v>118.94</v>
      </c>
      <c r="BQ309" s="522">
        <v>98</v>
      </c>
      <c r="BR309" s="526">
        <v>123.51</v>
      </c>
      <c r="BS309" s="526">
        <v>128.56</v>
      </c>
      <c r="BT309" s="526">
        <v>5.77</v>
      </c>
      <c r="BU309" s="526">
        <v>124.33</v>
      </c>
      <c r="BV309" s="522">
        <v>7</v>
      </c>
      <c r="BW309" s="526">
        <v>0</v>
      </c>
      <c r="BX309" s="526">
        <v>0</v>
      </c>
      <c r="BY309" s="526">
        <v>0</v>
      </c>
      <c r="BZ309" s="526">
        <v>0</v>
      </c>
      <c r="CA309" s="522">
        <v>0</v>
      </c>
      <c r="CB309" s="526">
        <v>100.4</v>
      </c>
      <c r="CC309" s="526">
        <v>100.49</v>
      </c>
      <c r="CD309" s="526">
        <v>9.5399999999999991</v>
      </c>
      <c r="CE309" s="526">
        <v>104.88</v>
      </c>
      <c r="CF309" s="522">
        <v>4078</v>
      </c>
      <c r="CG309" s="526">
        <v>100.4</v>
      </c>
      <c r="CH309" s="526">
        <v>100.49</v>
      </c>
      <c r="CI309" s="526">
        <v>9.5399999999999991</v>
      </c>
      <c r="CJ309" s="526">
        <v>104.88</v>
      </c>
      <c r="CK309" s="522">
        <v>4078</v>
      </c>
      <c r="CL309" s="526">
        <v>121.65</v>
      </c>
      <c r="CM309" s="526">
        <v>82.68</v>
      </c>
      <c r="CN309" s="526">
        <v>129.80000000000001</v>
      </c>
      <c r="CO309" s="526">
        <v>251.45</v>
      </c>
      <c r="CP309" s="522">
        <v>47</v>
      </c>
      <c r="CQ309" s="526">
        <v>86.5</v>
      </c>
      <c r="CR309" s="526">
        <v>74.97</v>
      </c>
      <c r="CS309" s="526">
        <v>107.64</v>
      </c>
      <c r="CT309" s="526">
        <v>194.15</v>
      </c>
      <c r="CU309" s="522">
        <v>30</v>
      </c>
      <c r="CV309" s="526">
        <v>97.01</v>
      </c>
      <c r="CW309" s="526">
        <v>89.93</v>
      </c>
      <c r="CX309" s="526">
        <v>21.64</v>
      </c>
      <c r="CY309" s="526">
        <v>118.65</v>
      </c>
      <c r="CZ309" s="522">
        <v>1456</v>
      </c>
      <c r="DA309" s="526">
        <v>109.42</v>
      </c>
      <c r="DB309" s="526">
        <v>105.12</v>
      </c>
      <c r="DC309" s="526">
        <v>8.6999999999999993</v>
      </c>
      <c r="DD309" s="526">
        <v>118.09</v>
      </c>
      <c r="DE309" s="522">
        <v>516</v>
      </c>
      <c r="DF309" s="526">
        <v>115.36</v>
      </c>
      <c r="DG309" s="526">
        <v>112.7</v>
      </c>
      <c r="DH309" s="526">
        <v>12.72</v>
      </c>
      <c r="DI309" s="526">
        <v>128.08000000000001</v>
      </c>
      <c r="DJ309" s="522">
        <v>8</v>
      </c>
      <c r="DK309" s="526">
        <v>0</v>
      </c>
      <c r="DL309" s="526">
        <v>0</v>
      </c>
      <c r="DM309" s="526">
        <v>0</v>
      </c>
      <c r="DN309" s="526">
        <v>0</v>
      </c>
      <c r="DO309" s="522">
        <v>0</v>
      </c>
      <c r="DP309" s="526">
        <v>100.11</v>
      </c>
      <c r="DQ309" s="526">
        <v>93.76</v>
      </c>
      <c r="DR309" s="526">
        <v>19.579999999999998</v>
      </c>
      <c r="DS309" s="526">
        <v>119.67</v>
      </c>
      <c r="DT309" s="522">
        <v>2010</v>
      </c>
      <c r="DU309" s="526">
        <v>100.6</v>
      </c>
      <c r="DV309" s="526">
        <v>93.66</v>
      </c>
      <c r="DW309" s="526">
        <v>22.1</v>
      </c>
      <c r="DX309" s="526">
        <v>122.68</v>
      </c>
      <c r="DY309" s="522">
        <v>2057</v>
      </c>
      <c r="DZ309" s="526">
        <v>0</v>
      </c>
      <c r="EA309" s="526">
        <v>0</v>
      </c>
      <c r="EB309" s="526">
        <v>0</v>
      </c>
      <c r="EC309" s="522">
        <v>0</v>
      </c>
      <c r="ED309" s="526">
        <v>103.67</v>
      </c>
      <c r="EE309" s="522">
        <v>108</v>
      </c>
      <c r="EF309" s="526">
        <v>123.83</v>
      </c>
      <c r="EG309" s="522">
        <v>303</v>
      </c>
      <c r="EH309" s="526">
        <v>153.87</v>
      </c>
      <c r="EI309" s="522">
        <v>180</v>
      </c>
      <c r="EJ309" s="526">
        <v>141.08000000000001</v>
      </c>
      <c r="EK309" s="522">
        <v>14</v>
      </c>
      <c r="EL309" s="526">
        <v>0</v>
      </c>
      <c r="EM309" s="522">
        <v>0</v>
      </c>
      <c r="EN309" s="526">
        <v>0</v>
      </c>
      <c r="EO309" s="522">
        <v>0</v>
      </c>
      <c r="EP309" s="526">
        <v>129.57</v>
      </c>
      <c r="EQ309" s="522">
        <v>605</v>
      </c>
      <c r="ER309" s="526">
        <v>129.57</v>
      </c>
      <c r="ES309" s="522">
        <v>605</v>
      </c>
      <c r="ET309" s="526">
        <v>0</v>
      </c>
      <c r="EU309" s="526">
        <v>0</v>
      </c>
      <c r="EV309" s="526">
        <v>0</v>
      </c>
      <c r="EW309" s="522">
        <v>0</v>
      </c>
      <c r="EX309" s="526">
        <v>211.29</v>
      </c>
      <c r="EY309" s="522">
        <v>86</v>
      </c>
      <c r="EZ309" s="526">
        <v>242.54</v>
      </c>
      <c r="FA309" s="522">
        <v>113</v>
      </c>
      <c r="FB309" s="526">
        <v>178.48</v>
      </c>
      <c r="FC309" s="522">
        <v>1</v>
      </c>
      <c r="FD309" s="526">
        <v>0</v>
      </c>
      <c r="FE309" s="522">
        <v>0</v>
      </c>
      <c r="FF309" s="526">
        <v>228.78</v>
      </c>
      <c r="FG309" s="522">
        <v>200</v>
      </c>
      <c r="FH309" s="526">
        <v>228.78</v>
      </c>
      <c r="FI309" s="522">
        <v>200</v>
      </c>
      <c r="FJ309" s="522">
        <v>0</v>
      </c>
      <c r="FK309" s="522">
        <v>6</v>
      </c>
      <c r="FL309" s="522">
        <v>5</v>
      </c>
      <c r="FM309" s="522">
        <v>0</v>
      </c>
      <c r="FN309" s="522">
        <v>1</v>
      </c>
      <c r="FO309" s="522">
        <v>0</v>
      </c>
      <c r="FP309" s="522">
        <v>1</v>
      </c>
      <c r="FQ309" s="522">
        <v>74</v>
      </c>
      <c r="FR309" s="522">
        <v>11</v>
      </c>
    </row>
    <row r="310" spans="1:174" x14ac:dyDescent="0.25">
      <c r="A310" s="523" t="s">
        <v>864</v>
      </c>
      <c r="B310" s="523" t="s">
        <v>865</v>
      </c>
      <c r="C310" s="523" t="s">
        <v>289</v>
      </c>
      <c r="D310" s="522">
        <v>4150</v>
      </c>
      <c r="E310" s="522">
        <v>3878</v>
      </c>
      <c r="F310" s="522">
        <v>2</v>
      </c>
      <c r="G310" s="522">
        <v>2</v>
      </c>
      <c r="H310" s="522">
        <v>294</v>
      </c>
      <c r="I310" s="522">
        <v>241</v>
      </c>
      <c r="J310" s="522">
        <v>747</v>
      </c>
      <c r="K310" s="522">
        <v>655</v>
      </c>
      <c r="L310" s="522">
        <v>629</v>
      </c>
      <c r="M310" s="522">
        <v>0</v>
      </c>
      <c r="N310" s="522">
        <v>5822</v>
      </c>
      <c r="O310" s="522">
        <v>4776</v>
      </c>
      <c r="P310" s="522">
        <v>5193</v>
      </c>
      <c r="Q310" s="522">
        <v>231</v>
      </c>
      <c r="R310" s="523">
        <v>8</v>
      </c>
      <c r="S310" s="523">
        <v>23</v>
      </c>
      <c r="T310" s="523">
        <v>125</v>
      </c>
      <c r="U310" s="523">
        <v>5697</v>
      </c>
      <c r="V310" s="522">
        <v>4150</v>
      </c>
      <c r="W310" s="522">
        <v>24</v>
      </c>
      <c r="X310" s="522">
        <v>17</v>
      </c>
      <c r="Y310" s="522">
        <v>41</v>
      </c>
      <c r="Z310" s="524">
        <v>106.83</v>
      </c>
      <c r="AA310" s="524">
        <v>109.22</v>
      </c>
      <c r="AB310" s="524">
        <v>9.0299999999999994</v>
      </c>
      <c r="AC310" s="524">
        <v>111.57</v>
      </c>
      <c r="AD310" s="524">
        <v>3442</v>
      </c>
      <c r="AE310" s="525">
        <v>100.59</v>
      </c>
      <c r="AF310" s="525">
        <v>93.41</v>
      </c>
      <c r="AG310" s="525">
        <v>48.78</v>
      </c>
      <c r="AH310" s="525">
        <v>147.82</v>
      </c>
      <c r="AI310" s="525">
        <v>917</v>
      </c>
      <c r="AJ310" s="525">
        <v>127.59</v>
      </c>
      <c r="AK310" s="525">
        <v>572</v>
      </c>
      <c r="AL310" s="525">
        <v>0</v>
      </c>
      <c r="AM310" s="525">
        <v>0</v>
      </c>
      <c r="AN310" s="526">
        <v>88.34</v>
      </c>
      <c r="AO310" s="526">
        <v>87.64</v>
      </c>
      <c r="AP310" s="526">
        <v>60.99</v>
      </c>
      <c r="AQ310" s="526">
        <v>149.33000000000001</v>
      </c>
      <c r="AR310" s="522">
        <v>2</v>
      </c>
      <c r="AS310" s="526">
        <v>71.959999999999994</v>
      </c>
      <c r="AT310" s="526">
        <v>75.040000000000006</v>
      </c>
      <c r="AU310" s="526">
        <v>11.08</v>
      </c>
      <c r="AV310" s="526">
        <v>82.69</v>
      </c>
      <c r="AW310" s="522">
        <v>31</v>
      </c>
      <c r="AX310" s="526">
        <v>89.41</v>
      </c>
      <c r="AY310" s="526">
        <v>90.88</v>
      </c>
      <c r="AZ310" s="526">
        <v>12.51</v>
      </c>
      <c r="BA310" s="526">
        <v>96.69</v>
      </c>
      <c r="BB310" s="522">
        <v>502</v>
      </c>
      <c r="BC310" s="526">
        <v>104.47</v>
      </c>
      <c r="BD310" s="526">
        <v>105.83</v>
      </c>
      <c r="BE310" s="526">
        <v>9.94</v>
      </c>
      <c r="BF310" s="526">
        <v>110.69</v>
      </c>
      <c r="BG310" s="522">
        <v>1556</v>
      </c>
      <c r="BH310" s="526">
        <v>114.47</v>
      </c>
      <c r="BI310" s="526">
        <v>118.04</v>
      </c>
      <c r="BJ310" s="526">
        <v>5.0199999999999996</v>
      </c>
      <c r="BK310" s="526">
        <v>116.33</v>
      </c>
      <c r="BL310" s="522">
        <v>1204</v>
      </c>
      <c r="BM310" s="526">
        <v>135.03</v>
      </c>
      <c r="BN310" s="526">
        <v>140.87</v>
      </c>
      <c r="BO310" s="526">
        <v>4.8099999999999996</v>
      </c>
      <c r="BP310" s="526">
        <v>137.19</v>
      </c>
      <c r="BQ310" s="522">
        <v>136</v>
      </c>
      <c r="BR310" s="526">
        <v>150.66999999999999</v>
      </c>
      <c r="BS310" s="526">
        <v>170.71</v>
      </c>
      <c r="BT310" s="526">
        <v>3.36</v>
      </c>
      <c r="BU310" s="526">
        <v>151.41</v>
      </c>
      <c r="BV310" s="522">
        <v>9</v>
      </c>
      <c r="BW310" s="526">
        <v>148.18</v>
      </c>
      <c r="BX310" s="526">
        <v>168.89</v>
      </c>
      <c r="BY310" s="526">
        <v>0</v>
      </c>
      <c r="BZ310" s="526">
        <v>148.18</v>
      </c>
      <c r="CA310" s="522">
        <v>2</v>
      </c>
      <c r="CB310" s="526">
        <v>106.84</v>
      </c>
      <c r="CC310" s="526">
        <v>109.23</v>
      </c>
      <c r="CD310" s="526">
        <v>8.9700000000000006</v>
      </c>
      <c r="CE310" s="526">
        <v>111.54</v>
      </c>
      <c r="CF310" s="522">
        <v>3440</v>
      </c>
      <c r="CG310" s="526">
        <v>106.83</v>
      </c>
      <c r="CH310" s="526">
        <v>109.22</v>
      </c>
      <c r="CI310" s="526">
        <v>9.0299999999999994</v>
      </c>
      <c r="CJ310" s="526">
        <v>111.57</v>
      </c>
      <c r="CK310" s="522">
        <v>3442</v>
      </c>
      <c r="CL310" s="526">
        <v>111.74</v>
      </c>
      <c r="CM310" s="526">
        <v>97.04</v>
      </c>
      <c r="CN310" s="526">
        <v>61.92</v>
      </c>
      <c r="CO310" s="526">
        <v>172.83</v>
      </c>
      <c r="CP310" s="522">
        <v>150</v>
      </c>
      <c r="CQ310" s="526">
        <v>78.180000000000007</v>
      </c>
      <c r="CR310" s="526">
        <v>72.58</v>
      </c>
      <c r="CS310" s="526">
        <v>59.82</v>
      </c>
      <c r="CT310" s="526">
        <v>107.28</v>
      </c>
      <c r="CU310" s="522">
        <v>37</v>
      </c>
      <c r="CV310" s="526">
        <v>91.85</v>
      </c>
      <c r="CW310" s="526">
        <v>88.28</v>
      </c>
      <c r="CX310" s="526">
        <v>35.14</v>
      </c>
      <c r="CY310" s="526">
        <v>126.48</v>
      </c>
      <c r="CZ310" s="522">
        <v>474</v>
      </c>
      <c r="DA310" s="526">
        <v>113.93</v>
      </c>
      <c r="DB310" s="526">
        <v>104.87</v>
      </c>
      <c r="DC310" s="526">
        <v>65.89</v>
      </c>
      <c r="DD310" s="526">
        <v>179.55</v>
      </c>
      <c r="DE310" s="522">
        <v>253</v>
      </c>
      <c r="DF310" s="526">
        <v>74.38</v>
      </c>
      <c r="DG310" s="526">
        <v>108.63</v>
      </c>
      <c r="DH310" s="526">
        <v>20.440000000000001</v>
      </c>
      <c r="DI310" s="526">
        <v>94.82</v>
      </c>
      <c r="DJ310" s="522">
        <v>3</v>
      </c>
      <c r="DK310" s="526">
        <v>0</v>
      </c>
      <c r="DL310" s="526">
        <v>0</v>
      </c>
      <c r="DM310" s="526">
        <v>0</v>
      </c>
      <c r="DN310" s="526">
        <v>0</v>
      </c>
      <c r="DO310" s="522">
        <v>0</v>
      </c>
      <c r="DP310" s="526">
        <v>98.4</v>
      </c>
      <c r="DQ310" s="526">
        <v>92.82</v>
      </c>
      <c r="DR310" s="526">
        <v>46.16</v>
      </c>
      <c r="DS310" s="526">
        <v>142.93</v>
      </c>
      <c r="DT310" s="522">
        <v>767</v>
      </c>
      <c r="DU310" s="526">
        <v>100.59</v>
      </c>
      <c r="DV310" s="526">
        <v>93.41</v>
      </c>
      <c r="DW310" s="526">
        <v>48.78</v>
      </c>
      <c r="DX310" s="526">
        <v>147.82</v>
      </c>
      <c r="DY310" s="522">
        <v>917</v>
      </c>
      <c r="DZ310" s="526">
        <v>0</v>
      </c>
      <c r="EA310" s="526">
        <v>0</v>
      </c>
      <c r="EB310" s="526">
        <v>129.22999999999999</v>
      </c>
      <c r="EC310" s="522">
        <v>1</v>
      </c>
      <c r="ED310" s="526">
        <v>113.79</v>
      </c>
      <c r="EE310" s="522">
        <v>133</v>
      </c>
      <c r="EF310" s="526">
        <v>125.96</v>
      </c>
      <c r="EG310" s="522">
        <v>313</v>
      </c>
      <c r="EH310" s="526">
        <v>144.71</v>
      </c>
      <c r="EI310" s="522">
        <v>102</v>
      </c>
      <c r="EJ310" s="526">
        <v>147.88</v>
      </c>
      <c r="EK310" s="522">
        <v>19</v>
      </c>
      <c r="EL310" s="526">
        <v>180.39</v>
      </c>
      <c r="EM310" s="522">
        <v>4</v>
      </c>
      <c r="EN310" s="526">
        <v>0</v>
      </c>
      <c r="EO310" s="522">
        <v>0</v>
      </c>
      <c r="EP310" s="526">
        <v>127.59</v>
      </c>
      <c r="EQ310" s="522">
        <v>572</v>
      </c>
      <c r="ER310" s="526">
        <v>127.59</v>
      </c>
      <c r="ES310" s="522">
        <v>572</v>
      </c>
      <c r="ET310" s="526">
        <v>0</v>
      </c>
      <c r="EU310" s="526">
        <v>0</v>
      </c>
      <c r="EV310" s="526">
        <v>0</v>
      </c>
      <c r="EW310" s="522">
        <v>0</v>
      </c>
      <c r="EX310" s="526">
        <v>0</v>
      </c>
      <c r="EY310" s="522">
        <v>0</v>
      </c>
      <c r="EZ310" s="526">
        <v>0</v>
      </c>
      <c r="FA310" s="522">
        <v>0</v>
      </c>
      <c r="FB310" s="526">
        <v>0</v>
      </c>
      <c r="FC310" s="522">
        <v>0</v>
      </c>
      <c r="FD310" s="526">
        <v>0</v>
      </c>
      <c r="FE310" s="522">
        <v>0</v>
      </c>
      <c r="FF310" s="526">
        <v>0</v>
      </c>
      <c r="FG310" s="522">
        <v>0</v>
      </c>
      <c r="FH310" s="526">
        <v>0</v>
      </c>
      <c r="FI310" s="522">
        <v>0</v>
      </c>
      <c r="FJ310" s="522">
        <v>0</v>
      </c>
      <c r="FK310" s="522">
        <v>0</v>
      </c>
      <c r="FL310" s="522">
        <v>0</v>
      </c>
      <c r="FM310" s="522">
        <v>0</v>
      </c>
      <c r="FN310" s="522">
        <v>0</v>
      </c>
      <c r="FO310" s="522">
        <v>0</v>
      </c>
      <c r="FP310" s="522">
        <v>9</v>
      </c>
      <c r="FQ310" s="522">
        <v>27</v>
      </c>
      <c r="FR310" s="522">
        <v>4</v>
      </c>
    </row>
  </sheetData>
  <autoFilter ref="A3:FR310" xr:uid="{FA4A028B-3DB7-4A5B-8BE7-BDC0B43FEA0E}">
    <filterColumn colId="0">
      <filters>
        <filter val="Adur"/>
        <filter val="Amber Valley"/>
        <filter val="Arun"/>
        <filter val="Ashfield"/>
        <filter val="Ashford"/>
        <filter val="Babergh"/>
        <filter val="Barking and Dagenham"/>
        <filter val="Barnet"/>
        <filter val="Barnsley"/>
        <filter val="Basildon"/>
        <filter val="Basingstoke and Deane"/>
        <filter val="Bassetlaw"/>
        <filter val="Bath and North East Somerset"/>
        <filter val="Bedford"/>
        <filter val="Bexley"/>
        <filter val="Birmingham"/>
        <filter val="Blaby"/>
        <filter val="Blackburn with Darwen"/>
        <filter val="Blackpool"/>
        <filter val="Bolsover"/>
        <filter val="Bolton"/>
        <filter val="Boston"/>
        <filter val="Bournemouth Christchurch and Poole"/>
        <filter val="Bracknell Forest"/>
        <filter val="Bradford"/>
        <filter val="Braintree"/>
        <filter val="Breckland"/>
        <filter val="Brent"/>
        <filter val="Brentwood"/>
        <filter val="Brighton and Hove"/>
        <filter val="Bristol, City of"/>
        <filter val="Broadland"/>
        <filter val="Bromley"/>
        <filter val="Bromsgrove"/>
        <filter val="Broxbourne"/>
        <filter val="Broxtowe"/>
        <filter val="Buckinghamshire"/>
        <filter val="Burnley"/>
        <filter val="Bury"/>
        <filter val="Calderdale"/>
        <filter val="Cambridge"/>
        <filter val="Camden"/>
        <filter val="Cannock Chase"/>
        <filter val="Canterbury"/>
        <filter val="Castle Point"/>
        <filter val="Central Bedfordshire"/>
        <filter val="Charnwood"/>
        <filter val="Chelmsford"/>
        <filter val="Cheltenham"/>
        <filter val="Cherwell"/>
        <filter val="Cheshire East"/>
        <filter val="Cheshire West and Chester"/>
        <filter val="Chesterfield"/>
        <filter val="Chichester"/>
        <filter val="Chorley"/>
        <filter val="City of London"/>
        <filter val="Colchester"/>
        <filter val="Cornwall"/>
        <filter val="Cotswold"/>
        <filter val="County Durham"/>
        <filter val="Coventry"/>
        <filter val="Crawley"/>
        <filter val="Croydon"/>
        <filter val="Cumberland"/>
        <filter val="Dacorum"/>
        <filter val="Darlington"/>
        <filter val="Dartford"/>
        <filter val="Derby"/>
        <filter val="Derbyshire Dales"/>
        <filter val="Doncaster"/>
        <filter val="Dorset"/>
        <filter val="Dover"/>
        <filter val="Dudley"/>
        <filter val="Ealing"/>
        <filter val="East Cambridgeshire"/>
        <filter val="East Devon"/>
        <filter val="East Hampshire"/>
        <filter val="East Hertfordshire"/>
        <filter val="East Lindsey"/>
        <filter val="East Midlands"/>
        <filter val="East of England"/>
        <filter val="East Riding of Yorkshire"/>
        <filter val="East Staffordshire"/>
        <filter val="East Suffolk"/>
        <filter val="Eastbourne"/>
        <filter val="Eastleigh"/>
        <filter val="Elmbridge"/>
        <filter val="Enfield"/>
        <filter val="England"/>
        <filter val="Epping Forest"/>
        <filter val="Epsom and Ewell"/>
        <filter val="Erewash"/>
        <filter val="Exeter"/>
        <filter val="Fareham"/>
        <filter val="Fenland"/>
        <filter val="Folkestone and Hythe"/>
        <filter val="Forest of Dean"/>
        <filter val="Fylde"/>
        <filter val="Gateshead"/>
        <filter val="Gedling"/>
        <filter val="Gloucester"/>
        <filter val="Gosport"/>
        <filter val="Gravesham"/>
        <filter val="Great Yarmouth"/>
        <filter val="Greenwich"/>
        <filter val="Guildford"/>
        <filter val="Hackney"/>
        <filter val="Halton"/>
        <filter val="Hammersmith and Fulham"/>
        <filter val="Harborough"/>
        <filter val="Haringey"/>
        <filter val="Harlow"/>
        <filter val="Harrow"/>
        <filter val="Hart"/>
        <filter val="Hartlepool"/>
        <filter val="Hastings"/>
        <filter val="Havant"/>
        <filter val="Havering"/>
        <filter val="Herefordshire, County of"/>
        <filter val="Hertsmere"/>
        <filter val="High Peak"/>
        <filter val="Hillingdon"/>
        <filter val="Hinckley and Bosworth"/>
        <filter val="Horsham"/>
        <filter val="Hounslow"/>
        <filter val="Huntingdonshire"/>
        <filter val="Hyndburn"/>
        <filter val="Ipswich"/>
        <filter val="Isle of Wight"/>
        <filter val="Isles of Scilly"/>
        <filter val="Islington"/>
        <filter val="Kensington and Chelsea"/>
        <filter val="King's Lynn and West Norfolk"/>
        <filter val="Kingston upon Hull, City of"/>
        <filter val="Kingston upon Thames"/>
        <filter val="Kirklees"/>
        <filter val="Knowsley"/>
        <filter val="Lambeth"/>
        <filter val="Lancaster"/>
        <filter val="Leeds"/>
        <filter val="Leicester"/>
        <filter val="Lewes"/>
        <filter val="Lewisham"/>
        <filter val="Lichfield"/>
        <filter val="Lincoln"/>
        <filter val="Liverpool"/>
        <filter val="London"/>
        <filter val="Luton"/>
        <filter val="Maidstone"/>
        <filter val="Maldon"/>
        <filter val="Malvern Hills"/>
        <filter val="Manchester"/>
        <filter val="Mansfield"/>
        <filter val="Medway"/>
        <filter val="Melton"/>
        <filter val="Merton"/>
        <filter val="Mid Devon"/>
        <filter val="Mid Suffolk"/>
        <filter val="Mid Sussex"/>
        <filter val="Middlesbrough"/>
        <filter val="Milton Keynes"/>
        <filter val="Mole Valley"/>
        <filter val="New Forest"/>
        <filter val="Newark and Sherwood"/>
        <filter val="Newcastle upon Tyne"/>
        <filter val="Newcastle-under-Lyme"/>
        <filter val="Newham"/>
        <filter val="North Devon"/>
        <filter val="North East"/>
        <filter val="North East Derbyshire"/>
        <filter val="North East Lincolnshire"/>
        <filter val="North Hertfordshire"/>
        <filter val="North Kesteven"/>
        <filter val="North Lincolnshire"/>
        <filter val="North Norfolk"/>
        <filter val="North Northamptonshire"/>
        <filter val="North Somerset"/>
        <filter val="North Tyneside"/>
        <filter val="North Warwickshire"/>
        <filter val="North West"/>
        <filter val="North West Leicestershire"/>
        <filter val="North Yorkshire"/>
        <filter val="Northumberland"/>
        <filter val="Norwich"/>
        <filter val="Nottingham"/>
        <filter val="Nuneaton and Bedworth"/>
        <filter val="Oadby and Wigston"/>
        <filter val="Oldham"/>
        <filter val="Oxford"/>
        <filter val="Pendle"/>
        <filter val="Peterborough"/>
        <filter val="Plymouth"/>
        <filter val="Portsmouth"/>
        <filter val="Preston"/>
        <filter val="Reading"/>
        <filter val="Redbridge"/>
        <filter val="Redcar and Cleveland"/>
        <filter val="Redditch"/>
        <filter val="Reigate and Banstead"/>
        <filter val="Ribble Valley"/>
        <filter val="Richmond upon Thames"/>
        <filter val="Rochdale"/>
        <filter val="Rochford"/>
        <filter val="Rossendale"/>
        <filter val="Rother"/>
        <filter val="Rotherham"/>
        <filter val="Rugby"/>
        <filter val="Runnymede"/>
        <filter val="Rushcliffe"/>
        <filter val="Rushmoor"/>
        <filter val="Rutland"/>
        <filter val="Salford"/>
        <filter val="Sandwell"/>
        <filter val="Sefton"/>
        <filter val="Sevenoaks"/>
        <filter val="Sheffield"/>
        <filter val="Shropshire"/>
        <filter val="Slough"/>
        <filter val="Solihull"/>
        <filter val="Somerset"/>
        <filter val="South Cambridgeshire"/>
        <filter val="South Derbyshire"/>
        <filter val="South East"/>
        <filter val="South Gloucestershire"/>
        <filter val="South Hams"/>
        <filter val="South Holland"/>
        <filter val="South Kesteven"/>
        <filter val="South Norfolk"/>
        <filter val="South Oxfordshire"/>
        <filter val="South Ribble"/>
        <filter val="South Staffordshire"/>
        <filter val="South Tyneside"/>
        <filter val="South West"/>
        <filter val="Southampton"/>
        <filter val="Southend-on-Sea"/>
        <filter val="Southwark"/>
        <filter val="Spelthorne"/>
        <filter val="St Albans"/>
        <filter val="St. Helens"/>
        <filter val="Stafford"/>
        <filter val="Staffordshire Moorlands"/>
        <filter val="Stevenage"/>
        <filter val="Stockport"/>
        <filter val="Stockton-on-Tees"/>
        <filter val="Stoke-on-Trent"/>
        <filter val="Stratford-on-Avon"/>
        <filter val="Stroud"/>
        <filter val="Sunderland"/>
        <filter val="Surrey Heath"/>
        <filter val="Sutton"/>
        <filter val="Swale"/>
        <filter val="Swindon"/>
        <filter val="Tameside"/>
        <filter val="Tamworth"/>
        <filter val="Tandridge"/>
        <filter val="Teignbridge"/>
        <filter val="Telford and Wrekin"/>
        <filter val="Tendring"/>
        <filter val="Test Valley"/>
        <filter val="Tewkesbury"/>
        <filter val="Thanet"/>
        <filter val="Three Rivers"/>
        <filter val="Thurrock"/>
        <filter val="Tonbridge and Malling"/>
        <filter val="Torbay"/>
        <filter val="Torridge"/>
        <filter val="Tower Hamlets"/>
        <filter val="Trafford"/>
        <filter val="Tunbridge Wells"/>
        <filter val="Uttlesford"/>
        <filter val="Vale of White Horse"/>
        <filter val="Wakefield"/>
        <filter val="Walsall"/>
        <filter val="Waltham Forest"/>
        <filter val="Wandsworth"/>
        <filter val="Warrington"/>
        <filter val="Warwick"/>
        <filter val="Watford"/>
        <filter val="Waverley"/>
        <filter val="Wealden"/>
        <filter val="Welwyn Hatfield"/>
        <filter val="West Berkshire"/>
        <filter val="West Devon"/>
        <filter val="West Lancashire"/>
        <filter val="West Lindsey"/>
        <filter val="West Midlands"/>
        <filter val="West Northamptonshire"/>
        <filter val="West Oxfordshire"/>
        <filter val="West Suffolk"/>
        <filter val="Westminster"/>
        <filter val="Westmorland and Furness"/>
        <filter val="Wigan"/>
        <filter val="Wiltshire"/>
        <filter val="Winchester"/>
        <filter val="Windsor and Maidenhead"/>
        <filter val="Wirral"/>
        <filter val="Woking"/>
        <filter val="Wokingham"/>
        <filter val="Wolverhampton"/>
        <filter val="Worcester"/>
        <filter val="Worthing"/>
        <filter val="Wychavon"/>
        <filter val="Wyre"/>
        <filter val="Wyre Forest"/>
        <filter val="York"/>
        <filter val="Yorkshire and The Humber"/>
      </filters>
    </filterColumn>
  </autoFilter>
  <pageMargins left="0.7" right="0.7" top="0.75" bottom="0.75" header="0.3" footer="0.3"/>
  <pageSetup paperSize="9" orientation="portrait" r:id="rId1"/>
  <headerFooter>
    <oddFooter>&amp;C&amp;1#&amp;"Calibri"&amp;12&amp;K0078D7OFFICIAL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3461-89E0-42FE-BE97-85472B838B0B}">
  <sheetPr codeName="Sheet6">
    <tabColor rgb="FFE4DFEC"/>
  </sheetPr>
  <dimension ref="B2:E55"/>
  <sheetViews>
    <sheetView workbookViewId="0">
      <selection activeCell="B2" sqref="B2"/>
    </sheetView>
  </sheetViews>
  <sheetFormatPr defaultColWidth="9.140625" defaultRowHeight="14.25" x14ac:dyDescent="0.2"/>
  <cols>
    <col min="1" max="1" width="2.140625" style="441" customWidth="1"/>
    <col min="2" max="16384" width="9.140625" style="441"/>
  </cols>
  <sheetData>
    <row r="2" spans="2:2" ht="27.75" x14ac:dyDescent="0.4">
      <c r="B2" s="423" t="s">
        <v>10543</v>
      </c>
    </row>
    <row r="4" spans="2:2" ht="15.75" x14ac:dyDescent="0.25">
      <c r="B4" s="443" t="s">
        <v>9852</v>
      </c>
    </row>
    <row r="5" spans="2:2" ht="15" x14ac:dyDescent="0.25">
      <c r="B5" s="442"/>
    </row>
    <row r="6" spans="2:2" ht="15" x14ac:dyDescent="0.25">
      <c r="B6" s="442"/>
    </row>
    <row r="7" spans="2:2" ht="15" x14ac:dyDescent="0.25">
      <c r="B7" s="442"/>
    </row>
    <row r="8" spans="2:2" ht="15" x14ac:dyDescent="0.25">
      <c r="B8" s="442"/>
    </row>
    <row r="9" spans="2:2" ht="15" x14ac:dyDescent="0.25">
      <c r="B9" s="442"/>
    </row>
    <row r="10" spans="2:2" ht="15" x14ac:dyDescent="0.25">
      <c r="B10" s="442"/>
    </row>
    <row r="11" spans="2:2" ht="15.75" x14ac:dyDescent="0.25">
      <c r="B11" s="424" t="s">
        <v>9771</v>
      </c>
    </row>
    <row r="13" spans="2:2" x14ac:dyDescent="0.2">
      <c r="B13" s="441" t="s">
        <v>9854</v>
      </c>
    </row>
    <row r="26" spans="2:2" ht="15.75" x14ac:dyDescent="0.25">
      <c r="B26" s="424" t="s">
        <v>9772</v>
      </c>
    </row>
    <row r="28" spans="2:2" x14ac:dyDescent="0.2">
      <c r="B28" s="441" t="s">
        <v>9773</v>
      </c>
    </row>
    <row r="35" spans="2:2" x14ac:dyDescent="0.2">
      <c r="B35" s="441" t="s">
        <v>9774</v>
      </c>
    </row>
    <row r="47" spans="2:2" x14ac:dyDescent="0.2">
      <c r="B47" s="211"/>
    </row>
    <row r="48" spans="2:2" ht="15" x14ac:dyDescent="0.25">
      <c r="B48" s="442" t="s">
        <v>9853</v>
      </c>
    </row>
    <row r="49" spans="2:5" ht="15" x14ac:dyDescent="0.25">
      <c r="B49" s="442"/>
    </row>
    <row r="50" spans="2:5" ht="15" x14ac:dyDescent="0.25">
      <c r="B50" s="442"/>
    </row>
    <row r="51" spans="2:5" ht="15" x14ac:dyDescent="0.25">
      <c r="B51" s="442"/>
    </row>
    <row r="52" spans="2:5" ht="15" x14ac:dyDescent="0.25">
      <c r="B52" s="442"/>
    </row>
    <row r="55" spans="2:5" ht="15" x14ac:dyDescent="0.2">
      <c r="B55" s="673" t="s">
        <v>9775</v>
      </c>
      <c r="C55" s="673"/>
      <c r="D55" s="673"/>
      <c r="E55" s="673"/>
    </row>
  </sheetData>
  <sheetProtection algorithmName="SHA-512" hashValue="LYan597QpKBHmgFX/y16hZaP/3UFqfuqwK+P+NA74bt7ArwoQZ5dS/efNNgbmPpwrzptbKmlDa/XJfHbzvTN0Q==" saltValue="FI22Ev5rDDVKVXXUC9mTig==" spinCount="100000" sheet="1" objects="1" scenarios="1"/>
  <mergeCells count="1">
    <mergeCell ref="B55:E55"/>
  </mergeCells>
  <hyperlinks>
    <hyperlink ref="B55" location="'Area Summary'!I5" display="Return to sheet &quot;Area Summary&quot;" xr:uid="{48270B78-5B33-49BE-8074-7790ADAF7492}"/>
    <hyperlink ref="B55:E55" location="'Area summary'!E3" display="Return to sheet &quot;Area Summary&quot;" xr:uid="{FE133BD3-9B9B-42A4-A09D-2992438EF211}"/>
  </hyperlinks>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EBF9-420C-4F8C-8FA3-B7168C28CBAA}">
  <sheetPr codeName="Sheet8">
    <tabColor rgb="FF92D050"/>
  </sheetPr>
  <dimension ref="A1:C308"/>
  <sheetViews>
    <sheetView topLeftCell="A269" workbookViewId="0">
      <selection activeCell="A13" sqref="A13"/>
    </sheetView>
  </sheetViews>
  <sheetFormatPr defaultColWidth="9.140625" defaultRowHeight="12.75" x14ac:dyDescent="0.2"/>
  <cols>
    <col min="1" max="1" width="27" style="354" bestFit="1" customWidth="1"/>
    <col min="2" max="2" width="12.5703125" style="354" customWidth="1"/>
    <col min="3" max="3" width="23.42578125" style="354" bestFit="1" customWidth="1"/>
    <col min="4" max="5" width="18" style="354" customWidth="1"/>
    <col min="6" max="16384" width="9.140625" style="354"/>
  </cols>
  <sheetData>
    <row r="1" spans="1:3" x14ac:dyDescent="0.2">
      <c r="A1" s="354" t="s">
        <v>871</v>
      </c>
      <c r="B1" s="354" t="s">
        <v>77</v>
      </c>
      <c r="C1" s="354" t="s">
        <v>78</v>
      </c>
    </row>
    <row r="2" spans="1:3" x14ac:dyDescent="0.2">
      <c r="B2" s="354" t="s">
        <v>872</v>
      </c>
      <c r="C2" s="354" t="s">
        <v>78</v>
      </c>
    </row>
    <row r="3" spans="1:3" x14ac:dyDescent="0.2">
      <c r="A3" s="354" t="s">
        <v>6</v>
      </c>
      <c r="B3" s="354" t="s">
        <v>873</v>
      </c>
      <c r="C3" s="354" t="s">
        <v>6</v>
      </c>
    </row>
    <row r="4" spans="1:3" x14ac:dyDescent="0.2">
      <c r="A4" s="354" t="s">
        <v>282</v>
      </c>
      <c r="B4" s="354" t="s">
        <v>874</v>
      </c>
      <c r="C4" s="354" t="s">
        <v>282</v>
      </c>
    </row>
    <row r="5" spans="1:3" x14ac:dyDescent="0.2">
      <c r="A5" s="354" t="s">
        <v>283</v>
      </c>
      <c r="B5" s="354" t="s">
        <v>875</v>
      </c>
      <c r="C5" s="354" t="s">
        <v>283</v>
      </c>
    </row>
    <row r="6" spans="1:3" x14ac:dyDescent="0.2">
      <c r="A6" s="354" t="s">
        <v>284</v>
      </c>
      <c r="B6" s="354" t="s">
        <v>876</v>
      </c>
      <c r="C6" s="354" t="s">
        <v>284</v>
      </c>
    </row>
    <row r="7" spans="1:3" x14ac:dyDescent="0.2">
      <c r="A7" s="354" t="s">
        <v>285</v>
      </c>
      <c r="B7" s="354" t="s">
        <v>877</v>
      </c>
      <c r="C7" s="354" t="s">
        <v>285</v>
      </c>
    </row>
    <row r="8" spans="1:3" x14ac:dyDescent="0.2">
      <c r="A8" s="354" t="s">
        <v>286</v>
      </c>
      <c r="B8" s="354" t="s">
        <v>878</v>
      </c>
      <c r="C8" s="354" t="s">
        <v>286</v>
      </c>
    </row>
    <row r="9" spans="1:3" x14ac:dyDescent="0.2">
      <c r="A9" s="354" t="s">
        <v>2</v>
      </c>
      <c r="B9" s="354" t="s">
        <v>879</v>
      </c>
      <c r="C9" s="354" t="s">
        <v>2</v>
      </c>
    </row>
    <row r="10" spans="1:3" x14ac:dyDescent="0.2">
      <c r="A10" s="354" t="s">
        <v>287</v>
      </c>
      <c r="B10" s="354" t="s">
        <v>880</v>
      </c>
      <c r="C10" s="354" t="s">
        <v>287</v>
      </c>
    </row>
    <row r="11" spans="1:3" x14ac:dyDescent="0.2">
      <c r="A11" s="354" t="s">
        <v>288</v>
      </c>
      <c r="B11" s="354" t="s">
        <v>881</v>
      </c>
      <c r="C11" s="354" t="s">
        <v>288</v>
      </c>
    </row>
    <row r="12" spans="1:3" x14ac:dyDescent="0.2">
      <c r="A12" s="354" t="s">
        <v>882</v>
      </c>
      <c r="B12" s="354" t="s">
        <v>883</v>
      </c>
      <c r="C12" s="354" t="s">
        <v>882</v>
      </c>
    </row>
    <row r="13" spans="1:3" x14ac:dyDescent="0.2">
      <c r="A13" s="354" t="s">
        <v>290</v>
      </c>
      <c r="B13" s="354" t="s">
        <v>291</v>
      </c>
      <c r="C13" s="354" t="s">
        <v>2</v>
      </c>
    </row>
    <row r="14" spans="1:3" x14ac:dyDescent="0.2">
      <c r="A14" s="354" t="s">
        <v>292</v>
      </c>
      <c r="B14" s="354" t="s">
        <v>293</v>
      </c>
      <c r="C14" s="354" t="s">
        <v>282</v>
      </c>
    </row>
    <row r="15" spans="1:3" x14ac:dyDescent="0.2">
      <c r="A15" s="354" t="s">
        <v>294</v>
      </c>
      <c r="B15" s="354" t="s">
        <v>295</v>
      </c>
      <c r="C15" s="354" t="s">
        <v>2</v>
      </c>
    </row>
    <row r="16" spans="1:3" x14ac:dyDescent="0.2">
      <c r="A16" s="354" t="s">
        <v>296</v>
      </c>
      <c r="B16" s="354" t="s">
        <v>297</v>
      </c>
      <c r="C16" s="354" t="s">
        <v>282</v>
      </c>
    </row>
    <row r="17" spans="1:3" x14ac:dyDescent="0.2">
      <c r="A17" s="354" t="s">
        <v>298</v>
      </c>
      <c r="B17" s="354" t="s">
        <v>299</v>
      </c>
      <c r="C17" s="354" t="s">
        <v>2</v>
      </c>
    </row>
    <row r="18" spans="1:3" x14ac:dyDescent="0.2">
      <c r="A18" s="354" t="s">
        <v>300</v>
      </c>
      <c r="B18" s="354" t="s">
        <v>301</v>
      </c>
      <c r="C18" s="354" t="s">
        <v>283</v>
      </c>
    </row>
    <row r="19" spans="1:3" x14ac:dyDescent="0.2">
      <c r="A19" s="354" t="s">
        <v>302</v>
      </c>
      <c r="B19" s="354" t="s">
        <v>303</v>
      </c>
      <c r="C19" s="354" t="s">
        <v>284</v>
      </c>
    </row>
    <row r="20" spans="1:3" x14ac:dyDescent="0.2">
      <c r="A20" s="354" t="s">
        <v>304</v>
      </c>
      <c r="B20" s="354" t="s">
        <v>305</v>
      </c>
      <c r="C20" s="354" t="s">
        <v>284</v>
      </c>
    </row>
    <row r="21" spans="1:3" x14ac:dyDescent="0.2">
      <c r="A21" s="354" t="s">
        <v>306</v>
      </c>
      <c r="B21" s="354" t="s">
        <v>307</v>
      </c>
      <c r="C21" s="354" t="s">
        <v>882</v>
      </c>
    </row>
    <row r="22" spans="1:3" x14ac:dyDescent="0.2">
      <c r="A22" s="354" t="s">
        <v>308</v>
      </c>
      <c r="B22" s="354" t="s">
        <v>309</v>
      </c>
      <c r="C22" s="354" t="s">
        <v>283</v>
      </c>
    </row>
    <row r="23" spans="1:3" x14ac:dyDescent="0.2">
      <c r="A23" s="354" t="s">
        <v>310</v>
      </c>
      <c r="B23" s="354" t="s">
        <v>311</v>
      </c>
      <c r="C23" s="354" t="s">
        <v>2</v>
      </c>
    </row>
    <row r="24" spans="1:3" x14ac:dyDescent="0.2">
      <c r="A24" s="354" t="s">
        <v>312</v>
      </c>
      <c r="B24" s="354" t="s">
        <v>313</v>
      </c>
      <c r="C24" s="354" t="s">
        <v>282</v>
      </c>
    </row>
    <row r="25" spans="1:3" x14ac:dyDescent="0.2">
      <c r="A25" s="354" t="s">
        <v>314</v>
      </c>
      <c r="B25" s="354" t="s">
        <v>315</v>
      </c>
      <c r="C25" s="354" t="s">
        <v>287</v>
      </c>
    </row>
    <row r="26" spans="1:3" x14ac:dyDescent="0.2">
      <c r="A26" s="354" t="s">
        <v>316</v>
      </c>
      <c r="B26" s="354" t="s">
        <v>317</v>
      </c>
      <c r="C26" s="354" t="s">
        <v>283</v>
      </c>
    </row>
    <row r="27" spans="1:3" x14ac:dyDescent="0.2">
      <c r="A27" s="354" t="s">
        <v>318</v>
      </c>
      <c r="B27" s="354" t="s">
        <v>319</v>
      </c>
      <c r="C27" s="354" t="s">
        <v>284</v>
      </c>
    </row>
    <row r="28" spans="1:3" x14ac:dyDescent="0.2">
      <c r="A28" s="354" t="s">
        <v>320</v>
      </c>
      <c r="B28" s="354" t="s">
        <v>321</v>
      </c>
      <c r="C28" s="354" t="s">
        <v>288</v>
      </c>
    </row>
    <row r="29" spans="1:3" x14ac:dyDescent="0.2">
      <c r="A29" s="354" t="s">
        <v>322</v>
      </c>
      <c r="B29" s="354" t="s">
        <v>323</v>
      </c>
      <c r="C29" s="354" t="s">
        <v>282</v>
      </c>
    </row>
    <row r="30" spans="1:3" x14ac:dyDescent="0.2">
      <c r="A30" s="354" t="s">
        <v>324</v>
      </c>
      <c r="B30" s="354" t="s">
        <v>325</v>
      </c>
      <c r="C30" s="354" t="s">
        <v>286</v>
      </c>
    </row>
    <row r="31" spans="1:3" x14ac:dyDescent="0.2">
      <c r="A31" s="354" t="s">
        <v>326</v>
      </c>
      <c r="B31" s="354" t="s">
        <v>327</v>
      </c>
      <c r="C31" s="354" t="s">
        <v>286</v>
      </c>
    </row>
    <row r="32" spans="1:3" x14ac:dyDescent="0.2">
      <c r="A32" s="354" t="s">
        <v>328</v>
      </c>
      <c r="B32" s="354" t="s">
        <v>329</v>
      </c>
      <c r="C32" s="354" t="s">
        <v>282</v>
      </c>
    </row>
    <row r="33" spans="1:3" x14ac:dyDescent="0.2">
      <c r="A33" s="354" t="s">
        <v>330</v>
      </c>
      <c r="B33" s="354" t="s">
        <v>331</v>
      </c>
      <c r="C33" s="354" t="s">
        <v>286</v>
      </c>
    </row>
    <row r="34" spans="1:3" x14ac:dyDescent="0.2">
      <c r="A34" s="354" t="s">
        <v>332</v>
      </c>
      <c r="B34" s="354" t="s">
        <v>333</v>
      </c>
      <c r="C34" s="354" t="s">
        <v>282</v>
      </c>
    </row>
    <row r="35" spans="1:3" x14ac:dyDescent="0.2">
      <c r="A35" s="354" t="s">
        <v>11729</v>
      </c>
      <c r="B35" s="354" t="s">
        <v>334</v>
      </c>
      <c r="C35" s="354" t="s">
        <v>287</v>
      </c>
    </row>
    <row r="36" spans="1:3" x14ac:dyDescent="0.2">
      <c r="A36" s="354" t="s">
        <v>335</v>
      </c>
      <c r="B36" s="354" t="s">
        <v>336</v>
      </c>
      <c r="C36" s="354" t="s">
        <v>2</v>
      </c>
    </row>
    <row r="37" spans="1:3" x14ac:dyDescent="0.2">
      <c r="A37" s="354" t="s">
        <v>337</v>
      </c>
      <c r="B37" s="354" t="s">
        <v>338</v>
      </c>
      <c r="C37" s="354" t="s">
        <v>882</v>
      </c>
    </row>
    <row r="38" spans="1:3" x14ac:dyDescent="0.2">
      <c r="A38" s="354" t="s">
        <v>339</v>
      </c>
      <c r="B38" s="354" t="s">
        <v>340</v>
      </c>
      <c r="C38" s="354" t="s">
        <v>283</v>
      </c>
    </row>
    <row r="39" spans="1:3" x14ac:dyDescent="0.2">
      <c r="A39" s="354" t="s">
        <v>341</v>
      </c>
      <c r="B39" s="354" t="s">
        <v>342</v>
      </c>
      <c r="C39" s="354" t="s">
        <v>283</v>
      </c>
    </row>
    <row r="40" spans="1:3" x14ac:dyDescent="0.2">
      <c r="A40" s="354" t="s">
        <v>343</v>
      </c>
      <c r="B40" s="354" t="s">
        <v>344</v>
      </c>
      <c r="C40" s="354" t="s">
        <v>284</v>
      </c>
    </row>
    <row r="41" spans="1:3" x14ac:dyDescent="0.2">
      <c r="A41" s="354" t="s">
        <v>345</v>
      </c>
      <c r="B41" s="354" t="s">
        <v>346</v>
      </c>
      <c r="C41" s="354" t="s">
        <v>283</v>
      </c>
    </row>
    <row r="42" spans="1:3" x14ac:dyDescent="0.2">
      <c r="A42" s="354" t="s">
        <v>347</v>
      </c>
      <c r="B42" s="354" t="s">
        <v>348</v>
      </c>
      <c r="C42" s="354" t="s">
        <v>2</v>
      </c>
    </row>
    <row r="43" spans="1:3" x14ac:dyDescent="0.2">
      <c r="A43" s="354" t="s">
        <v>349</v>
      </c>
      <c r="B43" s="354" t="s">
        <v>350</v>
      </c>
      <c r="C43" s="354" t="s">
        <v>287</v>
      </c>
    </row>
    <row r="44" spans="1:3" x14ac:dyDescent="0.2">
      <c r="A44" s="354" t="s">
        <v>351</v>
      </c>
      <c r="B44" s="354" t="s">
        <v>352</v>
      </c>
      <c r="C44" s="354" t="s">
        <v>283</v>
      </c>
    </row>
    <row r="45" spans="1:3" x14ac:dyDescent="0.2">
      <c r="A45" s="354" t="s">
        <v>353</v>
      </c>
      <c r="B45" s="354" t="s">
        <v>354</v>
      </c>
      <c r="C45" s="354" t="s">
        <v>284</v>
      </c>
    </row>
    <row r="46" spans="1:3" x14ac:dyDescent="0.2">
      <c r="A46" s="354" t="s">
        <v>355</v>
      </c>
      <c r="B46" s="354" t="s">
        <v>356</v>
      </c>
      <c r="C46" s="354" t="s">
        <v>288</v>
      </c>
    </row>
    <row r="47" spans="1:3" x14ac:dyDescent="0.2">
      <c r="A47" s="354" t="s">
        <v>357</v>
      </c>
      <c r="B47" s="354" t="s">
        <v>358</v>
      </c>
      <c r="C47" s="354" t="s">
        <v>283</v>
      </c>
    </row>
    <row r="48" spans="1:3" x14ac:dyDescent="0.2">
      <c r="A48" s="354" t="s">
        <v>359</v>
      </c>
      <c r="B48" s="354" t="s">
        <v>360</v>
      </c>
      <c r="C48" s="354" t="s">
        <v>282</v>
      </c>
    </row>
    <row r="49" spans="1:3" x14ac:dyDescent="0.2">
      <c r="A49" s="354" t="s">
        <v>9851</v>
      </c>
      <c r="B49" s="354" t="s">
        <v>9850</v>
      </c>
      <c r="C49" s="354" t="s">
        <v>2</v>
      </c>
    </row>
    <row r="50" spans="1:3" x14ac:dyDescent="0.2">
      <c r="A50" s="354" t="s">
        <v>361</v>
      </c>
      <c r="B50" s="354" t="s">
        <v>362</v>
      </c>
      <c r="C50" s="354" t="s">
        <v>286</v>
      </c>
    </row>
    <row r="51" spans="1:3" x14ac:dyDescent="0.2">
      <c r="A51" s="354" t="s">
        <v>363</v>
      </c>
      <c r="B51" s="354" t="s">
        <v>364</v>
      </c>
      <c r="C51" s="354" t="s">
        <v>286</v>
      </c>
    </row>
    <row r="52" spans="1:3" x14ac:dyDescent="0.2">
      <c r="A52" s="354" t="s">
        <v>365</v>
      </c>
      <c r="B52" s="354" t="s">
        <v>366</v>
      </c>
      <c r="C52" s="354" t="s">
        <v>882</v>
      </c>
    </row>
    <row r="53" spans="1:3" x14ac:dyDescent="0.2">
      <c r="A53" s="354" t="s">
        <v>367</v>
      </c>
      <c r="B53" s="354" t="s">
        <v>368</v>
      </c>
      <c r="C53" s="354" t="s">
        <v>283</v>
      </c>
    </row>
    <row r="54" spans="1:3" x14ac:dyDescent="0.2">
      <c r="A54" s="354" t="s">
        <v>369</v>
      </c>
      <c r="B54" s="354" t="s">
        <v>370</v>
      </c>
      <c r="C54" s="354" t="s">
        <v>284</v>
      </c>
    </row>
    <row r="55" spans="1:3" x14ac:dyDescent="0.2">
      <c r="A55" s="354" t="s">
        <v>371</v>
      </c>
      <c r="B55" s="354" t="s">
        <v>372</v>
      </c>
      <c r="C55" s="354" t="s">
        <v>288</v>
      </c>
    </row>
    <row r="56" spans="1:3" x14ac:dyDescent="0.2">
      <c r="A56" s="354" t="s">
        <v>373</v>
      </c>
      <c r="B56" s="354" t="s">
        <v>374</v>
      </c>
      <c r="C56" s="354" t="s">
        <v>2</v>
      </c>
    </row>
    <row r="57" spans="1:3" x14ac:dyDescent="0.2">
      <c r="A57" s="354" t="s">
        <v>375</v>
      </c>
      <c r="B57" s="354" t="s">
        <v>376</v>
      </c>
      <c r="C57" s="354" t="s">
        <v>283</v>
      </c>
    </row>
    <row r="58" spans="1:3" x14ac:dyDescent="0.2">
      <c r="A58" s="354" t="s">
        <v>377</v>
      </c>
      <c r="B58" s="354" t="s">
        <v>378</v>
      </c>
      <c r="C58" s="354" t="s">
        <v>283</v>
      </c>
    </row>
    <row r="59" spans="1:3" x14ac:dyDescent="0.2">
      <c r="A59" s="354" t="s">
        <v>379</v>
      </c>
      <c r="B59" s="354" t="s">
        <v>380</v>
      </c>
      <c r="C59" s="354" t="s">
        <v>282</v>
      </c>
    </row>
    <row r="60" spans="1:3" x14ac:dyDescent="0.2">
      <c r="A60" s="354" t="s">
        <v>381</v>
      </c>
      <c r="B60" s="354" t="s">
        <v>382</v>
      </c>
      <c r="C60" s="354" t="s">
        <v>283</v>
      </c>
    </row>
    <row r="61" spans="1:3" x14ac:dyDescent="0.2">
      <c r="A61" s="354" t="s">
        <v>383</v>
      </c>
      <c r="B61" s="354" t="s">
        <v>384</v>
      </c>
      <c r="C61" s="354" t="s">
        <v>287</v>
      </c>
    </row>
    <row r="62" spans="1:3" x14ac:dyDescent="0.2">
      <c r="A62" s="354" t="s">
        <v>385</v>
      </c>
      <c r="B62" s="354" t="s">
        <v>386</v>
      </c>
      <c r="C62" s="354" t="s">
        <v>2</v>
      </c>
    </row>
    <row r="63" spans="1:3" x14ac:dyDescent="0.2">
      <c r="A63" s="354" t="s">
        <v>387</v>
      </c>
      <c r="B63" s="354" t="s">
        <v>388</v>
      </c>
      <c r="C63" s="354" t="s">
        <v>286</v>
      </c>
    </row>
    <row r="64" spans="1:3" x14ac:dyDescent="0.2">
      <c r="A64" s="354" t="s">
        <v>389</v>
      </c>
      <c r="B64" s="354" t="s">
        <v>390</v>
      </c>
      <c r="C64" s="354" t="s">
        <v>286</v>
      </c>
    </row>
    <row r="65" spans="1:3" x14ac:dyDescent="0.2">
      <c r="A65" s="354" t="s">
        <v>391</v>
      </c>
      <c r="B65" s="354" t="s">
        <v>392</v>
      </c>
      <c r="C65" s="354" t="s">
        <v>282</v>
      </c>
    </row>
    <row r="66" spans="1:3" x14ac:dyDescent="0.2">
      <c r="A66" s="354" t="s">
        <v>393</v>
      </c>
      <c r="B66" s="354" t="s">
        <v>394</v>
      </c>
      <c r="C66" s="354" t="s">
        <v>2</v>
      </c>
    </row>
    <row r="67" spans="1:3" x14ac:dyDescent="0.2">
      <c r="A67" s="354" t="s">
        <v>395</v>
      </c>
      <c r="B67" s="354" t="s">
        <v>396</v>
      </c>
      <c r="C67" s="354" t="s">
        <v>286</v>
      </c>
    </row>
    <row r="68" spans="1:3" x14ac:dyDescent="0.2">
      <c r="A68" s="354" t="s">
        <v>397</v>
      </c>
      <c r="B68" s="354" t="s">
        <v>398</v>
      </c>
      <c r="C68" s="354" t="s">
        <v>284</v>
      </c>
    </row>
    <row r="69" spans="1:3" x14ac:dyDescent="0.2">
      <c r="A69" s="354" t="s">
        <v>399</v>
      </c>
      <c r="B69" s="354" t="s">
        <v>400</v>
      </c>
      <c r="C69" s="354" t="s">
        <v>283</v>
      </c>
    </row>
    <row r="70" spans="1:3" x14ac:dyDescent="0.2">
      <c r="A70" s="354" t="s">
        <v>401</v>
      </c>
      <c r="B70" s="354" t="s">
        <v>402</v>
      </c>
      <c r="C70" s="354" t="s">
        <v>287</v>
      </c>
    </row>
    <row r="71" spans="1:3" x14ac:dyDescent="0.2">
      <c r="A71" s="354" t="s">
        <v>403</v>
      </c>
      <c r="B71" s="354" t="s">
        <v>404</v>
      </c>
      <c r="C71" s="354" t="s">
        <v>287</v>
      </c>
    </row>
    <row r="72" spans="1:3" x14ac:dyDescent="0.2">
      <c r="A72" s="354" t="s">
        <v>405</v>
      </c>
      <c r="B72" s="354" t="s">
        <v>406</v>
      </c>
      <c r="C72" s="354" t="s">
        <v>285</v>
      </c>
    </row>
    <row r="73" spans="1:3" x14ac:dyDescent="0.2">
      <c r="A73" s="354" t="s">
        <v>407</v>
      </c>
      <c r="B73" s="354" t="s">
        <v>408</v>
      </c>
      <c r="C73" s="354" t="s">
        <v>288</v>
      </c>
    </row>
    <row r="74" spans="1:3" x14ac:dyDescent="0.2">
      <c r="A74" s="354" t="s">
        <v>409</v>
      </c>
      <c r="B74" s="354" t="s">
        <v>410</v>
      </c>
      <c r="C74" s="354" t="s">
        <v>2</v>
      </c>
    </row>
    <row r="75" spans="1:3" x14ac:dyDescent="0.2">
      <c r="A75" s="354" t="s">
        <v>411</v>
      </c>
      <c r="B75" s="354" t="s">
        <v>412</v>
      </c>
      <c r="C75" s="354" t="s">
        <v>284</v>
      </c>
    </row>
    <row r="76" spans="1:3" x14ac:dyDescent="0.2">
      <c r="A76" s="354" t="s">
        <v>14365</v>
      </c>
      <c r="B76" s="354" t="s">
        <v>14366</v>
      </c>
      <c r="C76" s="354" t="s">
        <v>286</v>
      </c>
    </row>
    <row r="77" spans="1:3" x14ac:dyDescent="0.2">
      <c r="A77" s="354" t="s">
        <v>413</v>
      </c>
      <c r="B77" s="354" t="s">
        <v>414</v>
      </c>
      <c r="C77" s="354" t="s">
        <v>283</v>
      </c>
    </row>
    <row r="78" spans="1:3" x14ac:dyDescent="0.2">
      <c r="A78" s="354" t="s">
        <v>415</v>
      </c>
      <c r="B78" s="354" t="s">
        <v>416</v>
      </c>
      <c r="C78" s="354" t="s">
        <v>285</v>
      </c>
    </row>
    <row r="79" spans="1:3" x14ac:dyDescent="0.2">
      <c r="A79" s="354" t="s">
        <v>417</v>
      </c>
      <c r="B79" s="354" t="s">
        <v>418</v>
      </c>
      <c r="C79" s="354" t="s">
        <v>2</v>
      </c>
    </row>
    <row r="80" spans="1:3" x14ac:dyDescent="0.2">
      <c r="A80" s="354" t="s">
        <v>419</v>
      </c>
      <c r="B80" s="354" t="s">
        <v>420</v>
      </c>
      <c r="C80" s="354" t="s">
        <v>282</v>
      </c>
    </row>
    <row r="81" spans="1:3" x14ac:dyDescent="0.2">
      <c r="A81" s="354" t="s">
        <v>421</v>
      </c>
      <c r="B81" s="354" t="s">
        <v>422</v>
      </c>
      <c r="C81" s="354" t="s">
        <v>282</v>
      </c>
    </row>
    <row r="82" spans="1:3" x14ac:dyDescent="0.2">
      <c r="A82" s="354" t="s">
        <v>423</v>
      </c>
      <c r="B82" s="354" t="s">
        <v>424</v>
      </c>
      <c r="C82" s="354" t="s">
        <v>882</v>
      </c>
    </row>
    <row r="83" spans="1:3" x14ac:dyDescent="0.2">
      <c r="A83" s="354" t="s">
        <v>425</v>
      </c>
      <c r="B83" s="354" t="s">
        <v>426</v>
      </c>
      <c r="C83" s="354" t="s">
        <v>287</v>
      </c>
    </row>
    <row r="84" spans="1:3" x14ac:dyDescent="0.2">
      <c r="A84" s="354" t="s">
        <v>427</v>
      </c>
      <c r="B84" s="354" t="s">
        <v>428</v>
      </c>
      <c r="C84" s="354" t="s">
        <v>2</v>
      </c>
    </row>
    <row r="85" spans="1:3" x14ac:dyDescent="0.2">
      <c r="A85" s="354" t="s">
        <v>429</v>
      </c>
      <c r="B85" s="354" t="s">
        <v>430</v>
      </c>
      <c r="C85" s="354" t="s">
        <v>288</v>
      </c>
    </row>
    <row r="86" spans="1:3" x14ac:dyDescent="0.2">
      <c r="A86" s="354" t="s">
        <v>431</v>
      </c>
      <c r="B86" s="354" t="s">
        <v>432</v>
      </c>
      <c r="C86" s="354" t="s">
        <v>284</v>
      </c>
    </row>
    <row r="87" spans="1:3" x14ac:dyDescent="0.2">
      <c r="A87" s="354" t="s">
        <v>433</v>
      </c>
      <c r="B87" s="354" t="s">
        <v>434</v>
      </c>
      <c r="C87" s="354" t="s">
        <v>283</v>
      </c>
    </row>
    <row r="88" spans="1:3" x14ac:dyDescent="0.2">
      <c r="A88" s="354" t="s">
        <v>435</v>
      </c>
      <c r="B88" s="354" t="s">
        <v>436</v>
      </c>
      <c r="C88" s="354" t="s">
        <v>287</v>
      </c>
    </row>
    <row r="89" spans="1:3" x14ac:dyDescent="0.2">
      <c r="A89" s="354" t="s">
        <v>437</v>
      </c>
      <c r="B89" s="354" t="s">
        <v>438</v>
      </c>
      <c r="C89" s="354" t="s">
        <v>2</v>
      </c>
    </row>
    <row r="90" spans="1:3" x14ac:dyDescent="0.2">
      <c r="A90" s="354" t="s">
        <v>439</v>
      </c>
      <c r="B90" s="354" t="s">
        <v>440</v>
      </c>
      <c r="C90" s="354" t="s">
        <v>283</v>
      </c>
    </row>
    <row r="91" spans="1:3" x14ac:dyDescent="0.2">
      <c r="A91" s="354" t="s">
        <v>441</v>
      </c>
      <c r="B91" s="354" t="s">
        <v>442</v>
      </c>
      <c r="C91" s="354" t="s">
        <v>282</v>
      </c>
    </row>
    <row r="92" spans="1:3" x14ac:dyDescent="0.2">
      <c r="A92" s="354" t="s">
        <v>443</v>
      </c>
      <c r="B92" s="354" t="s">
        <v>444</v>
      </c>
      <c r="C92" s="354" t="s">
        <v>882</v>
      </c>
    </row>
    <row r="93" spans="1:3" x14ac:dyDescent="0.2">
      <c r="A93" s="354" t="s">
        <v>445</v>
      </c>
      <c r="B93" s="354" t="s">
        <v>446</v>
      </c>
      <c r="C93" s="354" t="s">
        <v>288</v>
      </c>
    </row>
    <row r="94" spans="1:3" x14ac:dyDescent="0.2">
      <c r="A94" s="354" t="s">
        <v>447</v>
      </c>
      <c r="B94" s="354" t="s">
        <v>448</v>
      </c>
      <c r="C94" s="354" t="s">
        <v>283</v>
      </c>
    </row>
    <row r="95" spans="1:3" x14ac:dyDescent="0.2">
      <c r="A95" s="354" t="s">
        <v>449</v>
      </c>
      <c r="B95" s="354" t="s">
        <v>450</v>
      </c>
      <c r="C95" s="354" t="s">
        <v>2</v>
      </c>
    </row>
    <row r="96" spans="1:3" x14ac:dyDescent="0.2">
      <c r="A96" s="354" t="s">
        <v>451</v>
      </c>
      <c r="B96" s="354" t="s">
        <v>452</v>
      </c>
      <c r="C96" s="354" t="s">
        <v>2</v>
      </c>
    </row>
    <row r="97" spans="1:3" x14ac:dyDescent="0.2">
      <c r="A97" s="354" t="s">
        <v>453</v>
      </c>
      <c r="B97" s="354" t="s">
        <v>454</v>
      </c>
      <c r="C97" s="354" t="s">
        <v>2</v>
      </c>
    </row>
    <row r="98" spans="1:3" x14ac:dyDescent="0.2">
      <c r="A98" s="354" t="s">
        <v>455</v>
      </c>
      <c r="B98" s="354" t="s">
        <v>456</v>
      </c>
      <c r="C98" s="354" t="s">
        <v>284</v>
      </c>
    </row>
    <row r="99" spans="1:3" x14ac:dyDescent="0.2">
      <c r="A99" s="354" t="s">
        <v>457</v>
      </c>
      <c r="B99" s="354" t="s">
        <v>458</v>
      </c>
      <c r="C99" s="354" t="s">
        <v>283</v>
      </c>
    </row>
    <row r="100" spans="1:3" x14ac:dyDescent="0.2">
      <c r="A100" s="354" t="s">
        <v>459</v>
      </c>
      <c r="B100" s="354" t="s">
        <v>460</v>
      </c>
      <c r="C100" s="354" t="s">
        <v>2</v>
      </c>
    </row>
    <row r="101" spans="1:3" x14ac:dyDescent="0.2">
      <c r="A101" s="354" t="s">
        <v>461</v>
      </c>
      <c r="B101" s="354" t="s">
        <v>462</v>
      </c>
      <c r="C101" s="354" t="s">
        <v>282</v>
      </c>
    </row>
    <row r="102" spans="1:3" x14ac:dyDescent="0.2">
      <c r="A102" s="354" t="s">
        <v>463</v>
      </c>
      <c r="B102" s="354" t="s">
        <v>464</v>
      </c>
      <c r="C102" s="354" t="s">
        <v>287</v>
      </c>
    </row>
    <row r="103" spans="1:3" x14ac:dyDescent="0.2">
      <c r="A103" s="354" t="s">
        <v>465</v>
      </c>
      <c r="B103" s="354" t="s">
        <v>466</v>
      </c>
      <c r="C103" s="354" t="s">
        <v>2</v>
      </c>
    </row>
    <row r="104" spans="1:3" x14ac:dyDescent="0.2">
      <c r="A104" s="354" t="s">
        <v>467</v>
      </c>
      <c r="B104" s="354" t="s">
        <v>468</v>
      </c>
      <c r="C104" s="354" t="s">
        <v>283</v>
      </c>
    </row>
    <row r="105" spans="1:3" x14ac:dyDescent="0.2">
      <c r="A105" s="354" t="s">
        <v>469</v>
      </c>
      <c r="B105" s="354" t="s">
        <v>470</v>
      </c>
      <c r="C105" s="354" t="s">
        <v>2</v>
      </c>
    </row>
    <row r="106" spans="1:3" x14ac:dyDescent="0.2">
      <c r="A106" s="354" t="s">
        <v>471</v>
      </c>
      <c r="B106" s="354" t="s">
        <v>472</v>
      </c>
      <c r="C106" s="354" t="s">
        <v>287</v>
      </c>
    </row>
    <row r="107" spans="1:3" x14ac:dyDescent="0.2">
      <c r="A107" s="354" t="s">
        <v>473</v>
      </c>
      <c r="B107" s="354" t="s">
        <v>474</v>
      </c>
      <c r="C107" s="354" t="s">
        <v>286</v>
      </c>
    </row>
    <row r="108" spans="1:3" x14ac:dyDescent="0.2">
      <c r="A108" s="354" t="s">
        <v>475</v>
      </c>
      <c r="B108" s="354" t="s">
        <v>476</v>
      </c>
      <c r="C108" s="354" t="s">
        <v>285</v>
      </c>
    </row>
    <row r="109" spans="1:3" x14ac:dyDescent="0.2">
      <c r="A109" s="354" t="s">
        <v>477</v>
      </c>
      <c r="B109" s="354" t="s">
        <v>478</v>
      </c>
      <c r="C109" s="354" t="s">
        <v>282</v>
      </c>
    </row>
    <row r="110" spans="1:3" x14ac:dyDescent="0.2">
      <c r="A110" s="354" t="s">
        <v>479</v>
      </c>
      <c r="B110" s="354" t="s">
        <v>480</v>
      </c>
      <c r="C110" s="354" t="s">
        <v>287</v>
      </c>
    </row>
    <row r="111" spans="1:3" x14ac:dyDescent="0.2">
      <c r="A111" s="354" t="s">
        <v>481</v>
      </c>
      <c r="B111" s="354" t="s">
        <v>482</v>
      </c>
      <c r="C111" s="354" t="s">
        <v>2</v>
      </c>
    </row>
    <row r="112" spans="1:3" x14ac:dyDescent="0.2">
      <c r="A112" s="354" t="s">
        <v>483</v>
      </c>
      <c r="B112" s="354" t="s">
        <v>484</v>
      </c>
      <c r="C112" s="354" t="s">
        <v>2</v>
      </c>
    </row>
    <row r="113" spans="1:3" x14ac:dyDescent="0.2">
      <c r="A113" s="354" t="s">
        <v>485</v>
      </c>
      <c r="B113" s="354" t="s">
        <v>486</v>
      </c>
      <c r="C113" s="354" t="s">
        <v>283</v>
      </c>
    </row>
    <row r="114" spans="1:3" x14ac:dyDescent="0.2">
      <c r="A114" s="354" t="s">
        <v>487</v>
      </c>
      <c r="B114" s="354" t="s">
        <v>488</v>
      </c>
      <c r="C114" s="354" t="s">
        <v>284</v>
      </c>
    </row>
    <row r="115" spans="1:3" x14ac:dyDescent="0.2">
      <c r="A115" s="354" t="s">
        <v>489</v>
      </c>
      <c r="B115" s="354" t="s">
        <v>490</v>
      </c>
      <c r="C115" s="354" t="s">
        <v>2</v>
      </c>
    </row>
    <row r="116" spans="1:3" x14ac:dyDescent="0.2">
      <c r="A116" s="354" t="s">
        <v>491</v>
      </c>
      <c r="B116" s="354" t="s">
        <v>492</v>
      </c>
      <c r="C116" s="354" t="s">
        <v>284</v>
      </c>
    </row>
    <row r="117" spans="1:3" x14ac:dyDescent="0.2">
      <c r="A117" s="354" t="s">
        <v>493</v>
      </c>
      <c r="B117" s="354" t="s">
        <v>494</v>
      </c>
      <c r="C117" s="354" t="s">
        <v>286</v>
      </c>
    </row>
    <row r="118" spans="1:3" x14ac:dyDescent="0.2">
      <c r="A118" s="354" t="s">
        <v>495</v>
      </c>
      <c r="B118" s="354" t="s">
        <v>496</v>
      </c>
      <c r="C118" s="354" t="s">
        <v>284</v>
      </c>
    </row>
    <row r="119" spans="1:3" x14ac:dyDescent="0.2">
      <c r="A119" s="354" t="s">
        <v>497</v>
      </c>
      <c r="B119" s="354" t="s">
        <v>498</v>
      </c>
      <c r="C119" s="354" t="s">
        <v>282</v>
      </c>
    </row>
    <row r="120" spans="1:3" x14ac:dyDescent="0.2">
      <c r="A120" s="354" t="s">
        <v>499</v>
      </c>
      <c r="B120" s="354" t="s">
        <v>500</v>
      </c>
      <c r="C120" s="354" t="s">
        <v>284</v>
      </c>
    </row>
    <row r="121" spans="1:3" x14ac:dyDescent="0.2">
      <c r="A121" s="354" t="s">
        <v>501</v>
      </c>
      <c r="B121" s="354" t="s">
        <v>502</v>
      </c>
      <c r="C121" s="354" t="s">
        <v>283</v>
      </c>
    </row>
    <row r="122" spans="1:3" x14ac:dyDescent="0.2">
      <c r="A122" s="354" t="s">
        <v>503</v>
      </c>
      <c r="B122" s="354" t="s">
        <v>504</v>
      </c>
      <c r="C122" s="354" t="s">
        <v>284</v>
      </c>
    </row>
    <row r="123" spans="1:3" x14ac:dyDescent="0.2">
      <c r="A123" s="354" t="s">
        <v>505</v>
      </c>
      <c r="B123" s="354" t="s">
        <v>506</v>
      </c>
      <c r="C123" s="354" t="s">
        <v>2</v>
      </c>
    </row>
    <row r="124" spans="1:3" x14ac:dyDescent="0.2">
      <c r="A124" s="354" t="s">
        <v>507</v>
      </c>
      <c r="B124" s="354" t="s">
        <v>508</v>
      </c>
      <c r="C124" s="354" t="s">
        <v>285</v>
      </c>
    </row>
    <row r="125" spans="1:3" x14ac:dyDescent="0.2">
      <c r="A125" s="354" t="s">
        <v>509</v>
      </c>
      <c r="B125" s="354" t="s">
        <v>510</v>
      </c>
      <c r="C125" s="354" t="s">
        <v>2</v>
      </c>
    </row>
    <row r="126" spans="1:3" x14ac:dyDescent="0.2">
      <c r="A126" s="354" t="s">
        <v>511</v>
      </c>
      <c r="B126" s="354" t="s">
        <v>512</v>
      </c>
      <c r="C126" s="354" t="s">
        <v>2</v>
      </c>
    </row>
    <row r="127" spans="1:3" x14ac:dyDescent="0.2">
      <c r="A127" s="354" t="s">
        <v>513</v>
      </c>
      <c r="B127" s="354" t="s">
        <v>514</v>
      </c>
      <c r="C127" s="354" t="s">
        <v>284</v>
      </c>
    </row>
    <row r="128" spans="1:3" x14ac:dyDescent="0.2">
      <c r="A128" s="354" t="s">
        <v>515</v>
      </c>
      <c r="B128" s="354" t="s">
        <v>516</v>
      </c>
      <c r="C128" s="354" t="s">
        <v>288</v>
      </c>
    </row>
    <row r="129" spans="1:3" x14ac:dyDescent="0.2">
      <c r="A129" s="354" t="s">
        <v>517</v>
      </c>
      <c r="B129" s="354" t="s">
        <v>518</v>
      </c>
      <c r="C129" s="354" t="s">
        <v>283</v>
      </c>
    </row>
    <row r="130" spans="1:3" x14ac:dyDescent="0.2">
      <c r="A130" s="354" t="s">
        <v>519</v>
      </c>
      <c r="B130" s="354" t="s">
        <v>520</v>
      </c>
      <c r="C130" s="354" t="s">
        <v>282</v>
      </c>
    </row>
    <row r="131" spans="1:3" x14ac:dyDescent="0.2">
      <c r="A131" s="354" t="s">
        <v>521</v>
      </c>
      <c r="B131" s="354" t="s">
        <v>522</v>
      </c>
      <c r="C131" s="354" t="s">
        <v>284</v>
      </c>
    </row>
    <row r="132" spans="1:3" x14ac:dyDescent="0.2">
      <c r="A132" s="354" t="s">
        <v>523</v>
      </c>
      <c r="B132" s="354" t="s">
        <v>524</v>
      </c>
      <c r="C132" s="354" t="s">
        <v>282</v>
      </c>
    </row>
    <row r="133" spans="1:3" x14ac:dyDescent="0.2">
      <c r="A133" s="354" t="s">
        <v>525</v>
      </c>
      <c r="B133" s="354" t="s">
        <v>526</v>
      </c>
      <c r="C133" s="354" t="s">
        <v>2</v>
      </c>
    </row>
    <row r="134" spans="1:3" x14ac:dyDescent="0.2">
      <c r="A134" s="354" t="s">
        <v>527</v>
      </c>
      <c r="B134" s="354" t="s">
        <v>528</v>
      </c>
      <c r="C134" s="354" t="s">
        <v>284</v>
      </c>
    </row>
    <row r="135" spans="1:3" x14ac:dyDescent="0.2">
      <c r="A135" s="354" t="s">
        <v>529</v>
      </c>
      <c r="B135" s="354" t="s">
        <v>530</v>
      </c>
      <c r="C135" s="354" t="s">
        <v>283</v>
      </c>
    </row>
    <row r="136" spans="1:3" x14ac:dyDescent="0.2">
      <c r="A136" s="354" t="s">
        <v>531</v>
      </c>
      <c r="B136" s="354" t="s">
        <v>532</v>
      </c>
      <c r="C136" s="354" t="s">
        <v>286</v>
      </c>
    </row>
    <row r="137" spans="1:3" x14ac:dyDescent="0.2">
      <c r="A137" s="354" t="s">
        <v>533</v>
      </c>
      <c r="B137" s="354" t="s">
        <v>534</v>
      </c>
      <c r="C137" s="354" t="s">
        <v>283</v>
      </c>
    </row>
    <row r="138" spans="1:3" x14ac:dyDescent="0.2">
      <c r="A138" s="354" t="s">
        <v>535</v>
      </c>
      <c r="B138" s="354" t="s">
        <v>536</v>
      </c>
      <c r="C138" s="354" t="s">
        <v>2</v>
      </c>
    </row>
    <row r="139" spans="1:3" x14ac:dyDescent="0.2">
      <c r="A139" s="354" t="s">
        <v>537</v>
      </c>
      <c r="B139" s="354" t="s">
        <v>538</v>
      </c>
      <c r="C139" s="354" t="s">
        <v>287</v>
      </c>
    </row>
    <row r="140" spans="1:3" x14ac:dyDescent="0.2">
      <c r="A140" s="354" t="s">
        <v>539</v>
      </c>
      <c r="B140" s="354" t="s">
        <v>540</v>
      </c>
      <c r="C140" s="354" t="s">
        <v>284</v>
      </c>
    </row>
    <row r="141" spans="1:3" x14ac:dyDescent="0.2">
      <c r="A141" s="354" t="s">
        <v>541</v>
      </c>
      <c r="B141" s="354" t="s">
        <v>542</v>
      </c>
      <c r="C141" s="354" t="s">
        <v>284</v>
      </c>
    </row>
    <row r="142" spans="1:3" x14ac:dyDescent="0.2">
      <c r="A142" s="354" t="s">
        <v>543</v>
      </c>
      <c r="B142" s="354" t="s">
        <v>544</v>
      </c>
      <c r="C142" s="354" t="s">
        <v>283</v>
      </c>
    </row>
    <row r="143" spans="1:3" x14ac:dyDescent="0.2">
      <c r="A143" s="354" t="s">
        <v>545</v>
      </c>
      <c r="B143" s="354" t="s">
        <v>546</v>
      </c>
      <c r="C143" s="354" t="s">
        <v>882</v>
      </c>
    </row>
    <row r="144" spans="1:3" x14ac:dyDescent="0.2">
      <c r="A144" s="354" t="s">
        <v>547</v>
      </c>
      <c r="B144" s="354" t="s">
        <v>548</v>
      </c>
      <c r="C144" s="354" t="s">
        <v>284</v>
      </c>
    </row>
    <row r="145" spans="1:3" x14ac:dyDescent="0.2">
      <c r="A145" s="354" t="s">
        <v>549</v>
      </c>
      <c r="B145" s="354" t="s">
        <v>550</v>
      </c>
      <c r="C145" s="354" t="s">
        <v>882</v>
      </c>
    </row>
    <row r="146" spans="1:3" x14ac:dyDescent="0.2">
      <c r="A146" s="354" t="s">
        <v>551</v>
      </c>
      <c r="B146" s="354" t="s">
        <v>552</v>
      </c>
      <c r="C146" s="354" t="s">
        <v>286</v>
      </c>
    </row>
    <row r="147" spans="1:3" x14ac:dyDescent="0.2">
      <c r="A147" s="354" t="s">
        <v>553</v>
      </c>
      <c r="B147" s="354" t="s">
        <v>554</v>
      </c>
      <c r="C147" s="354" t="s">
        <v>284</v>
      </c>
    </row>
    <row r="148" spans="1:3" x14ac:dyDescent="0.2">
      <c r="A148" s="354" t="s">
        <v>555</v>
      </c>
      <c r="B148" s="354" t="s">
        <v>556</v>
      </c>
      <c r="C148" s="354" t="s">
        <v>286</v>
      </c>
    </row>
    <row r="149" spans="1:3" x14ac:dyDescent="0.2">
      <c r="A149" s="354" t="s">
        <v>557</v>
      </c>
      <c r="B149" s="354" t="s">
        <v>558</v>
      </c>
      <c r="C149" s="354" t="s">
        <v>882</v>
      </c>
    </row>
    <row r="150" spans="1:3" x14ac:dyDescent="0.2">
      <c r="A150" s="354" t="s">
        <v>559</v>
      </c>
      <c r="B150" s="354" t="s">
        <v>560</v>
      </c>
      <c r="C150" s="354" t="s">
        <v>282</v>
      </c>
    </row>
    <row r="151" spans="1:3" x14ac:dyDescent="0.2">
      <c r="A151" s="354" t="s">
        <v>561</v>
      </c>
      <c r="B151" s="354" t="s">
        <v>562</v>
      </c>
      <c r="C151" s="354" t="s">
        <v>2</v>
      </c>
    </row>
    <row r="152" spans="1:3" x14ac:dyDescent="0.2">
      <c r="A152" s="354" t="s">
        <v>563</v>
      </c>
      <c r="B152" s="354" t="s">
        <v>564</v>
      </c>
      <c r="C152" s="354" t="s">
        <v>284</v>
      </c>
    </row>
    <row r="153" spans="1:3" x14ac:dyDescent="0.2">
      <c r="A153" s="354" t="s">
        <v>565</v>
      </c>
      <c r="B153" s="354" t="s">
        <v>566</v>
      </c>
      <c r="C153" s="354" t="s">
        <v>288</v>
      </c>
    </row>
    <row r="154" spans="1:3" x14ac:dyDescent="0.2">
      <c r="A154" s="354" t="s">
        <v>567</v>
      </c>
      <c r="B154" s="354" t="s">
        <v>568</v>
      </c>
      <c r="C154" s="354" t="s">
        <v>282</v>
      </c>
    </row>
    <row r="155" spans="1:3" x14ac:dyDescent="0.2">
      <c r="A155" s="354" t="s">
        <v>569</v>
      </c>
      <c r="B155" s="354" t="s">
        <v>570</v>
      </c>
      <c r="C155" s="354" t="s">
        <v>286</v>
      </c>
    </row>
    <row r="156" spans="1:3" x14ac:dyDescent="0.2">
      <c r="A156" s="354" t="s">
        <v>571</v>
      </c>
      <c r="B156" s="354" t="s">
        <v>572</v>
      </c>
      <c r="C156" s="354" t="s">
        <v>283</v>
      </c>
    </row>
    <row r="157" spans="1:3" x14ac:dyDescent="0.2">
      <c r="A157" s="354" t="s">
        <v>573</v>
      </c>
      <c r="B157" s="354" t="s">
        <v>574</v>
      </c>
      <c r="C157" s="354" t="s">
        <v>2</v>
      </c>
    </row>
    <row r="158" spans="1:3" x14ac:dyDescent="0.2">
      <c r="A158" s="354" t="s">
        <v>575</v>
      </c>
      <c r="B158" s="354" t="s">
        <v>576</v>
      </c>
      <c r="C158" s="354" t="s">
        <v>283</v>
      </c>
    </row>
    <row r="159" spans="1:3" x14ac:dyDescent="0.2">
      <c r="A159" s="354" t="s">
        <v>577</v>
      </c>
      <c r="B159" s="354" t="s">
        <v>578</v>
      </c>
      <c r="C159" s="354" t="s">
        <v>288</v>
      </c>
    </row>
    <row r="160" spans="1:3" x14ac:dyDescent="0.2">
      <c r="A160" s="354" t="s">
        <v>579</v>
      </c>
      <c r="B160" s="354" t="s">
        <v>580</v>
      </c>
      <c r="C160" s="354" t="s">
        <v>286</v>
      </c>
    </row>
    <row r="161" spans="1:3" x14ac:dyDescent="0.2">
      <c r="A161" s="354" t="s">
        <v>581</v>
      </c>
      <c r="B161" s="354" t="s">
        <v>582</v>
      </c>
      <c r="C161" s="354" t="s">
        <v>282</v>
      </c>
    </row>
    <row r="162" spans="1:3" x14ac:dyDescent="0.2">
      <c r="A162" s="354" t="s">
        <v>583</v>
      </c>
      <c r="B162" s="354" t="s">
        <v>584</v>
      </c>
      <c r="C162" s="354" t="s">
        <v>2</v>
      </c>
    </row>
    <row r="163" spans="1:3" x14ac:dyDescent="0.2">
      <c r="A163" s="354" t="s">
        <v>585</v>
      </c>
      <c r="B163" s="354" t="s">
        <v>586</v>
      </c>
      <c r="C163" s="354" t="s">
        <v>282</v>
      </c>
    </row>
    <row r="164" spans="1:3" x14ac:dyDescent="0.2">
      <c r="A164" s="354" t="s">
        <v>587</v>
      </c>
      <c r="B164" s="354" t="s">
        <v>588</v>
      </c>
      <c r="C164" s="354" t="s">
        <v>284</v>
      </c>
    </row>
    <row r="165" spans="1:3" x14ac:dyDescent="0.2">
      <c r="A165" s="354" t="s">
        <v>589</v>
      </c>
      <c r="B165" s="354" t="s">
        <v>590</v>
      </c>
      <c r="C165" s="354" t="s">
        <v>287</v>
      </c>
    </row>
    <row r="166" spans="1:3" x14ac:dyDescent="0.2">
      <c r="A166" s="354" t="s">
        <v>591</v>
      </c>
      <c r="B166" s="354" t="s">
        <v>592</v>
      </c>
      <c r="C166" s="354" t="s">
        <v>283</v>
      </c>
    </row>
    <row r="167" spans="1:3" x14ac:dyDescent="0.2">
      <c r="A167" s="354" t="s">
        <v>593</v>
      </c>
      <c r="B167" s="354" t="s">
        <v>594</v>
      </c>
      <c r="C167" s="354" t="s">
        <v>2</v>
      </c>
    </row>
    <row r="168" spans="1:3" x14ac:dyDescent="0.2">
      <c r="A168" s="354" t="s">
        <v>595</v>
      </c>
      <c r="B168" s="354" t="s">
        <v>596</v>
      </c>
      <c r="C168" s="354" t="s">
        <v>285</v>
      </c>
    </row>
    <row r="169" spans="1:3" x14ac:dyDescent="0.2">
      <c r="A169" s="354" t="s">
        <v>597</v>
      </c>
      <c r="B169" s="354" t="s">
        <v>598</v>
      </c>
      <c r="C169" s="354" t="s">
        <v>2</v>
      </c>
    </row>
    <row r="170" spans="1:3" x14ac:dyDescent="0.2">
      <c r="A170" s="354" t="s">
        <v>599</v>
      </c>
      <c r="B170" s="354" t="s">
        <v>600</v>
      </c>
      <c r="C170" s="354" t="s">
        <v>2</v>
      </c>
    </row>
    <row r="171" spans="1:3" x14ac:dyDescent="0.2">
      <c r="A171" s="354" t="s">
        <v>1</v>
      </c>
      <c r="B171" s="354" t="s">
        <v>601</v>
      </c>
      <c r="C171" s="354" t="s">
        <v>2</v>
      </c>
    </row>
    <row r="172" spans="1:3" x14ac:dyDescent="0.2">
      <c r="A172" s="354" t="s">
        <v>602</v>
      </c>
      <c r="B172" s="354" t="s">
        <v>603</v>
      </c>
      <c r="C172" s="354" t="s">
        <v>282</v>
      </c>
    </row>
    <row r="173" spans="1:3" x14ac:dyDescent="0.2">
      <c r="A173" s="354" t="s">
        <v>604</v>
      </c>
      <c r="B173" s="354" t="s">
        <v>605</v>
      </c>
      <c r="C173" s="354" t="s">
        <v>285</v>
      </c>
    </row>
    <row r="174" spans="1:3" x14ac:dyDescent="0.2">
      <c r="A174" s="354" t="s">
        <v>606</v>
      </c>
      <c r="B174" s="354" t="s">
        <v>607</v>
      </c>
      <c r="C174" s="354" t="s">
        <v>288</v>
      </c>
    </row>
    <row r="175" spans="1:3" x14ac:dyDescent="0.2">
      <c r="A175" s="354" t="s">
        <v>608</v>
      </c>
      <c r="B175" s="354" t="s">
        <v>609</v>
      </c>
      <c r="C175" s="354" t="s">
        <v>284</v>
      </c>
    </row>
    <row r="176" spans="1:3" x14ac:dyDescent="0.2">
      <c r="A176" s="354" t="s">
        <v>610</v>
      </c>
      <c r="B176" s="354" t="s">
        <v>611</v>
      </c>
      <c r="C176" s="354" t="s">
        <v>287</v>
      </c>
    </row>
    <row r="177" spans="1:3" x14ac:dyDescent="0.2">
      <c r="A177" s="354" t="s">
        <v>612</v>
      </c>
      <c r="B177" s="354" t="s">
        <v>613</v>
      </c>
      <c r="C177" s="354" t="s">
        <v>282</v>
      </c>
    </row>
    <row r="178" spans="1:3" x14ac:dyDescent="0.2">
      <c r="A178" s="354" t="s">
        <v>614</v>
      </c>
      <c r="B178" s="354" t="s">
        <v>615</v>
      </c>
      <c r="C178" s="354" t="s">
        <v>882</v>
      </c>
    </row>
    <row r="179" spans="1:3" x14ac:dyDescent="0.2">
      <c r="A179" s="354" t="s">
        <v>616</v>
      </c>
      <c r="B179" s="354" t="s">
        <v>617</v>
      </c>
      <c r="C179" s="354" t="s">
        <v>283</v>
      </c>
    </row>
    <row r="180" spans="1:3" x14ac:dyDescent="0.2">
      <c r="A180" s="354" t="s">
        <v>618</v>
      </c>
      <c r="B180" s="354" t="s">
        <v>619</v>
      </c>
      <c r="C180" s="354" t="s">
        <v>282</v>
      </c>
    </row>
    <row r="181" spans="1:3" x14ac:dyDescent="0.2">
      <c r="A181" s="354" t="s">
        <v>620</v>
      </c>
      <c r="B181" s="354" t="s">
        <v>621</v>
      </c>
      <c r="C181" s="354" t="s">
        <v>882</v>
      </c>
    </row>
    <row r="182" spans="1:3" x14ac:dyDescent="0.2">
      <c r="A182" s="354" t="s">
        <v>622</v>
      </c>
      <c r="B182" s="354" t="s">
        <v>623</v>
      </c>
      <c r="C182" s="354" t="s">
        <v>283</v>
      </c>
    </row>
    <row r="183" spans="1:3" x14ac:dyDescent="0.2">
      <c r="A183" s="354" t="s">
        <v>10558</v>
      </c>
      <c r="B183" s="354" t="s">
        <v>10559</v>
      </c>
      <c r="C183" s="354" t="s">
        <v>282</v>
      </c>
    </row>
    <row r="184" spans="1:3" x14ac:dyDescent="0.2">
      <c r="A184" s="354" t="s">
        <v>624</v>
      </c>
      <c r="B184" s="354" t="s">
        <v>625</v>
      </c>
      <c r="C184" s="354" t="s">
        <v>287</v>
      </c>
    </row>
    <row r="185" spans="1:3" x14ac:dyDescent="0.2">
      <c r="A185" s="354" t="s">
        <v>626</v>
      </c>
      <c r="B185" s="354" t="s">
        <v>627</v>
      </c>
      <c r="C185" s="354" t="s">
        <v>285</v>
      </c>
    </row>
    <row r="186" spans="1:3" x14ac:dyDescent="0.2">
      <c r="A186" s="354" t="s">
        <v>628</v>
      </c>
      <c r="B186" s="354" t="s">
        <v>629</v>
      </c>
      <c r="C186" s="354" t="s">
        <v>288</v>
      </c>
    </row>
    <row r="187" spans="1:3" x14ac:dyDescent="0.2">
      <c r="A187" s="354" t="s">
        <v>630</v>
      </c>
      <c r="B187" s="354" t="s">
        <v>631</v>
      </c>
      <c r="C187" s="354" t="s">
        <v>282</v>
      </c>
    </row>
    <row r="188" spans="1:3" x14ac:dyDescent="0.2">
      <c r="A188" s="354" t="s">
        <v>14367</v>
      </c>
      <c r="B188" s="354" t="s">
        <v>14368</v>
      </c>
      <c r="C188" s="354" t="s">
        <v>882</v>
      </c>
    </row>
    <row r="189" spans="1:3" x14ac:dyDescent="0.2">
      <c r="A189" s="354" t="s">
        <v>632</v>
      </c>
      <c r="B189" s="354" t="s">
        <v>633</v>
      </c>
      <c r="C189" s="354" t="s">
        <v>285</v>
      </c>
    </row>
    <row r="190" spans="1:3" x14ac:dyDescent="0.2">
      <c r="A190" s="354" t="s">
        <v>634</v>
      </c>
      <c r="B190" s="354" t="s">
        <v>635</v>
      </c>
      <c r="C190" s="354" t="s">
        <v>283</v>
      </c>
    </row>
    <row r="191" spans="1:3" x14ac:dyDescent="0.2">
      <c r="A191" s="354" t="s">
        <v>636</v>
      </c>
      <c r="B191" s="354" t="s">
        <v>637</v>
      </c>
      <c r="C191" s="354" t="s">
        <v>282</v>
      </c>
    </row>
    <row r="192" spans="1:3" x14ac:dyDescent="0.2">
      <c r="A192" s="354" t="s">
        <v>638</v>
      </c>
      <c r="B192" s="354" t="s">
        <v>639</v>
      </c>
      <c r="C192" s="354" t="s">
        <v>288</v>
      </c>
    </row>
    <row r="193" spans="1:3" x14ac:dyDescent="0.2">
      <c r="A193" s="354" t="s">
        <v>640</v>
      </c>
      <c r="B193" s="354" t="s">
        <v>641</v>
      </c>
      <c r="C193" s="354" t="s">
        <v>282</v>
      </c>
    </row>
    <row r="194" spans="1:3" x14ac:dyDescent="0.2">
      <c r="A194" s="354" t="s">
        <v>642</v>
      </c>
      <c r="B194" s="354" t="s">
        <v>643</v>
      </c>
      <c r="C194" s="354" t="s">
        <v>286</v>
      </c>
    </row>
    <row r="195" spans="1:3" x14ac:dyDescent="0.2">
      <c r="A195" s="354" t="s">
        <v>644</v>
      </c>
      <c r="B195" s="354" t="s">
        <v>645</v>
      </c>
      <c r="C195" s="354" t="s">
        <v>2</v>
      </c>
    </row>
    <row r="196" spans="1:3" x14ac:dyDescent="0.2">
      <c r="A196" s="354" t="s">
        <v>646</v>
      </c>
      <c r="B196" s="354" t="s">
        <v>647</v>
      </c>
      <c r="C196" s="354" t="s">
        <v>286</v>
      </c>
    </row>
    <row r="197" spans="1:3" x14ac:dyDescent="0.2">
      <c r="A197" s="354" t="s">
        <v>648</v>
      </c>
      <c r="B197" s="354" t="s">
        <v>649</v>
      </c>
      <c r="C197" s="354" t="s">
        <v>283</v>
      </c>
    </row>
    <row r="198" spans="1:3" x14ac:dyDescent="0.2">
      <c r="A198" s="354" t="s">
        <v>650</v>
      </c>
      <c r="B198" s="354" t="s">
        <v>651</v>
      </c>
      <c r="C198" s="354" t="s">
        <v>287</v>
      </c>
    </row>
    <row r="199" spans="1:3" x14ac:dyDescent="0.2">
      <c r="A199" s="354" t="s">
        <v>652</v>
      </c>
      <c r="B199" s="354" t="s">
        <v>653</v>
      </c>
      <c r="C199" s="354" t="s">
        <v>2</v>
      </c>
    </row>
    <row r="200" spans="1:3" x14ac:dyDescent="0.2">
      <c r="A200" s="354" t="s">
        <v>654</v>
      </c>
      <c r="B200" s="354" t="s">
        <v>655</v>
      </c>
      <c r="C200" s="354" t="s">
        <v>286</v>
      </c>
    </row>
    <row r="201" spans="1:3" x14ac:dyDescent="0.2">
      <c r="A201" s="354" t="s">
        <v>656</v>
      </c>
      <c r="B201" s="354" t="s">
        <v>657</v>
      </c>
      <c r="C201" s="354" t="s">
        <v>2</v>
      </c>
    </row>
    <row r="202" spans="1:3" x14ac:dyDescent="0.2">
      <c r="A202" s="354" t="s">
        <v>658</v>
      </c>
      <c r="B202" s="354" t="s">
        <v>659</v>
      </c>
      <c r="C202" s="354" t="s">
        <v>284</v>
      </c>
    </row>
    <row r="203" spans="1:3" x14ac:dyDescent="0.2">
      <c r="A203" s="354" t="s">
        <v>660</v>
      </c>
      <c r="B203" s="354" t="s">
        <v>661</v>
      </c>
      <c r="C203" s="354" t="s">
        <v>285</v>
      </c>
    </row>
    <row r="204" spans="1:3" x14ac:dyDescent="0.2">
      <c r="A204" s="354" t="s">
        <v>662</v>
      </c>
      <c r="B204" s="354" t="s">
        <v>663</v>
      </c>
      <c r="C204" s="354" t="s">
        <v>288</v>
      </c>
    </row>
    <row r="205" spans="1:3" x14ac:dyDescent="0.2">
      <c r="A205" s="354" t="s">
        <v>664</v>
      </c>
      <c r="B205" s="354" t="s">
        <v>665</v>
      </c>
      <c r="C205" s="354" t="s">
        <v>2</v>
      </c>
    </row>
    <row r="206" spans="1:3" x14ac:dyDescent="0.2">
      <c r="A206" s="354" t="s">
        <v>666</v>
      </c>
      <c r="B206" s="354" t="s">
        <v>667</v>
      </c>
      <c r="C206" s="354" t="s">
        <v>286</v>
      </c>
    </row>
    <row r="207" spans="1:3" x14ac:dyDescent="0.2">
      <c r="A207" s="354" t="s">
        <v>668</v>
      </c>
      <c r="B207" s="354" t="s">
        <v>669</v>
      </c>
      <c r="C207" s="354" t="s">
        <v>284</v>
      </c>
    </row>
    <row r="208" spans="1:3" x14ac:dyDescent="0.2">
      <c r="A208" s="354" t="s">
        <v>670</v>
      </c>
      <c r="B208" s="354" t="s">
        <v>671</v>
      </c>
      <c r="C208" s="354" t="s">
        <v>286</v>
      </c>
    </row>
    <row r="209" spans="1:3" x14ac:dyDescent="0.2">
      <c r="A209" s="354" t="s">
        <v>672</v>
      </c>
      <c r="B209" s="354" t="s">
        <v>673</v>
      </c>
      <c r="C209" s="354" t="s">
        <v>283</v>
      </c>
    </row>
    <row r="210" spans="1:3" x14ac:dyDescent="0.2">
      <c r="A210" s="354" t="s">
        <v>674</v>
      </c>
      <c r="B210" s="354" t="s">
        <v>675</v>
      </c>
      <c r="C210" s="354" t="s">
        <v>286</v>
      </c>
    </row>
    <row r="211" spans="1:3" x14ac:dyDescent="0.2">
      <c r="A211" s="354" t="s">
        <v>676</v>
      </c>
      <c r="B211" s="354" t="s">
        <v>677</v>
      </c>
      <c r="C211" s="354" t="s">
        <v>2</v>
      </c>
    </row>
    <row r="212" spans="1:3" x14ac:dyDescent="0.2">
      <c r="A212" s="354" t="s">
        <v>678</v>
      </c>
      <c r="B212" s="354" t="s">
        <v>679</v>
      </c>
      <c r="C212" s="354" t="s">
        <v>882</v>
      </c>
    </row>
    <row r="213" spans="1:3" x14ac:dyDescent="0.2">
      <c r="A213" s="354" t="s">
        <v>680</v>
      </c>
      <c r="B213" s="354" t="s">
        <v>681</v>
      </c>
      <c r="C213" s="354" t="s">
        <v>288</v>
      </c>
    </row>
    <row r="214" spans="1:3" x14ac:dyDescent="0.2">
      <c r="A214" s="354" t="s">
        <v>682</v>
      </c>
      <c r="B214" s="354" t="s">
        <v>683</v>
      </c>
      <c r="C214" s="354" t="s">
        <v>2</v>
      </c>
    </row>
    <row r="215" spans="1:3" x14ac:dyDescent="0.2">
      <c r="A215" s="354" t="s">
        <v>684</v>
      </c>
      <c r="B215" s="354" t="s">
        <v>685</v>
      </c>
      <c r="C215" s="354" t="s">
        <v>282</v>
      </c>
    </row>
    <row r="216" spans="1:3" x14ac:dyDescent="0.2">
      <c r="A216" s="354" t="s">
        <v>686</v>
      </c>
      <c r="B216" s="354" t="s">
        <v>687</v>
      </c>
      <c r="C216" s="354" t="s">
        <v>2</v>
      </c>
    </row>
    <row r="217" spans="1:3" x14ac:dyDescent="0.2">
      <c r="A217" s="354" t="s">
        <v>688</v>
      </c>
      <c r="B217" s="354" t="s">
        <v>689</v>
      </c>
      <c r="C217" s="354" t="s">
        <v>282</v>
      </c>
    </row>
    <row r="218" spans="1:3" x14ac:dyDescent="0.2">
      <c r="A218" s="354" t="s">
        <v>690</v>
      </c>
      <c r="B218" s="354" t="s">
        <v>691</v>
      </c>
      <c r="C218" s="354" t="s">
        <v>286</v>
      </c>
    </row>
    <row r="219" spans="1:3" x14ac:dyDescent="0.2">
      <c r="A219" s="354" t="s">
        <v>692</v>
      </c>
      <c r="B219" s="354" t="s">
        <v>693</v>
      </c>
      <c r="C219" s="354" t="s">
        <v>288</v>
      </c>
    </row>
    <row r="220" spans="1:3" x14ac:dyDescent="0.2">
      <c r="A220" s="354" t="s">
        <v>694</v>
      </c>
      <c r="B220" s="354" t="s">
        <v>695</v>
      </c>
      <c r="C220" s="354" t="s">
        <v>286</v>
      </c>
    </row>
    <row r="221" spans="1:3" x14ac:dyDescent="0.2">
      <c r="A221" s="354" t="s">
        <v>696</v>
      </c>
      <c r="B221" s="354" t="s">
        <v>697</v>
      </c>
      <c r="C221" s="354" t="s">
        <v>2</v>
      </c>
    </row>
    <row r="222" spans="1:3" x14ac:dyDescent="0.2">
      <c r="A222" s="354" t="s">
        <v>698</v>
      </c>
      <c r="B222" s="354" t="s">
        <v>699</v>
      </c>
      <c r="C222" s="354" t="s">
        <v>882</v>
      </c>
    </row>
    <row r="223" spans="1:3" x14ac:dyDescent="0.2">
      <c r="A223" s="354" t="s">
        <v>700</v>
      </c>
      <c r="B223" s="354" t="s">
        <v>701</v>
      </c>
      <c r="C223" s="354" t="s">
        <v>288</v>
      </c>
    </row>
    <row r="224" spans="1:3" x14ac:dyDescent="0.2">
      <c r="A224" s="354" t="s">
        <v>702</v>
      </c>
      <c r="B224" s="354" t="s">
        <v>703</v>
      </c>
      <c r="C224" s="354" t="s">
        <v>2</v>
      </c>
    </row>
    <row r="225" spans="1:3" x14ac:dyDescent="0.2">
      <c r="A225" s="354" t="s">
        <v>704</v>
      </c>
      <c r="B225" s="354" t="s">
        <v>705</v>
      </c>
      <c r="C225" s="354" t="s">
        <v>288</v>
      </c>
    </row>
    <row r="226" spans="1:3" x14ac:dyDescent="0.2">
      <c r="A226" s="354" t="s">
        <v>14369</v>
      </c>
      <c r="B226" s="354" t="s">
        <v>14370</v>
      </c>
      <c r="C226" s="354" t="s">
        <v>287</v>
      </c>
    </row>
    <row r="227" spans="1:3" x14ac:dyDescent="0.2">
      <c r="A227" s="354" t="s">
        <v>706</v>
      </c>
      <c r="B227" s="354" t="s">
        <v>707</v>
      </c>
      <c r="C227" s="354" t="s">
        <v>283</v>
      </c>
    </row>
    <row r="228" spans="1:3" x14ac:dyDescent="0.2">
      <c r="A228" s="354" t="s">
        <v>708</v>
      </c>
      <c r="B228" s="354" t="s">
        <v>709</v>
      </c>
      <c r="C228" s="354" t="s">
        <v>282</v>
      </c>
    </row>
    <row r="229" spans="1:3" x14ac:dyDescent="0.2">
      <c r="A229" s="354" t="s">
        <v>710</v>
      </c>
      <c r="B229" s="354" t="s">
        <v>711</v>
      </c>
      <c r="C229" s="354" t="s">
        <v>287</v>
      </c>
    </row>
    <row r="230" spans="1:3" x14ac:dyDescent="0.2">
      <c r="A230" s="354" t="s">
        <v>712</v>
      </c>
      <c r="B230" s="354" t="s">
        <v>713</v>
      </c>
      <c r="C230" s="354" t="s">
        <v>287</v>
      </c>
    </row>
    <row r="231" spans="1:3" x14ac:dyDescent="0.2">
      <c r="A231" s="354" t="s">
        <v>714</v>
      </c>
      <c r="B231" s="354" t="s">
        <v>715</v>
      </c>
      <c r="C231" s="354" t="s">
        <v>282</v>
      </c>
    </row>
    <row r="232" spans="1:3" x14ac:dyDescent="0.2">
      <c r="A232" s="354" t="s">
        <v>716</v>
      </c>
      <c r="B232" s="354" t="s">
        <v>717</v>
      </c>
      <c r="C232" s="354" t="s">
        <v>282</v>
      </c>
    </row>
    <row r="233" spans="1:3" x14ac:dyDescent="0.2">
      <c r="A233" s="354" t="s">
        <v>718</v>
      </c>
      <c r="B233" s="354" t="s">
        <v>719</v>
      </c>
      <c r="C233" s="354" t="s">
        <v>283</v>
      </c>
    </row>
    <row r="234" spans="1:3" x14ac:dyDescent="0.2">
      <c r="A234" s="354" t="s">
        <v>720</v>
      </c>
      <c r="B234" s="354" t="s">
        <v>721</v>
      </c>
      <c r="C234" s="354" t="s">
        <v>2</v>
      </c>
    </row>
    <row r="235" spans="1:3" x14ac:dyDescent="0.2">
      <c r="A235" s="354" t="s">
        <v>722</v>
      </c>
      <c r="B235" s="354" t="s">
        <v>723</v>
      </c>
      <c r="C235" s="354" t="s">
        <v>286</v>
      </c>
    </row>
    <row r="236" spans="1:3" x14ac:dyDescent="0.2">
      <c r="A236" s="354" t="s">
        <v>724</v>
      </c>
      <c r="B236" s="354" t="s">
        <v>725</v>
      </c>
      <c r="C236" s="354" t="s">
        <v>288</v>
      </c>
    </row>
    <row r="237" spans="1:3" x14ac:dyDescent="0.2">
      <c r="A237" s="354" t="s">
        <v>726</v>
      </c>
      <c r="B237" s="354" t="s">
        <v>727</v>
      </c>
      <c r="C237" s="354" t="s">
        <v>285</v>
      </c>
    </row>
    <row r="238" spans="1:3" x14ac:dyDescent="0.2">
      <c r="A238" s="354" t="s">
        <v>728</v>
      </c>
      <c r="B238" s="354" t="s">
        <v>729</v>
      </c>
      <c r="C238" s="354" t="s">
        <v>2</v>
      </c>
    </row>
    <row r="239" spans="1:3" x14ac:dyDescent="0.2">
      <c r="A239" s="354" t="s">
        <v>730</v>
      </c>
      <c r="B239" s="354" t="s">
        <v>731</v>
      </c>
      <c r="C239" s="354" t="s">
        <v>283</v>
      </c>
    </row>
    <row r="240" spans="1:3" x14ac:dyDescent="0.2">
      <c r="A240" s="354" t="s">
        <v>732</v>
      </c>
      <c r="B240" s="354" t="s">
        <v>733</v>
      </c>
      <c r="C240" s="354" t="s">
        <v>284</v>
      </c>
    </row>
    <row r="241" spans="1:3" x14ac:dyDescent="0.2">
      <c r="A241" s="354" t="s">
        <v>734</v>
      </c>
      <c r="B241" s="354" t="s">
        <v>735</v>
      </c>
      <c r="C241" s="354" t="s">
        <v>2</v>
      </c>
    </row>
    <row r="242" spans="1:3" x14ac:dyDescent="0.2">
      <c r="A242" s="354" t="s">
        <v>736</v>
      </c>
      <c r="B242" s="354" t="s">
        <v>737</v>
      </c>
      <c r="C242" s="354" t="s">
        <v>283</v>
      </c>
    </row>
    <row r="243" spans="1:3" x14ac:dyDescent="0.2">
      <c r="A243" s="354" t="s">
        <v>738</v>
      </c>
      <c r="B243" s="354" t="s">
        <v>739</v>
      </c>
      <c r="C243" s="354" t="s">
        <v>286</v>
      </c>
    </row>
    <row r="244" spans="1:3" x14ac:dyDescent="0.2">
      <c r="A244" s="354" t="s">
        <v>740</v>
      </c>
      <c r="B244" s="354" t="s">
        <v>741</v>
      </c>
      <c r="C244" s="354" t="s">
        <v>288</v>
      </c>
    </row>
    <row r="245" spans="1:3" x14ac:dyDescent="0.2">
      <c r="A245" s="354" t="s">
        <v>742</v>
      </c>
      <c r="B245" s="354" t="s">
        <v>743</v>
      </c>
      <c r="C245" s="354" t="s">
        <v>288</v>
      </c>
    </row>
    <row r="246" spans="1:3" x14ac:dyDescent="0.2">
      <c r="A246" s="354" t="s">
        <v>744</v>
      </c>
      <c r="B246" s="354" t="s">
        <v>745</v>
      </c>
      <c r="C246" s="354" t="s">
        <v>283</v>
      </c>
    </row>
    <row r="247" spans="1:3" x14ac:dyDescent="0.2">
      <c r="A247" s="354" t="s">
        <v>746</v>
      </c>
      <c r="B247" s="354" t="s">
        <v>747</v>
      </c>
      <c r="C247" s="354" t="s">
        <v>286</v>
      </c>
    </row>
    <row r="248" spans="1:3" x14ac:dyDescent="0.2">
      <c r="A248" s="354" t="s">
        <v>748</v>
      </c>
      <c r="B248" s="354" t="s">
        <v>749</v>
      </c>
      <c r="C248" s="354" t="s">
        <v>285</v>
      </c>
    </row>
    <row r="249" spans="1:3" x14ac:dyDescent="0.2">
      <c r="A249" s="354" t="s">
        <v>750</v>
      </c>
      <c r="B249" s="354" t="s">
        <v>751</v>
      </c>
      <c r="C249" s="354" t="s">
        <v>288</v>
      </c>
    </row>
    <row r="250" spans="1:3" x14ac:dyDescent="0.2">
      <c r="A250" s="354" t="s">
        <v>752</v>
      </c>
      <c r="B250" s="354" t="s">
        <v>753</v>
      </c>
      <c r="C250" s="354" t="s">
        <v>288</v>
      </c>
    </row>
    <row r="251" spans="1:3" x14ac:dyDescent="0.2">
      <c r="A251" s="354" t="s">
        <v>754</v>
      </c>
      <c r="B251" s="354" t="s">
        <v>755</v>
      </c>
      <c r="C251" s="354" t="s">
        <v>287</v>
      </c>
    </row>
    <row r="252" spans="1:3" x14ac:dyDescent="0.2">
      <c r="A252" s="354" t="s">
        <v>756</v>
      </c>
      <c r="B252" s="354" t="s">
        <v>757</v>
      </c>
      <c r="C252" s="354" t="s">
        <v>285</v>
      </c>
    </row>
    <row r="253" spans="1:3" x14ac:dyDescent="0.2">
      <c r="A253" s="354" t="s">
        <v>758</v>
      </c>
      <c r="B253" s="354" t="s">
        <v>759</v>
      </c>
      <c r="C253" s="354" t="s">
        <v>2</v>
      </c>
    </row>
    <row r="254" spans="1:3" x14ac:dyDescent="0.2">
      <c r="A254" s="354" t="s">
        <v>760</v>
      </c>
      <c r="B254" s="354" t="s">
        <v>761</v>
      </c>
      <c r="C254" s="354" t="s">
        <v>284</v>
      </c>
    </row>
    <row r="255" spans="1:3" x14ac:dyDescent="0.2">
      <c r="A255" s="354" t="s">
        <v>762</v>
      </c>
      <c r="B255" s="354" t="s">
        <v>763</v>
      </c>
      <c r="C255" s="354" t="s">
        <v>2</v>
      </c>
    </row>
    <row r="256" spans="1:3" x14ac:dyDescent="0.2">
      <c r="A256" s="354" t="s">
        <v>764</v>
      </c>
      <c r="B256" s="354" t="s">
        <v>765</v>
      </c>
      <c r="C256" s="354" t="s">
        <v>287</v>
      </c>
    </row>
    <row r="257" spans="1:3" x14ac:dyDescent="0.2">
      <c r="A257" s="354" t="s">
        <v>766</v>
      </c>
      <c r="B257" s="354" t="s">
        <v>767</v>
      </c>
      <c r="C257" s="354" t="s">
        <v>286</v>
      </c>
    </row>
    <row r="258" spans="1:3" x14ac:dyDescent="0.2">
      <c r="A258" s="354" t="s">
        <v>768</v>
      </c>
      <c r="B258" s="354" t="s">
        <v>769</v>
      </c>
      <c r="C258" s="354" t="s">
        <v>288</v>
      </c>
    </row>
    <row r="259" spans="1:3" x14ac:dyDescent="0.2">
      <c r="A259" s="354" t="s">
        <v>770</v>
      </c>
      <c r="B259" s="354" t="s">
        <v>771</v>
      </c>
      <c r="C259" s="354" t="s">
        <v>2</v>
      </c>
    </row>
    <row r="260" spans="1:3" x14ac:dyDescent="0.2">
      <c r="A260" s="354" t="s">
        <v>772</v>
      </c>
      <c r="B260" s="354" t="s">
        <v>773</v>
      </c>
      <c r="C260" s="354" t="s">
        <v>287</v>
      </c>
    </row>
    <row r="261" spans="1:3" x14ac:dyDescent="0.2">
      <c r="A261" s="354" t="s">
        <v>774</v>
      </c>
      <c r="B261" s="354" t="s">
        <v>775</v>
      </c>
      <c r="C261" s="354" t="s">
        <v>288</v>
      </c>
    </row>
    <row r="262" spans="1:3" x14ac:dyDescent="0.2">
      <c r="A262" s="354" t="s">
        <v>776</v>
      </c>
      <c r="B262" s="354" t="s">
        <v>777</v>
      </c>
      <c r="C262" s="354" t="s">
        <v>283</v>
      </c>
    </row>
    <row r="263" spans="1:3" x14ac:dyDescent="0.2">
      <c r="A263" s="354" t="s">
        <v>778</v>
      </c>
      <c r="B263" s="354" t="s">
        <v>779</v>
      </c>
      <c r="C263" s="354" t="s">
        <v>2</v>
      </c>
    </row>
    <row r="264" spans="1:3" x14ac:dyDescent="0.2">
      <c r="A264" s="354" t="s">
        <v>780</v>
      </c>
      <c r="B264" s="354" t="s">
        <v>781</v>
      </c>
      <c r="C264" s="354" t="s">
        <v>287</v>
      </c>
    </row>
    <row r="265" spans="1:3" x14ac:dyDescent="0.2">
      <c r="A265" s="354" t="s">
        <v>782</v>
      </c>
      <c r="B265" s="354" t="s">
        <v>783</v>
      </c>
      <c r="C265" s="354" t="s">
        <v>2</v>
      </c>
    </row>
    <row r="266" spans="1:3" x14ac:dyDescent="0.2">
      <c r="A266" s="354" t="s">
        <v>784</v>
      </c>
      <c r="B266" s="354" t="s">
        <v>785</v>
      </c>
      <c r="C266" s="354" t="s">
        <v>283</v>
      </c>
    </row>
    <row r="267" spans="1:3" x14ac:dyDescent="0.2">
      <c r="A267" s="354" t="s">
        <v>786</v>
      </c>
      <c r="B267" s="354" t="s">
        <v>787</v>
      </c>
      <c r="C267" s="354" t="s">
        <v>283</v>
      </c>
    </row>
    <row r="268" spans="1:3" x14ac:dyDescent="0.2">
      <c r="A268" s="354" t="s">
        <v>788</v>
      </c>
      <c r="B268" s="354" t="s">
        <v>789</v>
      </c>
      <c r="C268" s="354" t="s">
        <v>2</v>
      </c>
    </row>
    <row r="269" spans="1:3" x14ac:dyDescent="0.2">
      <c r="A269" s="354" t="s">
        <v>790</v>
      </c>
      <c r="B269" s="354" t="s">
        <v>791</v>
      </c>
      <c r="C269" s="354" t="s">
        <v>287</v>
      </c>
    </row>
    <row r="270" spans="1:3" x14ac:dyDescent="0.2">
      <c r="A270" s="354" t="s">
        <v>792</v>
      </c>
      <c r="B270" s="354" t="s">
        <v>793</v>
      </c>
      <c r="C270" s="354" t="s">
        <v>287</v>
      </c>
    </row>
    <row r="271" spans="1:3" x14ac:dyDescent="0.2">
      <c r="A271" s="354" t="s">
        <v>794</v>
      </c>
      <c r="B271" s="354" t="s">
        <v>795</v>
      </c>
      <c r="C271" s="354" t="s">
        <v>284</v>
      </c>
    </row>
    <row r="272" spans="1:3" x14ac:dyDescent="0.2">
      <c r="A272" s="354" t="s">
        <v>796</v>
      </c>
      <c r="B272" s="354" t="s">
        <v>797</v>
      </c>
      <c r="C272" s="354" t="s">
        <v>286</v>
      </c>
    </row>
    <row r="273" spans="1:3" x14ac:dyDescent="0.2">
      <c r="A273" s="354" t="s">
        <v>798</v>
      </c>
      <c r="B273" s="354" t="s">
        <v>799</v>
      </c>
      <c r="C273" s="354" t="s">
        <v>2</v>
      </c>
    </row>
    <row r="274" spans="1:3" x14ac:dyDescent="0.2">
      <c r="A274" s="354" t="s">
        <v>800</v>
      </c>
      <c r="B274" s="354" t="s">
        <v>801</v>
      </c>
      <c r="C274" s="354" t="s">
        <v>283</v>
      </c>
    </row>
    <row r="275" spans="1:3" x14ac:dyDescent="0.2">
      <c r="A275" s="354" t="s">
        <v>802</v>
      </c>
      <c r="B275" s="354" t="s">
        <v>803</v>
      </c>
      <c r="C275" s="354" t="s">
        <v>2</v>
      </c>
    </row>
    <row r="276" spans="1:3" x14ac:dyDescent="0.2">
      <c r="A276" s="354" t="s">
        <v>804</v>
      </c>
      <c r="B276" s="354" t="s">
        <v>805</v>
      </c>
      <c r="C276" s="354" t="s">
        <v>882</v>
      </c>
    </row>
    <row r="277" spans="1:3" x14ac:dyDescent="0.2">
      <c r="A277" s="354" t="s">
        <v>806</v>
      </c>
      <c r="B277" s="354" t="s">
        <v>807</v>
      </c>
      <c r="C277" s="354" t="s">
        <v>288</v>
      </c>
    </row>
    <row r="278" spans="1:3" x14ac:dyDescent="0.2">
      <c r="A278" s="354" t="s">
        <v>808</v>
      </c>
      <c r="B278" s="354" t="s">
        <v>809</v>
      </c>
      <c r="C278" s="354" t="s">
        <v>284</v>
      </c>
    </row>
    <row r="279" spans="1:3" x14ac:dyDescent="0.2">
      <c r="A279" s="354" t="s">
        <v>810</v>
      </c>
      <c r="B279" s="354" t="s">
        <v>811</v>
      </c>
      <c r="C279" s="354" t="s">
        <v>284</v>
      </c>
    </row>
    <row r="280" spans="1:3" x14ac:dyDescent="0.2">
      <c r="A280" s="354" t="s">
        <v>812</v>
      </c>
      <c r="B280" s="354" t="s">
        <v>813</v>
      </c>
      <c r="C280" s="354" t="s">
        <v>286</v>
      </c>
    </row>
    <row r="281" spans="1:3" x14ac:dyDescent="0.2">
      <c r="A281" s="354" t="s">
        <v>814</v>
      </c>
      <c r="B281" s="354" t="s">
        <v>815</v>
      </c>
      <c r="C281" s="354" t="s">
        <v>288</v>
      </c>
    </row>
    <row r="282" spans="1:3" x14ac:dyDescent="0.2">
      <c r="A282" s="354" t="s">
        <v>816</v>
      </c>
      <c r="B282" s="354" t="s">
        <v>817</v>
      </c>
      <c r="C282" s="354" t="s">
        <v>283</v>
      </c>
    </row>
    <row r="283" spans="1:3" x14ac:dyDescent="0.2">
      <c r="A283" s="354" t="s">
        <v>818</v>
      </c>
      <c r="B283" s="354" t="s">
        <v>819</v>
      </c>
      <c r="C283" s="354" t="s">
        <v>2</v>
      </c>
    </row>
    <row r="284" spans="1:3" x14ac:dyDescent="0.2">
      <c r="A284" s="354" t="s">
        <v>820</v>
      </c>
      <c r="B284" s="354" t="s">
        <v>821</v>
      </c>
      <c r="C284" s="354" t="s">
        <v>2</v>
      </c>
    </row>
    <row r="285" spans="1:3" x14ac:dyDescent="0.2">
      <c r="A285" s="354" t="s">
        <v>822</v>
      </c>
      <c r="B285" s="354" t="s">
        <v>823</v>
      </c>
      <c r="C285" s="354" t="s">
        <v>283</v>
      </c>
    </row>
    <row r="286" spans="1:3" x14ac:dyDescent="0.2">
      <c r="A286" s="354" t="s">
        <v>824</v>
      </c>
      <c r="B286" s="354" t="s">
        <v>825</v>
      </c>
      <c r="C286" s="354" t="s">
        <v>2</v>
      </c>
    </row>
    <row r="287" spans="1:3" x14ac:dyDescent="0.2">
      <c r="A287" s="354" t="s">
        <v>826</v>
      </c>
      <c r="B287" s="354" t="s">
        <v>827</v>
      </c>
      <c r="C287" s="354" t="s">
        <v>287</v>
      </c>
    </row>
    <row r="288" spans="1:3" x14ac:dyDescent="0.2">
      <c r="A288" s="354" t="s">
        <v>828</v>
      </c>
      <c r="B288" s="354" t="s">
        <v>829</v>
      </c>
      <c r="C288" s="354" t="s">
        <v>286</v>
      </c>
    </row>
    <row r="289" spans="1:3" x14ac:dyDescent="0.2">
      <c r="A289" s="354" t="s">
        <v>830</v>
      </c>
      <c r="B289" s="354" t="s">
        <v>831</v>
      </c>
      <c r="C289" s="354" t="s">
        <v>282</v>
      </c>
    </row>
    <row r="290" spans="1:3" x14ac:dyDescent="0.2">
      <c r="A290" s="354" t="s">
        <v>10560</v>
      </c>
      <c r="B290" s="354" t="s">
        <v>10561</v>
      </c>
      <c r="C290" s="354" t="s">
        <v>282</v>
      </c>
    </row>
    <row r="291" spans="1:3" x14ac:dyDescent="0.2">
      <c r="A291" s="354" t="s">
        <v>832</v>
      </c>
      <c r="B291" s="354" t="s">
        <v>833</v>
      </c>
      <c r="C291" s="354" t="s">
        <v>2</v>
      </c>
    </row>
    <row r="292" spans="1:3" x14ac:dyDescent="0.2">
      <c r="A292" s="354" t="s">
        <v>834</v>
      </c>
      <c r="B292" s="354" t="s">
        <v>835</v>
      </c>
      <c r="C292" s="354" t="s">
        <v>283</v>
      </c>
    </row>
    <row r="293" spans="1:3" x14ac:dyDescent="0.2">
      <c r="A293" s="354" t="s">
        <v>836</v>
      </c>
      <c r="B293" s="354" t="s">
        <v>837</v>
      </c>
      <c r="C293" s="354" t="s">
        <v>284</v>
      </c>
    </row>
    <row r="294" spans="1:3" x14ac:dyDescent="0.2">
      <c r="A294" s="354" t="s">
        <v>14371</v>
      </c>
      <c r="B294" s="354" t="s">
        <v>14372</v>
      </c>
      <c r="C294" s="354" t="s">
        <v>286</v>
      </c>
    </row>
    <row r="295" spans="1:3" x14ac:dyDescent="0.2">
      <c r="A295" s="354" t="s">
        <v>838</v>
      </c>
      <c r="B295" s="354" t="s">
        <v>839</v>
      </c>
      <c r="C295" s="354" t="s">
        <v>286</v>
      </c>
    </row>
    <row r="296" spans="1:3" x14ac:dyDescent="0.2">
      <c r="A296" s="354" t="s">
        <v>840</v>
      </c>
      <c r="B296" s="354" t="s">
        <v>841</v>
      </c>
      <c r="C296" s="354" t="s">
        <v>287</v>
      </c>
    </row>
    <row r="297" spans="1:3" x14ac:dyDescent="0.2">
      <c r="A297" s="354" t="s">
        <v>842</v>
      </c>
      <c r="B297" s="354" t="s">
        <v>843</v>
      </c>
      <c r="C297" s="354" t="s">
        <v>2</v>
      </c>
    </row>
    <row r="298" spans="1:3" x14ac:dyDescent="0.2">
      <c r="A298" s="354" t="s">
        <v>844</v>
      </c>
      <c r="B298" s="354" t="s">
        <v>845</v>
      </c>
      <c r="C298" s="354" t="s">
        <v>2</v>
      </c>
    </row>
    <row r="299" spans="1:3" x14ac:dyDescent="0.2">
      <c r="A299" s="354" t="s">
        <v>846</v>
      </c>
      <c r="B299" s="354" t="s">
        <v>847</v>
      </c>
      <c r="C299" s="354" t="s">
        <v>286</v>
      </c>
    </row>
    <row r="300" spans="1:3" x14ac:dyDescent="0.2">
      <c r="A300" s="354" t="s">
        <v>848</v>
      </c>
      <c r="B300" s="354" t="s">
        <v>849</v>
      </c>
      <c r="C300" s="354" t="s">
        <v>2</v>
      </c>
    </row>
    <row r="301" spans="1:3" x14ac:dyDescent="0.2">
      <c r="A301" s="354" t="s">
        <v>850</v>
      </c>
      <c r="B301" s="354" t="s">
        <v>851</v>
      </c>
      <c r="C301" s="354" t="s">
        <v>2</v>
      </c>
    </row>
    <row r="302" spans="1:3" x14ac:dyDescent="0.2">
      <c r="A302" s="354" t="s">
        <v>852</v>
      </c>
      <c r="B302" s="354" t="s">
        <v>853</v>
      </c>
      <c r="C302" s="354" t="s">
        <v>288</v>
      </c>
    </row>
    <row r="303" spans="1:3" x14ac:dyDescent="0.2">
      <c r="A303" s="354" t="s">
        <v>854</v>
      </c>
      <c r="B303" s="354" t="s">
        <v>855</v>
      </c>
      <c r="C303" s="354" t="s">
        <v>288</v>
      </c>
    </row>
    <row r="304" spans="1:3" x14ac:dyDescent="0.2">
      <c r="A304" s="354" t="s">
        <v>856</v>
      </c>
      <c r="B304" s="354" t="s">
        <v>857</v>
      </c>
      <c r="C304" s="354" t="s">
        <v>2</v>
      </c>
    </row>
    <row r="305" spans="1:3" x14ac:dyDescent="0.2">
      <c r="A305" s="354" t="s">
        <v>858</v>
      </c>
      <c r="B305" s="354" t="s">
        <v>859</v>
      </c>
      <c r="C305" s="354" t="s">
        <v>288</v>
      </c>
    </row>
    <row r="306" spans="1:3" x14ac:dyDescent="0.2">
      <c r="A306" s="354" t="s">
        <v>860</v>
      </c>
      <c r="B306" s="354" t="s">
        <v>861</v>
      </c>
      <c r="C306" s="354" t="s">
        <v>286</v>
      </c>
    </row>
    <row r="307" spans="1:3" x14ac:dyDescent="0.2">
      <c r="A307" s="354" t="s">
        <v>862</v>
      </c>
      <c r="B307" s="354" t="s">
        <v>863</v>
      </c>
      <c r="C307" s="354" t="s">
        <v>288</v>
      </c>
    </row>
    <row r="308" spans="1:3" x14ac:dyDescent="0.2">
      <c r="A308" s="354" t="s">
        <v>864</v>
      </c>
      <c r="B308" s="354" t="s">
        <v>865</v>
      </c>
      <c r="C308" s="354" t="s">
        <v>882</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F1ED-23D9-48FB-90C2-1B6C15408124}">
  <sheetPr codeName="Sheet9">
    <tabColor rgb="FF92D050"/>
  </sheetPr>
  <dimension ref="A1:MQ306"/>
  <sheetViews>
    <sheetView zoomScale="80" zoomScaleNormal="80" workbookViewId="0">
      <selection activeCell="A10" sqref="A10:XFD10"/>
    </sheetView>
  </sheetViews>
  <sheetFormatPr defaultColWidth="8.7109375" defaultRowHeight="12.75" x14ac:dyDescent="0.2"/>
  <cols>
    <col min="1" max="16384" width="8.7109375" style="354"/>
  </cols>
  <sheetData>
    <row r="1" spans="1:355" x14ac:dyDescent="0.2">
      <c r="A1" s="354" t="s">
        <v>970</v>
      </c>
      <c r="B1" s="354" t="s">
        <v>6</v>
      </c>
      <c r="C1" s="354" t="s">
        <v>282</v>
      </c>
      <c r="D1" s="354" t="s">
        <v>283</v>
      </c>
      <c r="E1" s="354" t="s">
        <v>284</v>
      </c>
      <c r="F1" s="354" t="s">
        <v>285</v>
      </c>
      <c r="G1" s="354" t="s">
        <v>286</v>
      </c>
      <c r="H1" s="354" t="s">
        <v>2</v>
      </c>
      <c r="I1" s="354" t="s">
        <v>287</v>
      </c>
      <c r="J1" s="354" t="s">
        <v>288</v>
      </c>
      <c r="K1" s="354" t="s">
        <v>289</v>
      </c>
    </row>
    <row r="2" spans="1:355" ht="15" x14ac:dyDescent="0.25">
      <c r="A2" t="s">
        <v>970</v>
      </c>
      <c r="B2" t="s">
        <v>282</v>
      </c>
      <c r="C2" t="s">
        <v>1016</v>
      </c>
      <c r="D2" t="s">
        <v>971</v>
      </c>
      <c r="E2" t="s">
        <v>972</v>
      </c>
      <c r="F2" t="s">
        <v>973</v>
      </c>
      <c r="G2" t="s">
        <v>974</v>
      </c>
      <c r="H2" t="s">
        <v>926</v>
      </c>
      <c r="I2" t="s">
        <v>975</v>
      </c>
      <c r="J2" t="s">
        <v>929</v>
      </c>
      <c r="K2" t="s">
        <v>9782</v>
      </c>
      <c r="L2" t="s">
        <v>976</v>
      </c>
      <c r="M2" t="s">
        <v>978</v>
      </c>
      <c r="N2" t="s">
        <v>979</v>
      </c>
      <c r="O2" t="s">
        <v>14373</v>
      </c>
      <c r="P2" t="s">
        <v>9790</v>
      </c>
      <c r="Q2" t="s">
        <v>1458</v>
      </c>
      <c r="R2" t="s">
        <v>9783</v>
      </c>
      <c r="S2" t="s">
        <v>9784</v>
      </c>
      <c r="T2" t="s">
        <v>980</v>
      </c>
      <c r="U2" t="s">
        <v>1212</v>
      </c>
      <c r="V2" t="s">
        <v>1461</v>
      </c>
      <c r="W2" t="s">
        <v>983</v>
      </c>
      <c r="X2" t="s">
        <v>984</v>
      </c>
      <c r="Y2" t="s">
        <v>985</v>
      </c>
      <c r="Z2" t="s">
        <v>987</v>
      </c>
      <c r="AA2" t="s">
        <v>988</v>
      </c>
      <c r="AB2" t="s">
        <v>989</v>
      </c>
      <c r="AC2" t="s">
        <v>933</v>
      </c>
      <c r="AD2" t="s">
        <v>990</v>
      </c>
      <c r="AE2" t="s">
        <v>991</v>
      </c>
      <c r="AF2" t="s">
        <v>992</v>
      </c>
      <c r="AG2" t="s">
        <v>993</v>
      </c>
      <c r="AH2" t="s">
        <v>9785</v>
      </c>
      <c r="AI2" t="s">
        <v>996</v>
      </c>
      <c r="AJ2" t="s">
        <v>997</v>
      </c>
      <c r="AK2" t="s">
        <v>935</v>
      </c>
      <c r="AL2" t="s">
        <v>11660</v>
      </c>
      <c r="AM2" t="s">
        <v>998</v>
      </c>
      <c r="AN2" t="s">
        <v>10624</v>
      </c>
      <c r="AO2" t="s">
        <v>1416</v>
      </c>
      <c r="AP2" t="s">
        <v>999</v>
      </c>
      <c r="AQ2" t="s">
        <v>1000</v>
      </c>
      <c r="AR2" t="s">
        <v>1001</v>
      </c>
      <c r="AS2" t="s">
        <v>1003</v>
      </c>
      <c r="AT2" t="s">
        <v>1004</v>
      </c>
      <c r="AU2" t="s">
        <v>10638</v>
      </c>
      <c r="AV2" t="s">
        <v>9786</v>
      </c>
      <c r="AW2" t="s">
        <v>1005</v>
      </c>
      <c r="AX2" t="s">
        <v>1006</v>
      </c>
      <c r="AY2" t="s">
        <v>1007</v>
      </c>
      <c r="AZ2" t="s">
        <v>10643</v>
      </c>
      <c r="BA2" t="s">
        <v>1008</v>
      </c>
      <c r="BB2" t="s">
        <v>10647</v>
      </c>
      <c r="BC2" t="s">
        <v>1009</v>
      </c>
      <c r="BD2" t="s">
        <v>1010</v>
      </c>
      <c r="BE2" t="s">
        <v>937</v>
      </c>
      <c r="BF2" t="s">
        <v>1011</v>
      </c>
      <c r="BG2" t="s">
        <v>938</v>
      </c>
      <c r="BH2" t="s">
        <v>940</v>
      </c>
      <c r="BI2" t="s">
        <v>1012</v>
      </c>
      <c r="BJ2" t="s">
        <v>1013</v>
      </c>
      <c r="BK2" t="s">
        <v>1014</v>
      </c>
      <c r="BL2" t="s">
        <v>9820</v>
      </c>
      <c r="BM2" t="s">
        <v>1015</v>
      </c>
      <c r="BN2" t="s">
        <v>1017</v>
      </c>
      <c r="BO2" t="s">
        <v>1018</v>
      </c>
      <c r="BP2" t="s">
        <v>1019</v>
      </c>
      <c r="BQ2" t="s">
        <v>10667</v>
      </c>
      <c r="BR2" t="s">
        <v>1126</v>
      </c>
      <c r="BS2" t="s">
        <v>1020</v>
      </c>
      <c r="BT2" t="s">
        <v>11755</v>
      </c>
      <c r="BU2" t="s">
        <v>1021</v>
      </c>
      <c r="BV2" t="s">
        <v>1022</v>
      </c>
      <c r="BW2" t="s">
        <v>1023</v>
      </c>
      <c r="BX2" t="s">
        <v>1024</v>
      </c>
      <c r="BY2" t="s">
        <v>942</v>
      </c>
      <c r="BZ2" t="s">
        <v>1025</v>
      </c>
      <c r="CA2" t="s">
        <v>1026</v>
      </c>
      <c r="CB2" t="s">
        <v>10681</v>
      </c>
      <c r="CC2" t="s">
        <v>1027</v>
      </c>
      <c r="CD2" t="s">
        <v>1028</v>
      </c>
      <c r="CE2" t="s">
        <v>1029</v>
      </c>
      <c r="CF2" t="s">
        <v>943</v>
      </c>
      <c r="CG2" t="s">
        <v>1030</v>
      </c>
      <c r="CH2" t="s">
        <v>1031</v>
      </c>
      <c r="CI2" t="s">
        <v>1032</v>
      </c>
      <c r="CJ2" t="s">
        <v>1033</v>
      </c>
      <c r="CK2" t="s">
        <v>1034</v>
      </c>
      <c r="CL2" t="s">
        <v>1035</v>
      </c>
      <c r="CM2" t="s">
        <v>1036</v>
      </c>
      <c r="CN2" t="s">
        <v>1037</v>
      </c>
      <c r="CO2" t="s">
        <v>1038</v>
      </c>
      <c r="CP2" t="s">
        <v>1039</v>
      </c>
      <c r="CQ2" t="s">
        <v>1521</v>
      </c>
      <c r="CR2" t="s">
        <v>1041</v>
      </c>
      <c r="CS2" t="s">
        <v>9787</v>
      </c>
      <c r="CT2" t="s">
        <v>1042</v>
      </c>
      <c r="CU2" t="s">
        <v>1043</v>
      </c>
      <c r="CV2" t="s">
        <v>1044</v>
      </c>
      <c r="CW2" t="s">
        <v>1144</v>
      </c>
      <c r="CX2" t="s">
        <v>1045</v>
      </c>
      <c r="CY2" t="s">
        <v>1046</v>
      </c>
      <c r="CZ2" t="s">
        <v>1146</v>
      </c>
      <c r="DA2" t="s">
        <v>1047</v>
      </c>
      <c r="DB2" t="s">
        <v>1906</v>
      </c>
      <c r="DC2" t="s">
        <v>951</v>
      </c>
      <c r="DD2" t="s">
        <v>1048</v>
      </c>
      <c r="DE2" t="s">
        <v>1049</v>
      </c>
      <c r="DF2" t="s">
        <v>1050</v>
      </c>
      <c r="DG2" t="s">
        <v>1051</v>
      </c>
      <c r="DH2" t="s">
        <v>11661</v>
      </c>
      <c r="DI2" t="s">
        <v>953</v>
      </c>
      <c r="DJ2" t="s">
        <v>1053</v>
      </c>
      <c r="DK2" t="s">
        <v>1054</v>
      </c>
      <c r="DL2" t="s">
        <v>1055</v>
      </c>
      <c r="DM2" t="s">
        <v>11720</v>
      </c>
      <c r="DN2" t="s">
        <v>9788</v>
      </c>
      <c r="DO2" t="s">
        <v>1056</v>
      </c>
      <c r="DP2" t="s">
        <v>1057</v>
      </c>
      <c r="DQ2" t="s">
        <v>955</v>
      </c>
      <c r="DR2" t="s">
        <v>1058</v>
      </c>
      <c r="DS2" t="s">
        <v>1059</v>
      </c>
      <c r="DT2" t="s">
        <v>11662</v>
      </c>
      <c r="DU2" t="s">
        <v>1060</v>
      </c>
      <c r="DV2" t="s">
        <v>11663</v>
      </c>
      <c r="DW2" t="s">
        <v>960</v>
      </c>
      <c r="DX2" t="s">
        <v>14374</v>
      </c>
      <c r="DY2" t="s">
        <v>11664</v>
      </c>
      <c r="DZ2" t="s">
        <v>1062</v>
      </c>
      <c r="EA2" t="s">
        <v>962</v>
      </c>
      <c r="EB2" t="s">
        <v>11665</v>
      </c>
      <c r="EC2" t="s">
        <v>1064</v>
      </c>
      <c r="ED2" t="s">
        <v>1066</v>
      </c>
      <c r="EE2" t="s">
        <v>11666</v>
      </c>
      <c r="EF2" t="s">
        <v>1067</v>
      </c>
      <c r="EG2" t="s">
        <v>1068</v>
      </c>
      <c r="EH2" t="s">
        <v>11667</v>
      </c>
      <c r="EI2" t="s">
        <v>1069</v>
      </c>
      <c r="EJ2" t="s">
        <v>11668</v>
      </c>
      <c r="EK2" t="s">
        <v>1070</v>
      </c>
      <c r="EL2" t="s">
        <v>14375</v>
      </c>
      <c r="EM2" t="s">
        <v>9789</v>
      </c>
      <c r="EN2" t="s">
        <v>1071</v>
      </c>
      <c r="EO2" t="s">
        <v>1072</v>
      </c>
      <c r="EP2" t="s">
        <v>1073</v>
      </c>
      <c r="EQ2" t="s">
        <v>1074</v>
      </c>
      <c r="ER2" t="s">
        <v>1181</v>
      </c>
      <c r="ES2" t="s">
        <v>1075</v>
      </c>
      <c r="ET2" t="s">
        <v>1684</v>
      </c>
      <c r="EU2" t="s">
        <v>1076</v>
      </c>
      <c r="EV2" t="s">
        <v>1077</v>
      </c>
      <c r="EW2" t="s">
        <v>1078</v>
      </c>
      <c r="EX2" t="s">
        <v>1079</v>
      </c>
      <c r="EY2" t="s">
        <v>1920</v>
      </c>
      <c r="EZ2" t="s">
        <v>1080</v>
      </c>
      <c r="FA2" t="s">
        <v>1081</v>
      </c>
      <c r="FB2" t="s">
        <v>14376</v>
      </c>
      <c r="FC2" t="s">
        <v>14377</v>
      </c>
      <c r="FD2" t="s">
        <v>1082</v>
      </c>
      <c r="FE2" t="s">
        <v>11669</v>
      </c>
      <c r="FF2" t="s">
        <v>10787</v>
      </c>
      <c r="FG2" t="s">
        <v>1083</v>
      </c>
      <c r="FH2" t="s">
        <v>981</v>
      </c>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row>
    <row r="3" spans="1:355" ht="15" x14ac:dyDescent="0.25">
      <c r="A3" t="s">
        <v>970</v>
      </c>
      <c r="B3" t="s">
        <v>283</v>
      </c>
      <c r="C3" t="s">
        <v>1016</v>
      </c>
      <c r="D3" t="s">
        <v>1564</v>
      </c>
      <c r="E3" t="s">
        <v>1084</v>
      </c>
      <c r="F3" t="s">
        <v>924</v>
      </c>
      <c r="G3" t="s">
        <v>971</v>
      </c>
      <c r="H3" t="s">
        <v>926</v>
      </c>
      <c r="I3" t="s">
        <v>1085</v>
      </c>
      <c r="J3" t="s">
        <v>929</v>
      </c>
      <c r="K3" t="s">
        <v>1086</v>
      </c>
      <c r="L3" t="s">
        <v>1087</v>
      </c>
      <c r="M3" t="s">
        <v>978</v>
      </c>
      <c r="N3" t="s">
        <v>1088</v>
      </c>
      <c r="O3" t="s">
        <v>9790</v>
      </c>
      <c r="P3" t="s">
        <v>14378</v>
      </c>
      <c r="Q3" t="s">
        <v>1089</v>
      </c>
      <c r="R3" t="s">
        <v>1090</v>
      </c>
      <c r="S3" t="s">
        <v>1091</v>
      </c>
      <c r="T3" t="s">
        <v>1092</v>
      </c>
      <c r="U3" t="s">
        <v>9784</v>
      </c>
      <c r="V3" t="s">
        <v>1093</v>
      </c>
      <c r="W3" t="s">
        <v>1094</v>
      </c>
      <c r="X3" t="s">
        <v>1095</v>
      </c>
      <c r="Y3" t="s">
        <v>1096</v>
      </c>
      <c r="Z3" t="s">
        <v>10588</v>
      </c>
      <c r="AA3" t="s">
        <v>1097</v>
      </c>
      <c r="AB3" t="s">
        <v>1098</v>
      </c>
      <c r="AC3" t="s">
        <v>1099</v>
      </c>
      <c r="AD3" t="s">
        <v>1108</v>
      </c>
      <c r="AE3" t="s">
        <v>11670</v>
      </c>
      <c r="AF3" t="s">
        <v>1100</v>
      </c>
      <c r="AG3" t="s">
        <v>1101</v>
      </c>
      <c r="AH3" t="s">
        <v>1102</v>
      </c>
      <c r="AI3" t="s">
        <v>989</v>
      </c>
      <c r="AJ3" t="s">
        <v>933</v>
      </c>
      <c r="AK3" t="s">
        <v>1104</v>
      </c>
      <c r="AL3" t="s">
        <v>1105</v>
      </c>
      <c r="AM3" t="s">
        <v>1106</v>
      </c>
      <c r="AN3" t="s">
        <v>992</v>
      </c>
      <c r="AO3" t="s">
        <v>996</v>
      </c>
      <c r="AP3" t="s">
        <v>1109</v>
      </c>
      <c r="AQ3" t="s">
        <v>997</v>
      </c>
      <c r="AR3" t="s">
        <v>1110</v>
      </c>
      <c r="AS3" t="s">
        <v>935</v>
      </c>
      <c r="AT3" t="s">
        <v>11660</v>
      </c>
      <c r="AU3" t="s">
        <v>998</v>
      </c>
      <c r="AV3" t="s">
        <v>1111</v>
      </c>
      <c r="AW3" t="s">
        <v>10624</v>
      </c>
      <c r="AX3" t="s">
        <v>1416</v>
      </c>
      <c r="AY3" t="s">
        <v>1112</v>
      </c>
      <c r="AZ3" t="s">
        <v>1000</v>
      </c>
      <c r="BA3" t="s">
        <v>1113</v>
      </c>
      <c r="BB3" t="s">
        <v>10630</v>
      </c>
      <c r="BC3" t="s">
        <v>1114</v>
      </c>
      <c r="BD3" t="s">
        <v>1002</v>
      </c>
      <c r="BE3" t="s">
        <v>1003</v>
      </c>
      <c r="BF3" t="s">
        <v>1115</v>
      </c>
      <c r="BG3" t="s">
        <v>1116</v>
      </c>
      <c r="BH3" t="s">
        <v>10638</v>
      </c>
      <c r="BI3" t="s">
        <v>10640</v>
      </c>
      <c r="BJ3" t="s">
        <v>1005</v>
      </c>
      <c r="BK3" t="s">
        <v>1117</v>
      </c>
      <c r="BL3" t="s">
        <v>1008</v>
      </c>
      <c r="BM3" t="s">
        <v>1009</v>
      </c>
      <c r="BN3" t="s">
        <v>1118</v>
      </c>
      <c r="BO3" t="s">
        <v>1010</v>
      </c>
      <c r="BP3" t="s">
        <v>9792</v>
      </c>
      <c r="BQ3" t="s">
        <v>937</v>
      </c>
      <c r="BR3" t="s">
        <v>1119</v>
      </c>
      <c r="BS3" t="s">
        <v>1011</v>
      </c>
      <c r="BT3" t="s">
        <v>938</v>
      </c>
      <c r="BU3" t="s">
        <v>1120</v>
      </c>
      <c r="BV3" t="s">
        <v>1121</v>
      </c>
      <c r="BW3" t="s">
        <v>940</v>
      </c>
      <c r="BX3" t="s">
        <v>1122</v>
      </c>
      <c r="BY3" t="s">
        <v>1123</v>
      </c>
      <c r="BZ3" t="s">
        <v>1012</v>
      </c>
      <c r="CA3" t="s">
        <v>9793</v>
      </c>
      <c r="CB3" t="s">
        <v>1013</v>
      </c>
      <c r="CC3" t="s">
        <v>1124</v>
      </c>
      <c r="CD3" t="s">
        <v>1125</v>
      </c>
      <c r="CE3" t="s">
        <v>11671</v>
      </c>
      <c r="CF3" t="s">
        <v>1018</v>
      </c>
      <c r="CG3" t="s">
        <v>10667</v>
      </c>
      <c r="CH3" t="s">
        <v>1126</v>
      </c>
      <c r="CI3" t="s">
        <v>1020</v>
      </c>
      <c r="CJ3" t="s">
        <v>11755</v>
      </c>
      <c r="CK3" t="s">
        <v>1023</v>
      </c>
      <c r="CL3" t="s">
        <v>1127</v>
      </c>
      <c r="CM3" t="s">
        <v>1025</v>
      </c>
      <c r="CN3" t="s">
        <v>1026</v>
      </c>
      <c r="CO3" t="s">
        <v>1625</v>
      </c>
      <c r="CP3" t="s">
        <v>9794</v>
      </c>
      <c r="CQ3" t="s">
        <v>10681</v>
      </c>
      <c r="CR3" t="s">
        <v>10687</v>
      </c>
      <c r="CS3" t="s">
        <v>1128</v>
      </c>
      <c r="CT3" t="s">
        <v>1028</v>
      </c>
      <c r="CU3" t="s">
        <v>1129</v>
      </c>
      <c r="CV3" t="s">
        <v>943</v>
      </c>
      <c r="CW3" t="s">
        <v>945</v>
      </c>
      <c r="CX3" t="s">
        <v>1130</v>
      </c>
      <c r="CY3" t="s">
        <v>1031</v>
      </c>
      <c r="CZ3" t="s">
        <v>1033</v>
      </c>
      <c r="DA3" t="s">
        <v>11672</v>
      </c>
      <c r="DB3" t="s">
        <v>1132</v>
      </c>
      <c r="DC3" t="s">
        <v>1133</v>
      </c>
      <c r="DD3" t="s">
        <v>1134</v>
      </c>
      <c r="DE3" t="s">
        <v>949</v>
      </c>
      <c r="DF3" t="s">
        <v>1135</v>
      </c>
      <c r="DG3" t="s">
        <v>1136</v>
      </c>
      <c r="DH3" t="s">
        <v>1138</v>
      </c>
      <c r="DI3" t="s">
        <v>1041</v>
      </c>
      <c r="DJ3" t="s">
        <v>9787</v>
      </c>
      <c r="DK3" t="s">
        <v>1139</v>
      </c>
      <c r="DL3" t="s">
        <v>1140</v>
      </c>
      <c r="DM3" t="s">
        <v>1141</v>
      </c>
      <c r="DN3" t="s">
        <v>1142</v>
      </c>
      <c r="DO3" t="s">
        <v>1143</v>
      </c>
      <c r="DP3" t="s">
        <v>1043</v>
      </c>
      <c r="DQ3" t="s">
        <v>1044</v>
      </c>
      <c r="DR3" t="s">
        <v>1144</v>
      </c>
      <c r="DS3" t="s">
        <v>1145</v>
      </c>
      <c r="DT3" t="s">
        <v>1146</v>
      </c>
      <c r="DU3" t="s">
        <v>1147</v>
      </c>
      <c r="DV3" t="s">
        <v>1148</v>
      </c>
      <c r="DW3" t="s">
        <v>1906</v>
      </c>
      <c r="DX3" t="s">
        <v>951</v>
      </c>
      <c r="DY3" t="s">
        <v>1048</v>
      </c>
      <c r="DZ3" t="s">
        <v>1049</v>
      </c>
      <c r="EA3" t="s">
        <v>1051</v>
      </c>
      <c r="EB3" t="s">
        <v>1149</v>
      </c>
      <c r="EC3" t="s">
        <v>953</v>
      </c>
      <c r="ED3" t="s">
        <v>10809</v>
      </c>
      <c r="EE3" t="s">
        <v>1150</v>
      </c>
      <c r="EF3" t="s">
        <v>1151</v>
      </c>
      <c r="EG3" t="s">
        <v>1530</v>
      </c>
      <c r="EH3" t="s">
        <v>1651</v>
      </c>
      <c r="EI3" t="s">
        <v>14379</v>
      </c>
      <c r="EJ3" t="s">
        <v>1152</v>
      </c>
      <c r="EK3" t="s">
        <v>11720</v>
      </c>
      <c r="EL3" t="s">
        <v>9788</v>
      </c>
      <c r="EM3" t="s">
        <v>1056</v>
      </c>
      <c r="EN3" t="s">
        <v>1057</v>
      </c>
      <c r="EO3" t="s">
        <v>955</v>
      </c>
      <c r="EP3" t="s">
        <v>1153</v>
      </c>
      <c r="EQ3" t="s">
        <v>1154</v>
      </c>
      <c r="ER3" t="s">
        <v>1155</v>
      </c>
      <c r="ES3" t="s">
        <v>9795</v>
      </c>
      <c r="ET3" t="s">
        <v>1156</v>
      </c>
      <c r="EU3" t="s">
        <v>11663</v>
      </c>
      <c r="EV3" t="s">
        <v>960</v>
      </c>
      <c r="EW3" t="s">
        <v>14380</v>
      </c>
      <c r="EX3" t="s">
        <v>14374</v>
      </c>
      <c r="EY3" t="s">
        <v>1157</v>
      </c>
      <c r="EZ3" t="s">
        <v>11772</v>
      </c>
      <c r="FA3" t="s">
        <v>1158</v>
      </c>
      <c r="FB3" t="s">
        <v>1062</v>
      </c>
      <c r="FC3" t="s">
        <v>962</v>
      </c>
      <c r="FD3" t="s">
        <v>1159</v>
      </c>
      <c r="FE3" t="s">
        <v>1352</v>
      </c>
      <c r="FF3" t="s">
        <v>1160</v>
      </c>
      <c r="FG3" t="s">
        <v>1161</v>
      </c>
      <c r="FH3" t="s">
        <v>1162</v>
      </c>
      <c r="FI3" t="s">
        <v>14381</v>
      </c>
      <c r="FJ3" t="s">
        <v>1163</v>
      </c>
      <c r="FK3" t="s">
        <v>1164</v>
      </c>
      <c r="FL3" t="s">
        <v>1165</v>
      </c>
      <c r="FM3" t="s">
        <v>1066</v>
      </c>
      <c r="FN3" t="s">
        <v>1166</v>
      </c>
      <c r="FO3" t="s">
        <v>1167</v>
      </c>
      <c r="FP3" t="s">
        <v>1168</v>
      </c>
      <c r="FQ3" t="s">
        <v>11667</v>
      </c>
      <c r="FR3" t="s">
        <v>1170</v>
      </c>
      <c r="FS3" t="s">
        <v>1171</v>
      </c>
      <c r="FT3" t="s">
        <v>1069</v>
      </c>
      <c r="FU3" t="s">
        <v>1172</v>
      </c>
      <c r="FV3" t="s">
        <v>1173</v>
      </c>
      <c r="FW3" t="s">
        <v>1174</v>
      </c>
      <c r="FX3" t="s">
        <v>1175</v>
      </c>
      <c r="FY3" t="s">
        <v>9796</v>
      </c>
      <c r="FZ3" t="s">
        <v>9797</v>
      </c>
      <c r="GA3" t="s">
        <v>9798</v>
      </c>
      <c r="GB3" t="s">
        <v>9881</v>
      </c>
      <c r="GC3" t="s">
        <v>1176</v>
      </c>
      <c r="GD3" t="s">
        <v>1071</v>
      </c>
      <c r="GE3" t="s">
        <v>1072</v>
      </c>
      <c r="GF3" t="s">
        <v>1178</v>
      </c>
      <c r="GG3" t="s">
        <v>1179</v>
      </c>
      <c r="GH3" t="s">
        <v>9799</v>
      </c>
      <c r="GI3" t="s">
        <v>1180</v>
      </c>
      <c r="GJ3" t="s">
        <v>1181</v>
      </c>
      <c r="GK3" t="s">
        <v>11673</v>
      </c>
      <c r="GL3" t="s">
        <v>1183</v>
      </c>
      <c r="GM3" t="s">
        <v>1184</v>
      </c>
      <c r="GN3" t="s">
        <v>1185</v>
      </c>
      <c r="GO3" t="s">
        <v>1186</v>
      </c>
      <c r="GP3" t="s">
        <v>1187</v>
      </c>
      <c r="GQ3" t="s">
        <v>1080</v>
      </c>
      <c r="GR3" t="s">
        <v>1188</v>
      </c>
      <c r="GS3" t="s">
        <v>14377</v>
      </c>
      <c r="GT3" t="s">
        <v>1189</v>
      </c>
      <c r="GU3" t="s">
        <v>1190</v>
      </c>
      <c r="GV3" t="s">
        <v>1191</v>
      </c>
      <c r="GW3" t="s">
        <v>1192</v>
      </c>
      <c r="GX3" t="s">
        <v>1193</v>
      </c>
      <c r="GY3" t="s">
        <v>1399</v>
      </c>
      <c r="GZ3" t="s">
        <v>1194</v>
      </c>
      <c r="HA3" t="s">
        <v>981</v>
      </c>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row>
    <row r="4" spans="1:355" ht="15" x14ac:dyDescent="0.25">
      <c r="A4" t="s">
        <v>970</v>
      </c>
      <c r="B4" t="s">
        <v>284</v>
      </c>
      <c r="C4" t="s">
        <v>1195</v>
      </c>
      <c r="D4" t="s">
        <v>1564</v>
      </c>
      <c r="E4" t="s">
        <v>1196</v>
      </c>
      <c r="F4" t="s">
        <v>10579</v>
      </c>
      <c r="G4" t="s">
        <v>1197</v>
      </c>
      <c r="H4" t="s">
        <v>1198</v>
      </c>
      <c r="I4" t="s">
        <v>924</v>
      </c>
      <c r="J4" t="s">
        <v>971</v>
      </c>
      <c r="K4" t="s">
        <v>1199</v>
      </c>
      <c r="L4" t="s">
        <v>1200</v>
      </c>
      <c r="M4" t="s">
        <v>926</v>
      </c>
      <c r="N4" t="s">
        <v>1201</v>
      </c>
      <c r="O4" t="s">
        <v>1202</v>
      </c>
      <c r="P4" t="s">
        <v>9800</v>
      </c>
      <c r="Q4" t="s">
        <v>929</v>
      </c>
      <c r="R4" t="s">
        <v>9858</v>
      </c>
      <c r="S4" t="s">
        <v>1087</v>
      </c>
      <c r="T4" t="s">
        <v>9801</v>
      </c>
      <c r="U4" t="s">
        <v>978</v>
      </c>
      <c r="V4" t="s">
        <v>1204</v>
      </c>
      <c r="W4" t="s">
        <v>1205</v>
      </c>
      <c r="X4" t="s">
        <v>1206</v>
      </c>
      <c r="Y4" t="s">
        <v>9790</v>
      </c>
      <c r="Z4" t="s">
        <v>1207</v>
      </c>
      <c r="AA4" t="s">
        <v>9802</v>
      </c>
      <c r="AB4" t="s">
        <v>14382</v>
      </c>
      <c r="AC4" t="s">
        <v>1208</v>
      </c>
      <c r="AD4" t="s">
        <v>1209</v>
      </c>
      <c r="AE4" t="s">
        <v>1210</v>
      </c>
      <c r="AF4" t="s">
        <v>9784</v>
      </c>
      <c r="AG4" t="s">
        <v>1211</v>
      </c>
      <c r="AH4" t="s">
        <v>1094</v>
      </c>
      <c r="AI4" t="s">
        <v>1212</v>
      </c>
      <c r="AJ4" t="s">
        <v>10582</v>
      </c>
      <c r="AK4" t="s">
        <v>1213</v>
      </c>
      <c r="AL4" t="s">
        <v>1214</v>
      </c>
      <c r="AM4" t="s">
        <v>1098</v>
      </c>
      <c r="AN4" t="s">
        <v>1215</v>
      </c>
      <c r="AO4" t="s">
        <v>1216</v>
      </c>
      <c r="AP4" t="s">
        <v>10594</v>
      </c>
      <c r="AQ4" t="s">
        <v>11674</v>
      </c>
      <c r="AR4" t="s">
        <v>10598</v>
      </c>
      <c r="AS4" t="s">
        <v>10600</v>
      </c>
      <c r="AT4" t="s">
        <v>1217</v>
      </c>
      <c r="AU4" t="s">
        <v>1218</v>
      </c>
      <c r="AV4" t="s">
        <v>1219</v>
      </c>
      <c r="AW4" t="s">
        <v>1220</v>
      </c>
      <c r="AX4" t="s">
        <v>1221</v>
      </c>
      <c r="AY4" t="s">
        <v>1222</v>
      </c>
      <c r="AZ4" t="s">
        <v>1102</v>
      </c>
      <c r="BA4" t="s">
        <v>1223</v>
      </c>
      <c r="BB4" t="s">
        <v>1224</v>
      </c>
      <c r="BC4" t="s">
        <v>989</v>
      </c>
      <c r="BD4" t="s">
        <v>933</v>
      </c>
      <c r="BE4" t="s">
        <v>1225</v>
      </c>
      <c r="BF4" t="s">
        <v>1104</v>
      </c>
      <c r="BG4" t="s">
        <v>1105</v>
      </c>
      <c r="BH4" t="s">
        <v>1474</v>
      </c>
      <c r="BI4" t="s">
        <v>1226</v>
      </c>
      <c r="BJ4" t="s">
        <v>1227</v>
      </c>
      <c r="BK4" t="s">
        <v>1228</v>
      </c>
      <c r="BL4" t="s">
        <v>1229</v>
      </c>
      <c r="BM4" t="s">
        <v>1230</v>
      </c>
      <c r="BN4" t="s">
        <v>1231</v>
      </c>
      <c r="BO4" t="s">
        <v>1232</v>
      </c>
      <c r="BP4" t="s">
        <v>10615</v>
      </c>
      <c r="BQ4" t="s">
        <v>1233</v>
      </c>
      <c r="BR4" t="s">
        <v>1413</v>
      </c>
      <c r="BS4" t="s">
        <v>11675</v>
      </c>
      <c r="BT4" t="s">
        <v>9803</v>
      </c>
      <c r="BU4" t="s">
        <v>996</v>
      </c>
      <c r="BV4" t="s">
        <v>9804</v>
      </c>
      <c r="BW4" t="s">
        <v>14383</v>
      </c>
      <c r="BX4" t="s">
        <v>1234</v>
      </c>
      <c r="BY4" t="s">
        <v>1235</v>
      </c>
      <c r="BZ4" t="s">
        <v>1236</v>
      </c>
      <c r="CA4" t="s">
        <v>1237</v>
      </c>
      <c r="CB4" t="s">
        <v>1238</v>
      </c>
      <c r="CC4" t="s">
        <v>1239</v>
      </c>
      <c r="CD4" t="s">
        <v>1240</v>
      </c>
      <c r="CE4" t="s">
        <v>1241</v>
      </c>
      <c r="CF4" t="s">
        <v>935</v>
      </c>
      <c r="CG4" t="s">
        <v>11660</v>
      </c>
      <c r="CH4" t="s">
        <v>1111</v>
      </c>
      <c r="CI4" t="s">
        <v>1242</v>
      </c>
      <c r="CJ4" t="s">
        <v>1243</v>
      </c>
      <c r="CK4" t="s">
        <v>1244</v>
      </c>
      <c r="CL4" t="s">
        <v>1416</v>
      </c>
      <c r="CM4" t="s">
        <v>10626</v>
      </c>
      <c r="CN4" t="s">
        <v>1245</v>
      </c>
      <c r="CO4" t="s">
        <v>1246</v>
      </c>
      <c r="CP4" t="s">
        <v>1115</v>
      </c>
      <c r="CQ4" t="s">
        <v>1247</v>
      </c>
      <c r="CR4" t="s">
        <v>1248</v>
      </c>
      <c r="CS4" t="s">
        <v>10638</v>
      </c>
      <c r="CT4" t="s">
        <v>1249</v>
      </c>
      <c r="CU4" t="s">
        <v>1250</v>
      </c>
      <c r="CV4" t="s">
        <v>1251</v>
      </c>
      <c r="CW4" t="s">
        <v>1252</v>
      </c>
      <c r="CX4" t="s">
        <v>1253</v>
      </c>
      <c r="CY4" t="s">
        <v>11676</v>
      </c>
      <c r="CZ4" t="s">
        <v>1254</v>
      </c>
      <c r="DA4" t="s">
        <v>1265</v>
      </c>
      <c r="DB4" t="s">
        <v>1008</v>
      </c>
      <c r="DC4" t="s">
        <v>1255</v>
      </c>
      <c r="DD4" t="s">
        <v>1256</v>
      </c>
      <c r="DE4" t="s">
        <v>1009</v>
      </c>
      <c r="DF4" t="s">
        <v>1257</v>
      </c>
      <c r="DG4" t="s">
        <v>1258</v>
      </c>
      <c r="DH4" t="s">
        <v>1259</v>
      </c>
      <c r="DI4" t="s">
        <v>1010</v>
      </c>
      <c r="DJ4" t="s">
        <v>9805</v>
      </c>
      <c r="DK4" t="s">
        <v>1260</v>
      </c>
      <c r="DL4" t="s">
        <v>1261</v>
      </c>
      <c r="DM4" t="s">
        <v>1262</v>
      </c>
      <c r="DN4" t="s">
        <v>1263</v>
      </c>
      <c r="DO4" t="s">
        <v>1264</v>
      </c>
      <c r="DP4" t="s">
        <v>937</v>
      </c>
      <c r="DQ4" t="s">
        <v>1266</v>
      </c>
      <c r="DR4" t="s">
        <v>1267</v>
      </c>
      <c r="DS4" t="s">
        <v>1011</v>
      </c>
      <c r="DT4" t="s">
        <v>1268</v>
      </c>
      <c r="DU4" t="s">
        <v>938</v>
      </c>
      <c r="DV4" t="s">
        <v>1269</v>
      </c>
      <c r="DW4" t="s">
        <v>1270</v>
      </c>
      <c r="DX4" t="s">
        <v>1271</v>
      </c>
      <c r="DY4" t="s">
        <v>1272</v>
      </c>
      <c r="DZ4" t="s">
        <v>14384</v>
      </c>
      <c r="EA4" t="s">
        <v>940</v>
      </c>
      <c r="EB4" t="s">
        <v>1273</v>
      </c>
      <c r="EC4" t="s">
        <v>1274</v>
      </c>
      <c r="ED4" t="s">
        <v>1012</v>
      </c>
      <c r="EE4" t="s">
        <v>1275</v>
      </c>
      <c r="EF4" t="s">
        <v>1276</v>
      </c>
      <c r="EG4" t="s">
        <v>1277</v>
      </c>
      <c r="EH4" t="s">
        <v>1013</v>
      </c>
      <c r="EI4" t="s">
        <v>1124</v>
      </c>
      <c r="EJ4" t="s">
        <v>10659</v>
      </c>
      <c r="EK4" t="s">
        <v>11677</v>
      </c>
      <c r="EL4" t="s">
        <v>1279</v>
      </c>
      <c r="EM4" t="s">
        <v>1278</v>
      </c>
      <c r="EN4" t="s">
        <v>1125</v>
      </c>
      <c r="EO4" t="s">
        <v>1280</v>
      </c>
      <c r="EP4" t="s">
        <v>14385</v>
      </c>
      <c r="EQ4" t="s">
        <v>1281</v>
      </c>
      <c r="ER4" t="s">
        <v>14386</v>
      </c>
      <c r="ES4" t="s">
        <v>1282</v>
      </c>
      <c r="ET4" t="s">
        <v>1283</v>
      </c>
      <c r="EU4" t="s">
        <v>14387</v>
      </c>
      <c r="EV4" t="s">
        <v>1284</v>
      </c>
      <c r="EW4" t="s">
        <v>1285</v>
      </c>
      <c r="EX4" t="s">
        <v>1286</v>
      </c>
      <c r="EY4" t="s">
        <v>1287</v>
      </c>
      <c r="EZ4" t="s">
        <v>11678</v>
      </c>
      <c r="FA4" t="s">
        <v>11679</v>
      </c>
      <c r="FB4" t="s">
        <v>1018</v>
      </c>
      <c r="FC4" t="s">
        <v>1288</v>
      </c>
      <c r="FD4" t="s">
        <v>1289</v>
      </c>
      <c r="FE4" t="s">
        <v>10667</v>
      </c>
      <c r="FF4" t="s">
        <v>1126</v>
      </c>
      <c r="FG4" t="s">
        <v>1290</v>
      </c>
      <c r="FH4" t="s">
        <v>1291</v>
      </c>
      <c r="FI4" t="s">
        <v>1127</v>
      </c>
      <c r="FJ4" t="s">
        <v>1025</v>
      </c>
      <c r="FK4" t="s">
        <v>1026</v>
      </c>
      <c r="FL4" t="s">
        <v>1292</v>
      </c>
      <c r="FM4" t="s">
        <v>1293</v>
      </c>
      <c r="FN4" t="s">
        <v>10681</v>
      </c>
      <c r="FO4" t="s">
        <v>10685</v>
      </c>
      <c r="FP4" t="s">
        <v>10687</v>
      </c>
      <c r="FQ4" t="s">
        <v>1294</v>
      </c>
      <c r="FR4" t="s">
        <v>1295</v>
      </c>
      <c r="FS4" t="s">
        <v>1296</v>
      </c>
      <c r="FT4" t="s">
        <v>11680</v>
      </c>
      <c r="FU4" t="s">
        <v>943</v>
      </c>
      <c r="FV4" t="s">
        <v>1297</v>
      </c>
      <c r="FW4" t="s">
        <v>1298</v>
      </c>
      <c r="FX4" t="s">
        <v>945</v>
      </c>
      <c r="FY4" t="s">
        <v>1299</v>
      </c>
      <c r="FZ4" t="s">
        <v>1300</v>
      </c>
      <c r="GA4" t="s">
        <v>1301</v>
      </c>
      <c r="GB4" t="s">
        <v>1033</v>
      </c>
      <c r="GC4" t="s">
        <v>1302</v>
      </c>
      <c r="GD4" t="s">
        <v>1303</v>
      </c>
      <c r="GE4" t="s">
        <v>1304</v>
      </c>
      <c r="GF4" t="s">
        <v>1305</v>
      </c>
      <c r="GG4" t="s">
        <v>1131</v>
      </c>
      <c r="GH4" t="s">
        <v>1306</v>
      </c>
      <c r="GI4" t="s">
        <v>1307</v>
      </c>
      <c r="GJ4" t="s">
        <v>1308</v>
      </c>
      <c r="GK4" t="s">
        <v>1134</v>
      </c>
      <c r="GL4" t="s">
        <v>949</v>
      </c>
      <c r="GM4" t="s">
        <v>1135</v>
      </c>
      <c r="GN4" t="s">
        <v>1309</v>
      </c>
      <c r="GO4" t="s">
        <v>1310</v>
      </c>
      <c r="GP4" t="s">
        <v>9806</v>
      </c>
      <c r="GQ4" t="s">
        <v>1311</v>
      </c>
      <c r="GR4" t="s">
        <v>1136</v>
      </c>
      <c r="GS4" t="s">
        <v>1041</v>
      </c>
      <c r="GT4" t="s">
        <v>9787</v>
      </c>
      <c r="GU4" t="s">
        <v>1312</v>
      </c>
      <c r="GV4" t="s">
        <v>1139</v>
      </c>
      <c r="GW4" t="s">
        <v>1140</v>
      </c>
      <c r="GX4" t="s">
        <v>1313</v>
      </c>
      <c r="GY4" t="s">
        <v>9807</v>
      </c>
      <c r="GZ4" t="s">
        <v>1042</v>
      </c>
      <c r="HA4" t="s">
        <v>1314</v>
      </c>
      <c r="HB4" t="s">
        <v>1315</v>
      </c>
      <c r="HC4" t="s">
        <v>1142</v>
      </c>
      <c r="HD4" t="s">
        <v>1043</v>
      </c>
      <c r="HE4" t="s">
        <v>1044</v>
      </c>
      <c r="HF4" t="s">
        <v>1316</v>
      </c>
      <c r="HG4" t="s">
        <v>1144</v>
      </c>
      <c r="HH4" t="s">
        <v>9808</v>
      </c>
      <c r="HI4" t="s">
        <v>1145</v>
      </c>
      <c r="HJ4" t="s">
        <v>1146</v>
      </c>
      <c r="HK4" t="s">
        <v>1317</v>
      </c>
      <c r="HL4" t="s">
        <v>1318</v>
      </c>
      <c r="HM4" t="s">
        <v>1319</v>
      </c>
      <c r="HN4" t="s">
        <v>14388</v>
      </c>
      <c r="HO4" t="s">
        <v>1320</v>
      </c>
      <c r="HP4" t="s">
        <v>1321</v>
      </c>
      <c r="HQ4" t="s">
        <v>1322</v>
      </c>
      <c r="HR4" t="s">
        <v>1323</v>
      </c>
      <c r="HS4" t="s">
        <v>11681</v>
      </c>
      <c r="HT4" t="s">
        <v>1906</v>
      </c>
      <c r="HU4" t="s">
        <v>1324</v>
      </c>
      <c r="HV4" t="s">
        <v>951</v>
      </c>
      <c r="HW4" t="s">
        <v>1048</v>
      </c>
      <c r="HX4" t="s">
        <v>1325</v>
      </c>
      <c r="HY4" t="s">
        <v>9809</v>
      </c>
      <c r="HZ4" t="s">
        <v>1326</v>
      </c>
      <c r="IA4" t="s">
        <v>1051</v>
      </c>
      <c r="IB4" t="s">
        <v>1327</v>
      </c>
      <c r="IC4" t="s">
        <v>1328</v>
      </c>
      <c r="ID4" t="s">
        <v>1329</v>
      </c>
      <c r="IE4" t="s">
        <v>1330</v>
      </c>
      <c r="IF4" t="s">
        <v>1331</v>
      </c>
      <c r="IG4" t="s">
        <v>1332</v>
      </c>
      <c r="IH4" t="s">
        <v>1052</v>
      </c>
      <c r="II4" t="s">
        <v>953</v>
      </c>
      <c r="IJ4" t="s">
        <v>1053</v>
      </c>
      <c r="IK4" t="s">
        <v>10809</v>
      </c>
      <c r="IL4" t="s">
        <v>1333</v>
      </c>
      <c r="IM4" t="s">
        <v>9810</v>
      </c>
      <c r="IN4" t="s">
        <v>1334</v>
      </c>
      <c r="IO4" t="s">
        <v>1336</v>
      </c>
      <c r="IP4" t="s">
        <v>11720</v>
      </c>
      <c r="IQ4" t="s">
        <v>9788</v>
      </c>
      <c r="IR4" t="s">
        <v>1056</v>
      </c>
      <c r="IS4" t="s">
        <v>1057</v>
      </c>
      <c r="IT4" t="s">
        <v>955</v>
      </c>
      <c r="IU4" t="s">
        <v>1153</v>
      </c>
      <c r="IV4" t="s">
        <v>9811</v>
      </c>
      <c r="IW4" t="s">
        <v>10724</v>
      </c>
      <c r="IX4" t="s">
        <v>1337</v>
      </c>
      <c r="IY4" t="s">
        <v>10728</v>
      </c>
      <c r="IZ4" t="s">
        <v>1155</v>
      </c>
      <c r="JA4" t="s">
        <v>1338</v>
      </c>
      <c r="JB4" t="s">
        <v>1339</v>
      </c>
      <c r="JC4" t="s">
        <v>1340</v>
      </c>
      <c r="JD4" t="s">
        <v>1341</v>
      </c>
      <c r="JE4" t="s">
        <v>11663</v>
      </c>
      <c r="JF4" t="s">
        <v>1342</v>
      </c>
      <c r="JG4" t="s">
        <v>14380</v>
      </c>
      <c r="JH4" t="s">
        <v>14374</v>
      </c>
      <c r="JI4" t="s">
        <v>1343</v>
      </c>
      <c r="JJ4" t="s">
        <v>10731</v>
      </c>
      <c r="JK4" t="s">
        <v>11770</v>
      </c>
      <c r="JL4" t="s">
        <v>1344</v>
      </c>
      <c r="JM4" t="s">
        <v>1345</v>
      </c>
      <c r="JN4" t="s">
        <v>1346</v>
      </c>
      <c r="JO4" t="s">
        <v>1347</v>
      </c>
      <c r="JP4" t="s">
        <v>1158</v>
      </c>
      <c r="JQ4" t="s">
        <v>962</v>
      </c>
      <c r="JR4" t="s">
        <v>1348</v>
      </c>
      <c r="JS4" t="s">
        <v>1349</v>
      </c>
      <c r="JT4" t="s">
        <v>1159</v>
      </c>
      <c r="JU4" t="s">
        <v>1350</v>
      </c>
      <c r="JV4" t="s">
        <v>1351</v>
      </c>
      <c r="JW4" t="s">
        <v>1352</v>
      </c>
      <c r="JX4" t="s">
        <v>11682</v>
      </c>
      <c r="JY4" t="s">
        <v>1160</v>
      </c>
      <c r="JZ4" t="s">
        <v>1353</v>
      </c>
      <c r="KA4" t="s">
        <v>1354</v>
      </c>
      <c r="KB4" t="s">
        <v>11683</v>
      </c>
      <c r="KC4" t="s">
        <v>9812</v>
      </c>
      <c r="KD4" t="s">
        <v>1355</v>
      </c>
      <c r="KE4" t="s">
        <v>1356</v>
      </c>
      <c r="KF4" t="s">
        <v>1357</v>
      </c>
      <c r="KG4" t="s">
        <v>1358</v>
      </c>
      <c r="KH4" t="s">
        <v>1066</v>
      </c>
      <c r="KI4" t="s">
        <v>1359</v>
      </c>
      <c r="KJ4" t="s">
        <v>1360</v>
      </c>
      <c r="KK4" t="s">
        <v>1361</v>
      </c>
      <c r="KL4" t="s">
        <v>1362</v>
      </c>
      <c r="KM4" t="s">
        <v>1170</v>
      </c>
      <c r="KN4" t="s">
        <v>1363</v>
      </c>
      <c r="KO4" t="s">
        <v>1069</v>
      </c>
      <c r="KP4" t="s">
        <v>1364</v>
      </c>
      <c r="KQ4" t="s">
        <v>1174</v>
      </c>
      <c r="KR4" t="s">
        <v>9813</v>
      </c>
      <c r="KS4" t="s">
        <v>1365</v>
      </c>
      <c r="KT4" t="s">
        <v>10764</v>
      </c>
      <c r="KU4" t="s">
        <v>1366</v>
      </c>
      <c r="KV4" t="s">
        <v>1071</v>
      </c>
      <c r="KW4" t="s">
        <v>1072</v>
      </c>
      <c r="KX4" t="s">
        <v>10765</v>
      </c>
      <c r="KY4" t="s">
        <v>1367</v>
      </c>
      <c r="KZ4" t="s">
        <v>1368</v>
      </c>
      <c r="LA4" t="s">
        <v>1369</v>
      </c>
      <c r="LB4" t="s">
        <v>1370</v>
      </c>
      <c r="LC4" t="s">
        <v>1371</v>
      </c>
      <c r="LD4" t="s">
        <v>1372</v>
      </c>
      <c r="LE4" t="s">
        <v>1373</v>
      </c>
      <c r="LF4" t="s">
        <v>1374</v>
      </c>
      <c r="LG4" t="s">
        <v>1375</v>
      </c>
      <c r="LH4" t="s">
        <v>1078</v>
      </c>
      <c r="LI4" t="s">
        <v>1182</v>
      </c>
      <c r="LJ4" t="s">
        <v>14389</v>
      </c>
      <c r="LK4" t="s">
        <v>1376</v>
      </c>
      <c r="LL4" t="s">
        <v>1377</v>
      </c>
      <c r="LM4" t="s">
        <v>1378</v>
      </c>
      <c r="LN4" t="s">
        <v>1379</v>
      </c>
      <c r="LO4" t="s">
        <v>1380</v>
      </c>
      <c r="LP4" t="s">
        <v>1381</v>
      </c>
      <c r="LQ4" t="s">
        <v>14390</v>
      </c>
      <c r="LR4" t="s">
        <v>1185</v>
      </c>
      <c r="LS4" t="s">
        <v>11684</v>
      </c>
      <c r="LT4" t="s">
        <v>1382</v>
      </c>
      <c r="LU4" t="s">
        <v>1383</v>
      </c>
      <c r="LV4" t="s">
        <v>1384</v>
      </c>
      <c r="LW4" t="s">
        <v>1385</v>
      </c>
      <c r="LX4" t="s">
        <v>1386</v>
      </c>
      <c r="LY4" t="s">
        <v>11685</v>
      </c>
      <c r="LZ4" t="s">
        <v>1388</v>
      </c>
      <c r="MA4" t="s">
        <v>1389</v>
      </c>
      <c r="MB4" t="s">
        <v>1080</v>
      </c>
      <c r="MC4" t="s">
        <v>1390</v>
      </c>
      <c r="MD4" t="s">
        <v>1391</v>
      </c>
      <c r="ME4" t="s">
        <v>9814</v>
      </c>
      <c r="MF4" t="s">
        <v>1392</v>
      </c>
      <c r="MG4" t="s">
        <v>14377</v>
      </c>
      <c r="MH4" t="s">
        <v>1393</v>
      </c>
      <c r="MI4" t="s">
        <v>1394</v>
      </c>
      <c r="MJ4" t="s">
        <v>1395</v>
      </c>
      <c r="MK4" t="s">
        <v>1396</v>
      </c>
      <c r="ML4" t="s">
        <v>1397</v>
      </c>
      <c r="MM4" t="s">
        <v>9886</v>
      </c>
      <c r="MN4" t="s">
        <v>1398</v>
      </c>
      <c r="MO4" t="s">
        <v>1399</v>
      </c>
      <c r="MP4" t="s">
        <v>1083</v>
      </c>
      <c r="MQ4" t="s">
        <v>11686</v>
      </c>
    </row>
    <row r="5" spans="1:355" ht="15" x14ac:dyDescent="0.25">
      <c r="A5" t="s">
        <v>970</v>
      </c>
      <c r="B5" t="s">
        <v>285</v>
      </c>
      <c r="C5" t="s">
        <v>1016</v>
      </c>
      <c r="D5" t="s">
        <v>1401</v>
      </c>
      <c r="E5" t="s">
        <v>14391</v>
      </c>
      <c r="F5" t="s">
        <v>971</v>
      </c>
      <c r="G5" t="s">
        <v>1402</v>
      </c>
      <c r="H5" t="s">
        <v>926</v>
      </c>
      <c r="I5" t="s">
        <v>1403</v>
      </c>
      <c r="J5" t="s">
        <v>1404</v>
      </c>
      <c r="K5" t="s">
        <v>929</v>
      </c>
      <c r="L5" t="s">
        <v>978</v>
      </c>
      <c r="M5" t="s">
        <v>1405</v>
      </c>
      <c r="N5" t="s">
        <v>9790</v>
      </c>
      <c r="O5" t="s">
        <v>1406</v>
      </c>
      <c r="P5" t="s">
        <v>11687</v>
      </c>
      <c r="Q5" t="s">
        <v>1407</v>
      </c>
      <c r="R5" t="s">
        <v>9784</v>
      </c>
      <c r="S5" t="s">
        <v>1408</v>
      </c>
      <c r="T5" t="s">
        <v>1095</v>
      </c>
      <c r="U5" t="s">
        <v>1409</v>
      </c>
      <c r="V5" t="s">
        <v>1410</v>
      </c>
      <c r="W5" t="s">
        <v>1411</v>
      </c>
      <c r="X5" t="s">
        <v>985</v>
      </c>
      <c r="Y5" t="s">
        <v>1412</v>
      </c>
      <c r="Z5" t="s">
        <v>991</v>
      </c>
      <c r="AA5" t="s">
        <v>1413</v>
      </c>
      <c r="AB5" t="s">
        <v>996</v>
      </c>
      <c r="AC5" t="s">
        <v>1414</v>
      </c>
      <c r="AD5" t="s">
        <v>1415</v>
      </c>
      <c r="AE5" t="s">
        <v>10620</v>
      </c>
      <c r="AF5" t="s">
        <v>935</v>
      </c>
      <c r="AG5" t="s">
        <v>11660</v>
      </c>
      <c r="AH5" t="s">
        <v>1416</v>
      </c>
      <c r="AI5" t="s">
        <v>1417</v>
      </c>
      <c r="AJ5" t="s">
        <v>1418</v>
      </c>
      <c r="AK5" t="s">
        <v>10638</v>
      </c>
      <c r="AL5" t="s">
        <v>1008</v>
      </c>
      <c r="AM5" t="s">
        <v>1009</v>
      </c>
      <c r="AN5" t="s">
        <v>1419</v>
      </c>
      <c r="AO5" t="s">
        <v>937</v>
      </c>
      <c r="AP5" t="s">
        <v>1011</v>
      </c>
      <c r="AQ5" t="s">
        <v>1420</v>
      </c>
      <c r="AR5" t="s">
        <v>938</v>
      </c>
      <c r="AS5" t="s">
        <v>1421</v>
      </c>
      <c r="AT5" t="s">
        <v>940</v>
      </c>
      <c r="AU5" t="s">
        <v>1422</v>
      </c>
      <c r="AV5" t="s">
        <v>1423</v>
      </c>
      <c r="AW5" t="s">
        <v>1013</v>
      </c>
      <c r="AX5" t="s">
        <v>1424</v>
      </c>
      <c r="AY5" t="s">
        <v>11688</v>
      </c>
      <c r="AZ5" t="s">
        <v>1425</v>
      </c>
      <c r="BA5" t="s">
        <v>1426</v>
      </c>
      <c r="BB5" t="s">
        <v>1427</v>
      </c>
      <c r="BC5" t="s">
        <v>1428</v>
      </c>
      <c r="BD5" t="s">
        <v>1429</v>
      </c>
      <c r="BE5" t="s">
        <v>1430</v>
      </c>
      <c r="BF5" t="s">
        <v>1025</v>
      </c>
      <c r="BG5" t="s">
        <v>10681</v>
      </c>
      <c r="BH5" t="s">
        <v>1296</v>
      </c>
      <c r="BI5" t="s">
        <v>943</v>
      </c>
      <c r="BJ5" t="s">
        <v>1033</v>
      </c>
      <c r="BK5" t="s">
        <v>1302</v>
      </c>
      <c r="BL5" t="s">
        <v>1431</v>
      </c>
      <c r="BM5" t="s">
        <v>1432</v>
      </c>
      <c r="BN5" t="s">
        <v>10799</v>
      </c>
      <c r="BO5" t="s">
        <v>1433</v>
      </c>
      <c r="BP5" t="s">
        <v>1434</v>
      </c>
      <c r="BQ5" t="s">
        <v>1043</v>
      </c>
      <c r="BR5" t="s">
        <v>1046</v>
      </c>
      <c r="BS5" t="s">
        <v>1435</v>
      </c>
      <c r="BT5" t="s">
        <v>1323</v>
      </c>
      <c r="BU5" t="s">
        <v>951</v>
      </c>
      <c r="BV5" t="s">
        <v>1048</v>
      </c>
      <c r="BW5" t="s">
        <v>1051</v>
      </c>
      <c r="BX5" t="s">
        <v>1436</v>
      </c>
      <c r="BY5" t="s">
        <v>1437</v>
      </c>
      <c r="BZ5" t="s">
        <v>953</v>
      </c>
      <c r="CA5" t="s">
        <v>11720</v>
      </c>
      <c r="CB5" t="s">
        <v>9788</v>
      </c>
      <c r="CC5" t="s">
        <v>1056</v>
      </c>
      <c r="CD5" t="s">
        <v>1057</v>
      </c>
      <c r="CE5" t="s">
        <v>955</v>
      </c>
      <c r="CF5" t="s">
        <v>1438</v>
      </c>
      <c r="CG5" t="s">
        <v>11689</v>
      </c>
      <c r="CH5" t="s">
        <v>1439</v>
      </c>
      <c r="CI5" t="s">
        <v>1440</v>
      </c>
      <c r="CJ5" t="s">
        <v>9815</v>
      </c>
      <c r="CK5" t="s">
        <v>1441</v>
      </c>
      <c r="CL5" t="s">
        <v>1442</v>
      </c>
      <c r="CM5" t="s">
        <v>10736</v>
      </c>
      <c r="CN5" t="s">
        <v>1443</v>
      </c>
      <c r="CO5" t="s">
        <v>1066</v>
      </c>
      <c r="CP5" t="s">
        <v>9816</v>
      </c>
      <c r="CQ5" t="s">
        <v>1444</v>
      </c>
      <c r="CR5" t="s">
        <v>1069</v>
      </c>
      <c r="CS5" t="s">
        <v>9817</v>
      </c>
      <c r="CT5" t="s">
        <v>1445</v>
      </c>
      <c r="CU5" t="s">
        <v>1071</v>
      </c>
      <c r="CV5" t="s">
        <v>1072</v>
      </c>
      <c r="CW5" t="s">
        <v>11690</v>
      </c>
      <c r="CX5" t="s">
        <v>1180</v>
      </c>
      <c r="CY5" t="s">
        <v>1446</v>
      </c>
      <c r="CZ5" t="s">
        <v>1075</v>
      </c>
      <c r="DA5" t="s">
        <v>1182</v>
      </c>
      <c r="DB5" t="s">
        <v>1447</v>
      </c>
      <c r="DC5" t="s">
        <v>10776</v>
      </c>
      <c r="DD5" t="s">
        <v>1448</v>
      </c>
      <c r="DE5" t="s">
        <v>1449</v>
      </c>
      <c r="DF5" t="s">
        <v>1080</v>
      </c>
      <c r="DG5" t="s">
        <v>1450</v>
      </c>
      <c r="DH5" t="s">
        <v>1451</v>
      </c>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row>
    <row r="6" spans="1:355" ht="15" x14ac:dyDescent="0.25">
      <c r="A6" t="s">
        <v>970</v>
      </c>
      <c r="B6" t="s">
        <v>286</v>
      </c>
      <c r="C6" t="s">
        <v>1016</v>
      </c>
      <c r="D6" t="s">
        <v>971</v>
      </c>
      <c r="E6" t="s">
        <v>974</v>
      </c>
      <c r="F6" t="s">
        <v>926</v>
      </c>
      <c r="G6" t="s">
        <v>1201</v>
      </c>
      <c r="H6" t="s">
        <v>1452</v>
      </c>
      <c r="I6" t="s">
        <v>1453</v>
      </c>
      <c r="J6" t="s">
        <v>929</v>
      </c>
      <c r="K6" t="s">
        <v>1454</v>
      </c>
      <c r="L6" t="s">
        <v>978</v>
      </c>
      <c r="M6" t="s">
        <v>1455</v>
      </c>
      <c r="N6" t="s">
        <v>1456</v>
      </c>
      <c r="O6" t="s">
        <v>1457</v>
      </c>
      <c r="P6" t="s">
        <v>9790</v>
      </c>
      <c r="Q6" t="s">
        <v>1458</v>
      </c>
      <c r="R6" t="s">
        <v>9784</v>
      </c>
      <c r="S6" t="s">
        <v>1459</v>
      </c>
      <c r="T6" t="s">
        <v>1095</v>
      </c>
      <c r="U6" t="s">
        <v>1460</v>
      </c>
      <c r="V6" t="s">
        <v>1212</v>
      </c>
      <c r="W6" t="s">
        <v>1461</v>
      </c>
      <c r="X6" t="s">
        <v>1462</v>
      </c>
      <c r="Y6" t="s">
        <v>1463</v>
      </c>
      <c r="Z6" t="s">
        <v>1464</v>
      </c>
      <c r="AA6" t="s">
        <v>985</v>
      </c>
      <c r="AB6" t="s">
        <v>1465</v>
      </c>
      <c r="AC6" t="s">
        <v>1412</v>
      </c>
      <c r="AD6" t="s">
        <v>1466</v>
      </c>
      <c r="AE6" t="s">
        <v>1219</v>
      </c>
      <c r="AF6" t="s">
        <v>1467</v>
      </c>
      <c r="AG6" t="s">
        <v>14392</v>
      </c>
      <c r="AH6" t="s">
        <v>1468</v>
      </c>
      <c r="AI6" t="s">
        <v>987</v>
      </c>
      <c r="AJ6" t="s">
        <v>989</v>
      </c>
      <c r="AK6" t="s">
        <v>1469</v>
      </c>
      <c r="AL6" t="s">
        <v>933</v>
      </c>
      <c r="AM6" t="s">
        <v>11692</v>
      </c>
      <c r="AN6" t="s">
        <v>1470</v>
      </c>
      <c r="AO6" t="s">
        <v>1471</v>
      </c>
      <c r="AP6" t="s">
        <v>1472</v>
      </c>
      <c r="AQ6" t="s">
        <v>1473</v>
      </c>
      <c r="AR6" t="s">
        <v>1474</v>
      </c>
      <c r="AS6" t="s">
        <v>11693</v>
      </c>
      <c r="AT6" t="s">
        <v>991</v>
      </c>
      <c r="AU6" t="s">
        <v>9818</v>
      </c>
      <c r="AV6" t="s">
        <v>1475</v>
      </c>
      <c r="AW6" t="s">
        <v>1227</v>
      </c>
      <c r="AX6" t="s">
        <v>1476</v>
      </c>
      <c r="AY6" t="s">
        <v>10614</v>
      </c>
      <c r="AZ6" t="s">
        <v>1413</v>
      </c>
      <c r="BA6" t="s">
        <v>11746</v>
      </c>
      <c r="BB6" t="s">
        <v>996</v>
      </c>
      <c r="BC6" t="s">
        <v>1477</v>
      </c>
      <c r="BD6" t="s">
        <v>9804</v>
      </c>
      <c r="BE6" t="s">
        <v>1478</v>
      </c>
      <c r="BF6" t="s">
        <v>9862</v>
      </c>
      <c r="BG6" t="s">
        <v>935</v>
      </c>
      <c r="BH6" t="s">
        <v>11660</v>
      </c>
      <c r="BI6" t="s">
        <v>998</v>
      </c>
      <c r="BJ6" t="s">
        <v>1479</v>
      </c>
      <c r="BK6" t="s">
        <v>1480</v>
      </c>
      <c r="BL6" t="s">
        <v>1416</v>
      </c>
      <c r="BM6" t="s">
        <v>1481</v>
      </c>
      <c r="BN6" t="s">
        <v>1482</v>
      </c>
      <c r="BO6" t="s">
        <v>1483</v>
      </c>
      <c r="BP6" t="s">
        <v>1000</v>
      </c>
      <c r="BQ6" t="s">
        <v>1484</v>
      </c>
      <c r="BR6" t="s">
        <v>10631</v>
      </c>
      <c r="BS6" t="s">
        <v>1485</v>
      </c>
      <c r="BT6" t="s">
        <v>10638</v>
      </c>
      <c r="BU6" t="s">
        <v>1486</v>
      </c>
      <c r="BV6" t="s">
        <v>11694</v>
      </c>
      <c r="BW6" t="s">
        <v>1006</v>
      </c>
      <c r="BX6" t="s">
        <v>1008</v>
      </c>
      <c r="BY6" t="s">
        <v>1009</v>
      </c>
      <c r="BZ6" t="s">
        <v>1487</v>
      </c>
      <c r="CA6" t="s">
        <v>1488</v>
      </c>
      <c r="CB6" t="s">
        <v>1489</v>
      </c>
      <c r="CC6" t="s">
        <v>1490</v>
      </c>
      <c r="CD6" t="s">
        <v>937</v>
      </c>
      <c r="CE6" t="s">
        <v>1011</v>
      </c>
      <c r="CF6" t="s">
        <v>1491</v>
      </c>
      <c r="CG6" t="s">
        <v>11695</v>
      </c>
      <c r="CH6" t="s">
        <v>938</v>
      </c>
      <c r="CI6" t="s">
        <v>1492</v>
      </c>
      <c r="CJ6" t="s">
        <v>1493</v>
      </c>
      <c r="CK6" t="s">
        <v>940</v>
      </c>
      <c r="CL6" t="s">
        <v>1422</v>
      </c>
      <c r="CM6" t="s">
        <v>1494</v>
      </c>
      <c r="CN6" t="s">
        <v>10657</v>
      </c>
      <c r="CO6" t="s">
        <v>1013</v>
      </c>
      <c r="CP6" t="s">
        <v>1897</v>
      </c>
      <c r="CQ6" t="s">
        <v>1495</v>
      </c>
      <c r="CR6" t="s">
        <v>1496</v>
      </c>
      <c r="CS6" t="s">
        <v>1497</v>
      </c>
      <c r="CT6" t="s">
        <v>9819</v>
      </c>
      <c r="CU6" t="s">
        <v>9820</v>
      </c>
      <c r="CV6" t="s">
        <v>1498</v>
      </c>
      <c r="CW6" t="s">
        <v>1499</v>
      </c>
      <c r="CX6" t="s">
        <v>1500</v>
      </c>
      <c r="CY6" t="s">
        <v>9864</v>
      </c>
      <c r="CZ6" t="s">
        <v>1501</v>
      </c>
      <c r="DA6" t="s">
        <v>1018</v>
      </c>
      <c r="DB6" t="s">
        <v>1502</v>
      </c>
      <c r="DC6" t="s">
        <v>1503</v>
      </c>
      <c r="DD6" t="s">
        <v>10667</v>
      </c>
      <c r="DE6" t="s">
        <v>1126</v>
      </c>
      <c r="DF6" t="s">
        <v>9821</v>
      </c>
      <c r="DG6" t="s">
        <v>1020</v>
      </c>
      <c r="DH6" t="s">
        <v>1505</v>
      </c>
      <c r="DI6" t="s">
        <v>1506</v>
      </c>
      <c r="DJ6" t="s">
        <v>1507</v>
      </c>
      <c r="DK6" t="s">
        <v>1508</v>
      </c>
      <c r="DL6" t="s">
        <v>1509</v>
      </c>
      <c r="DM6" t="s">
        <v>1025</v>
      </c>
      <c r="DN6" t="s">
        <v>11696</v>
      </c>
      <c r="DO6" t="s">
        <v>9822</v>
      </c>
      <c r="DP6" t="s">
        <v>1510</v>
      </c>
      <c r="DQ6" t="s">
        <v>1511</v>
      </c>
      <c r="DR6" t="s">
        <v>10681</v>
      </c>
      <c r="DS6" t="s">
        <v>1512</v>
      </c>
      <c r="DT6" t="s">
        <v>1513</v>
      </c>
      <c r="DU6" t="s">
        <v>1514</v>
      </c>
      <c r="DV6" t="s">
        <v>14393</v>
      </c>
      <c r="DW6" t="s">
        <v>1296</v>
      </c>
      <c r="DX6" t="s">
        <v>943</v>
      </c>
      <c r="DY6" t="s">
        <v>9823</v>
      </c>
      <c r="DZ6" t="s">
        <v>1515</v>
      </c>
      <c r="EA6" t="s">
        <v>1516</v>
      </c>
      <c r="EB6" t="s">
        <v>1031</v>
      </c>
      <c r="EC6" t="s">
        <v>1032</v>
      </c>
      <c r="ED6" t="s">
        <v>1033</v>
      </c>
      <c r="EE6" t="s">
        <v>1302</v>
      </c>
      <c r="EF6" t="s">
        <v>1517</v>
      </c>
      <c r="EG6" t="s">
        <v>1518</v>
      </c>
      <c r="EH6" t="s">
        <v>949</v>
      </c>
      <c r="EI6" t="s">
        <v>1519</v>
      </c>
      <c r="EJ6" t="s">
        <v>1520</v>
      </c>
      <c r="EK6" t="s">
        <v>1521</v>
      </c>
      <c r="EL6" t="s">
        <v>1044</v>
      </c>
      <c r="EM6" t="s">
        <v>1046</v>
      </c>
      <c r="EN6" t="s">
        <v>1522</v>
      </c>
      <c r="EO6" t="s">
        <v>1523</v>
      </c>
      <c r="EP6" t="s">
        <v>1323</v>
      </c>
      <c r="EQ6" t="s">
        <v>1524</v>
      </c>
      <c r="ER6" t="s">
        <v>951</v>
      </c>
      <c r="ES6" t="s">
        <v>1048</v>
      </c>
      <c r="ET6" t="s">
        <v>1049</v>
      </c>
      <c r="EU6" t="s">
        <v>1050</v>
      </c>
      <c r="EV6" t="s">
        <v>1525</v>
      </c>
      <c r="EW6" t="s">
        <v>11697</v>
      </c>
      <c r="EX6" t="s">
        <v>10707</v>
      </c>
      <c r="EY6" t="s">
        <v>1526</v>
      </c>
      <c r="EZ6" t="s">
        <v>9824</v>
      </c>
      <c r="FA6" t="s">
        <v>1051</v>
      </c>
      <c r="FB6" t="s">
        <v>1527</v>
      </c>
      <c r="FC6" t="s">
        <v>1436</v>
      </c>
      <c r="FD6" t="s">
        <v>10711</v>
      </c>
      <c r="FE6" t="s">
        <v>1528</v>
      </c>
      <c r="FF6" t="s">
        <v>1529</v>
      </c>
      <c r="FG6" t="s">
        <v>953</v>
      </c>
      <c r="FH6" t="s">
        <v>1053</v>
      </c>
      <c r="FI6" t="s">
        <v>1530</v>
      </c>
      <c r="FJ6" t="s">
        <v>1531</v>
      </c>
      <c r="FK6" t="s">
        <v>11720</v>
      </c>
      <c r="FL6" t="s">
        <v>9788</v>
      </c>
      <c r="FM6" t="s">
        <v>1532</v>
      </c>
      <c r="FN6" t="s">
        <v>1056</v>
      </c>
      <c r="FO6" t="s">
        <v>1057</v>
      </c>
      <c r="FP6" t="s">
        <v>955</v>
      </c>
      <c r="FQ6" t="s">
        <v>14394</v>
      </c>
      <c r="FR6" t="s">
        <v>11698</v>
      </c>
      <c r="FS6" t="s">
        <v>1533</v>
      </c>
      <c r="FT6" t="s">
        <v>1534</v>
      </c>
      <c r="FU6" t="s">
        <v>1535</v>
      </c>
      <c r="FV6" t="s">
        <v>1536</v>
      </c>
      <c r="FW6" t="s">
        <v>1537</v>
      </c>
      <c r="FX6" t="s">
        <v>1538</v>
      </c>
      <c r="FY6" t="s">
        <v>1539</v>
      </c>
      <c r="FZ6" t="s">
        <v>1540</v>
      </c>
      <c r="GA6" t="s">
        <v>1541</v>
      </c>
      <c r="GB6" t="s">
        <v>14374</v>
      </c>
      <c r="GC6" t="s">
        <v>1542</v>
      </c>
      <c r="GD6" t="s">
        <v>1543</v>
      </c>
      <c r="GE6" t="s">
        <v>10734</v>
      </c>
      <c r="GF6" t="s">
        <v>1544</v>
      </c>
      <c r="GG6" t="s">
        <v>1545</v>
      </c>
      <c r="GH6" t="s">
        <v>10810</v>
      </c>
      <c r="GI6" t="s">
        <v>1159</v>
      </c>
      <c r="GJ6" t="s">
        <v>1546</v>
      </c>
      <c r="GK6" t="s">
        <v>1547</v>
      </c>
      <c r="GL6" t="s">
        <v>9825</v>
      </c>
      <c r="GM6" t="s">
        <v>1548</v>
      </c>
      <c r="GN6" t="s">
        <v>10747</v>
      </c>
      <c r="GO6" t="s">
        <v>1066</v>
      </c>
      <c r="GP6" t="s">
        <v>1549</v>
      </c>
      <c r="GQ6" t="s">
        <v>1550</v>
      </c>
      <c r="GR6" t="s">
        <v>1068</v>
      </c>
      <c r="GS6" t="s">
        <v>9816</v>
      </c>
      <c r="GT6" t="s">
        <v>1069</v>
      </c>
      <c r="GU6" t="s">
        <v>1551</v>
      </c>
      <c r="GV6" t="s">
        <v>1071</v>
      </c>
      <c r="GW6" t="s">
        <v>1072</v>
      </c>
      <c r="GX6" t="s">
        <v>1368</v>
      </c>
      <c r="GY6" t="s">
        <v>10766</v>
      </c>
      <c r="GZ6" t="s">
        <v>1552</v>
      </c>
      <c r="HA6" t="s">
        <v>1075</v>
      </c>
      <c r="HB6" t="s">
        <v>1553</v>
      </c>
      <c r="HC6" t="s">
        <v>1078</v>
      </c>
      <c r="HD6" t="s">
        <v>1182</v>
      </c>
      <c r="HE6" t="s">
        <v>1555</v>
      </c>
      <c r="HF6" t="s">
        <v>1556</v>
      </c>
      <c r="HG6" t="s">
        <v>1557</v>
      </c>
      <c r="HH6" t="s">
        <v>1558</v>
      </c>
      <c r="HI6" t="s">
        <v>1559</v>
      </c>
      <c r="HJ6" t="s">
        <v>1080</v>
      </c>
      <c r="HK6" t="s">
        <v>1560</v>
      </c>
      <c r="HL6" t="s">
        <v>1561</v>
      </c>
      <c r="HM6" t="s">
        <v>11699</v>
      </c>
      <c r="HN6" t="s">
        <v>1562</v>
      </c>
      <c r="HO6" t="s">
        <v>1194</v>
      </c>
      <c r="HP6" t="s">
        <v>1563</v>
      </c>
      <c r="HQ6" t="s">
        <v>1083</v>
      </c>
      <c r="HR6" t="s">
        <v>11700</v>
      </c>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row>
    <row r="7" spans="1:355" ht="15" x14ac:dyDescent="0.25">
      <c r="A7" t="s">
        <v>970</v>
      </c>
      <c r="B7" t="s">
        <v>2</v>
      </c>
      <c r="C7" t="s">
        <v>1400</v>
      </c>
      <c r="D7" t="s">
        <v>1195</v>
      </c>
      <c r="E7" t="s">
        <v>1564</v>
      </c>
      <c r="F7" t="s">
        <v>1196</v>
      </c>
      <c r="G7" t="s">
        <v>1565</v>
      </c>
      <c r="H7" t="s">
        <v>1197</v>
      </c>
      <c r="I7" t="s">
        <v>922</v>
      </c>
      <c r="J7" t="s">
        <v>1566</v>
      </c>
      <c r="K7" t="s">
        <v>924</v>
      </c>
      <c r="L7" t="s">
        <v>10568</v>
      </c>
      <c r="M7" t="s">
        <v>971</v>
      </c>
      <c r="N7" t="s">
        <v>1567</v>
      </c>
      <c r="O7" t="s">
        <v>926</v>
      </c>
      <c r="P7" t="s">
        <v>1568</v>
      </c>
      <c r="Q7" t="s">
        <v>1569</v>
      </c>
      <c r="R7" t="s">
        <v>1570</v>
      </c>
      <c r="S7" t="s">
        <v>1571</v>
      </c>
      <c r="T7" t="s">
        <v>929</v>
      </c>
      <c r="U7" t="s">
        <v>1572</v>
      </c>
      <c r="V7" t="s">
        <v>1573</v>
      </c>
      <c r="W7" t="s">
        <v>978</v>
      </c>
      <c r="X7" t="s">
        <v>1574</v>
      </c>
      <c r="Y7" t="s">
        <v>1575</v>
      </c>
      <c r="Z7" t="s">
        <v>931</v>
      </c>
      <c r="AA7" t="s">
        <v>9790</v>
      </c>
      <c r="AB7" t="s">
        <v>10520</v>
      </c>
      <c r="AC7" t="s">
        <v>1576</v>
      </c>
      <c r="AD7" t="s">
        <v>1577</v>
      </c>
      <c r="AE7" t="s">
        <v>1578</v>
      </c>
      <c r="AF7" t="s">
        <v>9784</v>
      </c>
      <c r="AG7" t="s">
        <v>1094</v>
      </c>
      <c r="AH7" t="s">
        <v>1095</v>
      </c>
      <c r="AI7" t="s">
        <v>1579</v>
      </c>
      <c r="AJ7" t="s">
        <v>1580</v>
      </c>
      <c r="AK7" t="s">
        <v>1581</v>
      </c>
      <c r="AL7" t="s">
        <v>1583</v>
      </c>
      <c r="AM7" t="s">
        <v>1584</v>
      </c>
      <c r="AN7" t="s">
        <v>1582</v>
      </c>
      <c r="AO7" t="s">
        <v>982</v>
      </c>
      <c r="AP7" t="s">
        <v>983</v>
      </c>
      <c r="AQ7" t="s">
        <v>1218</v>
      </c>
      <c r="AR7" t="s">
        <v>1585</v>
      </c>
      <c r="AS7" t="s">
        <v>1586</v>
      </c>
      <c r="AT7" t="s">
        <v>1102</v>
      </c>
      <c r="AU7" t="s">
        <v>989</v>
      </c>
      <c r="AV7" t="s">
        <v>1587</v>
      </c>
      <c r="AW7" t="s">
        <v>11701</v>
      </c>
      <c r="AX7" t="s">
        <v>933</v>
      </c>
      <c r="AY7" t="s">
        <v>1104</v>
      </c>
      <c r="AZ7" t="s">
        <v>1105</v>
      </c>
      <c r="BA7" t="s">
        <v>1588</v>
      </c>
      <c r="BB7" t="s">
        <v>1589</v>
      </c>
      <c r="BC7" t="s">
        <v>1590</v>
      </c>
      <c r="BD7" t="s">
        <v>1591</v>
      </c>
      <c r="BE7" t="s">
        <v>10611</v>
      </c>
      <c r="BF7" t="s">
        <v>991</v>
      </c>
      <c r="BG7" t="s">
        <v>992</v>
      </c>
      <c r="BH7" t="s">
        <v>1592</v>
      </c>
      <c r="BI7" t="s">
        <v>1593</v>
      </c>
      <c r="BJ7" t="s">
        <v>1594</v>
      </c>
      <c r="BK7" t="s">
        <v>996</v>
      </c>
      <c r="BL7" t="s">
        <v>1595</v>
      </c>
      <c r="BM7" t="s">
        <v>1596</v>
      </c>
      <c r="BN7" t="s">
        <v>1234</v>
      </c>
      <c r="BO7" t="s">
        <v>1597</v>
      </c>
      <c r="BP7" t="s">
        <v>1598</v>
      </c>
      <c r="BQ7" t="s">
        <v>1240</v>
      </c>
      <c r="BR7" t="s">
        <v>11702</v>
      </c>
      <c r="BS7" t="s">
        <v>1599</v>
      </c>
      <c r="BT7" t="s">
        <v>1600</v>
      </c>
      <c r="BU7" t="s">
        <v>935</v>
      </c>
      <c r="BV7" t="s">
        <v>11660</v>
      </c>
      <c r="BW7" t="s">
        <v>998</v>
      </c>
      <c r="BX7" t="s">
        <v>1601</v>
      </c>
      <c r="BY7" t="s">
        <v>1602</v>
      </c>
      <c r="BZ7" t="s">
        <v>14395</v>
      </c>
      <c r="CA7" t="s">
        <v>10624</v>
      </c>
      <c r="CB7" t="s">
        <v>1603</v>
      </c>
      <c r="CC7" t="s">
        <v>1416</v>
      </c>
      <c r="CD7" t="s">
        <v>1000</v>
      </c>
      <c r="CE7" t="s">
        <v>1604</v>
      </c>
      <c r="CF7" t="s">
        <v>1605</v>
      </c>
      <c r="CG7" t="s">
        <v>1606</v>
      </c>
      <c r="CH7" t="s">
        <v>1607</v>
      </c>
      <c r="CI7" t="s">
        <v>1485</v>
      </c>
      <c r="CJ7" t="s">
        <v>1002</v>
      </c>
      <c r="CK7" t="s">
        <v>1608</v>
      </c>
      <c r="CL7" t="s">
        <v>10638</v>
      </c>
      <c r="CM7" t="s">
        <v>1249</v>
      </c>
      <c r="CN7" t="s">
        <v>1250</v>
      </c>
      <c r="CO7" t="s">
        <v>1005</v>
      </c>
      <c r="CP7" t="s">
        <v>1609</v>
      </c>
      <c r="CQ7" t="s">
        <v>1006</v>
      </c>
      <c r="CR7" t="s">
        <v>10643</v>
      </c>
      <c r="CS7" t="s">
        <v>11676</v>
      </c>
      <c r="CT7" t="s">
        <v>1610</v>
      </c>
      <c r="CU7" t="s">
        <v>1611</v>
      </c>
      <c r="CV7" t="s">
        <v>1612</v>
      </c>
      <c r="CW7" t="s">
        <v>1008</v>
      </c>
      <c r="CX7" t="s">
        <v>10647</v>
      </c>
      <c r="CY7" t="s">
        <v>1009</v>
      </c>
      <c r="CZ7" t="s">
        <v>1613</v>
      </c>
      <c r="DA7" t="s">
        <v>11703</v>
      </c>
      <c r="DB7" t="s">
        <v>1010</v>
      </c>
      <c r="DC7" t="s">
        <v>1614</v>
      </c>
      <c r="DD7" t="s">
        <v>1615</v>
      </c>
      <c r="DE7" t="s">
        <v>10651</v>
      </c>
      <c r="DF7" t="s">
        <v>1617</v>
      </c>
      <c r="DG7" t="s">
        <v>1616</v>
      </c>
      <c r="DH7" t="s">
        <v>1618</v>
      </c>
      <c r="DI7" t="s">
        <v>1264</v>
      </c>
      <c r="DJ7" t="s">
        <v>937</v>
      </c>
      <c r="DK7" t="s">
        <v>1119</v>
      </c>
      <c r="DL7" t="s">
        <v>1011</v>
      </c>
      <c r="DM7" t="s">
        <v>11704</v>
      </c>
      <c r="DN7" t="s">
        <v>938</v>
      </c>
      <c r="DO7" t="s">
        <v>940</v>
      </c>
      <c r="DP7" t="s">
        <v>1122</v>
      </c>
      <c r="DQ7" t="s">
        <v>1123</v>
      </c>
      <c r="DR7" t="s">
        <v>1012</v>
      </c>
      <c r="DS7" t="s">
        <v>1013</v>
      </c>
      <c r="DT7" t="s">
        <v>1619</v>
      </c>
      <c r="DU7" t="s">
        <v>1620</v>
      </c>
      <c r="DV7" t="s">
        <v>1125</v>
      </c>
      <c r="DW7" t="s">
        <v>1621</v>
      </c>
      <c r="DX7" t="s">
        <v>10663</v>
      </c>
      <c r="DY7" t="s">
        <v>1740</v>
      </c>
      <c r="DZ7" t="s">
        <v>14386</v>
      </c>
      <c r="EA7" t="s">
        <v>1283</v>
      </c>
      <c r="EB7" t="s">
        <v>1622</v>
      </c>
      <c r="EC7" t="s">
        <v>1623</v>
      </c>
      <c r="ED7" t="s">
        <v>1284</v>
      </c>
      <c r="EE7" t="s">
        <v>1018</v>
      </c>
      <c r="EF7" t="s">
        <v>10667</v>
      </c>
      <c r="EG7" t="s">
        <v>1126</v>
      </c>
      <c r="EH7" t="s">
        <v>1020</v>
      </c>
      <c r="EI7" t="s">
        <v>11755</v>
      </c>
      <c r="EJ7" t="s">
        <v>11705</v>
      </c>
      <c r="EK7" t="s">
        <v>942</v>
      </c>
      <c r="EL7" t="s">
        <v>1127</v>
      </c>
      <c r="EM7" t="s">
        <v>1624</v>
      </c>
      <c r="EN7" t="s">
        <v>1025</v>
      </c>
      <c r="EO7" t="s">
        <v>1293</v>
      </c>
      <c r="EP7" t="s">
        <v>1626</v>
      </c>
      <c r="EQ7" t="s">
        <v>10681</v>
      </c>
      <c r="ER7" t="s">
        <v>10687</v>
      </c>
      <c r="ES7" t="s">
        <v>1627</v>
      </c>
      <c r="ET7" t="s">
        <v>9826</v>
      </c>
      <c r="EU7" t="s">
        <v>1628</v>
      </c>
      <c r="EV7" t="s">
        <v>1028</v>
      </c>
      <c r="EW7" t="s">
        <v>1296</v>
      </c>
      <c r="EX7" t="s">
        <v>943</v>
      </c>
      <c r="EY7" t="s">
        <v>1030</v>
      </c>
      <c r="EZ7" t="s">
        <v>1629</v>
      </c>
      <c r="FA7" t="s">
        <v>1630</v>
      </c>
      <c r="FB7" t="s">
        <v>1631</v>
      </c>
      <c r="FC7" t="s">
        <v>1632</v>
      </c>
      <c r="FD7" t="s">
        <v>945</v>
      </c>
      <c r="FE7" t="s">
        <v>1300</v>
      </c>
      <c r="FF7" t="s">
        <v>1031</v>
      </c>
      <c r="FG7" t="s">
        <v>947</v>
      </c>
      <c r="FH7" t="s">
        <v>1302</v>
      </c>
      <c r="FI7" t="s">
        <v>11706</v>
      </c>
      <c r="FJ7" t="s">
        <v>1633</v>
      </c>
      <c r="FK7" t="s">
        <v>1134</v>
      </c>
      <c r="FL7" t="s">
        <v>949</v>
      </c>
      <c r="FM7" t="s">
        <v>1135</v>
      </c>
      <c r="FN7" t="s">
        <v>1634</v>
      </c>
      <c r="FO7" t="s">
        <v>1635</v>
      </c>
      <c r="FP7" t="s">
        <v>1636</v>
      </c>
      <c r="FQ7" t="s">
        <v>9827</v>
      </c>
      <c r="FR7" t="s">
        <v>9806</v>
      </c>
      <c r="FS7" t="s">
        <v>1637</v>
      </c>
      <c r="FT7" t="s">
        <v>1136</v>
      </c>
      <c r="FU7" t="s">
        <v>1138</v>
      </c>
      <c r="FV7" t="s">
        <v>1041</v>
      </c>
      <c r="FW7" t="s">
        <v>9787</v>
      </c>
      <c r="FX7" t="s">
        <v>1140</v>
      </c>
      <c r="FY7" t="s">
        <v>1638</v>
      </c>
      <c r="FZ7" t="s">
        <v>10694</v>
      </c>
      <c r="GA7" t="s">
        <v>9828</v>
      </c>
      <c r="GB7" t="s">
        <v>1142</v>
      </c>
      <c r="GC7" t="s">
        <v>1043</v>
      </c>
      <c r="GD7" t="s">
        <v>1044</v>
      </c>
      <c r="GE7" t="s">
        <v>1144</v>
      </c>
      <c r="GF7" t="s">
        <v>1146</v>
      </c>
      <c r="GG7" t="s">
        <v>1639</v>
      </c>
      <c r="GH7" t="s">
        <v>11707</v>
      </c>
      <c r="GI7" t="s">
        <v>1640</v>
      </c>
      <c r="GJ7" t="s">
        <v>1641</v>
      </c>
      <c r="GK7" t="s">
        <v>11681</v>
      </c>
      <c r="GL7" t="s">
        <v>1906</v>
      </c>
      <c r="GM7" t="s">
        <v>951</v>
      </c>
      <c r="GN7" t="s">
        <v>1048</v>
      </c>
      <c r="GO7" t="s">
        <v>1049</v>
      </c>
      <c r="GP7" t="s">
        <v>1050</v>
      </c>
      <c r="GQ7" t="s">
        <v>1642</v>
      </c>
      <c r="GR7" t="s">
        <v>1643</v>
      </c>
      <c r="GS7" t="s">
        <v>1644</v>
      </c>
      <c r="GT7" t="s">
        <v>1051</v>
      </c>
      <c r="GU7" t="s">
        <v>1330</v>
      </c>
      <c r="GV7" t="s">
        <v>1331</v>
      </c>
      <c r="GW7" t="s">
        <v>1645</v>
      </c>
      <c r="GX7" t="s">
        <v>1646</v>
      </c>
      <c r="GY7" t="s">
        <v>953</v>
      </c>
      <c r="GZ7" t="s">
        <v>1647</v>
      </c>
      <c r="HA7" t="s">
        <v>10809</v>
      </c>
      <c r="HB7" t="s">
        <v>1648</v>
      </c>
      <c r="HC7" t="s">
        <v>1651</v>
      </c>
      <c r="HD7" t="s">
        <v>1652</v>
      </c>
      <c r="HE7" t="s">
        <v>1653</v>
      </c>
      <c r="HF7" t="s">
        <v>11720</v>
      </c>
      <c r="HG7" t="s">
        <v>9788</v>
      </c>
      <c r="HH7" t="s">
        <v>1056</v>
      </c>
      <c r="HI7" t="s">
        <v>1057</v>
      </c>
      <c r="HJ7" t="s">
        <v>955</v>
      </c>
      <c r="HK7" t="s">
        <v>957</v>
      </c>
      <c r="HL7" t="s">
        <v>1654</v>
      </c>
      <c r="HM7" t="s">
        <v>1655</v>
      </c>
      <c r="HN7" t="s">
        <v>1154</v>
      </c>
      <c r="HO7" t="s">
        <v>1155</v>
      </c>
      <c r="HP7" t="s">
        <v>1656</v>
      </c>
      <c r="HQ7" t="s">
        <v>1657</v>
      </c>
      <c r="HR7" t="s">
        <v>1658</v>
      </c>
      <c r="HS7" t="s">
        <v>1659</v>
      </c>
      <c r="HT7" t="s">
        <v>1660</v>
      </c>
      <c r="HU7" t="s">
        <v>1661</v>
      </c>
      <c r="HV7" t="s">
        <v>1341</v>
      </c>
      <c r="HW7" t="s">
        <v>11663</v>
      </c>
      <c r="HX7" t="s">
        <v>1662</v>
      </c>
      <c r="HY7" t="s">
        <v>960</v>
      </c>
      <c r="HZ7" t="s">
        <v>14380</v>
      </c>
      <c r="IA7" t="s">
        <v>14374</v>
      </c>
      <c r="IB7" t="s">
        <v>1663</v>
      </c>
      <c r="IC7" t="s">
        <v>1158</v>
      </c>
      <c r="ID7" t="s">
        <v>9829</v>
      </c>
      <c r="IE7" t="s">
        <v>1664</v>
      </c>
      <c r="IF7" t="s">
        <v>1062</v>
      </c>
      <c r="IG7" t="s">
        <v>962</v>
      </c>
      <c r="IH7" t="s">
        <v>10810</v>
      </c>
      <c r="II7" t="s">
        <v>11709</v>
      </c>
      <c r="IJ7" t="s">
        <v>1665</v>
      </c>
      <c r="IK7" t="s">
        <v>1159</v>
      </c>
      <c r="IL7" t="s">
        <v>964</v>
      </c>
      <c r="IM7" t="s">
        <v>1353</v>
      </c>
      <c r="IN7" t="s">
        <v>1666</v>
      </c>
      <c r="IO7" t="s">
        <v>1667</v>
      </c>
      <c r="IP7" t="s">
        <v>1354</v>
      </c>
      <c r="IQ7" t="s">
        <v>11710</v>
      </c>
      <c r="IR7" t="s">
        <v>1668</v>
      </c>
      <c r="IS7" t="s">
        <v>1669</v>
      </c>
      <c r="IT7" t="s">
        <v>1670</v>
      </c>
      <c r="IU7" t="s">
        <v>9830</v>
      </c>
      <c r="IV7" t="s">
        <v>1673</v>
      </c>
      <c r="IW7" t="s">
        <v>1066</v>
      </c>
      <c r="IX7" t="s">
        <v>1674</v>
      </c>
      <c r="IY7" t="s">
        <v>1675</v>
      </c>
      <c r="IZ7" t="s">
        <v>10755</v>
      </c>
      <c r="JA7" t="s">
        <v>11667</v>
      </c>
      <c r="JB7" t="s">
        <v>9876</v>
      </c>
      <c r="JC7" t="s">
        <v>1676</v>
      </c>
      <c r="JD7" t="s">
        <v>1170</v>
      </c>
      <c r="JE7" t="s">
        <v>1677</v>
      </c>
      <c r="JF7" t="s">
        <v>1069</v>
      </c>
      <c r="JG7" t="s">
        <v>9831</v>
      </c>
      <c r="JH7" t="s">
        <v>1678</v>
      </c>
      <c r="JI7" t="s">
        <v>10760</v>
      </c>
      <c r="JJ7" t="s">
        <v>1679</v>
      </c>
      <c r="JK7" t="s">
        <v>9832</v>
      </c>
      <c r="JL7" t="s">
        <v>1680</v>
      </c>
      <c r="JM7" t="s">
        <v>9880</v>
      </c>
      <c r="JN7" t="s">
        <v>1071</v>
      </c>
      <c r="JO7" t="s">
        <v>1072</v>
      </c>
      <c r="JP7" t="s">
        <v>10765</v>
      </c>
      <c r="JQ7" t="s">
        <v>1681</v>
      </c>
      <c r="JR7" t="s">
        <v>1368</v>
      </c>
      <c r="JS7" t="s">
        <v>11711</v>
      </c>
      <c r="JT7" t="s">
        <v>966</v>
      </c>
      <c r="JU7" t="s">
        <v>1682</v>
      </c>
      <c r="JV7" t="s">
        <v>1683</v>
      </c>
      <c r="JW7" t="s">
        <v>1181</v>
      </c>
      <c r="JX7" t="s">
        <v>14396</v>
      </c>
      <c r="JY7" t="s">
        <v>1684</v>
      </c>
      <c r="JZ7" t="s">
        <v>1374</v>
      </c>
      <c r="KA7" t="s">
        <v>1078</v>
      </c>
      <c r="KB7" t="s">
        <v>1182</v>
      </c>
      <c r="KC7" t="s">
        <v>10774</v>
      </c>
      <c r="KD7" t="s">
        <v>1686</v>
      </c>
      <c r="KE7" t="s">
        <v>9833</v>
      </c>
      <c r="KF7" t="s">
        <v>1687</v>
      </c>
      <c r="KG7" t="s">
        <v>14397</v>
      </c>
      <c r="KH7" t="s">
        <v>968</v>
      </c>
      <c r="KI7" t="s">
        <v>1688</v>
      </c>
      <c r="KJ7" t="s">
        <v>1380</v>
      </c>
      <c r="KK7" t="s">
        <v>1689</v>
      </c>
      <c r="KL7" t="s">
        <v>1690</v>
      </c>
      <c r="KM7" t="s">
        <v>1691</v>
      </c>
      <c r="KN7" t="s">
        <v>1080</v>
      </c>
      <c r="KO7" t="s">
        <v>1692</v>
      </c>
      <c r="KP7" t="s">
        <v>1693</v>
      </c>
      <c r="KQ7" t="s">
        <v>1694</v>
      </c>
      <c r="KR7" t="s">
        <v>1695</v>
      </c>
      <c r="KS7" t="s">
        <v>14377</v>
      </c>
      <c r="KT7" t="s">
        <v>1696</v>
      </c>
      <c r="KU7" t="s">
        <v>1697</v>
      </c>
      <c r="KV7" t="s">
        <v>1699</v>
      </c>
      <c r="KW7" t="s">
        <v>1700</v>
      </c>
      <c r="KX7" t="s">
        <v>1701</v>
      </c>
      <c r="KY7" t="s">
        <v>1398</v>
      </c>
      <c r="KZ7" t="s">
        <v>1399</v>
      </c>
      <c r="LA7" t="s">
        <v>981</v>
      </c>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row>
    <row r="8" spans="1:355" ht="15" x14ac:dyDescent="0.25">
      <c r="A8" t="s">
        <v>970</v>
      </c>
      <c r="B8" t="s">
        <v>287</v>
      </c>
      <c r="C8" t="s">
        <v>1195</v>
      </c>
      <c r="D8" t="s">
        <v>1196</v>
      </c>
      <c r="E8" t="s">
        <v>14398</v>
      </c>
      <c r="F8" t="s">
        <v>1702</v>
      </c>
      <c r="G8" t="s">
        <v>9834</v>
      </c>
      <c r="H8" t="s">
        <v>14399</v>
      </c>
      <c r="I8" t="s">
        <v>922</v>
      </c>
      <c r="J8" t="s">
        <v>924</v>
      </c>
      <c r="K8" t="s">
        <v>10568</v>
      </c>
      <c r="L8" t="s">
        <v>926</v>
      </c>
      <c r="M8" t="s">
        <v>929</v>
      </c>
      <c r="N8" t="s">
        <v>978</v>
      </c>
      <c r="O8" t="s">
        <v>1703</v>
      </c>
      <c r="P8" t="s">
        <v>1575</v>
      </c>
      <c r="Q8" t="s">
        <v>931</v>
      </c>
      <c r="R8" t="s">
        <v>10577</v>
      </c>
      <c r="S8" t="s">
        <v>9790</v>
      </c>
      <c r="T8" t="s">
        <v>1704</v>
      </c>
      <c r="U8" t="s">
        <v>9784</v>
      </c>
      <c r="V8" t="s">
        <v>14400</v>
      </c>
      <c r="W8" t="s">
        <v>1094</v>
      </c>
      <c r="X8" t="s">
        <v>1095</v>
      </c>
      <c r="Y8" t="s">
        <v>1212</v>
      </c>
      <c r="Z8" t="s">
        <v>1705</v>
      </c>
      <c r="AA8" t="s">
        <v>1581</v>
      </c>
      <c r="AB8" t="s">
        <v>1706</v>
      </c>
      <c r="AC8" t="s">
        <v>9835</v>
      </c>
      <c r="AD8" t="s">
        <v>9836</v>
      </c>
      <c r="AE8" t="s">
        <v>1708</v>
      </c>
      <c r="AF8" t="s">
        <v>1707</v>
      </c>
      <c r="AG8" t="s">
        <v>1709</v>
      </c>
      <c r="AH8" t="s">
        <v>983</v>
      </c>
      <c r="AI8" t="s">
        <v>1710</v>
      </c>
      <c r="AJ8" t="s">
        <v>10601</v>
      </c>
      <c r="AK8" t="s">
        <v>1711</v>
      </c>
      <c r="AL8" t="s">
        <v>9837</v>
      </c>
      <c r="AM8" t="s">
        <v>1712</v>
      </c>
      <c r="AN8" t="s">
        <v>1713</v>
      </c>
      <c r="AO8" t="s">
        <v>989</v>
      </c>
      <c r="AP8" t="s">
        <v>1715</v>
      </c>
      <c r="AQ8" t="s">
        <v>1716</v>
      </c>
      <c r="AR8" t="s">
        <v>1717</v>
      </c>
      <c r="AS8" t="s">
        <v>933</v>
      </c>
      <c r="AT8" t="s">
        <v>1718</v>
      </c>
      <c r="AU8" t="s">
        <v>1719</v>
      </c>
      <c r="AV8" t="s">
        <v>1720</v>
      </c>
      <c r="AW8" t="s">
        <v>1721</v>
      </c>
      <c r="AX8" t="s">
        <v>1722</v>
      </c>
      <c r="AY8" t="s">
        <v>1723</v>
      </c>
      <c r="AZ8" t="s">
        <v>1590</v>
      </c>
      <c r="BA8" t="s">
        <v>1724</v>
      </c>
      <c r="BB8" t="s">
        <v>1725</v>
      </c>
      <c r="BC8" t="s">
        <v>1726</v>
      </c>
      <c r="BD8" t="s">
        <v>996</v>
      </c>
      <c r="BE8" t="s">
        <v>10617</v>
      </c>
      <c r="BF8" t="s">
        <v>1727</v>
      </c>
      <c r="BG8" t="s">
        <v>1728</v>
      </c>
      <c r="BH8" t="s">
        <v>1729</v>
      </c>
      <c r="BI8" t="s">
        <v>1730</v>
      </c>
      <c r="BJ8" t="s">
        <v>935</v>
      </c>
      <c r="BK8" t="s">
        <v>11660</v>
      </c>
      <c r="BL8" t="s">
        <v>998</v>
      </c>
      <c r="BM8" t="s">
        <v>1731</v>
      </c>
      <c r="BN8" t="s">
        <v>1416</v>
      </c>
      <c r="BO8" t="s">
        <v>1732</v>
      </c>
      <c r="BP8" t="s">
        <v>1000</v>
      </c>
      <c r="BQ8" t="s">
        <v>1733</v>
      </c>
      <c r="BR8" t="s">
        <v>1734</v>
      </c>
      <c r="BS8" t="s">
        <v>1735</v>
      </c>
      <c r="BT8" t="s">
        <v>1485</v>
      </c>
      <c r="BU8" t="s">
        <v>10635</v>
      </c>
      <c r="BV8" t="s">
        <v>1736</v>
      </c>
      <c r="BW8" t="s">
        <v>1737</v>
      </c>
      <c r="BX8" t="s">
        <v>10638</v>
      </c>
      <c r="BY8" t="s">
        <v>10643</v>
      </c>
      <c r="BZ8" t="s">
        <v>1739</v>
      </c>
      <c r="CA8" t="s">
        <v>1008</v>
      </c>
      <c r="CB8" t="s">
        <v>11712</v>
      </c>
      <c r="CC8" t="s">
        <v>1010</v>
      </c>
      <c r="CD8" t="s">
        <v>937</v>
      </c>
      <c r="CE8" t="s">
        <v>1011</v>
      </c>
      <c r="CF8" t="s">
        <v>938</v>
      </c>
      <c r="CG8" t="s">
        <v>940</v>
      </c>
      <c r="CH8" t="s">
        <v>1013</v>
      </c>
      <c r="CI8" t="s">
        <v>1740</v>
      </c>
      <c r="CJ8" t="s">
        <v>1741</v>
      </c>
      <c r="CK8" t="s">
        <v>1018</v>
      </c>
      <c r="CL8" t="s">
        <v>10667</v>
      </c>
      <c r="CM8" t="s">
        <v>1126</v>
      </c>
      <c r="CN8" t="s">
        <v>1020</v>
      </c>
      <c r="CO8" t="s">
        <v>942</v>
      </c>
      <c r="CP8" t="s">
        <v>1742</v>
      </c>
      <c r="CQ8" t="s">
        <v>1025</v>
      </c>
      <c r="CR8" t="s">
        <v>10681</v>
      </c>
      <c r="CS8" t="s">
        <v>1743</v>
      </c>
      <c r="CT8" t="s">
        <v>11713</v>
      </c>
      <c r="CU8" t="s">
        <v>1744</v>
      </c>
      <c r="CV8" t="s">
        <v>1745</v>
      </c>
      <c r="CW8" t="s">
        <v>1296</v>
      </c>
      <c r="CX8" t="s">
        <v>943</v>
      </c>
      <c r="CY8" t="s">
        <v>1030</v>
      </c>
      <c r="CZ8" t="s">
        <v>945</v>
      </c>
      <c r="DA8" t="s">
        <v>1746</v>
      </c>
      <c r="DB8" t="s">
        <v>1747</v>
      </c>
      <c r="DC8" t="s">
        <v>1749</v>
      </c>
      <c r="DD8" t="s">
        <v>1302</v>
      </c>
      <c r="DE8" t="s">
        <v>1748</v>
      </c>
      <c r="DF8" t="s">
        <v>949</v>
      </c>
      <c r="DG8" t="s">
        <v>1135</v>
      </c>
      <c r="DH8" t="s">
        <v>1750</v>
      </c>
      <c r="DI8" t="s">
        <v>1751</v>
      </c>
      <c r="DJ8" t="s">
        <v>1752</v>
      </c>
      <c r="DK8" t="s">
        <v>1042</v>
      </c>
      <c r="DL8" t="s">
        <v>1044</v>
      </c>
      <c r="DM8" t="s">
        <v>951</v>
      </c>
      <c r="DN8" t="s">
        <v>1048</v>
      </c>
      <c r="DO8" t="s">
        <v>1049</v>
      </c>
      <c r="DP8" t="s">
        <v>1753</v>
      </c>
      <c r="DQ8" t="s">
        <v>1754</v>
      </c>
      <c r="DR8" t="s">
        <v>1755</v>
      </c>
      <c r="DS8" t="s">
        <v>1051</v>
      </c>
      <c r="DT8" t="s">
        <v>1756</v>
      </c>
      <c r="DU8" t="s">
        <v>953</v>
      </c>
      <c r="DV8" t="s">
        <v>1757</v>
      </c>
      <c r="DW8" t="s">
        <v>1758</v>
      </c>
      <c r="DX8" t="s">
        <v>1761</v>
      </c>
      <c r="DY8" t="s">
        <v>11720</v>
      </c>
      <c r="DZ8" t="s">
        <v>9788</v>
      </c>
      <c r="EA8" t="s">
        <v>1759</v>
      </c>
      <c r="EB8" t="s">
        <v>1056</v>
      </c>
      <c r="EC8" t="s">
        <v>1057</v>
      </c>
      <c r="ED8" t="s">
        <v>955</v>
      </c>
      <c r="EE8" t="s">
        <v>957</v>
      </c>
      <c r="EF8" t="s">
        <v>1760</v>
      </c>
      <c r="EG8" t="s">
        <v>1155</v>
      </c>
      <c r="EH8" t="s">
        <v>1762</v>
      </c>
      <c r="EI8" t="s">
        <v>1763</v>
      </c>
      <c r="EJ8" t="s">
        <v>14401</v>
      </c>
      <c r="EK8" t="s">
        <v>1660</v>
      </c>
      <c r="EL8" t="s">
        <v>1764</v>
      </c>
      <c r="EM8" t="s">
        <v>1765</v>
      </c>
      <c r="EN8" t="s">
        <v>11663</v>
      </c>
      <c r="EO8" t="s">
        <v>960</v>
      </c>
      <c r="EP8" t="s">
        <v>1766</v>
      </c>
      <c r="EQ8" t="s">
        <v>14374</v>
      </c>
      <c r="ER8" t="s">
        <v>1158</v>
      </c>
      <c r="ES8" t="s">
        <v>1062</v>
      </c>
      <c r="ET8" t="s">
        <v>962</v>
      </c>
      <c r="EU8" t="s">
        <v>1767</v>
      </c>
      <c r="EV8" t="s">
        <v>10810</v>
      </c>
      <c r="EW8" t="s">
        <v>964</v>
      </c>
      <c r="EX8" t="s">
        <v>1769</v>
      </c>
      <c r="EY8" t="s">
        <v>1353</v>
      </c>
      <c r="EZ8" t="s">
        <v>1770</v>
      </c>
      <c r="FA8" t="s">
        <v>1771</v>
      </c>
      <c r="FB8" t="s">
        <v>1772</v>
      </c>
      <c r="FC8" t="s">
        <v>1773</v>
      </c>
      <c r="FD8" t="s">
        <v>1774</v>
      </c>
      <c r="FE8" t="s">
        <v>10740</v>
      </c>
      <c r="FF8" t="s">
        <v>9838</v>
      </c>
      <c r="FG8" t="s">
        <v>1775</v>
      </c>
      <c r="FH8" t="s">
        <v>1776</v>
      </c>
      <c r="FI8" t="s">
        <v>1066</v>
      </c>
      <c r="FJ8" t="s">
        <v>1777</v>
      </c>
      <c r="FK8" t="s">
        <v>1778</v>
      </c>
      <c r="FL8" t="s">
        <v>1779</v>
      </c>
      <c r="FM8" t="s">
        <v>11714</v>
      </c>
      <c r="FN8" t="s">
        <v>1780</v>
      </c>
      <c r="FO8" t="s">
        <v>1781</v>
      </c>
      <c r="FP8" t="s">
        <v>1782</v>
      </c>
      <c r="FQ8" t="s">
        <v>11667</v>
      </c>
      <c r="FR8" t="s">
        <v>10757</v>
      </c>
      <c r="FS8" t="s">
        <v>1783</v>
      </c>
      <c r="FT8" t="s">
        <v>1784</v>
      </c>
      <c r="FU8" t="s">
        <v>1069</v>
      </c>
      <c r="FV8" t="s">
        <v>1785</v>
      </c>
      <c r="FW8" t="s">
        <v>9839</v>
      </c>
      <c r="FX8" t="s">
        <v>10812</v>
      </c>
      <c r="FY8" t="s">
        <v>1786</v>
      </c>
      <c r="FZ8" t="s">
        <v>1071</v>
      </c>
      <c r="GA8" t="s">
        <v>1072</v>
      </c>
      <c r="GB8" t="s">
        <v>1787</v>
      </c>
      <c r="GC8" t="s">
        <v>966</v>
      </c>
      <c r="GD8" t="s">
        <v>1788</v>
      </c>
      <c r="GE8" t="s">
        <v>9840</v>
      </c>
      <c r="GF8" t="s">
        <v>1684</v>
      </c>
      <c r="GG8" t="s">
        <v>1789</v>
      </c>
      <c r="GH8" t="s">
        <v>1078</v>
      </c>
      <c r="GI8" t="s">
        <v>1790</v>
      </c>
      <c r="GJ8" t="s">
        <v>1791</v>
      </c>
      <c r="GK8" t="s">
        <v>968</v>
      </c>
      <c r="GL8" t="s">
        <v>10813</v>
      </c>
      <c r="GM8" t="s">
        <v>1792</v>
      </c>
      <c r="GN8" t="s">
        <v>1080</v>
      </c>
      <c r="GO8" t="s">
        <v>1793</v>
      </c>
      <c r="GP8" t="s">
        <v>1794</v>
      </c>
      <c r="GQ8" t="s">
        <v>11715</v>
      </c>
      <c r="GR8" t="s">
        <v>14377</v>
      </c>
      <c r="GS8" t="s">
        <v>11716</v>
      </c>
      <c r="GT8" t="s">
        <v>10786</v>
      </c>
      <c r="GU8" t="s">
        <v>1795</v>
      </c>
      <c r="GV8" t="s">
        <v>1796</v>
      </c>
      <c r="GW8" t="s">
        <v>981</v>
      </c>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row>
    <row r="9" spans="1:355" ht="15" x14ac:dyDescent="0.25">
      <c r="A9" t="s">
        <v>970</v>
      </c>
      <c r="B9" t="s">
        <v>288</v>
      </c>
      <c r="C9" t="s">
        <v>1797</v>
      </c>
      <c r="D9" t="s">
        <v>974</v>
      </c>
      <c r="E9" t="s">
        <v>926</v>
      </c>
      <c r="F9" t="s">
        <v>1452</v>
      </c>
      <c r="G9" t="s">
        <v>1798</v>
      </c>
      <c r="H9" t="s">
        <v>929</v>
      </c>
      <c r="I9" t="s">
        <v>978</v>
      </c>
      <c r="J9" t="s">
        <v>1703</v>
      </c>
      <c r="K9" t="s">
        <v>1456</v>
      </c>
      <c r="L9" t="s">
        <v>9790</v>
      </c>
      <c r="M9" t="s">
        <v>1458</v>
      </c>
      <c r="N9" t="s">
        <v>1799</v>
      </c>
      <c r="O9" t="s">
        <v>11687</v>
      </c>
      <c r="P9" t="s">
        <v>14402</v>
      </c>
      <c r="Q9" t="s">
        <v>9784</v>
      </c>
      <c r="R9" t="s">
        <v>1800</v>
      </c>
      <c r="S9" t="s">
        <v>1801</v>
      </c>
      <c r="T9" t="s">
        <v>1094</v>
      </c>
      <c r="U9" t="s">
        <v>1802</v>
      </c>
      <c r="V9" t="s">
        <v>1095</v>
      </c>
      <c r="W9" t="s">
        <v>1212</v>
      </c>
      <c r="X9" t="s">
        <v>1803</v>
      </c>
      <c r="Y9" t="s">
        <v>10584</v>
      </c>
      <c r="Z9" t="s">
        <v>1804</v>
      </c>
      <c r="AA9" t="s">
        <v>1805</v>
      </c>
      <c r="AB9" t="s">
        <v>1806</v>
      </c>
      <c r="AC9" t="s">
        <v>1807</v>
      </c>
      <c r="AD9" t="s">
        <v>982</v>
      </c>
      <c r="AE9" t="s">
        <v>983</v>
      </c>
      <c r="AF9" t="s">
        <v>1808</v>
      </c>
      <c r="AG9" t="s">
        <v>1809</v>
      </c>
      <c r="AH9" t="s">
        <v>1810</v>
      </c>
      <c r="AI9" t="s">
        <v>1811</v>
      </c>
      <c r="AJ9" t="s">
        <v>1812</v>
      </c>
      <c r="AK9" t="s">
        <v>989</v>
      </c>
      <c r="AL9" t="s">
        <v>11717</v>
      </c>
      <c r="AM9" t="s">
        <v>1715</v>
      </c>
      <c r="AN9" t="s">
        <v>933</v>
      </c>
      <c r="AO9" t="s">
        <v>11718</v>
      </c>
      <c r="AP9" t="s">
        <v>1814</v>
      </c>
      <c r="AQ9" t="s">
        <v>9841</v>
      </c>
      <c r="AR9" t="s">
        <v>1590</v>
      </c>
      <c r="AS9" t="s">
        <v>1815</v>
      </c>
      <c r="AT9" t="s">
        <v>991</v>
      </c>
      <c r="AU9" t="s">
        <v>996</v>
      </c>
      <c r="AV9" t="s">
        <v>997</v>
      </c>
      <c r="AW9" t="s">
        <v>10623</v>
      </c>
      <c r="AX9" t="s">
        <v>1729</v>
      </c>
      <c r="AY9" t="s">
        <v>1816</v>
      </c>
      <c r="AZ9" t="s">
        <v>935</v>
      </c>
      <c r="BA9" t="s">
        <v>1817</v>
      </c>
      <c r="BB9" t="s">
        <v>11660</v>
      </c>
      <c r="BC9" t="s">
        <v>1818</v>
      </c>
      <c r="BD9" t="s">
        <v>1603</v>
      </c>
      <c r="BE9" t="s">
        <v>1416</v>
      </c>
      <c r="BF9" t="s">
        <v>1000</v>
      </c>
      <c r="BG9" t="s">
        <v>10630</v>
      </c>
      <c r="BH9" t="s">
        <v>1001</v>
      </c>
      <c r="BI9" t="s">
        <v>1485</v>
      </c>
      <c r="BJ9" t="s">
        <v>1819</v>
      </c>
      <c r="BK9" t="s">
        <v>10638</v>
      </c>
      <c r="BL9" t="s">
        <v>1006</v>
      </c>
      <c r="BM9" t="s">
        <v>10643</v>
      </c>
      <c r="BN9" t="s">
        <v>10645</v>
      </c>
      <c r="BO9" t="s">
        <v>1008</v>
      </c>
      <c r="BP9" t="s">
        <v>1009</v>
      </c>
      <c r="BQ9" t="s">
        <v>1820</v>
      </c>
      <c r="BR9" t="s">
        <v>1821</v>
      </c>
      <c r="BS9" t="s">
        <v>1822</v>
      </c>
      <c r="BT9" t="s">
        <v>1823</v>
      </c>
      <c r="BU9" t="s">
        <v>937</v>
      </c>
      <c r="BV9" t="s">
        <v>1824</v>
      </c>
      <c r="BW9" t="s">
        <v>1011</v>
      </c>
      <c r="BX9" t="s">
        <v>1825</v>
      </c>
      <c r="BY9" t="s">
        <v>938</v>
      </c>
      <c r="BZ9" t="s">
        <v>10652</v>
      </c>
      <c r="CA9" t="s">
        <v>1493</v>
      </c>
      <c r="CB9" t="s">
        <v>940</v>
      </c>
      <c r="CC9" t="s">
        <v>1422</v>
      </c>
      <c r="CD9" t="s">
        <v>1423</v>
      </c>
      <c r="CE9" t="s">
        <v>1013</v>
      </c>
      <c r="CF9" t="s">
        <v>9819</v>
      </c>
      <c r="CG9" t="s">
        <v>9820</v>
      </c>
      <c r="CH9" t="s">
        <v>1018</v>
      </c>
      <c r="CI9" t="s">
        <v>10667</v>
      </c>
      <c r="CJ9" t="s">
        <v>1126</v>
      </c>
      <c r="CK9" t="s">
        <v>1826</v>
      </c>
      <c r="CL9" t="s">
        <v>1025</v>
      </c>
      <c r="CM9" t="s">
        <v>1026</v>
      </c>
      <c r="CN9" t="s">
        <v>1293</v>
      </c>
      <c r="CO9" t="s">
        <v>1827</v>
      </c>
      <c r="CP9" t="s">
        <v>10681</v>
      </c>
      <c r="CQ9" t="s">
        <v>1828</v>
      </c>
      <c r="CR9" t="s">
        <v>1028</v>
      </c>
      <c r="CS9" t="s">
        <v>1745</v>
      </c>
      <c r="CT9" t="s">
        <v>1296</v>
      </c>
      <c r="CU9" t="s">
        <v>943</v>
      </c>
      <c r="CV9" t="s">
        <v>1030</v>
      </c>
      <c r="CW9" t="s">
        <v>1516</v>
      </c>
      <c r="CX9" t="s">
        <v>1031</v>
      </c>
      <c r="CY9" t="s">
        <v>1747</v>
      </c>
      <c r="CZ9" t="s">
        <v>1033</v>
      </c>
      <c r="DA9" t="s">
        <v>1829</v>
      </c>
      <c r="DB9" t="s">
        <v>1302</v>
      </c>
      <c r="DC9" t="s">
        <v>1830</v>
      </c>
      <c r="DD9" t="s">
        <v>11719</v>
      </c>
      <c r="DE9" t="s">
        <v>9827</v>
      </c>
      <c r="DF9" t="s">
        <v>1136</v>
      </c>
      <c r="DG9" t="s">
        <v>1041</v>
      </c>
      <c r="DH9" t="s">
        <v>9787</v>
      </c>
      <c r="DI9" t="s">
        <v>1042</v>
      </c>
      <c r="DJ9" t="s">
        <v>1831</v>
      </c>
      <c r="DK9" t="s">
        <v>1043</v>
      </c>
      <c r="DL9" t="s">
        <v>1044</v>
      </c>
      <c r="DM9" t="s">
        <v>1144</v>
      </c>
      <c r="DN9" t="s">
        <v>1047</v>
      </c>
      <c r="DO9" t="s">
        <v>951</v>
      </c>
      <c r="DP9" t="s">
        <v>1048</v>
      </c>
      <c r="DQ9" t="s">
        <v>1832</v>
      </c>
      <c r="DR9" t="s">
        <v>1049</v>
      </c>
      <c r="DS9" t="s">
        <v>1525</v>
      </c>
      <c r="DT9" t="s">
        <v>1051</v>
      </c>
      <c r="DU9" t="s">
        <v>1436</v>
      </c>
      <c r="DV9" t="s">
        <v>1833</v>
      </c>
      <c r="DW9" t="s">
        <v>1834</v>
      </c>
      <c r="DX9" t="s">
        <v>953</v>
      </c>
      <c r="DY9" t="s">
        <v>1758</v>
      </c>
      <c r="DZ9" t="s">
        <v>11720</v>
      </c>
      <c r="EA9" t="s">
        <v>9788</v>
      </c>
      <c r="EB9" t="s">
        <v>1056</v>
      </c>
      <c r="EC9" t="s">
        <v>1835</v>
      </c>
      <c r="ED9" t="s">
        <v>1057</v>
      </c>
      <c r="EE9" t="s">
        <v>955</v>
      </c>
      <c r="EF9" t="s">
        <v>1836</v>
      </c>
      <c r="EG9" t="s">
        <v>1838</v>
      </c>
      <c r="EH9" t="s">
        <v>1839</v>
      </c>
      <c r="EI9" t="s">
        <v>1840</v>
      </c>
      <c r="EJ9" t="s">
        <v>1841</v>
      </c>
      <c r="EK9" t="s">
        <v>9842</v>
      </c>
      <c r="EL9" t="s">
        <v>1842</v>
      </c>
      <c r="EM9" t="s">
        <v>1843</v>
      </c>
      <c r="EN9" t="s">
        <v>1844</v>
      </c>
      <c r="EO9" t="s">
        <v>1845</v>
      </c>
      <c r="EP9" t="s">
        <v>1846</v>
      </c>
      <c r="EQ9" t="s">
        <v>11663</v>
      </c>
      <c r="ER9" t="s">
        <v>14374</v>
      </c>
      <c r="ES9" t="s">
        <v>1847</v>
      </c>
      <c r="ET9" t="s">
        <v>1848</v>
      </c>
      <c r="EU9" t="s">
        <v>1849</v>
      </c>
      <c r="EV9" t="s">
        <v>1850</v>
      </c>
      <c r="EW9" t="s">
        <v>1851</v>
      </c>
      <c r="EX9" t="s">
        <v>1062</v>
      </c>
      <c r="EY9" t="s">
        <v>962</v>
      </c>
      <c r="EZ9" t="s">
        <v>11721</v>
      </c>
      <c r="FA9" t="s">
        <v>1063</v>
      </c>
      <c r="FB9" t="s">
        <v>1852</v>
      </c>
      <c r="FC9" t="s">
        <v>1353</v>
      </c>
      <c r="FD9" t="s">
        <v>11722</v>
      </c>
      <c r="FE9" t="s">
        <v>1066</v>
      </c>
      <c r="FF9" t="s">
        <v>1853</v>
      </c>
      <c r="FG9" t="s">
        <v>1854</v>
      </c>
      <c r="FH9" t="s">
        <v>1855</v>
      </c>
      <c r="FI9" t="s">
        <v>1856</v>
      </c>
      <c r="FJ9" t="s">
        <v>9843</v>
      </c>
      <c r="FK9" t="s">
        <v>1857</v>
      </c>
      <c r="FL9" t="s">
        <v>1068</v>
      </c>
      <c r="FM9" t="s">
        <v>11667</v>
      </c>
      <c r="FN9" t="s">
        <v>1069</v>
      </c>
      <c r="FO9" t="s">
        <v>1858</v>
      </c>
      <c r="FP9" t="s">
        <v>10758</v>
      </c>
      <c r="FQ9" t="s">
        <v>9844</v>
      </c>
      <c r="FR9" t="s">
        <v>9845</v>
      </c>
      <c r="FS9" t="s">
        <v>1859</v>
      </c>
      <c r="FT9" t="s">
        <v>1860</v>
      </c>
      <c r="FU9" t="s">
        <v>1072</v>
      </c>
      <c r="FV9" t="s">
        <v>1861</v>
      </c>
      <c r="FW9" t="s">
        <v>1076</v>
      </c>
      <c r="FX9" t="s">
        <v>1862</v>
      </c>
      <c r="FY9" t="s">
        <v>1077</v>
      </c>
      <c r="FZ9" t="s">
        <v>1863</v>
      </c>
      <c r="GA9" t="s">
        <v>1078</v>
      </c>
      <c r="GB9" t="s">
        <v>1079</v>
      </c>
      <c r="GC9" t="s">
        <v>1182</v>
      </c>
      <c r="GD9" t="s">
        <v>14389</v>
      </c>
      <c r="GE9" t="s">
        <v>1790</v>
      </c>
      <c r="GF9" t="s">
        <v>1864</v>
      </c>
      <c r="GG9" t="s">
        <v>1865</v>
      </c>
      <c r="GH9" t="s">
        <v>1866</v>
      </c>
      <c r="GI9" t="s">
        <v>11684</v>
      </c>
      <c r="GJ9" t="s">
        <v>1080</v>
      </c>
      <c r="GK9" t="s">
        <v>1867</v>
      </c>
      <c r="GL9" t="s">
        <v>14377</v>
      </c>
      <c r="GM9" t="s">
        <v>10784</v>
      </c>
      <c r="GN9" t="s">
        <v>9846</v>
      </c>
      <c r="GO9" t="s">
        <v>1868</v>
      </c>
      <c r="GP9" t="s">
        <v>1869</v>
      </c>
      <c r="GQ9" t="s">
        <v>1795</v>
      </c>
      <c r="GR9" t="s">
        <v>1871</v>
      </c>
      <c r="GS9" t="s">
        <v>9847</v>
      </c>
      <c r="GT9" t="s">
        <v>1870</v>
      </c>
      <c r="GU9" t="s">
        <v>1083</v>
      </c>
      <c r="GV9" t="s">
        <v>981</v>
      </c>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row>
    <row r="10" spans="1:355" ht="15" x14ac:dyDescent="0.25">
      <c r="A10" t="s">
        <v>970</v>
      </c>
      <c r="B10" t="s">
        <v>882</v>
      </c>
      <c r="C10" t="s">
        <v>1016</v>
      </c>
      <c r="D10" t="s">
        <v>11723</v>
      </c>
      <c r="E10" t="s">
        <v>1872</v>
      </c>
      <c r="F10" t="s">
        <v>971</v>
      </c>
      <c r="G10" t="s">
        <v>972</v>
      </c>
      <c r="H10" t="s">
        <v>973</v>
      </c>
      <c r="I10" t="s">
        <v>926</v>
      </c>
      <c r="J10" t="s">
        <v>975</v>
      </c>
      <c r="K10" t="s">
        <v>1452</v>
      </c>
      <c r="L10" t="s">
        <v>929</v>
      </c>
      <c r="M10" t="s">
        <v>976</v>
      </c>
      <c r="N10" t="s">
        <v>978</v>
      </c>
      <c r="O10" t="s">
        <v>9790</v>
      </c>
      <c r="P10" t="s">
        <v>1458</v>
      </c>
      <c r="Q10" t="s">
        <v>9784</v>
      </c>
      <c r="R10" t="s">
        <v>1408</v>
      </c>
      <c r="S10" t="s">
        <v>1095</v>
      </c>
      <c r="T10" t="s">
        <v>1212</v>
      </c>
      <c r="U10" t="s">
        <v>1873</v>
      </c>
      <c r="V10" t="s">
        <v>10586</v>
      </c>
      <c r="W10" t="s">
        <v>1874</v>
      </c>
      <c r="X10" t="s">
        <v>1411</v>
      </c>
      <c r="Y10" t="s">
        <v>14403</v>
      </c>
      <c r="Z10" t="s">
        <v>14404</v>
      </c>
      <c r="AA10" t="s">
        <v>14405</v>
      </c>
      <c r="AB10" t="s">
        <v>1875</v>
      </c>
      <c r="AC10" t="s">
        <v>985</v>
      </c>
      <c r="AD10" t="s">
        <v>1412</v>
      </c>
      <c r="AE10" t="s">
        <v>1219</v>
      </c>
      <c r="AF10" t="s">
        <v>1876</v>
      </c>
      <c r="AG10" t="s">
        <v>9848</v>
      </c>
      <c r="AH10" t="s">
        <v>1877</v>
      </c>
      <c r="AI10" t="s">
        <v>989</v>
      </c>
      <c r="AJ10" t="s">
        <v>933</v>
      </c>
      <c r="AK10" t="s">
        <v>1878</v>
      </c>
      <c r="AL10" t="s">
        <v>1879</v>
      </c>
      <c r="AM10" t="s">
        <v>1880</v>
      </c>
      <c r="AN10" t="s">
        <v>991</v>
      </c>
      <c r="AO10" t="s">
        <v>996</v>
      </c>
      <c r="AP10" t="s">
        <v>1881</v>
      </c>
      <c r="AQ10" t="s">
        <v>997</v>
      </c>
      <c r="AR10" t="s">
        <v>1882</v>
      </c>
      <c r="AS10" t="s">
        <v>11660</v>
      </c>
      <c r="AT10" t="s">
        <v>1416</v>
      </c>
      <c r="AU10" t="s">
        <v>1483</v>
      </c>
      <c r="AV10" t="s">
        <v>11724</v>
      </c>
      <c r="AW10" t="s">
        <v>1883</v>
      </c>
      <c r="AX10" t="s">
        <v>1001</v>
      </c>
      <c r="AY10" t="s">
        <v>1884</v>
      </c>
      <c r="AZ10" t="s">
        <v>1485</v>
      </c>
      <c r="BA10" t="s">
        <v>1885</v>
      </c>
      <c r="BB10" t="s">
        <v>10638</v>
      </c>
      <c r="BC10" t="s">
        <v>1886</v>
      </c>
      <c r="BD10" t="s">
        <v>1887</v>
      </c>
      <c r="BE10" t="s">
        <v>1006</v>
      </c>
      <c r="BF10" t="s">
        <v>11725</v>
      </c>
      <c r="BG10" t="s">
        <v>1008</v>
      </c>
      <c r="BH10" t="s">
        <v>1009</v>
      </c>
      <c r="BI10" t="s">
        <v>10650</v>
      </c>
      <c r="BJ10" t="s">
        <v>1888</v>
      </c>
      <c r="BK10" t="s">
        <v>1889</v>
      </c>
      <c r="BL10" t="s">
        <v>1890</v>
      </c>
      <c r="BM10" t="s">
        <v>1419</v>
      </c>
      <c r="BN10" t="s">
        <v>937</v>
      </c>
      <c r="BO10" t="s">
        <v>1891</v>
      </c>
      <c r="BP10" t="s">
        <v>1011</v>
      </c>
      <c r="BQ10" t="s">
        <v>938</v>
      </c>
      <c r="BR10" t="s">
        <v>940</v>
      </c>
      <c r="BS10" t="s">
        <v>1893</v>
      </c>
      <c r="BT10" t="s">
        <v>1894</v>
      </c>
      <c r="BU10" t="s">
        <v>1895</v>
      </c>
      <c r="BV10" t="s">
        <v>1896</v>
      </c>
      <c r="BW10" t="s">
        <v>1892</v>
      </c>
      <c r="BX10" t="s">
        <v>1422</v>
      </c>
      <c r="BY10" t="s">
        <v>11726</v>
      </c>
      <c r="BZ10" t="s">
        <v>1423</v>
      </c>
      <c r="CA10" t="s">
        <v>1013</v>
      </c>
      <c r="CB10" t="s">
        <v>1897</v>
      </c>
      <c r="CC10" t="s">
        <v>1496</v>
      </c>
      <c r="CD10" t="s">
        <v>9819</v>
      </c>
      <c r="CE10" t="s">
        <v>1898</v>
      </c>
      <c r="CF10" t="s">
        <v>1899</v>
      </c>
      <c r="CG10" t="s">
        <v>1426</v>
      </c>
      <c r="CH10" t="s">
        <v>1427</v>
      </c>
      <c r="CI10" t="s">
        <v>1900</v>
      </c>
      <c r="CJ10" t="s">
        <v>1017</v>
      </c>
      <c r="CK10" t="s">
        <v>1901</v>
      </c>
      <c r="CL10" t="s">
        <v>1018</v>
      </c>
      <c r="CM10" t="s">
        <v>1019</v>
      </c>
      <c r="CN10" t="s">
        <v>1902</v>
      </c>
      <c r="CO10" t="s">
        <v>10667</v>
      </c>
      <c r="CP10" t="s">
        <v>1126</v>
      </c>
      <c r="CQ10" t="s">
        <v>1020</v>
      </c>
      <c r="CR10" t="s">
        <v>1022</v>
      </c>
      <c r="CS10" t="s">
        <v>1023</v>
      </c>
      <c r="CT10" t="s">
        <v>1026</v>
      </c>
      <c r="CU10" t="s">
        <v>1510</v>
      </c>
      <c r="CV10" t="s">
        <v>10681</v>
      </c>
      <c r="CW10" t="s">
        <v>1903</v>
      </c>
      <c r="CX10" t="s">
        <v>1904</v>
      </c>
      <c r="CY10" t="s">
        <v>1296</v>
      </c>
      <c r="CZ10" t="s">
        <v>943</v>
      </c>
      <c r="DA10" t="s">
        <v>1516</v>
      </c>
      <c r="DB10" t="s">
        <v>1031</v>
      </c>
      <c r="DC10" t="s">
        <v>1302</v>
      </c>
      <c r="DD10" t="s">
        <v>1433</v>
      </c>
      <c r="DE10" t="s">
        <v>949</v>
      </c>
      <c r="DF10" t="s">
        <v>1039</v>
      </c>
      <c r="DG10" t="s">
        <v>1144</v>
      </c>
      <c r="DH10" t="s">
        <v>1046</v>
      </c>
      <c r="DI10" t="s">
        <v>1047</v>
      </c>
      <c r="DJ10" t="s">
        <v>1905</v>
      </c>
      <c r="DK10" t="s">
        <v>1906</v>
      </c>
      <c r="DL10" t="s">
        <v>951</v>
      </c>
      <c r="DM10" t="s">
        <v>1048</v>
      </c>
      <c r="DN10" t="s">
        <v>1049</v>
      </c>
      <c r="DO10" t="s">
        <v>1050</v>
      </c>
      <c r="DP10" t="s">
        <v>1051</v>
      </c>
      <c r="DQ10" t="s">
        <v>1436</v>
      </c>
      <c r="DR10" t="s">
        <v>953</v>
      </c>
      <c r="DS10" t="s">
        <v>1907</v>
      </c>
      <c r="DT10" t="s">
        <v>1908</v>
      </c>
      <c r="DU10" t="s">
        <v>11720</v>
      </c>
      <c r="DV10" t="s">
        <v>9788</v>
      </c>
      <c r="DW10" t="s">
        <v>1056</v>
      </c>
      <c r="DX10" t="s">
        <v>1057</v>
      </c>
      <c r="DY10" t="s">
        <v>955</v>
      </c>
      <c r="DZ10" t="s">
        <v>1060</v>
      </c>
      <c r="EA10" t="s">
        <v>11663</v>
      </c>
      <c r="EB10" t="s">
        <v>14374</v>
      </c>
      <c r="EC10" t="s">
        <v>1909</v>
      </c>
      <c r="ED10" t="s">
        <v>9849</v>
      </c>
      <c r="EE10" t="s">
        <v>962</v>
      </c>
      <c r="EF10" t="s">
        <v>1442</v>
      </c>
      <c r="EG10" t="s">
        <v>1910</v>
      </c>
      <c r="EH10" t="s">
        <v>1911</v>
      </c>
      <c r="EI10" t="s">
        <v>1353</v>
      </c>
      <c r="EJ10" t="s">
        <v>11727</v>
      </c>
      <c r="EK10" t="s">
        <v>1066</v>
      </c>
      <c r="EL10" t="s">
        <v>1912</v>
      </c>
      <c r="EM10" t="s">
        <v>1913</v>
      </c>
      <c r="EN10" t="s">
        <v>9874</v>
      </c>
      <c r="EO10" t="s">
        <v>14406</v>
      </c>
      <c r="EP10" t="s">
        <v>1069</v>
      </c>
      <c r="EQ10" t="s">
        <v>1914</v>
      </c>
      <c r="ER10" t="s">
        <v>1915</v>
      </c>
      <c r="ES10" t="s">
        <v>1916</v>
      </c>
      <c r="ET10" t="s">
        <v>1071</v>
      </c>
      <c r="EU10" t="s">
        <v>1072</v>
      </c>
      <c r="EV10" t="s">
        <v>1917</v>
      </c>
      <c r="EW10" t="s">
        <v>9883</v>
      </c>
      <c r="EX10" t="s">
        <v>1918</v>
      </c>
      <c r="EY10" t="s">
        <v>1180</v>
      </c>
      <c r="EZ10" t="s">
        <v>1075</v>
      </c>
      <c r="FA10" t="s">
        <v>1684</v>
      </c>
      <c r="FB10" t="s">
        <v>1078</v>
      </c>
      <c r="FC10" t="s">
        <v>1919</v>
      </c>
      <c r="FD10" t="s">
        <v>1920</v>
      </c>
      <c r="FE10" t="s">
        <v>1921</v>
      </c>
      <c r="FF10" t="s">
        <v>1080</v>
      </c>
      <c r="FG10" t="s">
        <v>1922</v>
      </c>
      <c r="FH10" t="s">
        <v>11728</v>
      </c>
      <c r="FI10" t="s">
        <v>10787</v>
      </c>
      <c r="FJ10" t="s">
        <v>1563</v>
      </c>
      <c r="FK10" t="s">
        <v>1083</v>
      </c>
      <c r="FL10" t="s">
        <v>981</v>
      </c>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row>
    <row r="11" spans="1:355" customFormat="1" ht="15" x14ac:dyDescent="0.25">
      <c r="A11" t="s">
        <v>291</v>
      </c>
      <c r="B11" t="s">
        <v>290</v>
      </c>
      <c r="C11" t="s">
        <v>1565</v>
      </c>
      <c r="D11" t="s">
        <v>933</v>
      </c>
      <c r="E11" t="s">
        <v>1008</v>
      </c>
      <c r="F11" t="s">
        <v>938</v>
      </c>
      <c r="G11" t="s">
        <v>940</v>
      </c>
      <c r="H11" t="s">
        <v>1012</v>
      </c>
      <c r="I11" t="s">
        <v>1025</v>
      </c>
      <c r="J11" t="s">
        <v>943</v>
      </c>
      <c r="K11" t="s">
        <v>945</v>
      </c>
      <c r="L11" t="s">
        <v>1041</v>
      </c>
      <c r="M11" t="s">
        <v>955</v>
      </c>
      <c r="N11" t="s">
        <v>1661</v>
      </c>
      <c r="O11" t="s">
        <v>11663</v>
      </c>
      <c r="P11" t="s">
        <v>962</v>
      </c>
      <c r="Q11" t="s">
        <v>1676</v>
      </c>
      <c r="R11" t="s">
        <v>1069</v>
      </c>
      <c r="S11" t="s">
        <v>968</v>
      </c>
      <c r="T11" t="s">
        <v>1080</v>
      </c>
      <c r="U11" t="s">
        <v>1697</v>
      </c>
    </row>
    <row r="12" spans="1:355" customFormat="1" ht="15" x14ac:dyDescent="0.25">
      <c r="A12" t="s">
        <v>293</v>
      </c>
      <c r="B12" t="s">
        <v>292</v>
      </c>
      <c r="C12" t="s">
        <v>973</v>
      </c>
      <c r="D12" t="s">
        <v>974</v>
      </c>
      <c r="E12" t="s">
        <v>926</v>
      </c>
      <c r="F12" t="s">
        <v>929</v>
      </c>
      <c r="G12" t="s">
        <v>997</v>
      </c>
      <c r="H12" t="s">
        <v>1001</v>
      </c>
      <c r="I12" t="s">
        <v>1003</v>
      </c>
      <c r="J12" t="s">
        <v>10638</v>
      </c>
      <c r="K12" t="s">
        <v>937</v>
      </c>
      <c r="L12" t="s">
        <v>938</v>
      </c>
      <c r="M12" t="s">
        <v>1026</v>
      </c>
      <c r="N12" t="s">
        <v>10681</v>
      </c>
      <c r="O12" t="s">
        <v>943</v>
      </c>
      <c r="P12" t="s">
        <v>1038</v>
      </c>
      <c r="Q12" t="s">
        <v>1042</v>
      </c>
      <c r="R12" t="s">
        <v>1046</v>
      </c>
      <c r="S12" t="s">
        <v>951</v>
      </c>
      <c r="T12" t="s">
        <v>1048</v>
      </c>
      <c r="U12" t="s">
        <v>1049</v>
      </c>
      <c r="V12" t="s">
        <v>1051</v>
      </c>
      <c r="W12" t="s">
        <v>953</v>
      </c>
      <c r="X12" t="s">
        <v>11720</v>
      </c>
      <c r="Y12" t="s">
        <v>9788</v>
      </c>
      <c r="Z12" t="s">
        <v>1058</v>
      </c>
      <c r="AA12" t="s">
        <v>14374</v>
      </c>
      <c r="AB12" t="s">
        <v>962</v>
      </c>
      <c r="AC12" t="s">
        <v>1069</v>
      </c>
      <c r="AD12" t="s">
        <v>1072</v>
      </c>
      <c r="AE12" t="s">
        <v>1074</v>
      </c>
      <c r="AF12" t="s">
        <v>1082</v>
      </c>
    </row>
    <row r="13" spans="1:355" customFormat="1" ht="15" x14ac:dyDescent="0.25">
      <c r="A13" t="s">
        <v>295</v>
      </c>
      <c r="B13" t="s">
        <v>294</v>
      </c>
      <c r="C13" t="s">
        <v>924</v>
      </c>
      <c r="D13" t="s">
        <v>929</v>
      </c>
      <c r="E13" t="s">
        <v>1575</v>
      </c>
      <c r="F13" t="s">
        <v>931</v>
      </c>
      <c r="G13" t="s">
        <v>933</v>
      </c>
      <c r="H13" t="s">
        <v>1416</v>
      </c>
      <c r="I13" t="s">
        <v>10638</v>
      </c>
      <c r="J13" t="s">
        <v>1010</v>
      </c>
      <c r="K13" t="s">
        <v>937</v>
      </c>
      <c r="L13" t="s">
        <v>938</v>
      </c>
      <c r="M13" t="s">
        <v>940</v>
      </c>
      <c r="N13" t="s">
        <v>1012</v>
      </c>
      <c r="O13" t="s">
        <v>11755</v>
      </c>
      <c r="P13" t="s">
        <v>11705</v>
      </c>
      <c r="Q13" t="s">
        <v>1025</v>
      </c>
      <c r="R13" t="s">
        <v>1628</v>
      </c>
      <c r="S13" t="s">
        <v>945</v>
      </c>
      <c r="T13" t="s">
        <v>949</v>
      </c>
      <c r="U13" t="s">
        <v>1043</v>
      </c>
      <c r="V13" t="s">
        <v>1146</v>
      </c>
      <c r="W13" t="s">
        <v>951</v>
      </c>
      <c r="X13" t="s">
        <v>953</v>
      </c>
      <c r="Y13" t="s">
        <v>11720</v>
      </c>
      <c r="Z13" t="s">
        <v>9788</v>
      </c>
      <c r="AA13" t="s">
        <v>955</v>
      </c>
      <c r="AB13" t="s">
        <v>1654</v>
      </c>
      <c r="AC13" t="s">
        <v>1661</v>
      </c>
      <c r="AD13" t="s">
        <v>1341</v>
      </c>
      <c r="AE13" t="s">
        <v>11663</v>
      </c>
      <c r="AF13" t="s">
        <v>960</v>
      </c>
      <c r="AG13" t="s">
        <v>14374</v>
      </c>
      <c r="AH13" t="s">
        <v>9829</v>
      </c>
      <c r="AI13" t="s">
        <v>962</v>
      </c>
      <c r="AJ13" t="s">
        <v>964</v>
      </c>
      <c r="AK13" t="s">
        <v>1069</v>
      </c>
      <c r="AL13" t="s">
        <v>1182</v>
      </c>
      <c r="AM13" t="s">
        <v>968</v>
      </c>
      <c r="AN13" t="s">
        <v>1380</v>
      </c>
      <c r="AO13" t="s">
        <v>1697</v>
      </c>
    </row>
    <row r="14" spans="1:355" customFormat="1" ht="15" x14ac:dyDescent="0.25">
      <c r="A14" t="s">
        <v>297</v>
      </c>
      <c r="B14" t="s">
        <v>296</v>
      </c>
      <c r="C14" t="s">
        <v>972</v>
      </c>
      <c r="D14" t="s">
        <v>929</v>
      </c>
      <c r="E14" t="s">
        <v>9784</v>
      </c>
      <c r="F14" t="s">
        <v>997</v>
      </c>
      <c r="G14" t="s">
        <v>1001</v>
      </c>
      <c r="H14" t="s">
        <v>1003</v>
      </c>
      <c r="I14" t="s">
        <v>10638</v>
      </c>
      <c r="J14" t="s">
        <v>937</v>
      </c>
      <c r="K14" t="s">
        <v>940</v>
      </c>
      <c r="L14" t="s">
        <v>1013</v>
      </c>
      <c r="M14" t="s">
        <v>1014</v>
      </c>
      <c r="N14" t="s">
        <v>10681</v>
      </c>
      <c r="O14" t="s">
        <v>943</v>
      </c>
      <c r="P14" t="s">
        <v>1038</v>
      </c>
      <c r="Q14" t="s">
        <v>1039</v>
      </c>
      <c r="R14" t="s">
        <v>1043</v>
      </c>
      <c r="S14" t="s">
        <v>951</v>
      </c>
      <c r="T14" t="s">
        <v>1048</v>
      </c>
      <c r="U14" t="s">
        <v>1049</v>
      </c>
      <c r="V14" t="s">
        <v>1051</v>
      </c>
      <c r="W14" t="s">
        <v>955</v>
      </c>
      <c r="X14" t="s">
        <v>962</v>
      </c>
      <c r="Y14" t="s">
        <v>1072</v>
      </c>
      <c r="Z14" t="s">
        <v>1079</v>
      </c>
    </row>
    <row r="15" spans="1:355" customFormat="1" ht="15" x14ac:dyDescent="0.25">
      <c r="A15" t="s">
        <v>299</v>
      </c>
      <c r="B15" t="s">
        <v>298</v>
      </c>
      <c r="C15" t="s">
        <v>971</v>
      </c>
      <c r="D15" t="s">
        <v>926</v>
      </c>
      <c r="E15" t="s">
        <v>929</v>
      </c>
      <c r="F15" t="s">
        <v>1574</v>
      </c>
      <c r="G15" t="s">
        <v>933</v>
      </c>
      <c r="H15" t="s">
        <v>998</v>
      </c>
      <c r="I15" t="s">
        <v>1249</v>
      </c>
      <c r="J15" t="s">
        <v>937</v>
      </c>
      <c r="K15" t="s">
        <v>938</v>
      </c>
      <c r="L15" t="s">
        <v>940</v>
      </c>
      <c r="M15" t="s">
        <v>1012</v>
      </c>
      <c r="N15" t="s">
        <v>1013</v>
      </c>
      <c r="O15" t="s">
        <v>1126</v>
      </c>
      <c r="P15" t="s">
        <v>1025</v>
      </c>
      <c r="Q15" t="s">
        <v>10681</v>
      </c>
      <c r="R15" t="s">
        <v>945</v>
      </c>
      <c r="S15" t="s">
        <v>1041</v>
      </c>
      <c r="T15" t="s">
        <v>9787</v>
      </c>
      <c r="U15" t="s">
        <v>951</v>
      </c>
      <c r="V15" t="s">
        <v>1048</v>
      </c>
      <c r="W15" t="s">
        <v>953</v>
      </c>
      <c r="X15" t="s">
        <v>11720</v>
      </c>
      <c r="Y15" t="s">
        <v>9788</v>
      </c>
      <c r="Z15" t="s">
        <v>1056</v>
      </c>
      <c r="AA15" t="s">
        <v>955</v>
      </c>
      <c r="AB15" t="s">
        <v>11663</v>
      </c>
      <c r="AC15" t="s">
        <v>14374</v>
      </c>
      <c r="AD15" t="s">
        <v>1069</v>
      </c>
      <c r="AE15" t="s">
        <v>1072</v>
      </c>
      <c r="AF15" t="s">
        <v>1684</v>
      </c>
      <c r="AG15" t="s">
        <v>1691</v>
      </c>
      <c r="AH15" t="s">
        <v>1399</v>
      </c>
    </row>
    <row r="16" spans="1:355" customFormat="1" ht="15" x14ac:dyDescent="0.25">
      <c r="A16" t="s">
        <v>301</v>
      </c>
      <c r="B16" t="s">
        <v>300</v>
      </c>
      <c r="C16" t="s">
        <v>929</v>
      </c>
      <c r="D16" t="s">
        <v>9790</v>
      </c>
      <c r="E16" t="s">
        <v>1100</v>
      </c>
      <c r="F16" t="s">
        <v>933</v>
      </c>
      <c r="G16" t="s">
        <v>1110</v>
      </c>
      <c r="H16" t="s">
        <v>935</v>
      </c>
      <c r="I16" t="s">
        <v>1111</v>
      </c>
      <c r="J16" t="s">
        <v>1113</v>
      </c>
      <c r="K16" t="s">
        <v>10638</v>
      </c>
      <c r="L16" t="s">
        <v>10640</v>
      </c>
      <c r="M16" t="s">
        <v>1010</v>
      </c>
      <c r="N16" t="s">
        <v>937</v>
      </c>
      <c r="O16" t="s">
        <v>940</v>
      </c>
      <c r="P16" t="s">
        <v>1013</v>
      </c>
      <c r="Q16" t="s">
        <v>943</v>
      </c>
      <c r="R16" t="s">
        <v>1041</v>
      </c>
      <c r="S16" t="s">
        <v>9787</v>
      </c>
      <c r="T16" t="s">
        <v>1141</v>
      </c>
      <c r="U16" t="s">
        <v>1051</v>
      </c>
      <c r="V16" t="s">
        <v>953</v>
      </c>
      <c r="W16" t="s">
        <v>11720</v>
      </c>
      <c r="X16" t="s">
        <v>9788</v>
      </c>
      <c r="Y16" t="s">
        <v>1057</v>
      </c>
      <c r="Z16" t="s">
        <v>955</v>
      </c>
      <c r="AA16" t="s">
        <v>9795</v>
      </c>
      <c r="AB16" t="s">
        <v>1170</v>
      </c>
      <c r="AC16" t="s">
        <v>1172</v>
      </c>
      <c r="AD16" t="s">
        <v>1180</v>
      </c>
      <c r="AE16" t="s">
        <v>1183</v>
      </c>
    </row>
    <row r="17" spans="1:87" customFormat="1" ht="15" x14ac:dyDescent="0.25">
      <c r="A17" t="s">
        <v>303</v>
      </c>
      <c r="B17" t="s">
        <v>302</v>
      </c>
      <c r="C17" t="s">
        <v>929</v>
      </c>
      <c r="D17" t="s">
        <v>933</v>
      </c>
      <c r="E17" t="s">
        <v>1227</v>
      </c>
      <c r="F17" t="s">
        <v>11660</v>
      </c>
      <c r="G17" t="s">
        <v>1111</v>
      </c>
      <c r="H17" t="s">
        <v>938</v>
      </c>
      <c r="I17" t="s">
        <v>1127</v>
      </c>
      <c r="J17" t="s">
        <v>1025</v>
      </c>
      <c r="K17" t="s">
        <v>1293</v>
      </c>
      <c r="L17" t="s">
        <v>943</v>
      </c>
      <c r="M17" t="s">
        <v>945</v>
      </c>
      <c r="N17" t="s">
        <v>1131</v>
      </c>
      <c r="O17" t="s">
        <v>1134</v>
      </c>
      <c r="P17" t="s">
        <v>949</v>
      </c>
      <c r="Q17" t="s">
        <v>1043</v>
      </c>
      <c r="R17" t="s">
        <v>1146</v>
      </c>
      <c r="S17" t="s">
        <v>1048</v>
      </c>
      <c r="T17" t="s">
        <v>11720</v>
      </c>
      <c r="U17" t="s">
        <v>955</v>
      </c>
      <c r="V17" t="s">
        <v>1341</v>
      </c>
      <c r="W17" t="s">
        <v>11663</v>
      </c>
      <c r="X17" t="s">
        <v>14380</v>
      </c>
      <c r="Y17" t="s">
        <v>1159</v>
      </c>
      <c r="Z17" t="s">
        <v>1072</v>
      </c>
      <c r="AA17" t="s">
        <v>1399</v>
      </c>
    </row>
    <row r="18" spans="1:87" customFormat="1" ht="15" x14ac:dyDescent="0.25">
      <c r="A18" t="s">
        <v>305</v>
      </c>
      <c r="B18" t="s">
        <v>304</v>
      </c>
      <c r="C18" t="s">
        <v>1195</v>
      </c>
      <c r="D18" t="s">
        <v>1201</v>
      </c>
      <c r="E18" t="s">
        <v>929</v>
      </c>
      <c r="F18" t="s">
        <v>1087</v>
      </c>
      <c r="G18" t="s">
        <v>978</v>
      </c>
      <c r="H18" t="s">
        <v>1094</v>
      </c>
      <c r="I18" t="s">
        <v>1212</v>
      </c>
      <c r="J18" t="s">
        <v>1224</v>
      </c>
      <c r="K18" t="s">
        <v>933</v>
      </c>
      <c r="L18" t="s">
        <v>1474</v>
      </c>
      <c r="M18" t="s">
        <v>1227</v>
      </c>
      <c r="N18" t="s">
        <v>10615</v>
      </c>
      <c r="O18" t="s">
        <v>996</v>
      </c>
      <c r="P18" t="s">
        <v>9804</v>
      </c>
      <c r="Q18" t="s">
        <v>1241</v>
      </c>
      <c r="R18" t="s">
        <v>935</v>
      </c>
      <c r="S18" t="s">
        <v>11660</v>
      </c>
      <c r="T18" t="s">
        <v>1245</v>
      </c>
      <c r="U18" t="s">
        <v>10638</v>
      </c>
      <c r="V18" t="s">
        <v>1008</v>
      </c>
      <c r="W18" t="s">
        <v>1263</v>
      </c>
      <c r="X18" t="s">
        <v>1267</v>
      </c>
      <c r="Y18" t="s">
        <v>938</v>
      </c>
      <c r="Z18" t="s">
        <v>1124</v>
      </c>
      <c r="AA18" t="s">
        <v>1125</v>
      </c>
      <c r="AB18" t="s">
        <v>1280</v>
      </c>
      <c r="AC18" t="s">
        <v>1289</v>
      </c>
      <c r="AD18" t="s">
        <v>1025</v>
      </c>
      <c r="AE18" t="s">
        <v>943</v>
      </c>
      <c r="AF18" t="s">
        <v>1134</v>
      </c>
      <c r="AG18" t="s">
        <v>949</v>
      </c>
      <c r="AH18" t="s">
        <v>1309</v>
      </c>
      <c r="AI18" t="s">
        <v>1310</v>
      </c>
      <c r="AJ18" t="s">
        <v>1312</v>
      </c>
      <c r="AK18" t="s">
        <v>1140</v>
      </c>
      <c r="AL18" t="s">
        <v>1313</v>
      </c>
      <c r="AM18" t="s">
        <v>1142</v>
      </c>
      <c r="AN18" t="s">
        <v>1043</v>
      </c>
      <c r="AO18" t="s">
        <v>1044</v>
      </c>
      <c r="AP18" t="s">
        <v>1146</v>
      </c>
      <c r="AQ18" t="s">
        <v>951</v>
      </c>
      <c r="AR18" t="s">
        <v>953</v>
      </c>
      <c r="AS18" t="s">
        <v>1053</v>
      </c>
      <c r="AT18" t="s">
        <v>9788</v>
      </c>
      <c r="AU18" t="s">
        <v>1056</v>
      </c>
      <c r="AV18" t="s">
        <v>1057</v>
      </c>
      <c r="AW18" t="s">
        <v>955</v>
      </c>
      <c r="AX18" t="s">
        <v>1155</v>
      </c>
      <c r="AY18" t="s">
        <v>11663</v>
      </c>
      <c r="AZ18" t="s">
        <v>14380</v>
      </c>
      <c r="BA18" t="s">
        <v>14374</v>
      </c>
      <c r="BB18" t="s">
        <v>1352</v>
      </c>
      <c r="BC18" t="s">
        <v>11682</v>
      </c>
      <c r="BD18" t="s">
        <v>1066</v>
      </c>
      <c r="BE18" t="s">
        <v>1363</v>
      </c>
      <c r="BF18" t="s">
        <v>1069</v>
      </c>
      <c r="BG18" t="s">
        <v>1174</v>
      </c>
      <c r="BH18" t="s">
        <v>1072</v>
      </c>
      <c r="BI18" t="s">
        <v>1185</v>
      </c>
      <c r="BJ18" t="s">
        <v>1388</v>
      </c>
      <c r="BK18" t="s">
        <v>1080</v>
      </c>
      <c r="BL18" t="s">
        <v>1390</v>
      </c>
      <c r="BM18" t="s">
        <v>14377</v>
      </c>
    </row>
    <row r="19" spans="1:87" customFormat="1" ht="15" x14ac:dyDescent="0.25">
      <c r="A19" t="s">
        <v>307</v>
      </c>
      <c r="B19" t="s">
        <v>306</v>
      </c>
      <c r="C19" t="s">
        <v>11723</v>
      </c>
      <c r="D19" t="s">
        <v>972</v>
      </c>
      <c r="E19" t="s">
        <v>973</v>
      </c>
      <c r="F19" t="s">
        <v>929</v>
      </c>
      <c r="G19" t="s">
        <v>1458</v>
      </c>
      <c r="H19" t="s">
        <v>10638</v>
      </c>
      <c r="I19" t="s">
        <v>1006</v>
      </c>
      <c r="J19" t="s">
        <v>1008</v>
      </c>
      <c r="K19" t="s">
        <v>1009</v>
      </c>
      <c r="L19" t="s">
        <v>937</v>
      </c>
      <c r="M19" t="s">
        <v>1891</v>
      </c>
      <c r="N19" t="s">
        <v>938</v>
      </c>
      <c r="O19" t="s">
        <v>1422</v>
      </c>
      <c r="P19" t="s">
        <v>1013</v>
      </c>
      <c r="Q19" t="s">
        <v>1496</v>
      </c>
      <c r="R19" t="s">
        <v>951</v>
      </c>
      <c r="S19" t="s">
        <v>953</v>
      </c>
      <c r="T19" t="s">
        <v>11720</v>
      </c>
      <c r="U19" t="s">
        <v>1057</v>
      </c>
      <c r="V19" t="s">
        <v>955</v>
      </c>
      <c r="W19" t="s">
        <v>1060</v>
      </c>
      <c r="X19" t="s">
        <v>1911</v>
      </c>
      <c r="Y19" t="s">
        <v>1069</v>
      </c>
      <c r="Z19" t="s">
        <v>1072</v>
      </c>
      <c r="AA19" t="s">
        <v>1075</v>
      </c>
      <c r="AB19" t="s">
        <v>1920</v>
      </c>
      <c r="AC19" t="s">
        <v>1563</v>
      </c>
    </row>
    <row r="20" spans="1:87" customFormat="1" ht="15" x14ac:dyDescent="0.25">
      <c r="A20" t="s">
        <v>309</v>
      </c>
      <c r="B20" t="s">
        <v>308</v>
      </c>
      <c r="C20" t="s">
        <v>926</v>
      </c>
      <c r="D20" t="s">
        <v>929</v>
      </c>
      <c r="E20" t="s">
        <v>1093</v>
      </c>
      <c r="F20" t="s">
        <v>1100</v>
      </c>
      <c r="G20" t="s">
        <v>989</v>
      </c>
      <c r="H20" t="s">
        <v>933</v>
      </c>
      <c r="I20" t="s">
        <v>935</v>
      </c>
      <c r="J20" t="s">
        <v>1111</v>
      </c>
      <c r="K20" t="s">
        <v>1011</v>
      </c>
      <c r="L20" t="s">
        <v>938</v>
      </c>
      <c r="M20" t="s">
        <v>940</v>
      </c>
      <c r="N20" t="s">
        <v>1127</v>
      </c>
      <c r="O20" t="s">
        <v>1025</v>
      </c>
      <c r="P20" t="s">
        <v>10681</v>
      </c>
      <c r="Q20" t="s">
        <v>943</v>
      </c>
      <c r="R20" t="s">
        <v>945</v>
      </c>
      <c r="S20" t="s">
        <v>1033</v>
      </c>
      <c r="T20" t="s">
        <v>1134</v>
      </c>
      <c r="U20" t="s">
        <v>1041</v>
      </c>
      <c r="V20" t="s">
        <v>1146</v>
      </c>
      <c r="W20" t="s">
        <v>951</v>
      </c>
      <c r="X20" t="s">
        <v>1056</v>
      </c>
      <c r="Y20" t="s">
        <v>955</v>
      </c>
      <c r="Z20" t="s">
        <v>1159</v>
      </c>
      <c r="AA20" t="s">
        <v>1162</v>
      </c>
      <c r="AB20" t="s">
        <v>14381</v>
      </c>
      <c r="AC20" t="s">
        <v>1069</v>
      </c>
      <c r="AD20" t="s">
        <v>1176</v>
      </c>
    </row>
    <row r="21" spans="1:87" customFormat="1" ht="15" x14ac:dyDescent="0.25">
      <c r="A21" t="s">
        <v>311</v>
      </c>
      <c r="B21" t="s">
        <v>310</v>
      </c>
      <c r="C21" t="s">
        <v>1196</v>
      </c>
      <c r="D21" t="s">
        <v>924</v>
      </c>
      <c r="E21" t="s">
        <v>10568</v>
      </c>
      <c r="F21" t="s">
        <v>926</v>
      </c>
      <c r="G21" t="s">
        <v>929</v>
      </c>
      <c r="H21" t="s">
        <v>931</v>
      </c>
      <c r="I21" t="s">
        <v>933</v>
      </c>
      <c r="J21" t="s">
        <v>998</v>
      </c>
      <c r="K21" t="s">
        <v>1000</v>
      </c>
      <c r="L21" t="s">
        <v>10638</v>
      </c>
      <c r="M21" t="s">
        <v>1010</v>
      </c>
      <c r="N21" t="s">
        <v>937</v>
      </c>
      <c r="O21" t="s">
        <v>938</v>
      </c>
      <c r="P21" t="s">
        <v>940</v>
      </c>
      <c r="Q21" t="s">
        <v>1122</v>
      </c>
      <c r="R21" t="s">
        <v>1740</v>
      </c>
      <c r="S21" t="s">
        <v>1623</v>
      </c>
      <c r="T21" t="s">
        <v>1025</v>
      </c>
      <c r="U21" t="s">
        <v>943</v>
      </c>
      <c r="V21" t="s">
        <v>945</v>
      </c>
      <c r="W21" t="s">
        <v>951</v>
      </c>
      <c r="X21" t="s">
        <v>1050</v>
      </c>
      <c r="Y21" t="s">
        <v>11720</v>
      </c>
      <c r="Z21" t="s">
        <v>9788</v>
      </c>
      <c r="AA21" t="s">
        <v>955</v>
      </c>
      <c r="AB21" t="s">
        <v>1654</v>
      </c>
      <c r="AC21" t="s">
        <v>1659</v>
      </c>
      <c r="AD21" t="s">
        <v>11663</v>
      </c>
      <c r="AE21" t="s">
        <v>960</v>
      </c>
      <c r="AF21" t="s">
        <v>14374</v>
      </c>
      <c r="AG21" t="s">
        <v>962</v>
      </c>
      <c r="AH21" t="s">
        <v>1066</v>
      </c>
      <c r="AI21" t="s">
        <v>1069</v>
      </c>
      <c r="AJ21" t="s">
        <v>1681</v>
      </c>
      <c r="AK21" t="s">
        <v>966</v>
      </c>
      <c r="AL21" t="s">
        <v>1686</v>
      </c>
      <c r="AM21" t="s">
        <v>968</v>
      </c>
      <c r="AN21" t="s">
        <v>1701</v>
      </c>
    </row>
    <row r="22" spans="1:87" customFormat="1" ht="15" x14ac:dyDescent="0.25">
      <c r="A22" t="s">
        <v>313</v>
      </c>
      <c r="B22" t="s">
        <v>312</v>
      </c>
      <c r="C22" t="s">
        <v>1016</v>
      </c>
      <c r="D22" t="s">
        <v>972</v>
      </c>
      <c r="E22" t="s">
        <v>926</v>
      </c>
      <c r="F22" t="s">
        <v>929</v>
      </c>
      <c r="G22" t="s">
        <v>1458</v>
      </c>
      <c r="H22" t="s">
        <v>9784</v>
      </c>
      <c r="I22" t="s">
        <v>997</v>
      </c>
      <c r="J22" t="s">
        <v>1001</v>
      </c>
      <c r="K22" t="s">
        <v>10638</v>
      </c>
      <c r="L22" t="s">
        <v>937</v>
      </c>
      <c r="M22" t="s">
        <v>1126</v>
      </c>
      <c r="N22" t="s">
        <v>1026</v>
      </c>
      <c r="O22" t="s">
        <v>10681</v>
      </c>
      <c r="P22" t="s">
        <v>943</v>
      </c>
      <c r="Q22" t="s">
        <v>1033</v>
      </c>
      <c r="R22" t="s">
        <v>1038</v>
      </c>
      <c r="S22" t="s">
        <v>1039</v>
      </c>
      <c r="T22" t="s">
        <v>951</v>
      </c>
      <c r="U22" t="s">
        <v>1048</v>
      </c>
      <c r="V22" t="s">
        <v>1049</v>
      </c>
      <c r="W22" t="s">
        <v>1051</v>
      </c>
      <c r="X22" t="s">
        <v>11720</v>
      </c>
      <c r="Y22" t="s">
        <v>9788</v>
      </c>
      <c r="Z22" t="s">
        <v>1057</v>
      </c>
      <c r="AA22" t="s">
        <v>11662</v>
      </c>
      <c r="AB22" t="s">
        <v>1060</v>
      </c>
      <c r="AC22" t="s">
        <v>962</v>
      </c>
      <c r="AD22" t="s">
        <v>1069</v>
      </c>
      <c r="AE22" t="s">
        <v>1075</v>
      </c>
      <c r="AF22" t="s">
        <v>1920</v>
      </c>
    </row>
    <row r="23" spans="1:87" customFormat="1" ht="15" x14ac:dyDescent="0.25">
      <c r="A23" t="s">
        <v>315</v>
      </c>
      <c r="B23" t="s">
        <v>314</v>
      </c>
      <c r="C23" t="s">
        <v>1702</v>
      </c>
      <c r="D23" t="s">
        <v>926</v>
      </c>
      <c r="E23" t="s">
        <v>929</v>
      </c>
      <c r="F23" t="s">
        <v>931</v>
      </c>
      <c r="G23" t="s">
        <v>9835</v>
      </c>
      <c r="H23" t="s">
        <v>9836</v>
      </c>
      <c r="I23" t="s">
        <v>1725</v>
      </c>
      <c r="J23" t="s">
        <v>996</v>
      </c>
      <c r="K23" t="s">
        <v>1729</v>
      </c>
      <c r="L23" t="s">
        <v>998</v>
      </c>
      <c r="M23" t="s">
        <v>1736</v>
      </c>
      <c r="N23" t="s">
        <v>10638</v>
      </c>
      <c r="O23" t="s">
        <v>1739</v>
      </c>
      <c r="P23" t="s">
        <v>937</v>
      </c>
      <c r="Q23" t="s">
        <v>938</v>
      </c>
      <c r="R23" t="s">
        <v>1740</v>
      </c>
      <c r="S23" t="s">
        <v>942</v>
      </c>
      <c r="T23" t="s">
        <v>1745</v>
      </c>
      <c r="U23" t="s">
        <v>1296</v>
      </c>
      <c r="V23" t="s">
        <v>1749</v>
      </c>
      <c r="W23" t="s">
        <v>951</v>
      </c>
      <c r="X23" t="s">
        <v>1048</v>
      </c>
      <c r="Y23" t="s">
        <v>11720</v>
      </c>
      <c r="Z23" t="s">
        <v>955</v>
      </c>
      <c r="AA23" t="s">
        <v>1760</v>
      </c>
      <c r="AB23" t="s">
        <v>1155</v>
      </c>
      <c r="AC23" t="s">
        <v>960</v>
      </c>
      <c r="AD23" t="s">
        <v>962</v>
      </c>
      <c r="AE23" t="s">
        <v>1069</v>
      </c>
      <c r="AF23" t="s">
        <v>1072</v>
      </c>
      <c r="AG23" t="s">
        <v>1684</v>
      </c>
      <c r="AH23" t="s">
        <v>1794</v>
      </c>
    </row>
    <row r="24" spans="1:87" customFormat="1" ht="15" x14ac:dyDescent="0.25">
      <c r="A24" t="s">
        <v>317</v>
      </c>
      <c r="B24" t="s">
        <v>316</v>
      </c>
      <c r="C24" t="s">
        <v>971</v>
      </c>
      <c r="D24" t="s">
        <v>929</v>
      </c>
      <c r="E24" t="s">
        <v>9790</v>
      </c>
      <c r="F24" t="s">
        <v>1092</v>
      </c>
      <c r="G24" t="s">
        <v>933</v>
      </c>
      <c r="H24" t="s">
        <v>992</v>
      </c>
      <c r="I24" t="s">
        <v>996</v>
      </c>
      <c r="J24" t="s">
        <v>1416</v>
      </c>
      <c r="K24" t="s">
        <v>10638</v>
      </c>
      <c r="L24" t="s">
        <v>1005</v>
      </c>
      <c r="M24" t="s">
        <v>1010</v>
      </c>
      <c r="N24" t="s">
        <v>937</v>
      </c>
      <c r="O24" t="s">
        <v>1119</v>
      </c>
      <c r="P24" t="s">
        <v>940</v>
      </c>
      <c r="Q24" t="s">
        <v>9793</v>
      </c>
      <c r="R24" t="s">
        <v>1013</v>
      </c>
      <c r="S24" t="s">
        <v>1018</v>
      </c>
      <c r="T24" t="s">
        <v>1025</v>
      </c>
      <c r="U24" t="s">
        <v>943</v>
      </c>
      <c r="V24" t="s">
        <v>945</v>
      </c>
      <c r="W24" t="s">
        <v>1134</v>
      </c>
      <c r="X24" t="s">
        <v>1138</v>
      </c>
      <c r="Y24" t="s">
        <v>1041</v>
      </c>
      <c r="Z24" t="s">
        <v>9787</v>
      </c>
      <c r="AA24" t="s">
        <v>1142</v>
      </c>
      <c r="AB24" t="s">
        <v>1144</v>
      </c>
      <c r="AC24" t="s">
        <v>1146</v>
      </c>
      <c r="AD24" t="s">
        <v>951</v>
      </c>
      <c r="AE24" t="s">
        <v>1048</v>
      </c>
      <c r="AF24" t="s">
        <v>9788</v>
      </c>
      <c r="AG24" t="s">
        <v>1154</v>
      </c>
      <c r="AH24" t="s">
        <v>14374</v>
      </c>
      <c r="AI24" t="s">
        <v>1157</v>
      </c>
      <c r="AJ24" t="s">
        <v>1062</v>
      </c>
      <c r="AK24" t="s">
        <v>962</v>
      </c>
      <c r="AL24" t="s">
        <v>1352</v>
      </c>
      <c r="AM24" t="s">
        <v>11667</v>
      </c>
      <c r="AN24" t="s">
        <v>1069</v>
      </c>
      <c r="AO24" t="s">
        <v>1176</v>
      </c>
      <c r="AP24" t="s">
        <v>1072</v>
      </c>
      <c r="AQ24" t="s">
        <v>981</v>
      </c>
    </row>
    <row r="25" spans="1:87" customFormat="1" ht="15" x14ac:dyDescent="0.25">
      <c r="A25" t="s">
        <v>319</v>
      </c>
      <c r="B25" t="s">
        <v>318</v>
      </c>
      <c r="C25" t="s">
        <v>1195</v>
      </c>
      <c r="D25" t="s">
        <v>926</v>
      </c>
      <c r="E25" t="s">
        <v>929</v>
      </c>
      <c r="F25" t="s">
        <v>1211</v>
      </c>
      <c r="G25" t="s">
        <v>1220</v>
      </c>
      <c r="H25" t="s">
        <v>1223</v>
      </c>
      <c r="I25" t="s">
        <v>989</v>
      </c>
      <c r="J25" t="s">
        <v>933</v>
      </c>
      <c r="K25" t="s">
        <v>1105</v>
      </c>
      <c r="L25" t="s">
        <v>1226</v>
      </c>
      <c r="M25" t="s">
        <v>1227</v>
      </c>
      <c r="N25" t="s">
        <v>9804</v>
      </c>
      <c r="O25" t="s">
        <v>10638</v>
      </c>
      <c r="P25" t="s">
        <v>1249</v>
      </c>
      <c r="Q25" t="s">
        <v>1008</v>
      </c>
      <c r="R25" t="s">
        <v>1260</v>
      </c>
      <c r="S25" t="s">
        <v>1264</v>
      </c>
      <c r="T25" t="s">
        <v>940</v>
      </c>
      <c r="U25" t="s">
        <v>1012</v>
      </c>
      <c r="V25" t="s">
        <v>1283</v>
      </c>
      <c r="W25" t="s">
        <v>1126</v>
      </c>
      <c r="X25" t="s">
        <v>1025</v>
      </c>
      <c r="Y25" t="s">
        <v>10681</v>
      </c>
      <c r="Z25" t="s">
        <v>945</v>
      </c>
      <c r="AA25" t="s">
        <v>1134</v>
      </c>
      <c r="AB25" t="s">
        <v>1041</v>
      </c>
      <c r="AC25" t="s">
        <v>9787</v>
      </c>
      <c r="AD25" t="s">
        <v>1043</v>
      </c>
      <c r="AE25" t="s">
        <v>1146</v>
      </c>
      <c r="AF25" t="s">
        <v>1318</v>
      </c>
      <c r="AG25" t="s">
        <v>14388</v>
      </c>
      <c r="AH25" t="s">
        <v>951</v>
      </c>
      <c r="AI25" t="s">
        <v>953</v>
      </c>
      <c r="AJ25" t="s">
        <v>955</v>
      </c>
      <c r="AK25" t="s">
        <v>10728</v>
      </c>
      <c r="AL25" t="s">
        <v>11663</v>
      </c>
      <c r="AM25" t="s">
        <v>1353</v>
      </c>
      <c r="AN25" t="s">
        <v>1072</v>
      </c>
      <c r="AO25" t="s">
        <v>1373</v>
      </c>
      <c r="AP25" t="s">
        <v>1078</v>
      </c>
      <c r="AQ25" t="s">
        <v>1380</v>
      </c>
      <c r="AR25" t="s">
        <v>1391</v>
      </c>
    </row>
    <row r="26" spans="1:87" customFormat="1" ht="15" x14ac:dyDescent="0.25">
      <c r="A26" t="s">
        <v>321</v>
      </c>
      <c r="B26" t="s">
        <v>320</v>
      </c>
      <c r="C26" t="s">
        <v>1797</v>
      </c>
      <c r="D26" t="s">
        <v>974</v>
      </c>
      <c r="E26" t="s">
        <v>926</v>
      </c>
      <c r="F26" t="s">
        <v>1798</v>
      </c>
      <c r="G26" t="s">
        <v>929</v>
      </c>
      <c r="H26" t="s">
        <v>978</v>
      </c>
      <c r="I26" t="s">
        <v>1703</v>
      </c>
      <c r="J26" t="s">
        <v>9790</v>
      </c>
      <c r="K26" t="s">
        <v>1799</v>
      </c>
      <c r="L26" t="s">
        <v>1800</v>
      </c>
      <c r="M26" t="s">
        <v>1801</v>
      </c>
      <c r="N26" t="s">
        <v>1094</v>
      </c>
      <c r="O26" t="s">
        <v>1802</v>
      </c>
      <c r="P26" t="s">
        <v>1803</v>
      </c>
      <c r="Q26" t="s">
        <v>1804</v>
      </c>
      <c r="R26" t="s">
        <v>1805</v>
      </c>
      <c r="S26" t="s">
        <v>1807</v>
      </c>
      <c r="T26" t="s">
        <v>983</v>
      </c>
      <c r="U26" t="s">
        <v>1808</v>
      </c>
      <c r="V26" t="s">
        <v>1715</v>
      </c>
      <c r="W26" t="s">
        <v>933</v>
      </c>
      <c r="X26" t="s">
        <v>991</v>
      </c>
      <c r="Y26" t="s">
        <v>996</v>
      </c>
      <c r="Z26" t="s">
        <v>10623</v>
      </c>
      <c r="AA26" t="s">
        <v>1729</v>
      </c>
      <c r="AB26" t="s">
        <v>1816</v>
      </c>
      <c r="AC26" t="s">
        <v>11660</v>
      </c>
      <c r="AD26" t="s">
        <v>1818</v>
      </c>
      <c r="AE26" t="s">
        <v>1416</v>
      </c>
      <c r="AF26" t="s">
        <v>1000</v>
      </c>
      <c r="AG26" t="s">
        <v>1819</v>
      </c>
      <c r="AH26" t="s">
        <v>10638</v>
      </c>
      <c r="AI26" t="s">
        <v>10643</v>
      </c>
      <c r="AJ26" t="s">
        <v>1008</v>
      </c>
      <c r="AK26" t="s">
        <v>1009</v>
      </c>
      <c r="AL26" t="s">
        <v>1822</v>
      </c>
      <c r="AM26" t="s">
        <v>1823</v>
      </c>
      <c r="AN26" t="s">
        <v>937</v>
      </c>
      <c r="AO26" t="s">
        <v>1825</v>
      </c>
      <c r="AP26" t="s">
        <v>938</v>
      </c>
      <c r="AQ26" t="s">
        <v>940</v>
      </c>
      <c r="AR26" t="s">
        <v>1013</v>
      </c>
      <c r="AS26" t="s">
        <v>1126</v>
      </c>
      <c r="AT26" t="s">
        <v>1826</v>
      </c>
      <c r="AU26" t="s">
        <v>1026</v>
      </c>
      <c r="AV26" t="s">
        <v>1030</v>
      </c>
      <c r="AW26" t="s">
        <v>1516</v>
      </c>
      <c r="AX26" t="s">
        <v>1829</v>
      </c>
      <c r="AY26" t="s">
        <v>1830</v>
      </c>
      <c r="AZ26" t="s">
        <v>1136</v>
      </c>
      <c r="BA26" t="s">
        <v>951</v>
      </c>
      <c r="BB26" t="s">
        <v>1049</v>
      </c>
      <c r="BC26" t="s">
        <v>1051</v>
      </c>
      <c r="BD26" t="s">
        <v>1834</v>
      </c>
      <c r="BE26" t="s">
        <v>11720</v>
      </c>
      <c r="BF26" t="s">
        <v>9788</v>
      </c>
      <c r="BG26" t="s">
        <v>1056</v>
      </c>
      <c r="BH26" t="s">
        <v>1057</v>
      </c>
      <c r="BI26" t="s">
        <v>955</v>
      </c>
      <c r="BJ26" t="s">
        <v>1838</v>
      </c>
      <c r="BK26" t="s">
        <v>1842</v>
      </c>
      <c r="BL26" t="s">
        <v>1844</v>
      </c>
      <c r="BM26" t="s">
        <v>1846</v>
      </c>
      <c r="BN26" t="s">
        <v>11663</v>
      </c>
      <c r="BO26" t="s">
        <v>1847</v>
      </c>
      <c r="BP26" t="s">
        <v>1848</v>
      </c>
      <c r="BQ26" t="s">
        <v>1849</v>
      </c>
      <c r="BR26" t="s">
        <v>962</v>
      </c>
      <c r="BS26" t="s">
        <v>1063</v>
      </c>
      <c r="BT26" t="s">
        <v>1353</v>
      </c>
      <c r="BU26" t="s">
        <v>11667</v>
      </c>
      <c r="BV26" t="s">
        <v>1858</v>
      </c>
      <c r="BW26" t="s">
        <v>1859</v>
      </c>
      <c r="BX26" t="s">
        <v>1860</v>
      </c>
      <c r="BY26" t="s">
        <v>1072</v>
      </c>
      <c r="BZ26" t="s">
        <v>1862</v>
      </c>
      <c r="CA26" t="s">
        <v>1077</v>
      </c>
      <c r="CB26" t="s">
        <v>1078</v>
      </c>
      <c r="CC26" t="s">
        <v>14389</v>
      </c>
      <c r="CD26" t="s">
        <v>1864</v>
      </c>
      <c r="CE26" t="s">
        <v>1865</v>
      </c>
      <c r="CF26" t="s">
        <v>1080</v>
      </c>
      <c r="CG26" t="s">
        <v>14377</v>
      </c>
      <c r="CH26" t="s">
        <v>10784</v>
      </c>
      <c r="CI26" t="s">
        <v>1870</v>
      </c>
    </row>
    <row r="27" spans="1:87" customFormat="1" ht="15" x14ac:dyDescent="0.25">
      <c r="A27" t="s">
        <v>323</v>
      </c>
      <c r="B27" t="s">
        <v>322</v>
      </c>
      <c r="C27" t="s">
        <v>926</v>
      </c>
      <c r="D27" t="s">
        <v>929</v>
      </c>
      <c r="E27" t="s">
        <v>991</v>
      </c>
      <c r="F27" t="s">
        <v>997</v>
      </c>
      <c r="G27" t="s">
        <v>998</v>
      </c>
      <c r="H27" t="s">
        <v>1003</v>
      </c>
      <c r="I27" t="s">
        <v>1004</v>
      </c>
      <c r="J27" t="s">
        <v>1009</v>
      </c>
      <c r="K27" t="s">
        <v>1026</v>
      </c>
      <c r="L27" t="s">
        <v>10681</v>
      </c>
      <c r="M27" t="s">
        <v>1030</v>
      </c>
      <c r="N27" t="s">
        <v>1038</v>
      </c>
      <c r="O27" t="s">
        <v>9787</v>
      </c>
      <c r="P27" t="s">
        <v>1043</v>
      </c>
      <c r="Q27" t="s">
        <v>951</v>
      </c>
      <c r="R27" t="s">
        <v>1048</v>
      </c>
      <c r="S27" t="s">
        <v>1049</v>
      </c>
      <c r="T27" t="s">
        <v>1051</v>
      </c>
      <c r="U27" t="s">
        <v>955</v>
      </c>
      <c r="V27" t="s">
        <v>962</v>
      </c>
      <c r="W27" t="s">
        <v>1072</v>
      </c>
    </row>
    <row r="28" spans="1:87" customFormat="1" ht="15" x14ac:dyDescent="0.25">
      <c r="A28" t="s">
        <v>325</v>
      </c>
      <c r="B28" t="s">
        <v>324</v>
      </c>
      <c r="C28" t="s">
        <v>974</v>
      </c>
      <c r="D28" t="s">
        <v>929</v>
      </c>
      <c r="E28" t="s">
        <v>978</v>
      </c>
      <c r="F28" t="s">
        <v>9790</v>
      </c>
      <c r="G28" t="s">
        <v>1095</v>
      </c>
      <c r="H28" t="s">
        <v>985</v>
      </c>
      <c r="I28" t="s">
        <v>935</v>
      </c>
      <c r="J28" t="s">
        <v>1006</v>
      </c>
      <c r="K28" t="s">
        <v>1009</v>
      </c>
      <c r="L28" t="s">
        <v>937</v>
      </c>
      <c r="M28" t="s">
        <v>940</v>
      </c>
      <c r="N28" t="s">
        <v>1013</v>
      </c>
      <c r="O28" t="s">
        <v>1020</v>
      </c>
      <c r="P28" t="s">
        <v>1505</v>
      </c>
      <c r="Q28" t="s">
        <v>10681</v>
      </c>
      <c r="R28" t="s">
        <v>1516</v>
      </c>
      <c r="S28" t="s">
        <v>1521</v>
      </c>
      <c r="T28" t="s">
        <v>1046</v>
      </c>
      <c r="U28" t="s">
        <v>951</v>
      </c>
      <c r="V28" t="s">
        <v>1048</v>
      </c>
      <c r="W28" t="s">
        <v>1051</v>
      </c>
      <c r="X28" t="s">
        <v>1529</v>
      </c>
      <c r="Y28" t="s">
        <v>1056</v>
      </c>
      <c r="Z28" t="s">
        <v>955</v>
      </c>
      <c r="AA28" t="s">
        <v>1069</v>
      </c>
      <c r="AB28" t="s">
        <v>1075</v>
      </c>
      <c r="AC28" t="s">
        <v>1078</v>
      </c>
    </row>
    <row r="29" spans="1:87" customFormat="1" ht="15" x14ac:dyDescent="0.25">
      <c r="A29" t="s">
        <v>327</v>
      </c>
      <c r="B29" t="s">
        <v>326</v>
      </c>
      <c r="C29" t="s">
        <v>929</v>
      </c>
      <c r="D29" t="s">
        <v>978</v>
      </c>
      <c r="E29" t="s">
        <v>1457</v>
      </c>
      <c r="F29" t="s">
        <v>9784</v>
      </c>
      <c r="G29" t="s">
        <v>1473</v>
      </c>
      <c r="H29" t="s">
        <v>991</v>
      </c>
      <c r="I29" t="s">
        <v>935</v>
      </c>
      <c r="J29" t="s">
        <v>11660</v>
      </c>
      <c r="K29" t="s">
        <v>11694</v>
      </c>
      <c r="L29" t="s">
        <v>1006</v>
      </c>
      <c r="M29" t="s">
        <v>1009</v>
      </c>
      <c r="N29" t="s">
        <v>937</v>
      </c>
      <c r="O29" t="s">
        <v>938</v>
      </c>
      <c r="P29" t="s">
        <v>940</v>
      </c>
      <c r="Q29" t="s">
        <v>1013</v>
      </c>
      <c r="R29" t="s">
        <v>9822</v>
      </c>
      <c r="S29" t="s">
        <v>1514</v>
      </c>
      <c r="T29" t="s">
        <v>1031</v>
      </c>
      <c r="U29" t="s">
        <v>951</v>
      </c>
      <c r="V29" t="s">
        <v>1048</v>
      </c>
      <c r="W29" t="s">
        <v>1051</v>
      </c>
      <c r="X29" t="s">
        <v>1529</v>
      </c>
      <c r="Y29" t="s">
        <v>1056</v>
      </c>
      <c r="Z29" t="s">
        <v>1066</v>
      </c>
      <c r="AA29" t="s">
        <v>1069</v>
      </c>
      <c r="AB29" t="s">
        <v>1083</v>
      </c>
    </row>
    <row r="30" spans="1:87" customFormat="1" ht="15" x14ac:dyDescent="0.25">
      <c r="A30" t="s">
        <v>329</v>
      </c>
      <c r="B30" t="s">
        <v>328</v>
      </c>
      <c r="C30" t="s">
        <v>972</v>
      </c>
      <c r="D30" t="s">
        <v>973</v>
      </c>
      <c r="E30" t="s">
        <v>9784</v>
      </c>
      <c r="F30" t="s">
        <v>985</v>
      </c>
      <c r="G30" t="s">
        <v>997</v>
      </c>
      <c r="H30" t="s">
        <v>11660</v>
      </c>
      <c r="I30" t="s">
        <v>1001</v>
      </c>
      <c r="J30" t="s">
        <v>1003</v>
      </c>
      <c r="K30" t="s">
        <v>10638</v>
      </c>
      <c r="L30" t="s">
        <v>937</v>
      </c>
      <c r="M30" t="s">
        <v>938</v>
      </c>
      <c r="N30" t="s">
        <v>940</v>
      </c>
      <c r="O30" t="s">
        <v>1013</v>
      </c>
      <c r="P30" t="s">
        <v>10681</v>
      </c>
      <c r="Q30" t="s">
        <v>1043</v>
      </c>
      <c r="R30" t="s">
        <v>1144</v>
      </c>
      <c r="S30" t="s">
        <v>951</v>
      </c>
      <c r="T30" t="s">
        <v>1048</v>
      </c>
      <c r="U30" t="s">
        <v>1049</v>
      </c>
      <c r="V30" t="s">
        <v>1051</v>
      </c>
      <c r="W30" t="s">
        <v>1060</v>
      </c>
      <c r="X30" t="s">
        <v>1069</v>
      </c>
      <c r="Y30" t="s">
        <v>1072</v>
      </c>
      <c r="Z30" t="s">
        <v>1075</v>
      </c>
      <c r="AA30" t="s">
        <v>1077</v>
      </c>
    </row>
    <row r="31" spans="1:87" customFormat="1" ht="15" x14ac:dyDescent="0.25">
      <c r="A31" t="s">
        <v>331</v>
      </c>
      <c r="B31" t="s">
        <v>330</v>
      </c>
      <c r="C31" t="s">
        <v>974</v>
      </c>
      <c r="D31" t="s">
        <v>929</v>
      </c>
      <c r="E31" t="s">
        <v>978</v>
      </c>
      <c r="F31" t="s">
        <v>1095</v>
      </c>
      <c r="G31" t="s">
        <v>1461</v>
      </c>
      <c r="H31" t="s">
        <v>985</v>
      </c>
      <c r="I31" t="s">
        <v>933</v>
      </c>
      <c r="J31" t="s">
        <v>1006</v>
      </c>
      <c r="K31" t="s">
        <v>1009</v>
      </c>
      <c r="L31" t="s">
        <v>1011</v>
      </c>
      <c r="M31" t="s">
        <v>1013</v>
      </c>
      <c r="N31" t="s">
        <v>1495</v>
      </c>
      <c r="O31" t="s">
        <v>9819</v>
      </c>
      <c r="P31" t="s">
        <v>1516</v>
      </c>
      <c r="Q31" t="s">
        <v>1521</v>
      </c>
      <c r="R31" t="s">
        <v>951</v>
      </c>
      <c r="S31" t="s">
        <v>1048</v>
      </c>
      <c r="T31" t="s">
        <v>1050</v>
      </c>
      <c r="U31" t="s">
        <v>1051</v>
      </c>
      <c r="V31" t="s">
        <v>1056</v>
      </c>
      <c r="W31" t="s">
        <v>955</v>
      </c>
      <c r="X31" t="s">
        <v>1533</v>
      </c>
      <c r="Y31" t="s">
        <v>1069</v>
      </c>
      <c r="Z31" t="s">
        <v>1072</v>
      </c>
      <c r="AA31" t="s">
        <v>1083</v>
      </c>
    </row>
    <row r="32" spans="1:87" customFormat="1" ht="15" x14ac:dyDescent="0.25">
      <c r="A32" t="s">
        <v>333</v>
      </c>
      <c r="B32" t="s">
        <v>332</v>
      </c>
      <c r="C32" t="s">
        <v>971</v>
      </c>
      <c r="D32" t="s">
        <v>926</v>
      </c>
      <c r="E32" t="s">
        <v>933</v>
      </c>
      <c r="F32" t="s">
        <v>935</v>
      </c>
      <c r="G32" t="s">
        <v>1001</v>
      </c>
      <c r="H32" t="s">
        <v>10638</v>
      </c>
      <c r="I32" t="s">
        <v>937</v>
      </c>
      <c r="J32" t="s">
        <v>940</v>
      </c>
      <c r="K32" t="s">
        <v>1022</v>
      </c>
      <c r="L32" t="s">
        <v>1023</v>
      </c>
      <c r="M32" t="s">
        <v>1025</v>
      </c>
      <c r="N32" t="s">
        <v>1026</v>
      </c>
      <c r="O32" t="s">
        <v>1033</v>
      </c>
      <c r="P32" t="s">
        <v>1049</v>
      </c>
      <c r="Q32" t="s">
        <v>1051</v>
      </c>
      <c r="R32" t="s">
        <v>11664</v>
      </c>
    </row>
    <row r="33" spans="1:63" customFormat="1" ht="15" x14ac:dyDescent="0.25">
      <c r="A33" t="s">
        <v>334</v>
      </c>
      <c r="B33" t="s">
        <v>11729</v>
      </c>
      <c r="C33" t="s">
        <v>922</v>
      </c>
      <c r="D33" t="s">
        <v>924</v>
      </c>
      <c r="E33" t="s">
        <v>10568</v>
      </c>
      <c r="F33" t="s">
        <v>926</v>
      </c>
      <c r="G33" t="s">
        <v>929</v>
      </c>
      <c r="H33" t="s">
        <v>931</v>
      </c>
      <c r="I33" t="s">
        <v>9784</v>
      </c>
      <c r="J33" t="s">
        <v>1705</v>
      </c>
      <c r="K33" t="s">
        <v>1581</v>
      </c>
      <c r="L33" t="s">
        <v>1706</v>
      </c>
      <c r="M33" t="s">
        <v>933</v>
      </c>
      <c r="N33" t="s">
        <v>1728</v>
      </c>
      <c r="O33" t="s">
        <v>1416</v>
      </c>
      <c r="P33" t="s">
        <v>10638</v>
      </c>
      <c r="Q33" t="s">
        <v>937</v>
      </c>
      <c r="R33" t="s">
        <v>940</v>
      </c>
      <c r="S33" t="s">
        <v>1013</v>
      </c>
      <c r="T33" t="s">
        <v>1018</v>
      </c>
      <c r="U33" t="s">
        <v>945</v>
      </c>
      <c r="V33" t="s">
        <v>949</v>
      </c>
      <c r="W33" t="s">
        <v>951</v>
      </c>
      <c r="X33" t="s">
        <v>1755</v>
      </c>
      <c r="Y33" t="s">
        <v>953</v>
      </c>
      <c r="Z33" t="s">
        <v>11720</v>
      </c>
      <c r="AA33" t="s">
        <v>9788</v>
      </c>
      <c r="AB33" t="s">
        <v>1056</v>
      </c>
      <c r="AC33" t="s">
        <v>955</v>
      </c>
      <c r="AD33" t="s">
        <v>957</v>
      </c>
      <c r="AE33" t="s">
        <v>1155</v>
      </c>
      <c r="AF33" t="s">
        <v>960</v>
      </c>
      <c r="AG33" t="s">
        <v>14374</v>
      </c>
      <c r="AH33" t="s">
        <v>1158</v>
      </c>
      <c r="AI33" t="s">
        <v>1062</v>
      </c>
      <c r="AJ33" t="s">
        <v>962</v>
      </c>
      <c r="AK33" t="s">
        <v>964</v>
      </c>
      <c r="AL33" t="s">
        <v>966</v>
      </c>
      <c r="AM33" t="s">
        <v>1684</v>
      </c>
      <c r="AN33" t="s">
        <v>10813</v>
      </c>
      <c r="AO33" t="s">
        <v>1080</v>
      </c>
      <c r="AP33" t="s">
        <v>14377</v>
      </c>
    </row>
    <row r="34" spans="1:63" customFormat="1" ht="15" x14ac:dyDescent="0.25">
      <c r="A34" t="s">
        <v>336</v>
      </c>
      <c r="B34" t="s">
        <v>335</v>
      </c>
      <c r="C34" t="s">
        <v>1564</v>
      </c>
      <c r="D34" t="s">
        <v>1196</v>
      </c>
      <c r="E34" t="s">
        <v>924</v>
      </c>
      <c r="F34" t="s">
        <v>10568</v>
      </c>
      <c r="G34" t="s">
        <v>971</v>
      </c>
      <c r="H34" t="s">
        <v>926</v>
      </c>
      <c r="I34" t="s">
        <v>929</v>
      </c>
      <c r="J34" t="s">
        <v>933</v>
      </c>
      <c r="K34" t="s">
        <v>1234</v>
      </c>
      <c r="L34" t="s">
        <v>1603</v>
      </c>
      <c r="M34" t="s">
        <v>1000</v>
      </c>
      <c r="N34" t="s">
        <v>937</v>
      </c>
      <c r="O34" t="s">
        <v>938</v>
      </c>
      <c r="P34" t="s">
        <v>940</v>
      </c>
      <c r="Q34" t="s">
        <v>1122</v>
      </c>
      <c r="R34" t="s">
        <v>11755</v>
      </c>
      <c r="S34" t="s">
        <v>1025</v>
      </c>
      <c r="T34" t="s">
        <v>1293</v>
      </c>
      <c r="U34" t="s">
        <v>10681</v>
      </c>
      <c r="V34" t="s">
        <v>943</v>
      </c>
      <c r="W34" t="s">
        <v>945</v>
      </c>
      <c r="X34" t="s">
        <v>949</v>
      </c>
      <c r="Y34" t="s">
        <v>1144</v>
      </c>
      <c r="Z34" t="s">
        <v>1146</v>
      </c>
      <c r="AA34" t="s">
        <v>1048</v>
      </c>
      <c r="AB34" t="s">
        <v>9788</v>
      </c>
      <c r="AC34" t="s">
        <v>1155</v>
      </c>
      <c r="AD34" t="s">
        <v>1658</v>
      </c>
      <c r="AE34" t="s">
        <v>11663</v>
      </c>
      <c r="AF34" t="s">
        <v>960</v>
      </c>
      <c r="AG34" t="s">
        <v>14374</v>
      </c>
      <c r="AH34" t="s">
        <v>962</v>
      </c>
      <c r="AI34" t="s">
        <v>964</v>
      </c>
      <c r="AJ34" t="s">
        <v>966</v>
      </c>
      <c r="AK34" t="s">
        <v>968</v>
      </c>
    </row>
    <row r="35" spans="1:63" customFormat="1" ht="15" x14ac:dyDescent="0.25">
      <c r="A35" t="s">
        <v>338</v>
      </c>
      <c r="B35" t="s">
        <v>337</v>
      </c>
      <c r="C35" t="s">
        <v>1016</v>
      </c>
      <c r="D35" t="s">
        <v>1872</v>
      </c>
      <c r="E35" t="s">
        <v>971</v>
      </c>
      <c r="F35" t="s">
        <v>929</v>
      </c>
      <c r="G35" t="s">
        <v>978</v>
      </c>
      <c r="H35" t="s">
        <v>9790</v>
      </c>
      <c r="I35" t="s">
        <v>9784</v>
      </c>
      <c r="J35" t="s">
        <v>1873</v>
      </c>
      <c r="K35" t="s">
        <v>10586</v>
      </c>
      <c r="L35" t="s">
        <v>1874</v>
      </c>
      <c r="M35" t="s">
        <v>14403</v>
      </c>
      <c r="N35" t="s">
        <v>14404</v>
      </c>
      <c r="O35" t="s">
        <v>14405</v>
      </c>
      <c r="P35" t="s">
        <v>985</v>
      </c>
      <c r="Q35" t="s">
        <v>1219</v>
      </c>
      <c r="R35" t="s">
        <v>9848</v>
      </c>
      <c r="S35" t="s">
        <v>1877</v>
      </c>
      <c r="T35" t="s">
        <v>933</v>
      </c>
      <c r="U35" t="s">
        <v>1879</v>
      </c>
      <c r="V35" t="s">
        <v>991</v>
      </c>
      <c r="W35" t="s">
        <v>11660</v>
      </c>
      <c r="X35" t="s">
        <v>1885</v>
      </c>
      <c r="Y35" t="s">
        <v>1006</v>
      </c>
      <c r="Z35" t="s">
        <v>1008</v>
      </c>
      <c r="AA35" t="s">
        <v>1009</v>
      </c>
      <c r="AB35" t="s">
        <v>937</v>
      </c>
      <c r="AC35" t="s">
        <v>1011</v>
      </c>
      <c r="AD35" t="s">
        <v>938</v>
      </c>
      <c r="AE35" t="s">
        <v>940</v>
      </c>
      <c r="AF35" t="s">
        <v>1422</v>
      </c>
      <c r="AG35" t="s">
        <v>1013</v>
      </c>
      <c r="AH35" t="s">
        <v>1897</v>
      </c>
      <c r="AI35" t="s">
        <v>1018</v>
      </c>
      <c r="AJ35" t="s">
        <v>10681</v>
      </c>
      <c r="AK35" t="s">
        <v>1903</v>
      </c>
      <c r="AL35" t="s">
        <v>1296</v>
      </c>
      <c r="AM35" t="s">
        <v>1031</v>
      </c>
      <c r="AN35" t="s">
        <v>949</v>
      </c>
      <c r="AO35" t="s">
        <v>951</v>
      </c>
      <c r="AP35" t="s">
        <v>1048</v>
      </c>
      <c r="AQ35" t="s">
        <v>1050</v>
      </c>
      <c r="AR35" t="s">
        <v>1051</v>
      </c>
      <c r="AS35" t="s">
        <v>11720</v>
      </c>
      <c r="AT35" t="s">
        <v>1057</v>
      </c>
      <c r="AU35" t="s">
        <v>955</v>
      </c>
      <c r="AV35" t="s">
        <v>962</v>
      </c>
      <c r="AW35" t="s">
        <v>1066</v>
      </c>
      <c r="AX35" t="s">
        <v>1069</v>
      </c>
      <c r="AY35" t="s">
        <v>1072</v>
      </c>
      <c r="AZ35" t="s">
        <v>1180</v>
      </c>
      <c r="BA35" t="s">
        <v>1075</v>
      </c>
      <c r="BB35" t="s">
        <v>1920</v>
      </c>
      <c r="BC35" t="s">
        <v>1080</v>
      </c>
      <c r="BD35" t="s">
        <v>1563</v>
      </c>
      <c r="BE35" t="s">
        <v>1083</v>
      </c>
    </row>
    <row r="36" spans="1:63" customFormat="1" ht="15" x14ac:dyDescent="0.25">
      <c r="A36" t="s">
        <v>340</v>
      </c>
      <c r="B36" t="s">
        <v>339</v>
      </c>
      <c r="C36" t="s">
        <v>1084</v>
      </c>
      <c r="D36" t="s">
        <v>929</v>
      </c>
      <c r="E36" t="s">
        <v>9790</v>
      </c>
      <c r="F36" t="s">
        <v>1096</v>
      </c>
      <c r="G36" t="s">
        <v>1100</v>
      </c>
      <c r="H36" t="s">
        <v>933</v>
      </c>
      <c r="I36" t="s">
        <v>1109</v>
      </c>
      <c r="J36" t="s">
        <v>1110</v>
      </c>
      <c r="K36" t="s">
        <v>998</v>
      </c>
      <c r="L36" t="s">
        <v>1111</v>
      </c>
      <c r="M36" t="s">
        <v>1113</v>
      </c>
      <c r="N36" t="s">
        <v>10638</v>
      </c>
      <c r="O36" t="s">
        <v>1008</v>
      </c>
      <c r="P36" t="s">
        <v>1010</v>
      </c>
      <c r="Q36" t="s">
        <v>937</v>
      </c>
      <c r="R36" t="s">
        <v>938</v>
      </c>
      <c r="S36" t="s">
        <v>940</v>
      </c>
      <c r="T36" t="s">
        <v>10667</v>
      </c>
      <c r="U36" t="s">
        <v>1126</v>
      </c>
      <c r="V36" t="s">
        <v>1127</v>
      </c>
      <c r="W36" t="s">
        <v>1025</v>
      </c>
      <c r="X36" t="s">
        <v>10681</v>
      </c>
      <c r="Y36" t="s">
        <v>943</v>
      </c>
      <c r="Z36" t="s">
        <v>945</v>
      </c>
      <c r="AA36" t="s">
        <v>1033</v>
      </c>
      <c r="AB36" t="s">
        <v>1041</v>
      </c>
      <c r="AC36" t="s">
        <v>1146</v>
      </c>
      <c r="AD36" t="s">
        <v>951</v>
      </c>
      <c r="AE36" t="s">
        <v>1048</v>
      </c>
      <c r="AF36" t="s">
        <v>953</v>
      </c>
      <c r="AG36" t="s">
        <v>1152</v>
      </c>
      <c r="AH36" t="s">
        <v>11720</v>
      </c>
      <c r="AI36" t="s">
        <v>9788</v>
      </c>
      <c r="AJ36" t="s">
        <v>1056</v>
      </c>
      <c r="AK36" t="s">
        <v>1057</v>
      </c>
      <c r="AL36" t="s">
        <v>955</v>
      </c>
      <c r="AM36" t="s">
        <v>14374</v>
      </c>
      <c r="AN36" t="s">
        <v>1159</v>
      </c>
      <c r="AO36" t="s">
        <v>1069</v>
      </c>
      <c r="AP36" t="s">
        <v>1172</v>
      </c>
      <c r="AQ36" t="s">
        <v>1186</v>
      </c>
      <c r="AR36" t="s">
        <v>1192</v>
      </c>
    </row>
    <row r="37" spans="1:63" customFormat="1" ht="15" x14ac:dyDescent="0.25">
      <c r="A37" t="s">
        <v>342</v>
      </c>
      <c r="B37" t="s">
        <v>341</v>
      </c>
      <c r="C37" t="s">
        <v>929</v>
      </c>
      <c r="D37" t="s">
        <v>1099</v>
      </c>
      <c r="E37" t="s">
        <v>933</v>
      </c>
      <c r="F37" t="s">
        <v>935</v>
      </c>
      <c r="G37" t="s">
        <v>1113</v>
      </c>
      <c r="H37" t="s">
        <v>1008</v>
      </c>
      <c r="I37" t="s">
        <v>1010</v>
      </c>
      <c r="J37" t="s">
        <v>940</v>
      </c>
      <c r="K37" t="s">
        <v>1126</v>
      </c>
      <c r="L37" t="s">
        <v>10681</v>
      </c>
      <c r="M37" t="s">
        <v>1031</v>
      </c>
      <c r="N37" t="s">
        <v>1041</v>
      </c>
      <c r="O37" t="s">
        <v>9787</v>
      </c>
      <c r="P37" t="s">
        <v>1141</v>
      </c>
      <c r="Q37" t="s">
        <v>1144</v>
      </c>
      <c r="R37" t="s">
        <v>951</v>
      </c>
      <c r="S37" t="s">
        <v>1048</v>
      </c>
      <c r="T37" t="s">
        <v>1051</v>
      </c>
      <c r="U37" t="s">
        <v>1152</v>
      </c>
      <c r="V37" t="s">
        <v>11720</v>
      </c>
      <c r="W37" t="s">
        <v>9788</v>
      </c>
      <c r="X37" t="s">
        <v>1057</v>
      </c>
      <c r="Y37" t="s">
        <v>955</v>
      </c>
      <c r="Z37" t="s">
        <v>9795</v>
      </c>
      <c r="AA37" t="s">
        <v>14374</v>
      </c>
      <c r="AB37" t="s">
        <v>1172</v>
      </c>
      <c r="AC37" t="s">
        <v>1176</v>
      </c>
      <c r="AD37" t="s">
        <v>1183</v>
      </c>
    </row>
    <row r="38" spans="1:63" customFormat="1" ht="15" x14ac:dyDescent="0.25">
      <c r="A38" t="s">
        <v>344</v>
      </c>
      <c r="B38" t="s">
        <v>343</v>
      </c>
      <c r="C38" t="s">
        <v>1195</v>
      </c>
      <c r="D38" t="s">
        <v>1087</v>
      </c>
      <c r="E38" t="s">
        <v>9801</v>
      </c>
      <c r="F38" t="s">
        <v>9790</v>
      </c>
      <c r="G38" t="s">
        <v>1212</v>
      </c>
      <c r="H38" t="s">
        <v>1219</v>
      </c>
      <c r="I38" t="s">
        <v>933</v>
      </c>
      <c r="J38" t="s">
        <v>1474</v>
      </c>
      <c r="K38" t="s">
        <v>1230</v>
      </c>
      <c r="L38" t="s">
        <v>996</v>
      </c>
      <c r="M38" t="s">
        <v>9804</v>
      </c>
      <c r="N38" t="s">
        <v>1245</v>
      </c>
      <c r="O38" t="s">
        <v>10638</v>
      </c>
      <c r="P38" t="s">
        <v>1008</v>
      </c>
      <c r="Q38" t="s">
        <v>1010</v>
      </c>
      <c r="R38" t="s">
        <v>1268</v>
      </c>
      <c r="S38" t="s">
        <v>938</v>
      </c>
      <c r="T38" t="s">
        <v>1273</v>
      </c>
      <c r="U38" t="s">
        <v>1012</v>
      </c>
      <c r="V38" t="s">
        <v>1013</v>
      </c>
      <c r="W38" t="s">
        <v>1124</v>
      </c>
      <c r="X38" t="s">
        <v>1125</v>
      </c>
      <c r="Y38" t="s">
        <v>14386</v>
      </c>
      <c r="Z38" t="s">
        <v>14387</v>
      </c>
      <c r="AA38" t="s">
        <v>1018</v>
      </c>
      <c r="AB38" t="s">
        <v>10667</v>
      </c>
      <c r="AC38" t="s">
        <v>1126</v>
      </c>
      <c r="AD38" t="s">
        <v>1025</v>
      </c>
      <c r="AE38" t="s">
        <v>10681</v>
      </c>
      <c r="AF38" t="s">
        <v>10685</v>
      </c>
      <c r="AG38" t="s">
        <v>1296</v>
      </c>
      <c r="AH38" t="s">
        <v>943</v>
      </c>
      <c r="AI38" t="s">
        <v>1134</v>
      </c>
      <c r="AJ38" t="s">
        <v>949</v>
      </c>
      <c r="AK38" t="s">
        <v>1135</v>
      </c>
      <c r="AL38" t="s">
        <v>1309</v>
      </c>
      <c r="AM38" t="s">
        <v>1310</v>
      </c>
      <c r="AN38" t="s">
        <v>1139</v>
      </c>
      <c r="AO38" t="s">
        <v>1140</v>
      </c>
      <c r="AP38" t="s">
        <v>1142</v>
      </c>
      <c r="AQ38" t="s">
        <v>1043</v>
      </c>
      <c r="AR38" t="s">
        <v>1044</v>
      </c>
      <c r="AS38" t="s">
        <v>1144</v>
      </c>
      <c r="AT38" t="s">
        <v>1146</v>
      </c>
      <c r="AU38" t="s">
        <v>953</v>
      </c>
      <c r="AV38" t="s">
        <v>955</v>
      </c>
      <c r="AW38" t="s">
        <v>1153</v>
      </c>
      <c r="AX38" t="s">
        <v>1155</v>
      </c>
      <c r="AY38" t="s">
        <v>11663</v>
      </c>
      <c r="AZ38" t="s">
        <v>14380</v>
      </c>
      <c r="BA38" t="s">
        <v>1158</v>
      </c>
      <c r="BB38" t="s">
        <v>1352</v>
      </c>
      <c r="BC38" t="s">
        <v>1160</v>
      </c>
      <c r="BD38" t="s">
        <v>1353</v>
      </c>
      <c r="BE38" t="s">
        <v>1072</v>
      </c>
      <c r="BF38" t="s">
        <v>1386</v>
      </c>
      <c r="BG38" t="s">
        <v>1390</v>
      </c>
      <c r="BH38" t="s">
        <v>1392</v>
      </c>
      <c r="BI38" t="s">
        <v>1083</v>
      </c>
    </row>
    <row r="39" spans="1:63" customFormat="1" ht="15" x14ac:dyDescent="0.25">
      <c r="A39" t="s">
        <v>346</v>
      </c>
      <c r="B39" t="s">
        <v>345</v>
      </c>
      <c r="C39" t="s">
        <v>929</v>
      </c>
      <c r="D39" t="s">
        <v>1090</v>
      </c>
      <c r="E39" t="s">
        <v>1098</v>
      </c>
      <c r="F39" t="s">
        <v>1100</v>
      </c>
      <c r="G39" t="s">
        <v>933</v>
      </c>
      <c r="H39" t="s">
        <v>1111</v>
      </c>
      <c r="I39" t="s">
        <v>1115</v>
      </c>
      <c r="J39" t="s">
        <v>937</v>
      </c>
      <c r="K39" t="s">
        <v>938</v>
      </c>
      <c r="L39" t="s">
        <v>1126</v>
      </c>
      <c r="M39" t="s">
        <v>1025</v>
      </c>
      <c r="N39" t="s">
        <v>943</v>
      </c>
      <c r="O39" t="s">
        <v>945</v>
      </c>
      <c r="P39" t="s">
        <v>1134</v>
      </c>
      <c r="Q39" t="s">
        <v>1041</v>
      </c>
      <c r="R39" t="s">
        <v>1146</v>
      </c>
      <c r="S39" t="s">
        <v>1152</v>
      </c>
      <c r="T39" t="s">
        <v>9788</v>
      </c>
      <c r="U39" t="s">
        <v>1056</v>
      </c>
      <c r="V39" t="s">
        <v>955</v>
      </c>
      <c r="W39" t="s">
        <v>14374</v>
      </c>
      <c r="X39" t="s">
        <v>1159</v>
      </c>
      <c r="Y39" t="s">
        <v>1178</v>
      </c>
      <c r="Z39" t="s">
        <v>1399</v>
      </c>
    </row>
    <row r="40" spans="1:63" customFormat="1" ht="15" x14ac:dyDescent="0.25">
      <c r="A40" t="s">
        <v>348</v>
      </c>
      <c r="B40" t="s">
        <v>347</v>
      </c>
      <c r="C40" t="s">
        <v>1565</v>
      </c>
      <c r="D40" t="s">
        <v>929</v>
      </c>
      <c r="E40" t="s">
        <v>9790</v>
      </c>
      <c r="F40" t="s">
        <v>10520</v>
      </c>
      <c r="G40" t="s">
        <v>9784</v>
      </c>
      <c r="H40" t="s">
        <v>1583</v>
      </c>
      <c r="I40" t="s">
        <v>1584</v>
      </c>
      <c r="J40" t="s">
        <v>1582</v>
      </c>
      <c r="K40" t="s">
        <v>1102</v>
      </c>
      <c r="L40" t="s">
        <v>933</v>
      </c>
      <c r="M40" t="s">
        <v>996</v>
      </c>
      <c r="N40" t="s">
        <v>1416</v>
      </c>
      <c r="O40" t="s">
        <v>10638</v>
      </c>
      <c r="P40" t="s">
        <v>938</v>
      </c>
      <c r="Q40" t="s">
        <v>1012</v>
      </c>
      <c r="R40" t="s">
        <v>10667</v>
      </c>
      <c r="S40" t="s">
        <v>1126</v>
      </c>
      <c r="T40" t="s">
        <v>1025</v>
      </c>
      <c r="U40" t="s">
        <v>10681</v>
      </c>
      <c r="V40" t="s">
        <v>945</v>
      </c>
      <c r="W40" t="s">
        <v>949</v>
      </c>
      <c r="X40" t="s">
        <v>1041</v>
      </c>
      <c r="Y40" t="s">
        <v>9787</v>
      </c>
      <c r="Z40" t="s">
        <v>1140</v>
      </c>
      <c r="AA40" t="s">
        <v>1146</v>
      </c>
      <c r="AB40" t="s">
        <v>951</v>
      </c>
      <c r="AC40" t="s">
        <v>1642</v>
      </c>
      <c r="AD40" t="s">
        <v>953</v>
      </c>
      <c r="AE40" t="s">
        <v>955</v>
      </c>
      <c r="AF40" t="s">
        <v>1654</v>
      </c>
      <c r="AG40" t="s">
        <v>1155</v>
      </c>
      <c r="AH40" t="s">
        <v>1661</v>
      </c>
      <c r="AI40" t="s">
        <v>1341</v>
      </c>
      <c r="AJ40" t="s">
        <v>11663</v>
      </c>
      <c r="AK40" t="s">
        <v>14374</v>
      </c>
      <c r="AL40" t="s">
        <v>1158</v>
      </c>
      <c r="AM40" t="s">
        <v>962</v>
      </c>
      <c r="AN40" t="s">
        <v>11709</v>
      </c>
      <c r="AO40" t="s">
        <v>1665</v>
      </c>
      <c r="AP40" t="s">
        <v>1353</v>
      </c>
      <c r="AQ40" t="s">
        <v>1676</v>
      </c>
      <c r="AR40" t="s">
        <v>1069</v>
      </c>
      <c r="AS40" t="s">
        <v>1072</v>
      </c>
      <c r="AT40" t="s">
        <v>10774</v>
      </c>
      <c r="AU40" t="s">
        <v>1080</v>
      </c>
      <c r="AV40" t="s">
        <v>1697</v>
      </c>
      <c r="AW40" t="s">
        <v>1699</v>
      </c>
    </row>
    <row r="41" spans="1:63" customFormat="1" ht="15" x14ac:dyDescent="0.25">
      <c r="A41" t="s">
        <v>350</v>
      </c>
      <c r="B41" t="s">
        <v>349</v>
      </c>
      <c r="C41" t="s">
        <v>1702</v>
      </c>
      <c r="D41" t="s">
        <v>10568</v>
      </c>
      <c r="E41" t="s">
        <v>926</v>
      </c>
      <c r="F41" t="s">
        <v>929</v>
      </c>
      <c r="G41" t="s">
        <v>1703</v>
      </c>
      <c r="H41" t="s">
        <v>931</v>
      </c>
      <c r="I41" t="s">
        <v>9784</v>
      </c>
      <c r="J41" t="s">
        <v>14400</v>
      </c>
      <c r="K41" t="s">
        <v>9836</v>
      </c>
      <c r="L41" t="s">
        <v>1708</v>
      </c>
      <c r="M41" t="s">
        <v>1707</v>
      </c>
      <c r="N41" t="s">
        <v>1709</v>
      </c>
      <c r="O41" t="s">
        <v>1710</v>
      </c>
      <c r="P41" t="s">
        <v>933</v>
      </c>
      <c r="Q41" t="s">
        <v>1724</v>
      </c>
      <c r="R41" t="s">
        <v>1725</v>
      </c>
      <c r="S41" t="s">
        <v>996</v>
      </c>
      <c r="T41" t="s">
        <v>1729</v>
      </c>
      <c r="U41" t="s">
        <v>1000</v>
      </c>
      <c r="V41" t="s">
        <v>10638</v>
      </c>
      <c r="W41" t="s">
        <v>1739</v>
      </c>
      <c r="X41" t="s">
        <v>1008</v>
      </c>
      <c r="Y41" t="s">
        <v>937</v>
      </c>
      <c r="Z41" t="s">
        <v>938</v>
      </c>
      <c r="AA41" t="s">
        <v>940</v>
      </c>
      <c r="AB41" t="s">
        <v>1013</v>
      </c>
      <c r="AC41" t="s">
        <v>1740</v>
      </c>
      <c r="AD41" t="s">
        <v>1741</v>
      </c>
      <c r="AE41" t="s">
        <v>942</v>
      </c>
      <c r="AF41" t="s">
        <v>10681</v>
      </c>
      <c r="AG41" t="s">
        <v>1745</v>
      </c>
      <c r="AH41" t="s">
        <v>945</v>
      </c>
      <c r="AI41" t="s">
        <v>1749</v>
      </c>
      <c r="AJ41" t="s">
        <v>1752</v>
      </c>
      <c r="AK41" t="s">
        <v>951</v>
      </c>
      <c r="AL41" t="s">
        <v>1048</v>
      </c>
      <c r="AM41" t="s">
        <v>11720</v>
      </c>
      <c r="AN41" t="s">
        <v>1056</v>
      </c>
      <c r="AO41" t="s">
        <v>955</v>
      </c>
      <c r="AP41" t="s">
        <v>1764</v>
      </c>
      <c r="AQ41" t="s">
        <v>960</v>
      </c>
      <c r="AR41" t="s">
        <v>1766</v>
      </c>
      <c r="AS41" t="s">
        <v>1158</v>
      </c>
      <c r="AT41" t="s">
        <v>962</v>
      </c>
      <c r="AU41" t="s">
        <v>11667</v>
      </c>
      <c r="AV41" t="s">
        <v>1069</v>
      </c>
      <c r="AW41" t="s">
        <v>1072</v>
      </c>
      <c r="AX41" t="s">
        <v>1787</v>
      </c>
      <c r="AY41" t="s">
        <v>966</v>
      </c>
      <c r="AZ41" t="s">
        <v>1792</v>
      </c>
    </row>
    <row r="42" spans="1:63" customFormat="1" ht="15" x14ac:dyDescent="0.25">
      <c r="A42" t="s">
        <v>352</v>
      </c>
      <c r="B42" t="s">
        <v>351</v>
      </c>
      <c r="C42" t="s">
        <v>926</v>
      </c>
      <c r="D42" t="s">
        <v>1099</v>
      </c>
      <c r="E42" t="s">
        <v>11670</v>
      </c>
      <c r="F42" t="s">
        <v>933</v>
      </c>
      <c r="G42" t="s">
        <v>1110</v>
      </c>
      <c r="H42" t="s">
        <v>1113</v>
      </c>
      <c r="I42" t="s">
        <v>10638</v>
      </c>
      <c r="J42" t="s">
        <v>940</v>
      </c>
      <c r="K42" t="s">
        <v>10667</v>
      </c>
      <c r="L42" t="s">
        <v>1126</v>
      </c>
      <c r="M42" t="s">
        <v>10681</v>
      </c>
      <c r="N42" t="s">
        <v>1041</v>
      </c>
      <c r="O42" t="s">
        <v>9787</v>
      </c>
      <c r="P42" t="s">
        <v>951</v>
      </c>
      <c r="Q42" t="s">
        <v>1048</v>
      </c>
      <c r="R42" t="s">
        <v>1051</v>
      </c>
      <c r="S42" t="s">
        <v>1152</v>
      </c>
      <c r="T42" t="s">
        <v>11720</v>
      </c>
      <c r="U42" t="s">
        <v>9788</v>
      </c>
      <c r="V42" t="s">
        <v>1057</v>
      </c>
      <c r="W42" t="s">
        <v>1155</v>
      </c>
      <c r="X42" t="s">
        <v>14374</v>
      </c>
      <c r="Y42" t="s">
        <v>1176</v>
      </c>
      <c r="Z42" t="s">
        <v>1183</v>
      </c>
    </row>
    <row r="43" spans="1:63" customFormat="1" ht="15" x14ac:dyDescent="0.25">
      <c r="A43" t="s">
        <v>354</v>
      </c>
      <c r="B43" t="s">
        <v>353</v>
      </c>
      <c r="C43" t="s">
        <v>1195</v>
      </c>
      <c r="D43" t="s">
        <v>971</v>
      </c>
      <c r="E43" t="s">
        <v>926</v>
      </c>
      <c r="F43" t="s">
        <v>9800</v>
      </c>
      <c r="G43" t="s">
        <v>929</v>
      </c>
      <c r="H43" t="s">
        <v>9858</v>
      </c>
      <c r="I43" t="s">
        <v>9784</v>
      </c>
      <c r="J43" t="s">
        <v>1094</v>
      </c>
      <c r="K43" t="s">
        <v>10598</v>
      </c>
      <c r="L43" t="s">
        <v>10600</v>
      </c>
      <c r="M43" t="s">
        <v>1217</v>
      </c>
      <c r="N43" t="s">
        <v>1102</v>
      </c>
      <c r="O43" t="s">
        <v>1223</v>
      </c>
      <c r="P43" t="s">
        <v>933</v>
      </c>
      <c r="Q43" t="s">
        <v>1227</v>
      </c>
      <c r="R43" t="s">
        <v>1229</v>
      </c>
      <c r="S43" t="s">
        <v>1239</v>
      </c>
      <c r="T43" t="s">
        <v>1248</v>
      </c>
      <c r="U43" t="s">
        <v>10638</v>
      </c>
      <c r="V43" t="s">
        <v>1008</v>
      </c>
      <c r="W43" t="s">
        <v>1264</v>
      </c>
      <c r="X43" t="s">
        <v>938</v>
      </c>
      <c r="Y43" t="s">
        <v>940</v>
      </c>
      <c r="Z43" t="s">
        <v>1012</v>
      </c>
      <c r="AA43" t="s">
        <v>1283</v>
      </c>
      <c r="AB43" t="s">
        <v>10667</v>
      </c>
      <c r="AC43" t="s">
        <v>1126</v>
      </c>
      <c r="AD43" t="s">
        <v>1025</v>
      </c>
      <c r="AE43" t="s">
        <v>1293</v>
      </c>
      <c r="AF43" t="s">
        <v>10681</v>
      </c>
      <c r="AG43" t="s">
        <v>943</v>
      </c>
      <c r="AH43" t="s">
        <v>945</v>
      </c>
      <c r="AI43" t="s">
        <v>1134</v>
      </c>
      <c r="AJ43" t="s">
        <v>949</v>
      </c>
      <c r="AK43" t="s">
        <v>1135</v>
      </c>
      <c r="AL43" t="s">
        <v>1041</v>
      </c>
      <c r="AM43" t="s">
        <v>1146</v>
      </c>
      <c r="AN43" t="s">
        <v>1318</v>
      </c>
      <c r="AO43" t="s">
        <v>1321</v>
      </c>
      <c r="AP43" t="s">
        <v>1323</v>
      </c>
      <c r="AQ43" t="s">
        <v>11681</v>
      </c>
      <c r="AR43" t="s">
        <v>1330</v>
      </c>
      <c r="AS43" t="s">
        <v>953</v>
      </c>
      <c r="AT43" t="s">
        <v>9788</v>
      </c>
      <c r="AU43" t="s">
        <v>955</v>
      </c>
      <c r="AV43" t="s">
        <v>11663</v>
      </c>
      <c r="AW43" t="s">
        <v>14374</v>
      </c>
      <c r="AX43" t="s">
        <v>1347</v>
      </c>
      <c r="AY43" t="s">
        <v>1357</v>
      </c>
      <c r="AZ43" t="s">
        <v>1069</v>
      </c>
      <c r="BA43" t="s">
        <v>1072</v>
      </c>
      <c r="BB43" t="s">
        <v>1380</v>
      </c>
      <c r="BC43" t="s">
        <v>1389</v>
      </c>
    </row>
    <row r="44" spans="1:63" customFormat="1" ht="15" x14ac:dyDescent="0.25">
      <c r="A44" t="s">
        <v>356</v>
      </c>
      <c r="B44" t="s">
        <v>355</v>
      </c>
      <c r="C44" t="s">
        <v>926</v>
      </c>
      <c r="D44" t="s">
        <v>983</v>
      </c>
      <c r="E44" t="s">
        <v>1808</v>
      </c>
      <c r="F44" t="s">
        <v>1809</v>
      </c>
      <c r="G44" t="s">
        <v>1715</v>
      </c>
      <c r="H44" t="s">
        <v>933</v>
      </c>
      <c r="I44" t="s">
        <v>11660</v>
      </c>
      <c r="J44" t="s">
        <v>10643</v>
      </c>
      <c r="K44" t="s">
        <v>1009</v>
      </c>
      <c r="L44" t="s">
        <v>940</v>
      </c>
      <c r="M44" t="s">
        <v>1013</v>
      </c>
      <c r="N44" t="s">
        <v>1026</v>
      </c>
      <c r="O44" t="s">
        <v>1030</v>
      </c>
      <c r="P44" t="s">
        <v>1049</v>
      </c>
      <c r="Q44" t="s">
        <v>1051</v>
      </c>
      <c r="R44" t="s">
        <v>1758</v>
      </c>
      <c r="S44" t="s">
        <v>11663</v>
      </c>
      <c r="T44" t="s">
        <v>962</v>
      </c>
      <c r="U44" t="s">
        <v>1865</v>
      </c>
    </row>
    <row r="45" spans="1:63" customFormat="1" ht="15" x14ac:dyDescent="0.25">
      <c r="A45" t="s">
        <v>358</v>
      </c>
      <c r="B45" t="s">
        <v>357</v>
      </c>
      <c r="C45" t="s">
        <v>929</v>
      </c>
      <c r="D45" t="s">
        <v>1090</v>
      </c>
      <c r="E45" t="s">
        <v>933</v>
      </c>
      <c r="F45" t="s">
        <v>1005</v>
      </c>
      <c r="G45" t="s">
        <v>1010</v>
      </c>
      <c r="H45" t="s">
        <v>1119</v>
      </c>
      <c r="I45" t="s">
        <v>938</v>
      </c>
      <c r="J45" t="s">
        <v>1122</v>
      </c>
      <c r="K45" t="s">
        <v>1025</v>
      </c>
      <c r="L45" t="s">
        <v>943</v>
      </c>
      <c r="M45" t="s">
        <v>1134</v>
      </c>
      <c r="N45" t="s">
        <v>949</v>
      </c>
      <c r="O45" t="s">
        <v>1138</v>
      </c>
      <c r="P45" t="s">
        <v>1142</v>
      </c>
      <c r="Q45" t="s">
        <v>1146</v>
      </c>
      <c r="R45" t="s">
        <v>955</v>
      </c>
      <c r="S45" t="s">
        <v>1154</v>
      </c>
      <c r="T45" t="s">
        <v>11663</v>
      </c>
      <c r="U45" t="s">
        <v>1181</v>
      </c>
    </row>
    <row r="46" spans="1:63" customFormat="1" ht="15" x14ac:dyDescent="0.25">
      <c r="A46" t="s">
        <v>360</v>
      </c>
      <c r="B46" t="s">
        <v>359</v>
      </c>
      <c r="C46" t="s">
        <v>971</v>
      </c>
      <c r="D46" t="s">
        <v>926</v>
      </c>
      <c r="E46" t="s">
        <v>929</v>
      </c>
      <c r="F46" t="s">
        <v>997</v>
      </c>
      <c r="G46" t="s">
        <v>1001</v>
      </c>
      <c r="H46" t="s">
        <v>1003</v>
      </c>
      <c r="I46" t="s">
        <v>1004</v>
      </c>
      <c r="J46" t="s">
        <v>10638</v>
      </c>
      <c r="K46" t="s">
        <v>937</v>
      </c>
      <c r="L46" t="s">
        <v>1026</v>
      </c>
      <c r="M46" t="s">
        <v>943</v>
      </c>
      <c r="N46" t="s">
        <v>1030</v>
      </c>
      <c r="O46" t="s">
        <v>1038</v>
      </c>
      <c r="P46" t="s">
        <v>1043</v>
      </c>
      <c r="Q46" t="s">
        <v>951</v>
      </c>
      <c r="R46" t="s">
        <v>1048</v>
      </c>
      <c r="S46" t="s">
        <v>1049</v>
      </c>
      <c r="T46" t="s">
        <v>1051</v>
      </c>
      <c r="U46" t="s">
        <v>1079</v>
      </c>
    </row>
    <row r="47" spans="1:63" customFormat="1" ht="15" x14ac:dyDescent="0.25">
      <c r="A47" t="s">
        <v>9850</v>
      </c>
      <c r="B47" t="s">
        <v>9851</v>
      </c>
      <c r="C47" t="s">
        <v>1564</v>
      </c>
      <c r="D47" t="s">
        <v>1196</v>
      </c>
      <c r="E47" t="s">
        <v>924</v>
      </c>
      <c r="F47" t="s">
        <v>10568</v>
      </c>
      <c r="G47" t="s">
        <v>926</v>
      </c>
      <c r="H47" t="s">
        <v>929</v>
      </c>
      <c r="I47" t="s">
        <v>983</v>
      </c>
      <c r="J47" t="s">
        <v>933</v>
      </c>
      <c r="K47" t="s">
        <v>996</v>
      </c>
      <c r="L47" t="s">
        <v>1596</v>
      </c>
      <c r="M47" t="s">
        <v>998</v>
      </c>
      <c r="N47" t="s">
        <v>10624</v>
      </c>
      <c r="O47" t="s">
        <v>10638</v>
      </c>
      <c r="P47" t="s">
        <v>1005</v>
      </c>
      <c r="Q47" t="s">
        <v>10643</v>
      </c>
      <c r="R47" t="s">
        <v>11676</v>
      </c>
      <c r="S47" t="s">
        <v>1010</v>
      </c>
      <c r="T47" t="s">
        <v>937</v>
      </c>
      <c r="U47" t="s">
        <v>1119</v>
      </c>
      <c r="V47" t="s">
        <v>938</v>
      </c>
      <c r="W47" t="s">
        <v>940</v>
      </c>
      <c r="X47" t="s">
        <v>1122</v>
      </c>
      <c r="Y47" t="s">
        <v>11755</v>
      </c>
      <c r="Z47" t="s">
        <v>1025</v>
      </c>
      <c r="AA47" t="s">
        <v>1028</v>
      </c>
      <c r="AB47" t="s">
        <v>943</v>
      </c>
      <c r="AC47" t="s">
        <v>945</v>
      </c>
      <c r="AD47" t="s">
        <v>949</v>
      </c>
      <c r="AE47" t="s">
        <v>1138</v>
      </c>
      <c r="AF47" t="s">
        <v>1041</v>
      </c>
      <c r="AG47" t="s">
        <v>1142</v>
      </c>
      <c r="AH47" t="s">
        <v>1043</v>
      </c>
      <c r="AI47" t="s">
        <v>1146</v>
      </c>
      <c r="AJ47" t="s">
        <v>951</v>
      </c>
      <c r="AK47" t="s">
        <v>1048</v>
      </c>
      <c r="AL47" t="s">
        <v>1051</v>
      </c>
      <c r="AM47" t="s">
        <v>1646</v>
      </c>
      <c r="AN47" t="s">
        <v>953</v>
      </c>
      <c r="AO47" t="s">
        <v>1651</v>
      </c>
      <c r="AP47" t="s">
        <v>11720</v>
      </c>
      <c r="AQ47" t="s">
        <v>9788</v>
      </c>
      <c r="AR47" t="s">
        <v>1056</v>
      </c>
      <c r="AS47" t="s">
        <v>1057</v>
      </c>
      <c r="AT47" t="s">
        <v>955</v>
      </c>
      <c r="AU47" t="s">
        <v>1660</v>
      </c>
      <c r="AV47" t="s">
        <v>11663</v>
      </c>
      <c r="AW47" t="s">
        <v>14380</v>
      </c>
      <c r="AX47" t="s">
        <v>14374</v>
      </c>
      <c r="AY47" t="s">
        <v>962</v>
      </c>
      <c r="AZ47" t="s">
        <v>1666</v>
      </c>
      <c r="BA47" t="s">
        <v>1668</v>
      </c>
      <c r="BB47" t="s">
        <v>1066</v>
      </c>
      <c r="BC47" t="s">
        <v>11667</v>
      </c>
      <c r="BD47" t="s">
        <v>1069</v>
      </c>
      <c r="BE47" t="s">
        <v>1072</v>
      </c>
      <c r="BF47" t="s">
        <v>966</v>
      </c>
      <c r="BG47" t="s">
        <v>1181</v>
      </c>
      <c r="BH47" t="s">
        <v>1078</v>
      </c>
      <c r="BI47" t="s">
        <v>1080</v>
      </c>
      <c r="BJ47" t="s">
        <v>14377</v>
      </c>
      <c r="BK47" t="s">
        <v>981</v>
      </c>
    </row>
    <row r="48" spans="1:63" customFormat="1" ht="15" x14ac:dyDescent="0.25">
      <c r="A48" t="s">
        <v>362</v>
      </c>
      <c r="B48" t="s">
        <v>361</v>
      </c>
      <c r="C48" t="s">
        <v>971</v>
      </c>
      <c r="D48" t="s">
        <v>929</v>
      </c>
      <c r="E48" t="s">
        <v>1463</v>
      </c>
      <c r="F48" t="s">
        <v>985</v>
      </c>
      <c r="G48" t="s">
        <v>1471</v>
      </c>
      <c r="H48" t="s">
        <v>991</v>
      </c>
      <c r="I48" t="s">
        <v>935</v>
      </c>
      <c r="J48" t="s">
        <v>1416</v>
      </c>
      <c r="K48" t="s">
        <v>1006</v>
      </c>
      <c r="L48" t="s">
        <v>1009</v>
      </c>
      <c r="M48" t="s">
        <v>937</v>
      </c>
      <c r="N48" t="s">
        <v>940</v>
      </c>
      <c r="O48" t="s">
        <v>1013</v>
      </c>
      <c r="P48" t="s">
        <v>1031</v>
      </c>
      <c r="Q48" t="s">
        <v>1521</v>
      </c>
      <c r="R48" t="s">
        <v>951</v>
      </c>
      <c r="S48" t="s">
        <v>1048</v>
      </c>
      <c r="T48" t="s">
        <v>1051</v>
      </c>
      <c r="U48" t="s">
        <v>1529</v>
      </c>
      <c r="V48" t="s">
        <v>1075</v>
      </c>
      <c r="W48" t="s">
        <v>1083</v>
      </c>
    </row>
    <row r="49" spans="1:63" customFormat="1" ht="15" x14ac:dyDescent="0.25">
      <c r="A49" t="s">
        <v>364</v>
      </c>
      <c r="B49" t="s">
        <v>363</v>
      </c>
      <c r="C49" t="s">
        <v>1016</v>
      </c>
      <c r="D49" t="s">
        <v>974</v>
      </c>
      <c r="E49" t="s">
        <v>1452</v>
      </c>
      <c r="F49" t="s">
        <v>929</v>
      </c>
      <c r="G49" t="s">
        <v>1461</v>
      </c>
      <c r="H49" t="s">
        <v>1463</v>
      </c>
      <c r="I49" t="s">
        <v>991</v>
      </c>
      <c r="J49" t="s">
        <v>935</v>
      </c>
      <c r="K49" t="s">
        <v>11660</v>
      </c>
      <c r="L49" t="s">
        <v>10638</v>
      </c>
      <c r="M49" t="s">
        <v>1006</v>
      </c>
      <c r="N49" t="s">
        <v>1009</v>
      </c>
      <c r="O49" t="s">
        <v>940</v>
      </c>
      <c r="P49" t="s">
        <v>1013</v>
      </c>
      <c r="Q49" t="s">
        <v>1495</v>
      </c>
      <c r="R49" t="s">
        <v>9819</v>
      </c>
      <c r="S49" t="s">
        <v>9820</v>
      </c>
      <c r="T49" t="s">
        <v>1513</v>
      </c>
      <c r="U49" t="s">
        <v>1516</v>
      </c>
      <c r="V49" t="s">
        <v>1031</v>
      </c>
      <c r="W49" t="s">
        <v>1521</v>
      </c>
      <c r="X49" t="s">
        <v>1046</v>
      </c>
      <c r="Y49" t="s">
        <v>951</v>
      </c>
      <c r="Z49" t="s">
        <v>1048</v>
      </c>
      <c r="AA49" t="s">
        <v>11697</v>
      </c>
      <c r="AB49" t="s">
        <v>1051</v>
      </c>
      <c r="AC49" t="s">
        <v>1529</v>
      </c>
      <c r="AD49" t="s">
        <v>953</v>
      </c>
      <c r="AE49" t="s">
        <v>955</v>
      </c>
      <c r="AF49" t="s">
        <v>1535</v>
      </c>
      <c r="AG49" t="s">
        <v>1547</v>
      </c>
      <c r="AH49" t="s">
        <v>1069</v>
      </c>
      <c r="AI49" t="s">
        <v>1072</v>
      </c>
      <c r="AJ49" t="s">
        <v>1194</v>
      </c>
      <c r="AK49" t="s">
        <v>1083</v>
      </c>
    </row>
    <row r="50" spans="1:63" customFormat="1" ht="15" x14ac:dyDescent="0.25">
      <c r="A50" t="s">
        <v>366</v>
      </c>
      <c r="B50" t="s">
        <v>365</v>
      </c>
      <c r="C50" t="s">
        <v>1872</v>
      </c>
      <c r="D50" t="s">
        <v>971</v>
      </c>
      <c r="E50" t="s">
        <v>929</v>
      </c>
      <c r="F50" t="s">
        <v>978</v>
      </c>
      <c r="G50" t="s">
        <v>1458</v>
      </c>
      <c r="H50" t="s">
        <v>9784</v>
      </c>
      <c r="I50" t="s">
        <v>1875</v>
      </c>
      <c r="J50" t="s">
        <v>1876</v>
      </c>
      <c r="K50" t="s">
        <v>1877</v>
      </c>
      <c r="L50" t="s">
        <v>1879</v>
      </c>
      <c r="M50" t="s">
        <v>991</v>
      </c>
      <c r="N50" t="s">
        <v>1884</v>
      </c>
      <c r="O50" t="s">
        <v>10638</v>
      </c>
      <c r="P50" t="s">
        <v>937</v>
      </c>
      <c r="Q50" t="s">
        <v>1891</v>
      </c>
      <c r="R50" t="s">
        <v>1011</v>
      </c>
      <c r="S50" t="s">
        <v>938</v>
      </c>
      <c r="T50" t="s">
        <v>940</v>
      </c>
      <c r="U50" t="s">
        <v>1423</v>
      </c>
      <c r="V50" t="s">
        <v>1013</v>
      </c>
      <c r="W50" t="s">
        <v>1899</v>
      </c>
      <c r="X50" t="s">
        <v>1516</v>
      </c>
      <c r="Y50" t="s">
        <v>951</v>
      </c>
      <c r="Z50" t="s">
        <v>1048</v>
      </c>
      <c r="AA50" t="s">
        <v>1057</v>
      </c>
      <c r="AB50" t="s">
        <v>955</v>
      </c>
      <c r="AC50" t="s">
        <v>962</v>
      </c>
      <c r="AD50" t="s">
        <v>1066</v>
      </c>
      <c r="AE50" t="s">
        <v>1069</v>
      </c>
      <c r="AF50" t="s">
        <v>1072</v>
      </c>
      <c r="AG50" t="s">
        <v>9883</v>
      </c>
      <c r="AH50" t="s">
        <v>1075</v>
      </c>
      <c r="AI50" t="s">
        <v>1563</v>
      </c>
      <c r="AJ50" t="s">
        <v>1083</v>
      </c>
    </row>
    <row r="51" spans="1:63" customFormat="1" ht="15" x14ac:dyDescent="0.25">
      <c r="A51" t="s">
        <v>368</v>
      </c>
      <c r="B51" t="s">
        <v>367</v>
      </c>
      <c r="C51" t="s">
        <v>929</v>
      </c>
      <c r="D51" t="s">
        <v>1086</v>
      </c>
      <c r="E51" t="s">
        <v>1101</v>
      </c>
      <c r="F51" t="s">
        <v>933</v>
      </c>
      <c r="G51" t="s">
        <v>935</v>
      </c>
      <c r="H51" t="s">
        <v>1113</v>
      </c>
      <c r="I51" t="s">
        <v>1003</v>
      </c>
      <c r="J51" t="s">
        <v>1010</v>
      </c>
      <c r="K51" t="s">
        <v>937</v>
      </c>
      <c r="L51" t="s">
        <v>940</v>
      </c>
      <c r="M51" t="s">
        <v>1123</v>
      </c>
      <c r="N51" t="s">
        <v>1126</v>
      </c>
      <c r="O51" t="s">
        <v>1025</v>
      </c>
      <c r="P51" t="s">
        <v>943</v>
      </c>
      <c r="Q51" t="s">
        <v>1041</v>
      </c>
      <c r="R51" t="s">
        <v>1140</v>
      </c>
      <c r="S51" t="s">
        <v>1141</v>
      </c>
      <c r="T51" t="s">
        <v>1143</v>
      </c>
      <c r="U51" t="s">
        <v>1146</v>
      </c>
      <c r="V51" t="s">
        <v>1048</v>
      </c>
      <c r="W51" t="s">
        <v>9788</v>
      </c>
      <c r="X51" t="s">
        <v>1057</v>
      </c>
      <c r="Y51" t="s">
        <v>955</v>
      </c>
      <c r="Z51" t="s">
        <v>14374</v>
      </c>
      <c r="AA51" t="s">
        <v>962</v>
      </c>
      <c r="AB51" t="s">
        <v>1168</v>
      </c>
      <c r="AC51" t="s">
        <v>9797</v>
      </c>
      <c r="AD51" t="s">
        <v>1176</v>
      </c>
      <c r="AE51" t="s">
        <v>1072</v>
      </c>
      <c r="AF51" t="s">
        <v>1184</v>
      </c>
      <c r="AG51" t="s">
        <v>1194</v>
      </c>
      <c r="AH51" t="s">
        <v>981</v>
      </c>
    </row>
    <row r="52" spans="1:63" customFormat="1" ht="15" x14ac:dyDescent="0.25">
      <c r="A52" t="s">
        <v>370</v>
      </c>
      <c r="B52" t="s">
        <v>369</v>
      </c>
      <c r="C52" t="s">
        <v>1195</v>
      </c>
      <c r="D52" t="s">
        <v>1564</v>
      </c>
      <c r="E52" t="s">
        <v>1198</v>
      </c>
      <c r="F52" t="s">
        <v>1087</v>
      </c>
      <c r="G52" t="s">
        <v>1218</v>
      </c>
      <c r="H52" t="s">
        <v>1219</v>
      </c>
      <c r="I52" t="s">
        <v>933</v>
      </c>
      <c r="J52" t="s">
        <v>1105</v>
      </c>
      <c r="K52" t="s">
        <v>1244</v>
      </c>
      <c r="L52" t="s">
        <v>1008</v>
      </c>
      <c r="M52" t="s">
        <v>1259</v>
      </c>
      <c r="N52" t="s">
        <v>1261</v>
      </c>
      <c r="O52" t="s">
        <v>1273</v>
      </c>
      <c r="P52" t="s">
        <v>1124</v>
      </c>
      <c r="Q52" t="s">
        <v>1278</v>
      </c>
      <c r="R52" t="s">
        <v>1025</v>
      </c>
      <c r="S52" t="s">
        <v>1131</v>
      </c>
      <c r="T52" t="s">
        <v>1306</v>
      </c>
      <c r="U52" t="s">
        <v>1134</v>
      </c>
      <c r="V52" t="s">
        <v>949</v>
      </c>
      <c r="W52" t="s">
        <v>1309</v>
      </c>
      <c r="X52" t="s">
        <v>1310</v>
      </c>
      <c r="Y52" t="s">
        <v>1139</v>
      </c>
      <c r="Z52" t="s">
        <v>1140</v>
      </c>
      <c r="AA52" t="s">
        <v>1315</v>
      </c>
      <c r="AB52" t="s">
        <v>1043</v>
      </c>
      <c r="AC52" t="s">
        <v>1146</v>
      </c>
      <c r="AD52" t="s">
        <v>951</v>
      </c>
      <c r="AE52" t="s">
        <v>1048</v>
      </c>
      <c r="AF52" t="s">
        <v>1056</v>
      </c>
      <c r="AG52" t="s">
        <v>955</v>
      </c>
      <c r="AH52" t="s">
        <v>1153</v>
      </c>
      <c r="AI52" t="s">
        <v>9811</v>
      </c>
      <c r="AJ52" t="s">
        <v>1339</v>
      </c>
      <c r="AK52" t="s">
        <v>1340</v>
      </c>
      <c r="AL52" t="s">
        <v>11663</v>
      </c>
      <c r="AM52" t="s">
        <v>14380</v>
      </c>
      <c r="AN52" t="s">
        <v>10731</v>
      </c>
      <c r="AO52" t="s">
        <v>1344</v>
      </c>
      <c r="AP52" t="s">
        <v>1158</v>
      </c>
      <c r="AQ52" t="s">
        <v>1352</v>
      </c>
      <c r="AR52" t="s">
        <v>1069</v>
      </c>
      <c r="AS52" t="s">
        <v>1174</v>
      </c>
      <c r="AT52" t="s">
        <v>1072</v>
      </c>
      <c r="AU52" t="s">
        <v>1386</v>
      </c>
      <c r="AV52" t="s">
        <v>1396</v>
      </c>
    </row>
    <row r="53" spans="1:63" customFormat="1" ht="15" x14ac:dyDescent="0.25">
      <c r="A53" t="s">
        <v>372</v>
      </c>
      <c r="B53" t="s">
        <v>371</v>
      </c>
      <c r="C53" t="s">
        <v>974</v>
      </c>
      <c r="D53" t="s">
        <v>926</v>
      </c>
      <c r="E53" t="s">
        <v>929</v>
      </c>
      <c r="F53" t="s">
        <v>1456</v>
      </c>
      <c r="G53" t="s">
        <v>9784</v>
      </c>
      <c r="H53" t="s">
        <v>983</v>
      </c>
      <c r="I53" t="s">
        <v>1715</v>
      </c>
      <c r="J53" t="s">
        <v>933</v>
      </c>
      <c r="K53" t="s">
        <v>11660</v>
      </c>
      <c r="L53" t="s">
        <v>10643</v>
      </c>
      <c r="M53" t="s">
        <v>10645</v>
      </c>
      <c r="N53" t="s">
        <v>937</v>
      </c>
      <c r="O53" t="s">
        <v>10652</v>
      </c>
      <c r="P53" t="s">
        <v>940</v>
      </c>
      <c r="Q53" t="s">
        <v>1013</v>
      </c>
      <c r="R53" t="s">
        <v>1028</v>
      </c>
      <c r="S53" t="s">
        <v>1030</v>
      </c>
      <c r="T53" t="s">
        <v>1041</v>
      </c>
      <c r="U53" t="s">
        <v>9787</v>
      </c>
      <c r="V53" t="s">
        <v>1049</v>
      </c>
      <c r="W53" t="s">
        <v>11720</v>
      </c>
      <c r="X53" t="s">
        <v>955</v>
      </c>
      <c r="Y53" t="s">
        <v>1856</v>
      </c>
      <c r="Z53" t="s">
        <v>9844</v>
      </c>
      <c r="AA53" t="s">
        <v>1861</v>
      </c>
      <c r="AB53" t="s">
        <v>1077</v>
      </c>
      <c r="AC53" t="s">
        <v>1865</v>
      </c>
    </row>
    <row r="54" spans="1:63" customFormat="1" ht="15" x14ac:dyDescent="0.25">
      <c r="A54" t="s">
        <v>374</v>
      </c>
      <c r="B54" t="s">
        <v>373</v>
      </c>
      <c r="C54" t="s">
        <v>926</v>
      </c>
      <c r="D54" t="s">
        <v>929</v>
      </c>
      <c r="E54" t="s">
        <v>1105</v>
      </c>
      <c r="F54" t="s">
        <v>1416</v>
      </c>
      <c r="G54" t="s">
        <v>1607</v>
      </c>
      <c r="H54" t="s">
        <v>1608</v>
      </c>
      <c r="I54" t="s">
        <v>10638</v>
      </c>
      <c r="J54" t="s">
        <v>1249</v>
      </c>
      <c r="K54" t="s">
        <v>1011</v>
      </c>
      <c r="L54" t="s">
        <v>938</v>
      </c>
      <c r="M54" t="s">
        <v>940</v>
      </c>
      <c r="N54" t="s">
        <v>1012</v>
      </c>
      <c r="O54" t="s">
        <v>1013</v>
      </c>
      <c r="P54" t="s">
        <v>1126</v>
      </c>
      <c r="Q54" t="s">
        <v>1025</v>
      </c>
      <c r="R54" t="s">
        <v>945</v>
      </c>
      <c r="S54" t="s">
        <v>1041</v>
      </c>
      <c r="T54" t="s">
        <v>9787</v>
      </c>
      <c r="U54" t="s">
        <v>1641</v>
      </c>
      <c r="V54" t="s">
        <v>951</v>
      </c>
      <c r="W54" t="s">
        <v>1048</v>
      </c>
      <c r="X54" t="s">
        <v>955</v>
      </c>
      <c r="Y54" t="s">
        <v>11663</v>
      </c>
      <c r="Z54" t="s">
        <v>1159</v>
      </c>
      <c r="AA54" t="s">
        <v>10755</v>
      </c>
      <c r="AB54" t="s">
        <v>1072</v>
      </c>
      <c r="AC54" t="s">
        <v>1684</v>
      </c>
      <c r="AD54" t="s">
        <v>1690</v>
      </c>
      <c r="AE54" t="s">
        <v>1691</v>
      </c>
      <c r="AF54" t="s">
        <v>1080</v>
      </c>
    </row>
    <row r="55" spans="1:63" customFormat="1" ht="15" x14ac:dyDescent="0.25">
      <c r="A55" t="s">
        <v>376</v>
      </c>
      <c r="B55" t="s">
        <v>375</v>
      </c>
      <c r="C55" t="s">
        <v>926</v>
      </c>
      <c r="D55" t="s">
        <v>929</v>
      </c>
      <c r="E55" t="s">
        <v>1100</v>
      </c>
      <c r="F55" t="s">
        <v>1111</v>
      </c>
      <c r="G55" t="s">
        <v>938</v>
      </c>
      <c r="H55" t="s">
        <v>1013</v>
      </c>
      <c r="I55" t="s">
        <v>1127</v>
      </c>
      <c r="J55" t="s">
        <v>1025</v>
      </c>
      <c r="K55" t="s">
        <v>945</v>
      </c>
      <c r="L55" t="s">
        <v>1033</v>
      </c>
      <c r="M55" t="s">
        <v>1134</v>
      </c>
      <c r="N55" t="s">
        <v>949</v>
      </c>
      <c r="O55" t="s">
        <v>1041</v>
      </c>
      <c r="P55" t="s">
        <v>1140</v>
      </c>
      <c r="Q55" t="s">
        <v>1146</v>
      </c>
      <c r="R55" t="s">
        <v>951</v>
      </c>
      <c r="S55" t="s">
        <v>1152</v>
      </c>
      <c r="T55" t="s">
        <v>11663</v>
      </c>
      <c r="U55" t="s">
        <v>1159</v>
      </c>
      <c r="V55" t="s">
        <v>1163</v>
      </c>
      <c r="W55" t="s">
        <v>1066</v>
      </c>
      <c r="X55" t="s">
        <v>1174</v>
      </c>
      <c r="Y55" t="s">
        <v>1176</v>
      </c>
      <c r="Z55" t="s">
        <v>1072</v>
      </c>
    </row>
    <row r="56" spans="1:63" customFormat="1" ht="15" x14ac:dyDescent="0.25">
      <c r="A56" t="s">
        <v>378</v>
      </c>
      <c r="B56" t="s">
        <v>377</v>
      </c>
      <c r="C56" t="s">
        <v>926</v>
      </c>
      <c r="D56" t="s">
        <v>929</v>
      </c>
      <c r="E56" t="s">
        <v>933</v>
      </c>
      <c r="F56" t="s">
        <v>992</v>
      </c>
      <c r="G56" t="s">
        <v>996</v>
      </c>
      <c r="H56" t="s">
        <v>10624</v>
      </c>
      <c r="I56" t="s">
        <v>1112</v>
      </c>
      <c r="J56" t="s">
        <v>10638</v>
      </c>
      <c r="K56" t="s">
        <v>1005</v>
      </c>
      <c r="L56" t="s">
        <v>1008</v>
      </c>
      <c r="M56" t="s">
        <v>937</v>
      </c>
      <c r="N56" t="s">
        <v>1119</v>
      </c>
      <c r="O56" t="s">
        <v>938</v>
      </c>
      <c r="P56" t="s">
        <v>940</v>
      </c>
      <c r="Q56" t="s">
        <v>1013</v>
      </c>
      <c r="R56" t="s">
        <v>1018</v>
      </c>
      <c r="S56" t="s">
        <v>1126</v>
      </c>
      <c r="T56" t="s">
        <v>1025</v>
      </c>
      <c r="U56" t="s">
        <v>9794</v>
      </c>
      <c r="V56" t="s">
        <v>949</v>
      </c>
      <c r="W56" t="s">
        <v>1041</v>
      </c>
      <c r="X56" t="s">
        <v>9787</v>
      </c>
      <c r="Y56" t="s">
        <v>1142</v>
      </c>
      <c r="Z56" t="s">
        <v>1146</v>
      </c>
      <c r="AA56" t="s">
        <v>951</v>
      </c>
      <c r="AB56" t="s">
        <v>1048</v>
      </c>
      <c r="AC56" t="s">
        <v>953</v>
      </c>
      <c r="AD56" t="s">
        <v>11720</v>
      </c>
      <c r="AE56" t="s">
        <v>9788</v>
      </c>
      <c r="AF56" t="s">
        <v>1154</v>
      </c>
      <c r="AG56" t="s">
        <v>14380</v>
      </c>
      <c r="AH56" t="s">
        <v>14374</v>
      </c>
      <c r="AI56" t="s">
        <v>1062</v>
      </c>
      <c r="AJ56" t="s">
        <v>962</v>
      </c>
      <c r="AK56" t="s">
        <v>1352</v>
      </c>
      <c r="AL56" t="s">
        <v>1069</v>
      </c>
      <c r="AM56" t="s">
        <v>1072</v>
      </c>
      <c r="AN56" t="s">
        <v>1181</v>
      </c>
      <c r="AO56" t="s">
        <v>11673</v>
      </c>
      <c r="AP56" t="s">
        <v>981</v>
      </c>
    </row>
    <row r="57" spans="1:63" customFormat="1" ht="15" x14ac:dyDescent="0.25">
      <c r="A57" t="s">
        <v>380</v>
      </c>
      <c r="B57" t="s">
        <v>379</v>
      </c>
      <c r="C57" t="s">
        <v>974</v>
      </c>
      <c r="D57" t="s">
        <v>926</v>
      </c>
      <c r="E57" t="s">
        <v>929</v>
      </c>
      <c r="F57" t="s">
        <v>1212</v>
      </c>
      <c r="G57" t="s">
        <v>997</v>
      </c>
      <c r="H57" t="s">
        <v>935</v>
      </c>
      <c r="I57" t="s">
        <v>11660</v>
      </c>
      <c r="J57" t="s">
        <v>1416</v>
      </c>
      <c r="K57" t="s">
        <v>10638</v>
      </c>
      <c r="L57" t="s">
        <v>1006</v>
      </c>
      <c r="M57" t="s">
        <v>1009</v>
      </c>
      <c r="N57" t="s">
        <v>937</v>
      </c>
      <c r="O57" t="s">
        <v>940</v>
      </c>
      <c r="P57" t="s">
        <v>1013</v>
      </c>
      <c r="Q57" t="s">
        <v>1026</v>
      </c>
      <c r="R57" t="s">
        <v>10681</v>
      </c>
      <c r="S57" t="s">
        <v>943</v>
      </c>
      <c r="T57" t="s">
        <v>1030</v>
      </c>
      <c r="U57" t="s">
        <v>1038</v>
      </c>
      <c r="V57" t="s">
        <v>1043</v>
      </c>
      <c r="W57" t="s">
        <v>951</v>
      </c>
      <c r="X57" t="s">
        <v>1048</v>
      </c>
      <c r="Y57" t="s">
        <v>1049</v>
      </c>
      <c r="Z57" t="s">
        <v>1051</v>
      </c>
      <c r="AA57" t="s">
        <v>953</v>
      </c>
      <c r="AB57" t="s">
        <v>9788</v>
      </c>
      <c r="AC57" t="s">
        <v>14374</v>
      </c>
      <c r="AD57" t="s">
        <v>1062</v>
      </c>
      <c r="AE57" t="s">
        <v>962</v>
      </c>
      <c r="AF57" t="s">
        <v>1066</v>
      </c>
      <c r="AG57" t="s">
        <v>11666</v>
      </c>
      <c r="AH57" t="s">
        <v>1068</v>
      </c>
      <c r="AI57" t="s">
        <v>1072</v>
      </c>
      <c r="AJ57" t="s">
        <v>1078</v>
      </c>
      <c r="AK57" t="s">
        <v>1079</v>
      </c>
    </row>
    <row r="58" spans="1:63" customFormat="1" ht="15" x14ac:dyDescent="0.25">
      <c r="A58" t="s">
        <v>382</v>
      </c>
      <c r="B58" t="s">
        <v>381</v>
      </c>
      <c r="C58" t="s">
        <v>926</v>
      </c>
      <c r="D58" t="s">
        <v>1100</v>
      </c>
      <c r="E58" t="s">
        <v>933</v>
      </c>
      <c r="F58" t="s">
        <v>1110</v>
      </c>
      <c r="G58" t="s">
        <v>998</v>
      </c>
      <c r="H58" t="s">
        <v>1111</v>
      </c>
      <c r="I58" t="s">
        <v>10638</v>
      </c>
      <c r="J58" t="s">
        <v>1008</v>
      </c>
      <c r="K58" t="s">
        <v>1010</v>
      </c>
      <c r="L58" t="s">
        <v>937</v>
      </c>
      <c r="M58" t="s">
        <v>1011</v>
      </c>
      <c r="N58" t="s">
        <v>938</v>
      </c>
      <c r="O58" t="s">
        <v>10667</v>
      </c>
      <c r="P58" t="s">
        <v>1126</v>
      </c>
      <c r="Q58" t="s">
        <v>1025</v>
      </c>
      <c r="R58" t="s">
        <v>10681</v>
      </c>
      <c r="S58" t="s">
        <v>1028</v>
      </c>
      <c r="T58" t="s">
        <v>943</v>
      </c>
      <c r="U58" t="s">
        <v>945</v>
      </c>
      <c r="V58" t="s">
        <v>1033</v>
      </c>
      <c r="W58" t="s">
        <v>1134</v>
      </c>
      <c r="X58" t="s">
        <v>949</v>
      </c>
      <c r="Y58" t="s">
        <v>1041</v>
      </c>
      <c r="Z58" t="s">
        <v>1140</v>
      </c>
      <c r="AA58" t="s">
        <v>1146</v>
      </c>
      <c r="AB58" t="s">
        <v>951</v>
      </c>
      <c r="AC58" t="s">
        <v>1152</v>
      </c>
      <c r="AD58" t="s">
        <v>11720</v>
      </c>
      <c r="AE58" t="s">
        <v>9788</v>
      </c>
      <c r="AF58" t="s">
        <v>955</v>
      </c>
      <c r="AG58" t="s">
        <v>14374</v>
      </c>
      <c r="AH58" t="s">
        <v>1159</v>
      </c>
      <c r="AI58" t="s">
        <v>1069</v>
      </c>
      <c r="AJ58" t="s">
        <v>1175</v>
      </c>
    </row>
    <row r="59" spans="1:63" customFormat="1" ht="15" x14ac:dyDescent="0.25">
      <c r="A59" t="s">
        <v>384</v>
      </c>
      <c r="B59" t="s">
        <v>383</v>
      </c>
      <c r="C59" t="s">
        <v>922</v>
      </c>
      <c r="D59" t="s">
        <v>926</v>
      </c>
      <c r="E59" t="s">
        <v>929</v>
      </c>
      <c r="F59" t="s">
        <v>9790</v>
      </c>
      <c r="G59" t="s">
        <v>9784</v>
      </c>
      <c r="H59" t="s">
        <v>983</v>
      </c>
      <c r="I59" t="s">
        <v>10601</v>
      </c>
      <c r="J59" t="s">
        <v>1712</v>
      </c>
      <c r="K59" t="s">
        <v>1713</v>
      </c>
      <c r="L59" t="s">
        <v>1590</v>
      </c>
      <c r="M59" t="s">
        <v>1729</v>
      </c>
      <c r="N59" t="s">
        <v>1000</v>
      </c>
      <c r="O59" t="s">
        <v>1737</v>
      </c>
      <c r="P59" t="s">
        <v>10643</v>
      </c>
      <c r="Q59" t="s">
        <v>937</v>
      </c>
      <c r="R59" t="s">
        <v>1011</v>
      </c>
      <c r="S59" t="s">
        <v>938</v>
      </c>
      <c r="T59" t="s">
        <v>940</v>
      </c>
      <c r="U59" t="s">
        <v>1018</v>
      </c>
      <c r="V59" t="s">
        <v>942</v>
      </c>
      <c r="W59" t="s">
        <v>1745</v>
      </c>
      <c r="X59" t="s">
        <v>1049</v>
      </c>
      <c r="Y59" t="s">
        <v>1758</v>
      </c>
      <c r="Z59" t="s">
        <v>1056</v>
      </c>
      <c r="AA59" t="s">
        <v>1057</v>
      </c>
      <c r="AB59" t="s">
        <v>955</v>
      </c>
      <c r="AC59" t="s">
        <v>960</v>
      </c>
      <c r="AD59" t="s">
        <v>1069</v>
      </c>
      <c r="AE59" t="s">
        <v>1072</v>
      </c>
    </row>
    <row r="60" spans="1:63" customFormat="1" ht="15" x14ac:dyDescent="0.25">
      <c r="A60" t="s">
        <v>386</v>
      </c>
      <c r="B60" t="s">
        <v>385</v>
      </c>
      <c r="C60" t="s">
        <v>1195</v>
      </c>
      <c r="D60" t="s">
        <v>1196</v>
      </c>
      <c r="E60" t="s">
        <v>924</v>
      </c>
      <c r="F60" t="s">
        <v>926</v>
      </c>
      <c r="G60" t="s">
        <v>929</v>
      </c>
      <c r="H60" t="s">
        <v>982</v>
      </c>
      <c r="I60" t="s">
        <v>983</v>
      </c>
      <c r="J60" t="s">
        <v>989</v>
      </c>
      <c r="K60" t="s">
        <v>933</v>
      </c>
      <c r="L60" t="s">
        <v>998</v>
      </c>
      <c r="M60" t="s">
        <v>10624</v>
      </c>
      <c r="N60" t="s">
        <v>10638</v>
      </c>
      <c r="O60" t="s">
        <v>1005</v>
      </c>
      <c r="P60" t="s">
        <v>10643</v>
      </c>
      <c r="Q60" t="s">
        <v>937</v>
      </c>
      <c r="R60" t="s">
        <v>938</v>
      </c>
      <c r="S60" t="s">
        <v>940</v>
      </c>
      <c r="T60" t="s">
        <v>1013</v>
      </c>
      <c r="U60" t="s">
        <v>10681</v>
      </c>
      <c r="V60" t="s">
        <v>1296</v>
      </c>
      <c r="W60" t="s">
        <v>945</v>
      </c>
      <c r="X60" t="s">
        <v>1041</v>
      </c>
      <c r="Y60" t="s">
        <v>1142</v>
      </c>
      <c r="Z60" t="s">
        <v>1146</v>
      </c>
      <c r="AA60" t="s">
        <v>951</v>
      </c>
      <c r="AB60" t="s">
        <v>1049</v>
      </c>
      <c r="AC60" t="s">
        <v>11720</v>
      </c>
      <c r="AD60" t="s">
        <v>9788</v>
      </c>
      <c r="AE60" t="s">
        <v>1057</v>
      </c>
      <c r="AF60" t="s">
        <v>955</v>
      </c>
      <c r="AG60" t="s">
        <v>1155</v>
      </c>
      <c r="AH60" t="s">
        <v>1660</v>
      </c>
      <c r="AI60" t="s">
        <v>960</v>
      </c>
      <c r="AJ60" t="s">
        <v>14374</v>
      </c>
      <c r="AK60" t="s">
        <v>1062</v>
      </c>
      <c r="AL60" t="s">
        <v>962</v>
      </c>
      <c r="AM60" t="s">
        <v>964</v>
      </c>
      <c r="AN60" t="s">
        <v>1066</v>
      </c>
      <c r="AO60" t="s">
        <v>1181</v>
      </c>
      <c r="AP60" t="s">
        <v>14397</v>
      </c>
      <c r="AQ60" t="s">
        <v>981</v>
      </c>
    </row>
    <row r="61" spans="1:63" customFormat="1" ht="15" x14ac:dyDescent="0.25">
      <c r="A61" t="s">
        <v>388</v>
      </c>
      <c r="B61" t="s">
        <v>387</v>
      </c>
      <c r="C61" t="s">
        <v>1016</v>
      </c>
      <c r="D61" t="s">
        <v>974</v>
      </c>
      <c r="E61" t="s">
        <v>1452</v>
      </c>
      <c r="F61" t="s">
        <v>929</v>
      </c>
      <c r="G61" t="s">
        <v>978</v>
      </c>
      <c r="H61" t="s">
        <v>1456</v>
      </c>
      <c r="I61" t="s">
        <v>9790</v>
      </c>
      <c r="J61" t="s">
        <v>1458</v>
      </c>
      <c r="K61" t="s">
        <v>9784</v>
      </c>
      <c r="L61" t="s">
        <v>1212</v>
      </c>
      <c r="M61" t="s">
        <v>1461</v>
      </c>
      <c r="N61" t="s">
        <v>1467</v>
      </c>
      <c r="O61" t="s">
        <v>14392</v>
      </c>
      <c r="P61" t="s">
        <v>987</v>
      </c>
      <c r="Q61" t="s">
        <v>933</v>
      </c>
      <c r="R61" t="s">
        <v>9818</v>
      </c>
      <c r="S61" t="s">
        <v>11660</v>
      </c>
      <c r="T61" t="s">
        <v>1482</v>
      </c>
      <c r="U61" t="s">
        <v>1006</v>
      </c>
      <c r="V61" t="s">
        <v>1009</v>
      </c>
      <c r="W61" t="s">
        <v>1487</v>
      </c>
      <c r="X61" t="s">
        <v>937</v>
      </c>
      <c r="Y61" t="s">
        <v>1011</v>
      </c>
      <c r="Z61" t="s">
        <v>1493</v>
      </c>
      <c r="AA61" t="s">
        <v>1013</v>
      </c>
      <c r="AB61" t="s">
        <v>9819</v>
      </c>
      <c r="AC61" t="s">
        <v>10667</v>
      </c>
      <c r="AD61" t="s">
        <v>1126</v>
      </c>
      <c r="AE61" t="s">
        <v>1025</v>
      </c>
      <c r="AF61" t="s">
        <v>10681</v>
      </c>
      <c r="AG61" t="s">
        <v>1512</v>
      </c>
      <c r="AH61" t="s">
        <v>1516</v>
      </c>
      <c r="AI61" t="s">
        <v>1031</v>
      </c>
      <c r="AJ61" t="s">
        <v>1520</v>
      </c>
      <c r="AK61" t="s">
        <v>1521</v>
      </c>
      <c r="AL61" t="s">
        <v>1046</v>
      </c>
      <c r="AM61" t="s">
        <v>951</v>
      </c>
      <c r="AN61" t="s">
        <v>1048</v>
      </c>
      <c r="AO61" t="s">
        <v>1049</v>
      </c>
      <c r="AP61" t="s">
        <v>1050</v>
      </c>
      <c r="AQ61" t="s">
        <v>1525</v>
      </c>
      <c r="AR61" t="s">
        <v>1051</v>
      </c>
      <c r="AS61" t="s">
        <v>1529</v>
      </c>
      <c r="AT61" t="s">
        <v>953</v>
      </c>
      <c r="AU61" t="s">
        <v>11720</v>
      </c>
      <c r="AV61" t="s">
        <v>9788</v>
      </c>
      <c r="AW61" t="s">
        <v>1057</v>
      </c>
      <c r="AX61" t="s">
        <v>955</v>
      </c>
      <c r="AY61" t="s">
        <v>14394</v>
      </c>
      <c r="AZ61" t="s">
        <v>1541</v>
      </c>
      <c r="BA61" t="s">
        <v>14374</v>
      </c>
      <c r="BB61" t="s">
        <v>10734</v>
      </c>
      <c r="BC61" t="s">
        <v>10810</v>
      </c>
      <c r="BD61" t="s">
        <v>1069</v>
      </c>
      <c r="BE61" t="s">
        <v>1551</v>
      </c>
      <c r="BF61" t="s">
        <v>1072</v>
      </c>
      <c r="BG61" t="s">
        <v>1553</v>
      </c>
      <c r="BH61" t="s">
        <v>1557</v>
      </c>
      <c r="BI61" t="s">
        <v>1080</v>
      </c>
      <c r="BJ61" t="s">
        <v>11699</v>
      </c>
      <c r="BK61" t="s">
        <v>1083</v>
      </c>
    </row>
    <row r="62" spans="1:63" customFormat="1" ht="15" x14ac:dyDescent="0.25">
      <c r="A62" t="s">
        <v>390</v>
      </c>
      <c r="B62" t="s">
        <v>389</v>
      </c>
      <c r="C62" t="s">
        <v>1452</v>
      </c>
      <c r="D62" t="s">
        <v>929</v>
      </c>
      <c r="E62" t="s">
        <v>1456</v>
      </c>
      <c r="F62" t="s">
        <v>9790</v>
      </c>
      <c r="G62" t="s">
        <v>1458</v>
      </c>
      <c r="H62" t="s">
        <v>9784</v>
      </c>
      <c r="I62" t="s">
        <v>1459</v>
      </c>
      <c r="J62" t="s">
        <v>987</v>
      </c>
      <c r="K62" t="s">
        <v>933</v>
      </c>
      <c r="L62" t="s">
        <v>935</v>
      </c>
      <c r="M62" t="s">
        <v>11660</v>
      </c>
      <c r="N62" t="s">
        <v>998</v>
      </c>
      <c r="O62" t="s">
        <v>1000</v>
      </c>
      <c r="P62" t="s">
        <v>1484</v>
      </c>
      <c r="Q62" t="s">
        <v>1485</v>
      </c>
      <c r="R62" t="s">
        <v>10638</v>
      </c>
      <c r="S62" t="s">
        <v>1006</v>
      </c>
      <c r="T62" t="s">
        <v>1009</v>
      </c>
      <c r="U62" t="s">
        <v>1487</v>
      </c>
      <c r="V62" t="s">
        <v>937</v>
      </c>
      <c r="W62" t="s">
        <v>1011</v>
      </c>
      <c r="X62" t="s">
        <v>938</v>
      </c>
      <c r="Y62" t="s">
        <v>940</v>
      </c>
      <c r="Z62" t="s">
        <v>1013</v>
      </c>
      <c r="AA62" t="s">
        <v>9819</v>
      </c>
      <c r="AB62" t="s">
        <v>1020</v>
      </c>
      <c r="AC62" t="s">
        <v>1025</v>
      </c>
      <c r="AD62" t="s">
        <v>1512</v>
      </c>
      <c r="AE62" t="s">
        <v>1031</v>
      </c>
      <c r="AF62" t="s">
        <v>1520</v>
      </c>
      <c r="AG62" t="s">
        <v>1521</v>
      </c>
      <c r="AH62" t="s">
        <v>951</v>
      </c>
      <c r="AI62" t="s">
        <v>1048</v>
      </c>
      <c r="AJ62" t="s">
        <v>1050</v>
      </c>
      <c r="AK62" t="s">
        <v>1525</v>
      </c>
      <c r="AL62" t="s">
        <v>1051</v>
      </c>
      <c r="AM62" t="s">
        <v>1529</v>
      </c>
      <c r="AN62" t="s">
        <v>953</v>
      </c>
      <c r="AO62" t="s">
        <v>11720</v>
      </c>
      <c r="AP62" t="s">
        <v>9788</v>
      </c>
      <c r="AQ62" t="s">
        <v>1057</v>
      </c>
      <c r="AR62" t="s">
        <v>955</v>
      </c>
      <c r="AS62" t="s">
        <v>1536</v>
      </c>
      <c r="AT62" t="s">
        <v>14374</v>
      </c>
      <c r="AU62" t="s">
        <v>9825</v>
      </c>
      <c r="AV62" t="s">
        <v>1548</v>
      </c>
      <c r="AW62" t="s">
        <v>1069</v>
      </c>
      <c r="AX62" t="s">
        <v>1071</v>
      </c>
      <c r="AY62" t="s">
        <v>1072</v>
      </c>
      <c r="AZ62" t="s">
        <v>1553</v>
      </c>
      <c r="BA62" t="s">
        <v>1557</v>
      </c>
      <c r="BB62" t="s">
        <v>1561</v>
      </c>
      <c r="BC62" t="s">
        <v>1083</v>
      </c>
    </row>
    <row r="63" spans="1:63" customFormat="1" ht="15" x14ac:dyDescent="0.25">
      <c r="A63" t="s">
        <v>392</v>
      </c>
      <c r="B63" t="s">
        <v>391</v>
      </c>
      <c r="C63" t="s">
        <v>1016</v>
      </c>
      <c r="D63" t="s">
        <v>973</v>
      </c>
      <c r="E63" t="s">
        <v>974</v>
      </c>
      <c r="F63" t="s">
        <v>926</v>
      </c>
      <c r="G63" t="s">
        <v>975</v>
      </c>
      <c r="H63" t="s">
        <v>929</v>
      </c>
      <c r="I63" t="s">
        <v>976</v>
      </c>
      <c r="J63" t="s">
        <v>988</v>
      </c>
      <c r="K63" t="s">
        <v>997</v>
      </c>
      <c r="L63" t="s">
        <v>935</v>
      </c>
      <c r="M63" t="s">
        <v>11660</v>
      </c>
      <c r="N63" t="s">
        <v>1416</v>
      </c>
      <c r="O63" t="s">
        <v>1001</v>
      </c>
      <c r="P63" t="s">
        <v>10638</v>
      </c>
      <c r="Q63" t="s">
        <v>1006</v>
      </c>
      <c r="R63" t="s">
        <v>1008</v>
      </c>
      <c r="S63" t="s">
        <v>1009</v>
      </c>
      <c r="T63" t="s">
        <v>937</v>
      </c>
      <c r="U63" t="s">
        <v>938</v>
      </c>
      <c r="V63" t="s">
        <v>940</v>
      </c>
      <c r="W63" t="s">
        <v>1013</v>
      </c>
      <c r="X63" t="s">
        <v>10681</v>
      </c>
      <c r="Y63" t="s">
        <v>943</v>
      </c>
      <c r="Z63" t="s">
        <v>1038</v>
      </c>
      <c r="AA63" t="s">
        <v>951</v>
      </c>
      <c r="AB63" t="s">
        <v>1048</v>
      </c>
      <c r="AC63" t="s">
        <v>1051</v>
      </c>
      <c r="AD63" t="s">
        <v>953</v>
      </c>
      <c r="AE63" t="s">
        <v>11720</v>
      </c>
      <c r="AF63" t="s">
        <v>9788</v>
      </c>
      <c r="AG63" t="s">
        <v>1056</v>
      </c>
      <c r="AH63" t="s">
        <v>1057</v>
      </c>
      <c r="AI63" t="s">
        <v>955</v>
      </c>
      <c r="AJ63" t="s">
        <v>1060</v>
      </c>
      <c r="AK63" t="s">
        <v>14374</v>
      </c>
      <c r="AL63" t="s">
        <v>1069</v>
      </c>
      <c r="AM63" t="s">
        <v>1075</v>
      </c>
      <c r="AN63" t="s">
        <v>14377</v>
      </c>
    </row>
    <row r="64" spans="1:63" customFormat="1" ht="15" x14ac:dyDescent="0.25">
      <c r="A64" t="s">
        <v>394</v>
      </c>
      <c r="B64" t="s">
        <v>393</v>
      </c>
      <c r="C64" t="s">
        <v>1195</v>
      </c>
      <c r="D64" t="s">
        <v>1196</v>
      </c>
      <c r="E64" t="s">
        <v>10568</v>
      </c>
      <c r="F64" t="s">
        <v>926</v>
      </c>
      <c r="G64" t="s">
        <v>929</v>
      </c>
      <c r="H64" t="s">
        <v>1575</v>
      </c>
      <c r="I64" t="s">
        <v>931</v>
      </c>
      <c r="J64" t="s">
        <v>9790</v>
      </c>
      <c r="K64" t="s">
        <v>1586</v>
      </c>
      <c r="L64" t="s">
        <v>933</v>
      </c>
      <c r="M64" t="s">
        <v>1591</v>
      </c>
      <c r="N64" t="s">
        <v>10638</v>
      </c>
      <c r="O64" t="s">
        <v>1610</v>
      </c>
      <c r="P64" t="s">
        <v>1010</v>
      </c>
      <c r="Q64" t="s">
        <v>937</v>
      </c>
      <c r="R64" t="s">
        <v>938</v>
      </c>
      <c r="S64" t="s">
        <v>1012</v>
      </c>
      <c r="T64" t="s">
        <v>1013</v>
      </c>
      <c r="U64" t="s">
        <v>1126</v>
      </c>
      <c r="V64" t="s">
        <v>10681</v>
      </c>
      <c r="W64" t="s">
        <v>1628</v>
      </c>
      <c r="X64" t="s">
        <v>943</v>
      </c>
      <c r="Y64" t="s">
        <v>945</v>
      </c>
      <c r="Z64" t="s">
        <v>1633</v>
      </c>
      <c r="AA64" t="s">
        <v>949</v>
      </c>
      <c r="AB64" t="s">
        <v>9828</v>
      </c>
      <c r="AC64" t="s">
        <v>951</v>
      </c>
      <c r="AD64" t="s">
        <v>1048</v>
      </c>
      <c r="AE64" t="s">
        <v>11720</v>
      </c>
      <c r="AF64" t="s">
        <v>9788</v>
      </c>
      <c r="AG64" t="s">
        <v>1661</v>
      </c>
      <c r="AH64" t="s">
        <v>11663</v>
      </c>
      <c r="AI64" t="s">
        <v>960</v>
      </c>
      <c r="AJ64" t="s">
        <v>14374</v>
      </c>
      <c r="AK64" t="s">
        <v>9829</v>
      </c>
      <c r="AL64" t="s">
        <v>962</v>
      </c>
      <c r="AM64" t="s">
        <v>964</v>
      </c>
      <c r="AN64" t="s">
        <v>1069</v>
      </c>
      <c r="AO64" t="s">
        <v>966</v>
      </c>
      <c r="AP64" t="s">
        <v>968</v>
      </c>
      <c r="AQ64" t="s">
        <v>1697</v>
      </c>
    </row>
    <row r="65" spans="1:65" customFormat="1" ht="15" x14ac:dyDescent="0.25">
      <c r="A65" t="s">
        <v>396</v>
      </c>
      <c r="B65" t="s">
        <v>395</v>
      </c>
      <c r="C65" t="s">
        <v>971</v>
      </c>
      <c r="D65" t="s">
        <v>929</v>
      </c>
      <c r="E65" t="s">
        <v>978</v>
      </c>
      <c r="F65" t="s">
        <v>1457</v>
      </c>
      <c r="G65" t="s">
        <v>1461</v>
      </c>
      <c r="H65" t="s">
        <v>985</v>
      </c>
      <c r="I65" t="s">
        <v>1473</v>
      </c>
      <c r="J65" t="s">
        <v>991</v>
      </c>
      <c r="K65" t="s">
        <v>935</v>
      </c>
      <c r="L65" t="s">
        <v>11660</v>
      </c>
      <c r="M65" t="s">
        <v>10631</v>
      </c>
      <c r="N65" t="s">
        <v>1485</v>
      </c>
      <c r="O65" t="s">
        <v>1006</v>
      </c>
      <c r="P65" t="s">
        <v>1009</v>
      </c>
      <c r="Q65" t="s">
        <v>1489</v>
      </c>
      <c r="R65" t="s">
        <v>938</v>
      </c>
      <c r="S65" t="s">
        <v>9819</v>
      </c>
      <c r="T65" t="s">
        <v>1025</v>
      </c>
      <c r="U65" t="s">
        <v>1302</v>
      </c>
      <c r="V65" t="s">
        <v>1520</v>
      </c>
      <c r="W65" t="s">
        <v>1521</v>
      </c>
      <c r="X65" t="s">
        <v>951</v>
      </c>
      <c r="Y65" t="s">
        <v>1048</v>
      </c>
      <c r="Z65" t="s">
        <v>1050</v>
      </c>
      <c r="AA65" t="s">
        <v>1051</v>
      </c>
      <c r="AB65" t="s">
        <v>1529</v>
      </c>
      <c r="AC65" t="s">
        <v>1057</v>
      </c>
      <c r="AD65" t="s">
        <v>1069</v>
      </c>
      <c r="AE65" t="s">
        <v>1075</v>
      </c>
      <c r="AF65" t="s">
        <v>1083</v>
      </c>
    </row>
    <row r="66" spans="1:65" customFormat="1" ht="15" x14ac:dyDescent="0.25">
      <c r="A66" t="s">
        <v>398</v>
      </c>
      <c r="B66" t="s">
        <v>397</v>
      </c>
      <c r="C66" t="s">
        <v>929</v>
      </c>
      <c r="D66" t="s">
        <v>1158</v>
      </c>
      <c r="E66" t="s">
        <v>1069</v>
      </c>
    </row>
    <row r="67" spans="1:65" customFormat="1" ht="15" x14ac:dyDescent="0.25">
      <c r="A67" t="s">
        <v>400</v>
      </c>
      <c r="B67" t="s">
        <v>399</v>
      </c>
      <c r="C67" t="s">
        <v>926</v>
      </c>
      <c r="D67" t="s">
        <v>929</v>
      </c>
      <c r="E67" t="s">
        <v>978</v>
      </c>
      <c r="F67" t="s">
        <v>9790</v>
      </c>
      <c r="G67" t="s">
        <v>1091</v>
      </c>
      <c r="H67" t="s">
        <v>1095</v>
      </c>
      <c r="I67" t="s">
        <v>1100</v>
      </c>
      <c r="J67" t="s">
        <v>1102</v>
      </c>
      <c r="K67" t="s">
        <v>933</v>
      </c>
      <c r="L67" t="s">
        <v>1105</v>
      </c>
      <c r="M67" t="s">
        <v>996</v>
      </c>
      <c r="N67" t="s">
        <v>1110</v>
      </c>
      <c r="O67" t="s">
        <v>935</v>
      </c>
      <c r="P67" t="s">
        <v>11660</v>
      </c>
      <c r="Q67" t="s">
        <v>998</v>
      </c>
      <c r="R67" t="s">
        <v>1111</v>
      </c>
      <c r="S67" t="s">
        <v>1416</v>
      </c>
      <c r="T67" t="s">
        <v>1000</v>
      </c>
      <c r="U67" t="s">
        <v>1113</v>
      </c>
      <c r="V67" t="s">
        <v>10638</v>
      </c>
      <c r="W67" t="s">
        <v>1008</v>
      </c>
      <c r="X67" t="s">
        <v>1010</v>
      </c>
      <c r="Y67" t="s">
        <v>937</v>
      </c>
      <c r="Z67" t="s">
        <v>938</v>
      </c>
      <c r="AA67" t="s">
        <v>1013</v>
      </c>
      <c r="AB67" t="s">
        <v>1126</v>
      </c>
      <c r="AC67" t="s">
        <v>1127</v>
      </c>
      <c r="AD67" t="s">
        <v>1025</v>
      </c>
      <c r="AE67" t="s">
        <v>10681</v>
      </c>
      <c r="AF67" t="s">
        <v>1129</v>
      </c>
      <c r="AG67" t="s">
        <v>1033</v>
      </c>
      <c r="AH67" t="s">
        <v>1134</v>
      </c>
      <c r="AI67" t="s">
        <v>1141</v>
      </c>
      <c r="AJ67" t="s">
        <v>1145</v>
      </c>
      <c r="AK67" t="s">
        <v>1146</v>
      </c>
      <c r="AL67" t="s">
        <v>951</v>
      </c>
      <c r="AM67" t="s">
        <v>1048</v>
      </c>
      <c r="AN67" t="s">
        <v>1051</v>
      </c>
      <c r="AO67" t="s">
        <v>1152</v>
      </c>
      <c r="AP67" t="s">
        <v>11720</v>
      </c>
      <c r="AQ67" t="s">
        <v>9788</v>
      </c>
      <c r="AR67" t="s">
        <v>1056</v>
      </c>
      <c r="AS67" t="s">
        <v>955</v>
      </c>
      <c r="AT67" t="s">
        <v>14374</v>
      </c>
      <c r="AU67" t="s">
        <v>11772</v>
      </c>
      <c r="AV67" t="s">
        <v>1159</v>
      </c>
      <c r="AW67" t="s">
        <v>1069</v>
      </c>
      <c r="AX67" t="s">
        <v>9881</v>
      </c>
      <c r="AY67" t="s">
        <v>14377</v>
      </c>
      <c r="AZ67" t="s">
        <v>1189</v>
      </c>
    </row>
    <row r="68" spans="1:65" customFormat="1" ht="15" x14ac:dyDescent="0.25">
      <c r="A68" t="s">
        <v>402</v>
      </c>
      <c r="B68" t="s">
        <v>401</v>
      </c>
      <c r="C68" t="s">
        <v>926</v>
      </c>
      <c r="D68" t="s">
        <v>929</v>
      </c>
      <c r="E68" t="s">
        <v>931</v>
      </c>
      <c r="F68" t="s">
        <v>9790</v>
      </c>
      <c r="G68" t="s">
        <v>1095</v>
      </c>
      <c r="H68" t="s">
        <v>1711</v>
      </c>
      <c r="I68" t="s">
        <v>933</v>
      </c>
      <c r="J68" t="s">
        <v>1718</v>
      </c>
      <c r="K68" t="s">
        <v>1721</v>
      </c>
      <c r="L68" t="s">
        <v>1722</v>
      </c>
      <c r="M68" t="s">
        <v>1723</v>
      </c>
      <c r="N68" t="s">
        <v>1727</v>
      </c>
      <c r="O68" t="s">
        <v>1730</v>
      </c>
      <c r="P68" t="s">
        <v>11660</v>
      </c>
      <c r="Q68" t="s">
        <v>1416</v>
      </c>
      <c r="R68" t="s">
        <v>10638</v>
      </c>
      <c r="S68" t="s">
        <v>1008</v>
      </c>
      <c r="T68" t="s">
        <v>1010</v>
      </c>
      <c r="U68" t="s">
        <v>937</v>
      </c>
      <c r="V68" t="s">
        <v>1011</v>
      </c>
      <c r="W68" t="s">
        <v>938</v>
      </c>
      <c r="X68" t="s">
        <v>940</v>
      </c>
      <c r="Y68" t="s">
        <v>10667</v>
      </c>
      <c r="Z68" t="s">
        <v>1126</v>
      </c>
      <c r="AA68" t="s">
        <v>942</v>
      </c>
      <c r="AB68" t="s">
        <v>10681</v>
      </c>
      <c r="AC68" t="s">
        <v>945</v>
      </c>
      <c r="AD68" t="s">
        <v>949</v>
      </c>
      <c r="AE68" t="s">
        <v>1750</v>
      </c>
      <c r="AF68" t="s">
        <v>951</v>
      </c>
      <c r="AG68" t="s">
        <v>1754</v>
      </c>
      <c r="AH68" t="s">
        <v>953</v>
      </c>
      <c r="AI68" t="s">
        <v>11720</v>
      </c>
      <c r="AJ68" t="s">
        <v>1056</v>
      </c>
      <c r="AK68" t="s">
        <v>1057</v>
      </c>
      <c r="AL68" t="s">
        <v>955</v>
      </c>
      <c r="AM68" t="s">
        <v>11663</v>
      </c>
      <c r="AN68" t="s">
        <v>960</v>
      </c>
      <c r="AO68" t="s">
        <v>964</v>
      </c>
      <c r="AP68" t="s">
        <v>9838</v>
      </c>
      <c r="AQ68" t="s">
        <v>1776</v>
      </c>
      <c r="AR68" t="s">
        <v>1066</v>
      </c>
      <c r="AS68" t="s">
        <v>1778</v>
      </c>
      <c r="AT68" t="s">
        <v>1069</v>
      </c>
      <c r="AU68" t="s">
        <v>9839</v>
      </c>
      <c r="AV68" t="s">
        <v>1080</v>
      </c>
      <c r="AW68" t="s">
        <v>1793</v>
      </c>
      <c r="AX68" t="s">
        <v>11715</v>
      </c>
    </row>
    <row r="69" spans="1:65" customFormat="1" ht="15" x14ac:dyDescent="0.25">
      <c r="A69" t="s">
        <v>404</v>
      </c>
      <c r="B69" t="s">
        <v>403</v>
      </c>
      <c r="C69" t="s">
        <v>926</v>
      </c>
      <c r="D69" t="s">
        <v>929</v>
      </c>
      <c r="E69" t="s">
        <v>983</v>
      </c>
      <c r="F69" t="s">
        <v>1590</v>
      </c>
      <c r="G69" t="s">
        <v>998</v>
      </c>
      <c r="H69" t="s">
        <v>10643</v>
      </c>
      <c r="I69" t="s">
        <v>937</v>
      </c>
      <c r="J69" t="s">
        <v>940</v>
      </c>
      <c r="K69" t="s">
        <v>1745</v>
      </c>
      <c r="L69" t="s">
        <v>1030</v>
      </c>
      <c r="M69" t="s">
        <v>1049</v>
      </c>
      <c r="N69" t="s">
        <v>1758</v>
      </c>
      <c r="O69" t="s">
        <v>1056</v>
      </c>
      <c r="P69" t="s">
        <v>955</v>
      </c>
      <c r="Q69" t="s">
        <v>1660</v>
      </c>
      <c r="R69" t="s">
        <v>960</v>
      </c>
      <c r="S69" t="s">
        <v>962</v>
      </c>
      <c r="T69" t="s">
        <v>1066</v>
      </c>
      <c r="U69" t="s">
        <v>1069</v>
      </c>
      <c r="V69" t="s">
        <v>1790</v>
      </c>
    </row>
    <row r="70" spans="1:65" customFormat="1" ht="15" x14ac:dyDescent="0.25">
      <c r="A70" t="s">
        <v>406</v>
      </c>
      <c r="B70" t="s">
        <v>405</v>
      </c>
      <c r="C70" t="s">
        <v>1016</v>
      </c>
      <c r="D70" t="s">
        <v>971</v>
      </c>
      <c r="E70" t="s">
        <v>929</v>
      </c>
      <c r="F70" t="s">
        <v>9790</v>
      </c>
      <c r="G70" t="s">
        <v>1406</v>
      </c>
      <c r="H70" t="s">
        <v>1407</v>
      </c>
      <c r="I70" t="s">
        <v>9784</v>
      </c>
      <c r="J70" t="s">
        <v>1410</v>
      </c>
      <c r="K70" t="s">
        <v>985</v>
      </c>
      <c r="L70" t="s">
        <v>1412</v>
      </c>
      <c r="M70" t="s">
        <v>1414</v>
      </c>
      <c r="N70" t="s">
        <v>1415</v>
      </c>
      <c r="O70" t="s">
        <v>1416</v>
      </c>
      <c r="P70" t="s">
        <v>1418</v>
      </c>
      <c r="Q70" t="s">
        <v>10638</v>
      </c>
      <c r="R70" t="s">
        <v>1419</v>
      </c>
      <c r="S70" t="s">
        <v>937</v>
      </c>
      <c r="T70" t="s">
        <v>938</v>
      </c>
      <c r="U70" t="s">
        <v>940</v>
      </c>
      <c r="V70" t="s">
        <v>1422</v>
      </c>
      <c r="W70" t="s">
        <v>1423</v>
      </c>
      <c r="X70" t="s">
        <v>1013</v>
      </c>
      <c r="Y70" t="s">
        <v>1424</v>
      </c>
      <c r="Z70" t="s">
        <v>11688</v>
      </c>
      <c r="AA70" t="s">
        <v>1427</v>
      </c>
      <c r="AB70" t="s">
        <v>1430</v>
      </c>
      <c r="AC70" t="s">
        <v>1433</v>
      </c>
      <c r="AD70" t="s">
        <v>951</v>
      </c>
      <c r="AE70" t="s">
        <v>1048</v>
      </c>
      <c r="AF70" t="s">
        <v>1051</v>
      </c>
      <c r="AG70" t="s">
        <v>1436</v>
      </c>
      <c r="AH70" t="s">
        <v>953</v>
      </c>
      <c r="AI70" t="s">
        <v>11720</v>
      </c>
      <c r="AJ70" t="s">
        <v>1057</v>
      </c>
      <c r="AK70" t="s">
        <v>1438</v>
      </c>
      <c r="AL70" t="s">
        <v>1442</v>
      </c>
      <c r="AM70" t="s">
        <v>9816</v>
      </c>
      <c r="AN70" t="s">
        <v>1072</v>
      </c>
      <c r="AO70" t="s">
        <v>1180</v>
      </c>
      <c r="AP70" t="s">
        <v>1080</v>
      </c>
      <c r="AQ70" t="s">
        <v>1450</v>
      </c>
    </row>
    <row r="71" spans="1:65" customFormat="1" ht="15" x14ac:dyDescent="0.25">
      <c r="A71" t="s">
        <v>408</v>
      </c>
      <c r="B71" t="s">
        <v>407</v>
      </c>
      <c r="C71" t="s">
        <v>926</v>
      </c>
      <c r="D71" t="s">
        <v>929</v>
      </c>
      <c r="E71" t="s">
        <v>1703</v>
      </c>
      <c r="F71" t="s">
        <v>9790</v>
      </c>
      <c r="G71" t="s">
        <v>9784</v>
      </c>
      <c r="H71" t="s">
        <v>1715</v>
      </c>
      <c r="I71" t="s">
        <v>933</v>
      </c>
      <c r="J71" t="s">
        <v>1815</v>
      </c>
      <c r="K71" t="s">
        <v>996</v>
      </c>
      <c r="L71" t="s">
        <v>1603</v>
      </c>
      <c r="M71" t="s">
        <v>10638</v>
      </c>
      <c r="N71" t="s">
        <v>10643</v>
      </c>
      <c r="O71" t="s">
        <v>1822</v>
      </c>
      <c r="P71" t="s">
        <v>937</v>
      </c>
      <c r="Q71" t="s">
        <v>938</v>
      </c>
      <c r="R71" t="s">
        <v>940</v>
      </c>
      <c r="S71" t="s">
        <v>1423</v>
      </c>
      <c r="T71" t="s">
        <v>1013</v>
      </c>
      <c r="U71" t="s">
        <v>1018</v>
      </c>
      <c r="V71" t="s">
        <v>1030</v>
      </c>
      <c r="W71" t="s">
        <v>1829</v>
      </c>
      <c r="X71" t="s">
        <v>1041</v>
      </c>
      <c r="Y71" t="s">
        <v>9787</v>
      </c>
      <c r="Z71" t="s">
        <v>1042</v>
      </c>
      <c r="AA71" t="s">
        <v>1043</v>
      </c>
      <c r="AB71" t="s">
        <v>951</v>
      </c>
      <c r="AC71" t="s">
        <v>955</v>
      </c>
      <c r="AD71" t="s">
        <v>11663</v>
      </c>
      <c r="AE71" t="s">
        <v>1848</v>
      </c>
      <c r="AF71" t="s">
        <v>1849</v>
      </c>
      <c r="AG71" t="s">
        <v>1850</v>
      </c>
      <c r="AH71" t="s">
        <v>962</v>
      </c>
      <c r="AI71" t="s">
        <v>1068</v>
      </c>
      <c r="AJ71" t="s">
        <v>11667</v>
      </c>
      <c r="AK71" t="s">
        <v>1078</v>
      </c>
    </row>
    <row r="72" spans="1:65" customFormat="1" ht="15" x14ac:dyDescent="0.25">
      <c r="A72" t="s">
        <v>410</v>
      </c>
      <c r="B72" t="s">
        <v>409</v>
      </c>
      <c r="C72" t="s">
        <v>1196</v>
      </c>
      <c r="D72" t="s">
        <v>929</v>
      </c>
      <c r="E72" t="s">
        <v>933</v>
      </c>
      <c r="F72" t="s">
        <v>10611</v>
      </c>
      <c r="G72" t="s">
        <v>1006</v>
      </c>
      <c r="H72" t="s">
        <v>1011</v>
      </c>
      <c r="I72" t="s">
        <v>940</v>
      </c>
      <c r="J72" t="s">
        <v>1012</v>
      </c>
      <c r="K72" t="s">
        <v>1013</v>
      </c>
      <c r="L72" t="s">
        <v>1283</v>
      </c>
      <c r="M72" t="s">
        <v>11755</v>
      </c>
      <c r="N72" t="s">
        <v>1025</v>
      </c>
      <c r="O72" t="s">
        <v>1628</v>
      </c>
      <c r="P72" t="s">
        <v>943</v>
      </c>
      <c r="Q72" t="s">
        <v>945</v>
      </c>
      <c r="R72" t="s">
        <v>1300</v>
      </c>
      <c r="S72" t="s">
        <v>949</v>
      </c>
      <c r="T72" t="s">
        <v>951</v>
      </c>
      <c r="U72" t="s">
        <v>1331</v>
      </c>
      <c r="V72" t="s">
        <v>955</v>
      </c>
      <c r="W72" t="s">
        <v>1661</v>
      </c>
      <c r="X72" t="s">
        <v>11663</v>
      </c>
      <c r="Y72" t="s">
        <v>962</v>
      </c>
      <c r="Z72" t="s">
        <v>1170</v>
      </c>
      <c r="AA72" t="s">
        <v>1069</v>
      </c>
      <c r="AB72" t="s">
        <v>1684</v>
      </c>
      <c r="AC72" t="s">
        <v>1374</v>
      </c>
      <c r="AD72" t="s">
        <v>1699</v>
      </c>
      <c r="AE72" t="s">
        <v>981</v>
      </c>
    </row>
    <row r="73" spans="1:65" customFormat="1" ht="15" x14ac:dyDescent="0.25">
      <c r="A73" t="s">
        <v>412</v>
      </c>
      <c r="B73" t="s">
        <v>411</v>
      </c>
      <c r="C73" t="s">
        <v>1195</v>
      </c>
      <c r="D73" t="s">
        <v>1196</v>
      </c>
      <c r="E73" t="s">
        <v>1197</v>
      </c>
      <c r="F73" t="s">
        <v>924</v>
      </c>
      <c r="G73" t="s">
        <v>1200</v>
      </c>
      <c r="H73" t="s">
        <v>926</v>
      </c>
      <c r="I73" t="s">
        <v>929</v>
      </c>
      <c r="J73" t="s">
        <v>1205</v>
      </c>
      <c r="K73" t="s">
        <v>9784</v>
      </c>
      <c r="L73" t="s">
        <v>10598</v>
      </c>
      <c r="M73" t="s">
        <v>1219</v>
      </c>
      <c r="N73" t="s">
        <v>1220</v>
      </c>
      <c r="O73" t="s">
        <v>1102</v>
      </c>
      <c r="P73" t="s">
        <v>989</v>
      </c>
      <c r="Q73" t="s">
        <v>933</v>
      </c>
      <c r="R73" t="s">
        <v>1227</v>
      </c>
      <c r="S73" t="s">
        <v>1229</v>
      </c>
      <c r="T73" t="s">
        <v>1413</v>
      </c>
      <c r="U73" t="s">
        <v>9804</v>
      </c>
      <c r="V73" t="s">
        <v>1234</v>
      </c>
      <c r="W73" t="s">
        <v>1239</v>
      </c>
      <c r="X73" t="s">
        <v>1240</v>
      </c>
      <c r="Y73" t="s">
        <v>11660</v>
      </c>
      <c r="Z73" t="s">
        <v>1243</v>
      </c>
      <c r="AA73" t="s">
        <v>1416</v>
      </c>
      <c r="AB73" t="s">
        <v>10638</v>
      </c>
      <c r="AC73" t="s">
        <v>1008</v>
      </c>
      <c r="AD73" t="s">
        <v>1009</v>
      </c>
      <c r="AE73" t="s">
        <v>1010</v>
      </c>
      <c r="AF73" t="s">
        <v>1264</v>
      </c>
      <c r="AG73" t="s">
        <v>938</v>
      </c>
      <c r="AH73" t="s">
        <v>940</v>
      </c>
      <c r="AI73" t="s">
        <v>1012</v>
      </c>
      <c r="AJ73" t="s">
        <v>1283</v>
      </c>
      <c r="AK73" t="s">
        <v>1018</v>
      </c>
      <c r="AL73" t="s">
        <v>1126</v>
      </c>
      <c r="AM73" t="s">
        <v>1025</v>
      </c>
      <c r="AN73" t="s">
        <v>1293</v>
      </c>
      <c r="AO73" t="s">
        <v>10681</v>
      </c>
      <c r="AP73" t="s">
        <v>10685</v>
      </c>
      <c r="AQ73" t="s">
        <v>943</v>
      </c>
      <c r="AR73" t="s">
        <v>945</v>
      </c>
      <c r="AS73" t="s">
        <v>1134</v>
      </c>
      <c r="AT73" t="s">
        <v>949</v>
      </c>
      <c r="AU73" t="s">
        <v>1135</v>
      </c>
      <c r="AV73" t="s">
        <v>1041</v>
      </c>
      <c r="AW73" t="s">
        <v>9787</v>
      </c>
      <c r="AX73" t="s">
        <v>1043</v>
      </c>
      <c r="AY73" t="s">
        <v>1146</v>
      </c>
      <c r="AZ73" t="s">
        <v>951</v>
      </c>
      <c r="BA73" t="s">
        <v>1329</v>
      </c>
      <c r="BB73" t="s">
        <v>1330</v>
      </c>
      <c r="BC73" t="s">
        <v>953</v>
      </c>
      <c r="BD73" t="s">
        <v>9788</v>
      </c>
      <c r="BE73" t="s">
        <v>955</v>
      </c>
      <c r="BF73" t="s">
        <v>11663</v>
      </c>
      <c r="BG73" t="s">
        <v>14374</v>
      </c>
      <c r="BH73" t="s">
        <v>1353</v>
      </c>
      <c r="BI73" t="s">
        <v>1358</v>
      </c>
      <c r="BJ73" t="s">
        <v>1069</v>
      </c>
      <c r="BK73" t="s">
        <v>1072</v>
      </c>
      <c r="BL73" t="s">
        <v>1380</v>
      </c>
      <c r="BM73" t="s">
        <v>14377</v>
      </c>
    </row>
    <row r="74" spans="1:65" customFormat="1" ht="15" x14ac:dyDescent="0.25">
      <c r="A74" t="s">
        <v>14366</v>
      </c>
      <c r="B74" t="s">
        <v>14365</v>
      </c>
      <c r="C74" t="s">
        <v>929</v>
      </c>
      <c r="D74" t="s">
        <v>1458</v>
      </c>
      <c r="E74" t="s">
        <v>1412</v>
      </c>
      <c r="F74" t="s">
        <v>991</v>
      </c>
      <c r="G74" t="s">
        <v>996</v>
      </c>
      <c r="H74" t="s">
        <v>1478</v>
      </c>
      <c r="I74" t="s">
        <v>935</v>
      </c>
      <c r="J74" t="s">
        <v>1000</v>
      </c>
      <c r="K74" t="s">
        <v>10638</v>
      </c>
      <c r="L74" t="s">
        <v>937</v>
      </c>
      <c r="M74" t="s">
        <v>938</v>
      </c>
      <c r="N74" t="s">
        <v>940</v>
      </c>
      <c r="O74" t="s">
        <v>1013</v>
      </c>
      <c r="P74" t="s">
        <v>1498</v>
      </c>
      <c r="Q74" t="s">
        <v>9864</v>
      </c>
      <c r="R74" t="s">
        <v>14393</v>
      </c>
      <c r="S74" t="s">
        <v>1515</v>
      </c>
      <c r="T74" t="s">
        <v>1302</v>
      </c>
      <c r="U74" t="s">
        <v>1046</v>
      </c>
      <c r="V74" t="s">
        <v>1051</v>
      </c>
      <c r="W74" t="s">
        <v>1436</v>
      </c>
      <c r="X74" t="s">
        <v>955</v>
      </c>
      <c r="Y74" t="s">
        <v>1066</v>
      </c>
      <c r="Z74" t="s">
        <v>1549</v>
      </c>
      <c r="AA74" t="s">
        <v>9816</v>
      </c>
      <c r="AB74" t="s">
        <v>1071</v>
      </c>
      <c r="AC74" t="s">
        <v>1072</v>
      </c>
      <c r="AD74" t="s">
        <v>1182</v>
      </c>
      <c r="AE74" t="s">
        <v>1559</v>
      </c>
    </row>
    <row r="75" spans="1:65" customFormat="1" ht="15" x14ac:dyDescent="0.25">
      <c r="A75" t="s">
        <v>414</v>
      </c>
      <c r="B75" t="s">
        <v>413</v>
      </c>
      <c r="C75" t="s">
        <v>929</v>
      </c>
      <c r="D75" t="s">
        <v>9790</v>
      </c>
      <c r="E75" t="s">
        <v>933</v>
      </c>
      <c r="F75" t="s">
        <v>1105</v>
      </c>
      <c r="G75" t="s">
        <v>996</v>
      </c>
      <c r="H75" t="s">
        <v>998</v>
      </c>
      <c r="I75" t="s">
        <v>10624</v>
      </c>
      <c r="J75" t="s">
        <v>1000</v>
      </c>
      <c r="K75" t="s">
        <v>10638</v>
      </c>
      <c r="L75" t="s">
        <v>1005</v>
      </c>
      <c r="M75" t="s">
        <v>1010</v>
      </c>
      <c r="N75" t="s">
        <v>937</v>
      </c>
      <c r="O75" t="s">
        <v>1119</v>
      </c>
      <c r="P75" t="s">
        <v>1125</v>
      </c>
      <c r="Q75" t="s">
        <v>10667</v>
      </c>
      <c r="R75" t="s">
        <v>1126</v>
      </c>
      <c r="S75" t="s">
        <v>1025</v>
      </c>
      <c r="T75" t="s">
        <v>1625</v>
      </c>
      <c r="U75" t="s">
        <v>943</v>
      </c>
      <c r="V75" t="s">
        <v>1134</v>
      </c>
      <c r="W75" t="s">
        <v>949</v>
      </c>
      <c r="X75" t="s">
        <v>1138</v>
      </c>
      <c r="Y75" t="s">
        <v>1142</v>
      </c>
      <c r="Z75" t="s">
        <v>1146</v>
      </c>
      <c r="AA75" t="s">
        <v>953</v>
      </c>
      <c r="AB75" t="s">
        <v>1651</v>
      </c>
      <c r="AC75" t="s">
        <v>9788</v>
      </c>
      <c r="AD75" t="s">
        <v>955</v>
      </c>
      <c r="AE75" t="s">
        <v>1154</v>
      </c>
      <c r="AF75" t="s">
        <v>14374</v>
      </c>
      <c r="AG75" t="s">
        <v>1161</v>
      </c>
      <c r="AH75" t="s">
        <v>1164</v>
      </c>
      <c r="AI75" t="s">
        <v>1181</v>
      </c>
      <c r="AJ75" t="s">
        <v>1185</v>
      </c>
      <c r="AK75" t="s">
        <v>1080</v>
      </c>
    </row>
    <row r="76" spans="1:65" customFormat="1" ht="15" x14ac:dyDescent="0.25">
      <c r="A76" t="s">
        <v>416</v>
      </c>
      <c r="B76" t="s">
        <v>415</v>
      </c>
      <c r="C76" t="s">
        <v>1401</v>
      </c>
      <c r="D76" t="s">
        <v>971</v>
      </c>
      <c r="E76" t="s">
        <v>929</v>
      </c>
      <c r="F76" t="s">
        <v>978</v>
      </c>
      <c r="G76" t="s">
        <v>1406</v>
      </c>
      <c r="H76" t="s">
        <v>1407</v>
      </c>
      <c r="I76" t="s">
        <v>9784</v>
      </c>
      <c r="J76" t="s">
        <v>1408</v>
      </c>
      <c r="K76" t="s">
        <v>1095</v>
      </c>
      <c r="L76" t="s">
        <v>1411</v>
      </c>
      <c r="M76" t="s">
        <v>1412</v>
      </c>
      <c r="N76" t="s">
        <v>991</v>
      </c>
      <c r="O76" t="s">
        <v>935</v>
      </c>
      <c r="P76" t="s">
        <v>10638</v>
      </c>
      <c r="Q76" t="s">
        <v>1009</v>
      </c>
      <c r="R76" t="s">
        <v>1419</v>
      </c>
      <c r="S76" t="s">
        <v>937</v>
      </c>
      <c r="T76" t="s">
        <v>938</v>
      </c>
      <c r="U76" t="s">
        <v>940</v>
      </c>
      <c r="V76" t="s">
        <v>1422</v>
      </c>
      <c r="W76" t="s">
        <v>1013</v>
      </c>
      <c r="X76" t="s">
        <v>11688</v>
      </c>
      <c r="Y76" t="s">
        <v>1427</v>
      </c>
      <c r="Z76" t="s">
        <v>1430</v>
      </c>
      <c r="AA76" t="s">
        <v>1432</v>
      </c>
      <c r="AB76" t="s">
        <v>1433</v>
      </c>
      <c r="AC76" t="s">
        <v>951</v>
      </c>
      <c r="AD76" t="s">
        <v>1048</v>
      </c>
      <c r="AE76" t="s">
        <v>1051</v>
      </c>
      <c r="AF76" t="s">
        <v>1436</v>
      </c>
      <c r="AG76" t="s">
        <v>953</v>
      </c>
      <c r="AH76" t="s">
        <v>1056</v>
      </c>
      <c r="AI76" t="s">
        <v>955</v>
      </c>
      <c r="AJ76" t="s">
        <v>11689</v>
      </c>
      <c r="AK76" t="s">
        <v>10736</v>
      </c>
      <c r="AL76" t="s">
        <v>1180</v>
      </c>
    </row>
    <row r="77" spans="1:65" customFormat="1" ht="15" x14ac:dyDescent="0.25">
      <c r="A77" t="s">
        <v>418</v>
      </c>
      <c r="B77" t="s">
        <v>417</v>
      </c>
      <c r="C77" t="s">
        <v>926</v>
      </c>
      <c r="D77" t="s">
        <v>929</v>
      </c>
      <c r="E77" t="s">
        <v>933</v>
      </c>
      <c r="F77" t="s">
        <v>1105</v>
      </c>
      <c r="G77" t="s">
        <v>1592</v>
      </c>
      <c r="H77" t="s">
        <v>1593</v>
      </c>
      <c r="I77" t="s">
        <v>10638</v>
      </c>
      <c r="J77" t="s">
        <v>1249</v>
      </c>
      <c r="K77" t="s">
        <v>1609</v>
      </c>
      <c r="L77" t="s">
        <v>10651</v>
      </c>
      <c r="M77" t="s">
        <v>938</v>
      </c>
      <c r="N77" t="s">
        <v>1012</v>
      </c>
      <c r="O77" t="s">
        <v>1025</v>
      </c>
      <c r="P77" t="s">
        <v>10681</v>
      </c>
      <c r="Q77" t="s">
        <v>945</v>
      </c>
      <c r="R77" t="s">
        <v>1041</v>
      </c>
      <c r="S77" t="s">
        <v>9787</v>
      </c>
      <c r="T77" t="s">
        <v>951</v>
      </c>
      <c r="U77" t="s">
        <v>953</v>
      </c>
      <c r="V77" t="s">
        <v>11720</v>
      </c>
      <c r="W77" t="s">
        <v>9788</v>
      </c>
      <c r="X77" t="s">
        <v>1056</v>
      </c>
      <c r="Y77" t="s">
        <v>11663</v>
      </c>
      <c r="Z77" t="s">
        <v>14374</v>
      </c>
      <c r="AA77" t="s">
        <v>1072</v>
      </c>
      <c r="AB77" t="s">
        <v>1684</v>
      </c>
      <c r="AC77" t="s">
        <v>1691</v>
      </c>
      <c r="AD77" t="s">
        <v>1399</v>
      </c>
    </row>
    <row r="78" spans="1:65" customFormat="1" ht="15" x14ac:dyDescent="0.25">
      <c r="A78" t="s">
        <v>420</v>
      </c>
      <c r="B78" t="s">
        <v>419</v>
      </c>
      <c r="C78" t="s">
        <v>973</v>
      </c>
      <c r="D78" t="s">
        <v>929</v>
      </c>
      <c r="E78" t="s">
        <v>9782</v>
      </c>
      <c r="F78" t="s">
        <v>9790</v>
      </c>
      <c r="G78" t="s">
        <v>9784</v>
      </c>
      <c r="H78" t="s">
        <v>991</v>
      </c>
      <c r="I78" t="s">
        <v>993</v>
      </c>
      <c r="J78" t="s">
        <v>9785</v>
      </c>
      <c r="K78" t="s">
        <v>996</v>
      </c>
      <c r="L78" t="s">
        <v>997</v>
      </c>
      <c r="M78" t="s">
        <v>1000</v>
      </c>
      <c r="N78" t="s">
        <v>1003</v>
      </c>
      <c r="O78" t="s">
        <v>10638</v>
      </c>
      <c r="P78" t="s">
        <v>937</v>
      </c>
      <c r="Q78" t="s">
        <v>938</v>
      </c>
      <c r="R78" t="s">
        <v>940</v>
      </c>
      <c r="S78" t="s">
        <v>1013</v>
      </c>
      <c r="T78" t="s">
        <v>1126</v>
      </c>
      <c r="U78" t="s">
        <v>1026</v>
      </c>
      <c r="V78" t="s">
        <v>10681</v>
      </c>
      <c r="W78" t="s">
        <v>943</v>
      </c>
      <c r="X78" t="s">
        <v>1033</v>
      </c>
      <c r="Y78" t="s">
        <v>1038</v>
      </c>
      <c r="Z78" t="s">
        <v>1042</v>
      </c>
      <c r="AA78" t="s">
        <v>951</v>
      </c>
      <c r="AB78" t="s">
        <v>1048</v>
      </c>
      <c r="AC78" t="s">
        <v>1053</v>
      </c>
      <c r="AD78" t="s">
        <v>11720</v>
      </c>
      <c r="AE78" t="s">
        <v>9788</v>
      </c>
      <c r="AF78" t="s">
        <v>1056</v>
      </c>
      <c r="AG78" t="s">
        <v>955</v>
      </c>
      <c r="AH78" t="s">
        <v>14374</v>
      </c>
      <c r="AI78" t="s">
        <v>962</v>
      </c>
      <c r="AJ78" t="s">
        <v>1069</v>
      </c>
      <c r="AK78" t="s">
        <v>1072</v>
      </c>
      <c r="AL78" t="s">
        <v>1076</v>
      </c>
      <c r="AM78" t="s">
        <v>1079</v>
      </c>
      <c r="AN78" t="s">
        <v>1082</v>
      </c>
    </row>
    <row r="79" spans="1:65" customFormat="1" ht="15" x14ac:dyDescent="0.25">
      <c r="A79" t="s">
        <v>422</v>
      </c>
      <c r="B79" t="s">
        <v>421</v>
      </c>
      <c r="C79" t="s">
        <v>979</v>
      </c>
      <c r="D79" t="s">
        <v>997</v>
      </c>
      <c r="E79" t="s">
        <v>1003</v>
      </c>
      <c r="F79" t="s">
        <v>10638</v>
      </c>
      <c r="G79" t="s">
        <v>9786</v>
      </c>
      <c r="H79" t="s">
        <v>1006</v>
      </c>
      <c r="I79" t="s">
        <v>937</v>
      </c>
      <c r="J79" t="s">
        <v>940</v>
      </c>
      <c r="K79" t="s">
        <v>1015</v>
      </c>
      <c r="L79" t="s">
        <v>10681</v>
      </c>
      <c r="M79" t="s">
        <v>943</v>
      </c>
      <c r="N79" t="s">
        <v>1038</v>
      </c>
      <c r="O79" t="s">
        <v>1047</v>
      </c>
      <c r="P79" t="s">
        <v>1048</v>
      </c>
      <c r="Q79" t="s">
        <v>1049</v>
      </c>
      <c r="R79" t="s">
        <v>11720</v>
      </c>
      <c r="S79" t="s">
        <v>1059</v>
      </c>
      <c r="T79" t="s">
        <v>1060</v>
      </c>
      <c r="U79" t="s">
        <v>1069</v>
      </c>
      <c r="V79" t="s">
        <v>1071</v>
      </c>
    </row>
    <row r="80" spans="1:65" customFormat="1" ht="15" x14ac:dyDescent="0.25">
      <c r="A80" t="s">
        <v>424</v>
      </c>
      <c r="B80" t="s">
        <v>423</v>
      </c>
      <c r="C80" t="s">
        <v>1016</v>
      </c>
      <c r="D80" t="s">
        <v>972</v>
      </c>
      <c r="E80" t="s">
        <v>973</v>
      </c>
      <c r="F80" t="s">
        <v>926</v>
      </c>
      <c r="G80" t="s">
        <v>975</v>
      </c>
      <c r="H80" t="s">
        <v>929</v>
      </c>
      <c r="I80" t="s">
        <v>1880</v>
      </c>
      <c r="J80" t="s">
        <v>1881</v>
      </c>
      <c r="K80" t="s">
        <v>1416</v>
      </c>
      <c r="L80" t="s">
        <v>10638</v>
      </c>
      <c r="M80" t="s">
        <v>937</v>
      </c>
      <c r="N80" t="s">
        <v>1891</v>
      </c>
      <c r="O80" t="s">
        <v>938</v>
      </c>
      <c r="P80" t="s">
        <v>940</v>
      </c>
      <c r="Q80" t="s">
        <v>1423</v>
      </c>
      <c r="R80" t="s">
        <v>1013</v>
      </c>
      <c r="S80" t="s">
        <v>1496</v>
      </c>
      <c r="T80" t="s">
        <v>10667</v>
      </c>
      <c r="U80" t="s">
        <v>1126</v>
      </c>
      <c r="V80" t="s">
        <v>10681</v>
      </c>
      <c r="W80" t="s">
        <v>1039</v>
      </c>
      <c r="X80" t="s">
        <v>1046</v>
      </c>
      <c r="Y80" t="s">
        <v>951</v>
      </c>
      <c r="Z80" t="s">
        <v>1048</v>
      </c>
      <c r="AA80" t="s">
        <v>1051</v>
      </c>
      <c r="AB80" t="s">
        <v>1436</v>
      </c>
      <c r="AC80" t="s">
        <v>11720</v>
      </c>
      <c r="AD80" t="s">
        <v>9788</v>
      </c>
      <c r="AE80" t="s">
        <v>1056</v>
      </c>
      <c r="AF80" t="s">
        <v>1057</v>
      </c>
      <c r="AG80" t="s">
        <v>955</v>
      </c>
      <c r="AH80" t="s">
        <v>1060</v>
      </c>
      <c r="AI80" t="s">
        <v>962</v>
      </c>
      <c r="AJ80" t="s">
        <v>1911</v>
      </c>
      <c r="AK80" t="s">
        <v>1069</v>
      </c>
      <c r="AL80" t="s">
        <v>1916</v>
      </c>
      <c r="AM80" t="s">
        <v>1072</v>
      </c>
      <c r="AN80" t="s">
        <v>1075</v>
      </c>
      <c r="AO80" t="s">
        <v>1920</v>
      </c>
      <c r="AP80" t="s">
        <v>1563</v>
      </c>
    </row>
    <row r="81" spans="1:70" customFormat="1" ht="15" x14ac:dyDescent="0.25">
      <c r="A81" t="s">
        <v>426</v>
      </c>
      <c r="B81" t="s">
        <v>425</v>
      </c>
      <c r="C81" t="s">
        <v>922</v>
      </c>
      <c r="D81" t="s">
        <v>10568</v>
      </c>
      <c r="E81" t="s">
        <v>926</v>
      </c>
      <c r="F81" t="s">
        <v>929</v>
      </c>
      <c r="G81" t="s">
        <v>1575</v>
      </c>
      <c r="H81" t="s">
        <v>931</v>
      </c>
      <c r="I81" t="s">
        <v>9790</v>
      </c>
      <c r="J81" t="s">
        <v>9784</v>
      </c>
      <c r="K81" t="s">
        <v>1581</v>
      </c>
      <c r="L81" t="s">
        <v>9837</v>
      </c>
      <c r="M81" t="s">
        <v>989</v>
      </c>
      <c r="N81" t="s">
        <v>996</v>
      </c>
      <c r="O81" t="s">
        <v>10617</v>
      </c>
      <c r="P81" t="s">
        <v>1728</v>
      </c>
      <c r="Q81" t="s">
        <v>935</v>
      </c>
      <c r="R81" t="s">
        <v>1416</v>
      </c>
      <c r="S81" t="s">
        <v>1000</v>
      </c>
      <c r="T81" t="s">
        <v>1485</v>
      </c>
      <c r="U81" t="s">
        <v>10638</v>
      </c>
      <c r="V81" t="s">
        <v>1010</v>
      </c>
      <c r="W81" t="s">
        <v>937</v>
      </c>
      <c r="X81" t="s">
        <v>1011</v>
      </c>
      <c r="Y81" t="s">
        <v>940</v>
      </c>
      <c r="Z81" t="s">
        <v>1013</v>
      </c>
      <c r="AA81" t="s">
        <v>942</v>
      </c>
      <c r="AB81" t="s">
        <v>10681</v>
      </c>
      <c r="AC81" t="s">
        <v>1743</v>
      </c>
      <c r="AD81" t="s">
        <v>945</v>
      </c>
      <c r="AE81" t="s">
        <v>1746</v>
      </c>
      <c r="AF81" t="s">
        <v>949</v>
      </c>
      <c r="AG81" t="s">
        <v>1044</v>
      </c>
      <c r="AH81" t="s">
        <v>951</v>
      </c>
      <c r="AI81" t="s">
        <v>953</v>
      </c>
      <c r="AJ81" t="s">
        <v>11720</v>
      </c>
      <c r="AK81" t="s">
        <v>9788</v>
      </c>
      <c r="AL81" t="s">
        <v>955</v>
      </c>
      <c r="AM81" t="s">
        <v>957</v>
      </c>
      <c r="AN81" t="s">
        <v>960</v>
      </c>
      <c r="AO81" t="s">
        <v>14374</v>
      </c>
      <c r="AP81" t="s">
        <v>1062</v>
      </c>
      <c r="AQ81" t="s">
        <v>962</v>
      </c>
      <c r="AR81" t="s">
        <v>1767</v>
      </c>
      <c r="AS81" t="s">
        <v>964</v>
      </c>
      <c r="AT81" t="s">
        <v>1353</v>
      </c>
      <c r="AU81" t="s">
        <v>1772</v>
      </c>
      <c r="AV81" t="s">
        <v>1066</v>
      </c>
      <c r="AW81" t="s">
        <v>11714</v>
      </c>
      <c r="AX81" t="s">
        <v>1069</v>
      </c>
      <c r="AY81" t="s">
        <v>1785</v>
      </c>
      <c r="AZ81" t="s">
        <v>966</v>
      </c>
      <c r="BA81" t="s">
        <v>1789</v>
      </c>
      <c r="BB81" t="s">
        <v>1080</v>
      </c>
      <c r="BC81" t="s">
        <v>11715</v>
      </c>
      <c r="BD81" t="s">
        <v>14377</v>
      </c>
    </row>
    <row r="82" spans="1:70" customFormat="1" ht="15" x14ac:dyDescent="0.25">
      <c r="A82" t="s">
        <v>428</v>
      </c>
      <c r="B82" t="s">
        <v>427</v>
      </c>
      <c r="C82" t="s">
        <v>926</v>
      </c>
      <c r="D82" t="s">
        <v>929</v>
      </c>
      <c r="E82" t="s">
        <v>9784</v>
      </c>
      <c r="F82" t="s">
        <v>998</v>
      </c>
      <c r="G82" t="s">
        <v>1416</v>
      </c>
      <c r="H82" t="s">
        <v>10638</v>
      </c>
      <c r="I82" t="s">
        <v>937</v>
      </c>
      <c r="J82" t="s">
        <v>1011</v>
      </c>
      <c r="K82" t="s">
        <v>938</v>
      </c>
      <c r="L82" t="s">
        <v>940</v>
      </c>
      <c r="M82" t="s">
        <v>1013</v>
      </c>
      <c r="N82" t="s">
        <v>1629</v>
      </c>
      <c r="O82" t="s">
        <v>945</v>
      </c>
      <c r="P82" t="s">
        <v>1135</v>
      </c>
      <c r="Q82" t="s">
        <v>1041</v>
      </c>
      <c r="R82" t="s">
        <v>9787</v>
      </c>
      <c r="S82" t="s">
        <v>951</v>
      </c>
      <c r="T82" t="s">
        <v>1048</v>
      </c>
      <c r="U82" t="s">
        <v>953</v>
      </c>
      <c r="V82" t="s">
        <v>1647</v>
      </c>
      <c r="W82" t="s">
        <v>11720</v>
      </c>
      <c r="X82" t="s">
        <v>9788</v>
      </c>
      <c r="Y82" t="s">
        <v>1057</v>
      </c>
      <c r="Z82" t="s">
        <v>955</v>
      </c>
      <c r="AA82" t="s">
        <v>11663</v>
      </c>
      <c r="AB82" t="s">
        <v>14374</v>
      </c>
      <c r="AC82" t="s">
        <v>1072</v>
      </c>
      <c r="AD82" t="s">
        <v>1684</v>
      </c>
      <c r="AE82" t="s">
        <v>1182</v>
      </c>
      <c r="AF82" t="s">
        <v>1691</v>
      </c>
    </row>
    <row r="83" spans="1:70" customFormat="1" ht="15" x14ac:dyDescent="0.25">
      <c r="A83" t="s">
        <v>430</v>
      </c>
      <c r="B83" t="s">
        <v>429</v>
      </c>
      <c r="C83" t="s">
        <v>926</v>
      </c>
      <c r="D83" t="s">
        <v>929</v>
      </c>
      <c r="E83" t="s">
        <v>1802</v>
      </c>
      <c r="F83" t="s">
        <v>983</v>
      </c>
      <c r="G83" t="s">
        <v>11717</v>
      </c>
      <c r="H83" t="s">
        <v>1715</v>
      </c>
      <c r="I83" t="s">
        <v>933</v>
      </c>
      <c r="J83" t="s">
        <v>11660</v>
      </c>
      <c r="K83" t="s">
        <v>10638</v>
      </c>
      <c r="L83" t="s">
        <v>10643</v>
      </c>
      <c r="M83" t="s">
        <v>937</v>
      </c>
      <c r="N83" t="s">
        <v>938</v>
      </c>
      <c r="O83" t="s">
        <v>10652</v>
      </c>
      <c r="P83" t="s">
        <v>940</v>
      </c>
      <c r="Q83" t="s">
        <v>1013</v>
      </c>
      <c r="R83" t="s">
        <v>1030</v>
      </c>
      <c r="S83" t="s">
        <v>1829</v>
      </c>
      <c r="T83" t="s">
        <v>1049</v>
      </c>
      <c r="U83" t="s">
        <v>1758</v>
      </c>
      <c r="V83" t="s">
        <v>9788</v>
      </c>
      <c r="W83" t="s">
        <v>955</v>
      </c>
      <c r="X83" t="s">
        <v>14374</v>
      </c>
      <c r="Y83" t="s">
        <v>962</v>
      </c>
      <c r="Z83" t="s">
        <v>1077</v>
      </c>
      <c r="AA83" t="s">
        <v>1865</v>
      </c>
      <c r="AB83" t="s">
        <v>981</v>
      </c>
    </row>
    <row r="84" spans="1:70" customFormat="1" ht="15" x14ac:dyDescent="0.25">
      <c r="A84" t="s">
        <v>432</v>
      </c>
      <c r="B84" t="s">
        <v>431</v>
      </c>
      <c r="C84" t="s">
        <v>1195</v>
      </c>
      <c r="D84" t="s">
        <v>1564</v>
      </c>
      <c r="E84" t="s">
        <v>1196</v>
      </c>
      <c r="F84" t="s">
        <v>10579</v>
      </c>
      <c r="G84" t="s">
        <v>929</v>
      </c>
      <c r="H84" t="s">
        <v>9790</v>
      </c>
      <c r="I84" t="s">
        <v>9784</v>
      </c>
      <c r="J84" t="s">
        <v>1094</v>
      </c>
      <c r="K84" t="s">
        <v>1212</v>
      </c>
      <c r="L84" t="s">
        <v>10594</v>
      </c>
      <c r="M84" t="s">
        <v>1218</v>
      </c>
      <c r="N84" t="s">
        <v>1219</v>
      </c>
      <c r="O84" t="s">
        <v>989</v>
      </c>
      <c r="P84" t="s">
        <v>933</v>
      </c>
      <c r="Q84" t="s">
        <v>1104</v>
      </c>
      <c r="R84" t="s">
        <v>1474</v>
      </c>
      <c r="S84" t="s">
        <v>1227</v>
      </c>
      <c r="T84" t="s">
        <v>9803</v>
      </c>
      <c r="U84" t="s">
        <v>1245</v>
      </c>
      <c r="V84" t="s">
        <v>10638</v>
      </c>
      <c r="W84" t="s">
        <v>1008</v>
      </c>
      <c r="X84" t="s">
        <v>1263</v>
      </c>
      <c r="Y84" t="s">
        <v>937</v>
      </c>
      <c r="Z84" t="s">
        <v>1011</v>
      </c>
      <c r="AA84" t="s">
        <v>938</v>
      </c>
      <c r="AB84" t="s">
        <v>940</v>
      </c>
      <c r="AC84" t="s">
        <v>1273</v>
      </c>
      <c r="AD84" t="s">
        <v>1274</v>
      </c>
      <c r="AE84" t="s">
        <v>1013</v>
      </c>
      <c r="AF84" t="s">
        <v>1124</v>
      </c>
      <c r="AG84" t="s">
        <v>14385</v>
      </c>
      <c r="AH84" t="s">
        <v>14386</v>
      </c>
      <c r="AI84" t="s">
        <v>1025</v>
      </c>
      <c r="AJ84" t="s">
        <v>1293</v>
      </c>
      <c r="AK84" t="s">
        <v>943</v>
      </c>
      <c r="AL84" t="s">
        <v>945</v>
      </c>
      <c r="AM84" t="s">
        <v>1302</v>
      </c>
      <c r="AN84" t="s">
        <v>1134</v>
      </c>
      <c r="AO84" t="s">
        <v>949</v>
      </c>
      <c r="AP84" t="s">
        <v>1309</v>
      </c>
      <c r="AQ84" t="s">
        <v>1136</v>
      </c>
      <c r="AR84" t="s">
        <v>1140</v>
      </c>
      <c r="AS84" t="s">
        <v>1043</v>
      </c>
      <c r="AT84" t="s">
        <v>1044</v>
      </c>
      <c r="AU84" t="s">
        <v>1144</v>
      </c>
      <c r="AV84" t="s">
        <v>1146</v>
      </c>
      <c r="AW84" t="s">
        <v>951</v>
      </c>
      <c r="AX84" t="s">
        <v>955</v>
      </c>
      <c r="AY84" t="s">
        <v>1155</v>
      </c>
      <c r="AZ84" t="s">
        <v>11663</v>
      </c>
      <c r="BA84" t="s">
        <v>14380</v>
      </c>
      <c r="BB84" t="s">
        <v>1344</v>
      </c>
      <c r="BC84" t="s">
        <v>1158</v>
      </c>
      <c r="BD84" t="s">
        <v>962</v>
      </c>
      <c r="BE84" t="s">
        <v>1352</v>
      </c>
      <c r="BF84" t="s">
        <v>1160</v>
      </c>
      <c r="BG84" t="s">
        <v>1354</v>
      </c>
      <c r="BH84" t="s">
        <v>1357</v>
      </c>
      <c r="BI84" t="s">
        <v>1069</v>
      </c>
      <c r="BJ84" t="s">
        <v>1071</v>
      </c>
      <c r="BK84" t="s">
        <v>1072</v>
      </c>
      <c r="BL84" t="s">
        <v>1380</v>
      </c>
      <c r="BM84" t="s">
        <v>1381</v>
      </c>
      <c r="BN84" t="s">
        <v>1388</v>
      </c>
      <c r="BO84" t="s">
        <v>1390</v>
      </c>
      <c r="BP84" t="s">
        <v>14377</v>
      </c>
      <c r="BQ84" t="s">
        <v>1396</v>
      </c>
      <c r="BR84" t="s">
        <v>1398</v>
      </c>
    </row>
    <row r="85" spans="1:70" customFormat="1" ht="15" x14ac:dyDescent="0.25">
      <c r="A85" t="s">
        <v>434</v>
      </c>
      <c r="B85" t="s">
        <v>433</v>
      </c>
      <c r="C85" t="s">
        <v>971</v>
      </c>
      <c r="D85" t="s">
        <v>933</v>
      </c>
      <c r="E85" t="s">
        <v>992</v>
      </c>
      <c r="F85" t="s">
        <v>1110</v>
      </c>
      <c r="G85" t="s">
        <v>935</v>
      </c>
      <c r="H85" t="s">
        <v>998</v>
      </c>
      <c r="I85" t="s">
        <v>1113</v>
      </c>
      <c r="J85" t="s">
        <v>1003</v>
      </c>
      <c r="K85" t="s">
        <v>1010</v>
      </c>
      <c r="L85" t="s">
        <v>937</v>
      </c>
      <c r="M85" t="s">
        <v>1123</v>
      </c>
      <c r="N85" t="s">
        <v>1026</v>
      </c>
      <c r="O85" t="s">
        <v>10681</v>
      </c>
      <c r="P85" t="s">
        <v>943</v>
      </c>
      <c r="Q85" t="s">
        <v>1031</v>
      </c>
      <c r="R85" t="s">
        <v>1041</v>
      </c>
      <c r="S85" t="s">
        <v>9787</v>
      </c>
      <c r="T85" t="s">
        <v>1144</v>
      </c>
      <c r="U85" t="s">
        <v>1048</v>
      </c>
      <c r="V85" t="s">
        <v>1051</v>
      </c>
      <c r="W85" t="s">
        <v>1152</v>
      </c>
      <c r="X85" t="s">
        <v>11720</v>
      </c>
      <c r="Y85" t="s">
        <v>9788</v>
      </c>
      <c r="Z85" t="s">
        <v>1057</v>
      </c>
      <c r="AA85" t="s">
        <v>955</v>
      </c>
      <c r="AB85" t="s">
        <v>960</v>
      </c>
      <c r="AC85" t="s">
        <v>14374</v>
      </c>
      <c r="AD85" t="s">
        <v>962</v>
      </c>
      <c r="AE85" t="s">
        <v>1168</v>
      </c>
      <c r="AF85" t="s">
        <v>1172</v>
      </c>
      <c r="AG85" t="s">
        <v>1176</v>
      </c>
      <c r="AH85" t="s">
        <v>981</v>
      </c>
    </row>
    <row r="86" spans="1:70" customFormat="1" ht="15" x14ac:dyDescent="0.25">
      <c r="A86" t="s">
        <v>436</v>
      </c>
      <c r="B86" t="s">
        <v>435</v>
      </c>
      <c r="C86" t="s">
        <v>14398</v>
      </c>
      <c r="D86" t="s">
        <v>10568</v>
      </c>
      <c r="E86" t="s">
        <v>926</v>
      </c>
      <c r="F86" t="s">
        <v>1575</v>
      </c>
      <c r="G86" t="s">
        <v>931</v>
      </c>
      <c r="H86" t="s">
        <v>1704</v>
      </c>
      <c r="I86" t="s">
        <v>9784</v>
      </c>
      <c r="J86" t="s">
        <v>1720</v>
      </c>
      <c r="K86" t="s">
        <v>998</v>
      </c>
      <c r="L86" t="s">
        <v>1416</v>
      </c>
      <c r="M86" t="s">
        <v>10638</v>
      </c>
      <c r="N86" t="s">
        <v>1010</v>
      </c>
      <c r="O86" t="s">
        <v>937</v>
      </c>
      <c r="P86" t="s">
        <v>940</v>
      </c>
      <c r="Q86" t="s">
        <v>1013</v>
      </c>
      <c r="R86" t="s">
        <v>942</v>
      </c>
      <c r="S86" t="s">
        <v>1302</v>
      </c>
      <c r="T86" t="s">
        <v>1051</v>
      </c>
      <c r="U86" t="s">
        <v>11720</v>
      </c>
      <c r="V86" t="s">
        <v>1056</v>
      </c>
      <c r="W86" t="s">
        <v>1057</v>
      </c>
      <c r="X86" t="s">
        <v>955</v>
      </c>
      <c r="Y86" t="s">
        <v>14401</v>
      </c>
      <c r="Z86" t="s">
        <v>960</v>
      </c>
      <c r="AA86" t="s">
        <v>962</v>
      </c>
      <c r="AB86" t="s">
        <v>964</v>
      </c>
      <c r="AC86" t="s">
        <v>1770</v>
      </c>
      <c r="AD86" t="s">
        <v>1780</v>
      </c>
      <c r="AE86" t="s">
        <v>1069</v>
      </c>
      <c r="AF86" t="s">
        <v>1078</v>
      </c>
      <c r="AG86" t="s">
        <v>1793</v>
      </c>
      <c r="AH86" t="s">
        <v>11715</v>
      </c>
    </row>
    <row r="87" spans="1:70" customFormat="1" ht="15" x14ac:dyDescent="0.25">
      <c r="A87" t="s">
        <v>438</v>
      </c>
      <c r="B87" t="s">
        <v>437</v>
      </c>
      <c r="C87" t="s">
        <v>1564</v>
      </c>
      <c r="D87" t="s">
        <v>1196</v>
      </c>
      <c r="E87" t="s">
        <v>924</v>
      </c>
      <c r="F87" t="s">
        <v>10568</v>
      </c>
      <c r="G87" t="s">
        <v>926</v>
      </c>
      <c r="H87" t="s">
        <v>929</v>
      </c>
      <c r="I87" t="s">
        <v>931</v>
      </c>
      <c r="J87" t="s">
        <v>933</v>
      </c>
      <c r="K87" t="s">
        <v>10638</v>
      </c>
      <c r="L87" t="s">
        <v>938</v>
      </c>
      <c r="M87" t="s">
        <v>1013</v>
      </c>
      <c r="N87" t="s">
        <v>1025</v>
      </c>
      <c r="O87" t="s">
        <v>10681</v>
      </c>
      <c r="P87" t="s">
        <v>943</v>
      </c>
      <c r="Q87" t="s">
        <v>945</v>
      </c>
      <c r="R87" t="s">
        <v>9828</v>
      </c>
      <c r="S87" t="s">
        <v>951</v>
      </c>
      <c r="T87" t="s">
        <v>953</v>
      </c>
      <c r="U87" t="s">
        <v>9788</v>
      </c>
      <c r="V87" t="s">
        <v>955</v>
      </c>
      <c r="W87" t="s">
        <v>1658</v>
      </c>
      <c r="X87" t="s">
        <v>11663</v>
      </c>
      <c r="Y87" t="s">
        <v>960</v>
      </c>
      <c r="Z87" t="s">
        <v>14374</v>
      </c>
      <c r="AA87" t="s">
        <v>962</v>
      </c>
      <c r="AB87" t="s">
        <v>964</v>
      </c>
      <c r="AC87" t="s">
        <v>1069</v>
      </c>
      <c r="AD87" t="s">
        <v>966</v>
      </c>
      <c r="AE87" t="s">
        <v>1686</v>
      </c>
      <c r="AF87" t="s">
        <v>968</v>
      </c>
      <c r="AG87" t="s">
        <v>1080</v>
      </c>
    </row>
    <row r="88" spans="1:70" customFormat="1" ht="15" x14ac:dyDescent="0.25">
      <c r="A88" t="s">
        <v>440</v>
      </c>
      <c r="B88" t="s">
        <v>439</v>
      </c>
      <c r="C88" t="s">
        <v>1090</v>
      </c>
      <c r="D88" t="s">
        <v>9784</v>
      </c>
      <c r="E88" t="s">
        <v>1097</v>
      </c>
      <c r="F88" t="s">
        <v>1100</v>
      </c>
      <c r="G88" t="s">
        <v>933</v>
      </c>
      <c r="H88" t="s">
        <v>998</v>
      </c>
      <c r="I88" t="s">
        <v>1112</v>
      </c>
      <c r="J88" t="s">
        <v>1000</v>
      </c>
      <c r="K88" t="s">
        <v>1010</v>
      </c>
      <c r="L88" t="s">
        <v>1119</v>
      </c>
      <c r="M88" t="s">
        <v>938</v>
      </c>
      <c r="N88" t="s">
        <v>940</v>
      </c>
      <c r="O88" t="s">
        <v>1013</v>
      </c>
      <c r="P88" t="s">
        <v>10667</v>
      </c>
      <c r="Q88" t="s">
        <v>1126</v>
      </c>
      <c r="R88" t="s">
        <v>1025</v>
      </c>
      <c r="S88" t="s">
        <v>943</v>
      </c>
      <c r="T88" t="s">
        <v>1134</v>
      </c>
      <c r="U88" t="s">
        <v>949</v>
      </c>
      <c r="V88" t="s">
        <v>1138</v>
      </c>
      <c r="W88" t="s">
        <v>1041</v>
      </c>
      <c r="X88" t="s">
        <v>9787</v>
      </c>
      <c r="Y88" t="s">
        <v>1140</v>
      </c>
      <c r="Z88" t="s">
        <v>1142</v>
      </c>
      <c r="AA88" t="s">
        <v>1146</v>
      </c>
      <c r="AB88" t="s">
        <v>951</v>
      </c>
      <c r="AC88" t="s">
        <v>11720</v>
      </c>
      <c r="AD88" t="s">
        <v>9788</v>
      </c>
      <c r="AE88" t="s">
        <v>955</v>
      </c>
      <c r="AF88" t="s">
        <v>1154</v>
      </c>
      <c r="AG88" t="s">
        <v>14380</v>
      </c>
      <c r="AH88" t="s">
        <v>14374</v>
      </c>
      <c r="AI88" t="s">
        <v>1176</v>
      </c>
      <c r="AJ88" t="s">
        <v>1181</v>
      </c>
    </row>
    <row r="89" spans="1:70" customFormat="1" ht="15" x14ac:dyDescent="0.25">
      <c r="A89" t="s">
        <v>442</v>
      </c>
      <c r="B89" t="s">
        <v>441</v>
      </c>
      <c r="C89" t="s">
        <v>972</v>
      </c>
      <c r="D89" t="s">
        <v>926</v>
      </c>
      <c r="E89" t="s">
        <v>929</v>
      </c>
      <c r="F89" t="s">
        <v>996</v>
      </c>
      <c r="G89" t="s">
        <v>997</v>
      </c>
      <c r="H89" t="s">
        <v>1001</v>
      </c>
      <c r="I89" t="s">
        <v>10638</v>
      </c>
      <c r="J89" t="s">
        <v>1006</v>
      </c>
      <c r="K89" t="s">
        <v>937</v>
      </c>
      <c r="L89" t="s">
        <v>940</v>
      </c>
      <c r="M89" t="s">
        <v>1017</v>
      </c>
      <c r="N89" t="s">
        <v>1019</v>
      </c>
      <c r="O89" t="s">
        <v>1022</v>
      </c>
      <c r="P89" t="s">
        <v>1023</v>
      </c>
      <c r="Q89" t="s">
        <v>1026</v>
      </c>
      <c r="R89" t="s">
        <v>1038</v>
      </c>
      <c r="S89" t="s">
        <v>1039</v>
      </c>
      <c r="T89" t="s">
        <v>951</v>
      </c>
      <c r="U89" t="s">
        <v>1049</v>
      </c>
      <c r="V89" t="s">
        <v>1051</v>
      </c>
      <c r="W89" t="s">
        <v>11720</v>
      </c>
      <c r="X89" t="s">
        <v>1056</v>
      </c>
      <c r="Y89" t="s">
        <v>955</v>
      </c>
      <c r="Z89" t="s">
        <v>962</v>
      </c>
      <c r="AA89" t="s">
        <v>1684</v>
      </c>
    </row>
    <row r="90" spans="1:70" customFormat="1" ht="15" x14ac:dyDescent="0.25">
      <c r="A90" t="s">
        <v>444</v>
      </c>
      <c r="B90" t="s">
        <v>443</v>
      </c>
      <c r="C90" t="s">
        <v>11723</v>
      </c>
      <c r="D90" t="s">
        <v>971</v>
      </c>
      <c r="E90" t="s">
        <v>929</v>
      </c>
      <c r="F90" t="s">
        <v>978</v>
      </c>
      <c r="G90" t="s">
        <v>9790</v>
      </c>
      <c r="H90" t="s">
        <v>1458</v>
      </c>
      <c r="I90" t="s">
        <v>9784</v>
      </c>
      <c r="J90" t="s">
        <v>1408</v>
      </c>
      <c r="K90" t="s">
        <v>1411</v>
      </c>
      <c r="L90" t="s">
        <v>996</v>
      </c>
      <c r="M90" t="s">
        <v>10638</v>
      </c>
      <c r="N90" t="s">
        <v>1006</v>
      </c>
      <c r="O90" t="s">
        <v>1419</v>
      </c>
      <c r="P90" t="s">
        <v>937</v>
      </c>
      <c r="Q90" t="s">
        <v>1011</v>
      </c>
      <c r="R90" t="s">
        <v>938</v>
      </c>
      <c r="S90" t="s">
        <v>940</v>
      </c>
      <c r="T90" t="s">
        <v>1893</v>
      </c>
      <c r="U90" t="s">
        <v>1013</v>
      </c>
      <c r="V90" t="s">
        <v>1426</v>
      </c>
      <c r="W90" t="s">
        <v>1427</v>
      </c>
      <c r="X90" t="s">
        <v>1905</v>
      </c>
      <c r="Y90" t="s">
        <v>951</v>
      </c>
      <c r="Z90" t="s">
        <v>1048</v>
      </c>
      <c r="AA90" t="s">
        <v>1436</v>
      </c>
      <c r="AB90" t="s">
        <v>953</v>
      </c>
      <c r="AC90" t="s">
        <v>11720</v>
      </c>
      <c r="AD90" t="s">
        <v>9788</v>
      </c>
      <c r="AE90" t="s">
        <v>1057</v>
      </c>
      <c r="AF90" t="s">
        <v>955</v>
      </c>
      <c r="AG90" t="s">
        <v>14374</v>
      </c>
      <c r="AH90" t="s">
        <v>1909</v>
      </c>
      <c r="AI90" t="s">
        <v>1066</v>
      </c>
      <c r="AJ90" t="s">
        <v>1069</v>
      </c>
      <c r="AK90" t="s">
        <v>1072</v>
      </c>
      <c r="AL90" t="s">
        <v>1180</v>
      </c>
      <c r="AM90" t="s">
        <v>1075</v>
      </c>
      <c r="AN90" t="s">
        <v>1684</v>
      </c>
      <c r="AO90" t="s">
        <v>1920</v>
      </c>
      <c r="AP90" t="s">
        <v>1080</v>
      </c>
      <c r="AQ90" t="s">
        <v>10787</v>
      </c>
      <c r="AR90" t="s">
        <v>1563</v>
      </c>
    </row>
    <row r="91" spans="1:70" customFormat="1" ht="15" x14ac:dyDescent="0.25">
      <c r="A91" t="s">
        <v>446</v>
      </c>
      <c r="B91" t="s">
        <v>445</v>
      </c>
      <c r="C91" t="s">
        <v>926</v>
      </c>
      <c r="D91" t="s">
        <v>929</v>
      </c>
      <c r="E91" t="s">
        <v>1456</v>
      </c>
      <c r="F91" t="s">
        <v>9790</v>
      </c>
      <c r="G91" t="s">
        <v>989</v>
      </c>
      <c r="H91" t="s">
        <v>997</v>
      </c>
      <c r="I91" t="s">
        <v>1416</v>
      </c>
      <c r="J91" t="s">
        <v>937</v>
      </c>
      <c r="K91" t="s">
        <v>940</v>
      </c>
      <c r="L91" t="s">
        <v>1013</v>
      </c>
      <c r="M91" t="s">
        <v>10681</v>
      </c>
      <c r="N91" t="s">
        <v>943</v>
      </c>
      <c r="O91" t="s">
        <v>1030</v>
      </c>
      <c r="P91" t="s">
        <v>1144</v>
      </c>
      <c r="Q91" t="s">
        <v>1048</v>
      </c>
      <c r="R91" t="s">
        <v>1049</v>
      </c>
      <c r="S91" t="s">
        <v>11720</v>
      </c>
      <c r="T91" t="s">
        <v>9788</v>
      </c>
      <c r="U91" t="s">
        <v>955</v>
      </c>
      <c r="V91" t="s">
        <v>14374</v>
      </c>
      <c r="W91" t="s">
        <v>1072</v>
      </c>
      <c r="X91" t="s">
        <v>1076</v>
      </c>
      <c r="Y91" t="s">
        <v>1079</v>
      </c>
    </row>
    <row r="92" spans="1:70" customFormat="1" ht="15" x14ac:dyDescent="0.25">
      <c r="A92" t="s">
        <v>448</v>
      </c>
      <c r="B92" t="s">
        <v>447</v>
      </c>
      <c r="C92" t="s">
        <v>929</v>
      </c>
      <c r="D92" t="s">
        <v>1088</v>
      </c>
      <c r="E92" t="s">
        <v>1099</v>
      </c>
      <c r="F92" t="s">
        <v>933</v>
      </c>
      <c r="G92" t="s">
        <v>1110</v>
      </c>
      <c r="H92" t="s">
        <v>998</v>
      </c>
      <c r="I92" t="s">
        <v>1416</v>
      </c>
      <c r="J92" t="s">
        <v>1113</v>
      </c>
      <c r="K92" t="s">
        <v>10638</v>
      </c>
      <c r="L92" t="s">
        <v>1010</v>
      </c>
      <c r="M92" t="s">
        <v>938</v>
      </c>
      <c r="N92" t="s">
        <v>940</v>
      </c>
      <c r="O92" t="s">
        <v>10687</v>
      </c>
      <c r="P92" t="s">
        <v>11672</v>
      </c>
      <c r="Q92" t="s">
        <v>1041</v>
      </c>
      <c r="R92" t="s">
        <v>9787</v>
      </c>
      <c r="S92" t="s">
        <v>1141</v>
      </c>
      <c r="T92" t="s">
        <v>1144</v>
      </c>
      <c r="U92" t="s">
        <v>1146</v>
      </c>
      <c r="V92" t="s">
        <v>1147</v>
      </c>
      <c r="W92" t="s">
        <v>951</v>
      </c>
      <c r="X92" t="s">
        <v>1048</v>
      </c>
      <c r="Y92" t="s">
        <v>1051</v>
      </c>
      <c r="Z92" t="s">
        <v>1152</v>
      </c>
      <c r="AA92" t="s">
        <v>11720</v>
      </c>
      <c r="AB92" t="s">
        <v>9788</v>
      </c>
      <c r="AC92" t="s">
        <v>1057</v>
      </c>
      <c r="AD92" t="s">
        <v>955</v>
      </c>
      <c r="AE92" t="s">
        <v>9795</v>
      </c>
      <c r="AF92" t="s">
        <v>1066</v>
      </c>
      <c r="AG92" t="s">
        <v>1172</v>
      </c>
      <c r="AH92" t="s">
        <v>9796</v>
      </c>
      <c r="AI92" t="s">
        <v>9881</v>
      </c>
      <c r="AJ92" t="s">
        <v>1176</v>
      </c>
      <c r="AK92" t="s">
        <v>9799</v>
      </c>
      <c r="AL92" t="s">
        <v>1183</v>
      </c>
    </row>
    <row r="93" spans="1:70" customFormat="1" ht="15" x14ac:dyDescent="0.25">
      <c r="A93" t="s">
        <v>450</v>
      </c>
      <c r="B93" t="s">
        <v>449</v>
      </c>
      <c r="C93" t="s">
        <v>1195</v>
      </c>
      <c r="D93" t="s">
        <v>1565</v>
      </c>
      <c r="E93" t="s">
        <v>929</v>
      </c>
      <c r="F93" t="s">
        <v>978</v>
      </c>
      <c r="G93" t="s">
        <v>9784</v>
      </c>
      <c r="H93" t="s">
        <v>933</v>
      </c>
      <c r="I93" t="s">
        <v>1000</v>
      </c>
      <c r="J93" t="s">
        <v>10638</v>
      </c>
      <c r="K93" t="s">
        <v>1010</v>
      </c>
      <c r="L93" t="s">
        <v>938</v>
      </c>
      <c r="M93" t="s">
        <v>940</v>
      </c>
      <c r="N93" t="s">
        <v>1126</v>
      </c>
      <c r="O93" t="s">
        <v>1025</v>
      </c>
      <c r="P93" t="s">
        <v>10681</v>
      </c>
      <c r="Q93" t="s">
        <v>945</v>
      </c>
      <c r="R93" t="s">
        <v>1041</v>
      </c>
      <c r="S93" t="s">
        <v>9787</v>
      </c>
      <c r="T93" t="s">
        <v>951</v>
      </c>
      <c r="U93" t="s">
        <v>1056</v>
      </c>
      <c r="V93" t="s">
        <v>955</v>
      </c>
      <c r="W93" t="s">
        <v>1654</v>
      </c>
      <c r="X93" t="s">
        <v>1661</v>
      </c>
      <c r="Y93" t="s">
        <v>11663</v>
      </c>
      <c r="Z93" t="s">
        <v>1062</v>
      </c>
      <c r="AA93" t="s">
        <v>962</v>
      </c>
      <c r="AB93" t="s">
        <v>11709</v>
      </c>
      <c r="AC93" t="s">
        <v>1684</v>
      </c>
      <c r="AD93" t="s">
        <v>1699</v>
      </c>
    </row>
    <row r="94" spans="1:70" customFormat="1" ht="15" x14ac:dyDescent="0.25">
      <c r="A94" t="s">
        <v>452</v>
      </c>
      <c r="B94" t="s">
        <v>451</v>
      </c>
      <c r="C94" t="s">
        <v>1196</v>
      </c>
      <c r="D94" t="s">
        <v>10568</v>
      </c>
      <c r="E94" t="s">
        <v>926</v>
      </c>
      <c r="F94" t="s">
        <v>929</v>
      </c>
      <c r="G94" t="s">
        <v>1575</v>
      </c>
      <c r="H94" t="s">
        <v>931</v>
      </c>
      <c r="I94" t="s">
        <v>9784</v>
      </c>
      <c r="J94" t="s">
        <v>933</v>
      </c>
      <c r="K94" t="s">
        <v>1588</v>
      </c>
      <c r="L94" t="s">
        <v>11660</v>
      </c>
      <c r="M94" t="s">
        <v>10638</v>
      </c>
      <c r="N94" t="s">
        <v>937</v>
      </c>
      <c r="O94" t="s">
        <v>1011</v>
      </c>
      <c r="P94" t="s">
        <v>938</v>
      </c>
      <c r="Q94" t="s">
        <v>940</v>
      </c>
      <c r="R94" t="s">
        <v>1012</v>
      </c>
      <c r="S94" t="s">
        <v>1025</v>
      </c>
      <c r="T94" t="s">
        <v>949</v>
      </c>
      <c r="U94" t="s">
        <v>1044</v>
      </c>
      <c r="V94" t="s">
        <v>951</v>
      </c>
      <c r="W94" t="s">
        <v>953</v>
      </c>
      <c r="X94" t="s">
        <v>1654</v>
      </c>
      <c r="Y94" t="s">
        <v>11663</v>
      </c>
      <c r="Z94" t="s">
        <v>960</v>
      </c>
      <c r="AA94" t="s">
        <v>962</v>
      </c>
      <c r="AB94" t="s">
        <v>964</v>
      </c>
      <c r="AC94" t="s">
        <v>966</v>
      </c>
      <c r="AD94" t="s">
        <v>1686</v>
      </c>
      <c r="AE94" t="s">
        <v>968</v>
      </c>
    </row>
    <row r="95" spans="1:70" customFormat="1" ht="15" x14ac:dyDescent="0.25">
      <c r="A95" t="s">
        <v>454</v>
      </c>
      <c r="B95" t="s">
        <v>453</v>
      </c>
      <c r="C95" t="s">
        <v>1564</v>
      </c>
      <c r="D95" t="s">
        <v>1196</v>
      </c>
      <c r="E95" t="s">
        <v>926</v>
      </c>
      <c r="F95" t="s">
        <v>1010</v>
      </c>
      <c r="G95" t="s">
        <v>937</v>
      </c>
      <c r="H95" t="s">
        <v>14386</v>
      </c>
      <c r="I95" t="s">
        <v>1284</v>
      </c>
      <c r="J95" t="s">
        <v>1025</v>
      </c>
      <c r="K95" t="s">
        <v>943</v>
      </c>
      <c r="L95" t="s">
        <v>1300</v>
      </c>
      <c r="M95" t="s">
        <v>1043</v>
      </c>
      <c r="N95" t="s">
        <v>1146</v>
      </c>
      <c r="O95" t="s">
        <v>953</v>
      </c>
      <c r="P95" t="s">
        <v>1057</v>
      </c>
      <c r="Q95" t="s">
        <v>11663</v>
      </c>
      <c r="R95" t="s">
        <v>1667</v>
      </c>
      <c r="S95" t="s">
        <v>1368</v>
      </c>
      <c r="T95" t="s">
        <v>1374</v>
      </c>
      <c r="U95" t="s">
        <v>1688</v>
      </c>
      <c r="V95" t="s">
        <v>1080</v>
      </c>
      <c r="W95" t="s">
        <v>1398</v>
      </c>
    </row>
    <row r="96" spans="1:70" customFormat="1" ht="15" x14ac:dyDescent="0.25">
      <c r="A96" t="s">
        <v>456</v>
      </c>
      <c r="B96" t="s">
        <v>455</v>
      </c>
      <c r="C96" t="s">
        <v>1195</v>
      </c>
      <c r="D96" t="s">
        <v>929</v>
      </c>
      <c r="E96" t="s">
        <v>1087</v>
      </c>
      <c r="F96" t="s">
        <v>978</v>
      </c>
      <c r="G96" t="s">
        <v>9790</v>
      </c>
      <c r="H96" t="s">
        <v>1212</v>
      </c>
      <c r="I96" t="s">
        <v>1224</v>
      </c>
      <c r="J96" t="s">
        <v>933</v>
      </c>
      <c r="K96" t="s">
        <v>1227</v>
      </c>
      <c r="L96" t="s">
        <v>1234</v>
      </c>
      <c r="M96" t="s">
        <v>10638</v>
      </c>
      <c r="N96" t="s">
        <v>1008</v>
      </c>
      <c r="O96" t="s">
        <v>937</v>
      </c>
      <c r="P96" t="s">
        <v>1011</v>
      </c>
      <c r="Q96" t="s">
        <v>938</v>
      </c>
      <c r="R96" t="s">
        <v>940</v>
      </c>
      <c r="S96" t="s">
        <v>1274</v>
      </c>
      <c r="T96" t="s">
        <v>1013</v>
      </c>
      <c r="U96" t="s">
        <v>1124</v>
      </c>
      <c r="V96" t="s">
        <v>1126</v>
      </c>
      <c r="W96" t="s">
        <v>1127</v>
      </c>
      <c r="X96" t="s">
        <v>1025</v>
      </c>
      <c r="Y96" t="s">
        <v>943</v>
      </c>
      <c r="Z96" t="s">
        <v>945</v>
      </c>
      <c r="AA96" t="s">
        <v>1131</v>
      </c>
      <c r="AB96" t="s">
        <v>1307</v>
      </c>
      <c r="AC96" t="s">
        <v>1134</v>
      </c>
      <c r="AD96" t="s">
        <v>949</v>
      </c>
      <c r="AE96" t="s">
        <v>1136</v>
      </c>
      <c r="AF96" t="s">
        <v>1041</v>
      </c>
      <c r="AG96" t="s">
        <v>1139</v>
      </c>
      <c r="AH96" t="s">
        <v>1140</v>
      </c>
      <c r="AI96" t="s">
        <v>1142</v>
      </c>
      <c r="AJ96" t="s">
        <v>1044</v>
      </c>
      <c r="AK96" t="s">
        <v>1146</v>
      </c>
      <c r="AL96" t="s">
        <v>951</v>
      </c>
      <c r="AM96" t="s">
        <v>11720</v>
      </c>
      <c r="AN96" t="s">
        <v>955</v>
      </c>
      <c r="AO96" t="s">
        <v>1155</v>
      </c>
      <c r="AP96" t="s">
        <v>11663</v>
      </c>
      <c r="AQ96" t="s">
        <v>14380</v>
      </c>
      <c r="AR96" t="s">
        <v>1158</v>
      </c>
      <c r="AS96" t="s">
        <v>1348</v>
      </c>
      <c r="AT96" t="s">
        <v>1352</v>
      </c>
      <c r="AU96" t="s">
        <v>1160</v>
      </c>
      <c r="AV96" t="s">
        <v>1072</v>
      </c>
      <c r="AW96" t="s">
        <v>1367</v>
      </c>
      <c r="AX96" t="s">
        <v>1390</v>
      </c>
      <c r="AY96" t="s">
        <v>14377</v>
      </c>
    </row>
    <row r="97" spans="1:47" customFormat="1" ht="15" x14ac:dyDescent="0.25">
      <c r="A97" t="s">
        <v>458</v>
      </c>
      <c r="B97" t="s">
        <v>457</v>
      </c>
      <c r="C97" t="s">
        <v>924</v>
      </c>
      <c r="D97" t="s">
        <v>929</v>
      </c>
      <c r="E97" t="s">
        <v>9790</v>
      </c>
      <c r="F97" t="s">
        <v>1090</v>
      </c>
      <c r="G97" t="s">
        <v>1100</v>
      </c>
      <c r="H97" t="s">
        <v>933</v>
      </c>
      <c r="I97" t="s">
        <v>1111</v>
      </c>
      <c r="J97" t="s">
        <v>1010</v>
      </c>
      <c r="K97" t="s">
        <v>938</v>
      </c>
      <c r="L97" t="s">
        <v>1025</v>
      </c>
      <c r="M97" t="s">
        <v>943</v>
      </c>
      <c r="N97" t="s">
        <v>945</v>
      </c>
      <c r="O97" t="s">
        <v>1033</v>
      </c>
      <c r="P97" t="s">
        <v>1134</v>
      </c>
      <c r="Q97" t="s">
        <v>1041</v>
      </c>
      <c r="R97" t="s">
        <v>9787</v>
      </c>
      <c r="S97" t="s">
        <v>1146</v>
      </c>
      <c r="T97" t="s">
        <v>951</v>
      </c>
      <c r="U97" t="s">
        <v>1152</v>
      </c>
      <c r="V97" t="s">
        <v>955</v>
      </c>
      <c r="W97" t="s">
        <v>14380</v>
      </c>
      <c r="X97" t="s">
        <v>1159</v>
      </c>
      <c r="Y97" t="s">
        <v>1167</v>
      </c>
      <c r="Z97" t="s">
        <v>1176</v>
      </c>
      <c r="AA97" t="s">
        <v>1072</v>
      </c>
    </row>
    <row r="98" spans="1:47" customFormat="1" ht="15" x14ac:dyDescent="0.25">
      <c r="A98" t="s">
        <v>460</v>
      </c>
      <c r="B98" t="s">
        <v>459</v>
      </c>
      <c r="C98" t="s">
        <v>1197</v>
      </c>
      <c r="D98" t="s">
        <v>926</v>
      </c>
      <c r="E98" t="s">
        <v>9790</v>
      </c>
      <c r="F98" t="s">
        <v>9784</v>
      </c>
      <c r="G98" t="s">
        <v>933</v>
      </c>
      <c r="H98" t="s">
        <v>1602</v>
      </c>
      <c r="I98" t="s">
        <v>1011</v>
      </c>
      <c r="J98" t="s">
        <v>938</v>
      </c>
      <c r="K98" t="s">
        <v>1013</v>
      </c>
      <c r="L98" t="s">
        <v>1025</v>
      </c>
      <c r="M98" t="s">
        <v>10687</v>
      </c>
      <c r="N98" t="s">
        <v>1627</v>
      </c>
      <c r="O98" t="s">
        <v>943</v>
      </c>
      <c r="P98" t="s">
        <v>1300</v>
      </c>
      <c r="Q98" t="s">
        <v>949</v>
      </c>
      <c r="R98" t="s">
        <v>1041</v>
      </c>
      <c r="S98" t="s">
        <v>9787</v>
      </c>
      <c r="T98" t="s">
        <v>1043</v>
      </c>
      <c r="U98" t="s">
        <v>1331</v>
      </c>
      <c r="V98" t="s">
        <v>1057</v>
      </c>
      <c r="W98" t="s">
        <v>1155</v>
      </c>
      <c r="X98" t="s">
        <v>1677</v>
      </c>
      <c r="Y98" t="s">
        <v>1072</v>
      </c>
      <c r="Z98" t="s">
        <v>1684</v>
      </c>
      <c r="AA98" t="s">
        <v>1374</v>
      </c>
      <c r="AB98" t="s">
        <v>1380</v>
      </c>
      <c r="AC98" t="s">
        <v>1080</v>
      </c>
    </row>
    <row r="99" spans="1:47" customFormat="1" ht="15" x14ac:dyDescent="0.25">
      <c r="A99" t="s">
        <v>462</v>
      </c>
      <c r="B99" t="s">
        <v>461</v>
      </c>
      <c r="C99" t="s">
        <v>9785</v>
      </c>
      <c r="D99" t="s">
        <v>997</v>
      </c>
      <c r="E99" t="s">
        <v>1001</v>
      </c>
      <c r="F99" t="s">
        <v>1003</v>
      </c>
      <c r="G99" t="s">
        <v>1004</v>
      </c>
      <c r="H99" t="s">
        <v>10638</v>
      </c>
      <c r="I99" t="s">
        <v>940</v>
      </c>
      <c r="J99" t="s">
        <v>1013</v>
      </c>
      <c r="K99" t="s">
        <v>1026</v>
      </c>
      <c r="L99" t="s">
        <v>10681</v>
      </c>
      <c r="M99" t="s">
        <v>943</v>
      </c>
      <c r="N99" t="s">
        <v>1030</v>
      </c>
      <c r="O99" t="s">
        <v>1038</v>
      </c>
      <c r="P99" t="s">
        <v>1042</v>
      </c>
      <c r="Q99" t="s">
        <v>951</v>
      </c>
      <c r="R99" t="s">
        <v>1048</v>
      </c>
      <c r="S99" t="s">
        <v>1049</v>
      </c>
      <c r="T99" t="s">
        <v>1056</v>
      </c>
      <c r="U99" t="s">
        <v>1069</v>
      </c>
      <c r="V99" t="s">
        <v>1072</v>
      </c>
      <c r="W99" t="s">
        <v>1077</v>
      </c>
      <c r="X99" t="s">
        <v>1079</v>
      </c>
    </row>
    <row r="100" spans="1:47" customFormat="1" ht="15" x14ac:dyDescent="0.25">
      <c r="A100" t="s">
        <v>464</v>
      </c>
      <c r="B100" t="s">
        <v>463</v>
      </c>
      <c r="C100" t="s">
        <v>926</v>
      </c>
      <c r="D100" t="s">
        <v>931</v>
      </c>
      <c r="E100" t="s">
        <v>1581</v>
      </c>
      <c r="F100" t="s">
        <v>1716</v>
      </c>
      <c r="G100" t="s">
        <v>933</v>
      </c>
      <c r="H100" t="s">
        <v>1720</v>
      </c>
      <c r="I100" t="s">
        <v>1731</v>
      </c>
      <c r="J100" t="s">
        <v>1416</v>
      </c>
      <c r="K100" t="s">
        <v>1000</v>
      </c>
      <c r="L100" t="s">
        <v>10638</v>
      </c>
      <c r="M100" t="s">
        <v>938</v>
      </c>
      <c r="N100" t="s">
        <v>1013</v>
      </c>
      <c r="O100" t="s">
        <v>1740</v>
      </c>
      <c r="P100" t="s">
        <v>942</v>
      </c>
      <c r="Q100" t="s">
        <v>1025</v>
      </c>
      <c r="R100" t="s">
        <v>1743</v>
      </c>
      <c r="S100" t="s">
        <v>945</v>
      </c>
      <c r="T100" t="s">
        <v>951</v>
      </c>
      <c r="U100" t="s">
        <v>1051</v>
      </c>
      <c r="V100" t="s">
        <v>1056</v>
      </c>
      <c r="W100" t="s">
        <v>955</v>
      </c>
      <c r="X100" t="s">
        <v>1765</v>
      </c>
      <c r="Y100" t="s">
        <v>960</v>
      </c>
      <c r="Z100" t="s">
        <v>962</v>
      </c>
      <c r="AA100" t="s">
        <v>964</v>
      </c>
      <c r="AB100" t="s">
        <v>1770</v>
      </c>
      <c r="AC100" t="s">
        <v>1069</v>
      </c>
      <c r="AD100" t="s">
        <v>1793</v>
      </c>
    </row>
    <row r="101" spans="1:47" customFormat="1" ht="15" x14ac:dyDescent="0.25">
      <c r="A101" t="s">
        <v>466</v>
      </c>
      <c r="B101" t="s">
        <v>465</v>
      </c>
      <c r="C101" t="s">
        <v>1196</v>
      </c>
      <c r="D101" t="s">
        <v>10568</v>
      </c>
      <c r="E101" t="s">
        <v>926</v>
      </c>
      <c r="F101" t="s">
        <v>929</v>
      </c>
      <c r="G101" t="s">
        <v>931</v>
      </c>
      <c r="H101" t="s">
        <v>9784</v>
      </c>
      <c r="I101" t="s">
        <v>1581</v>
      </c>
      <c r="J101" t="s">
        <v>11701</v>
      </c>
      <c r="K101" t="s">
        <v>933</v>
      </c>
      <c r="L101" t="s">
        <v>10638</v>
      </c>
      <c r="M101" t="s">
        <v>937</v>
      </c>
      <c r="N101" t="s">
        <v>1011</v>
      </c>
      <c r="O101" t="s">
        <v>938</v>
      </c>
      <c r="P101" t="s">
        <v>1012</v>
      </c>
      <c r="Q101" t="s">
        <v>1126</v>
      </c>
      <c r="R101" t="s">
        <v>1628</v>
      </c>
      <c r="S101" t="s">
        <v>945</v>
      </c>
      <c r="T101" t="s">
        <v>1140</v>
      </c>
      <c r="U101" t="s">
        <v>951</v>
      </c>
      <c r="V101" t="s">
        <v>1644</v>
      </c>
      <c r="W101" t="s">
        <v>1051</v>
      </c>
      <c r="X101" t="s">
        <v>9788</v>
      </c>
      <c r="Y101" t="s">
        <v>955</v>
      </c>
      <c r="Z101" t="s">
        <v>14374</v>
      </c>
      <c r="AA101" t="s">
        <v>962</v>
      </c>
      <c r="AB101" t="s">
        <v>1670</v>
      </c>
      <c r="AC101" t="s">
        <v>1066</v>
      </c>
      <c r="AD101" t="s">
        <v>1069</v>
      </c>
      <c r="AE101" t="s">
        <v>966</v>
      </c>
      <c r="AF101" t="s">
        <v>1686</v>
      </c>
      <c r="AG101" t="s">
        <v>968</v>
      </c>
    </row>
    <row r="102" spans="1:47" customFormat="1" ht="15" x14ac:dyDescent="0.25">
      <c r="A102" t="s">
        <v>468</v>
      </c>
      <c r="B102" t="s">
        <v>467</v>
      </c>
      <c r="C102" t="s">
        <v>971</v>
      </c>
      <c r="D102" t="s">
        <v>929</v>
      </c>
      <c r="E102" t="s">
        <v>9784</v>
      </c>
      <c r="F102" t="s">
        <v>989</v>
      </c>
      <c r="G102" t="s">
        <v>933</v>
      </c>
      <c r="H102" t="s">
        <v>992</v>
      </c>
      <c r="I102" t="s">
        <v>1000</v>
      </c>
      <c r="J102" t="s">
        <v>1113</v>
      </c>
      <c r="K102" t="s">
        <v>1002</v>
      </c>
      <c r="L102" t="s">
        <v>10638</v>
      </c>
      <c r="M102" t="s">
        <v>937</v>
      </c>
      <c r="N102" t="s">
        <v>938</v>
      </c>
      <c r="O102" t="s">
        <v>940</v>
      </c>
      <c r="P102" t="s">
        <v>1123</v>
      </c>
      <c r="Q102" t="s">
        <v>1013</v>
      </c>
      <c r="R102" t="s">
        <v>1026</v>
      </c>
      <c r="S102" t="s">
        <v>943</v>
      </c>
      <c r="T102" t="s">
        <v>1031</v>
      </c>
      <c r="U102" t="s">
        <v>1146</v>
      </c>
      <c r="V102" t="s">
        <v>951</v>
      </c>
      <c r="W102" t="s">
        <v>1048</v>
      </c>
      <c r="X102" t="s">
        <v>1049</v>
      </c>
      <c r="Y102" t="s">
        <v>953</v>
      </c>
      <c r="Z102" t="s">
        <v>1152</v>
      </c>
      <c r="AA102" t="s">
        <v>1057</v>
      </c>
      <c r="AB102" t="s">
        <v>955</v>
      </c>
      <c r="AC102" t="s">
        <v>1168</v>
      </c>
      <c r="AD102" t="s">
        <v>1176</v>
      </c>
      <c r="AE102" t="s">
        <v>1190</v>
      </c>
      <c r="AF102" t="s">
        <v>981</v>
      </c>
    </row>
    <row r="103" spans="1:47" customFormat="1" ht="15" x14ac:dyDescent="0.25">
      <c r="A103" t="s">
        <v>470</v>
      </c>
      <c r="B103" t="s">
        <v>469</v>
      </c>
      <c r="C103" t="s">
        <v>929</v>
      </c>
      <c r="D103" t="s">
        <v>1579</v>
      </c>
      <c r="E103" t="s">
        <v>989</v>
      </c>
      <c r="F103" t="s">
        <v>1105</v>
      </c>
      <c r="G103" t="s">
        <v>998</v>
      </c>
      <c r="H103" t="s">
        <v>1416</v>
      </c>
      <c r="I103" t="s">
        <v>10638</v>
      </c>
      <c r="J103" t="s">
        <v>937</v>
      </c>
      <c r="K103" t="s">
        <v>940</v>
      </c>
      <c r="L103" t="s">
        <v>1012</v>
      </c>
      <c r="M103" t="s">
        <v>1013</v>
      </c>
      <c r="N103" t="s">
        <v>1621</v>
      </c>
      <c r="O103" t="s">
        <v>1025</v>
      </c>
      <c r="P103" t="s">
        <v>1293</v>
      </c>
      <c r="Q103" t="s">
        <v>1296</v>
      </c>
      <c r="R103" t="s">
        <v>1632</v>
      </c>
      <c r="S103" t="s">
        <v>945</v>
      </c>
      <c r="T103" t="s">
        <v>1041</v>
      </c>
      <c r="U103" t="s">
        <v>9787</v>
      </c>
      <c r="V103" t="s">
        <v>951</v>
      </c>
      <c r="W103" t="s">
        <v>953</v>
      </c>
      <c r="X103" t="s">
        <v>11720</v>
      </c>
      <c r="Y103" t="s">
        <v>9788</v>
      </c>
      <c r="Z103" t="s">
        <v>1056</v>
      </c>
      <c r="AA103" t="s">
        <v>1057</v>
      </c>
      <c r="AB103" t="s">
        <v>955</v>
      </c>
      <c r="AC103" t="s">
        <v>1155</v>
      </c>
      <c r="AD103" t="s">
        <v>1657</v>
      </c>
      <c r="AE103" t="s">
        <v>11663</v>
      </c>
      <c r="AF103" t="s">
        <v>14374</v>
      </c>
      <c r="AG103" t="s">
        <v>1072</v>
      </c>
      <c r="AH103" t="s">
        <v>11711</v>
      </c>
      <c r="AI103" t="s">
        <v>1684</v>
      </c>
      <c r="AJ103" t="s">
        <v>1078</v>
      </c>
    </row>
    <row r="104" spans="1:47" customFormat="1" ht="15" x14ac:dyDescent="0.25">
      <c r="A104" t="s">
        <v>472</v>
      </c>
      <c r="B104" t="s">
        <v>471</v>
      </c>
      <c r="C104" t="s">
        <v>926</v>
      </c>
      <c r="D104" t="s">
        <v>929</v>
      </c>
      <c r="E104" t="s">
        <v>9790</v>
      </c>
      <c r="F104" t="s">
        <v>9836</v>
      </c>
      <c r="G104" t="s">
        <v>983</v>
      </c>
      <c r="H104" t="s">
        <v>1715</v>
      </c>
      <c r="I104" t="s">
        <v>998</v>
      </c>
      <c r="J104" t="s">
        <v>1416</v>
      </c>
      <c r="K104" t="s">
        <v>10638</v>
      </c>
      <c r="L104" t="s">
        <v>937</v>
      </c>
      <c r="M104" t="s">
        <v>1011</v>
      </c>
      <c r="N104" t="s">
        <v>940</v>
      </c>
      <c r="O104" t="s">
        <v>10667</v>
      </c>
      <c r="P104" t="s">
        <v>1126</v>
      </c>
      <c r="Q104" t="s">
        <v>942</v>
      </c>
      <c r="R104" t="s">
        <v>1025</v>
      </c>
      <c r="S104" t="s">
        <v>1745</v>
      </c>
      <c r="T104" t="s">
        <v>1042</v>
      </c>
      <c r="U104" t="s">
        <v>1758</v>
      </c>
      <c r="V104" t="s">
        <v>955</v>
      </c>
      <c r="W104" t="s">
        <v>960</v>
      </c>
      <c r="X104" t="s">
        <v>962</v>
      </c>
      <c r="Y104" t="s">
        <v>1069</v>
      </c>
      <c r="Z104" t="s">
        <v>1790</v>
      </c>
      <c r="AA104" t="s">
        <v>1080</v>
      </c>
      <c r="AB104" t="s">
        <v>1795</v>
      </c>
    </row>
    <row r="105" spans="1:47" customFormat="1" ht="15" x14ac:dyDescent="0.25">
      <c r="A105" t="s">
        <v>474</v>
      </c>
      <c r="B105" t="s">
        <v>473</v>
      </c>
      <c r="C105" t="s">
        <v>971</v>
      </c>
      <c r="D105" t="s">
        <v>978</v>
      </c>
      <c r="E105" t="s">
        <v>1458</v>
      </c>
      <c r="F105" t="s">
        <v>1095</v>
      </c>
      <c r="G105" t="s">
        <v>985</v>
      </c>
      <c r="H105" t="s">
        <v>1473</v>
      </c>
      <c r="I105" t="s">
        <v>935</v>
      </c>
      <c r="J105" t="s">
        <v>1484</v>
      </c>
      <c r="K105" t="s">
        <v>10638</v>
      </c>
      <c r="L105" t="s">
        <v>1006</v>
      </c>
      <c r="M105" t="s">
        <v>937</v>
      </c>
      <c r="N105" t="s">
        <v>1422</v>
      </c>
      <c r="O105" t="s">
        <v>1013</v>
      </c>
      <c r="P105" t="s">
        <v>9819</v>
      </c>
      <c r="Q105" t="s">
        <v>1126</v>
      </c>
      <c r="R105" t="s">
        <v>1031</v>
      </c>
      <c r="S105" t="s">
        <v>1044</v>
      </c>
      <c r="T105" t="s">
        <v>951</v>
      </c>
      <c r="U105" t="s">
        <v>1048</v>
      </c>
      <c r="V105" t="s">
        <v>1051</v>
      </c>
      <c r="W105" t="s">
        <v>1529</v>
      </c>
      <c r="X105" t="s">
        <v>11720</v>
      </c>
      <c r="Y105" t="s">
        <v>9788</v>
      </c>
      <c r="Z105" t="s">
        <v>14374</v>
      </c>
      <c r="AA105" t="s">
        <v>1069</v>
      </c>
      <c r="AB105" t="s">
        <v>1083</v>
      </c>
    </row>
    <row r="106" spans="1:47" customFormat="1" ht="15" x14ac:dyDescent="0.25">
      <c r="A106" t="s">
        <v>476</v>
      </c>
      <c r="B106" t="s">
        <v>475</v>
      </c>
      <c r="C106" t="s">
        <v>1016</v>
      </c>
      <c r="D106" t="s">
        <v>971</v>
      </c>
      <c r="E106" t="s">
        <v>1402</v>
      </c>
      <c r="F106" t="s">
        <v>929</v>
      </c>
      <c r="G106" t="s">
        <v>1407</v>
      </c>
      <c r="H106" t="s">
        <v>9784</v>
      </c>
      <c r="I106" t="s">
        <v>1412</v>
      </c>
      <c r="J106" t="s">
        <v>1415</v>
      </c>
      <c r="K106" t="s">
        <v>10638</v>
      </c>
      <c r="L106" t="s">
        <v>938</v>
      </c>
      <c r="M106" t="s">
        <v>940</v>
      </c>
      <c r="N106" t="s">
        <v>1013</v>
      </c>
      <c r="O106" t="s">
        <v>1427</v>
      </c>
      <c r="P106" t="s">
        <v>1428</v>
      </c>
      <c r="Q106" t="s">
        <v>951</v>
      </c>
      <c r="R106" t="s">
        <v>1048</v>
      </c>
      <c r="S106" t="s">
        <v>1436</v>
      </c>
      <c r="T106" t="s">
        <v>953</v>
      </c>
      <c r="U106" t="s">
        <v>1442</v>
      </c>
      <c r="V106" t="s">
        <v>1071</v>
      </c>
      <c r="W106" t="s">
        <v>1072</v>
      </c>
      <c r="X106" t="s">
        <v>1180</v>
      </c>
      <c r="Y106" t="s">
        <v>1447</v>
      </c>
    </row>
    <row r="107" spans="1:47" customFormat="1" ht="15" x14ac:dyDescent="0.25">
      <c r="A107" t="s">
        <v>478</v>
      </c>
      <c r="B107" t="s">
        <v>477</v>
      </c>
      <c r="C107" t="s">
        <v>971</v>
      </c>
      <c r="D107" t="s">
        <v>972</v>
      </c>
      <c r="E107" t="s">
        <v>926</v>
      </c>
      <c r="F107" t="s">
        <v>929</v>
      </c>
      <c r="G107" t="s">
        <v>9784</v>
      </c>
      <c r="H107" t="s">
        <v>997</v>
      </c>
      <c r="I107" t="s">
        <v>935</v>
      </c>
      <c r="J107" t="s">
        <v>1001</v>
      </c>
      <c r="K107" t="s">
        <v>10638</v>
      </c>
      <c r="L107" t="s">
        <v>1011</v>
      </c>
      <c r="M107" t="s">
        <v>938</v>
      </c>
      <c r="N107" t="s">
        <v>940</v>
      </c>
      <c r="O107" t="s">
        <v>1013</v>
      </c>
      <c r="P107" t="s">
        <v>1014</v>
      </c>
      <c r="Q107" t="s">
        <v>1026</v>
      </c>
      <c r="R107" t="s">
        <v>10681</v>
      </c>
      <c r="S107" t="s">
        <v>943</v>
      </c>
      <c r="T107" t="s">
        <v>1038</v>
      </c>
      <c r="U107" t="s">
        <v>1043</v>
      </c>
      <c r="V107" t="s">
        <v>951</v>
      </c>
      <c r="W107" t="s">
        <v>1048</v>
      </c>
      <c r="X107" t="s">
        <v>1049</v>
      </c>
      <c r="Y107" t="s">
        <v>1051</v>
      </c>
      <c r="Z107" t="s">
        <v>11720</v>
      </c>
      <c r="AA107" t="s">
        <v>9788</v>
      </c>
      <c r="AB107" t="s">
        <v>1069</v>
      </c>
      <c r="AC107" t="s">
        <v>1079</v>
      </c>
    </row>
    <row r="108" spans="1:47" customFormat="1" ht="15" x14ac:dyDescent="0.25">
      <c r="A108" t="s">
        <v>480</v>
      </c>
      <c r="B108" t="s">
        <v>479</v>
      </c>
      <c r="C108" t="s">
        <v>926</v>
      </c>
      <c r="D108" t="s">
        <v>929</v>
      </c>
      <c r="E108" t="s">
        <v>9790</v>
      </c>
      <c r="F108" t="s">
        <v>9784</v>
      </c>
      <c r="G108" t="s">
        <v>983</v>
      </c>
      <c r="H108" t="s">
        <v>1713</v>
      </c>
      <c r="I108" t="s">
        <v>1590</v>
      </c>
      <c r="J108" t="s">
        <v>1729</v>
      </c>
      <c r="K108" t="s">
        <v>935</v>
      </c>
      <c r="L108" t="s">
        <v>1416</v>
      </c>
      <c r="M108" t="s">
        <v>1000</v>
      </c>
      <c r="N108" t="s">
        <v>1737</v>
      </c>
      <c r="O108" t="s">
        <v>10638</v>
      </c>
      <c r="P108" t="s">
        <v>10643</v>
      </c>
      <c r="Q108" t="s">
        <v>1739</v>
      </c>
      <c r="R108" t="s">
        <v>11712</v>
      </c>
      <c r="S108" t="s">
        <v>937</v>
      </c>
      <c r="T108" t="s">
        <v>938</v>
      </c>
      <c r="U108" t="s">
        <v>940</v>
      </c>
      <c r="V108" t="s">
        <v>1013</v>
      </c>
      <c r="W108" t="s">
        <v>942</v>
      </c>
      <c r="X108" t="s">
        <v>10681</v>
      </c>
      <c r="Y108" t="s">
        <v>1745</v>
      </c>
      <c r="Z108" t="s">
        <v>945</v>
      </c>
      <c r="AA108" t="s">
        <v>951</v>
      </c>
      <c r="AB108" t="s">
        <v>1048</v>
      </c>
      <c r="AC108" t="s">
        <v>1049</v>
      </c>
      <c r="AD108" t="s">
        <v>1758</v>
      </c>
      <c r="AE108" t="s">
        <v>1057</v>
      </c>
      <c r="AF108" t="s">
        <v>960</v>
      </c>
      <c r="AG108" t="s">
        <v>962</v>
      </c>
      <c r="AH108" t="s">
        <v>1066</v>
      </c>
      <c r="AI108" t="s">
        <v>1784</v>
      </c>
      <c r="AJ108" t="s">
        <v>1069</v>
      </c>
      <c r="AK108" t="s">
        <v>1072</v>
      </c>
      <c r="AL108" t="s">
        <v>1078</v>
      </c>
      <c r="AM108" t="s">
        <v>1790</v>
      </c>
      <c r="AN108" t="s">
        <v>1080</v>
      </c>
    </row>
    <row r="109" spans="1:47" customFormat="1" ht="15" x14ac:dyDescent="0.25">
      <c r="A109" t="s">
        <v>482</v>
      </c>
      <c r="B109" t="s">
        <v>481</v>
      </c>
      <c r="C109" t="s">
        <v>10568</v>
      </c>
      <c r="D109" t="s">
        <v>926</v>
      </c>
      <c r="E109" t="s">
        <v>1568</v>
      </c>
      <c r="F109" t="s">
        <v>929</v>
      </c>
      <c r="G109" t="s">
        <v>11701</v>
      </c>
      <c r="H109" t="s">
        <v>938</v>
      </c>
      <c r="I109" t="s">
        <v>1013</v>
      </c>
      <c r="J109" t="s">
        <v>1628</v>
      </c>
      <c r="K109" t="s">
        <v>945</v>
      </c>
      <c r="L109" t="s">
        <v>951</v>
      </c>
      <c r="M109" t="s">
        <v>1048</v>
      </c>
      <c r="N109" t="s">
        <v>1051</v>
      </c>
      <c r="O109" t="s">
        <v>953</v>
      </c>
      <c r="P109" t="s">
        <v>955</v>
      </c>
      <c r="Q109" t="s">
        <v>11663</v>
      </c>
      <c r="R109" t="s">
        <v>962</v>
      </c>
      <c r="S109" t="s">
        <v>1066</v>
      </c>
      <c r="T109" t="s">
        <v>1069</v>
      </c>
      <c r="U109" t="s">
        <v>1681</v>
      </c>
      <c r="V109" t="s">
        <v>966</v>
      </c>
      <c r="W109" t="s">
        <v>1683</v>
      </c>
      <c r="X109" t="s">
        <v>1686</v>
      </c>
      <c r="Y109" t="s">
        <v>968</v>
      </c>
    </row>
    <row r="110" spans="1:47" customFormat="1" ht="15" x14ac:dyDescent="0.25">
      <c r="A110" t="s">
        <v>484</v>
      </c>
      <c r="B110" t="s">
        <v>483</v>
      </c>
      <c r="C110" t="s">
        <v>926</v>
      </c>
      <c r="D110" t="s">
        <v>933</v>
      </c>
      <c r="E110" t="s">
        <v>11702</v>
      </c>
      <c r="F110" t="s">
        <v>10638</v>
      </c>
      <c r="G110" t="s">
        <v>1609</v>
      </c>
      <c r="H110" t="s">
        <v>10651</v>
      </c>
      <c r="I110" t="s">
        <v>937</v>
      </c>
      <c r="J110" t="s">
        <v>938</v>
      </c>
      <c r="K110" t="s">
        <v>1012</v>
      </c>
      <c r="L110" t="s">
        <v>1025</v>
      </c>
      <c r="M110" t="s">
        <v>945</v>
      </c>
      <c r="N110" t="s">
        <v>1135</v>
      </c>
      <c r="O110" t="s">
        <v>1041</v>
      </c>
      <c r="P110" t="s">
        <v>9787</v>
      </c>
      <c r="Q110" t="s">
        <v>951</v>
      </c>
      <c r="R110" t="s">
        <v>1048</v>
      </c>
      <c r="S110" t="s">
        <v>9788</v>
      </c>
      <c r="T110" t="s">
        <v>1057</v>
      </c>
      <c r="U110" t="s">
        <v>11663</v>
      </c>
      <c r="V110" t="s">
        <v>14374</v>
      </c>
      <c r="W110" t="s">
        <v>9831</v>
      </c>
      <c r="X110" t="s">
        <v>1684</v>
      </c>
      <c r="Y110" t="s">
        <v>1691</v>
      </c>
    </row>
    <row r="111" spans="1:47" customFormat="1" ht="15" x14ac:dyDescent="0.25">
      <c r="A111" t="s">
        <v>486</v>
      </c>
      <c r="B111" t="s">
        <v>485</v>
      </c>
      <c r="C111" t="s">
        <v>929</v>
      </c>
      <c r="D111" t="s">
        <v>1099</v>
      </c>
      <c r="E111" t="s">
        <v>933</v>
      </c>
      <c r="F111" t="s">
        <v>997</v>
      </c>
      <c r="G111" t="s">
        <v>1416</v>
      </c>
      <c r="H111" t="s">
        <v>1113</v>
      </c>
      <c r="I111" t="s">
        <v>10638</v>
      </c>
      <c r="J111" t="s">
        <v>9792</v>
      </c>
      <c r="K111" t="s">
        <v>940</v>
      </c>
      <c r="L111" t="s">
        <v>1041</v>
      </c>
      <c r="M111" t="s">
        <v>9787</v>
      </c>
      <c r="N111" t="s">
        <v>1141</v>
      </c>
      <c r="O111" t="s">
        <v>951</v>
      </c>
      <c r="P111" t="s">
        <v>1048</v>
      </c>
      <c r="Q111" t="s">
        <v>1051</v>
      </c>
      <c r="R111" t="s">
        <v>953</v>
      </c>
      <c r="S111" t="s">
        <v>10809</v>
      </c>
      <c r="T111" t="s">
        <v>1152</v>
      </c>
      <c r="U111" t="s">
        <v>9788</v>
      </c>
      <c r="V111" t="s">
        <v>1057</v>
      </c>
      <c r="W111" t="s">
        <v>9795</v>
      </c>
      <c r="X111" t="s">
        <v>14374</v>
      </c>
      <c r="Y111" t="s">
        <v>1066</v>
      </c>
      <c r="Z111" t="s">
        <v>1171</v>
      </c>
      <c r="AA111" t="s">
        <v>1193</v>
      </c>
    </row>
    <row r="112" spans="1:47" customFormat="1" ht="15" x14ac:dyDescent="0.25">
      <c r="A112" t="s">
        <v>488</v>
      </c>
      <c r="B112" t="s">
        <v>487</v>
      </c>
      <c r="C112" t="s">
        <v>1195</v>
      </c>
      <c r="D112" t="s">
        <v>929</v>
      </c>
      <c r="E112" t="s">
        <v>9784</v>
      </c>
      <c r="F112" t="s">
        <v>1219</v>
      </c>
      <c r="G112" t="s">
        <v>1220</v>
      </c>
      <c r="H112" t="s">
        <v>1221</v>
      </c>
      <c r="I112" t="s">
        <v>1102</v>
      </c>
      <c r="J112" t="s">
        <v>1227</v>
      </c>
      <c r="K112" t="s">
        <v>1234</v>
      </c>
      <c r="L112" t="s">
        <v>1239</v>
      </c>
      <c r="M112" t="s">
        <v>1416</v>
      </c>
      <c r="N112" t="s">
        <v>10638</v>
      </c>
      <c r="O112" t="s">
        <v>1254</v>
      </c>
      <c r="P112" t="s">
        <v>1008</v>
      </c>
      <c r="Q112" t="s">
        <v>1264</v>
      </c>
      <c r="R112" t="s">
        <v>938</v>
      </c>
      <c r="S112" t="s">
        <v>1273</v>
      </c>
      <c r="T112" t="s">
        <v>1274</v>
      </c>
      <c r="U112" t="s">
        <v>1012</v>
      </c>
      <c r="V112" t="s">
        <v>1013</v>
      </c>
      <c r="W112" t="s">
        <v>1018</v>
      </c>
      <c r="X112" t="s">
        <v>1127</v>
      </c>
      <c r="Y112" t="s">
        <v>1025</v>
      </c>
      <c r="Z112" t="s">
        <v>10681</v>
      </c>
      <c r="AA112" t="s">
        <v>945</v>
      </c>
      <c r="AB112" t="s">
        <v>1305</v>
      </c>
      <c r="AC112" t="s">
        <v>1134</v>
      </c>
      <c r="AD112" t="s">
        <v>949</v>
      </c>
      <c r="AE112" t="s">
        <v>1041</v>
      </c>
      <c r="AF112" t="s">
        <v>1043</v>
      </c>
      <c r="AG112" t="s">
        <v>1044</v>
      </c>
      <c r="AH112" t="s">
        <v>1146</v>
      </c>
      <c r="AI112" t="s">
        <v>1319</v>
      </c>
      <c r="AJ112" t="s">
        <v>1906</v>
      </c>
      <c r="AK112" t="s">
        <v>953</v>
      </c>
      <c r="AL112" t="s">
        <v>10809</v>
      </c>
      <c r="AM112" t="s">
        <v>955</v>
      </c>
      <c r="AN112" t="s">
        <v>1155</v>
      </c>
      <c r="AO112" t="s">
        <v>11663</v>
      </c>
      <c r="AP112" t="s">
        <v>1160</v>
      </c>
      <c r="AQ112" t="s">
        <v>1362</v>
      </c>
      <c r="AR112" t="s">
        <v>1072</v>
      </c>
      <c r="AS112" t="s">
        <v>14389</v>
      </c>
      <c r="AT112" t="s">
        <v>1080</v>
      </c>
      <c r="AU112" t="s">
        <v>1399</v>
      </c>
    </row>
    <row r="113" spans="1:59" customFormat="1" ht="15" x14ac:dyDescent="0.25">
      <c r="A113" t="s">
        <v>490</v>
      </c>
      <c r="B113" t="s">
        <v>489</v>
      </c>
      <c r="C113" t="s">
        <v>1196</v>
      </c>
      <c r="D113" t="s">
        <v>1566</v>
      </c>
      <c r="E113" t="s">
        <v>10568</v>
      </c>
      <c r="F113" t="s">
        <v>926</v>
      </c>
      <c r="G113" t="s">
        <v>1576</v>
      </c>
      <c r="H113" t="s">
        <v>933</v>
      </c>
      <c r="I113" t="s">
        <v>998</v>
      </c>
      <c r="J113" t="s">
        <v>1610</v>
      </c>
      <c r="K113" t="s">
        <v>1612</v>
      </c>
      <c r="L113" t="s">
        <v>11704</v>
      </c>
      <c r="M113" t="s">
        <v>938</v>
      </c>
      <c r="N113" t="s">
        <v>1025</v>
      </c>
      <c r="O113" t="s">
        <v>943</v>
      </c>
      <c r="P113" t="s">
        <v>1300</v>
      </c>
      <c r="Q113" t="s">
        <v>1136</v>
      </c>
      <c r="R113" t="s">
        <v>1043</v>
      </c>
      <c r="S113" t="s">
        <v>1048</v>
      </c>
      <c r="T113" t="s">
        <v>9788</v>
      </c>
      <c r="U113" t="s">
        <v>1056</v>
      </c>
      <c r="V113" t="s">
        <v>1155</v>
      </c>
      <c r="W113" t="s">
        <v>11663</v>
      </c>
      <c r="X113" t="s">
        <v>960</v>
      </c>
      <c r="Y113" t="s">
        <v>14374</v>
      </c>
      <c r="Z113" t="s">
        <v>1062</v>
      </c>
      <c r="AA113" t="s">
        <v>962</v>
      </c>
      <c r="AB113" t="s">
        <v>1673</v>
      </c>
      <c r="AC113" t="s">
        <v>10760</v>
      </c>
      <c r="AD113" t="s">
        <v>1072</v>
      </c>
      <c r="AE113" t="s">
        <v>966</v>
      </c>
      <c r="AF113" t="s">
        <v>1684</v>
      </c>
      <c r="AG113" t="s">
        <v>1374</v>
      </c>
      <c r="AH113" t="s">
        <v>968</v>
      </c>
      <c r="AI113" t="s">
        <v>1080</v>
      </c>
      <c r="AJ113" t="s">
        <v>14377</v>
      </c>
      <c r="AK113" t="s">
        <v>1699</v>
      </c>
    </row>
    <row r="114" spans="1:59" customFormat="1" ht="15" x14ac:dyDescent="0.25">
      <c r="A114" t="s">
        <v>492</v>
      </c>
      <c r="B114" t="s">
        <v>491</v>
      </c>
      <c r="C114" t="s">
        <v>1195</v>
      </c>
      <c r="D114" t="s">
        <v>1199</v>
      </c>
      <c r="E114" t="s">
        <v>926</v>
      </c>
      <c r="F114" t="s">
        <v>1201</v>
      </c>
      <c r="G114" t="s">
        <v>929</v>
      </c>
      <c r="H114" t="s">
        <v>9802</v>
      </c>
      <c r="I114" t="s">
        <v>1218</v>
      </c>
      <c r="J114" t="s">
        <v>1219</v>
      </c>
      <c r="K114" t="s">
        <v>933</v>
      </c>
      <c r="L114" t="s">
        <v>1225</v>
      </c>
      <c r="M114" t="s">
        <v>1227</v>
      </c>
      <c r="N114" t="s">
        <v>9804</v>
      </c>
      <c r="O114" t="s">
        <v>14383</v>
      </c>
      <c r="P114" t="s">
        <v>1242</v>
      </c>
      <c r="Q114" t="s">
        <v>1115</v>
      </c>
      <c r="R114" t="s">
        <v>1008</v>
      </c>
      <c r="S114" t="s">
        <v>1255</v>
      </c>
      <c r="T114" t="s">
        <v>1256</v>
      </c>
      <c r="U114" t="s">
        <v>1274</v>
      </c>
      <c r="V114" t="s">
        <v>1276</v>
      </c>
      <c r="W114" t="s">
        <v>1278</v>
      </c>
      <c r="X114" t="s">
        <v>1282</v>
      </c>
      <c r="Y114" t="s">
        <v>1127</v>
      </c>
      <c r="Z114" t="s">
        <v>1025</v>
      </c>
      <c r="AA114" t="s">
        <v>943</v>
      </c>
      <c r="AB114" t="s">
        <v>1033</v>
      </c>
      <c r="AC114" t="s">
        <v>1131</v>
      </c>
      <c r="AD114" t="s">
        <v>1307</v>
      </c>
      <c r="AE114" t="s">
        <v>1134</v>
      </c>
      <c r="AF114" t="s">
        <v>949</v>
      </c>
      <c r="AG114" t="s">
        <v>1135</v>
      </c>
      <c r="AH114" t="s">
        <v>1140</v>
      </c>
      <c r="AI114" t="s">
        <v>9807</v>
      </c>
      <c r="AJ114" t="s">
        <v>1142</v>
      </c>
      <c r="AK114" t="s">
        <v>1043</v>
      </c>
      <c r="AL114" t="s">
        <v>1146</v>
      </c>
      <c r="AM114" t="s">
        <v>1320</v>
      </c>
      <c r="AN114" t="s">
        <v>1322</v>
      </c>
      <c r="AO114" t="s">
        <v>951</v>
      </c>
      <c r="AP114" t="s">
        <v>1048</v>
      </c>
      <c r="AQ114" t="s">
        <v>1325</v>
      </c>
      <c r="AR114" t="s">
        <v>1327</v>
      </c>
      <c r="AS114" t="s">
        <v>1328</v>
      </c>
      <c r="AT114" t="s">
        <v>1057</v>
      </c>
      <c r="AU114" t="s">
        <v>955</v>
      </c>
      <c r="AV114" t="s">
        <v>1338</v>
      </c>
      <c r="AW114" t="s">
        <v>1341</v>
      </c>
      <c r="AX114" t="s">
        <v>11663</v>
      </c>
      <c r="AY114" t="s">
        <v>14380</v>
      </c>
      <c r="AZ114" t="s">
        <v>1158</v>
      </c>
      <c r="BA114" t="s">
        <v>1352</v>
      </c>
      <c r="BB114" t="s">
        <v>1160</v>
      </c>
      <c r="BC114" t="s">
        <v>1069</v>
      </c>
      <c r="BD114" t="s">
        <v>1174</v>
      </c>
      <c r="BE114" t="s">
        <v>1072</v>
      </c>
      <c r="BF114" t="s">
        <v>1369</v>
      </c>
      <c r="BG114" t="s">
        <v>9886</v>
      </c>
    </row>
    <row r="115" spans="1:59" customFormat="1" ht="15" x14ac:dyDescent="0.25">
      <c r="A115" t="s">
        <v>494</v>
      </c>
      <c r="B115" t="s">
        <v>493</v>
      </c>
      <c r="C115" t="s">
        <v>929</v>
      </c>
      <c r="D115" t="s">
        <v>1095</v>
      </c>
      <c r="E115" t="s">
        <v>985</v>
      </c>
      <c r="F115" t="s">
        <v>933</v>
      </c>
      <c r="G115" t="s">
        <v>991</v>
      </c>
      <c r="H115" t="s">
        <v>10638</v>
      </c>
      <c r="I115" t="s">
        <v>1487</v>
      </c>
      <c r="J115" t="s">
        <v>937</v>
      </c>
      <c r="K115" t="s">
        <v>940</v>
      </c>
      <c r="L115" t="s">
        <v>1013</v>
      </c>
      <c r="M115" t="s">
        <v>1508</v>
      </c>
      <c r="N115" t="s">
        <v>1025</v>
      </c>
      <c r="O115" t="s">
        <v>1512</v>
      </c>
      <c r="P115" t="s">
        <v>1521</v>
      </c>
      <c r="Q115" t="s">
        <v>951</v>
      </c>
      <c r="R115" t="s">
        <v>1525</v>
      </c>
      <c r="S115" t="s">
        <v>1051</v>
      </c>
      <c r="T115" t="s">
        <v>953</v>
      </c>
      <c r="U115" t="s">
        <v>955</v>
      </c>
      <c r="V115" t="s">
        <v>1072</v>
      </c>
      <c r="W115" t="s">
        <v>1553</v>
      </c>
      <c r="X115" t="s">
        <v>1083</v>
      </c>
    </row>
    <row r="116" spans="1:59" customFormat="1" ht="15" x14ac:dyDescent="0.25">
      <c r="A116" t="s">
        <v>496</v>
      </c>
      <c r="B116" t="s">
        <v>495</v>
      </c>
      <c r="C116" t="s">
        <v>1195</v>
      </c>
      <c r="D116" t="s">
        <v>1197</v>
      </c>
      <c r="E116" t="s">
        <v>1202</v>
      </c>
      <c r="F116" t="s">
        <v>929</v>
      </c>
      <c r="G116" t="s">
        <v>1087</v>
      </c>
      <c r="H116" t="s">
        <v>1218</v>
      </c>
      <c r="I116" t="s">
        <v>1219</v>
      </c>
      <c r="J116" t="s">
        <v>933</v>
      </c>
      <c r="K116" t="s">
        <v>1104</v>
      </c>
      <c r="L116" t="s">
        <v>1236</v>
      </c>
      <c r="M116" t="s">
        <v>10638</v>
      </c>
      <c r="N116" t="s">
        <v>1008</v>
      </c>
      <c r="O116" t="s">
        <v>1257</v>
      </c>
      <c r="P116" t="s">
        <v>1259</v>
      </c>
      <c r="Q116" t="s">
        <v>938</v>
      </c>
      <c r="R116" t="s">
        <v>940</v>
      </c>
      <c r="S116" t="s">
        <v>1124</v>
      </c>
      <c r="T116" t="s">
        <v>10667</v>
      </c>
      <c r="U116" t="s">
        <v>1126</v>
      </c>
      <c r="V116" t="s">
        <v>1025</v>
      </c>
      <c r="W116" t="s">
        <v>1293</v>
      </c>
      <c r="X116" t="s">
        <v>943</v>
      </c>
      <c r="Y116" t="s">
        <v>1134</v>
      </c>
      <c r="Z116" t="s">
        <v>949</v>
      </c>
      <c r="AA116" t="s">
        <v>1309</v>
      </c>
      <c r="AB116" t="s">
        <v>1043</v>
      </c>
      <c r="AC116" t="s">
        <v>1146</v>
      </c>
      <c r="AD116" t="s">
        <v>951</v>
      </c>
      <c r="AE116" t="s">
        <v>1056</v>
      </c>
      <c r="AF116" t="s">
        <v>1155</v>
      </c>
      <c r="AG116" t="s">
        <v>11663</v>
      </c>
      <c r="AH116" t="s">
        <v>14380</v>
      </c>
      <c r="AI116" t="s">
        <v>10731</v>
      </c>
      <c r="AJ116" t="s">
        <v>1158</v>
      </c>
      <c r="AK116" t="s">
        <v>1354</v>
      </c>
      <c r="AL116" t="s">
        <v>9812</v>
      </c>
      <c r="AM116" t="s">
        <v>1069</v>
      </c>
      <c r="AN116" t="s">
        <v>9813</v>
      </c>
      <c r="AO116" t="s">
        <v>1072</v>
      </c>
      <c r="AP116" t="s">
        <v>10765</v>
      </c>
      <c r="AQ116" t="s">
        <v>1390</v>
      </c>
      <c r="AR116" t="s">
        <v>1396</v>
      </c>
      <c r="AS116" t="s">
        <v>1398</v>
      </c>
    </row>
    <row r="117" spans="1:59" customFormat="1" ht="15" x14ac:dyDescent="0.25">
      <c r="A117" t="s">
        <v>498</v>
      </c>
      <c r="B117" t="s">
        <v>497</v>
      </c>
      <c r="C117" t="s">
        <v>926</v>
      </c>
      <c r="D117" t="s">
        <v>996</v>
      </c>
      <c r="E117" t="s">
        <v>997</v>
      </c>
      <c r="F117" t="s">
        <v>1001</v>
      </c>
      <c r="G117" t="s">
        <v>1004</v>
      </c>
      <c r="H117" t="s">
        <v>10638</v>
      </c>
      <c r="I117" t="s">
        <v>937</v>
      </c>
      <c r="J117" t="s">
        <v>942</v>
      </c>
      <c r="K117" t="s">
        <v>1026</v>
      </c>
      <c r="L117" t="s">
        <v>1030</v>
      </c>
      <c r="M117" t="s">
        <v>1038</v>
      </c>
      <c r="N117" t="s">
        <v>9787</v>
      </c>
      <c r="O117" t="s">
        <v>1043</v>
      </c>
      <c r="P117" t="s">
        <v>1048</v>
      </c>
      <c r="Q117" t="s">
        <v>1049</v>
      </c>
      <c r="R117" t="s">
        <v>11720</v>
      </c>
      <c r="S117" t="s">
        <v>9788</v>
      </c>
      <c r="T117" t="s">
        <v>14374</v>
      </c>
      <c r="U117" t="s">
        <v>962</v>
      </c>
      <c r="V117" t="s">
        <v>1069</v>
      </c>
      <c r="W117" t="s">
        <v>1072</v>
      </c>
      <c r="X117" t="s">
        <v>1078</v>
      </c>
      <c r="Y117" t="s">
        <v>981</v>
      </c>
    </row>
    <row r="118" spans="1:59" customFormat="1" ht="15" x14ac:dyDescent="0.25">
      <c r="A118" t="s">
        <v>500</v>
      </c>
      <c r="B118" t="s">
        <v>499</v>
      </c>
      <c r="C118" t="s">
        <v>1201</v>
      </c>
      <c r="D118" t="s">
        <v>929</v>
      </c>
      <c r="E118" t="s">
        <v>1087</v>
      </c>
      <c r="F118" t="s">
        <v>1218</v>
      </c>
      <c r="G118" t="s">
        <v>1224</v>
      </c>
      <c r="H118" t="s">
        <v>933</v>
      </c>
      <c r="I118" t="s">
        <v>1104</v>
      </c>
      <c r="J118" t="s">
        <v>1227</v>
      </c>
      <c r="K118" t="s">
        <v>1413</v>
      </c>
      <c r="L118" t="s">
        <v>9804</v>
      </c>
      <c r="M118" t="s">
        <v>10638</v>
      </c>
      <c r="N118" t="s">
        <v>1250</v>
      </c>
      <c r="O118" t="s">
        <v>1008</v>
      </c>
      <c r="P118" t="s">
        <v>1267</v>
      </c>
      <c r="Q118" t="s">
        <v>938</v>
      </c>
      <c r="R118" t="s">
        <v>1272</v>
      </c>
      <c r="S118" t="s">
        <v>1274</v>
      </c>
      <c r="T118" t="s">
        <v>1124</v>
      </c>
      <c r="U118" t="s">
        <v>1278</v>
      </c>
      <c r="V118" t="s">
        <v>1125</v>
      </c>
      <c r="W118" t="s">
        <v>1286</v>
      </c>
      <c r="X118" t="s">
        <v>1127</v>
      </c>
      <c r="Y118" t="s">
        <v>1025</v>
      </c>
      <c r="Z118" t="s">
        <v>1296</v>
      </c>
      <c r="AA118" t="s">
        <v>943</v>
      </c>
      <c r="AB118" t="s">
        <v>945</v>
      </c>
      <c r="AC118" t="s">
        <v>1303</v>
      </c>
      <c r="AD118" t="s">
        <v>1131</v>
      </c>
      <c r="AE118" t="s">
        <v>1134</v>
      </c>
      <c r="AF118" t="s">
        <v>949</v>
      </c>
      <c r="AG118" t="s">
        <v>1140</v>
      </c>
      <c r="AH118" t="s">
        <v>1043</v>
      </c>
      <c r="AI118" t="s">
        <v>1044</v>
      </c>
      <c r="AJ118" t="s">
        <v>1146</v>
      </c>
      <c r="AK118" t="s">
        <v>951</v>
      </c>
      <c r="AL118" t="s">
        <v>1048</v>
      </c>
      <c r="AM118" t="s">
        <v>1328</v>
      </c>
      <c r="AN118" t="s">
        <v>953</v>
      </c>
      <c r="AO118" t="s">
        <v>11720</v>
      </c>
      <c r="AP118" t="s">
        <v>1057</v>
      </c>
      <c r="AQ118" t="s">
        <v>955</v>
      </c>
      <c r="AR118" t="s">
        <v>1338</v>
      </c>
      <c r="AS118" t="s">
        <v>11663</v>
      </c>
      <c r="AT118" t="s">
        <v>14380</v>
      </c>
      <c r="AU118" t="s">
        <v>1158</v>
      </c>
      <c r="AV118" t="s">
        <v>1348</v>
      </c>
      <c r="AW118" t="s">
        <v>1352</v>
      </c>
      <c r="AX118" t="s">
        <v>1160</v>
      </c>
      <c r="AY118" t="s">
        <v>1353</v>
      </c>
      <c r="AZ118" t="s">
        <v>1066</v>
      </c>
      <c r="BA118" t="s">
        <v>1174</v>
      </c>
      <c r="BB118" t="s">
        <v>1072</v>
      </c>
      <c r="BC118" t="s">
        <v>1395</v>
      </c>
      <c r="BD118" t="s">
        <v>1397</v>
      </c>
      <c r="BE118" t="s">
        <v>9886</v>
      </c>
    </row>
    <row r="119" spans="1:59" customFormat="1" ht="15" x14ac:dyDescent="0.25">
      <c r="A119" t="s">
        <v>502</v>
      </c>
      <c r="B119" t="s">
        <v>501</v>
      </c>
      <c r="C119" t="s">
        <v>929</v>
      </c>
      <c r="D119" t="s">
        <v>1090</v>
      </c>
      <c r="E119" t="s">
        <v>1100</v>
      </c>
      <c r="F119" t="s">
        <v>933</v>
      </c>
      <c r="G119" t="s">
        <v>1111</v>
      </c>
      <c r="H119" t="s">
        <v>10638</v>
      </c>
      <c r="I119" t="s">
        <v>1118</v>
      </c>
      <c r="J119" t="s">
        <v>937</v>
      </c>
      <c r="K119" t="s">
        <v>938</v>
      </c>
      <c r="L119" t="s">
        <v>10667</v>
      </c>
      <c r="M119" t="s">
        <v>1126</v>
      </c>
      <c r="N119" t="s">
        <v>1025</v>
      </c>
      <c r="O119" t="s">
        <v>943</v>
      </c>
      <c r="P119" t="s">
        <v>945</v>
      </c>
      <c r="Q119" t="s">
        <v>1130</v>
      </c>
      <c r="R119" t="s">
        <v>1033</v>
      </c>
      <c r="S119" t="s">
        <v>1134</v>
      </c>
      <c r="T119" t="s">
        <v>1041</v>
      </c>
      <c r="U119" t="s">
        <v>1146</v>
      </c>
      <c r="V119" t="s">
        <v>1048</v>
      </c>
      <c r="W119" t="s">
        <v>11720</v>
      </c>
      <c r="X119" t="s">
        <v>9788</v>
      </c>
      <c r="Y119" t="s">
        <v>955</v>
      </c>
      <c r="Z119" t="s">
        <v>14374</v>
      </c>
      <c r="AA119" t="s">
        <v>1159</v>
      </c>
      <c r="AB119" t="s">
        <v>1072</v>
      </c>
    </row>
    <row r="120" spans="1:59" customFormat="1" ht="15" x14ac:dyDescent="0.25">
      <c r="A120" t="s">
        <v>504</v>
      </c>
      <c r="B120" t="s">
        <v>503</v>
      </c>
      <c r="C120" t="s">
        <v>1195</v>
      </c>
      <c r="D120" t="s">
        <v>929</v>
      </c>
      <c r="E120" t="s">
        <v>9790</v>
      </c>
      <c r="F120" t="s">
        <v>9784</v>
      </c>
      <c r="G120" t="s">
        <v>989</v>
      </c>
      <c r="H120" t="s">
        <v>933</v>
      </c>
      <c r="I120" t="s">
        <v>1227</v>
      </c>
      <c r="J120" t="s">
        <v>11676</v>
      </c>
      <c r="K120" t="s">
        <v>937</v>
      </c>
      <c r="L120" t="s">
        <v>938</v>
      </c>
      <c r="M120" t="s">
        <v>1012</v>
      </c>
      <c r="N120" t="s">
        <v>1124</v>
      </c>
      <c r="O120" t="s">
        <v>1125</v>
      </c>
      <c r="P120" t="s">
        <v>14386</v>
      </c>
      <c r="Q120" t="s">
        <v>1025</v>
      </c>
      <c r="R120" t="s">
        <v>10681</v>
      </c>
      <c r="S120" t="s">
        <v>943</v>
      </c>
      <c r="T120" t="s">
        <v>945</v>
      </c>
      <c r="U120" t="s">
        <v>1134</v>
      </c>
      <c r="V120" t="s">
        <v>949</v>
      </c>
      <c r="W120" t="s">
        <v>1309</v>
      </c>
      <c r="X120" t="s">
        <v>1140</v>
      </c>
      <c r="Y120" t="s">
        <v>1142</v>
      </c>
      <c r="Z120" t="s">
        <v>1043</v>
      </c>
      <c r="AA120" t="s">
        <v>1146</v>
      </c>
      <c r="AB120" t="s">
        <v>1324</v>
      </c>
      <c r="AC120" t="s">
        <v>9788</v>
      </c>
      <c r="AD120" t="s">
        <v>1056</v>
      </c>
      <c r="AE120" t="s">
        <v>955</v>
      </c>
      <c r="AF120" t="s">
        <v>1155</v>
      </c>
      <c r="AG120" t="s">
        <v>11663</v>
      </c>
      <c r="AH120" t="s">
        <v>14380</v>
      </c>
      <c r="AI120" t="s">
        <v>14374</v>
      </c>
      <c r="AJ120" t="s">
        <v>1160</v>
      </c>
      <c r="AK120" t="s">
        <v>1069</v>
      </c>
      <c r="AL120" t="s">
        <v>1072</v>
      </c>
      <c r="AM120" t="s">
        <v>14377</v>
      </c>
      <c r="AN120" t="s">
        <v>1396</v>
      </c>
      <c r="AO120" t="s">
        <v>1398</v>
      </c>
    </row>
    <row r="121" spans="1:59" customFormat="1" ht="15" x14ac:dyDescent="0.25">
      <c r="A121" t="s">
        <v>506</v>
      </c>
      <c r="B121" t="s">
        <v>505</v>
      </c>
      <c r="C121" t="s">
        <v>1195</v>
      </c>
      <c r="D121" t="s">
        <v>10568</v>
      </c>
      <c r="E121" t="s">
        <v>971</v>
      </c>
      <c r="F121" t="s">
        <v>926</v>
      </c>
      <c r="G121" t="s">
        <v>929</v>
      </c>
      <c r="H121" t="s">
        <v>931</v>
      </c>
      <c r="I121" t="s">
        <v>9790</v>
      </c>
      <c r="J121" t="s">
        <v>933</v>
      </c>
      <c r="K121" t="s">
        <v>998</v>
      </c>
      <c r="L121" t="s">
        <v>1010</v>
      </c>
      <c r="M121" t="s">
        <v>937</v>
      </c>
      <c r="N121" t="s">
        <v>938</v>
      </c>
      <c r="O121" t="s">
        <v>11755</v>
      </c>
      <c r="P121" t="s">
        <v>1025</v>
      </c>
      <c r="Q121" t="s">
        <v>943</v>
      </c>
      <c r="R121" t="s">
        <v>945</v>
      </c>
      <c r="S121" t="s">
        <v>1146</v>
      </c>
      <c r="T121" t="s">
        <v>1658</v>
      </c>
      <c r="U121" t="s">
        <v>11663</v>
      </c>
      <c r="V121" t="s">
        <v>960</v>
      </c>
      <c r="W121" t="s">
        <v>962</v>
      </c>
      <c r="X121" t="s">
        <v>964</v>
      </c>
      <c r="Y121" t="s">
        <v>966</v>
      </c>
      <c r="Z121" t="s">
        <v>968</v>
      </c>
    </row>
    <row r="122" spans="1:59" customFormat="1" ht="15" x14ac:dyDescent="0.25">
      <c r="A122" t="s">
        <v>508</v>
      </c>
      <c r="B122" t="s">
        <v>507</v>
      </c>
      <c r="C122" t="s">
        <v>971</v>
      </c>
      <c r="D122" t="s">
        <v>929</v>
      </c>
      <c r="E122" t="s">
        <v>1406</v>
      </c>
      <c r="F122" t="s">
        <v>1407</v>
      </c>
      <c r="G122" t="s">
        <v>9784</v>
      </c>
      <c r="H122" t="s">
        <v>985</v>
      </c>
      <c r="I122" t="s">
        <v>996</v>
      </c>
      <c r="J122" t="s">
        <v>937</v>
      </c>
      <c r="K122" t="s">
        <v>938</v>
      </c>
      <c r="L122" t="s">
        <v>940</v>
      </c>
      <c r="M122" t="s">
        <v>1426</v>
      </c>
      <c r="N122" t="s">
        <v>1427</v>
      </c>
      <c r="O122" t="s">
        <v>1430</v>
      </c>
      <c r="P122" t="s">
        <v>1033</v>
      </c>
      <c r="Q122" t="s">
        <v>1433</v>
      </c>
      <c r="R122" t="s">
        <v>1436</v>
      </c>
      <c r="S122" t="s">
        <v>1057</v>
      </c>
      <c r="T122" t="s">
        <v>955</v>
      </c>
      <c r="U122" t="s">
        <v>9817</v>
      </c>
      <c r="V122" t="s">
        <v>1180</v>
      </c>
      <c r="W122" t="s">
        <v>10776</v>
      </c>
    </row>
    <row r="123" spans="1:59" customFormat="1" ht="15" x14ac:dyDescent="0.25">
      <c r="A123" t="s">
        <v>510</v>
      </c>
      <c r="B123" t="s">
        <v>509</v>
      </c>
      <c r="C123" t="s">
        <v>924</v>
      </c>
      <c r="D123" t="s">
        <v>929</v>
      </c>
      <c r="E123" t="s">
        <v>10520</v>
      </c>
      <c r="F123" t="s">
        <v>10638</v>
      </c>
      <c r="G123" t="s">
        <v>938</v>
      </c>
      <c r="H123" t="s">
        <v>940</v>
      </c>
      <c r="I123" t="s">
        <v>1126</v>
      </c>
      <c r="J123" t="s">
        <v>1127</v>
      </c>
      <c r="K123" t="s">
        <v>1025</v>
      </c>
      <c r="L123" t="s">
        <v>1041</v>
      </c>
      <c r="M123" t="s">
        <v>9787</v>
      </c>
      <c r="N123" t="s">
        <v>951</v>
      </c>
      <c r="O123" t="s">
        <v>1330</v>
      </c>
      <c r="P123" t="s">
        <v>1056</v>
      </c>
      <c r="Q123" t="s">
        <v>955</v>
      </c>
      <c r="R123" t="s">
        <v>1661</v>
      </c>
      <c r="S123" t="s">
        <v>11663</v>
      </c>
      <c r="T123" t="s">
        <v>962</v>
      </c>
      <c r="U123" t="s">
        <v>1699</v>
      </c>
    </row>
    <row r="124" spans="1:59" customFormat="1" ht="15" x14ac:dyDescent="0.25">
      <c r="A124" t="s">
        <v>512</v>
      </c>
      <c r="B124" t="s">
        <v>511</v>
      </c>
      <c r="C124" t="s">
        <v>924</v>
      </c>
      <c r="D124" t="s">
        <v>10568</v>
      </c>
      <c r="E124" t="s">
        <v>926</v>
      </c>
      <c r="F124" t="s">
        <v>1568</v>
      </c>
      <c r="G124" t="s">
        <v>931</v>
      </c>
      <c r="H124" t="s">
        <v>1416</v>
      </c>
      <c r="I124" t="s">
        <v>10638</v>
      </c>
      <c r="J124" t="s">
        <v>1250</v>
      </c>
      <c r="K124" t="s">
        <v>1615</v>
      </c>
      <c r="L124" t="s">
        <v>937</v>
      </c>
      <c r="M124" t="s">
        <v>938</v>
      </c>
      <c r="N124" t="s">
        <v>940</v>
      </c>
      <c r="O124" t="s">
        <v>1012</v>
      </c>
      <c r="P124" t="s">
        <v>1013</v>
      </c>
      <c r="Q124" t="s">
        <v>1025</v>
      </c>
      <c r="R124" t="s">
        <v>945</v>
      </c>
      <c r="S124" t="s">
        <v>9828</v>
      </c>
      <c r="T124" t="s">
        <v>951</v>
      </c>
      <c r="U124" t="s">
        <v>1051</v>
      </c>
      <c r="V124" t="s">
        <v>953</v>
      </c>
      <c r="W124" t="s">
        <v>11720</v>
      </c>
      <c r="X124" t="s">
        <v>9788</v>
      </c>
      <c r="Y124" t="s">
        <v>955</v>
      </c>
      <c r="Z124" t="s">
        <v>1654</v>
      </c>
      <c r="AA124" t="s">
        <v>11663</v>
      </c>
      <c r="AB124" t="s">
        <v>14374</v>
      </c>
      <c r="AC124" t="s">
        <v>962</v>
      </c>
      <c r="AD124" t="s">
        <v>964</v>
      </c>
      <c r="AE124" t="s">
        <v>1066</v>
      </c>
      <c r="AF124" t="s">
        <v>1069</v>
      </c>
      <c r="AG124" t="s">
        <v>966</v>
      </c>
      <c r="AH124" t="s">
        <v>1686</v>
      </c>
      <c r="AI124" t="s">
        <v>968</v>
      </c>
      <c r="AJ124" t="s">
        <v>1080</v>
      </c>
    </row>
    <row r="125" spans="1:59" customFormat="1" ht="15" x14ac:dyDescent="0.25">
      <c r="A125" t="s">
        <v>514</v>
      </c>
      <c r="B125" t="s">
        <v>513</v>
      </c>
      <c r="C125" t="s">
        <v>1195</v>
      </c>
      <c r="D125" t="s">
        <v>929</v>
      </c>
      <c r="E125" t="s">
        <v>9784</v>
      </c>
      <c r="F125" t="s">
        <v>1098</v>
      </c>
      <c r="G125" t="s">
        <v>1219</v>
      </c>
      <c r="H125" t="s">
        <v>933</v>
      </c>
      <c r="I125" t="s">
        <v>1227</v>
      </c>
      <c r="J125" t="s">
        <v>1111</v>
      </c>
      <c r="K125" t="s">
        <v>1115</v>
      </c>
      <c r="L125" t="s">
        <v>10638</v>
      </c>
      <c r="M125" t="s">
        <v>1008</v>
      </c>
      <c r="N125" t="s">
        <v>1010</v>
      </c>
      <c r="O125" t="s">
        <v>938</v>
      </c>
      <c r="P125" t="s">
        <v>940</v>
      </c>
      <c r="Q125" t="s">
        <v>1127</v>
      </c>
      <c r="R125" t="s">
        <v>1025</v>
      </c>
      <c r="S125" t="s">
        <v>1293</v>
      </c>
      <c r="T125" t="s">
        <v>943</v>
      </c>
      <c r="U125" t="s">
        <v>945</v>
      </c>
      <c r="V125" t="s">
        <v>1131</v>
      </c>
      <c r="W125" t="s">
        <v>1134</v>
      </c>
      <c r="X125" t="s">
        <v>949</v>
      </c>
      <c r="Y125" t="s">
        <v>1041</v>
      </c>
      <c r="Z125" t="s">
        <v>1146</v>
      </c>
      <c r="AA125" t="s">
        <v>1155</v>
      </c>
      <c r="AB125" t="s">
        <v>11663</v>
      </c>
      <c r="AC125" t="s">
        <v>1159</v>
      </c>
      <c r="AD125" t="s">
        <v>1069</v>
      </c>
      <c r="AE125" t="s">
        <v>1072</v>
      </c>
      <c r="AF125" t="s">
        <v>1078</v>
      </c>
      <c r="AG125" t="s">
        <v>1080</v>
      </c>
      <c r="AH125" t="s">
        <v>1399</v>
      </c>
    </row>
    <row r="126" spans="1:59" customFormat="1" ht="15" x14ac:dyDescent="0.25">
      <c r="A126" t="s">
        <v>516</v>
      </c>
      <c r="B126" t="s">
        <v>515</v>
      </c>
      <c r="C126" t="s">
        <v>926</v>
      </c>
      <c r="D126" t="s">
        <v>929</v>
      </c>
      <c r="E126" t="s">
        <v>9784</v>
      </c>
      <c r="F126" t="s">
        <v>983</v>
      </c>
      <c r="G126" t="s">
        <v>1715</v>
      </c>
      <c r="H126" t="s">
        <v>9841</v>
      </c>
      <c r="I126" t="s">
        <v>935</v>
      </c>
      <c r="J126" t="s">
        <v>11660</v>
      </c>
      <c r="K126" t="s">
        <v>10638</v>
      </c>
      <c r="L126" t="s">
        <v>10643</v>
      </c>
      <c r="M126" t="s">
        <v>937</v>
      </c>
      <c r="N126" t="s">
        <v>938</v>
      </c>
      <c r="O126" t="s">
        <v>940</v>
      </c>
      <c r="P126" t="s">
        <v>1013</v>
      </c>
      <c r="Q126" t="s">
        <v>10667</v>
      </c>
      <c r="R126" t="s">
        <v>1126</v>
      </c>
      <c r="S126" t="s">
        <v>1293</v>
      </c>
      <c r="T126" t="s">
        <v>1030</v>
      </c>
      <c r="U126" t="s">
        <v>1031</v>
      </c>
      <c r="V126" t="s">
        <v>1049</v>
      </c>
      <c r="W126" t="s">
        <v>1436</v>
      </c>
      <c r="X126" t="s">
        <v>1758</v>
      </c>
      <c r="Y126" t="s">
        <v>1057</v>
      </c>
      <c r="Z126" t="s">
        <v>955</v>
      </c>
      <c r="AA126" t="s">
        <v>1843</v>
      </c>
      <c r="AB126" t="s">
        <v>962</v>
      </c>
      <c r="AC126" t="s">
        <v>1853</v>
      </c>
      <c r="AD126" t="s">
        <v>9843</v>
      </c>
      <c r="AE126" t="s">
        <v>1069</v>
      </c>
      <c r="AF126" t="s">
        <v>1861</v>
      </c>
      <c r="AG126" t="s">
        <v>1790</v>
      </c>
      <c r="AH126" t="s">
        <v>1795</v>
      </c>
    </row>
    <row r="127" spans="1:59" customFormat="1" ht="15" x14ac:dyDescent="0.25">
      <c r="A127" t="s">
        <v>518</v>
      </c>
      <c r="B127" t="s">
        <v>517</v>
      </c>
      <c r="C127" t="s">
        <v>1087</v>
      </c>
      <c r="D127" t="s">
        <v>9790</v>
      </c>
      <c r="E127" t="s">
        <v>1090</v>
      </c>
      <c r="F127" t="s">
        <v>933</v>
      </c>
      <c r="G127" t="s">
        <v>1416</v>
      </c>
      <c r="H127" t="s">
        <v>1112</v>
      </c>
      <c r="I127" t="s">
        <v>10638</v>
      </c>
      <c r="J127" t="s">
        <v>1005</v>
      </c>
      <c r="K127" t="s">
        <v>1008</v>
      </c>
      <c r="L127" t="s">
        <v>1119</v>
      </c>
      <c r="M127" t="s">
        <v>938</v>
      </c>
      <c r="N127" t="s">
        <v>940</v>
      </c>
      <c r="O127" t="s">
        <v>1124</v>
      </c>
      <c r="P127" t="s">
        <v>1025</v>
      </c>
      <c r="Q127" t="s">
        <v>943</v>
      </c>
      <c r="R127" t="s">
        <v>1134</v>
      </c>
      <c r="S127" t="s">
        <v>949</v>
      </c>
      <c r="T127" t="s">
        <v>1138</v>
      </c>
      <c r="U127" t="s">
        <v>1140</v>
      </c>
      <c r="V127" t="s">
        <v>1142</v>
      </c>
      <c r="W127" t="s">
        <v>1146</v>
      </c>
      <c r="X127" t="s">
        <v>1148</v>
      </c>
      <c r="Y127" t="s">
        <v>951</v>
      </c>
      <c r="Z127" t="s">
        <v>953</v>
      </c>
      <c r="AA127" t="s">
        <v>955</v>
      </c>
      <c r="AB127" t="s">
        <v>1153</v>
      </c>
      <c r="AC127" t="s">
        <v>1154</v>
      </c>
      <c r="AD127" t="s">
        <v>11663</v>
      </c>
      <c r="AE127" t="s">
        <v>14380</v>
      </c>
      <c r="AF127" t="s">
        <v>1160</v>
      </c>
      <c r="AG127" t="s">
        <v>1066</v>
      </c>
      <c r="AH127" t="s">
        <v>1069</v>
      </c>
      <c r="AI127" t="s">
        <v>1174</v>
      </c>
      <c r="AJ127" t="s">
        <v>1181</v>
      </c>
      <c r="AK127" t="s">
        <v>1185</v>
      </c>
    </row>
    <row r="128" spans="1:59" customFormat="1" ht="15" x14ac:dyDescent="0.25">
      <c r="A128" t="s">
        <v>520</v>
      </c>
      <c r="B128" t="s">
        <v>519</v>
      </c>
      <c r="C128" t="s">
        <v>1016</v>
      </c>
      <c r="D128" t="s">
        <v>974</v>
      </c>
      <c r="E128" t="s">
        <v>929</v>
      </c>
      <c r="F128" t="s">
        <v>1461</v>
      </c>
      <c r="G128" t="s">
        <v>987</v>
      </c>
      <c r="H128" t="s">
        <v>997</v>
      </c>
      <c r="I128" t="s">
        <v>1001</v>
      </c>
      <c r="J128" t="s">
        <v>10638</v>
      </c>
      <c r="K128" t="s">
        <v>1006</v>
      </c>
      <c r="L128" t="s">
        <v>937</v>
      </c>
      <c r="M128" t="s">
        <v>1013</v>
      </c>
      <c r="N128" t="s">
        <v>9820</v>
      </c>
      <c r="O128" t="s">
        <v>1038</v>
      </c>
      <c r="P128" t="s">
        <v>1521</v>
      </c>
      <c r="Q128" t="s">
        <v>1046</v>
      </c>
      <c r="R128" t="s">
        <v>1047</v>
      </c>
      <c r="S128" t="s">
        <v>1048</v>
      </c>
      <c r="T128" t="s">
        <v>11720</v>
      </c>
      <c r="U128" t="s">
        <v>9788</v>
      </c>
      <c r="V128" t="s">
        <v>1060</v>
      </c>
      <c r="W128" t="s">
        <v>14374</v>
      </c>
      <c r="X128" t="s">
        <v>962</v>
      </c>
      <c r="Y128" t="s">
        <v>1069</v>
      </c>
      <c r="Z128" t="s">
        <v>1083</v>
      </c>
    </row>
    <row r="129" spans="1:59" customFormat="1" ht="15" x14ac:dyDescent="0.25">
      <c r="A129" t="s">
        <v>522</v>
      </c>
      <c r="B129" t="s">
        <v>521</v>
      </c>
      <c r="C129" t="s">
        <v>1195</v>
      </c>
      <c r="D129" t="s">
        <v>1564</v>
      </c>
      <c r="E129" t="s">
        <v>1196</v>
      </c>
      <c r="F129" t="s">
        <v>924</v>
      </c>
      <c r="G129" t="s">
        <v>929</v>
      </c>
      <c r="H129" t="s">
        <v>9790</v>
      </c>
      <c r="I129" t="s">
        <v>9784</v>
      </c>
      <c r="J129" t="s">
        <v>1218</v>
      </c>
      <c r="K129" t="s">
        <v>1104</v>
      </c>
      <c r="L129" t="s">
        <v>1227</v>
      </c>
      <c r="M129" t="s">
        <v>1232</v>
      </c>
      <c r="N129" t="s">
        <v>10638</v>
      </c>
      <c r="O129" t="s">
        <v>11676</v>
      </c>
      <c r="P129" t="s">
        <v>1008</v>
      </c>
      <c r="Q129" t="s">
        <v>1258</v>
      </c>
      <c r="R129" t="s">
        <v>1010</v>
      </c>
      <c r="S129" t="s">
        <v>938</v>
      </c>
      <c r="T129" t="s">
        <v>1013</v>
      </c>
      <c r="U129" t="s">
        <v>1124</v>
      </c>
      <c r="V129" t="s">
        <v>14386</v>
      </c>
      <c r="W129" t="s">
        <v>1025</v>
      </c>
      <c r="X129" t="s">
        <v>1293</v>
      </c>
      <c r="Y129" t="s">
        <v>943</v>
      </c>
      <c r="Z129" t="s">
        <v>1134</v>
      </c>
      <c r="AA129" t="s">
        <v>949</v>
      </c>
      <c r="AB129" t="s">
        <v>1135</v>
      </c>
      <c r="AC129" t="s">
        <v>1042</v>
      </c>
      <c r="AD129" t="s">
        <v>1142</v>
      </c>
      <c r="AE129" t="s">
        <v>1043</v>
      </c>
      <c r="AF129" t="s">
        <v>1146</v>
      </c>
      <c r="AG129" t="s">
        <v>11681</v>
      </c>
      <c r="AH129" t="s">
        <v>951</v>
      </c>
      <c r="AI129" t="s">
        <v>1334</v>
      </c>
      <c r="AJ129" t="s">
        <v>9788</v>
      </c>
      <c r="AK129" t="s">
        <v>955</v>
      </c>
      <c r="AL129" t="s">
        <v>1155</v>
      </c>
      <c r="AM129" t="s">
        <v>11663</v>
      </c>
      <c r="AN129" t="s">
        <v>14380</v>
      </c>
      <c r="AO129" t="s">
        <v>14374</v>
      </c>
      <c r="AP129" t="s">
        <v>1352</v>
      </c>
      <c r="AQ129" t="s">
        <v>1359</v>
      </c>
      <c r="AR129" t="s">
        <v>1069</v>
      </c>
      <c r="AS129" t="s">
        <v>1072</v>
      </c>
      <c r="AT129" t="s">
        <v>1390</v>
      </c>
      <c r="AU129" t="s">
        <v>1396</v>
      </c>
      <c r="AV129" t="s">
        <v>1398</v>
      </c>
    </row>
    <row r="130" spans="1:59" customFormat="1" ht="15" x14ac:dyDescent="0.25">
      <c r="A130" t="s">
        <v>524</v>
      </c>
      <c r="B130" t="s">
        <v>523</v>
      </c>
      <c r="C130" t="s">
        <v>974</v>
      </c>
      <c r="D130" t="s">
        <v>926</v>
      </c>
      <c r="E130" t="s">
        <v>929</v>
      </c>
      <c r="F130" t="s">
        <v>9790</v>
      </c>
      <c r="G130" t="s">
        <v>9784</v>
      </c>
      <c r="H130" t="s">
        <v>997</v>
      </c>
      <c r="I130" t="s">
        <v>1416</v>
      </c>
      <c r="J130" t="s">
        <v>1003</v>
      </c>
      <c r="K130" t="s">
        <v>1004</v>
      </c>
      <c r="L130" t="s">
        <v>10638</v>
      </c>
      <c r="M130" t="s">
        <v>1011</v>
      </c>
      <c r="N130" t="s">
        <v>1013</v>
      </c>
      <c r="O130" t="s">
        <v>1126</v>
      </c>
      <c r="P130" t="s">
        <v>10681</v>
      </c>
      <c r="Q130" t="s">
        <v>1030</v>
      </c>
      <c r="R130" t="s">
        <v>1032</v>
      </c>
      <c r="S130" t="s">
        <v>1038</v>
      </c>
      <c r="T130" t="s">
        <v>1041</v>
      </c>
      <c r="U130" t="s">
        <v>9787</v>
      </c>
      <c r="V130" t="s">
        <v>1043</v>
      </c>
      <c r="W130" t="s">
        <v>1048</v>
      </c>
      <c r="X130" t="s">
        <v>1049</v>
      </c>
      <c r="Y130" t="s">
        <v>1051</v>
      </c>
      <c r="Z130" t="s">
        <v>962</v>
      </c>
      <c r="AA130" t="s">
        <v>1072</v>
      </c>
      <c r="AB130" t="s">
        <v>1078</v>
      </c>
      <c r="AC130" t="s">
        <v>1079</v>
      </c>
    </row>
    <row r="131" spans="1:59" customFormat="1" ht="15" x14ac:dyDescent="0.25">
      <c r="A131" t="s">
        <v>526</v>
      </c>
      <c r="B131" t="s">
        <v>525</v>
      </c>
      <c r="C131" t="s">
        <v>1564</v>
      </c>
      <c r="D131" t="s">
        <v>1196</v>
      </c>
      <c r="E131" t="s">
        <v>929</v>
      </c>
      <c r="F131" t="s">
        <v>931</v>
      </c>
      <c r="G131" t="s">
        <v>933</v>
      </c>
      <c r="H131" t="s">
        <v>998</v>
      </c>
      <c r="I131" t="s">
        <v>1610</v>
      </c>
      <c r="J131" t="s">
        <v>1010</v>
      </c>
      <c r="K131" t="s">
        <v>937</v>
      </c>
      <c r="L131" t="s">
        <v>938</v>
      </c>
      <c r="M131" t="s">
        <v>940</v>
      </c>
      <c r="N131" t="s">
        <v>1012</v>
      </c>
      <c r="O131" t="s">
        <v>10667</v>
      </c>
      <c r="P131" t="s">
        <v>1126</v>
      </c>
      <c r="Q131" t="s">
        <v>1025</v>
      </c>
      <c r="R131" t="s">
        <v>943</v>
      </c>
      <c r="S131" t="s">
        <v>945</v>
      </c>
      <c r="T131" t="s">
        <v>1300</v>
      </c>
      <c r="U131" t="s">
        <v>1041</v>
      </c>
      <c r="V131" t="s">
        <v>9787</v>
      </c>
      <c r="W131" t="s">
        <v>951</v>
      </c>
      <c r="X131" t="s">
        <v>1331</v>
      </c>
      <c r="Y131" t="s">
        <v>1653</v>
      </c>
      <c r="Z131" t="s">
        <v>9788</v>
      </c>
      <c r="AA131" t="s">
        <v>955</v>
      </c>
      <c r="AB131" t="s">
        <v>1654</v>
      </c>
      <c r="AC131" t="s">
        <v>1661</v>
      </c>
      <c r="AD131" t="s">
        <v>11663</v>
      </c>
      <c r="AE131" t="s">
        <v>14374</v>
      </c>
      <c r="AF131" t="s">
        <v>1062</v>
      </c>
      <c r="AG131" t="s">
        <v>962</v>
      </c>
      <c r="AH131" t="s">
        <v>1069</v>
      </c>
      <c r="AI131" t="s">
        <v>1071</v>
      </c>
      <c r="AJ131" t="s">
        <v>968</v>
      </c>
      <c r="AK131" t="s">
        <v>1697</v>
      </c>
      <c r="AL131" t="s">
        <v>1699</v>
      </c>
    </row>
    <row r="132" spans="1:59" customFormat="1" ht="15" x14ac:dyDescent="0.25">
      <c r="A132" t="s">
        <v>528</v>
      </c>
      <c r="B132" t="s">
        <v>527</v>
      </c>
      <c r="C132" t="s">
        <v>1195</v>
      </c>
      <c r="D132" t="s">
        <v>1564</v>
      </c>
      <c r="E132" t="s">
        <v>1196</v>
      </c>
      <c r="F132" t="s">
        <v>1209</v>
      </c>
      <c r="G132" t="s">
        <v>1212</v>
      </c>
      <c r="H132" t="s">
        <v>1218</v>
      </c>
      <c r="I132" t="s">
        <v>989</v>
      </c>
      <c r="J132" t="s">
        <v>933</v>
      </c>
      <c r="K132" t="s">
        <v>1104</v>
      </c>
      <c r="L132" t="s">
        <v>1227</v>
      </c>
      <c r="M132" t="s">
        <v>1228</v>
      </c>
      <c r="N132" t="s">
        <v>1231</v>
      </c>
      <c r="O132" t="s">
        <v>996</v>
      </c>
      <c r="P132" t="s">
        <v>1253</v>
      </c>
      <c r="Q132" t="s">
        <v>11676</v>
      </c>
      <c r="R132" t="s">
        <v>1008</v>
      </c>
      <c r="S132" t="s">
        <v>937</v>
      </c>
      <c r="T132" t="s">
        <v>938</v>
      </c>
      <c r="U132" t="s">
        <v>940</v>
      </c>
      <c r="V132" t="s">
        <v>1273</v>
      </c>
      <c r="W132" t="s">
        <v>1274</v>
      </c>
      <c r="X132" t="s">
        <v>1013</v>
      </c>
      <c r="Y132" t="s">
        <v>11677</v>
      </c>
      <c r="Z132" t="s">
        <v>14385</v>
      </c>
      <c r="AA132" t="s">
        <v>14386</v>
      </c>
      <c r="AB132" t="s">
        <v>10667</v>
      </c>
      <c r="AC132" t="s">
        <v>1126</v>
      </c>
      <c r="AD132" t="s">
        <v>1025</v>
      </c>
      <c r="AE132" t="s">
        <v>1026</v>
      </c>
      <c r="AF132" t="s">
        <v>1293</v>
      </c>
      <c r="AG132" t="s">
        <v>943</v>
      </c>
      <c r="AH132" t="s">
        <v>1134</v>
      </c>
      <c r="AI132" t="s">
        <v>949</v>
      </c>
      <c r="AJ132" t="s">
        <v>1309</v>
      </c>
      <c r="AK132" t="s">
        <v>1311</v>
      </c>
      <c r="AL132" t="s">
        <v>1140</v>
      </c>
      <c r="AM132" t="s">
        <v>1043</v>
      </c>
      <c r="AN132" t="s">
        <v>1146</v>
      </c>
      <c r="AO132" t="s">
        <v>951</v>
      </c>
      <c r="AP132" t="s">
        <v>1052</v>
      </c>
      <c r="AQ132" t="s">
        <v>1334</v>
      </c>
      <c r="AR132" t="s">
        <v>9788</v>
      </c>
      <c r="AS132" t="s">
        <v>955</v>
      </c>
      <c r="AT132" t="s">
        <v>1155</v>
      </c>
      <c r="AU132" t="s">
        <v>11663</v>
      </c>
      <c r="AV132" t="s">
        <v>14380</v>
      </c>
      <c r="AW132" t="s">
        <v>14374</v>
      </c>
      <c r="AX132" t="s">
        <v>10731</v>
      </c>
      <c r="AY132" t="s">
        <v>1158</v>
      </c>
      <c r="AZ132" t="s">
        <v>1352</v>
      </c>
      <c r="BA132" t="s">
        <v>1069</v>
      </c>
      <c r="BB132" t="s">
        <v>1072</v>
      </c>
      <c r="BC132" t="s">
        <v>10765</v>
      </c>
      <c r="BD132" t="s">
        <v>1367</v>
      </c>
      <c r="BE132" t="s">
        <v>14390</v>
      </c>
      <c r="BF132" t="s">
        <v>1384</v>
      </c>
      <c r="BG132" t="s">
        <v>1390</v>
      </c>
    </row>
    <row r="133" spans="1:59" customFormat="1" ht="15" x14ac:dyDescent="0.25">
      <c r="A133" t="s">
        <v>530</v>
      </c>
      <c r="B133" t="s">
        <v>529</v>
      </c>
      <c r="C133" t="s">
        <v>971</v>
      </c>
      <c r="D133" t="s">
        <v>929</v>
      </c>
      <c r="E133" t="s">
        <v>9784</v>
      </c>
      <c r="F133" t="s">
        <v>933</v>
      </c>
      <c r="G133" t="s">
        <v>992</v>
      </c>
      <c r="H133" t="s">
        <v>996</v>
      </c>
      <c r="I133" t="s">
        <v>935</v>
      </c>
      <c r="J133" t="s">
        <v>10638</v>
      </c>
      <c r="K133" t="s">
        <v>1010</v>
      </c>
      <c r="L133" t="s">
        <v>937</v>
      </c>
      <c r="M133" t="s">
        <v>938</v>
      </c>
      <c r="N133" t="s">
        <v>940</v>
      </c>
      <c r="O133" t="s">
        <v>1123</v>
      </c>
      <c r="P133" t="s">
        <v>1012</v>
      </c>
      <c r="Q133" t="s">
        <v>1013</v>
      </c>
      <c r="R133" t="s">
        <v>1025</v>
      </c>
      <c r="S133" t="s">
        <v>1026</v>
      </c>
      <c r="T133" t="s">
        <v>10681</v>
      </c>
      <c r="U133" t="s">
        <v>943</v>
      </c>
      <c r="V133" t="s">
        <v>1031</v>
      </c>
      <c r="W133" t="s">
        <v>1041</v>
      </c>
      <c r="X133" t="s">
        <v>9787</v>
      </c>
      <c r="Y133" t="s">
        <v>1146</v>
      </c>
      <c r="Z133" t="s">
        <v>951</v>
      </c>
      <c r="AA133" t="s">
        <v>1048</v>
      </c>
      <c r="AB133" t="s">
        <v>1049</v>
      </c>
      <c r="AC133" t="s">
        <v>1051</v>
      </c>
      <c r="AD133" t="s">
        <v>1149</v>
      </c>
      <c r="AE133" t="s">
        <v>953</v>
      </c>
      <c r="AF133" t="s">
        <v>11720</v>
      </c>
      <c r="AG133" t="s">
        <v>9788</v>
      </c>
      <c r="AH133" t="s">
        <v>1056</v>
      </c>
      <c r="AI133" t="s">
        <v>14374</v>
      </c>
      <c r="AJ133" t="s">
        <v>962</v>
      </c>
      <c r="AK133" t="s">
        <v>1168</v>
      </c>
      <c r="AL133" t="s">
        <v>1069</v>
      </c>
      <c r="AM133" t="s">
        <v>1172</v>
      </c>
      <c r="AN133" t="s">
        <v>1176</v>
      </c>
      <c r="AO133" t="s">
        <v>981</v>
      </c>
    </row>
    <row r="134" spans="1:59" customFormat="1" ht="15" x14ac:dyDescent="0.25">
      <c r="A134" t="s">
        <v>532</v>
      </c>
      <c r="B134" t="s">
        <v>531</v>
      </c>
      <c r="C134" t="s">
        <v>971</v>
      </c>
      <c r="D134" t="s">
        <v>929</v>
      </c>
      <c r="E134" t="s">
        <v>9790</v>
      </c>
      <c r="F134" t="s">
        <v>1463</v>
      </c>
      <c r="G134" t="s">
        <v>985</v>
      </c>
      <c r="H134" t="s">
        <v>991</v>
      </c>
      <c r="I134" t="s">
        <v>935</v>
      </c>
      <c r="J134" t="s">
        <v>11660</v>
      </c>
      <c r="K134" t="s">
        <v>1416</v>
      </c>
      <c r="L134" t="s">
        <v>1006</v>
      </c>
      <c r="M134" t="s">
        <v>1009</v>
      </c>
      <c r="N134" t="s">
        <v>937</v>
      </c>
      <c r="O134" t="s">
        <v>1011</v>
      </c>
      <c r="P134" t="s">
        <v>940</v>
      </c>
      <c r="Q134" t="s">
        <v>1013</v>
      </c>
      <c r="R134" t="s">
        <v>1516</v>
      </c>
      <c r="S134" t="s">
        <v>1302</v>
      </c>
      <c r="T134" t="s">
        <v>1521</v>
      </c>
      <c r="U134" t="s">
        <v>1046</v>
      </c>
      <c r="V134" t="s">
        <v>951</v>
      </c>
      <c r="W134" t="s">
        <v>1048</v>
      </c>
      <c r="X134" t="s">
        <v>1051</v>
      </c>
      <c r="Y134" t="s">
        <v>9788</v>
      </c>
      <c r="Z134" t="s">
        <v>1057</v>
      </c>
      <c r="AA134" t="s">
        <v>1075</v>
      </c>
      <c r="AB134" t="s">
        <v>1078</v>
      </c>
      <c r="AC134" t="s">
        <v>1083</v>
      </c>
    </row>
    <row r="135" spans="1:59" customFormat="1" ht="15" x14ac:dyDescent="0.25">
      <c r="A135" t="s">
        <v>534</v>
      </c>
      <c r="B135" t="s">
        <v>533</v>
      </c>
      <c r="C135" t="s">
        <v>929</v>
      </c>
      <c r="D135" t="s">
        <v>1099</v>
      </c>
      <c r="E135" t="s">
        <v>933</v>
      </c>
      <c r="F135" t="s">
        <v>935</v>
      </c>
      <c r="G135" t="s">
        <v>1416</v>
      </c>
      <c r="H135" t="s">
        <v>1113</v>
      </c>
      <c r="I135" t="s">
        <v>1008</v>
      </c>
      <c r="J135" t="s">
        <v>937</v>
      </c>
      <c r="K135" t="s">
        <v>938</v>
      </c>
      <c r="L135" t="s">
        <v>940</v>
      </c>
      <c r="M135" t="s">
        <v>1126</v>
      </c>
      <c r="N135" t="s">
        <v>1134</v>
      </c>
      <c r="O135" t="s">
        <v>1135</v>
      </c>
      <c r="P135" t="s">
        <v>1041</v>
      </c>
      <c r="Q135" t="s">
        <v>9787</v>
      </c>
      <c r="R135" t="s">
        <v>1141</v>
      </c>
      <c r="S135" t="s">
        <v>1048</v>
      </c>
      <c r="T135" t="s">
        <v>1051</v>
      </c>
      <c r="U135" t="s">
        <v>1152</v>
      </c>
      <c r="V135" t="s">
        <v>1056</v>
      </c>
      <c r="W135" t="s">
        <v>1057</v>
      </c>
      <c r="X135" t="s">
        <v>955</v>
      </c>
      <c r="Y135" t="s">
        <v>9795</v>
      </c>
      <c r="Z135" t="s">
        <v>14374</v>
      </c>
      <c r="AA135" t="s">
        <v>1165</v>
      </c>
      <c r="AB135" t="s">
        <v>1066</v>
      </c>
      <c r="AC135" t="s">
        <v>1069</v>
      </c>
      <c r="AD135" t="s">
        <v>1172</v>
      </c>
      <c r="AE135" t="s">
        <v>9798</v>
      </c>
      <c r="AF135" t="s">
        <v>1176</v>
      </c>
      <c r="AG135" t="s">
        <v>1071</v>
      </c>
      <c r="AH135" t="s">
        <v>1072</v>
      </c>
      <c r="AI135" t="s">
        <v>1188</v>
      </c>
      <c r="AJ135" t="s">
        <v>1194</v>
      </c>
    </row>
    <row r="136" spans="1:59" customFormat="1" ht="15" x14ac:dyDescent="0.25">
      <c r="A136" t="s">
        <v>536</v>
      </c>
      <c r="B136" t="s">
        <v>535</v>
      </c>
      <c r="C136" t="s">
        <v>929</v>
      </c>
      <c r="D136" t="s">
        <v>937</v>
      </c>
      <c r="E136" t="s">
        <v>938</v>
      </c>
      <c r="F136" t="s">
        <v>940</v>
      </c>
      <c r="G136" t="s">
        <v>1619</v>
      </c>
      <c r="H136" t="s">
        <v>945</v>
      </c>
      <c r="I136" t="s">
        <v>11681</v>
      </c>
      <c r="J136" t="s">
        <v>951</v>
      </c>
      <c r="K136" t="s">
        <v>953</v>
      </c>
      <c r="L136" t="s">
        <v>11663</v>
      </c>
      <c r="M136" t="s">
        <v>960</v>
      </c>
      <c r="N136" t="s">
        <v>1066</v>
      </c>
      <c r="O136" t="s">
        <v>966</v>
      </c>
      <c r="P136" t="s">
        <v>1686</v>
      </c>
      <c r="Q136" t="s">
        <v>1687</v>
      </c>
      <c r="R136" t="s">
        <v>1701</v>
      </c>
    </row>
    <row r="137" spans="1:59" customFormat="1" ht="15" x14ac:dyDescent="0.25">
      <c r="A137" t="s">
        <v>538</v>
      </c>
      <c r="B137" t="s">
        <v>537</v>
      </c>
      <c r="C137" t="s">
        <v>929</v>
      </c>
      <c r="D137" t="s">
        <v>1723</v>
      </c>
      <c r="E137" t="s">
        <v>942</v>
      </c>
    </row>
    <row r="138" spans="1:59" customFormat="1" ht="15" x14ac:dyDescent="0.25">
      <c r="A138" t="s">
        <v>540</v>
      </c>
      <c r="B138" t="s">
        <v>539</v>
      </c>
      <c r="C138" t="s">
        <v>929</v>
      </c>
      <c r="D138" t="s">
        <v>1087</v>
      </c>
      <c r="E138" t="s">
        <v>9802</v>
      </c>
      <c r="F138" t="s">
        <v>14382</v>
      </c>
      <c r="G138" t="s">
        <v>1218</v>
      </c>
      <c r="H138" t="s">
        <v>933</v>
      </c>
      <c r="I138" t="s">
        <v>1413</v>
      </c>
      <c r="J138" t="s">
        <v>11660</v>
      </c>
      <c r="K138" t="s">
        <v>10626</v>
      </c>
      <c r="L138" t="s">
        <v>1252</v>
      </c>
      <c r="M138" t="s">
        <v>1008</v>
      </c>
      <c r="N138" t="s">
        <v>938</v>
      </c>
      <c r="O138" t="s">
        <v>940</v>
      </c>
      <c r="P138" t="s">
        <v>1012</v>
      </c>
      <c r="Q138" t="s">
        <v>1124</v>
      </c>
      <c r="R138" t="s">
        <v>1279</v>
      </c>
      <c r="S138" t="s">
        <v>1278</v>
      </c>
      <c r="T138" t="s">
        <v>1282</v>
      </c>
      <c r="U138" t="s">
        <v>1283</v>
      </c>
      <c r="V138" t="s">
        <v>1025</v>
      </c>
      <c r="W138" t="s">
        <v>11680</v>
      </c>
      <c r="X138" t="s">
        <v>943</v>
      </c>
      <c r="Y138" t="s">
        <v>1303</v>
      </c>
      <c r="Z138" t="s">
        <v>1131</v>
      </c>
      <c r="AA138" t="s">
        <v>1134</v>
      </c>
      <c r="AB138" t="s">
        <v>949</v>
      </c>
      <c r="AC138" t="s">
        <v>9806</v>
      </c>
      <c r="AD138" t="s">
        <v>1140</v>
      </c>
      <c r="AE138" t="s">
        <v>1043</v>
      </c>
      <c r="AF138" t="s">
        <v>1146</v>
      </c>
      <c r="AG138" t="s">
        <v>1320</v>
      </c>
      <c r="AH138" t="s">
        <v>1323</v>
      </c>
      <c r="AI138" t="s">
        <v>951</v>
      </c>
      <c r="AJ138" t="s">
        <v>1048</v>
      </c>
      <c r="AK138" t="s">
        <v>1328</v>
      </c>
      <c r="AL138" t="s">
        <v>1333</v>
      </c>
      <c r="AM138" t="s">
        <v>955</v>
      </c>
      <c r="AN138" t="s">
        <v>1153</v>
      </c>
      <c r="AO138" t="s">
        <v>1338</v>
      </c>
      <c r="AP138" t="s">
        <v>1341</v>
      </c>
      <c r="AQ138" t="s">
        <v>11663</v>
      </c>
      <c r="AR138" t="s">
        <v>14380</v>
      </c>
      <c r="AS138" t="s">
        <v>1347</v>
      </c>
      <c r="AT138" t="s">
        <v>1158</v>
      </c>
      <c r="AU138" t="s">
        <v>1352</v>
      </c>
      <c r="AV138" t="s">
        <v>1160</v>
      </c>
      <c r="AW138" t="s">
        <v>1069</v>
      </c>
      <c r="AX138" t="s">
        <v>1071</v>
      </c>
      <c r="AY138" t="s">
        <v>1072</v>
      </c>
      <c r="AZ138" t="s">
        <v>1382</v>
      </c>
      <c r="BA138" t="s">
        <v>9886</v>
      </c>
    </row>
    <row r="139" spans="1:59" customFormat="1" ht="15" x14ac:dyDescent="0.25">
      <c r="A139" t="s">
        <v>542</v>
      </c>
      <c r="B139" t="s">
        <v>541</v>
      </c>
      <c r="C139" t="s">
        <v>1195</v>
      </c>
      <c r="D139" t="s">
        <v>929</v>
      </c>
      <c r="E139" t="s">
        <v>1087</v>
      </c>
      <c r="F139" t="s">
        <v>1218</v>
      </c>
      <c r="G139" t="s">
        <v>933</v>
      </c>
      <c r="H139" t="s">
        <v>1243</v>
      </c>
      <c r="I139" t="s">
        <v>1008</v>
      </c>
      <c r="J139" t="s">
        <v>1259</v>
      </c>
      <c r="K139" t="s">
        <v>1273</v>
      </c>
      <c r="L139" t="s">
        <v>14386</v>
      </c>
      <c r="M139" t="s">
        <v>1025</v>
      </c>
      <c r="N139" t="s">
        <v>1293</v>
      </c>
      <c r="O139" t="s">
        <v>943</v>
      </c>
      <c r="P139" t="s">
        <v>1308</v>
      </c>
      <c r="Q139" t="s">
        <v>1134</v>
      </c>
      <c r="R139" t="s">
        <v>949</v>
      </c>
      <c r="S139" t="s">
        <v>1135</v>
      </c>
      <c r="T139" t="s">
        <v>1309</v>
      </c>
      <c r="U139" t="s">
        <v>1146</v>
      </c>
      <c r="V139" t="s">
        <v>951</v>
      </c>
      <c r="W139" t="s">
        <v>1056</v>
      </c>
      <c r="X139" t="s">
        <v>955</v>
      </c>
      <c r="Y139" t="s">
        <v>1155</v>
      </c>
      <c r="Z139" t="s">
        <v>11663</v>
      </c>
      <c r="AA139" t="s">
        <v>14380</v>
      </c>
      <c r="AB139" t="s">
        <v>1344</v>
      </c>
      <c r="AC139" t="s">
        <v>1346</v>
      </c>
      <c r="AD139" t="s">
        <v>1158</v>
      </c>
      <c r="AE139" t="s">
        <v>1170</v>
      </c>
      <c r="AF139" t="s">
        <v>1069</v>
      </c>
      <c r="AG139" t="s">
        <v>1071</v>
      </c>
      <c r="AH139" t="s">
        <v>1182</v>
      </c>
      <c r="AI139" t="s">
        <v>1390</v>
      </c>
      <c r="AJ139" t="s">
        <v>1396</v>
      </c>
    </row>
    <row r="140" spans="1:59" customFormat="1" ht="15" x14ac:dyDescent="0.25">
      <c r="A140" t="s">
        <v>544</v>
      </c>
      <c r="B140" t="s">
        <v>543</v>
      </c>
      <c r="C140" t="s">
        <v>929</v>
      </c>
      <c r="D140" t="s">
        <v>9790</v>
      </c>
      <c r="E140" t="s">
        <v>1099</v>
      </c>
      <c r="F140" t="s">
        <v>933</v>
      </c>
      <c r="G140" t="s">
        <v>1000</v>
      </c>
      <c r="H140" t="s">
        <v>1113</v>
      </c>
      <c r="I140" t="s">
        <v>1114</v>
      </c>
      <c r="J140" t="s">
        <v>1010</v>
      </c>
      <c r="K140" t="s">
        <v>938</v>
      </c>
      <c r="L140" t="s">
        <v>940</v>
      </c>
      <c r="M140" t="s">
        <v>1023</v>
      </c>
      <c r="N140" t="s">
        <v>1026</v>
      </c>
      <c r="O140" t="s">
        <v>1031</v>
      </c>
      <c r="P140" t="s">
        <v>1135</v>
      </c>
      <c r="Q140" t="s">
        <v>9787</v>
      </c>
      <c r="R140" t="s">
        <v>951</v>
      </c>
      <c r="S140" t="s">
        <v>1048</v>
      </c>
      <c r="T140" t="s">
        <v>1051</v>
      </c>
      <c r="U140" t="s">
        <v>953</v>
      </c>
      <c r="V140" t="s">
        <v>1152</v>
      </c>
      <c r="W140" t="s">
        <v>1057</v>
      </c>
      <c r="X140" t="s">
        <v>955</v>
      </c>
      <c r="Y140" t="s">
        <v>962</v>
      </c>
      <c r="Z140" t="s">
        <v>1176</v>
      </c>
      <c r="AA140" t="s">
        <v>1183</v>
      </c>
      <c r="AB140" t="s">
        <v>1187</v>
      </c>
      <c r="AC140" t="s">
        <v>1193</v>
      </c>
    </row>
    <row r="141" spans="1:59" customFormat="1" ht="15" x14ac:dyDescent="0.25">
      <c r="A141" t="s">
        <v>546</v>
      </c>
      <c r="B141" t="s">
        <v>545</v>
      </c>
      <c r="C141" t="s">
        <v>929</v>
      </c>
      <c r="D141" t="s">
        <v>978</v>
      </c>
      <c r="E141" t="s">
        <v>985</v>
      </c>
      <c r="F141" t="s">
        <v>11660</v>
      </c>
      <c r="G141" t="s">
        <v>10638</v>
      </c>
      <c r="H141" t="s">
        <v>1886</v>
      </c>
      <c r="I141" t="s">
        <v>1006</v>
      </c>
      <c r="J141" t="s">
        <v>1008</v>
      </c>
      <c r="K141" t="s">
        <v>1009</v>
      </c>
      <c r="L141" t="s">
        <v>1011</v>
      </c>
      <c r="M141" t="s">
        <v>938</v>
      </c>
      <c r="N141" t="s">
        <v>940</v>
      </c>
      <c r="O141" t="s">
        <v>1893</v>
      </c>
      <c r="P141" t="s">
        <v>1894</v>
      </c>
      <c r="Q141" t="s">
        <v>1895</v>
      </c>
      <c r="R141" t="s">
        <v>1896</v>
      </c>
      <c r="S141" t="s">
        <v>1892</v>
      </c>
      <c r="T141" t="s">
        <v>1422</v>
      </c>
      <c r="U141" t="s">
        <v>1013</v>
      </c>
      <c r="V141" t="s">
        <v>1426</v>
      </c>
      <c r="W141" t="s">
        <v>1905</v>
      </c>
      <c r="X141" t="s">
        <v>951</v>
      </c>
      <c r="Y141" t="s">
        <v>1048</v>
      </c>
      <c r="Z141" t="s">
        <v>1436</v>
      </c>
      <c r="AA141" t="s">
        <v>953</v>
      </c>
      <c r="AB141" t="s">
        <v>1057</v>
      </c>
      <c r="AC141" t="s">
        <v>955</v>
      </c>
      <c r="AD141" t="s">
        <v>1911</v>
      </c>
      <c r="AE141" t="s">
        <v>1353</v>
      </c>
      <c r="AF141" t="s">
        <v>1072</v>
      </c>
      <c r="AG141" t="s">
        <v>1180</v>
      </c>
      <c r="AH141" t="s">
        <v>1075</v>
      </c>
      <c r="AI141" t="s">
        <v>1080</v>
      </c>
      <c r="AJ141" t="s">
        <v>11728</v>
      </c>
      <c r="AK141" t="s">
        <v>1563</v>
      </c>
    </row>
    <row r="142" spans="1:59" customFormat="1" ht="15" x14ac:dyDescent="0.25">
      <c r="A142" t="s">
        <v>548</v>
      </c>
      <c r="B142" t="s">
        <v>547</v>
      </c>
      <c r="C142" t="s">
        <v>1196</v>
      </c>
      <c r="D142" t="s">
        <v>924</v>
      </c>
      <c r="E142" t="s">
        <v>926</v>
      </c>
      <c r="F142" t="s">
        <v>929</v>
      </c>
      <c r="G142" t="s">
        <v>1218</v>
      </c>
      <c r="H142" t="s">
        <v>933</v>
      </c>
      <c r="I142" t="s">
        <v>1104</v>
      </c>
      <c r="J142" t="s">
        <v>10638</v>
      </c>
      <c r="K142" t="s">
        <v>1008</v>
      </c>
      <c r="L142" t="s">
        <v>938</v>
      </c>
      <c r="M142" t="s">
        <v>940</v>
      </c>
      <c r="N142" t="s">
        <v>1281</v>
      </c>
      <c r="O142" t="s">
        <v>14386</v>
      </c>
      <c r="P142" t="s">
        <v>1284</v>
      </c>
      <c r="Q142" t="s">
        <v>1025</v>
      </c>
      <c r="R142" t="s">
        <v>10687</v>
      </c>
      <c r="S142" t="s">
        <v>943</v>
      </c>
      <c r="T142" t="s">
        <v>1297</v>
      </c>
      <c r="U142" t="s">
        <v>1300</v>
      </c>
      <c r="V142" t="s">
        <v>949</v>
      </c>
      <c r="W142" t="s">
        <v>1140</v>
      </c>
      <c r="X142" t="s">
        <v>1043</v>
      </c>
      <c r="Y142" t="s">
        <v>1144</v>
      </c>
      <c r="Z142" t="s">
        <v>951</v>
      </c>
      <c r="AA142" t="s">
        <v>953</v>
      </c>
      <c r="AB142" t="s">
        <v>1334</v>
      </c>
      <c r="AC142" t="s">
        <v>9788</v>
      </c>
      <c r="AD142" t="s">
        <v>1155</v>
      </c>
      <c r="AE142" t="s">
        <v>11663</v>
      </c>
      <c r="AF142" t="s">
        <v>14380</v>
      </c>
      <c r="AG142" t="s">
        <v>14374</v>
      </c>
      <c r="AH142" t="s">
        <v>11770</v>
      </c>
      <c r="AI142" t="s">
        <v>1353</v>
      </c>
      <c r="AJ142" t="s">
        <v>1069</v>
      </c>
      <c r="AK142" t="s">
        <v>1072</v>
      </c>
      <c r="AL142" t="s">
        <v>1368</v>
      </c>
      <c r="AM142" t="s">
        <v>1380</v>
      </c>
      <c r="AN142" t="s">
        <v>1080</v>
      </c>
      <c r="AO142" t="s">
        <v>1396</v>
      </c>
      <c r="AP142" t="s">
        <v>1398</v>
      </c>
    </row>
    <row r="143" spans="1:59" customFormat="1" ht="15" x14ac:dyDescent="0.25">
      <c r="A143" t="s">
        <v>550</v>
      </c>
      <c r="B143" t="s">
        <v>549</v>
      </c>
      <c r="C143" t="s">
        <v>1016</v>
      </c>
      <c r="D143" t="s">
        <v>11723</v>
      </c>
      <c r="E143" t="s">
        <v>971</v>
      </c>
      <c r="F143" t="s">
        <v>1452</v>
      </c>
      <c r="G143" t="s">
        <v>929</v>
      </c>
      <c r="H143" t="s">
        <v>978</v>
      </c>
      <c r="I143" t="s">
        <v>1212</v>
      </c>
      <c r="J143" t="s">
        <v>985</v>
      </c>
      <c r="K143" t="s">
        <v>1877</v>
      </c>
      <c r="L143" t="s">
        <v>1879</v>
      </c>
      <c r="M143" t="s">
        <v>1483</v>
      </c>
      <c r="N143" t="s">
        <v>1485</v>
      </c>
      <c r="O143" t="s">
        <v>10638</v>
      </c>
      <c r="P143" t="s">
        <v>1009</v>
      </c>
      <c r="Q143" t="s">
        <v>937</v>
      </c>
      <c r="R143" t="s">
        <v>1891</v>
      </c>
      <c r="S143" t="s">
        <v>1011</v>
      </c>
      <c r="T143" t="s">
        <v>938</v>
      </c>
      <c r="U143" t="s">
        <v>940</v>
      </c>
      <c r="V143" t="s">
        <v>1423</v>
      </c>
      <c r="W143" t="s">
        <v>1013</v>
      </c>
      <c r="X143" t="s">
        <v>1897</v>
      </c>
      <c r="Y143" t="s">
        <v>1900</v>
      </c>
      <c r="Z143" t="s">
        <v>1019</v>
      </c>
      <c r="AA143" t="s">
        <v>1296</v>
      </c>
      <c r="AB143" t="s">
        <v>1906</v>
      </c>
      <c r="AC143" t="s">
        <v>951</v>
      </c>
      <c r="AD143" t="s">
        <v>11720</v>
      </c>
      <c r="AE143" t="s">
        <v>9788</v>
      </c>
      <c r="AF143" t="s">
        <v>1057</v>
      </c>
      <c r="AG143" t="s">
        <v>14374</v>
      </c>
      <c r="AH143" t="s">
        <v>9849</v>
      </c>
      <c r="AI143" t="s">
        <v>962</v>
      </c>
      <c r="AJ143" t="s">
        <v>1071</v>
      </c>
      <c r="AK143" t="s">
        <v>1072</v>
      </c>
      <c r="AL143" t="s">
        <v>1075</v>
      </c>
      <c r="AM143" t="s">
        <v>1078</v>
      </c>
      <c r="AN143" t="s">
        <v>1919</v>
      </c>
      <c r="AO143" t="s">
        <v>1920</v>
      </c>
      <c r="AP143" t="s">
        <v>1563</v>
      </c>
      <c r="AQ143" t="s">
        <v>1083</v>
      </c>
    </row>
    <row r="144" spans="1:59" customFormat="1" ht="15" x14ac:dyDescent="0.25">
      <c r="A144" t="s">
        <v>552</v>
      </c>
      <c r="B144" t="s">
        <v>551</v>
      </c>
      <c r="C144" t="s">
        <v>929</v>
      </c>
      <c r="D144" t="s">
        <v>9784</v>
      </c>
      <c r="E144" t="s">
        <v>1468</v>
      </c>
      <c r="F144" t="s">
        <v>1470</v>
      </c>
      <c r="G144" t="s">
        <v>935</v>
      </c>
      <c r="H144" t="s">
        <v>11660</v>
      </c>
      <c r="I144" t="s">
        <v>1484</v>
      </c>
      <c r="J144" t="s">
        <v>1009</v>
      </c>
      <c r="K144" t="s">
        <v>1489</v>
      </c>
      <c r="L144" t="s">
        <v>937</v>
      </c>
      <c r="M144" t="s">
        <v>940</v>
      </c>
      <c r="N144" t="s">
        <v>10657</v>
      </c>
      <c r="O144" t="s">
        <v>1501</v>
      </c>
      <c r="P144" t="s">
        <v>1020</v>
      </c>
      <c r="Q144" t="s">
        <v>1508</v>
      </c>
      <c r="R144" t="s">
        <v>1031</v>
      </c>
      <c r="S144" t="s">
        <v>1520</v>
      </c>
      <c r="T144" t="s">
        <v>1521</v>
      </c>
      <c r="U144" t="s">
        <v>951</v>
      </c>
      <c r="V144" t="s">
        <v>1525</v>
      </c>
      <c r="W144" t="s">
        <v>10707</v>
      </c>
      <c r="X144" t="s">
        <v>1051</v>
      </c>
      <c r="Y144" t="s">
        <v>1528</v>
      </c>
      <c r="Z144" t="s">
        <v>953</v>
      </c>
      <c r="AA144" t="s">
        <v>1531</v>
      </c>
      <c r="AB144" t="s">
        <v>955</v>
      </c>
      <c r="AC144" t="s">
        <v>1539</v>
      </c>
      <c r="AD144" t="s">
        <v>1543</v>
      </c>
      <c r="AE144" t="s">
        <v>1072</v>
      </c>
      <c r="AF144" t="s">
        <v>1553</v>
      </c>
      <c r="AG144" t="s">
        <v>1078</v>
      </c>
      <c r="AH144" t="s">
        <v>1560</v>
      </c>
      <c r="AI144" t="s">
        <v>1083</v>
      </c>
    </row>
    <row r="145" spans="1:81" customFormat="1" ht="15" x14ac:dyDescent="0.25">
      <c r="A145" t="s">
        <v>554</v>
      </c>
      <c r="B145" t="s">
        <v>553</v>
      </c>
      <c r="C145" t="s">
        <v>1195</v>
      </c>
      <c r="D145" t="s">
        <v>926</v>
      </c>
      <c r="E145" t="s">
        <v>929</v>
      </c>
      <c r="F145" t="s">
        <v>1087</v>
      </c>
      <c r="G145" t="s">
        <v>1205</v>
      </c>
      <c r="H145" t="s">
        <v>9790</v>
      </c>
      <c r="I145" t="s">
        <v>10582</v>
      </c>
      <c r="J145" t="s">
        <v>1216</v>
      </c>
      <c r="K145" t="s">
        <v>933</v>
      </c>
      <c r="L145" t="s">
        <v>1227</v>
      </c>
      <c r="M145" t="s">
        <v>14383</v>
      </c>
      <c r="N145" t="s">
        <v>1237</v>
      </c>
      <c r="O145" t="s">
        <v>1239</v>
      </c>
      <c r="P145" t="s">
        <v>1243</v>
      </c>
      <c r="Q145" t="s">
        <v>1416</v>
      </c>
      <c r="R145" t="s">
        <v>1115</v>
      </c>
      <c r="S145" t="s">
        <v>10638</v>
      </c>
      <c r="T145" t="s">
        <v>1265</v>
      </c>
      <c r="U145" t="s">
        <v>1259</v>
      </c>
      <c r="V145" t="s">
        <v>9805</v>
      </c>
      <c r="W145" t="s">
        <v>1264</v>
      </c>
      <c r="X145" t="s">
        <v>1266</v>
      </c>
      <c r="Y145" t="s">
        <v>1011</v>
      </c>
      <c r="Z145" t="s">
        <v>938</v>
      </c>
      <c r="AA145" t="s">
        <v>14384</v>
      </c>
      <c r="AB145" t="s">
        <v>940</v>
      </c>
      <c r="AC145" t="s">
        <v>1012</v>
      </c>
      <c r="AD145" t="s">
        <v>1275</v>
      </c>
      <c r="AE145" t="s">
        <v>1013</v>
      </c>
      <c r="AF145" t="s">
        <v>1124</v>
      </c>
      <c r="AG145" t="s">
        <v>10659</v>
      </c>
      <c r="AH145" t="s">
        <v>1125</v>
      </c>
      <c r="AI145" t="s">
        <v>14385</v>
      </c>
      <c r="AJ145" t="s">
        <v>1283</v>
      </c>
      <c r="AK145" t="s">
        <v>1287</v>
      </c>
      <c r="AL145" t="s">
        <v>11678</v>
      </c>
      <c r="AM145" t="s">
        <v>10667</v>
      </c>
      <c r="AN145" t="s">
        <v>1025</v>
      </c>
      <c r="AO145" t="s">
        <v>10681</v>
      </c>
      <c r="AP145" t="s">
        <v>943</v>
      </c>
      <c r="AQ145" t="s">
        <v>1298</v>
      </c>
      <c r="AR145" t="s">
        <v>1301</v>
      </c>
      <c r="AS145" t="s">
        <v>1305</v>
      </c>
      <c r="AT145" t="s">
        <v>1134</v>
      </c>
      <c r="AU145" t="s">
        <v>949</v>
      </c>
      <c r="AV145" t="s">
        <v>1140</v>
      </c>
      <c r="AW145" t="s">
        <v>1314</v>
      </c>
      <c r="AX145" t="s">
        <v>1043</v>
      </c>
      <c r="AY145" t="s">
        <v>1316</v>
      </c>
      <c r="AZ145" t="s">
        <v>1145</v>
      </c>
      <c r="BA145" t="s">
        <v>1146</v>
      </c>
      <c r="BB145" t="s">
        <v>1317</v>
      </c>
      <c r="BC145" t="s">
        <v>1323</v>
      </c>
      <c r="BD145" t="s">
        <v>951</v>
      </c>
      <c r="BE145" t="s">
        <v>1330</v>
      </c>
      <c r="BF145" t="s">
        <v>1056</v>
      </c>
      <c r="BG145" t="s">
        <v>955</v>
      </c>
      <c r="BH145" t="s">
        <v>1155</v>
      </c>
      <c r="BI145" t="s">
        <v>11663</v>
      </c>
      <c r="BJ145" t="s">
        <v>14380</v>
      </c>
      <c r="BK145" t="s">
        <v>1347</v>
      </c>
      <c r="BL145" t="s">
        <v>1158</v>
      </c>
      <c r="BM145" t="s">
        <v>11683</v>
      </c>
      <c r="BN145" t="s">
        <v>1069</v>
      </c>
      <c r="BO145" t="s">
        <v>1366</v>
      </c>
      <c r="BP145" t="s">
        <v>1072</v>
      </c>
      <c r="BQ145" t="s">
        <v>1370</v>
      </c>
      <c r="BR145" t="s">
        <v>1375</v>
      </c>
      <c r="BS145" t="s">
        <v>1377</v>
      </c>
      <c r="BT145" t="s">
        <v>1380</v>
      </c>
      <c r="BU145" t="s">
        <v>11684</v>
      </c>
      <c r="BV145" t="s">
        <v>11685</v>
      </c>
      <c r="BW145" t="s">
        <v>1080</v>
      </c>
      <c r="BX145" t="s">
        <v>14377</v>
      </c>
    </row>
    <row r="146" spans="1:81" customFormat="1" ht="15" x14ac:dyDescent="0.25">
      <c r="A146" t="s">
        <v>556</v>
      </c>
      <c r="B146" t="s">
        <v>555</v>
      </c>
      <c r="C146" t="s">
        <v>1016</v>
      </c>
      <c r="D146" t="s">
        <v>929</v>
      </c>
      <c r="E146" t="s">
        <v>978</v>
      </c>
      <c r="F146" t="s">
        <v>1457</v>
      </c>
      <c r="G146" t="s">
        <v>9790</v>
      </c>
      <c r="H146" t="s">
        <v>1463</v>
      </c>
      <c r="I146" t="s">
        <v>985</v>
      </c>
      <c r="J146" t="s">
        <v>1465</v>
      </c>
      <c r="K146" t="s">
        <v>1412</v>
      </c>
      <c r="L146" t="s">
        <v>991</v>
      </c>
      <c r="M146" t="s">
        <v>996</v>
      </c>
      <c r="N146" t="s">
        <v>935</v>
      </c>
      <c r="O146" t="s">
        <v>1416</v>
      </c>
      <c r="P146" t="s">
        <v>1006</v>
      </c>
      <c r="Q146" t="s">
        <v>1009</v>
      </c>
      <c r="R146" t="s">
        <v>937</v>
      </c>
      <c r="S146" t="s">
        <v>1011</v>
      </c>
      <c r="T146" t="s">
        <v>940</v>
      </c>
      <c r="U146" t="s">
        <v>1013</v>
      </c>
      <c r="V146" t="s">
        <v>9819</v>
      </c>
      <c r="W146" t="s">
        <v>1018</v>
      </c>
      <c r="X146" t="s">
        <v>10667</v>
      </c>
      <c r="Y146" t="s">
        <v>1126</v>
      </c>
      <c r="Z146" t="s">
        <v>1510</v>
      </c>
      <c r="AA146" t="s">
        <v>1521</v>
      </c>
      <c r="AB146" t="s">
        <v>951</v>
      </c>
      <c r="AC146" t="s">
        <v>1048</v>
      </c>
      <c r="AD146" t="s">
        <v>1051</v>
      </c>
      <c r="AE146" t="s">
        <v>1056</v>
      </c>
      <c r="AF146" t="s">
        <v>955</v>
      </c>
      <c r="AG146" t="s">
        <v>1537</v>
      </c>
      <c r="AH146" t="s">
        <v>1066</v>
      </c>
      <c r="AI146" t="s">
        <v>9816</v>
      </c>
      <c r="AJ146" t="s">
        <v>1069</v>
      </c>
      <c r="AK146" t="s">
        <v>1072</v>
      </c>
      <c r="AL146" t="s">
        <v>1083</v>
      </c>
    </row>
    <row r="147" spans="1:81" customFormat="1" ht="15" x14ac:dyDescent="0.25">
      <c r="A147" t="s">
        <v>558</v>
      </c>
      <c r="B147" t="s">
        <v>557</v>
      </c>
      <c r="C147" t="s">
        <v>11723</v>
      </c>
      <c r="D147" t="s">
        <v>1872</v>
      </c>
      <c r="E147" t="s">
        <v>971</v>
      </c>
      <c r="F147" t="s">
        <v>1452</v>
      </c>
      <c r="G147" t="s">
        <v>929</v>
      </c>
      <c r="H147" t="s">
        <v>978</v>
      </c>
      <c r="I147" t="s">
        <v>9790</v>
      </c>
      <c r="J147" t="s">
        <v>9784</v>
      </c>
      <c r="K147" t="s">
        <v>1212</v>
      </c>
      <c r="L147" t="s">
        <v>1874</v>
      </c>
      <c r="M147" t="s">
        <v>1411</v>
      </c>
      <c r="N147" t="s">
        <v>989</v>
      </c>
      <c r="O147" t="s">
        <v>933</v>
      </c>
      <c r="P147" t="s">
        <v>1879</v>
      </c>
      <c r="Q147" t="s">
        <v>991</v>
      </c>
      <c r="R147" t="s">
        <v>996</v>
      </c>
      <c r="S147" t="s">
        <v>11724</v>
      </c>
      <c r="T147" t="s">
        <v>1883</v>
      </c>
      <c r="U147" t="s">
        <v>1485</v>
      </c>
      <c r="V147" t="s">
        <v>10638</v>
      </c>
      <c r="W147" t="s">
        <v>1008</v>
      </c>
      <c r="X147" t="s">
        <v>1009</v>
      </c>
      <c r="Y147" t="s">
        <v>10650</v>
      </c>
      <c r="Z147" t="s">
        <v>1419</v>
      </c>
      <c r="AA147" t="s">
        <v>937</v>
      </c>
      <c r="AB147" t="s">
        <v>938</v>
      </c>
      <c r="AC147" t="s">
        <v>940</v>
      </c>
      <c r="AD147" t="s">
        <v>11726</v>
      </c>
      <c r="AE147" t="s">
        <v>1423</v>
      </c>
      <c r="AF147" t="s">
        <v>1013</v>
      </c>
      <c r="AG147" t="s">
        <v>1897</v>
      </c>
      <c r="AH147" t="s">
        <v>1426</v>
      </c>
      <c r="AI147" t="s">
        <v>1427</v>
      </c>
      <c r="AJ147" t="s">
        <v>1019</v>
      </c>
      <c r="AK147" t="s">
        <v>1902</v>
      </c>
      <c r="AL147" t="s">
        <v>1904</v>
      </c>
      <c r="AM147" t="s">
        <v>1296</v>
      </c>
      <c r="AN147" t="s">
        <v>1144</v>
      </c>
      <c r="AO147" t="s">
        <v>1046</v>
      </c>
      <c r="AP147" t="s">
        <v>951</v>
      </c>
      <c r="AQ147" t="s">
        <v>1048</v>
      </c>
      <c r="AR147" t="s">
        <v>1050</v>
      </c>
      <c r="AS147" t="s">
        <v>1051</v>
      </c>
      <c r="AT147" t="s">
        <v>1436</v>
      </c>
      <c r="AU147" t="s">
        <v>953</v>
      </c>
      <c r="AV147" t="s">
        <v>1056</v>
      </c>
      <c r="AW147" t="s">
        <v>1057</v>
      </c>
      <c r="AX147" t="s">
        <v>955</v>
      </c>
      <c r="AY147" t="s">
        <v>9849</v>
      </c>
      <c r="AZ147" t="s">
        <v>962</v>
      </c>
      <c r="BA147" t="s">
        <v>1910</v>
      </c>
      <c r="BB147" t="s">
        <v>9874</v>
      </c>
      <c r="BC147" t="s">
        <v>1069</v>
      </c>
      <c r="BD147" t="s">
        <v>1072</v>
      </c>
      <c r="BE147" t="s">
        <v>1917</v>
      </c>
      <c r="BF147" t="s">
        <v>1075</v>
      </c>
      <c r="BG147" t="s">
        <v>1919</v>
      </c>
      <c r="BH147" t="s">
        <v>1920</v>
      </c>
      <c r="BI147" t="s">
        <v>1080</v>
      </c>
      <c r="BJ147" t="s">
        <v>1563</v>
      </c>
      <c r="BK147" t="s">
        <v>1083</v>
      </c>
    </row>
    <row r="148" spans="1:81" customFormat="1" ht="15" x14ac:dyDescent="0.25">
      <c r="A148" t="s">
        <v>560</v>
      </c>
      <c r="B148" t="s">
        <v>559</v>
      </c>
      <c r="C148" t="s">
        <v>974</v>
      </c>
      <c r="D148" t="s">
        <v>926</v>
      </c>
      <c r="E148" t="s">
        <v>929</v>
      </c>
      <c r="F148" t="s">
        <v>978</v>
      </c>
      <c r="G148" t="s">
        <v>9783</v>
      </c>
      <c r="H148" t="s">
        <v>9784</v>
      </c>
      <c r="I148" t="s">
        <v>990</v>
      </c>
      <c r="J148" t="s">
        <v>991</v>
      </c>
      <c r="K148" t="s">
        <v>996</v>
      </c>
      <c r="L148" t="s">
        <v>997</v>
      </c>
      <c r="M148" t="s">
        <v>11660</v>
      </c>
      <c r="N148" t="s">
        <v>1416</v>
      </c>
      <c r="O148" t="s">
        <v>1000</v>
      </c>
      <c r="P148" t="s">
        <v>1001</v>
      </c>
      <c r="Q148" t="s">
        <v>1009</v>
      </c>
      <c r="R148" t="s">
        <v>1011</v>
      </c>
      <c r="S148" t="s">
        <v>938</v>
      </c>
      <c r="T148" t="s">
        <v>1013</v>
      </c>
      <c r="U148" t="s">
        <v>1020</v>
      </c>
      <c r="V148" t="s">
        <v>1026</v>
      </c>
      <c r="W148" t="s">
        <v>10681</v>
      </c>
      <c r="X148" t="s">
        <v>1029</v>
      </c>
      <c r="Y148" t="s">
        <v>943</v>
      </c>
      <c r="Z148" t="s">
        <v>1030</v>
      </c>
      <c r="AA148" t="s">
        <v>1036</v>
      </c>
      <c r="AB148" t="s">
        <v>1038</v>
      </c>
      <c r="AC148" t="s">
        <v>1043</v>
      </c>
      <c r="AD148" t="s">
        <v>951</v>
      </c>
      <c r="AE148" t="s">
        <v>1048</v>
      </c>
      <c r="AF148" t="s">
        <v>1049</v>
      </c>
      <c r="AG148" t="s">
        <v>1051</v>
      </c>
      <c r="AH148" t="s">
        <v>1054</v>
      </c>
      <c r="AI148" t="s">
        <v>11720</v>
      </c>
      <c r="AJ148" t="s">
        <v>9788</v>
      </c>
      <c r="AK148" t="s">
        <v>955</v>
      </c>
      <c r="AL148" t="s">
        <v>1062</v>
      </c>
      <c r="AM148" t="s">
        <v>962</v>
      </c>
      <c r="AN148" t="s">
        <v>1072</v>
      </c>
      <c r="AO148" t="s">
        <v>1078</v>
      </c>
      <c r="AP148" t="s">
        <v>1079</v>
      </c>
      <c r="AQ148" t="s">
        <v>11669</v>
      </c>
    </row>
    <row r="149" spans="1:81" customFormat="1" ht="15" x14ac:dyDescent="0.25">
      <c r="A149" t="s">
        <v>562</v>
      </c>
      <c r="B149" t="s">
        <v>561</v>
      </c>
      <c r="C149" t="s">
        <v>1195</v>
      </c>
      <c r="D149" t="s">
        <v>9790</v>
      </c>
      <c r="E149" t="s">
        <v>933</v>
      </c>
      <c r="F149" t="s">
        <v>1604</v>
      </c>
      <c r="G149" t="s">
        <v>10638</v>
      </c>
      <c r="H149" t="s">
        <v>1008</v>
      </c>
      <c r="I149" t="s">
        <v>1010</v>
      </c>
      <c r="J149" t="s">
        <v>937</v>
      </c>
      <c r="K149" t="s">
        <v>938</v>
      </c>
      <c r="L149" t="s">
        <v>940</v>
      </c>
      <c r="M149" t="s">
        <v>1012</v>
      </c>
      <c r="N149" t="s">
        <v>1013</v>
      </c>
      <c r="O149" t="s">
        <v>10667</v>
      </c>
      <c r="P149" t="s">
        <v>1126</v>
      </c>
      <c r="Q149" t="s">
        <v>1020</v>
      </c>
      <c r="R149" t="s">
        <v>1025</v>
      </c>
      <c r="S149" t="s">
        <v>1628</v>
      </c>
      <c r="T149" t="s">
        <v>945</v>
      </c>
      <c r="U149" t="s">
        <v>9827</v>
      </c>
      <c r="V149" t="s">
        <v>1041</v>
      </c>
      <c r="W149" t="s">
        <v>9787</v>
      </c>
      <c r="X149" t="s">
        <v>11707</v>
      </c>
      <c r="Y149" t="s">
        <v>951</v>
      </c>
      <c r="Z149" t="s">
        <v>1331</v>
      </c>
      <c r="AA149" t="s">
        <v>11720</v>
      </c>
      <c r="AB149" t="s">
        <v>9788</v>
      </c>
      <c r="AC149" t="s">
        <v>1056</v>
      </c>
      <c r="AD149" t="s">
        <v>955</v>
      </c>
      <c r="AE149" t="s">
        <v>1654</v>
      </c>
      <c r="AF149" t="s">
        <v>1661</v>
      </c>
      <c r="AG149" t="s">
        <v>11663</v>
      </c>
      <c r="AH149" t="s">
        <v>14374</v>
      </c>
      <c r="AI149" t="s">
        <v>962</v>
      </c>
      <c r="AJ149" t="s">
        <v>11709</v>
      </c>
      <c r="AK149" t="s">
        <v>1669</v>
      </c>
      <c r="AL149" t="s">
        <v>1069</v>
      </c>
    </row>
    <row r="150" spans="1:81" customFormat="1" ht="15" x14ac:dyDescent="0.25">
      <c r="A150" t="s">
        <v>564</v>
      </c>
      <c r="B150" t="s">
        <v>563</v>
      </c>
      <c r="C150" t="s">
        <v>1195</v>
      </c>
      <c r="D150" t="s">
        <v>929</v>
      </c>
      <c r="E150" t="s">
        <v>1087</v>
      </c>
      <c r="F150" t="s">
        <v>1094</v>
      </c>
      <c r="G150" t="s">
        <v>11674</v>
      </c>
      <c r="H150" t="s">
        <v>1219</v>
      </c>
      <c r="I150" t="s">
        <v>1102</v>
      </c>
      <c r="J150" t="s">
        <v>1223</v>
      </c>
      <c r="K150" t="s">
        <v>933</v>
      </c>
      <c r="L150" t="s">
        <v>1474</v>
      </c>
      <c r="M150" t="s">
        <v>1227</v>
      </c>
      <c r="N150" t="s">
        <v>1233</v>
      </c>
      <c r="O150" t="s">
        <v>11675</v>
      </c>
      <c r="P150" t="s">
        <v>1239</v>
      </c>
      <c r="Q150" t="s">
        <v>1008</v>
      </c>
      <c r="R150" t="s">
        <v>1264</v>
      </c>
      <c r="S150" t="s">
        <v>940</v>
      </c>
      <c r="T150" t="s">
        <v>1273</v>
      </c>
      <c r="U150" t="s">
        <v>1012</v>
      </c>
      <c r="V150" t="s">
        <v>1124</v>
      </c>
      <c r="W150" t="s">
        <v>1285</v>
      </c>
      <c r="X150" t="s">
        <v>11678</v>
      </c>
      <c r="Y150" t="s">
        <v>11679</v>
      </c>
      <c r="Z150" t="s">
        <v>1290</v>
      </c>
      <c r="AA150" t="s">
        <v>1127</v>
      </c>
      <c r="AB150" t="s">
        <v>1025</v>
      </c>
      <c r="AC150" t="s">
        <v>10681</v>
      </c>
      <c r="AD150" t="s">
        <v>1295</v>
      </c>
      <c r="AE150" t="s">
        <v>943</v>
      </c>
      <c r="AF150" t="s">
        <v>945</v>
      </c>
      <c r="AG150" t="s">
        <v>1304</v>
      </c>
      <c r="AH150" t="s">
        <v>1305</v>
      </c>
      <c r="AI150" t="s">
        <v>1134</v>
      </c>
      <c r="AJ150" t="s">
        <v>949</v>
      </c>
      <c r="AK150" t="s">
        <v>1043</v>
      </c>
      <c r="AL150" t="s">
        <v>1145</v>
      </c>
      <c r="AM150" t="s">
        <v>1146</v>
      </c>
      <c r="AN150" t="s">
        <v>1321</v>
      </c>
      <c r="AO150" t="s">
        <v>1323</v>
      </c>
      <c r="AP150" t="s">
        <v>1906</v>
      </c>
      <c r="AQ150" t="s">
        <v>951</v>
      </c>
      <c r="AR150" t="s">
        <v>1329</v>
      </c>
      <c r="AS150" t="s">
        <v>953</v>
      </c>
      <c r="AT150" t="s">
        <v>9788</v>
      </c>
      <c r="AU150" t="s">
        <v>955</v>
      </c>
      <c r="AV150" t="s">
        <v>11663</v>
      </c>
      <c r="AW150" t="s">
        <v>14374</v>
      </c>
      <c r="AX150" t="s">
        <v>1344</v>
      </c>
      <c r="AY150" t="s">
        <v>1158</v>
      </c>
      <c r="AZ150" t="s">
        <v>1160</v>
      </c>
      <c r="BA150" t="s">
        <v>1355</v>
      </c>
      <c r="BB150" t="s">
        <v>1365</v>
      </c>
      <c r="BC150" t="s">
        <v>1072</v>
      </c>
      <c r="BD150" t="s">
        <v>1380</v>
      </c>
    </row>
    <row r="151" spans="1:81" customFormat="1" ht="15" x14ac:dyDescent="0.25">
      <c r="A151" t="s">
        <v>566</v>
      </c>
      <c r="B151" t="s">
        <v>565</v>
      </c>
      <c r="C151" t="s">
        <v>926</v>
      </c>
      <c r="D151" t="s">
        <v>982</v>
      </c>
      <c r="E151" t="s">
        <v>983</v>
      </c>
      <c r="F151" t="s">
        <v>1715</v>
      </c>
      <c r="G151" t="s">
        <v>933</v>
      </c>
      <c r="H151" t="s">
        <v>11660</v>
      </c>
      <c r="I151" t="s">
        <v>10643</v>
      </c>
      <c r="J151" t="s">
        <v>937</v>
      </c>
      <c r="K151" t="s">
        <v>940</v>
      </c>
      <c r="L151" t="s">
        <v>1013</v>
      </c>
      <c r="M151" t="s">
        <v>1126</v>
      </c>
      <c r="N151" t="s">
        <v>943</v>
      </c>
      <c r="O151" t="s">
        <v>1030</v>
      </c>
      <c r="P151" t="s">
        <v>1041</v>
      </c>
      <c r="Q151" t="s">
        <v>9787</v>
      </c>
      <c r="R151" t="s">
        <v>1049</v>
      </c>
      <c r="S151" t="s">
        <v>955</v>
      </c>
      <c r="T151" t="s">
        <v>1849</v>
      </c>
      <c r="U151" t="s">
        <v>962</v>
      </c>
      <c r="V151" t="s">
        <v>1856</v>
      </c>
      <c r="W151" t="s">
        <v>1072</v>
      </c>
      <c r="X151" t="s">
        <v>1861</v>
      </c>
      <c r="Y151" t="s">
        <v>1076</v>
      </c>
      <c r="Z151" t="s">
        <v>1077</v>
      </c>
      <c r="AA151" t="s">
        <v>1865</v>
      </c>
      <c r="AB151" t="s">
        <v>1083</v>
      </c>
    </row>
    <row r="152" spans="1:81" customFormat="1" ht="15" x14ac:dyDescent="0.25">
      <c r="A152" t="s">
        <v>568</v>
      </c>
      <c r="B152" t="s">
        <v>567</v>
      </c>
      <c r="C152" t="s">
        <v>972</v>
      </c>
      <c r="D152" t="s">
        <v>926</v>
      </c>
      <c r="E152" t="s">
        <v>929</v>
      </c>
      <c r="F152" t="s">
        <v>9784</v>
      </c>
      <c r="G152" t="s">
        <v>933</v>
      </c>
      <c r="H152" t="s">
        <v>997</v>
      </c>
      <c r="I152" t="s">
        <v>1001</v>
      </c>
      <c r="J152" t="s">
        <v>10638</v>
      </c>
      <c r="K152" t="s">
        <v>1013</v>
      </c>
      <c r="L152" t="s">
        <v>1017</v>
      </c>
      <c r="M152" t="s">
        <v>1021</v>
      </c>
      <c r="N152" t="s">
        <v>1024</v>
      </c>
      <c r="O152" t="s">
        <v>1026</v>
      </c>
      <c r="P152" t="s">
        <v>10681</v>
      </c>
      <c r="Q152" t="s">
        <v>1033</v>
      </c>
      <c r="R152" t="s">
        <v>1038</v>
      </c>
      <c r="S152" t="s">
        <v>1039</v>
      </c>
      <c r="T152" t="s">
        <v>1044</v>
      </c>
      <c r="U152" t="s">
        <v>1906</v>
      </c>
      <c r="V152" t="s">
        <v>951</v>
      </c>
      <c r="W152" t="s">
        <v>1048</v>
      </c>
      <c r="X152" t="s">
        <v>1049</v>
      </c>
      <c r="Y152" t="s">
        <v>1051</v>
      </c>
      <c r="Z152" t="s">
        <v>953</v>
      </c>
      <c r="AA152" t="s">
        <v>955</v>
      </c>
      <c r="AB152" t="s">
        <v>1064</v>
      </c>
      <c r="AC152" t="s">
        <v>1066</v>
      </c>
      <c r="AD152" t="s">
        <v>1080</v>
      </c>
    </row>
    <row r="153" spans="1:81" customFormat="1" ht="15" x14ac:dyDescent="0.25">
      <c r="A153" t="s">
        <v>570</v>
      </c>
      <c r="B153" t="s">
        <v>569</v>
      </c>
      <c r="C153" t="s">
        <v>974</v>
      </c>
      <c r="D153" t="s">
        <v>1453</v>
      </c>
      <c r="E153" t="s">
        <v>929</v>
      </c>
      <c r="F153" t="s">
        <v>1457</v>
      </c>
      <c r="G153" t="s">
        <v>9784</v>
      </c>
      <c r="H153" t="s">
        <v>1462</v>
      </c>
      <c r="I153" t="s">
        <v>1464</v>
      </c>
      <c r="J153" t="s">
        <v>985</v>
      </c>
      <c r="K153" t="s">
        <v>1466</v>
      </c>
      <c r="L153" t="s">
        <v>1469</v>
      </c>
      <c r="M153" t="s">
        <v>11692</v>
      </c>
      <c r="N153" t="s">
        <v>1470</v>
      </c>
      <c r="O153" t="s">
        <v>11693</v>
      </c>
      <c r="P153" t="s">
        <v>991</v>
      </c>
      <c r="Q153" t="s">
        <v>1475</v>
      </c>
      <c r="R153" t="s">
        <v>1476</v>
      </c>
      <c r="S153" t="s">
        <v>1477</v>
      </c>
      <c r="T153" t="s">
        <v>9862</v>
      </c>
      <c r="U153" t="s">
        <v>935</v>
      </c>
      <c r="V153" t="s">
        <v>11660</v>
      </c>
      <c r="W153" t="s">
        <v>1479</v>
      </c>
      <c r="X153" t="s">
        <v>1416</v>
      </c>
      <c r="Y153" t="s">
        <v>1000</v>
      </c>
      <c r="Z153" t="s">
        <v>10638</v>
      </c>
      <c r="AA153" t="s">
        <v>1486</v>
      </c>
      <c r="AB153" t="s">
        <v>1009</v>
      </c>
      <c r="AC153" t="s">
        <v>1488</v>
      </c>
      <c r="AD153" t="s">
        <v>1489</v>
      </c>
      <c r="AE153" t="s">
        <v>1490</v>
      </c>
      <c r="AF153" t="s">
        <v>937</v>
      </c>
      <c r="AG153" t="s">
        <v>1011</v>
      </c>
      <c r="AH153" t="s">
        <v>1491</v>
      </c>
      <c r="AI153" t="s">
        <v>11695</v>
      </c>
      <c r="AJ153" t="s">
        <v>940</v>
      </c>
      <c r="AK153" t="s">
        <v>1013</v>
      </c>
      <c r="AL153" t="s">
        <v>1500</v>
      </c>
      <c r="AM153" t="s">
        <v>1502</v>
      </c>
      <c r="AN153" t="s">
        <v>1503</v>
      </c>
      <c r="AO153" t="s">
        <v>9821</v>
      </c>
      <c r="AP153" t="s">
        <v>1506</v>
      </c>
      <c r="AQ153" t="s">
        <v>1507</v>
      </c>
      <c r="AR153" t="s">
        <v>1508</v>
      </c>
      <c r="AS153" t="s">
        <v>1509</v>
      </c>
      <c r="AT153" t="s">
        <v>943</v>
      </c>
      <c r="AU153" t="s">
        <v>9823</v>
      </c>
      <c r="AV153" t="s">
        <v>1031</v>
      </c>
      <c r="AW153" t="s">
        <v>1302</v>
      </c>
      <c r="AX153" t="s">
        <v>1518</v>
      </c>
      <c r="AY153" t="s">
        <v>1520</v>
      </c>
      <c r="AZ153" t="s">
        <v>1521</v>
      </c>
      <c r="BA153" t="s">
        <v>1046</v>
      </c>
      <c r="BB153" t="s">
        <v>1524</v>
      </c>
      <c r="BC153" t="s">
        <v>951</v>
      </c>
      <c r="BD153" t="s">
        <v>1048</v>
      </c>
      <c r="BE153" t="s">
        <v>1525</v>
      </c>
      <c r="BF153" t="s">
        <v>10707</v>
      </c>
      <c r="BG153" t="s">
        <v>1526</v>
      </c>
      <c r="BH153" t="s">
        <v>9824</v>
      </c>
      <c r="BI153" t="s">
        <v>1051</v>
      </c>
      <c r="BJ153" t="s">
        <v>10711</v>
      </c>
      <c r="BK153" t="s">
        <v>1528</v>
      </c>
      <c r="BL153" t="s">
        <v>1529</v>
      </c>
      <c r="BM153" t="s">
        <v>953</v>
      </c>
      <c r="BN153" t="s">
        <v>1053</v>
      </c>
      <c r="BO153" t="s">
        <v>1056</v>
      </c>
      <c r="BP153" t="s">
        <v>1057</v>
      </c>
      <c r="BQ153" t="s">
        <v>955</v>
      </c>
      <c r="BR153" t="s">
        <v>1534</v>
      </c>
      <c r="BS153" t="s">
        <v>1538</v>
      </c>
      <c r="BT153" t="s">
        <v>1540</v>
      </c>
      <c r="BU153" t="s">
        <v>1544</v>
      </c>
      <c r="BV153" t="s">
        <v>10810</v>
      </c>
      <c r="BW153" t="s">
        <v>1071</v>
      </c>
      <c r="BX153" t="s">
        <v>1072</v>
      </c>
      <c r="BY153" t="s">
        <v>1552</v>
      </c>
      <c r="BZ153" t="s">
        <v>1553</v>
      </c>
      <c r="CA153" t="s">
        <v>1078</v>
      </c>
      <c r="CB153" t="s">
        <v>1558</v>
      </c>
      <c r="CC153" t="s">
        <v>1083</v>
      </c>
    </row>
    <row r="154" spans="1:81" customFormat="1" ht="15" x14ac:dyDescent="0.25">
      <c r="A154" t="s">
        <v>572</v>
      </c>
      <c r="B154" t="s">
        <v>571</v>
      </c>
      <c r="C154" t="s">
        <v>926</v>
      </c>
      <c r="D154" t="s">
        <v>929</v>
      </c>
      <c r="E154" t="s">
        <v>1089</v>
      </c>
      <c r="F154" t="s">
        <v>933</v>
      </c>
      <c r="G154" t="s">
        <v>1005</v>
      </c>
      <c r="H154" t="s">
        <v>1010</v>
      </c>
      <c r="I154" t="s">
        <v>937</v>
      </c>
      <c r="J154" t="s">
        <v>1119</v>
      </c>
      <c r="K154" t="s">
        <v>938</v>
      </c>
      <c r="L154" t="s">
        <v>9793</v>
      </c>
      <c r="M154" t="s">
        <v>11671</v>
      </c>
      <c r="N154" t="s">
        <v>1018</v>
      </c>
      <c r="O154" t="s">
        <v>1025</v>
      </c>
      <c r="P154" t="s">
        <v>9794</v>
      </c>
      <c r="Q154" t="s">
        <v>943</v>
      </c>
      <c r="R154" t="s">
        <v>1134</v>
      </c>
      <c r="S154" t="s">
        <v>1136</v>
      </c>
      <c r="T154" t="s">
        <v>1138</v>
      </c>
      <c r="U154" t="s">
        <v>1142</v>
      </c>
      <c r="V154" t="s">
        <v>1146</v>
      </c>
      <c r="W154" t="s">
        <v>951</v>
      </c>
      <c r="X154" t="s">
        <v>1048</v>
      </c>
      <c r="Y154" t="s">
        <v>1151</v>
      </c>
      <c r="Z154" t="s">
        <v>11720</v>
      </c>
      <c r="AA154" t="s">
        <v>955</v>
      </c>
      <c r="AB154" t="s">
        <v>1154</v>
      </c>
      <c r="AC154" t="s">
        <v>1155</v>
      </c>
      <c r="AD154" t="s">
        <v>11663</v>
      </c>
      <c r="AE154" t="s">
        <v>962</v>
      </c>
      <c r="AF154" t="s">
        <v>1352</v>
      </c>
      <c r="AG154" t="s">
        <v>1176</v>
      </c>
      <c r="AH154" t="s">
        <v>981</v>
      </c>
    </row>
    <row r="155" spans="1:81" customFormat="1" ht="15" x14ac:dyDescent="0.25">
      <c r="A155" t="s">
        <v>574</v>
      </c>
      <c r="B155" t="s">
        <v>573</v>
      </c>
      <c r="C155" t="s">
        <v>1567</v>
      </c>
      <c r="D155" t="s">
        <v>926</v>
      </c>
      <c r="E155" t="s">
        <v>1569</v>
      </c>
      <c r="F155" t="s">
        <v>929</v>
      </c>
      <c r="G155" t="s">
        <v>9790</v>
      </c>
      <c r="H155" t="s">
        <v>933</v>
      </c>
      <c r="I155" t="s">
        <v>998</v>
      </c>
      <c r="J155" t="s">
        <v>1416</v>
      </c>
      <c r="K155" t="s">
        <v>10638</v>
      </c>
      <c r="L155" t="s">
        <v>1249</v>
      </c>
      <c r="M155" t="s">
        <v>1609</v>
      </c>
      <c r="N155" t="s">
        <v>10651</v>
      </c>
      <c r="O155" t="s">
        <v>1011</v>
      </c>
      <c r="P155" t="s">
        <v>938</v>
      </c>
      <c r="Q155" t="s">
        <v>940</v>
      </c>
      <c r="R155" t="s">
        <v>1012</v>
      </c>
      <c r="S155" t="s">
        <v>1013</v>
      </c>
      <c r="T155" t="s">
        <v>1622</v>
      </c>
      <c r="U155" t="s">
        <v>1126</v>
      </c>
      <c r="V155" t="s">
        <v>1025</v>
      </c>
      <c r="W155" t="s">
        <v>10681</v>
      </c>
      <c r="X155" t="s">
        <v>945</v>
      </c>
      <c r="Y155" t="s">
        <v>1135</v>
      </c>
      <c r="Z155" t="s">
        <v>1634</v>
      </c>
      <c r="AA155" t="s">
        <v>1635</v>
      </c>
      <c r="AB155" t="s">
        <v>1041</v>
      </c>
      <c r="AC155" t="s">
        <v>9787</v>
      </c>
      <c r="AD155" t="s">
        <v>1639</v>
      </c>
      <c r="AE155" t="s">
        <v>951</v>
      </c>
      <c r="AF155" t="s">
        <v>1048</v>
      </c>
      <c r="AG155" t="s">
        <v>953</v>
      </c>
      <c r="AH155" t="s">
        <v>11720</v>
      </c>
      <c r="AI155" t="s">
        <v>9788</v>
      </c>
      <c r="AJ155" t="s">
        <v>955</v>
      </c>
      <c r="AK155" t="s">
        <v>1655</v>
      </c>
      <c r="AL155" t="s">
        <v>11663</v>
      </c>
      <c r="AM155" t="s">
        <v>14374</v>
      </c>
      <c r="AN155" t="s">
        <v>1678</v>
      </c>
      <c r="AO155" t="s">
        <v>1072</v>
      </c>
      <c r="AP155" t="s">
        <v>1684</v>
      </c>
      <c r="AQ155" t="s">
        <v>1078</v>
      </c>
      <c r="AR155" t="s">
        <v>1691</v>
      </c>
      <c r="AS155" t="s">
        <v>1692</v>
      </c>
      <c r="AT155" t="s">
        <v>14377</v>
      </c>
    </row>
    <row r="156" spans="1:81" customFormat="1" ht="15" x14ac:dyDescent="0.25">
      <c r="A156" t="s">
        <v>576</v>
      </c>
      <c r="B156" t="s">
        <v>575</v>
      </c>
      <c r="C156" t="s">
        <v>1100</v>
      </c>
      <c r="D156" t="s">
        <v>933</v>
      </c>
      <c r="E156" t="s">
        <v>1110</v>
      </c>
      <c r="F156" t="s">
        <v>998</v>
      </c>
      <c r="G156" t="s">
        <v>1111</v>
      </c>
      <c r="H156" t="s">
        <v>1010</v>
      </c>
      <c r="I156" t="s">
        <v>937</v>
      </c>
      <c r="J156" t="s">
        <v>10667</v>
      </c>
      <c r="K156" t="s">
        <v>1126</v>
      </c>
      <c r="L156" t="s">
        <v>1025</v>
      </c>
      <c r="M156" t="s">
        <v>10681</v>
      </c>
      <c r="N156" t="s">
        <v>1128</v>
      </c>
      <c r="O156" t="s">
        <v>943</v>
      </c>
      <c r="P156" t="s">
        <v>945</v>
      </c>
      <c r="Q156" t="s">
        <v>949</v>
      </c>
      <c r="R156" t="s">
        <v>1146</v>
      </c>
      <c r="S156" t="s">
        <v>951</v>
      </c>
      <c r="T156" t="s">
        <v>953</v>
      </c>
      <c r="U156" t="s">
        <v>11720</v>
      </c>
      <c r="V156" t="s">
        <v>9788</v>
      </c>
      <c r="W156" t="s">
        <v>1056</v>
      </c>
      <c r="X156" t="s">
        <v>955</v>
      </c>
      <c r="Y156" t="s">
        <v>14374</v>
      </c>
      <c r="Z156" t="s">
        <v>1159</v>
      </c>
      <c r="AA156" t="s">
        <v>1173</v>
      </c>
    </row>
    <row r="157" spans="1:81" customFormat="1" ht="15" x14ac:dyDescent="0.25">
      <c r="A157" t="s">
        <v>578</v>
      </c>
      <c r="B157" t="s">
        <v>577</v>
      </c>
      <c r="C157" t="s">
        <v>926</v>
      </c>
      <c r="D157" t="s">
        <v>929</v>
      </c>
      <c r="E157" t="s">
        <v>982</v>
      </c>
      <c r="F157" t="s">
        <v>983</v>
      </c>
      <c r="G157" t="s">
        <v>1715</v>
      </c>
      <c r="H157" t="s">
        <v>1416</v>
      </c>
      <c r="I157" t="s">
        <v>10638</v>
      </c>
      <c r="J157" t="s">
        <v>937</v>
      </c>
      <c r="K157" t="s">
        <v>940</v>
      </c>
      <c r="L157" t="s">
        <v>1126</v>
      </c>
      <c r="M157" t="s">
        <v>1832</v>
      </c>
      <c r="N157" t="s">
        <v>1049</v>
      </c>
      <c r="O157" t="s">
        <v>1758</v>
      </c>
      <c r="P157" t="s">
        <v>1057</v>
      </c>
      <c r="Q157" t="s">
        <v>955</v>
      </c>
      <c r="R157" t="s">
        <v>962</v>
      </c>
      <c r="S157" t="s">
        <v>1857</v>
      </c>
      <c r="T157" t="s">
        <v>1865</v>
      </c>
    </row>
    <row r="158" spans="1:81" customFormat="1" ht="15" x14ac:dyDescent="0.25">
      <c r="A158" t="s">
        <v>580</v>
      </c>
      <c r="B158" t="s">
        <v>579</v>
      </c>
      <c r="C158" t="s">
        <v>1016</v>
      </c>
      <c r="D158" t="s">
        <v>1201</v>
      </c>
      <c r="E158" t="s">
        <v>929</v>
      </c>
      <c r="F158" t="s">
        <v>1454</v>
      </c>
      <c r="G158" t="s">
        <v>978</v>
      </c>
      <c r="H158" t="s">
        <v>1461</v>
      </c>
      <c r="I158" t="s">
        <v>1463</v>
      </c>
      <c r="J158" t="s">
        <v>985</v>
      </c>
      <c r="K158" t="s">
        <v>1219</v>
      </c>
      <c r="L158" t="s">
        <v>933</v>
      </c>
      <c r="M158" t="s">
        <v>1472</v>
      </c>
      <c r="N158" t="s">
        <v>991</v>
      </c>
      <c r="O158" t="s">
        <v>1413</v>
      </c>
      <c r="P158" t="s">
        <v>1485</v>
      </c>
      <c r="Q158" t="s">
        <v>10638</v>
      </c>
      <c r="R158" t="s">
        <v>1006</v>
      </c>
      <c r="S158" t="s">
        <v>1008</v>
      </c>
      <c r="T158" t="s">
        <v>1009</v>
      </c>
      <c r="U158" t="s">
        <v>937</v>
      </c>
      <c r="V158" t="s">
        <v>1011</v>
      </c>
      <c r="W158" t="s">
        <v>938</v>
      </c>
      <c r="X158" t="s">
        <v>1492</v>
      </c>
      <c r="Y158" t="s">
        <v>940</v>
      </c>
      <c r="Z158" t="s">
        <v>1495</v>
      </c>
      <c r="AA158" t="s">
        <v>9819</v>
      </c>
      <c r="AB158" t="s">
        <v>1513</v>
      </c>
      <c r="AC158" t="s">
        <v>1516</v>
      </c>
      <c r="AD158" t="s">
        <v>1033</v>
      </c>
      <c r="AE158" t="s">
        <v>1517</v>
      </c>
      <c r="AF158" t="s">
        <v>1519</v>
      </c>
      <c r="AG158" t="s">
        <v>1521</v>
      </c>
      <c r="AH158" t="s">
        <v>1046</v>
      </c>
      <c r="AI158" t="s">
        <v>1522</v>
      </c>
      <c r="AJ158" t="s">
        <v>951</v>
      </c>
      <c r="AK158" t="s">
        <v>1048</v>
      </c>
      <c r="AL158" t="s">
        <v>1051</v>
      </c>
      <c r="AM158" t="s">
        <v>1529</v>
      </c>
      <c r="AN158" t="s">
        <v>1056</v>
      </c>
      <c r="AO158" t="s">
        <v>955</v>
      </c>
      <c r="AP158" t="s">
        <v>11698</v>
      </c>
      <c r="AQ158" t="s">
        <v>1541</v>
      </c>
      <c r="AR158" t="s">
        <v>1159</v>
      </c>
      <c r="AS158" t="s">
        <v>1550</v>
      </c>
      <c r="AT158" t="s">
        <v>1069</v>
      </c>
      <c r="AU158" t="s">
        <v>1071</v>
      </c>
      <c r="AV158" t="s">
        <v>1072</v>
      </c>
      <c r="AW158" t="s">
        <v>1078</v>
      </c>
      <c r="AX158" t="s">
        <v>1182</v>
      </c>
      <c r="AY158" t="s">
        <v>11699</v>
      </c>
      <c r="AZ158" t="s">
        <v>1083</v>
      </c>
      <c r="BA158" t="s">
        <v>11700</v>
      </c>
    </row>
    <row r="159" spans="1:81" customFormat="1" ht="15" x14ac:dyDescent="0.25">
      <c r="A159" t="s">
        <v>582</v>
      </c>
      <c r="B159" t="s">
        <v>581</v>
      </c>
      <c r="C159" t="s">
        <v>972</v>
      </c>
      <c r="D159" t="s">
        <v>973</v>
      </c>
      <c r="E159" t="s">
        <v>926</v>
      </c>
      <c r="F159" t="s">
        <v>9784</v>
      </c>
      <c r="G159" t="s">
        <v>984</v>
      </c>
      <c r="H159" t="s">
        <v>997</v>
      </c>
      <c r="I159" t="s">
        <v>11660</v>
      </c>
      <c r="J159" t="s">
        <v>1001</v>
      </c>
      <c r="K159" t="s">
        <v>10638</v>
      </c>
      <c r="L159" t="s">
        <v>937</v>
      </c>
      <c r="M159" t="s">
        <v>940</v>
      </c>
      <c r="N159" t="s">
        <v>1013</v>
      </c>
      <c r="O159" t="s">
        <v>1014</v>
      </c>
      <c r="P159" t="s">
        <v>1126</v>
      </c>
      <c r="Q159" t="s">
        <v>1026</v>
      </c>
      <c r="R159" t="s">
        <v>10681</v>
      </c>
      <c r="S159" t="s">
        <v>943</v>
      </c>
      <c r="T159" t="s">
        <v>1038</v>
      </c>
      <c r="U159" t="s">
        <v>1039</v>
      </c>
      <c r="V159" t="s">
        <v>1043</v>
      </c>
      <c r="W159" t="s">
        <v>951</v>
      </c>
      <c r="X159" t="s">
        <v>1048</v>
      </c>
      <c r="Y159" t="s">
        <v>1051</v>
      </c>
      <c r="Z159" t="s">
        <v>953</v>
      </c>
      <c r="AA159" t="s">
        <v>955</v>
      </c>
      <c r="AB159" t="s">
        <v>1060</v>
      </c>
      <c r="AC159" t="s">
        <v>1068</v>
      </c>
      <c r="AD159" t="s">
        <v>1079</v>
      </c>
      <c r="AE159" t="s">
        <v>10787</v>
      </c>
    </row>
    <row r="160" spans="1:81" customFormat="1" ht="15" x14ac:dyDescent="0.25">
      <c r="A160" t="s">
        <v>584</v>
      </c>
      <c r="B160" t="s">
        <v>583</v>
      </c>
      <c r="C160" t="s">
        <v>926</v>
      </c>
      <c r="D160" t="s">
        <v>929</v>
      </c>
      <c r="E160" t="s">
        <v>1572</v>
      </c>
      <c r="F160" t="s">
        <v>933</v>
      </c>
      <c r="G160" t="s">
        <v>1594</v>
      </c>
      <c r="H160" t="s">
        <v>1249</v>
      </c>
      <c r="I160" t="s">
        <v>1008</v>
      </c>
      <c r="J160" t="s">
        <v>10651</v>
      </c>
      <c r="K160" t="s">
        <v>937</v>
      </c>
      <c r="L160" t="s">
        <v>938</v>
      </c>
      <c r="M160" t="s">
        <v>940</v>
      </c>
      <c r="N160" t="s">
        <v>1012</v>
      </c>
      <c r="O160" t="s">
        <v>1013</v>
      </c>
      <c r="P160" t="s">
        <v>1018</v>
      </c>
      <c r="Q160" t="s">
        <v>1126</v>
      </c>
      <c r="R160" t="s">
        <v>1025</v>
      </c>
      <c r="S160" t="s">
        <v>10681</v>
      </c>
      <c r="T160" t="s">
        <v>945</v>
      </c>
      <c r="U160" t="s">
        <v>949</v>
      </c>
      <c r="V160" t="s">
        <v>1135</v>
      </c>
      <c r="W160" t="s">
        <v>1041</v>
      </c>
      <c r="X160" t="s">
        <v>9787</v>
      </c>
      <c r="Y160" t="s">
        <v>951</v>
      </c>
      <c r="Z160" t="s">
        <v>953</v>
      </c>
      <c r="AA160" t="s">
        <v>11720</v>
      </c>
      <c r="AB160" t="s">
        <v>9788</v>
      </c>
      <c r="AC160" t="s">
        <v>955</v>
      </c>
      <c r="AD160" t="s">
        <v>11663</v>
      </c>
      <c r="AE160" t="s">
        <v>1072</v>
      </c>
      <c r="AF160" t="s">
        <v>1684</v>
      </c>
      <c r="AG160" t="s">
        <v>1691</v>
      </c>
    </row>
    <row r="161" spans="1:55" customFormat="1" ht="15" x14ac:dyDescent="0.25">
      <c r="A161" t="s">
        <v>586</v>
      </c>
      <c r="B161" t="s">
        <v>585</v>
      </c>
      <c r="C161" t="s">
        <v>926</v>
      </c>
      <c r="D161" t="s">
        <v>997</v>
      </c>
      <c r="E161" t="s">
        <v>998</v>
      </c>
      <c r="F161" t="s">
        <v>1416</v>
      </c>
      <c r="G161" t="s">
        <v>10638</v>
      </c>
      <c r="H161" t="s">
        <v>937</v>
      </c>
      <c r="I161" t="s">
        <v>940</v>
      </c>
      <c r="J161" t="s">
        <v>1126</v>
      </c>
      <c r="K161" t="s">
        <v>1026</v>
      </c>
      <c r="L161" t="s">
        <v>10681</v>
      </c>
      <c r="M161" t="s">
        <v>1031</v>
      </c>
      <c r="N161" t="s">
        <v>1038</v>
      </c>
      <c r="O161" t="s">
        <v>1043</v>
      </c>
      <c r="P161" t="s">
        <v>1048</v>
      </c>
      <c r="Q161" t="s">
        <v>1049</v>
      </c>
      <c r="R161" t="s">
        <v>1051</v>
      </c>
      <c r="S161" t="s">
        <v>962</v>
      </c>
      <c r="T161" t="s">
        <v>1072</v>
      </c>
    </row>
    <row r="162" spans="1:55" customFormat="1" ht="15" x14ac:dyDescent="0.25">
      <c r="A162" t="s">
        <v>588</v>
      </c>
      <c r="B162" t="s">
        <v>587</v>
      </c>
      <c r="C162" t="s">
        <v>924</v>
      </c>
      <c r="D162" t="s">
        <v>926</v>
      </c>
      <c r="E162" t="s">
        <v>929</v>
      </c>
      <c r="F162" t="s">
        <v>1218</v>
      </c>
      <c r="G162" t="s">
        <v>1220</v>
      </c>
      <c r="H162" t="s">
        <v>933</v>
      </c>
      <c r="I162" t="s">
        <v>1227</v>
      </c>
      <c r="J162" t="s">
        <v>9804</v>
      </c>
      <c r="K162" t="s">
        <v>1239</v>
      </c>
      <c r="L162" t="s">
        <v>1416</v>
      </c>
      <c r="M162" t="s">
        <v>938</v>
      </c>
      <c r="N162" t="s">
        <v>940</v>
      </c>
      <c r="O162" t="s">
        <v>1012</v>
      </c>
      <c r="P162" t="s">
        <v>1284</v>
      </c>
      <c r="Q162" t="s">
        <v>1025</v>
      </c>
      <c r="R162" t="s">
        <v>10687</v>
      </c>
      <c r="S162" t="s">
        <v>943</v>
      </c>
      <c r="T162" t="s">
        <v>1297</v>
      </c>
      <c r="U162" t="s">
        <v>945</v>
      </c>
      <c r="V162" t="s">
        <v>1134</v>
      </c>
      <c r="W162" t="s">
        <v>949</v>
      </c>
      <c r="X162" t="s">
        <v>1041</v>
      </c>
      <c r="Y162" t="s">
        <v>1140</v>
      </c>
      <c r="Z162" t="s">
        <v>1043</v>
      </c>
      <c r="AA162" t="s">
        <v>1146</v>
      </c>
      <c r="AB162" t="s">
        <v>951</v>
      </c>
      <c r="AC162" t="s">
        <v>955</v>
      </c>
      <c r="AD162" t="s">
        <v>1155</v>
      </c>
      <c r="AE162" t="s">
        <v>11663</v>
      </c>
      <c r="AF162" t="s">
        <v>1344</v>
      </c>
      <c r="AG162" t="s">
        <v>1354</v>
      </c>
      <c r="AH162" t="s">
        <v>1361</v>
      </c>
      <c r="AI162" t="s">
        <v>1072</v>
      </c>
      <c r="AJ162" t="s">
        <v>1380</v>
      </c>
      <c r="AK162" t="s">
        <v>1398</v>
      </c>
    </row>
    <row r="163" spans="1:55" customFormat="1" ht="15" x14ac:dyDescent="0.25">
      <c r="A163" t="s">
        <v>590</v>
      </c>
      <c r="B163" t="s">
        <v>589</v>
      </c>
      <c r="C163" t="s">
        <v>10568</v>
      </c>
      <c r="D163" t="s">
        <v>926</v>
      </c>
      <c r="E163" t="s">
        <v>931</v>
      </c>
      <c r="F163" t="s">
        <v>9835</v>
      </c>
      <c r="G163" t="s">
        <v>933</v>
      </c>
      <c r="H163" t="s">
        <v>1720</v>
      </c>
      <c r="I163" t="s">
        <v>1729</v>
      </c>
      <c r="J163" t="s">
        <v>1416</v>
      </c>
      <c r="K163" t="s">
        <v>1732</v>
      </c>
      <c r="L163" t="s">
        <v>1010</v>
      </c>
      <c r="M163" t="s">
        <v>940</v>
      </c>
      <c r="N163" t="s">
        <v>942</v>
      </c>
      <c r="O163" t="s">
        <v>1051</v>
      </c>
      <c r="P163" t="s">
        <v>11720</v>
      </c>
      <c r="Q163" t="s">
        <v>955</v>
      </c>
      <c r="R163" t="s">
        <v>1765</v>
      </c>
      <c r="S163" t="s">
        <v>960</v>
      </c>
      <c r="T163" t="s">
        <v>1062</v>
      </c>
      <c r="U163" t="s">
        <v>962</v>
      </c>
      <c r="V163" t="s">
        <v>1770</v>
      </c>
      <c r="W163" t="s">
        <v>1779</v>
      </c>
      <c r="X163" t="s">
        <v>1069</v>
      </c>
      <c r="Y163" t="s">
        <v>1788</v>
      </c>
      <c r="Z163" t="s">
        <v>1791</v>
      </c>
      <c r="AA163" t="s">
        <v>1080</v>
      </c>
      <c r="AB163" t="s">
        <v>1793</v>
      </c>
      <c r="AC163" t="s">
        <v>11715</v>
      </c>
    </row>
    <row r="164" spans="1:55" customFormat="1" ht="15" x14ac:dyDescent="0.25">
      <c r="A164" t="s">
        <v>592</v>
      </c>
      <c r="B164" t="s">
        <v>591</v>
      </c>
      <c r="C164" t="s">
        <v>929</v>
      </c>
      <c r="D164" t="s">
        <v>933</v>
      </c>
      <c r="E164" t="s">
        <v>1110</v>
      </c>
      <c r="F164" t="s">
        <v>1113</v>
      </c>
      <c r="G164" t="s">
        <v>10638</v>
      </c>
      <c r="H164" t="s">
        <v>1010</v>
      </c>
      <c r="I164" t="s">
        <v>937</v>
      </c>
      <c r="J164" t="s">
        <v>940</v>
      </c>
      <c r="K164" t="s">
        <v>10667</v>
      </c>
      <c r="L164" t="s">
        <v>1126</v>
      </c>
      <c r="M164" t="s">
        <v>1041</v>
      </c>
      <c r="N164" t="s">
        <v>9787</v>
      </c>
      <c r="O164" t="s">
        <v>1141</v>
      </c>
      <c r="P164" t="s">
        <v>951</v>
      </c>
      <c r="Q164" t="s">
        <v>1051</v>
      </c>
      <c r="R164" t="s">
        <v>10809</v>
      </c>
      <c r="S164" t="s">
        <v>1152</v>
      </c>
      <c r="T164" t="s">
        <v>11720</v>
      </c>
      <c r="U164" t="s">
        <v>9788</v>
      </c>
      <c r="V164" t="s">
        <v>1057</v>
      </c>
      <c r="W164" t="s">
        <v>955</v>
      </c>
      <c r="X164" t="s">
        <v>9795</v>
      </c>
      <c r="Y164" t="s">
        <v>14374</v>
      </c>
      <c r="Z164" t="s">
        <v>1172</v>
      </c>
      <c r="AA164" t="s">
        <v>1176</v>
      </c>
      <c r="AB164" t="s">
        <v>1072</v>
      </c>
      <c r="AC164" t="s">
        <v>1183</v>
      </c>
    </row>
    <row r="165" spans="1:55" customFormat="1" ht="15" x14ac:dyDescent="0.25">
      <c r="A165" t="s">
        <v>594</v>
      </c>
      <c r="B165" t="s">
        <v>593</v>
      </c>
      <c r="C165" t="s">
        <v>10568</v>
      </c>
      <c r="D165" t="s">
        <v>971</v>
      </c>
      <c r="E165" t="s">
        <v>929</v>
      </c>
      <c r="F165" t="s">
        <v>10520</v>
      </c>
      <c r="G165" t="s">
        <v>933</v>
      </c>
      <c r="H165" t="s">
        <v>1240</v>
      </c>
      <c r="I165" t="s">
        <v>998</v>
      </c>
      <c r="J165" t="s">
        <v>1606</v>
      </c>
      <c r="K165" t="s">
        <v>10638</v>
      </c>
      <c r="L165" t="s">
        <v>1610</v>
      </c>
      <c r="M165" t="s">
        <v>1010</v>
      </c>
      <c r="N165" t="s">
        <v>937</v>
      </c>
      <c r="O165" t="s">
        <v>938</v>
      </c>
      <c r="P165" t="s">
        <v>940</v>
      </c>
      <c r="Q165" t="s">
        <v>1012</v>
      </c>
      <c r="R165" t="s">
        <v>1620</v>
      </c>
      <c r="S165" t="s">
        <v>10667</v>
      </c>
      <c r="T165" t="s">
        <v>1126</v>
      </c>
      <c r="U165" t="s">
        <v>1025</v>
      </c>
      <c r="V165" t="s">
        <v>943</v>
      </c>
      <c r="W165" t="s">
        <v>945</v>
      </c>
      <c r="X165" t="s">
        <v>1041</v>
      </c>
      <c r="Y165" t="s">
        <v>9787</v>
      </c>
      <c r="Z165" t="s">
        <v>1146</v>
      </c>
      <c r="AA165" t="s">
        <v>951</v>
      </c>
      <c r="AB165" t="s">
        <v>1331</v>
      </c>
      <c r="AC165" t="s">
        <v>11720</v>
      </c>
      <c r="AD165" t="s">
        <v>9788</v>
      </c>
      <c r="AE165" t="s">
        <v>1654</v>
      </c>
      <c r="AF165" t="s">
        <v>1661</v>
      </c>
      <c r="AG165" t="s">
        <v>11663</v>
      </c>
      <c r="AH165" t="s">
        <v>960</v>
      </c>
      <c r="AI165" t="s">
        <v>14374</v>
      </c>
      <c r="AJ165" t="s">
        <v>962</v>
      </c>
      <c r="AK165" t="s">
        <v>10810</v>
      </c>
      <c r="AL165" t="s">
        <v>11709</v>
      </c>
      <c r="AM165" t="s">
        <v>1069</v>
      </c>
      <c r="AN165" t="s">
        <v>966</v>
      </c>
      <c r="AO165" t="s">
        <v>1684</v>
      </c>
      <c r="AP165" t="s">
        <v>1374</v>
      </c>
      <c r="AQ165" t="s">
        <v>1697</v>
      </c>
    </row>
    <row r="166" spans="1:55" customFormat="1" ht="15" x14ac:dyDescent="0.25">
      <c r="A166" t="s">
        <v>596</v>
      </c>
      <c r="B166" t="s">
        <v>595</v>
      </c>
      <c r="C166" t="s">
        <v>971</v>
      </c>
      <c r="D166" t="s">
        <v>929</v>
      </c>
      <c r="E166" t="s">
        <v>978</v>
      </c>
      <c r="F166" t="s">
        <v>1407</v>
      </c>
      <c r="G166" t="s">
        <v>1408</v>
      </c>
      <c r="H166" t="s">
        <v>991</v>
      </c>
      <c r="I166" t="s">
        <v>1413</v>
      </c>
      <c r="J166" t="s">
        <v>996</v>
      </c>
      <c r="K166" t="s">
        <v>11660</v>
      </c>
      <c r="L166" t="s">
        <v>10638</v>
      </c>
      <c r="M166" t="s">
        <v>1008</v>
      </c>
      <c r="N166" t="s">
        <v>937</v>
      </c>
      <c r="O166" t="s">
        <v>938</v>
      </c>
      <c r="P166" t="s">
        <v>940</v>
      </c>
      <c r="Q166" t="s">
        <v>1013</v>
      </c>
      <c r="R166" t="s">
        <v>1427</v>
      </c>
      <c r="S166" t="s">
        <v>1432</v>
      </c>
      <c r="T166" t="s">
        <v>1433</v>
      </c>
      <c r="U166" t="s">
        <v>1434</v>
      </c>
      <c r="V166" t="s">
        <v>1043</v>
      </c>
      <c r="W166" t="s">
        <v>951</v>
      </c>
      <c r="X166" t="s">
        <v>1048</v>
      </c>
      <c r="Y166" t="s">
        <v>1051</v>
      </c>
      <c r="Z166" t="s">
        <v>1436</v>
      </c>
      <c r="AA166" t="s">
        <v>11720</v>
      </c>
      <c r="AB166" t="s">
        <v>1056</v>
      </c>
      <c r="AC166" t="s">
        <v>955</v>
      </c>
      <c r="AD166" t="s">
        <v>1442</v>
      </c>
      <c r="AE166" t="s">
        <v>1072</v>
      </c>
      <c r="AF166" t="s">
        <v>1180</v>
      </c>
      <c r="AG166" t="s">
        <v>1075</v>
      </c>
    </row>
    <row r="167" spans="1:55" customFormat="1" ht="15" x14ac:dyDescent="0.25">
      <c r="A167" t="s">
        <v>598</v>
      </c>
      <c r="B167" t="s">
        <v>597</v>
      </c>
      <c r="C167" t="s">
        <v>1400</v>
      </c>
      <c r="D167" t="s">
        <v>1195</v>
      </c>
      <c r="E167" t="s">
        <v>971</v>
      </c>
      <c r="F167" t="s">
        <v>926</v>
      </c>
      <c r="G167" t="s">
        <v>1571</v>
      </c>
      <c r="H167" t="s">
        <v>929</v>
      </c>
      <c r="I167" t="s">
        <v>9790</v>
      </c>
      <c r="J167" t="s">
        <v>9784</v>
      </c>
      <c r="K167" t="s">
        <v>933</v>
      </c>
      <c r="L167" t="s">
        <v>1105</v>
      </c>
      <c r="M167" t="s">
        <v>992</v>
      </c>
      <c r="N167" t="s">
        <v>996</v>
      </c>
      <c r="O167" t="s">
        <v>10624</v>
      </c>
      <c r="P167" t="s">
        <v>10638</v>
      </c>
      <c r="Q167" t="s">
        <v>1005</v>
      </c>
      <c r="R167" t="s">
        <v>1008</v>
      </c>
      <c r="S167" t="s">
        <v>10647</v>
      </c>
      <c r="T167" t="s">
        <v>1010</v>
      </c>
      <c r="U167" t="s">
        <v>937</v>
      </c>
      <c r="V167" t="s">
        <v>1119</v>
      </c>
      <c r="W167" t="s">
        <v>938</v>
      </c>
      <c r="X167" t="s">
        <v>940</v>
      </c>
      <c r="Y167" t="s">
        <v>1012</v>
      </c>
      <c r="Z167" t="s">
        <v>10667</v>
      </c>
      <c r="AA167" t="s">
        <v>1126</v>
      </c>
      <c r="AB167" t="s">
        <v>1025</v>
      </c>
      <c r="AC167" t="s">
        <v>10681</v>
      </c>
      <c r="AD167" t="s">
        <v>943</v>
      </c>
      <c r="AE167" t="s">
        <v>1030</v>
      </c>
      <c r="AF167" t="s">
        <v>1630</v>
      </c>
      <c r="AG167" t="s">
        <v>1134</v>
      </c>
      <c r="AH167" t="s">
        <v>949</v>
      </c>
      <c r="AI167" t="s">
        <v>1637</v>
      </c>
      <c r="AJ167" t="s">
        <v>1041</v>
      </c>
      <c r="AK167" t="s">
        <v>9787</v>
      </c>
      <c r="AL167" t="s">
        <v>1142</v>
      </c>
      <c r="AM167" t="s">
        <v>1146</v>
      </c>
      <c r="AN167" t="s">
        <v>951</v>
      </c>
      <c r="AO167" t="s">
        <v>1048</v>
      </c>
      <c r="AP167" t="s">
        <v>953</v>
      </c>
      <c r="AQ167" t="s">
        <v>11720</v>
      </c>
      <c r="AR167" t="s">
        <v>9788</v>
      </c>
      <c r="AS167" t="s">
        <v>955</v>
      </c>
      <c r="AT167" t="s">
        <v>1154</v>
      </c>
      <c r="AU167" t="s">
        <v>11663</v>
      </c>
      <c r="AV167" t="s">
        <v>14380</v>
      </c>
      <c r="AW167" t="s">
        <v>14374</v>
      </c>
      <c r="AX167" t="s">
        <v>962</v>
      </c>
      <c r="AY167" t="s">
        <v>11667</v>
      </c>
      <c r="AZ167" t="s">
        <v>1069</v>
      </c>
      <c r="BA167" t="s">
        <v>1071</v>
      </c>
      <c r="BB167" t="s">
        <v>1181</v>
      </c>
      <c r="BC167" t="s">
        <v>981</v>
      </c>
    </row>
    <row r="168" spans="1:55" customFormat="1" ht="15" x14ac:dyDescent="0.25">
      <c r="A168" t="s">
        <v>600</v>
      </c>
      <c r="B168" t="s">
        <v>599</v>
      </c>
      <c r="C168" t="s">
        <v>1195</v>
      </c>
      <c r="D168" t="s">
        <v>1564</v>
      </c>
      <c r="E168" t="s">
        <v>1196</v>
      </c>
      <c r="F168" t="s">
        <v>924</v>
      </c>
      <c r="G168" t="s">
        <v>926</v>
      </c>
      <c r="H168" t="s">
        <v>929</v>
      </c>
      <c r="I168" t="s">
        <v>9784</v>
      </c>
      <c r="J168" t="s">
        <v>933</v>
      </c>
      <c r="K168" t="s">
        <v>1595</v>
      </c>
      <c r="L168" t="s">
        <v>998</v>
      </c>
      <c r="M168" t="s">
        <v>1000</v>
      </c>
      <c r="N168" t="s">
        <v>937</v>
      </c>
      <c r="O168" t="s">
        <v>938</v>
      </c>
      <c r="P168" t="s">
        <v>1025</v>
      </c>
      <c r="Q168" t="s">
        <v>943</v>
      </c>
      <c r="R168" t="s">
        <v>1300</v>
      </c>
      <c r="S168" t="s">
        <v>949</v>
      </c>
      <c r="T168" t="s">
        <v>1636</v>
      </c>
      <c r="U168" t="s">
        <v>1043</v>
      </c>
      <c r="V168" t="s">
        <v>1331</v>
      </c>
      <c r="W168" t="s">
        <v>953</v>
      </c>
      <c r="X168" t="s">
        <v>11663</v>
      </c>
      <c r="Y168" t="s">
        <v>960</v>
      </c>
      <c r="Z168" t="s">
        <v>1170</v>
      </c>
      <c r="AA168" t="s">
        <v>1677</v>
      </c>
      <c r="AB168" t="s">
        <v>1072</v>
      </c>
      <c r="AC168" t="s">
        <v>1684</v>
      </c>
      <c r="AD168" t="s">
        <v>1374</v>
      </c>
    </row>
    <row r="169" spans="1:55" customFormat="1" ht="15" x14ac:dyDescent="0.25">
      <c r="A169" t="s">
        <v>601</v>
      </c>
      <c r="B169" t="s">
        <v>1</v>
      </c>
      <c r="C169" t="s">
        <v>924</v>
      </c>
      <c r="D169" t="s">
        <v>10568</v>
      </c>
      <c r="E169" t="s">
        <v>926</v>
      </c>
      <c r="F169" t="s">
        <v>929</v>
      </c>
      <c r="G169" t="s">
        <v>931</v>
      </c>
      <c r="H169" t="s">
        <v>933</v>
      </c>
      <c r="I169" t="s">
        <v>935</v>
      </c>
      <c r="J169" t="s">
        <v>998</v>
      </c>
      <c r="K169" t="s">
        <v>10638</v>
      </c>
      <c r="L169" t="s">
        <v>938</v>
      </c>
      <c r="M169" t="s">
        <v>940</v>
      </c>
      <c r="N169" t="s">
        <v>943</v>
      </c>
      <c r="O169" t="s">
        <v>945</v>
      </c>
      <c r="P169" t="s">
        <v>947</v>
      </c>
      <c r="Q169" t="s">
        <v>949</v>
      </c>
      <c r="R169" t="s">
        <v>951</v>
      </c>
      <c r="S169" t="s">
        <v>1048</v>
      </c>
      <c r="T169" t="s">
        <v>953</v>
      </c>
      <c r="U169" t="s">
        <v>955</v>
      </c>
      <c r="V169" t="s">
        <v>957</v>
      </c>
      <c r="W169" t="s">
        <v>11663</v>
      </c>
      <c r="X169" t="s">
        <v>960</v>
      </c>
      <c r="Y169" t="s">
        <v>962</v>
      </c>
      <c r="Z169" t="s">
        <v>964</v>
      </c>
      <c r="AA169" t="s">
        <v>966</v>
      </c>
      <c r="AB169" t="s">
        <v>968</v>
      </c>
    </row>
    <row r="170" spans="1:55" customFormat="1" ht="15" x14ac:dyDescent="0.25">
      <c r="A170" t="s">
        <v>603</v>
      </c>
      <c r="B170" t="s">
        <v>602</v>
      </c>
      <c r="C170" t="s">
        <v>1016</v>
      </c>
      <c r="D170" t="s">
        <v>971</v>
      </c>
      <c r="E170" t="s">
        <v>972</v>
      </c>
      <c r="F170" t="s">
        <v>926</v>
      </c>
      <c r="G170" t="s">
        <v>929</v>
      </c>
      <c r="H170" t="s">
        <v>9784</v>
      </c>
      <c r="I170" t="s">
        <v>997</v>
      </c>
      <c r="J170" t="s">
        <v>935</v>
      </c>
      <c r="K170" t="s">
        <v>1001</v>
      </c>
      <c r="L170" t="s">
        <v>10638</v>
      </c>
      <c r="M170" t="s">
        <v>937</v>
      </c>
      <c r="N170" t="s">
        <v>938</v>
      </c>
      <c r="O170" t="s">
        <v>1013</v>
      </c>
      <c r="P170" t="s">
        <v>1014</v>
      </c>
      <c r="Q170" t="s">
        <v>1026</v>
      </c>
      <c r="R170" t="s">
        <v>10681</v>
      </c>
      <c r="S170" t="s">
        <v>943</v>
      </c>
      <c r="T170" t="s">
        <v>1034</v>
      </c>
      <c r="U170" t="s">
        <v>1038</v>
      </c>
      <c r="V170" t="s">
        <v>1039</v>
      </c>
      <c r="W170" t="s">
        <v>1043</v>
      </c>
      <c r="X170" t="s">
        <v>951</v>
      </c>
      <c r="Y170" t="s">
        <v>1048</v>
      </c>
      <c r="Z170" t="s">
        <v>1049</v>
      </c>
      <c r="AA170" t="s">
        <v>1051</v>
      </c>
      <c r="AB170" t="s">
        <v>11720</v>
      </c>
      <c r="AC170" t="s">
        <v>1062</v>
      </c>
      <c r="AD170" t="s">
        <v>1067</v>
      </c>
      <c r="AE170" t="s">
        <v>14375</v>
      </c>
      <c r="AF170" t="s">
        <v>1072</v>
      </c>
      <c r="AG170" t="s">
        <v>1078</v>
      </c>
    </row>
    <row r="171" spans="1:55" customFormat="1" ht="15" x14ac:dyDescent="0.25">
      <c r="A171" t="s">
        <v>605</v>
      </c>
      <c r="B171" t="s">
        <v>604</v>
      </c>
      <c r="C171" t="s">
        <v>1016</v>
      </c>
      <c r="D171" t="s">
        <v>1404</v>
      </c>
      <c r="E171" t="s">
        <v>929</v>
      </c>
      <c r="F171" t="s">
        <v>978</v>
      </c>
      <c r="G171" t="s">
        <v>1407</v>
      </c>
      <c r="H171" t="s">
        <v>1412</v>
      </c>
      <c r="I171" t="s">
        <v>996</v>
      </c>
      <c r="J171" t="s">
        <v>1417</v>
      </c>
      <c r="K171" t="s">
        <v>937</v>
      </c>
      <c r="L171" t="s">
        <v>938</v>
      </c>
      <c r="M171" t="s">
        <v>1421</v>
      </c>
      <c r="N171" t="s">
        <v>940</v>
      </c>
      <c r="O171" t="s">
        <v>1013</v>
      </c>
      <c r="P171" t="s">
        <v>1427</v>
      </c>
      <c r="Q171" t="s">
        <v>1429</v>
      </c>
      <c r="R171" t="s">
        <v>10681</v>
      </c>
      <c r="S171" t="s">
        <v>1296</v>
      </c>
      <c r="T171" t="s">
        <v>1302</v>
      </c>
      <c r="U171" t="s">
        <v>1431</v>
      </c>
      <c r="V171" t="s">
        <v>10799</v>
      </c>
      <c r="W171" t="s">
        <v>1323</v>
      </c>
      <c r="X171" t="s">
        <v>951</v>
      </c>
      <c r="Y171" t="s">
        <v>1048</v>
      </c>
      <c r="Z171" t="s">
        <v>1051</v>
      </c>
      <c r="AA171" t="s">
        <v>1436</v>
      </c>
      <c r="AB171" t="s">
        <v>9815</v>
      </c>
      <c r="AC171" t="s">
        <v>1442</v>
      </c>
      <c r="AD171" t="s">
        <v>1072</v>
      </c>
      <c r="AE171" t="s">
        <v>1180</v>
      </c>
      <c r="AF171" t="s">
        <v>1447</v>
      </c>
      <c r="AG171" t="s">
        <v>1449</v>
      </c>
    </row>
    <row r="172" spans="1:55" customFormat="1" ht="15" x14ac:dyDescent="0.25">
      <c r="A172" t="s">
        <v>607</v>
      </c>
      <c r="B172" t="s">
        <v>606</v>
      </c>
      <c r="C172" t="s">
        <v>1452</v>
      </c>
      <c r="D172" t="s">
        <v>929</v>
      </c>
      <c r="E172" t="s">
        <v>1456</v>
      </c>
      <c r="F172" t="s">
        <v>1458</v>
      </c>
      <c r="G172" t="s">
        <v>1806</v>
      </c>
      <c r="H172" t="s">
        <v>1812</v>
      </c>
      <c r="I172" t="s">
        <v>933</v>
      </c>
      <c r="J172" t="s">
        <v>1817</v>
      </c>
      <c r="K172" t="s">
        <v>10638</v>
      </c>
      <c r="L172" t="s">
        <v>10643</v>
      </c>
      <c r="M172" t="s">
        <v>1009</v>
      </c>
      <c r="N172" t="s">
        <v>1493</v>
      </c>
      <c r="O172" t="s">
        <v>940</v>
      </c>
      <c r="P172" t="s">
        <v>1030</v>
      </c>
      <c r="Q172" t="s">
        <v>1031</v>
      </c>
      <c r="R172" t="s">
        <v>1525</v>
      </c>
      <c r="S172" t="s">
        <v>11720</v>
      </c>
      <c r="T172" t="s">
        <v>9788</v>
      </c>
      <c r="U172" t="s">
        <v>955</v>
      </c>
      <c r="V172" t="s">
        <v>14374</v>
      </c>
      <c r="W172" t="s">
        <v>1069</v>
      </c>
      <c r="X172" t="s">
        <v>1072</v>
      </c>
      <c r="Y172" t="s">
        <v>1861</v>
      </c>
    </row>
    <row r="173" spans="1:55" customFormat="1" ht="15" x14ac:dyDescent="0.25">
      <c r="A173" t="s">
        <v>609</v>
      </c>
      <c r="B173" t="s">
        <v>608</v>
      </c>
      <c r="C173" t="s">
        <v>1195</v>
      </c>
      <c r="D173" t="s">
        <v>929</v>
      </c>
      <c r="E173" t="s">
        <v>1087</v>
      </c>
      <c r="F173" t="s">
        <v>1206</v>
      </c>
      <c r="G173" t="s">
        <v>1207</v>
      </c>
      <c r="H173" t="s">
        <v>1219</v>
      </c>
      <c r="I173" t="s">
        <v>933</v>
      </c>
      <c r="J173" t="s">
        <v>1227</v>
      </c>
      <c r="K173" t="s">
        <v>1115</v>
      </c>
      <c r="L173" t="s">
        <v>10638</v>
      </c>
      <c r="M173" t="s">
        <v>1250</v>
      </c>
      <c r="N173" t="s">
        <v>1008</v>
      </c>
      <c r="O173" t="s">
        <v>937</v>
      </c>
      <c r="P173" t="s">
        <v>938</v>
      </c>
      <c r="Q173" t="s">
        <v>1269</v>
      </c>
      <c r="R173" t="s">
        <v>1274</v>
      </c>
      <c r="S173" t="s">
        <v>1282</v>
      </c>
      <c r="T173" t="s">
        <v>1126</v>
      </c>
      <c r="U173" t="s">
        <v>1127</v>
      </c>
      <c r="V173" t="s">
        <v>1025</v>
      </c>
      <c r="W173" t="s">
        <v>1292</v>
      </c>
      <c r="X173" t="s">
        <v>1293</v>
      </c>
      <c r="Y173" t="s">
        <v>943</v>
      </c>
      <c r="Z173" t="s">
        <v>1131</v>
      </c>
      <c r="AA173" t="s">
        <v>1307</v>
      </c>
      <c r="AB173" t="s">
        <v>1134</v>
      </c>
      <c r="AC173" t="s">
        <v>949</v>
      </c>
      <c r="AD173" t="s">
        <v>1136</v>
      </c>
      <c r="AE173" t="s">
        <v>1041</v>
      </c>
      <c r="AF173" t="s">
        <v>1043</v>
      </c>
      <c r="AG173" t="s">
        <v>1146</v>
      </c>
      <c r="AH173" t="s">
        <v>1320</v>
      </c>
      <c r="AI173" t="s">
        <v>1322</v>
      </c>
      <c r="AJ173" t="s">
        <v>951</v>
      </c>
      <c r="AK173" t="s">
        <v>1048</v>
      </c>
      <c r="AL173" t="s">
        <v>9809</v>
      </c>
      <c r="AM173" t="s">
        <v>9788</v>
      </c>
      <c r="AN173" t="s">
        <v>1057</v>
      </c>
      <c r="AO173" t="s">
        <v>955</v>
      </c>
      <c r="AP173" t="s">
        <v>11663</v>
      </c>
      <c r="AQ173" t="s">
        <v>14380</v>
      </c>
      <c r="AR173" t="s">
        <v>14374</v>
      </c>
      <c r="AS173" t="s">
        <v>1159</v>
      </c>
      <c r="AT173" t="s">
        <v>1352</v>
      </c>
      <c r="AU173" t="s">
        <v>1160</v>
      </c>
      <c r="AV173" t="s">
        <v>1069</v>
      </c>
      <c r="AW173" t="s">
        <v>1072</v>
      </c>
      <c r="AX173" t="s">
        <v>1385</v>
      </c>
      <c r="AY173" t="s">
        <v>1394</v>
      </c>
      <c r="AZ173" t="s">
        <v>11686</v>
      </c>
    </row>
    <row r="174" spans="1:55" customFormat="1" ht="15" x14ac:dyDescent="0.25">
      <c r="A174" t="s">
        <v>611</v>
      </c>
      <c r="B174" t="s">
        <v>610</v>
      </c>
      <c r="C174" t="s">
        <v>926</v>
      </c>
      <c r="D174" t="s">
        <v>929</v>
      </c>
      <c r="E174" t="s">
        <v>978</v>
      </c>
      <c r="F174" t="s">
        <v>1575</v>
      </c>
      <c r="G174" t="s">
        <v>931</v>
      </c>
      <c r="H174" t="s">
        <v>9790</v>
      </c>
      <c r="I174" t="s">
        <v>1416</v>
      </c>
      <c r="J174" t="s">
        <v>1485</v>
      </c>
      <c r="K174" t="s">
        <v>10638</v>
      </c>
      <c r="L174" t="s">
        <v>1010</v>
      </c>
      <c r="M174" t="s">
        <v>937</v>
      </c>
      <c r="N174" t="s">
        <v>940</v>
      </c>
      <c r="O174" t="s">
        <v>10667</v>
      </c>
      <c r="P174" t="s">
        <v>1126</v>
      </c>
      <c r="Q174" t="s">
        <v>942</v>
      </c>
      <c r="R174" t="s">
        <v>1296</v>
      </c>
      <c r="S174" t="s">
        <v>945</v>
      </c>
      <c r="T174" t="s">
        <v>1748</v>
      </c>
      <c r="U174" t="s">
        <v>1051</v>
      </c>
      <c r="V174" t="s">
        <v>11720</v>
      </c>
      <c r="W174" t="s">
        <v>1057</v>
      </c>
      <c r="X174" t="s">
        <v>955</v>
      </c>
      <c r="Y174" t="s">
        <v>964</v>
      </c>
      <c r="Z174" t="s">
        <v>1777</v>
      </c>
      <c r="AA174" t="s">
        <v>1078</v>
      </c>
      <c r="AB174" t="s">
        <v>1793</v>
      </c>
    </row>
    <row r="175" spans="1:55" customFormat="1" ht="15" x14ac:dyDescent="0.25">
      <c r="A175" t="s">
        <v>613</v>
      </c>
      <c r="B175" t="s">
        <v>612</v>
      </c>
      <c r="C175" t="s">
        <v>972</v>
      </c>
      <c r="D175" t="s">
        <v>973</v>
      </c>
      <c r="E175" t="s">
        <v>974</v>
      </c>
      <c r="F175" t="s">
        <v>975</v>
      </c>
      <c r="G175" t="s">
        <v>976</v>
      </c>
      <c r="H175" t="s">
        <v>997</v>
      </c>
      <c r="I175" t="s">
        <v>1001</v>
      </c>
      <c r="J175" t="s">
        <v>1003</v>
      </c>
      <c r="K175" t="s">
        <v>10638</v>
      </c>
      <c r="L175" t="s">
        <v>1006</v>
      </c>
      <c r="M175" t="s">
        <v>937</v>
      </c>
      <c r="N175" t="s">
        <v>940</v>
      </c>
      <c r="O175" t="s">
        <v>1013</v>
      </c>
      <c r="P175" t="s">
        <v>10681</v>
      </c>
      <c r="Q175" t="s">
        <v>943</v>
      </c>
      <c r="R175" t="s">
        <v>1038</v>
      </c>
      <c r="S175" t="s">
        <v>1144</v>
      </c>
      <c r="T175" t="s">
        <v>1047</v>
      </c>
      <c r="U175" t="s">
        <v>1048</v>
      </c>
      <c r="V175" t="s">
        <v>1049</v>
      </c>
      <c r="W175" t="s">
        <v>953</v>
      </c>
      <c r="X175" t="s">
        <v>1055</v>
      </c>
      <c r="Y175" t="s">
        <v>11720</v>
      </c>
      <c r="Z175" t="s">
        <v>9788</v>
      </c>
      <c r="AA175" t="s">
        <v>1057</v>
      </c>
      <c r="AB175" t="s">
        <v>955</v>
      </c>
      <c r="AC175" t="s">
        <v>1060</v>
      </c>
      <c r="AD175" t="s">
        <v>14374</v>
      </c>
      <c r="AE175" t="s">
        <v>1069</v>
      </c>
      <c r="AF175" t="s">
        <v>1075</v>
      </c>
    </row>
    <row r="176" spans="1:55" customFormat="1" ht="15" x14ac:dyDescent="0.25">
      <c r="A176" t="s">
        <v>615</v>
      </c>
      <c r="B176" t="s">
        <v>614</v>
      </c>
      <c r="C176" t="s">
        <v>972</v>
      </c>
      <c r="D176" t="s">
        <v>929</v>
      </c>
      <c r="E176" t="s">
        <v>978</v>
      </c>
      <c r="F176" t="s">
        <v>9790</v>
      </c>
      <c r="G176" t="s">
        <v>9784</v>
      </c>
      <c r="H176" t="s">
        <v>989</v>
      </c>
      <c r="I176" t="s">
        <v>10638</v>
      </c>
      <c r="J176" t="s">
        <v>1887</v>
      </c>
      <c r="K176" t="s">
        <v>11725</v>
      </c>
      <c r="L176" t="s">
        <v>937</v>
      </c>
      <c r="M176" t="s">
        <v>940</v>
      </c>
      <c r="N176" t="s">
        <v>1013</v>
      </c>
      <c r="O176" t="s">
        <v>1022</v>
      </c>
      <c r="P176" t="s">
        <v>1026</v>
      </c>
      <c r="Q176" t="s">
        <v>1039</v>
      </c>
      <c r="R176" t="s">
        <v>951</v>
      </c>
      <c r="S176" t="s">
        <v>1048</v>
      </c>
      <c r="T176" t="s">
        <v>1049</v>
      </c>
      <c r="U176" t="s">
        <v>1051</v>
      </c>
      <c r="V176" t="s">
        <v>11720</v>
      </c>
      <c r="W176" t="s">
        <v>9788</v>
      </c>
      <c r="X176" t="s">
        <v>955</v>
      </c>
      <c r="Y176" t="s">
        <v>1069</v>
      </c>
      <c r="Z176" t="s">
        <v>1072</v>
      </c>
      <c r="AA176" t="s">
        <v>1075</v>
      </c>
    </row>
    <row r="177" spans="1:64" customFormat="1" ht="15" x14ac:dyDescent="0.25">
      <c r="A177" t="s">
        <v>617</v>
      </c>
      <c r="B177" t="s">
        <v>616</v>
      </c>
      <c r="C177" t="s">
        <v>1016</v>
      </c>
      <c r="D177" t="s">
        <v>926</v>
      </c>
      <c r="E177" t="s">
        <v>929</v>
      </c>
      <c r="F177" t="s">
        <v>1090</v>
      </c>
      <c r="G177" t="s">
        <v>933</v>
      </c>
      <c r="H177" t="s">
        <v>1112</v>
      </c>
      <c r="I177" t="s">
        <v>1116</v>
      </c>
      <c r="J177" t="s">
        <v>1008</v>
      </c>
      <c r="K177" t="s">
        <v>1010</v>
      </c>
      <c r="L177" t="s">
        <v>937</v>
      </c>
      <c r="M177" t="s">
        <v>1119</v>
      </c>
      <c r="N177" t="s">
        <v>938</v>
      </c>
      <c r="O177" t="s">
        <v>940</v>
      </c>
      <c r="P177" t="s">
        <v>1013</v>
      </c>
      <c r="Q177" t="s">
        <v>1025</v>
      </c>
      <c r="R177" t="s">
        <v>943</v>
      </c>
      <c r="S177" t="s">
        <v>1134</v>
      </c>
      <c r="T177" t="s">
        <v>949</v>
      </c>
      <c r="U177" t="s">
        <v>1138</v>
      </c>
      <c r="V177" t="s">
        <v>1139</v>
      </c>
      <c r="W177" t="s">
        <v>1140</v>
      </c>
      <c r="X177" t="s">
        <v>1142</v>
      </c>
      <c r="Y177" t="s">
        <v>1146</v>
      </c>
      <c r="Z177" t="s">
        <v>951</v>
      </c>
      <c r="AA177" t="s">
        <v>953</v>
      </c>
      <c r="AB177" t="s">
        <v>11720</v>
      </c>
      <c r="AC177" t="s">
        <v>9788</v>
      </c>
      <c r="AD177" t="s">
        <v>955</v>
      </c>
      <c r="AE177" t="s">
        <v>1154</v>
      </c>
      <c r="AF177" t="s">
        <v>11663</v>
      </c>
      <c r="AG177" t="s">
        <v>14374</v>
      </c>
      <c r="AH177" t="s">
        <v>1158</v>
      </c>
      <c r="AI177" t="s">
        <v>962</v>
      </c>
      <c r="AJ177" t="s">
        <v>1069</v>
      </c>
      <c r="AK177" t="s">
        <v>1176</v>
      </c>
      <c r="AL177" t="s">
        <v>1181</v>
      </c>
    </row>
    <row r="178" spans="1:64" customFormat="1" ht="15" x14ac:dyDescent="0.25">
      <c r="A178" t="s">
        <v>619</v>
      </c>
      <c r="B178" t="s">
        <v>618</v>
      </c>
      <c r="C178" t="s">
        <v>972</v>
      </c>
      <c r="D178" t="s">
        <v>926</v>
      </c>
      <c r="E178" t="s">
        <v>9784</v>
      </c>
      <c r="F178" t="s">
        <v>997</v>
      </c>
      <c r="G178" t="s">
        <v>935</v>
      </c>
      <c r="H178" t="s">
        <v>1001</v>
      </c>
      <c r="I178" t="s">
        <v>10638</v>
      </c>
      <c r="J178" t="s">
        <v>937</v>
      </c>
      <c r="K178" t="s">
        <v>940</v>
      </c>
      <c r="L178" t="s">
        <v>1013</v>
      </c>
      <c r="M178" t="s">
        <v>1017</v>
      </c>
      <c r="N178" t="s">
        <v>1023</v>
      </c>
      <c r="O178" t="s">
        <v>1026</v>
      </c>
      <c r="P178" t="s">
        <v>1038</v>
      </c>
      <c r="Q178" t="s">
        <v>1039</v>
      </c>
      <c r="R178" t="s">
        <v>1044</v>
      </c>
      <c r="S178" t="s">
        <v>1046</v>
      </c>
      <c r="T178" t="s">
        <v>951</v>
      </c>
      <c r="U178" t="s">
        <v>1048</v>
      </c>
      <c r="V178" t="s">
        <v>1049</v>
      </c>
      <c r="W178" t="s">
        <v>1051</v>
      </c>
      <c r="X178" t="s">
        <v>953</v>
      </c>
      <c r="Y178" t="s">
        <v>11720</v>
      </c>
      <c r="Z178" t="s">
        <v>9788</v>
      </c>
      <c r="AA178" t="s">
        <v>955</v>
      </c>
      <c r="AB178" t="s">
        <v>14374</v>
      </c>
      <c r="AC178" t="s">
        <v>1073</v>
      </c>
    </row>
    <row r="179" spans="1:64" customFormat="1" ht="15" x14ac:dyDescent="0.25">
      <c r="A179" t="s">
        <v>621</v>
      </c>
      <c r="B179" t="s">
        <v>620</v>
      </c>
      <c r="C179" t="s">
        <v>972</v>
      </c>
      <c r="D179" t="s">
        <v>929</v>
      </c>
      <c r="E179" t="s">
        <v>9784</v>
      </c>
      <c r="F179" t="s">
        <v>985</v>
      </c>
      <c r="G179" t="s">
        <v>1001</v>
      </c>
      <c r="H179" t="s">
        <v>10638</v>
      </c>
      <c r="I179" t="s">
        <v>937</v>
      </c>
      <c r="J179" t="s">
        <v>938</v>
      </c>
      <c r="K179" t="s">
        <v>940</v>
      </c>
      <c r="L179" t="s">
        <v>1013</v>
      </c>
      <c r="M179" t="s">
        <v>1017</v>
      </c>
      <c r="N179" t="s">
        <v>1023</v>
      </c>
      <c r="O179" t="s">
        <v>1026</v>
      </c>
      <c r="P179" t="s">
        <v>1039</v>
      </c>
      <c r="Q179" t="s">
        <v>951</v>
      </c>
      <c r="R179" t="s">
        <v>1048</v>
      </c>
      <c r="S179" t="s">
        <v>1049</v>
      </c>
      <c r="T179" t="s">
        <v>1051</v>
      </c>
      <c r="U179" t="s">
        <v>11720</v>
      </c>
      <c r="V179" t="s">
        <v>955</v>
      </c>
      <c r="W179" t="s">
        <v>1072</v>
      </c>
    </row>
    <row r="180" spans="1:64" customFormat="1" ht="15" x14ac:dyDescent="0.25">
      <c r="A180" t="s">
        <v>623</v>
      </c>
      <c r="B180" t="s">
        <v>622</v>
      </c>
      <c r="C180" t="s">
        <v>929</v>
      </c>
      <c r="D180" t="s">
        <v>1099</v>
      </c>
      <c r="E180" t="s">
        <v>933</v>
      </c>
      <c r="F180" t="s">
        <v>935</v>
      </c>
      <c r="G180" t="s">
        <v>1113</v>
      </c>
      <c r="H180" t="s">
        <v>1008</v>
      </c>
      <c r="I180" t="s">
        <v>1010</v>
      </c>
      <c r="J180" t="s">
        <v>938</v>
      </c>
      <c r="K180" t="s">
        <v>1121</v>
      </c>
      <c r="L180" t="s">
        <v>940</v>
      </c>
      <c r="M180" t="s">
        <v>1013</v>
      </c>
      <c r="N180" t="s">
        <v>9787</v>
      </c>
      <c r="O180" t="s">
        <v>951</v>
      </c>
      <c r="P180" t="s">
        <v>1048</v>
      </c>
      <c r="Q180" t="s">
        <v>1051</v>
      </c>
      <c r="R180" t="s">
        <v>1152</v>
      </c>
      <c r="S180" t="s">
        <v>1057</v>
      </c>
      <c r="T180" t="s">
        <v>1080</v>
      </c>
    </row>
    <row r="181" spans="1:64" customFormat="1" ht="15" x14ac:dyDescent="0.25">
      <c r="A181" t="s">
        <v>10559</v>
      </c>
      <c r="B181" t="s">
        <v>10558</v>
      </c>
      <c r="C181" t="s">
        <v>971</v>
      </c>
      <c r="D181" t="s">
        <v>926</v>
      </c>
      <c r="E181" t="s">
        <v>929</v>
      </c>
      <c r="F181" t="s">
        <v>9790</v>
      </c>
      <c r="G181" t="s">
        <v>9784</v>
      </c>
      <c r="H181" t="s">
        <v>989</v>
      </c>
      <c r="I181" t="s">
        <v>991</v>
      </c>
      <c r="J181" t="s">
        <v>992</v>
      </c>
      <c r="K181" t="s">
        <v>996</v>
      </c>
      <c r="L181" t="s">
        <v>997</v>
      </c>
      <c r="M181" t="s">
        <v>935</v>
      </c>
      <c r="N181" t="s">
        <v>1416</v>
      </c>
      <c r="O181" t="s">
        <v>1003</v>
      </c>
      <c r="P181" t="s">
        <v>1004</v>
      </c>
      <c r="Q181" t="s">
        <v>10638</v>
      </c>
      <c r="R181" t="s">
        <v>1005</v>
      </c>
      <c r="S181" t="s">
        <v>1007</v>
      </c>
      <c r="T181" t="s">
        <v>10643</v>
      </c>
      <c r="U181" t="s">
        <v>937</v>
      </c>
      <c r="V181" t="s">
        <v>938</v>
      </c>
      <c r="W181" t="s">
        <v>940</v>
      </c>
      <c r="X181" t="s">
        <v>1012</v>
      </c>
      <c r="Y181" t="s">
        <v>1013</v>
      </c>
      <c r="Z181" t="s">
        <v>1018</v>
      </c>
      <c r="AA181" t="s">
        <v>1126</v>
      </c>
      <c r="AB181" t="s">
        <v>11755</v>
      </c>
      <c r="AC181" t="s">
        <v>1025</v>
      </c>
      <c r="AD181" t="s">
        <v>1026</v>
      </c>
      <c r="AE181" t="s">
        <v>10681</v>
      </c>
      <c r="AF181" t="s">
        <v>1028</v>
      </c>
      <c r="AG181" t="s">
        <v>943</v>
      </c>
      <c r="AH181" t="s">
        <v>1030</v>
      </c>
      <c r="AI181" t="s">
        <v>1035</v>
      </c>
      <c r="AJ181" t="s">
        <v>1038</v>
      </c>
      <c r="AK181" t="s">
        <v>1041</v>
      </c>
      <c r="AL181" t="s">
        <v>9787</v>
      </c>
      <c r="AM181" t="s">
        <v>1043</v>
      </c>
      <c r="AN181" t="s">
        <v>1045</v>
      </c>
      <c r="AO181" t="s">
        <v>1146</v>
      </c>
      <c r="AP181" t="s">
        <v>951</v>
      </c>
      <c r="AQ181" t="s">
        <v>1048</v>
      </c>
      <c r="AR181" t="s">
        <v>1049</v>
      </c>
      <c r="AS181" t="s">
        <v>11720</v>
      </c>
      <c r="AT181" t="s">
        <v>9788</v>
      </c>
      <c r="AU181" t="s">
        <v>955</v>
      </c>
      <c r="AV181" t="s">
        <v>11663</v>
      </c>
      <c r="AW181" t="s">
        <v>14374</v>
      </c>
      <c r="AX181" t="s">
        <v>1062</v>
      </c>
      <c r="AY181" t="s">
        <v>962</v>
      </c>
      <c r="AZ181" t="s">
        <v>1066</v>
      </c>
      <c r="BA181" t="s">
        <v>11667</v>
      </c>
      <c r="BB181" t="s">
        <v>1069</v>
      </c>
      <c r="BC181" t="s">
        <v>1070</v>
      </c>
      <c r="BD181" t="s">
        <v>1071</v>
      </c>
      <c r="BE181" t="s">
        <v>1072</v>
      </c>
      <c r="BF181" t="s">
        <v>1080</v>
      </c>
      <c r="BG181" t="s">
        <v>14377</v>
      </c>
      <c r="BH181" t="s">
        <v>981</v>
      </c>
    </row>
    <row r="182" spans="1:64" customFormat="1" ht="15" x14ac:dyDescent="0.25">
      <c r="A182" t="s">
        <v>625</v>
      </c>
      <c r="B182" t="s">
        <v>624</v>
      </c>
      <c r="C182" t="s">
        <v>10568</v>
      </c>
      <c r="D182" t="s">
        <v>926</v>
      </c>
      <c r="E182" t="s">
        <v>929</v>
      </c>
      <c r="F182" t="s">
        <v>931</v>
      </c>
      <c r="G182" t="s">
        <v>9790</v>
      </c>
      <c r="H182" t="s">
        <v>9835</v>
      </c>
      <c r="I182" t="s">
        <v>9836</v>
      </c>
      <c r="J182" t="s">
        <v>1709</v>
      </c>
      <c r="K182" t="s">
        <v>1710</v>
      </c>
      <c r="L182" t="s">
        <v>1725</v>
      </c>
      <c r="M182" t="s">
        <v>1729</v>
      </c>
      <c r="N182" t="s">
        <v>998</v>
      </c>
      <c r="O182" t="s">
        <v>1416</v>
      </c>
      <c r="P182" t="s">
        <v>10638</v>
      </c>
      <c r="Q182" t="s">
        <v>1008</v>
      </c>
      <c r="R182" t="s">
        <v>937</v>
      </c>
      <c r="S182" t="s">
        <v>1011</v>
      </c>
      <c r="T182" t="s">
        <v>938</v>
      </c>
      <c r="U182" t="s">
        <v>940</v>
      </c>
      <c r="V182" t="s">
        <v>1013</v>
      </c>
      <c r="W182" t="s">
        <v>1740</v>
      </c>
      <c r="X182" t="s">
        <v>942</v>
      </c>
      <c r="Y182" t="s">
        <v>1025</v>
      </c>
      <c r="Z182" t="s">
        <v>10681</v>
      </c>
      <c r="AA182" t="s">
        <v>1745</v>
      </c>
      <c r="AB182" t="s">
        <v>1296</v>
      </c>
      <c r="AC182" t="s">
        <v>945</v>
      </c>
      <c r="AD182" t="s">
        <v>1749</v>
      </c>
      <c r="AE182" t="s">
        <v>1302</v>
      </c>
      <c r="AF182" t="s">
        <v>951</v>
      </c>
      <c r="AG182" t="s">
        <v>1048</v>
      </c>
      <c r="AH182" t="s">
        <v>1758</v>
      </c>
      <c r="AI182" t="s">
        <v>11720</v>
      </c>
      <c r="AJ182" t="s">
        <v>1056</v>
      </c>
      <c r="AK182" t="s">
        <v>955</v>
      </c>
      <c r="AL182" t="s">
        <v>1763</v>
      </c>
      <c r="AM182" t="s">
        <v>960</v>
      </c>
      <c r="AN182" t="s">
        <v>962</v>
      </c>
      <c r="AO182" t="s">
        <v>1066</v>
      </c>
      <c r="AP182" t="s">
        <v>1069</v>
      </c>
      <c r="AQ182" t="s">
        <v>1071</v>
      </c>
      <c r="AR182" t="s">
        <v>1080</v>
      </c>
      <c r="AS182" t="s">
        <v>11715</v>
      </c>
    </row>
    <row r="183" spans="1:64" customFormat="1" ht="15" x14ac:dyDescent="0.25">
      <c r="A183" t="s">
        <v>627</v>
      </c>
      <c r="B183" t="s">
        <v>626</v>
      </c>
      <c r="C183" t="s">
        <v>1016</v>
      </c>
      <c r="D183" t="s">
        <v>929</v>
      </c>
      <c r="E183" t="s">
        <v>978</v>
      </c>
      <c r="F183" t="s">
        <v>1407</v>
      </c>
      <c r="G183" t="s">
        <v>9784</v>
      </c>
      <c r="H183" t="s">
        <v>1412</v>
      </c>
      <c r="I183" t="s">
        <v>991</v>
      </c>
      <c r="J183" t="s">
        <v>1413</v>
      </c>
      <c r="K183" t="s">
        <v>996</v>
      </c>
      <c r="L183" t="s">
        <v>1418</v>
      </c>
      <c r="M183" t="s">
        <v>1008</v>
      </c>
      <c r="N183" t="s">
        <v>1009</v>
      </c>
      <c r="O183" t="s">
        <v>1419</v>
      </c>
      <c r="P183" t="s">
        <v>937</v>
      </c>
      <c r="Q183" t="s">
        <v>938</v>
      </c>
      <c r="R183" t="s">
        <v>940</v>
      </c>
      <c r="S183" t="s">
        <v>1013</v>
      </c>
      <c r="T183" t="s">
        <v>1427</v>
      </c>
      <c r="U183" t="s">
        <v>1025</v>
      </c>
      <c r="V183" t="s">
        <v>943</v>
      </c>
      <c r="W183" t="s">
        <v>1432</v>
      </c>
      <c r="X183" t="s">
        <v>951</v>
      </c>
      <c r="Y183" t="s">
        <v>1048</v>
      </c>
      <c r="Z183" t="s">
        <v>1051</v>
      </c>
      <c r="AA183" t="s">
        <v>1436</v>
      </c>
      <c r="AB183" t="s">
        <v>1437</v>
      </c>
      <c r="AC183" t="s">
        <v>953</v>
      </c>
      <c r="AD183" t="s">
        <v>1440</v>
      </c>
      <c r="AE183" t="s">
        <v>1442</v>
      </c>
      <c r="AF183" t="s">
        <v>1071</v>
      </c>
      <c r="AG183" t="s">
        <v>1072</v>
      </c>
      <c r="AH183" t="s">
        <v>11690</v>
      </c>
      <c r="AI183" t="s">
        <v>1180</v>
      </c>
      <c r="AJ183" t="s">
        <v>1182</v>
      </c>
      <c r="AK183" t="s">
        <v>1447</v>
      </c>
      <c r="AL183" t="s">
        <v>1451</v>
      </c>
    </row>
    <row r="184" spans="1:64" customFormat="1" ht="15" x14ac:dyDescent="0.25">
      <c r="A184" t="s">
        <v>629</v>
      </c>
      <c r="B184" t="s">
        <v>628</v>
      </c>
      <c r="C184" t="s">
        <v>926</v>
      </c>
      <c r="D184" t="s">
        <v>9790</v>
      </c>
      <c r="E184" t="s">
        <v>1715</v>
      </c>
      <c r="F184" t="s">
        <v>1603</v>
      </c>
      <c r="G184" t="s">
        <v>1013</v>
      </c>
      <c r="H184" t="s">
        <v>1126</v>
      </c>
      <c r="I184" t="s">
        <v>10681</v>
      </c>
      <c r="J184" t="s">
        <v>1030</v>
      </c>
      <c r="K184" t="s">
        <v>1041</v>
      </c>
      <c r="L184" t="s">
        <v>9787</v>
      </c>
      <c r="M184" t="s">
        <v>1043</v>
      </c>
      <c r="N184" t="s">
        <v>1048</v>
      </c>
      <c r="O184" t="s">
        <v>1049</v>
      </c>
      <c r="P184" t="s">
        <v>9788</v>
      </c>
      <c r="Q184" t="s">
        <v>11663</v>
      </c>
      <c r="R184" t="s">
        <v>14374</v>
      </c>
      <c r="S184" t="s">
        <v>962</v>
      </c>
      <c r="T184" t="s">
        <v>1076</v>
      </c>
      <c r="U184" t="s">
        <v>1866</v>
      </c>
      <c r="V184" t="s">
        <v>1870</v>
      </c>
    </row>
    <row r="185" spans="1:64" customFormat="1" ht="15" x14ac:dyDescent="0.25">
      <c r="A185" t="s">
        <v>631</v>
      </c>
      <c r="B185" t="s">
        <v>630</v>
      </c>
      <c r="C185" t="s">
        <v>974</v>
      </c>
      <c r="D185" t="s">
        <v>926</v>
      </c>
      <c r="E185" t="s">
        <v>997</v>
      </c>
      <c r="F185" t="s">
        <v>998</v>
      </c>
      <c r="G185" t="s">
        <v>999</v>
      </c>
      <c r="H185" t="s">
        <v>1003</v>
      </c>
      <c r="I185" t="s">
        <v>1004</v>
      </c>
      <c r="J185" t="s">
        <v>10638</v>
      </c>
      <c r="K185" t="s">
        <v>937</v>
      </c>
      <c r="L185" t="s">
        <v>940</v>
      </c>
      <c r="M185" t="s">
        <v>1126</v>
      </c>
      <c r="N185" t="s">
        <v>1026</v>
      </c>
      <c r="O185" t="s">
        <v>10681</v>
      </c>
      <c r="P185" t="s">
        <v>1030</v>
      </c>
      <c r="Q185" t="s">
        <v>1038</v>
      </c>
      <c r="R185" t="s">
        <v>1043</v>
      </c>
      <c r="S185" t="s">
        <v>951</v>
      </c>
      <c r="T185" t="s">
        <v>1048</v>
      </c>
      <c r="U185" t="s">
        <v>1049</v>
      </c>
      <c r="V185" t="s">
        <v>1051</v>
      </c>
      <c r="W185" t="s">
        <v>1057</v>
      </c>
      <c r="X185" t="s">
        <v>955</v>
      </c>
      <c r="Y185" t="s">
        <v>962</v>
      </c>
      <c r="Z185" t="s">
        <v>1068</v>
      </c>
      <c r="AA185" t="s">
        <v>1072</v>
      </c>
      <c r="AB185" t="s">
        <v>1076</v>
      </c>
    </row>
    <row r="186" spans="1:64" customFormat="1" ht="15" x14ac:dyDescent="0.25">
      <c r="A186" t="s">
        <v>14368</v>
      </c>
      <c r="B186" t="s">
        <v>14367</v>
      </c>
      <c r="C186" t="s">
        <v>11723</v>
      </c>
      <c r="D186" t="s">
        <v>971</v>
      </c>
      <c r="E186" t="s">
        <v>929</v>
      </c>
      <c r="F186" t="s">
        <v>9784</v>
      </c>
      <c r="G186" t="s">
        <v>1408</v>
      </c>
      <c r="H186" t="s">
        <v>1411</v>
      </c>
      <c r="I186" t="s">
        <v>1412</v>
      </c>
      <c r="J186" t="s">
        <v>1877</v>
      </c>
      <c r="K186" t="s">
        <v>989</v>
      </c>
      <c r="L186" t="s">
        <v>996</v>
      </c>
      <c r="M186" t="s">
        <v>997</v>
      </c>
      <c r="N186" t="s">
        <v>11660</v>
      </c>
      <c r="O186" t="s">
        <v>1883</v>
      </c>
      <c r="P186" t="s">
        <v>1485</v>
      </c>
      <c r="Q186" t="s">
        <v>10638</v>
      </c>
      <c r="R186" t="s">
        <v>1888</v>
      </c>
      <c r="S186" t="s">
        <v>1889</v>
      </c>
      <c r="T186" t="s">
        <v>1890</v>
      </c>
      <c r="U186" t="s">
        <v>937</v>
      </c>
      <c r="V186" t="s">
        <v>1011</v>
      </c>
      <c r="W186" t="s">
        <v>938</v>
      </c>
      <c r="X186" t="s">
        <v>940</v>
      </c>
      <c r="Y186" t="s">
        <v>1422</v>
      </c>
      <c r="Z186" t="s">
        <v>1013</v>
      </c>
      <c r="AA186" t="s">
        <v>1897</v>
      </c>
      <c r="AB186" t="s">
        <v>9819</v>
      </c>
      <c r="AC186" t="s">
        <v>1898</v>
      </c>
      <c r="AD186" t="s">
        <v>1426</v>
      </c>
      <c r="AE186" t="s">
        <v>1427</v>
      </c>
      <c r="AF186" t="s">
        <v>1901</v>
      </c>
      <c r="AG186" t="s">
        <v>1019</v>
      </c>
      <c r="AH186" t="s">
        <v>1510</v>
      </c>
      <c r="AI186" t="s">
        <v>1903</v>
      </c>
      <c r="AJ186" t="s">
        <v>1031</v>
      </c>
      <c r="AK186" t="s">
        <v>1302</v>
      </c>
      <c r="AL186" t="s">
        <v>1433</v>
      </c>
      <c r="AM186" t="s">
        <v>951</v>
      </c>
      <c r="AN186" t="s">
        <v>1051</v>
      </c>
      <c r="AO186" t="s">
        <v>1436</v>
      </c>
      <c r="AP186" t="s">
        <v>1907</v>
      </c>
      <c r="AQ186" t="s">
        <v>1908</v>
      </c>
      <c r="AR186" t="s">
        <v>9788</v>
      </c>
      <c r="AS186" t="s">
        <v>1057</v>
      </c>
      <c r="AT186" t="s">
        <v>955</v>
      </c>
      <c r="AU186" t="s">
        <v>1060</v>
      </c>
      <c r="AV186" t="s">
        <v>14374</v>
      </c>
      <c r="AW186" t="s">
        <v>9849</v>
      </c>
      <c r="AX186" t="s">
        <v>962</v>
      </c>
      <c r="AY186" t="s">
        <v>11727</v>
      </c>
      <c r="AZ186" t="s">
        <v>1066</v>
      </c>
      <c r="BA186" t="s">
        <v>1912</v>
      </c>
      <c r="BB186" t="s">
        <v>1069</v>
      </c>
      <c r="BC186" t="s">
        <v>1914</v>
      </c>
      <c r="BD186" t="s">
        <v>1915</v>
      </c>
      <c r="BE186" t="s">
        <v>1072</v>
      </c>
      <c r="BF186" t="s">
        <v>1180</v>
      </c>
      <c r="BG186" t="s">
        <v>1075</v>
      </c>
      <c r="BH186" t="s">
        <v>1920</v>
      </c>
      <c r="BI186" t="s">
        <v>1080</v>
      </c>
      <c r="BJ186" t="s">
        <v>1922</v>
      </c>
      <c r="BK186" t="s">
        <v>1563</v>
      </c>
      <c r="BL186" t="s">
        <v>1083</v>
      </c>
    </row>
    <row r="187" spans="1:64" customFormat="1" ht="15" x14ac:dyDescent="0.25">
      <c r="A187" t="s">
        <v>633</v>
      </c>
      <c r="B187" t="s">
        <v>632</v>
      </c>
      <c r="C187" t="s">
        <v>1016</v>
      </c>
      <c r="D187" t="s">
        <v>14391</v>
      </c>
      <c r="E187" t="s">
        <v>926</v>
      </c>
      <c r="F187" t="s">
        <v>929</v>
      </c>
      <c r="G187" t="s">
        <v>978</v>
      </c>
      <c r="H187" t="s">
        <v>9790</v>
      </c>
      <c r="I187" t="s">
        <v>11687</v>
      </c>
      <c r="J187" t="s">
        <v>1407</v>
      </c>
      <c r="K187" t="s">
        <v>9784</v>
      </c>
      <c r="L187" t="s">
        <v>1409</v>
      </c>
      <c r="M187" t="s">
        <v>1412</v>
      </c>
      <c r="N187" t="s">
        <v>996</v>
      </c>
      <c r="O187" t="s">
        <v>10620</v>
      </c>
      <c r="P187" t="s">
        <v>1418</v>
      </c>
      <c r="Q187" t="s">
        <v>10638</v>
      </c>
      <c r="R187" t="s">
        <v>1009</v>
      </c>
      <c r="S187" t="s">
        <v>1419</v>
      </c>
      <c r="T187" t="s">
        <v>937</v>
      </c>
      <c r="U187" t="s">
        <v>1420</v>
      </c>
      <c r="V187" t="s">
        <v>938</v>
      </c>
      <c r="W187" t="s">
        <v>940</v>
      </c>
      <c r="X187" t="s">
        <v>1013</v>
      </c>
      <c r="Y187" t="s">
        <v>1427</v>
      </c>
      <c r="Z187" t="s">
        <v>1302</v>
      </c>
      <c r="AA187" t="s">
        <v>1432</v>
      </c>
      <c r="AB187" t="s">
        <v>951</v>
      </c>
      <c r="AC187" t="s">
        <v>1048</v>
      </c>
      <c r="AD187" t="s">
        <v>1436</v>
      </c>
      <c r="AE187" t="s">
        <v>953</v>
      </c>
      <c r="AF187" t="s">
        <v>11720</v>
      </c>
      <c r="AG187" t="s">
        <v>9788</v>
      </c>
      <c r="AH187" t="s">
        <v>1442</v>
      </c>
      <c r="AI187" t="s">
        <v>1443</v>
      </c>
      <c r="AJ187" t="s">
        <v>1066</v>
      </c>
      <c r="AK187" t="s">
        <v>9816</v>
      </c>
      <c r="AL187" t="s">
        <v>1444</v>
      </c>
      <c r="AM187" t="s">
        <v>1445</v>
      </c>
      <c r="AN187" t="s">
        <v>1072</v>
      </c>
      <c r="AO187" t="s">
        <v>1180</v>
      </c>
      <c r="AP187" t="s">
        <v>1447</v>
      </c>
      <c r="AQ187" t="s">
        <v>1080</v>
      </c>
    </row>
    <row r="188" spans="1:64" customFormat="1" ht="15" x14ac:dyDescent="0.25">
      <c r="A188" t="s">
        <v>635</v>
      </c>
      <c r="B188" t="s">
        <v>634</v>
      </c>
      <c r="C188" t="s">
        <v>929</v>
      </c>
      <c r="D188" t="s">
        <v>1099</v>
      </c>
      <c r="E188" t="s">
        <v>933</v>
      </c>
      <c r="F188" t="s">
        <v>1104</v>
      </c>
      <c r="G188" t="s">
        <v>1106</v>
      </c>
      <c r="H188" t="s">
        <v>996</v>
      </c>
      <c r="I188" t="s">
        <v>1113</v>
      </c>
      <c r="J188" t="s">
        <v>10638</v>
      </c>
      <c r="K188" t="s">
        <v>1117</v>
      </c>
      <c r="L188" t="s">
        <v>1008</v>
      </c>
      <c r="M188" t="s">
        <v>938</v>
      </c>
      <c r="N188" t="s">
        <v>940</v>
      </c>
      <c r="O188" t="s">
        <v>1126</v>
      </c>
      <c r="P188" t="s">
        <v>1025</v>
      </c>
      <c r="Q188" t="s">
        <v>945</v>
      </c>
      <c r="R188" t="s">
        <v>1132</v>
      </c>
      <c r="S188" t="s">
        <v>1133</v>
      </c>
      <c r="T188" t="s">
        <v>1041</v>
      </c>
      <c r="U188" t="s">
        <v>9787</v>
      </c>
      <c r="V188" t="s">
        <v>1141</v>
      </c>
      <c r="W188" t="s">
        <v>951</v>
      </c>
      <c r="X188" t="s">
        <v>1048</v>
      </c>
      <c r="Y188" t="s">
        <v>953</v>
      </c>
      <c r="Z188" t="s">
        <v>14379</v>
      </c>
      <c r="AA188" t="s">
        <v>1152</v>
      </c>
      <c r="AB188" t="s">
        <v>1057</v>
      </c>
      <c r="AC188" t="s">
        <v>11663</v>
      </c>
      <c r="AD188" t="s">
        <v>962</v>
      </c>
      <c r="AE188" t="s">
        <v>1069</v>
      </c>
      <c r="AF188" t="s">
        <v>1179</v>
      </c>
      <c r="AG188" t="s">
        <v>1193</v>
      </c>
      <c r="AH188" t="s">
        <v>981</v>
      </c>
    </row>
    <row r="189" spans="1:64" customFormat="1" ht="15" x14ac:dyDescent="0.25">
      <c r="A189" t="s">
        <v>637</v>
      </c>
      <c r="B189" t="s">
        <v>636</v>
      </c>
      <c r="C189" t="s">
        <v>1016</v>
      </c>
      <c r="D189" t="s">
        <v>971</v>
      </c>
      <c r="E189" t="s">
        <v>926</v>
      </c>
      <c r="F189" t="s">
        <v>929</v>
      </c>
      <c r="G189" t="s">
        <v>9790</v>
      </c>
      <c r="H189" t="s">
        <v>9784</v>
      </c>
      <c r="I189" t="s">
        <v>985</v>
      </c>
      <c r="J189" t="s">
        <v>989</v>
      </c>
      <c r="K189" t="s">
        <v>997</v>
      </c>
      <c r="L189" t="s">
        <v>11660</v>
      </c>
      <c r="M189" t="s">
        <v>1416</v>
      </c>
      <c r="N189" t="s">
        <v>1001</v>
      </c>
      <c r="O189" t="s">
        <v>10638</v>
      </c>
      <c r="P189" t="s">
        <v>1009</v>
      </c>
      <c r="Q189" t="s">
        <v>937</v>
      </c>
      <c r="R189" t="s">
        <v>1011</v>
      </c>
      <c r="S189" t="s">
        <v>940</v>
      </c>
      <c r="T189" t="s">
        <v>1013</v>
      </c>
      <c r="U189" t="s">
        <v>1026</v>
      </c>
      <c r="V189" t="s">
        <v>10681</v>
      </c>
      <c r="W189" t="s">
        <v>1027</v>
      </c>
      <c r="X189" t="s">
        <v>943</v>
      </c>
      <c r="Y189" t="s">
        <v>1030</v>
      </c>
      <c r="Z189" t="s">
        <v>1033</v>
      </c>
      <c r="AA189" t="s">
        <v>1037</v>
      </c>
      <c r="AB189" t="s">
        <v>1038</v>
      </c>
      <c r="AC189" t="s">
        <v>1043</v>
      </c>
      <c r="AD189" t="s">
        <v>1144</v>
      </c>
      <c r="AE189" t="s">
        <v>1046</v>
      </c>
      <c r="AF189" t="s">
        <v>951</v>
      </c>
      <c r="AG189" t="s">
        <v>1048</v>
      </c>
      <c r="AH189" t="s">
        <v>1049</v>
      </c>
      <c r="AI189" t="s">
        <v>1051</v>
      </c>
      <c r="AJ189" t="s">
        <v>11661</v>
      </c>
      <c r="AK189" t="s">
        <v>11720</v>
      </c>
      <c r="AL189" t="s">
        <v>1056</v>
      </c>
      <c r="AM189" t="s">
        <v>960</v>
      </c>
      <c r="AN189" t="s">
        <v>1062</v>
      </c>
      <c r="AO189" t="s">
        <v>962</v>
      </c>
      <c r="AP189" t="s">
        <v>1066</v>
      </c>
      <c r="AQ189" t="s">
        <v>11667</v>
      </c>
      <c r="AR189" t="s">
        <v>1069</v>
      </c>
      <c r="AS189" t="s">
        <v>1072</v>
      </c>
      <c r="AT189" t="s">
        <v>1079</v>
      </c>
      <c r="AU189" t="s">
        <v>1080</v>
      </c>
      <c r="AV189" t="s">
        <v>1081</v>
      </c>
      <c r="AW189" t="s">
        <v>14377</v>
      </c>
      <c r="AX189" t="s">
        <v>10787</v>
      </c>
    </row>
    <row r="190" spans="1:64" customFormat="1" ht="15" x14ac:dyDescent="0.25">
      <c r="A190" t="s">
        <v>639</v>
      </c>
      <c r="B190" t="s">
        <v>638</v>
      </c>
      <c r="C190" t="s">
        <v>926</v>
      </c>
      <c r="D190" t="s">
        <v>929</v>
      </c>
      <c r="E190" t="s">
        <v>9784</v>
      </c>
      <c r="F190" t="s">
        <v>983</v>
      </c>
      <c r="G190" t="s">
        <v>1715</v>
      </c>
      <c r="H190" t="s">
        <v>933</v>
      </c>
      <c r="I190" t="s">
        <v>997</v>
      </c>
      <c r="J190" t="s">
        <v>1603</v>
      </c>
      <c r="K190" t="s">
        <v>1416</v>
      </c>
      <c r="L190" t="s">
        <v>10630</v>
      </c>
      <c r="M190" t="s">
        <v>10638</v>
      </c>
      <c r="N190" t="s">
        <v>10643</v>
      </c>
      <c r="O190" t="s">
        <v>937</v>
      </c>
      <c r="P190" t="s">
        <v>940</v>
      </c>
      <c r="Q190" t="s">
        <v>1423</v>
      </c>
      <c r="R190" t="s">
        <v>1013</v>
      </c>
      <c r="S190" t="s">
        <v>1126</v>
      </c>
      <c r="T190" t="s">
        <v>1026</v>
      </c>
      <c r="U190" t="s">
        <v>10681</v>
      </c>
      <c r="V190" t="s">
        <v>1296</v>
      </c>
      <c r="W190" t="s">
        <v>1030</v>
      </c>
      <c r="X190" t="s">
        <v>11719</v>
      </c>
      <c r="Y190" t="s">
        <v>1041</v>
      </c>
      <c r="Z190" t="s">
        <v>9787</v>
      </c>
      <c r="AA190" t="s">
        <v>1043</v>
      </c>
      <c r="AB190" t="s">
        <v>1048</v>
      </c>
      <c r="AC190" t="s">
        <v>1049</v>
      </c>
      <c r="AD190" t="s">
        <v>953</v>
      </c>
      <c r="AE190" t="s">
        <v>11720</v>
      </c>
      <c r="AF190" t="s">
        <v>9788</v>
      </c>
      <c r="AG190" t="s">
        <v>955</v>
      </c>
      <c r="AH190" t="s">
        <v>14374</v>
      </c>
      <c r="AI190" t="s">
        <v>962</v>
      </c>
      <c r="AJ190" t="s">
        <v>1068</v>
      </c>
      <c r="AK190" t="s">
        <v>1078</v>
      </c>
      <c r="AL190" t="s">
        <v>1865</v>
      </c>
      <c r="AM190" t="s">
        <v>1080</v>
      </c>
    </row>
    <row r="191" spans="1:64" customFormat="1" ht="15" x14ac:dyDescent="0.25">
      <c r="A191" t="s">
        <v>641</v>
      </c>
      <c r="B191" t="s">
        <v>640</v>
      </c>
      <c r="C191" t="s">
        <v>974</v>
      </c>
      <c r="D191" t="s">
        <v>926</v>
      </c>
      <c r="E191" t="s">
        <v>929</v>
      </c>
      <c r="F191" t="s">
        <v>980</v>
      </c>
      <c r="G191" t="s">
        <v>997</v>
      </c>
      <c r="H191" t="s">
        <v>940</v>
      </c>
      <c r="I191" t="s">
        <v>1013</v>
      </c>
      <c r="J191" t="s">
        <v>10667</v>
      </c>
      <c r="K191" t="s">
        <v>1126</v>
      </c>
      <c r="L191" t="s">
        <v>1026</v>
      </c>
      <c r="M191" t="s">
        <v>943</v>
      </c>
      <c r="N191" t="s">
        <v>1030</v>
      </c>
      <c r="O191" t="s">
        <v>1036</v>
      </c>
      <c r="P191" t="s">
        <v>1038</v>
      </c>
      <c r="Q191" t="s">
        <v>1043</v>
      </c>
      <c r="R191" t="s">
        <v>1049</v>
      </c>
      <c r="S191" t="s">
        <v>1051</v>
      </c>
      <c r="T191" t="s">
        <v>11720</v>
      </c>
      <c r="U191" t="s">
        <v>9788</v>
      </c>
      <c r="V191" t="s">
        <v>962</v>
      </c>
      <c r="W191" t="s">
        <v>9789</v>
      </c>
      <c r="X191" t="s">
        <v>1072</v>
      </c>
      <c r="Y191" t="s">
        <v>1078</v>
      </c>
    </row>
    <row r="192" spans="1:64" customFormat="1" ht="15" x14ac:dyDescent="0.25">
      <c r="A192" t="s">
        <v>643</v>
      </c>
      <c r="B192" t="s">
        <v>642</v>
      </c>
      <c r="C192" t="s">
        <v>929</v>
      </c>
      <c r="D192" t="s">
        <v>1461</v>
      </c>
      <c r="E192" t="s">
        <v>1227</v>
      </c>
      <c r="F192" t="s">
        <v>1413</v>
      </c>
      <c r="G192" t="s">
        <v>9804</v>
      </c>
      <c r="H192" t="s">
        <v>11660</v>
      </c>
      <c r="I192" t="s">
        <v>1483</v>
      </c>
      <c r="J192" t="s">
        <v>1484</v>
      </c>
      <c r="K192" t="s">
        <v>10638</v>
      </c>
      <c r="L192" t="s">
        <v>1006</v>
      </c>
      <c r="M192" t="s">
        <v>1009</v>
      </c>
      <c r="N192" t="s">
        <v>1011</v>
      </c>
      <c r="O192" t="s">
        <v>940</v>
      </c>
      <c r="P192" t="s">
        <v>9819</v>
      </c>
      <c r="Q192" t="s">
        <v>1302</v>
      </c>
      <c r="R192" t="s">
        <v>1521</v>
      </c>
      <c r="S192" t="s">
        <v>1046</v>
      </c>
      <c r="T192" t="s">
        <v>951</v>
      </c>
      <c r="U192" t="s">
        <v>1048</v>
      </c>
      <c r="V192" t="s">
        <v>1528</v>
      </c>
      <c r="W192" t="s">
        <v>1529</v>
      </c>
      <c r="X192" t="s">
        <v>11720</v>
      </c>
      <c r="Y192" t="s">
        <v>11698</v>
      </c>
      <c r="Z192" t="s">
        <v>1069</v>
      </c>
      <c r="AA192" t="s">
        <v>1072</v>
      </c>
    </row>
    <row r="193" spans="1:40" customFormat="1" ht="15" x14ac:dyDescent="0.25">
      <c r="A193" t="s">
        <v>645</v>
      </c>
      <c r="B193" t="s">
        <v>644</v>
      </c>
      <c r="C193" t="s">
        <v>1195</v>
      </c>
      <c r="D193" t="s">
        <v>1196</v>
      </c>
      <c r="E193" t="s">
        <v>926</v>
      </c>
      <c r="F193" t="s">
        <v>929</v>
      </c>
      <c r="G193" t="s">
        <v>9790</v>
      </c>
      <c r="H193" t="s">
        <v>983</v>
      </c>
      <c r="I193" t="s">
        <v>1485</v>
      </c>
      <c r="J193" t="s">
        <v>10638</v>
      </c>
      <c r="K193" t="s">
        <v>10643</v>
      </c>
      <c r="L193" t="s">
        <v>1010</v>
      </c>
      <c r="M193" t="s">
        <v>938</v>
      </c>
      <c r="N193" t="s">
        <v>940</v>
      </c>
      <c r="O193" t="s">
        <v>1013</v>
      </c>
      <c r="P193" t="s">
        <v>10667</v>
      </c>
      <c r="Q193" t="s">
        <v>1126</v>
      </c>
      <c r="R193" t="s">
        <v>11755</v>
      </c>
      <c r="S193" t="s">
        <v>943</v>
      </c>
      <c r="T193" t="s">
        <v>1041</v>
      </c>
      <c r="U193" t="s">
        <v>9787</v>
      </c>
      <c r="V193" t="s">
        <v>1146</v>
      </c>
      <c r="W193" t="s">
        <v>9788</v>
      </c>
      <c r="X193" t="s">
        <v>1660</v>
      </c>
      <c r="Y193" t="s">
        <v>960</v>
      </c>
      <c r="Z193" t="s">
        <v>14374</v>
      </c>
      <c r="AA193" t="s">
        <v>1663</v>
      </c>
      <c r="AB193" t="s">
        <v>962</v>
      </c>
      <c r="AC193" t="s">
        <v>9830</v>
      </c>
      <c r="AD193" t="s">
        <v>1072</v>
      </c>
      <c r="AE193" t="s">
        <v>981</v>
      </c>
    </row>
    <row r="194" spans="1:40" customFormat="1" ht="15" x14ac:dyDescent="0.25">
      <c r="A194" t="s">
        <v>647</v>
      </c>
      <c r="B194" t="s">
        <v>646</v>
      </c>
      <c r="C194" t="s">
        <v>971</v>
      </c>
      <c r="D194" t="s">
        <v>929</v>
      </c>
      <c r="E194" t="s">
        <v>978</v>
      </c>
      <c r="F194" t="s">
        <v>1463</v>
      </c>
      <c r="G194" t="s">
        <v>985</v>
      </c>
      <c r="H194" t="s">
        <v>935</v>
      </c>
      <c r="I194" t="s">
        <v>1416</v>
      </c>
      <c r="J194" t="s">
        <v>10638</v>
      </c>
      <c r="K194" t="s">
        <v>1006</v>
      </c>
      <c r="L194" t="s">
        <v>937</v>
      </c>
      <c r="M194" t="s">
        <v>940</v>
      </c>
      <c r="N194" t="s">
        <v>1013</v>
      </c>
      <c r="O194" t="s">
        <v>1897</v>
      </c>
      <c r="P194" t="s">
        <v>1495</v>
      </c>
      <c r="Q194" t="s">
        <v>9819</v>
      </c>
      <c r="R194" t="s">
        <v>1025</v>
      </c>
      <c r="S194" t="s">
        <v>1516</v>
      </c>
      <c r="T194" t="s">
        <v>1031</v>
      </c>
      <c r="U194" t="s">
        <v>1523</v>
      </c>
      <c r="V194" t="s">
        <v>951</v>
      </c>
      <c r="W194" t="s">
        <v>1048</v>
      </c>
      <c r="X194" t="s">
        <v>1051</v>
      </c>
      <c r="Y194" t="s">
        <v>1057</v>
      </c>
      <c r="Z194" t="s">
        <v>1066</v>
      </c>
      <c r="AA194" t="s">
        <v>1075</v>
      </c>
      <c r="AB194" t="s">
        <v>1563</v>
      </c>
      <c r="AC194" t="s">
        <v>1083</v>
      </c>
    </row>
    <row r="195" spans="1:40" customFormat="1" ht="15" x14ac:dyDescent="0.25">
      <c r="A195" t="s">
        <v>649</v>
      </c>
      <c r="B195" t="s">
        <v>648</v>
      </c>
      <c r="C195" t="s">
        <v>971</v>
      </c>
      <c r="D195" t="s">
        <v>929</v>
      </c>
      <c r="E195" t="s">
        <v>9790</v>
      </c>
      <c r="F195" t="s">
        <v>9784</v>
      </c>
      <c r="G195" t="s">
        <v>989</v>
      </c>
      <c r="H195" t="s">
        <v>933</v>
      </c>
      <c r="I195" t="s">
        <v>992</v>
      </c>
      <c r="J195" t="s">
        <v>1416</v>
      </c>
      <c r="K195" t="s">
        <v>1000</v>
      </c>
      <c r="L195" t="s">
        <v>1003</v>
      </c>
      <c r="M195" t="s">
        <v>10638</v>
      </c>
      <c r="N195" t="s">
        <v>1005</v>
      </c>
      <c r="O195" t="s">
        <v>1008</v>
      </c>
      <c r="P195" t="s">
        <v>937</v>
      </c>
      <c r="Q195" t="s">
        <v>938</v>
      </c>
      <c r="R195" t="s">
        <v>940</v>
      </c>
      <c r="S195" t="s">
        <v>1123</v>
      </c>
      <c r="T195" t="s">
        <v>1012</v>
      </c>
      <c r="U195" t="s">
        <v>9793</v>
      </c>
      <c r="V195" t="s">
        <v>1013</v>
      </c>
      <c r="W195" t="s">
        <v>1025</v>
      </c>
      <c r="X195" t="s">
        <v>1026</v>
      </c>
      <c r="Y195" t="s">
        <v>1031</v>
      </c>
      <c r="Z195" t="s">
        <v>951</v>
      </c>
      <c r="AA195" t="s">
        <v>1048</v>
      </c>
      <c r="AB195" t="s">
        <v>1152</v>
      </c>
      <c r="AC195" t="s">
        <v>11720</v>
      </c>
      <c r="AD195" t="s">
        <v>9788</v>
      </c>
      <c r="AE195" t="s">
        <v>14374</v>
      </c>
      <c r="AF195" t="s">
        <v>1352</v>
      </c>
      <c r="AG195" t="s">
        <v>1069</v>
      </c>
      <c r="AH195" t="s">
        <v>1176</v>
      </c>
      <c r="AI195" t="s">
        <v>1080</v>
      </c>
      <c r="AJ195" t="s">
        <v>14377</v>
      </c>
      <c r="AK195" t="s">
        <v>1194</v>
      </c>
      <c r="AL195" t="s">
        <v>981</v>
      </c>
    </row>
    <row r="196" spans="1:40" customFormat="1" ht="15" x14ac:dyDescent="0.25">
      <c r="A196" t="s">
        <v>651</v>
      </c>
      <c r="B196" t="s">
        <v>650</v>
      </c>
      <c r="C196" t="s">
        <v>926</v>
      </c>
      <c r="D196" t="s">
        <v>929</v>
      </c>
      <c r="E196" t="s">
        <v>931</v>
      </c>
      <c r="F196" t="s">
        <v>1581</v>
      </c>
      <c r="G196" t="s">
        <v>933</v>
      </c>
      <c r="H196" t="s">
        <v>11660</v>
      </c>
      <c r="I196" t="s">
        <v>10638</v>
      </c>
      <c r="J196" t="s">
        <v>1010</v>
      </c>
      <c r="K196" t="s">
        <v>937</v>
      </c>
      <c r="L196" t="s">
        <v>940</v>
      </c>
      <c r="M196" t="s">
        <v>1020</v>
      </c>
      <c r="N196" t="s">
        <v>942</v>
      </c>
      <c r="O196" t="s">
        <v>945</v>
      </c>
      <c r="P196" t="s">
        <v>1747</v>
      </c>
      <c r="Q196" t="s">
        <v>951</v>
      </c>
      <c r="R196" t="s">
        <v>1753</v>
      </c>
      <c r="S196" t="s">
        <v>1754</v>
      </c>
      <c r="T196" t="s">
        <v>11720</v>
      </c>
      <c r="U196" t="s">
        <v>1056</v>
      </c>
      <c r="V196" t="s">
        <v>1057</v>
      </c>
      <c r="W196" t="s">
        <v>955</v>
      </c>
      <c r="X196" t="s">
        <v>960</v>
      </c>
      <c r="Y196" t="s">
        <v>964</v>
      </c>
      <c r="Z196" t="s">
        <v>1066</v>
      </c>
      <c r="AA196" t="s">
        <v>1069</v>
      </c>
      <c r="AB196" t="s">
        <v>1684</v>
      </c>
      <c r="AC196" t="s">
        <v>1793</v>
      </c>
      <c r="AD196" t="s">
        <v>11715</v>
      </c>
    </row>
    <row r="197" spans="1:40" customFormat="1" ht="15" x14ac:dyDescent="0.25">
      <c r="A197" t="s">
        <v>653</v>
      </c>
      <c r="B197" t="s">
        <v>652</v>
      </c>
      <c r="C197" t="s">
        <v>10568</v>
      </c>
      <c r="D197" t="s">
        <v>926</v>
      </c>
      <c r="E197" t="s">
        <v>1568</v>
      </c>
      <c r="F197" t="s">
        <v>929</v>
      </c>
      <c r="G197" t="s">
        <v>9784</v>
      </c>
      <c r="H197" t="s">
        <v>1094</v>
      </c>
      <c r="I197" t="s">
        <v>1581</v>
      </c>
      <c r="J197" t="s">
        <v>11701</v>
      </c>
      <c r="K197" t="s">
        <v>933</v>
      </c>
      <c r="L197" t="s">
        <v>1600</v>
      </c>
      <c r="M197" t="s">
        <v>10638</v>
      </c>
      <c r="N197" t="s">
        <v>1008</v>
      </c>
      <c r="O197" t="s">
        <v>1615</v>
      </c>
      <c r="P197" t="s">
        <v>937</v>
      </c>
      <c r="Q197" t="s">
        <v>938</v>
      </c>
      <c r="R197" t="s">
        <v>940</v>
      </c>
      <c r="S197" t="s">
        <v>1012</v>
      </c>
      <c r="T197" t="s">
        <v>1628</v>
      </c>
      <c r="U197" t="s">
        <v>945</v>
      </c>
      <c r="V197" t="s">
        <v>951</v>
      </c>
      <c r="W197" t="s">
        <v>1643</v>
      </c>
      <c r="X197" t="s">
        <v>1644</v>
      </c>
      <c r="Y197" t="s">
        <v>1056</v>
      </c>
      <c r="Z197" t="s">
        <v>955</v>
      </c>
      <c r="AA197" t="s">
        <v>11663</v>
      </c>
      <c r="AB197" t="s">
        <v>1662</v>
      </c>
      <c r="AC197" t="s">
        <v>960</v>
      </c>
      <c r="AD197" t="s">
        <v>962</v>
      </c>
      <c r="AE197" t="s">
        <v>1069</v>
      </c>
      <c r="AF197" t="s">
        <v>9832</v>
      </c>
      <c r="AG197" t="s">
        <v>1681</v>
      </c>
      <c r="AH197" t="s">
        <v>966</v>
      </c>
      <c r="AI197" t="s">
        <v>1686</v>
      </c>
      <c r="AJ197" t="s">
        <v>968</v>
      </c>
      <c r="AK197" t="s">
        <v>1080</v>
      </c>
    </row>
    <row r="198" spans="1:40" customFormat="1" ht="15" x14ac:dyDescent="0.25">
      <c r="A198" t="s">
        <v>655</v>
      </c>
      <c r="B198" t="s">
        <v>654</v>
      </c>
      <c r="C198" t="s">
        <v>971</v>
      </c>
      <c r="D198" t="s">
        <v>929</v>
      </c>
      <c r="E198" t="s">
        <v>978</v>
      </c>
      <c r="F198" t="s">
        <v>1457</v>
      </c>
      <c r="G198" t="s">
        <v>1458</v>
      </c>
      <c r="H198" t="s">
        <v>9784</v>
      </c>
      <c r="I198" t="s">
        <v>1461</v>
      </c>
      <c r="J198" t="s">
        <v>1463</v>
      </c>
      <c r="K198" t="s">
        <v>985</v>
      </c>
      <c r="L198" t="s">
        <v>1473</v>
      </c>
      <c r="M198" t="s">
        <v>991</v>
      </c>
      <c r="N198" t="s">
        <v>935</v>
      </c>
      <c r="O198" t="s">
        <v>11660</v>
      </c>
      <c r="P198" t="s">
        <v>10638</v>
      </c>
      <c r="Q198" t="s">
        <v>1006</v>
      </c>
      <c r="R198" t="s">
        <v>1009</v>
      </c>
      <c r="S198" t="s">
        <v>937</v>
      </c>
      <c r="T198" t="s">
        <v>1011</v>
      </c>
      <c r="U198" t="s">
        <v>940</v>
      </c>
      <c r="V198" t="s">
        <v>1013</v>
      </c>
      <c r="W198" t="s">
        <v>9819</v>
      </c>
      <c r="X198" t="s">
        <v>1126</v>
      </c>
      <c r="Y198" t="s">
        <v>1025</v>
      </c>
      <c r="Z198" t="s">
        <v>1302</v>
      </c>
      <c r="AA198" t="s">
        <v>1520</v>
      </c>
      <c r="AB198" t="s">
        <v>1521</v>
      </c>
      <c r="AC198" t="s">
        <v>1323</v>
      </c>
      <c r="AD198" t="s">
        <v>951</v>
      </c>
      <c r="AE198" t="s">
        <v>1048</v>
      </c>
      <c r="AF198" t="s">
        <v>1051</v>
      </c>
      <c r="AG198" t="s">
        <v>1529</v>
      </c>
      <c r="AH198" t="s">
        <v>11720</v>
      </c>
      <c r="AI198" t="s">
        <v>9788</v>
      </c>
      <c r="AJ198" t="s">
        <v>1056</v>
      </c>
      <c r="AK198" t="s">
        <v>14374</v>
      </c>
      <c r="AL198" t="s">
        <v>1075</v>
      </c>
      <c r="AM198" t="s">
        <v>1083</v>
      </c>
    </row>
    <row r="199" spans="1:40" customFormat="1" ht="15" x14ac:dyDescent="0.25">
      <c r="A199" t="s">
        <v>657</v>
      </c>
      <c r="B199" t="s">
        <v>656</v>
      </c>
      <c r="C199" t="s">
        <v>1195</v>
      </c>
      <c r="D199" t="s">
        <v>1564</v>
      </c>
      <c r="E199" t="s">
        <v>1196</v>
      </c>
      <c r="F199" t="s">
        <v>924</v>
      </c>
      <c r="G199" t="s">
        <v>10568</v>
      </c>
      <c r="H199" t="s">
        <v>926</v>
      </c>
      <c r="I199" t="s">
        <v>929</v>
      </c>
      <c r="J199" t="s">
        <v>9784</v>
      </c>
      <c r="K199" t="s">
        <v>933</v>
      </c>
      <c r="L199" t="s">
        <v>1104</v>
      </c>
      <c r="M199" t="s">
        <v>991</v>
      </c>
      <c r="N199" t="s">
        <v>996</v>
      </c>
      <c r="O199" t="s">
        <v>937</v>
      </c>
      <c r="P199" t="s">
        <v>938</v>
      </c>
      <c r="Q199" t="s">
        <v>1122</v>
      </c>
      <c r="R199" t="s">
        <v>1025</v>
      </c>
      <c r="S199" t="s">
        <v>1627</v>
      </c>
      <c r="T199" t="s">
        <v>943</v>
      </c>
      <c r="U199" t="s">
        <v>1031</v>
      </c>
      <c r="V199" t="s">
        <v>1638</v>
      </c>
      <c r="W199" t="s">
        <v>1043</v>
      </c>
      <c r="X199" t="s">
        <v>1146</v>
      </c>
      <c r="Y199" t="s">
        <v>951</v>
      </c>
      <c r="Z199" t="s">
        <v>1645</v>
      </c>
      <c r="AA199" t="s">
        <v>9788</v>
      </c>
      <c r="AB199" t="s">
        <v>1056</v>
      </c>
      <c r="AC199" t="s">
        <v>955</v>
      </c>
      <c r="AD199" t="s">
        <v>1660</v>
      </c>
      <c r="AE199" t="s">
        <v>11663</v>
      </c>
      <c r="AF199" t="s">
        <v>960</v>
      </c>
      <c r="AG199" t="s">
        <v>14380</v>
      </c>
      <c r="AH199" t="s">
        <v>14374</v>
      </c>
      <c r="AI199" t="s">
        <v>1158</v>
      </c>
      <c r="AJ199" t="s">
        <v>962</v>
      </c>
      <c r="AK199" t="s">
        <v>966</v>
      </c>
      <c r="AL199" t="s">
        <v>1078</v>
      </c>
    </row>
    <row r="200" spans="1:40" customFormat="1" ht="15" x14ac:dyDescent="0.25">
      <c r="A200" t="s">
        <v>659</v>
      </c>
      <c r="B200" t="s">
        <v>658</v>
      </c>
      <c r="C200" t="s">
        <v>926</v>
      </c>
      <c r="D200" t="s">
        <v>929</v>
      </c>
      <c r="E200" t="s">
        <v>1219</v>
      </c>
      <c r="F200" t="s">
        <v>933</v>
      </c>
      <c r="G200" t="s">
        <v>1227</v>
      </c>
      <c r="H200" t="s">
        <v>1111</v>
      </c>
      <c r="I200" t="s">
        <v>1246</v>
      </c>
      <c r="J200" t="s">
        <v>10638</v>
      </c>
      <c r="K200" t="s">
        <v>1008</v>
      </c>
      <c r="L200" t="s">
        <v>937</v>
      </c>
      <c r="M200" t="s">
        <v>938</v>
      </c>
      <c r="N200" t="s">
        <v>1270</v>
      </c>
      <c r="O200" t="s">
        <v>940</v>
      </c>
      <c r="P200" t="s">
        <v>1127</v>
      </c>
      <c r="Q200" t="s">
        <v>1025</v>
      </c>
      <c r="R200" t="s">
        <v>1293</v>
      </c>
      <c r="S200" t="s">
        <v>1294</v>
      </c>
      <c r="T200" t="s">
        <v>943</v>
      </c>
      <c r="U200" t="s">
        <v>1131</v>
      </c>
      <c r="V200" t="s">
        <v>1134</v>
      </c>
      <c r="W200" t="s">
        <v>949</v>
      </c>
      <c r="X200" t="s">
        <v>1041</v>
      </c>
      <c r="Y200" t="s">
        <v>1140</v>
      </c>
      <c r="Z200" t="s">
        <v>1043</v>
      </c>
      <c r="AA200" t="s">
        <v>1146</v>
      </c>
      <c r="AB200" t="s">
        <v>951</v>
      </c>
      <c r="AC200" t="s">
        <v>1048</v>
      </c>
      <c r="AD200" t="s">
        <v>955</v>
      </c>
      <c r="AE200" t="s">
        <v>1155</v>
      </c>
      <c r="AF200" t="s">
        <v>11663</v>
      </c>
      <c r="AG200" t="s">
        <v>14380</v>
      </c>
      <c r="AH200" t="s">
        <v>1159</v>
      </c>
      <c r="AI200" t="s">
        <v>1066</v>
      </c>
      <c r="AJ200" t="s">
        <v>1174</v>
      </c>
      <c r="AK200" t="s">
        <v>1072</v>
      </c>
      <c r="AL200" t="s">
        <v>1383</v>
      </c>
    </row>
    <row r="201" spans="1:40" customFormat="1" ht="15" x14ac:dyDescent="0.25">
      <c r="A201" t="s">
        <v>661</v>
      </c>
      <c r="B201" t="s">
        <v>660</v>
      </c>
      <c r="C201" t="s">
        <v>971</v>
      </c>
      <c r="D201" t="s">
        <v>929</v>
      </c>
      <c r="E201" t="s">
        <v>1407</v>
      </c>
      <c r="F201" t="s">
        <v>9784</v>
      </c>
      <c r="G201" t="s">
        <v>1408</v>
      </c>
      <c r="H201" t="s">
        <v>1411</v>
      </c>
      <c r="I201" t="s">
        <v>991</v>
      </c>
      <c r="J201" t="s">
        <v>996</v>
      </c>
      <c r="K201" t="s">
        <v>11660</v>
      </c>
      <c r="L201" t="s">
        <v>1418</v>
      </c>
      <c r="M201" t="s">
        <v>10638</v>
      </c>
      <c r="N201" t="s">
        <v>937</v>
      </c>
      <c r="O201" t="s">
        <v>1011</v>
      </c>
      <c r="P201" t="s">
        <v>938</v>
      </c>
      <c r="Q201" t="s">
        <v>1013</v>
      </c>
      <c r="R201" t="s">
        <v>1427</v>
      </c>
      <c r="S201" t="s">
        <v>1025</v>
      </c>
      <c r="T201" t="s">
        <v>1433</v>
      </c>
      <c r="U201" t="s">
        <v>1046</v>
      </c>
      <c r="V201" t="s">
        <v>951</v>
      </c>
      <c r="W201" t="s">
        <v>1051</v>
      </c>
      <c r="X201" t="s">
        <v>1436</v>
      </c>
      <c r="Y201" t="s">
        <v>953</v>
      </c>
      <c r="Z201" t="s">
        <v>11720</v>
      </c>
      <c r="AA201" t="s">
        <v>1439</v>
      </c>
      <c r="AB201" t="s">
        <v>1071</v>
      </c>
      <c r="AC201" t="s">
        <v>1072</v>
      </c>
      <c r="AD201" t="s">
        <v>1180</v>
      </c>
    </row>
    <row r="202" spans="1:40" customFormat="1" ht="15" x14ac:dyDescent="0.25">
      <c r="A202" t="s">
        <v>663</v>
      </c>
      <c r="B202" t="s">
        <v>662</v>
      </c>
      <c r="C202" t="s">
        <v>926</v>
      </c>
      <c r="D202" t="s">
        <v>929</v>
      </c>
      <c r="E202" t="s">
        <v>983</v>
      </c>
      <c r="F202" t="s">
        <v>1808</v>
      </c>
      <c r="G202" t="s">
        <v>1715</v>
      </c>
      <c r="H202" t="s">
        <v>996</v>
      </c>
      <c r="I202" t="s">
        <v>11660</v>
      </c>
      <c r="J202" t="s">
        <v>10643</v>
      </c>
      <c r="K202" t="s">
        <v>1009</v>
      </c>
      <c r="L202" t="s">
        <v>937</v>
      </c>
      <c r="M202" t="s">
        <v>940</v>
      </c>
      <c r="N202" t="s">
        <v>1013</v>
      </c>
      <c r="O202" t="s">
        <v>1030</v>
      </c>
      <c r="P202" t="s">
        <v>1830</v>
      </c>
      <c r="Q202" t="s">
        <v>9787</v>
      </c>
      <c r="R202" t="s">
        <v>1049</v>
      </c>
      <c r="S202" t="s">
        <v>1758</v>
      </c>
      <c r="T202" t="s">
        <v>1057</v>
      </c>
      <c r="U202" t="s">
        <v>955</v>
      </c>
      <c r="V202" t="s">
        <v>962</v>
      </c>
      <c r="W202" t="s">
        <v>1077</v>
      </c>
      <c r="X202" t="s">
        <v>1865</v>
      </c>
      <c r="Y202" t="s">
        <v>1869</v>
      </c>
    </row>
    <row r="203" spans="1:40" customFormat="1" ht="15" x14ac:dyDescent="0.25">
      <c r="A203" t="s">
        <v>665</v>
      </c>
      <c r="B203" t="s">
        <v>664</v>
      </c>
      <c r="C203" t="s">
        <v>1564</v>
      </c>
      <c r="D203" t="s">
        <v>1196</v>
      </c>
      <c r="E203" t="s">
        <v>971</v>
      </c>
      <c r="F203" t="s">
        <v>926</v>
      </c>
      <c r="G203" t="s">
        <v>929</v>
      </c>
      <c r="H203" t="s">
        <v>9790</v>
      </c>
      <c r="I203" t="s">
        <v>9784</v>
      </c>
      <c r="J203" t="s">
        <v>10638</v>
      </c>
      <c r="K203" t="s">
        <v>937</v>
      </c>
      <c r="L203" t="s">
        <v>1011</v>
      </c>
      <c r="M203" t="s">
        <v>938</v>
      </c>
      <c r="N203" t="s">
        <v>940</v>
      </c>
      <c r="O203" t="s">
        <v>1012</v>
      </c>
      <c r="P203" t="s">
        <v>1013</v>
      </c>
      <c r="Q203" t="s">
        <v>1126</v>
      </c>
      <c r="R203" t="s">
        <v>1025</v>
      </c>
      <c r="S203" t="s">
        <v>10681</v>
      </c>
      <c r="T203" t="s">
        <v>943</v>
      </c>
      <c r="U203" t="s">
        <v>945</v>
      </c>
      <c r="V203" t="s">
        <v>1300</v>
      </c>
      <c r="W203" t="s">
        <v>949</v>
      </c>
      <c r="X203" t="s">
        <v>1041</v>
      </c>
      <c r="Y203" t="s">
        <v>9787</v>
      </c>
      <c r="Z203" t="s">
        <v>1331</v>
      </c>
      <c r="AA203" t="s">
        <v>953</v>
      </c>
      <c r="AB203" t="s">
        <v>11720</v>
      </c>
      <c r="AC203" t="s">
        <v>9788</v>
      </c>
      <c r="AD203" t="s">
        <v>1057</v>
      </c>
      <c r="AE203" t="s">
        <v>11663</v>
      </c>
      <c r="AF203" t="s">
        <v>14374</v>
      </c>
      <c r="AG203" t="s">
        <v>962</v>
      </c>
      <c r="AH203" t="s">
        <v>964</v>
      </c>
      <c r="AI203" t="s">
        <v>1170</v>
      </c>
      <c r="AJ203" t="s">
        <v>1069</v>
      </c>
      <c r="AK203" t="s">
        <v>1684</v>
      </c>
      <c r="AL203" t="s">
        <v>1374</v>
      </c>
      <c r="AM203" t="s">
        <v>1080</v>
      </c>
      <c r="AN203" t="s">
        <v>1700</v>
      </c>
    </row>
    <row r="204" spans="1:40" customFormat="1" ht="15" x14ac:dyDescent="0.25">
      <c r="A204" t="s">
        <v>667</v>
      </c>
      <c r="B204" t="s">
        <v>666</v>
      </c>
      <c r="C204" t="s">
        <v>971</v>
      </c>
      <c r="D204" t="s">
        <v>1463</v>
      </c>
      <c r="E204" t="s">
        <v>985</v>
      </c>
      <c r="F204" t="s">
        <v>10638</v>
      </c>
      <c r="G204" t="s">
        <v>1006</v>
      </c>
      <c r="H204" t="s">
        <v>937</v>
      </c>
      <c r="I204" t="s">
        <v>940</v>
      </c>
      <c r="J204" t="s">
        <v>9819</v>
      </c>
      <c r="K204" t="s">
        <v>1025</v>
      </c>
      <c r="L204" t="s">
        <v>1516</v>
      </c>
      <c r="M204" t="s">
        <v>1302</v>
      </c>
      <c r="N204" t="s">
        <v>1521</v>
      </c>
      <c r="O204" t="s">
        <v>951</v>
      </c>
      <c r="P204" t="s">
        <v>1048</v>
      </c>
      <c r="Q204" t="s">
        <v>1051</v>
      </c>
      <c r="R204" t="s">
        <v>1529</v>
      </c>
      <c r="S204" t="s">
        <v>9788</v>
      </c>
      <c r="T204" t="s">
        <v>955</v>
      </c>
      <c r="U204" t="s">
        <v>14374</v>
      </c>
      <c r="V204" t="s">
        <v>10747</v>
      </c>
      <c r="W204" t="s">
        <v>1075</v>
      </c>
      <c r="X204" t="s">
        <v>1555</v>
      </c>
      <c r="Y204" t="s">
        <v>1083</v>
      </c>
    </row>
    <row r="205" spans="1:40" customFormat="1" ht="15" x14ac:dyDescent="0.25">
      <c r="A205" t="s">
        <v>669</v>
      </c>
      <c r="B205" t="s">
        <v>668</v>
      </c>
      <c r="C205" t="s">
        <v>1195</v>
      </c>
      <c r="D205" t="s">
        <v>1196</v>
      </c>
      <c r="E205" t="s">
        <v>929</v>
      </c>
      <c r="F205" t="s">
        <v>1218</v>
      </c>
      <c r="G205" t="s">
        <v>1227</v>
      </c>
      <c r="H205" t="s">
        <v>10638</v>
      </c>
      <c r="I205" t="s">
        <v>1010</v>
      </c>
      <c r="J205" t="s">
        <v>938</v>
      </c>
      <c r="K205" t="s">
        <v>940</v>
      </c>
      <c r="L205" t="s">
        <v>14385</v>
      </c>
      <c r="M205" t="s">
        <v>14386</v>
      </c>
      <c r="N205" t="s">
        <v>1025</v>
      </c>
      <c r="O205" t="s">
        <v>1293</v>
      </c>
      <c r="P205" t="s">
        <v>943</v>
      </c>
      <c r="Q205" t="s">
        <v>1300</v>
      </c>
      <c r="R205" t="s">
        <v>1134</v>
      </c>
      <c r="S205" t="s">
        <v>949</v>
      </c>
      <c r="T205" t="s">
        <v>1043</v>
      </c>
      <c r="U205" t="s">
        <v>1146</v>
      </c>
      <c r="V205" t="s">
        <v>951</v>
      </c>
      <c r="W205" t="s">
        <v>953</v>
      </c>
      <c r="X205" t="s">
        <v>9810</v>
      </c>
      <c r="Y205" t="s">
        <v>1334</v>
      </c>
      <c r="Z205" t="s">
        <v>1155</v>
      </c>
      <c r="AA205" t="s">
        <v>11663</v>
      </c>
      <c r="AB205" t="s">
        <v>14380</v>
      </c>
      <c r="AC205" t="s">
        <v>1066</v>
      </c>
      <c r="AD205" t="s">
        <v>1360</v>
      </c>
      <c r="AE205" t="s">
        <v>1069</v>
      </c>
      <c r="AF205" t="s">
        <v>1364</v>
      </c>
      <c r="AG205" t="s">
        <v>1368</v>
      </c>
    </row>
    <row r="206" spans="1:40" customFormat="1" ht="15" x14ac:dyDescent="0.25">
      <c r="A206" t="s">
        <v>671</v>
      </c>
      <c r="B206" t="s">
        <v>670</v>
      </c>
      <c r="C206" t="s">
        <v>1016</v>
      </c>
      <c r="D206" t="s">
        <v>971</v>
      </c>
      <c r="E206" t="s">
        <v>929</v>
      </c>
      <c r="F206" t="s">
        <v>1460</v>
      </c>
      <c r="G206" t="s">
        <v>1461</v>
      </c>
      <c r="H206" t="s">
        <v>9804</v>
      </c>
      <c r="I206" t="s">
        <v>1416</v>
      </c>
      <c r="J206" t="s">
        <v>1483</v>
      </c>
      <c r="K206" t="s">
        <v>10638</v>
      </c>
      <c r="L206" t="s">
        <v>1006</v>
      </c>
      <c r="M206" t="s">
        <v>1009</v>
      </c>
      <c r="N206" t="s">
        <v>937</v>
      </c>
      <c r="O206" t="s">
        <v>940</v>
      </c>
      <c r="P206" t="s">
        <v>1013</v>
      </c>
      <c r="Q206" t="s">
        <v>1496</v>
      </c>
      <c r="R206" t="s">
        <v>9819</v>
      </c>
      <c r="S206" t="s">
        <v>1018</v>
      </c>
      <c r="T206" t="s">
        <v>1516</v>
      </c>
      <c r="U206" t="s">
        <v>1521</v>
      </c>
      <c r="V206" t="s">
        <v>1046</v>
      </c>
      <c r="W206" t="s">
        <v>951</v>
      </c>
      <c r="X206" t="s">
        <v>1051</v>
      </c>
      <c r="Y206" t="s">
        <v>1528</v>
      </c>
      <c r="Z206" t="s">
        <v>1529</v>
      </c>
      <c r="AA206" t="s">
        <v>953</v>
      </c>
      <c r="AB206" t="s">
        <v>1530</v>
      </c>
      <c r="AC206" t="s">
        <v>11698</v>
      </c>
      <c r="AD206" t="s">
        <v>1542</v>
      </c>
      <c r="AE206" t="s">
        <v>1069</v>
      </c>
      <c r="AF206" t="s">
        <v>1072</v>
      </c>
      <c r="AG206" t="s">
        <v>1078</v>
      </c>
      <c r="AH206" t="s">
        <v>1083</v>
      </c>
    </row>
    <row r="207" spans="1:40" customFormat="1" ht="15" x14ac:dyDescent="0.25">
      <c r="A207" t="s">
        <v>673</v>
      </c>
      <c r="B207" t="s">
        <v>672</v>
      </c>
      <c r="C207" t="s">
        <v>926</v>
      </c>
      <c r="D207" t="s">
        <v>929</v>
      </c>
      <c r="E207" t="s">
        <v>1100</v>
      </c>
      <c r="F207" t="s">
        <v>933</v>
      </c>
      <c r="G207" t="s">
        <v>1110</v>
      </c>
      <c r="H207" t="s">
        <v>935</v>
      </c>
      <c r="I207" t="s">
        <v>1111</v>
      </c>
      <c r="J207" t="s">
        <v>1008</v>
      </c>
      <c r="K207" t="s">
        <v>940</v>
      </c>
      <c r="L207" t="s">
        <v>1126</v>
      </c>
      <c r="M207" t="s">
        <v>1025</v>
      </c>
      <c r="N207" t="s">
        <v>10681</v>
      </c>
      <c r="O207" t="s">
        <v>945</v>
      </c>
      <c r="P207" t="s">
        <v>1134</v>
      </c>
      <c r="Q207" t="s">
        <v>951</v>
      </c>
      <c r="R207" t="s">
        <v>1530</v>
      </c>
      <c r="S207" t="s">
        <v>11720</v>
      </c>
      <c r="T207" t="s">
        <v>1057</v>
      </c>
      <c r="U207" t="s">
        <v>955</v>
      </c>
      <c r="V207" t="s">
        <v>11663</v>
      </c>
      <c r="W207" t="s">
        <v>1159</v>
      </c>
    </row>
    <row r="208" spans="1:40" customFormat="1" ht="15" x14ac:dyDescent="0.25">
      <c r="A208" t="s">
        <v>675</v>
      </c>
      <c r="B208" t="s">
        <v>674</v>
      </c>
      <c r="C208" t="s">
        <v>929</v>
      </c>
      <c r="D208" t="s">
        <v>1463</v>
      </c>
      <c r="E208" t="s">
        <v>985</v>
      </c>
      <c r="F208" t="s">
        <v>1474</v>
      </c>
      <c r="G208" t="s">
        <v>935</v>
      </c>
      <c r="H208" t="s">
        <v>1006</v>
      </c>
      <c r="I208" t="s">
        <v>1009</v>
      </c>
      <c r="J208" t="s">
        <v>937</v>
      </c>
      <c r="K208" t="s">
        <v>940</v>
      </c>
      <c r="L208" t="s">
        <v>1495</v>
      </c>
      <c r="M208" t="s">
        <v>9819</v>
      </c>
      <c r="N208" t="s">
        <v>1018</v>
      </c>
      <c r="O208" t="s">
        <v>1516</v>
      </c>
      <c r="P208" t="s">
        <v>1302</v>
      </c>
      <c r="Q208" t="s">
        <v>1521</v>
      </c>
      <c r="R208" t="s">
        <v>1046</v>
      </c>
      <c r="S208" t="s">
        <v>951</v>
      </c>
      <c r="T208" t="s">
        <v>1048</v>
      </c>
      <c r="U208" t="s">
        <v>1051</v>
      </c>
      <c r="V208" t="s">
        <v>1529</v>
      </c>
      <c r="W208" t="s">
        <v>1069</v>
      </c>
      <c r="X208" t="s">
        <v>1075</v>
      </c>
      <c r="Y208" t="s">
        <v>1083</v>
      </c>
    </row>
    <row r="209" spans="1:73" customFormat="1" ht="15" x14ac:dyDescent="0.25">
      <c r="A209" t="s">
        <v>677</v>
      </c>
      <c r="B209" t="s">
        <v>676</v>
      </c>
      <c r="C209" t="s">
        <v>924</v>
      </c>
      <c r="D209" t="s">
        <v>9784</v>
      </c>
      <c r="E209" t="s">
        <v>998</v>
      </c>
      <c r="F209" t="s">
        <v>1416</v>
      </c>
      <c r="G209" t="s">
        <v>1605</v>
      </c>
      <c r="H209" t="s">
        <v>1010</v>
      </c>
      <c r="I209" t="s">
        <v>937</v>
      </c>
      <c r="J209" t="s">
        <v>938</v>
      </c>
      <c r="K209" t="s">
        <v>940</v>
      </c>
      <c r="L209" t="s">
        <v>1126</v>
      </c>
      <c r="M209" t="s">
        <v>1025</v>
      </c>
      <c r="N209" t="s">
        <v>1041</v>
      </c>
      <c r="O209" t="s">
        <v>9787</v>
      </c>
      <c r="P209" t="s">
        <v>1146</v>
      </c>
      <c r="Q209" t="s">
        <v>951</v>
      </c>
      <c r="R209" t="s">
        <v>11720</v>
      </c>
      <c r="S209" t="s">
        <v>9788</v>
      </c>
      <c r="T209" t="s">
        <v>955</v>
      </c>
      <c r="U209" t="s">
        <v>11663</v>
      </c>
      <c r="V209" t="s">
        <v>14374</v>
      </c>
      <c r="W209" t="s">
        <v>962</v>
      </c>
      <c r="X209" t="s">
        <v>11709</v>
      </c>
    </row>
    <row r="210" spans="1:73" customFormat="1" ht="15" x14ac:dyDescent="0.25">
      <c r="A210" t="s">
        <v>679</v>
      </c>
      <c r="B210" t="s">
        <v>678</v>
      </c>
      <c r="C210" t="s">
        <v>1016</v>
      </c>
      <c r="D210" t="s">
        <v>972</v>
      </c>
      <c r="E210" t="s">
        <v>973</v>
      </c>
      <c r="F210" t="s">
        <v>975</v>
      </c>
      <c r="G210" t="s">
        <v>929</v>
      </c>
      <c r="H210" t="s">
        <v>976</v>
      </c>
      <c r="I210" t="s">
        <v>9790</v>
      </c>
      <c r="J210" t="s">
        <v>1458</v>
      </c>
      <c r="K210" t="s">
        <v>9784</v>
      </c>
      <c r="L210" t="s">
        <v>1416</v>
      </c>
      <c r="M210" t="s">
        <v>10638</v>
      </c>
      <c r="N210" t="s">
        <v>1006</v>
      </c>
      <c r="O210" t="s">
        <v>1008</v>
      </c>
      <c r="P210" t="s">
        <v>937</v>
      </c>
      <c r="Q210" t="s">
        <v>1011</v>
      </c>
      <c r="R210" t="s">
        <v>940</v>
      </c>
      <c r="S210" t="s">
        <v>1423</v>
      </c>
      <c r="T210" t="s">
        <v>1897</v>
      </c>
      <c r="U210" t="s">
        <v>1046</v>
      </c>
      <c r="V210" t="s">
        <v>951</v>
      </c>
      <c r="W210" t="s">
        <v>1048</v>
      </c>
      <c r="X210" t="s">
        <v>1051</v>
      </c>
      <c r="Y210" t="s">
        <v>1056</v>
      </c>
      <c r="Z210" t="s">
        <v>1057</v>
      </c>
      <c r="AA210" t="s">
        <v>955</v>
      </c>
      <c r="AB210" t="s">
        <v>1060</v>
      </c>
      <c r="AC210" t="s">
        <v>962</v>
      </c>
      <c r="AD210" t="s">
        <v>1911</v>
      </c>
      <c r="AE210" t="s">
        <v>1069</v>
      </c>
      <c r="AF210" t="s">
        <v>1075</v>
      </c>
      <c r="AG210" t="s">
        <v>1920</v>
      </c>
      <c r="AH210" t="s">
        <v>1563</v>
      </c>
    </row>
    <row r="211" spans="1:73" customFormat="1" ht="15" x14ac:dyDescent="0.25">
      <c r="A211" t="s">
        <v>681</v>
      </c>
      <c r="B211" t="s">
        <v>680</v>
      </c>
      <c r="C211" t="s">
        <v>926</v>
      </c>
      <c r="D211" t="s">
        <v>929</v>
      </c>
      <c r="E211" t="s">
        <v>11687</v>
      </c>
      <c r="F211" t="s">
        <v>983</v>
      </c>
      <c r="G211" t="s">
        <v>1810</v>
      </c>
      <c r="H211" t="s">
        <v>1715</v>
      </c>
      <c r="I211" t="s">
        <v>933</v>
      </c>
      <c r="J211" t="s">
        <v>11718</v>
      </c>
      <c r="K211" t="s">
        <v>991</v>
      </c>
      <c r="L211" t="s">
        <v>1416</v>
      </c>
      <c r="M211" t="s">
        <v>10638</v>
      </c>
      <c r="N211" t="s">
        <v>937</v>
      </c>
      <c r="O211" t="s">
        <v>940</v>
      </c>
      <c r="P211" t="s">
        <v>1126</v>
      </c>
      <c r="Q211" t="s">
        <v>1025</v>
      </c>
      <c r="R211" t="s">
        <v>1026</v>
      </c>
      <c r="S211" t="s">
        <v>1030</v>
      </c>
      <c r="T211" t="s">
        <v>1041</v>
      </c>
      <c r="U211" t="s">
        <v>9787</v>
      </c>
      <c r="V211" t="s">
        <v>1043</v>
      </c>
      <c r="W211" t="s">
        <v>1048</v>
      </c>
      <c r="X211" t="s">
        <v>1049</v>
      </c>
      <c r="Y211" t="s">
        <v>11720</v>
      </c>
      <c r="Z211" t="s">
        <v>9788</v>
      </c>
      <c r="AA211" t="s">
        <v>1057</v>
      </c>
      <c r="AB211" t="s">
        <v>955</v>
      </c>
      <c r="AC211" t="s">
        <v>14374</v>
      </c>
      <c r="AD211" t="s">
        <v>962</v>
      </c>
      <c r="AE211" t="s">
        <v>1069</v>
      </c>
      <c r="AF211" t="s">
        <v>1072</v>
      </c>
      <c r="AG211" t="s">
        <v>1865</v>
      </c>
      <c r="AH211" t="s">
        <v>1866</v>
      </c>
    </row>
    <row r="212" spans="1:73" customFormat="1" ht="15" x14ac:dyDescent="0.25">
      <c r="A212" t="s">
        <v>683</v>
      </c>
      <c r="B212" t="s">
        <v>682</v>
      </c>
      <c r="C212" t="s">
        <v>1195</v>
      </c>
      <c r="D212" t="s">
        <v>1564</v>
      </c>
      <c r="E212" t="s">
        <v>1196</v>
      </c>
      <c r="F212" t="s">
        <v>971</v>
      </c>
      <c r="G212" t="s">
        <v>929</v>
      </c>
      <c r="H212" t="s">
        <v>10638</v>
      </c>
      <c r="I212" t="s">
        <v>940</v>
      </c>
      <c r="J212" t="s">
        <v>11755</v>
      </c>
      <c r="K212" t="s">
        <v>1025</v>
      </c>
      <c r="L212" t="s">
        <v>943</v>
      </c>
      <c r="M212" t="s">
        <v>1300</v>
      </c>
      <c r="N212" t="s">
        <v>949</v>
      </c>
      <c r="O212" t="s">
        <v>1136</v>
      </c>
      <c r="P212" t="s">
        <v>1043</v>
      </c>
      <c r="Q212" t="s">
        <v>1146</v>
      </c>
      <c r="R212" t="s">
        <v>9788</v>
      </c>
      <c r="S212" t="s">
        <v>1341</v>
      </c>
      <c r="T212" t="s">
        <v>11663</v>
      </c>
      <c r="U212" t="s">
        <v>14374</v>
      </c>
      <c r="V212" t="s">
        <v>1664</v>
      </c>
      <c r="W212" t="s">
        <v>962</v>
      </c>
      <c r="X212" t="s">
        <v>1072</v>
      </c>
      <c r="Y212" t="s">
        <v>1684</v>
      </c>
      <c r="Z212" t="s">
        <v>1374</v>
      </c>
      <c r="AA212" t="s">
        <v>968</v>
      </c>
    </row>
    <row r="213" spans="1:73" customFormat="1" ht="15" x14ac:dyDescent="0.25">
      <c r="A213" t="s">
        <v>685</v>
      </c>
      <c r="B213" t="s">
        <v>684</v>
      </c>
      <c r="C213" t="s">
        <v>971</v>
      </c>
      <c r="D213" t="s">
        <v>972</v>
      </c>
      <c r="E213" t="s">
        <v>926</v>
      </c>
      <c r="F213" t="s">
        <v>929</v>
      </c>
      <c r="G213" t="s">
        <v>9790</v>
      </c>
      <c r="H213" t="s">
        <v>997</v>
      </c>
      <c r="I213" t="s">
        <v>935</v>
      </c>
      <c r="J213" t="s">
        <v>998</v>
      </c>
      <c r="K213" t="s">
        <v>1001</v>
      </c>
      <c r="L213" t="s">
        <v>1003</v>
      </c>
      <c r="M213" t="s">
        <v>10638</v>
      </c>
      <c r="N213" t="s">
        <v>937</v>
      </c>
      <c r="O213" t="s">
        <v>1011</v>
      </c>
      <c r="P213" t="s">
        <v>1013</v>
      </c>
      <c r="Q213" t="s">
        <v>1014</v>
      </c>
      <c r="R213" t="s">
        <v>10667</v>
      </c>
      <c r="S213" t="s">
        <v>1126</v>
      </c>
      <c r="T213" t="s">
        <v>1026</v>
      </c>
      <c r="U213" t="s">
        <v>10681</v>
      </c>
      <c r="V213" t="s">
        <v>943</v>
      </c>
      <c r="W213" t="s">
        <v>1038</v>
      </c>
      <c r="X213" t="s">
        <v>1043</v>
      </c>
      <c r="Y213" t="s">
        <v>951</v>
      </c>
      <c r="Z213" t="s">
        <v>1048</v>
      </c>
      <c r="AA213" t="s">
        <v>1049</v>
      </c>
      <c r="AB213" t="s">
        <v>1051</v>
      </c>
      <c r="AC213" t="s">
        <v>11720</v>
      </c>
      <c r="AD213" t="s">
        <v>9788</v>
      </c>
      <c r="AE213" t="s">
        <v>14374</v>
      </c>
      <c r="AF213" t="s">
        <v>962</v>
      </c>
      <c r="AG213" t="s">
        <v>11665</v>
      </c>
      <c r="AH213" t="s">
        <v>1072</v>
      </c>
      <c r="AI213" t="s">
        <v>1079</v>
      </c>
      <c r="AJ213" t="s">
        <v>1080</v>
      </c>
    </row>
    <row r="214" spans="1:73" customFormat="1" ht="15" x14ac:dyDescent="0.25">
      <c r="A214" t="s">
        <v>687</v>
      </c>
      <c r="B214" t="s">
        <v>686</v>
      </c>
      <c r="C214" t="s">
        <v>1196</v>
      </c>
      <c r="D214" t="s">
        <v>10568</v>
      </c>
      <c r="E214" t="s">
        <v>971</v>
      </c>
      <c r="F214" t="s">
        <v>926</v>
      </c>
      <c r="G214" t="s">
        <v>929</v>
      </c>
      <c r="H214" t="s">
        <v>1599</v>
      </c>
      <c r="I214" t="s">
        <v>10638</v>
      </c>
      <c r="J214" t="s">
        <v>1250</v>
      </c>
      <c r="K214" t="s">
        <v>937</v>
      </c>
      <c r="L214" t="s">
        <v>938</v>
      </c>
      <c r="M214" t="s">
        <v>940</v>
      </c>
      <c r="N214" t="s">
        <v>11755</v>
      </c>
      <c r="O214" t="s">
        <v>1025</v>
      </c>
      <c r="P214" t="s">
        <v>943</v>
      </c>
      <c r="Q214" t="s">
        <v>945</v>
      </c>
      <c r="R214" t="s">
        <v>1300</v>
      </c>
      <c r="S214" t="s">
        <v>949</v>
      </c>
      <c r="T214" t="s">
        <v>1136</v>
      </c>
      <c r="U214" t="s">
        <v>1146</v>
      </c>
      <c r="V214" t="s">
        <v>1050</v>
      </c>
      <c r="W214" t="s">
        <v>953</v>
      </c>
      <c r="X214" t="s">
        <v>955</v>
      </c>
      <c r="Y214" t="s">
        <v>1341</v>
      </c>
      <c r="Z214" t="s">
        <v>11663</v>
      </c>
      <c r="AA214" t="s">
        <v>960</v>
      </c>
      <c r="AB214" t="s">
        <v>962</v>
      </c>
      <c r="AC214" t="s">
        <v>964</v>
      </c>
      <c r="AD214" t="s">
        <v>1072</v>
      </c>
      <c r="AE214" t="s">
        <v>10765</v>
      </c>
      <c r="AF214" t="s">
        <v>1681</v>
      </c>
      <c r="AG214" t="s">
        <v>966</v>
      </c>
      <c r="AH214" t="s">
        <v>968</v>
      </c>
    </row>
    <row r="215" spans="1:73" customFormat="1" ht="15" x14ac:dyDescent="0.25">
      <c r="A215" t="s">
        <v>689</v>
      </c>
      <c r="B215" t="s">
        <v>688</v>
      </c>
      <c r="C215" t="s">
        <v>971</v>
      </c>
      <c r="D215" t="s">
        <v>926</v>
      </c>
      <c r="E215" t="s">
        <v>992</v>
      </c>
      <c r="F215" t="s">
        <v>997</v>
      </c>
      <c r="G215" t="s">
        <v>10638</v>
      </c>
      <c r="H215" t="s">
        <v>937</v>
      </c>
      <c r="I215" t="s">
        <v>1023</v>
      </c>
      <c r="J215" t="s">
        <v>1026</v>
      </c>
      <c r="K215" t="s">
        <v>1038</v>
      </c>
      <c r="L215" t="s">
        <v>1043</v>
      </c>
      <c r="M215" t="s">
        <v>1049</v>
      </c>
      <c r="N215" t="s">
        <v>1051</v>
      </c>
      <c r="O215" t="s">
        <v>962</v>
      </c>
      <c r="P215" t="s">
        <v>11668</v>
      </c>
    </row>
    <row r="216" spans="1:73" customFormat="1" ht="15" x14ac:dyDescent="0.25">
      <c r="A216" t="s">
        <v>691</v>
      </c>
      <c r="B216" t="s">
        <v>690</v>
      </c>
      <c r="C216" t="s">
        <v>974</v>
      </c>
      <c r="D216" t="s">
        <v>1201</v>
      </c>
      <c r="E216" t="s">
        <v>929</v>
      </c>
      <c r="F216" t="s">
        <v>1458</v>
      </c>
      <c r="G216" t="s">
        <v>1461</v>
      </c>
      <c r="H216" t="s">
        <v>933</v>
      </c>
      <c r="I216" t="s">
        <v>991</v>
      </c>
      <c r="J216" t="s">
        <v>1227</v>
      </c>
      <c r="K216" t="s">
        <v>11746</v>
      </c>
      <c r="L216" t="s">
        <v>935</v>
      </c>
      <c r="M216" t="s">
        <v>1416</v>
      </c>
      <c r="N216" t="s">
        <v>1484</v>
      </c>
      <c r="O216" t="s">
        <v>10638</v>
      </c>
      <c r="P216" t="s">
        <v>1006</v>
      </c>
      <c r="Q216" t="s">
        <v>1011</v>
      </c>
      <c r="R216" t="s">
        <v>940</v>
      </c>
      <c r="S216" t="s">
        <v>1494</v>
      </c>
      <c r="T216" t="s">
        <v>1495</v>
      </c>
      <c r="U216" t="s">
        <v>9819</v>
      </c>
      <c r="V216" t="s">
        <v>1025</v>
      </c>
      <c r="W216" t="s">
        <v>1513</v>
      </c>
      <c r="X216" t="s">
        <v>1516</v>
      </c>
      <c r="Y216" t="s">
        <v>1521</v>
      </c>
      <c r="Z216" t="s">
        <v>951</v>
      </c>
      <c r="AA216" t="s">
        <v>1048</v>
      </c>
      <c r="AB216" t="s">
        <v>1051</v>
      </c>
      <c r="AC216" t="s">
        <v>1527</v>
      </c>
      <c r="AD216" t="s">
        <v>1529</v>
      </c>
      <c r="AE216" t="s">
        <v>953</v>
      </c>
      <c r="AF216" t="s">
        <v>1053</v>
      </c>
      <c r="AG216" t="s">
        <v>1532</v>
      </c>
      <c r="AH216" t="s">
        <v>1056</v>
      </c>
      <c r="AI216" t="s">
        <v>955</v>
      </c>
      <c r="AJ216" t="s">
        <v>1541</v>
      </c>
      <c r="AK216" t="s">
        <v>1069</v>
      </c>
      <c r="AL216" t="s">
        <v>1072</v>
      </c>
      <c r="AM216" t="s">
        <v>1075</v>
      </c>
      <c r="AN216" t="s">
        <v>1078</v>
      </c>
      <c r="AO216" t="s">
        <v>1083</v>
      </c>
    </row>
    <row r="217" spans="1:73" customFormat="1" ht="15" x14ac:dyDescent="0.25">
      <c r="A217" t="s">
        <v>693</v>
      </c>
      <c r="B217" t="s">
        <v>692</v>
      </c>
      <c r="C217" t="s">
        <v>974</v>
      </c>
      <c r="D217" t="s">
        <v>926</v>
      </c>
      <c r="E217" t="s">
        <v>929</v>
      </c>
      <c r="F217" t="s">
        <v>9784</v>
      </c>
      <c r="G217" t="s">
        <v>1802</v>
      </c>
      <c r="H217" t="s">
        <v>983</v>
      </c>
      <c r="I217" t="s">
        <v>1715</v>
      </c>
      <c r="J217" t="s">
        <v>933</v>
      </c>
      <c r="K217" t="s">
        <v>11660</v>
      </c>
      <c r="L217" t="s">
        <v>10638</v>
      </c>
      <c r="M217" t="s">
        <v>10643</v>
      </c>
      <c r="N217" t="s">
        <v>1008</v>
      </c>
      <c r="O217" t="s">
        <v>937</v>
      </c>
      <c r="P217" t="s">
        <v>940</v>
      </c>
      <c r="Q217" t="s">
        <v>1013</v>
      </c>
      <c r="R217" t="s">
        <v>1126</v>
      </c>
      <c r="S217" t="s">
        <v>1827</v>
      </c>
      <c r="T217" t="s">
        <v>1030</v>
      </c>
      <c r="U217" t="s">
        <v>1829</v>
      </c>
      <c r="V217" t="s">
        <v>951</v>
      </c>
      <c r="W217" t="s">
        <v>1049</v>
      </c>
      <c r="X217" t="s">
        <v>1057</v>
      </c>
      <c r="Y217" t="s">
        <v>955</v>
      </c>
      <c r="Z217" t="s">
        <v>1836</v>
      </c>
      <c r="AA217" t="s">
        <v>11663</v>
      </c>
      <c r="AB217" t="s">
        <v>1848</v>
      </c>
      <c r="AC217" t="s">
        <v>962</v>
      </c>
      <c r="AD217" t="s">
        <v>1858</v>
      </c>
      <c r="AE217" t="s">
        <v>1072</v>
      </c>
      <c r="AF217" t="s">
        <v>1077</v>
      </c>
      <c r="AG217" t="s">
        <v>1078</v>
      </c>
      <c r="AH217" t="s">
        <v>1865</v>
      </c>
      <c r="AI217" t="s">
        <v>14377</v>
      </c>
      <c r="AJ217" t="s">
        <v>1871</v>
      </c>
    </row>
    <row r="218" spans="1:73" customFormat="1" ht="15" x14ac:dyDescent="0.25">
      <c r="A218" t="s">
        <v>695</v>
      </c>
      <c r="B218" t="s">
        <v>694</v>
      </c>
      <c r="C218" t="s">
        <v>929</v>
      </c>
      <c r="D218" t="s">
        <v>1457</v>
      </c>
      <c r="E218" t="s">
        <v>1459</v>
      </c>
      <c r="F218" t="s">
        <v>1212</v>
      </c>
      <c r="G218" t="s">
        <v>1476</v>
      </c>
      <c r="H218" t="s">
        <v>1479</v>
      </c>
      <c r="I218" t="s">
        <v>1416</v>
      </c>
      <c r="J218" t="s">
        <v>10638</v>
      </c>
      <c r="K218" t="s">
        <v>1006</v>
      </c>
      <c r="L218" t="s">
        <v>1008</v>
      </c>
      <c r="M218" t="s">
        <v>1009</v>
      </c>
      <c r="N218" t="s">
        <v>1489</v>
      </c>
      <c r="O218" t="s">
        <v>937</v>
      </c>
      <c r="P218" t="s">
        <v>1011</v>
      </c>
      <c r="Q218" t="s">
        <v>940</v>
      </c>
      <c r="R218" t="s">
        <v>1422</v>
      </c>
      <c r="S218" t="s">
        <v>1013</v>
      </c>
      <c r="T218" t="s">
        <v>9819</v>
      </c>
      <c r="U218" t="s">
        <v>1506</v>
      </c>
      <c r="V218" t="s">
        <v>1508</v>
      </c>
      <c r="W218" t="s">
        <v>1520</v>
      </c>
      <c r="X218" t="s">
        <v>1521</v>
      </c>
      <c r="Y218" t="s">
        <v>951</v>
      </c>
      <c r="Z218" t="s">
        <v>1525</v>
      </c>
      <c r="AA218" t="s">
        <v>10707</v>
      </c>
      <c r="AB218" t="s">
        <v>1051</v>
      </c>
      <c r="AC218" t="s">
        <v>1528</v>
      </c>
      <c r="AD218" t="s">
        <v>1529</v>
      </c>
      <c r="AE218" t="s">
        <v>955</v>
      </c>
      <c r="AF218" t="s">
        <v>1066</v>
      </c>
      <c r="AG218" t="s">
        <v>1072</v>
      </c>
      <c r="AH218" t="s">
        <v>1075</v>
      </c>
      <c r="AI218" t="s">
        <v>1553</v>
      </c>
      <c r="AJ218" t="s">
        <v>1078</v>
      </c>
      <c r="AK218" t="s">
        <v>1083</v>
      </c>
    </row>
    <row r="219" spans="1:73" customFormat="1" ht="15" x14ac:dyDescent="0.25">
      <c r="A219" t="s">
        <v>697</v>
      </c>
      <c r="B219" t="s">
        <v>696</v>
      </c>
      <c r="C219" t="s">
        <v>926</v>
      </c>
      <c r="D219" t="s">
        <v>929</v>
      </c>
      <c r="E219" t="s">
        <v>1577</v>
      </c>
      <c r="F219" t="s">
        <v>996</v>
      </c>
      <c r="G219" t="s">
        <v>998</v>
      </c>
      <c r="H219" t="s">
        <v>10638</v>
      </c>
      <c r="I219" t="s">
        <v>1249</v>
      </c>
      <c r="J219" t="s">
        <v>1005</v>
      </c>
      <c r="K219" t="s">
        <v>1012</v>
      </c>
      <c r="L219" t="s">
        <v>1126</v>
      </c>
      <c r="M219" t="s">
        <v>1025</v>
      </c>
      <c r="N219" t="s">
        <v>9826</v>
      </c>
      <c r="O219" t="s">
        <v>943</v>
      </c>
      <c r="P219" t="s">
        <v>945</v>
      </c>
      <c r="Q219" t="s">
        <v>1041</v>
      </c>
      <c r="R219" t="s">
        <v>9787</v>
      </c>
      <c r="S219" t="s">
        <v>951</v>
      </c>
      <c r="T219" t="s">
        <v>1330</v>
      </c>
      <c r="U219" t="s">
        <v>1648</v>
      </c>
      <c r="V219" t="s">
        <v>11663</v>
      </c>
      <c r="W219" t="s">
        <v>1071</v>
      </c>
      <c r="X219" t="s">
        <v>1072</v>
      </c>
      <c r="Y219" t="s">
        <v>1684</v>
      </c>
      <c r="Z219" t="s">
        <v>1691</v>
      </c>
    </row>
    <row r="220" spans="1:73" customFormat="1" ht="15" x14ac:dyDescent="0.25">
      <c r="A220" t="s">
        <v>699</v>
      </c>
      <c r="B220" t="s">
        <v>698</v>
      </c>
      <c r="C220" t="s">
        <v>1016</v>
      </c>
      <c r="D220" t="s">
        <v>972</v>
      </c>
      <c r="E220" t="s">
        <v>973</v>
      </c>
      <c r="F220" t="s">
        <v>926</v>
      </c>
      <c r="G220" t="s">
        <v>975</v>
      </c>
      <c r="H220" t="s">
        <v>1452</v>
      </c>
      <c r="I220" t="s">
        <v>929</v>
      </c>
      <c r="J220" t="s">
        <v>976</v>
      </c>
      <c r="K220" t="s">
        <v>9784</v>
      </c>
      <c r="L220" t="s">
        <v>933</v>
      </c>
      <c r="M220" t="s">
        <v>996</v>
      </c>
      <c r="N220" t="s">
        <v>997</v>
      </c>
      <c r="O220" t="s">
        <v>11660</v>
      </c>
      <c r="P220" t="s">
        <v>1416</v>
      </c>
      <c r="Q220" t="s">
        <v>10638</v>
      </c>
      <c r="R220" t="s">
        <v>1006</v>
      </c>
      <c r="S220" t="s">
        <v>1009</v>
      </c>
      <c r="T220" t="s">
        <v>938</v>
      </c>
      <c r="U220" t="s">
        <v>940</v>
      </c>
      <c r="V220" t="s">
        <v>1423</v>
      </c>
      <c r="W220" t="s">
        <v>1013</v>
      </c>
      <c r="X220" t="s">
        <v>1897</v>
      </c>
      <c r="Y220" t="s">
        <v>1020</v>
      </c>
      <c r="Z220" t="s">
        <v>10681</v>
      </c>
      <c r="AA220" t="s">
        <v>943</v>
      </c>
      <c r="AB220" t="s">
        <v>1046</v>
      </c>
      <c r="AC220" t="s">
        <v>1047</v>
      </c>
      <c r="AD220" t="s">
        <v>951</v>
      </c>
      <c r="AE220" t="s">
        <v>1048</v>
      </c>
      <c r="AF220" t="s">
        <v>1051</v>
      </c>
      <c r="AG220" t="s">
        <v>1056</v>
      </c>
      <c r="AH220" t="s">
        <v>1057</v>
      </c>
      <c r="AI220" t="s">
        <v>955</v>
      </c>
      <c r="AJ220" t="s">
        <v>1060</v>
      </c>
      <c r="AK220" t="s">
        <v>11663</v>
      </c>
      <c r="AL220" t="s">
        <v>9849</v>
      </c>
      <c r="AM220" t="s">
        <v>1911</v>
      </c>
      <c r="AN220" t="s">
        <v>1069</v>
      </c>
      <c r="AO220" t="s">
        <v>1075</v>
      </c>
      <c r="AP220" t="s">
        <v>1078</v>
      </c>
      <c r="AQ220" t="s">
        <v>1563</v>
      </c>
      <c r="AR220" t="s">
        <v>1083</v>
      </c>
      <c r="AS220" t="s">
        <v>981</v>
      </c>
    </row>
    <row r="221" spans="1:73" customFormat="1" ht="15" x14ac:dyDescent="0.25">
      <c r="A221" t="s">
        <v>701</v>
      </c>
      <c r="B221" t="s">
        <v>700</v>
      </c>
      <c r="C221" t="s">
        <v>1452</v>
      </c>
      <c r="D221" t="s">
        <v>929</v>
      </c>
      <c r="E221" t="s">
        <v>1094</v>
      </c>
      <c r="F221" t="s">
        <v>983</v>
      </c>
      <c r="G221" t="s">
        <v>1715</v>
      </c>
      <c r="H221" t="s">
        <v>933</v>
      </c>
      <c r="I221" t="s">
        <v>9841</v>
      </c>
      <c r="J221" t="s">
        <v>10638</v>
      </c>
      <c r="K221" t="s">
        <v>1006</v>
      </c>
      <c r="L221" t="s">
        <v>10643</v>
      </c>
      <c r="M221" t="s">
        <v>1008</v>
      </c>
      <c r="N221" t="s">
        <v>937</v>
      </c>
      <c r="O221" t="s">
        <v>10652</v>
      </c>
      <c r="P221" t="s">
        <v>940</v>
      </c>
      <c r="Q221" t="s">
        <v>943</v>
      </c>
      <c r="R221" t="s">
        <v>1030</v>
      </c>
      <c r="S221" t="s">
        <v>1048</v>
      </c>
      <c r="T221" t="s">
        <v>953</v>
      </c>
      <c r="U221" t="s">
        <v>1758</v>
      </c>
      <c r="V221" t="s">
        <v>11720</v>
      </c>
      <c r="W221" t="s">
        <v>1057</v>
      </c>
      <c r="X221" t="s">
        <v>955</v>
      </c>
      <c r="Y221" t="s">
        <v>1839</v>
      </c>
      <c r="Z221" t="s">
        <v>1840</v>
      </c>
      <c r="AA221" t="s">
        <v>1841</v>
      </c>
      <c r="AB221" t="s">
        <v>9842</v>
      </c>
      <c r="AC221" t="s">
        <v>962</v>
      </c>
      <c r="AD221" t="s">
        <v>11722</v>
      </c>
      <c r="AE221" t="s">
        <v>1857</v>
      </c>
      <c r="AF221" t="s">
        <v>9845</v>
      </c>
      <c r="AG221" t="s">
        <v>1861</v>
      </c>
      <c r="AH221" t="s">
        <v>1077</v>
      </c>
      <c r="AI221" t="s">
        <v>1863</v>
      </c>
      <c r="AJ221" t="s">
        <v>1865</v>
      </c>
    </row>
    <row r="222" spans="1:73" customFormat="1" ht="15" x14ac:dyDescent="0.25">
      <c r="A222" t="s">
        <v>703</v>
      </c>
      <c r="B222" t="s">
        <v>702</v>
      </c>
      <c r="C222" t="s">
        <v>1564</v>
      </c>
      <c r="D222" t="s">
        <v>1196</v>
      </c>
      <c r="E222" t="s">
        <v>924</v>
      </c>
      <c r="F222" t="s">
        <v>10568</v>
      </c>
      <c r="G222" t="s">
        <v>926</v>
      </c>
      <c r="H222" t="s">
        <v>929</v>
      </c>
      <c r="I222" t="s">
        <v>9790</v>
      </c>
      <c r="J222" t="s">
        <v>9784</v>
      </c>
      <c r="K222" t="s">
        <v>1104</v>
      </c>
      <c r="L222" t="s">
        <v>10624</v>
      </c>
      <c r="M222" t="s">
        <v>10638</v>
      </c>
      <c r="N222" t="s">
        <v>1008</v>
      </c>
      <c r="O222" t="s">
        <v>1010</v>
      </c>
      <c r="P222" t="s">
        <v>938</v>
      </c>
      <c r="Q222" t="s">
        <v>1122</v>
      </c>
      <c r="R222" t="s">
        <v>14386</v>
      </c>
      <c r="S222" t="s">
        <v>11755</v>
      </c>
      <c r="T222" t="s">
        <v>1025</v>
      </c>
      <c r="U222" t="s">
        <v>1293</v>
      </c>
      <c r="V222" t="s">
        <v>943</v>
      </c>
      <c r="W222" t="s">
        <v>11706</v>
      </c>
      <c r="X222" t="s">
        <v>949</v>
      </c>
      <c r="Y222" t="s">
        <v>1142</v>
      </c>
      <c r="Z222" t="s">
        <v>1043</v>
      </c>
      <c r="AA222" t="s">
        <v>1146</v>
      </c>
      <c r="AB222" t="s">
        <v>1906</v>
      </c>
      <c r="AC222" t="s">
        <v>951</v>
      </c>
      <c r="AD222" t="s">
        <v>953</v>
      </c>
      <c r="AE222" t="s">
        <v>955</v>
      </c>
      <c r="AF222" t="s">
        <v>960</v>
      </c>
      <c r="AG222" t="s">
        <v>14380</v>
      </c>
      <c r="AH222" t="s">
        <v>966</v>
      </c>
      <c r="AI222" t="s">
        <v>1080</v>
      </c>
      <c r="AJ222" t="s">
        <v>14377</v>
      </c>
      <c r="AK222" t="s">
        <v>1398</v>
      </c>
    </row>
    <row r="223" spans="1:73" customFormat="1" ht="15" x14ac:dyDescent="0.25">
      <c r="A223" t="s">
        <v>705</v>
      </c>
      <c r="B223" t="s">
        <v>704</v>
      </c>
      <c r="C223" t="s">
        <v>926</v>
      </c>
      <c r="D223" t="s">
        <v>929</v>
      </c>
      <c r="E223" t="s">
        <v>1703</v>
      </c>
      <c r="F223" t="s">
        <v>14402</v>
      </c>
      <c r="G223" t="s">
        <v>983</v>
      </c>
      <c r="H223" t="s">
        <v>1715</v>
      </c>
      <c r="I223" t="s">
        <v>933</v>
      </c>
      <c r="J223" t="s">
        <v>10638</v>
      </c>
      <c r="K223" t="s">
        <v>10643</v>
      </c>
      <c r="L223" t="s">
        <v>1823</v>
      </c>
      <c r="M223" t="s">
        <v>937</v>
      </c>
      <c r="N223" t="s">
        <v>1011</v>
      </c>
      <c r="O223" t="s">
        <v>938</v>
      </c>
      <c r="P223" t="s">
        <v>940</v>
      </c>
      <c r="Q223" t="s">
        <v>1013</v>
      </c>
      <c r="R223" t="s">
        <v>1030</v>
      </c>
      <c r="S223" t="s">
        <v>1041</v>
      </c>
      <c r="T223" t="s">
        <v>9787</v>
      </c>
      <c r="U223" t="s">
        <v>1049</v>
      </c>
      <c r="V223" t="s">
        <v>1833</v>
      </c>
      <c r="W223" t="s">
        <v>955</v>
      </c>
      <c r="X223" t="s">
        <v>1842</v>
      </c>
      <c r="Y223" t="s">
        <v>1845</v>
      </c>
      <c r="Z223" t="s">
        <v>11663</v>
      </c>
      <c r="AA223" t="s">
        <v>1848</v>
      </c>
      <c r="AB223" t="s">
        <v>1849</v>
      </c>
      <c r="AC223" t="s">
        <v>962</v>
      </c>
      <c r="AD223" t="s">
        <v>1066</v>
      </c>
      <c r="AE223" t="s">
        <v>1855</v>
      </c>
      <c r="AF223" t="s">
        <v>11667</v>
      </c>
      <c r="AG223" t="s">
        <v>1077</v>
      </c>
      <c r="AH223" t="s">
        <v>1865</v>
      </c>
      <c r="AI223" t="s">
        <v>1866</v>
      </c>
      <c r="AJ223" t="s">
        <v>1080</v>
      </c>
      <c r="AK223" t="s">
        <v>14377</v>
      </c>
    </row>
    <row r="224" spans="1:73" customFormat="1" ht="15" x14ac:dyDescent="0.25">
      <c r="A224" t="s">
        <v>14370</v>
      </c>
      <c r="B224" t="s">
        <v>14369</v>
      </c>
      <c r="C224" t="s">
        <v>14398</v>
      </c>
      <c r="D224" t="s">
        <v>9834</v>
      </c>
      <c r="E224" t="s">
        <v>10568</v>
      </c>
      <c r="F224" t="s">
        <v>926</v>
      </c>
      <c r="G224" t="s">
        <v>929</v>
      </c>
      <c r="H224" t="s">
        <v>1575</v>
      </c>
      <c r="I224" t="s">
        <v>931</v>
      </c>
      <c r="J224" t="s">
        <v>9790</v>
      </c>
      <c r="K224" t="s">
        <v>1581</v>
      </c>
      <c r="L224" t="s">
        <v>9835</v>
      </c>
      <c r="M224" t="s">
        <v>9836</v>
      </c>
      <c r="N224" t="s">
        <v>989</v>
      </c>
      <c r="O224" t="s">
        <v>1717</v>
      </c>
      <c r="P224" t="s">
        <v>933</v>
      </c>
      <c r="Q224" t="s">
        <v>1719</v>
      </c>
      <c r="R224" t="s">
        <v>1725</v>
      </c>
      <c r="S224" t="s">
        <v>996</v>
      </c>
      <c r="T224" t="s">
        <v>935</v>
      </c>
      <c r="U224" t="s">
        <v>1416</v>
      </c>
      <c r="V224" t="s">
        <v>1732</v>
      </c>
      <c r="W224" t="s">
        <v>1000</v>
      </c>
      <c r="X224" t="s">
        <v>1735</v>
      </c>
      <c r="Y224" t="s">
        <v>10638</v>
      </c>
      <c r="Z224" t="s">
        <v>1739</v>
      </c>
      <c r="AA224" t="s">
        <v>1008</v>
      </c>
      <c r="AB224" t="s">
        <v>1010</v>
      </c>
      <c r="AC224" t="s">
        <v>937</v>
      </c>
      <c r="AD224" t="s">
        <v>938</v>
      </c>
      <c r="AE224" t="s">
        <v>940</v>
      </c>
      <c r="AF224" t="s">
        <v>1013</v>
      </c>
      <c r="AG224" t="s">
        <v>1740</v>
      </c>
      <c r="AH224" t="s">
        <v>10667</v>
      </c>
      <c r="AI224" t="s">
        <v>1126</v>
      </c>
      <c r="AJ224" t="s">
        <v>942</v>
      </c>
      <c r="AK224" t="s">
        <v>1742</v>
      </c>
      <c r="AL224" t="s">
        <v>10681</v>
      </c>
      <c r="AM224" t="s">
        <v>1743</v>
      </c>
      <c r="AN224" t="s">
        <v>945</v>
      </c>
      <c r="AO224" t="s">
        <v>1749</v>
      </c>
      <c r="AP224" t="s">
        <v>1751</v>
      </c>
      <c r="AQ224" t="s">
        <v>1044</v>
      </c>
      <c r="AR224" t="s">
        <v>951</v>
      </c>
      <c r="AS224" t="s">
        <v>1048</v>
      </c>
      <c r="AT224" t="s">
        <v>1049</v>
      </c>
      <c r="AU224" t="s">
        <v>953</v>
      </c>
      <c r="AV224" t="s">
        <v>1761</v>
      </c>
      <c r="AW224" t="s">
        <v>11720</v>
      </c>
      <c r="AX224" t="s">
        <v>9788</v>
      </c>
      <c r="AY224" t="s">
        <v>1056</v>
      </c>
      <c r="AZ224" t="s">
        <v>1057</v>
      </c>
      <c r="BA224" t="s">
        <v>955</v>
      </c>
      <c r="BB224" t="s">
        <v>1760</v>
      </c>
      <c r="BC224" t="s">
        <v>1762</v>
      </c>
      <c r="BD224" t="s">
        <v>960</v>
      </c>
      <c r="BE224" t="s">
        <v>14374</v>
      </c>
      <c r="BF224" t="s">
        <v>1062</v>
      </c>
      <c r="BG224" t="s">
        <v>962</v>
      </c>
      <c r="BH224" t="s">
        <v>964</v>
      </c>
      <c r="BI224" t="s">
        <v>1769</v>
      </c>
      <c r="BJ224" t="s">
        <v>1771</v>
      </c>
      <c r="BK224" t="s">
        <v>10740</v>
      </c>
      <c r="BL224" t="s">
        <v>1066</v>
      </c>
      <c r="BM224" t="s">
        <v>1781</v>
      </c>
      <c r="BN224" t="s">
        <v>1069</v>
      </c>
      <c r="BO224" t="s">
        <v>966</v>
      </c>
      <c r="BP224" t="s">
        <v>1080</v>
      </c>
      <c r="BQ224" t="s">
        <v>1794</v>
      </c>
      <c r="BR224" t="s">
        <v>11715</v>
      </c>
      <c r="BS224" t="s">
        <v>11716</v>
      </c>
      <c r="BT224" t="s">
        <v>1796</v>
      </c>
      <c r="BU224" t="s">
        <v>981</v>
      </c>
    </row>
    <row r="225" spans="1:63" customFormat="1" ht="15" x14ac:dyDescent="0.25">
      <c r="A225" t="s">
        <v>707</v>
      </c>
      <c r="B225" t="s">
        <v>706</v>
      </c>
      <c r="C225" t="s">
        <v>971</v>
      </c>
      <c r="D225" t="s">
        <v>929</v>
      </c>
      <c r="E225" t="s">
        <v>933</v>
      </c>
      <c r="F225" t="s">
        <v>992</v>
      </c>
      <c r="G225" t="s">
        <v>998</v>
      </c>
      <c r="H225" t="s">
        <v>1113</v>
      </c>
      <c r="I225" t="s">
        <v>1003</v>
      </c>
      <c r="J225" t="s">
        <v>1005</v>
      </c>
      <c r="K225" t="s">
        <v>1010</v>
      </c>
      <c r="L225" t="s">
        <v>937</v>
      </c>
      <c r="M225" t="s">
        <v>1123</v>
      </c>
      <c r="N225" t="s">
        <v>1025</v>
      </c>
      <c r="O225" t="s">
        <v>1026</v>
      </c>
      <c r="P225" t="s">
        <v>10681</v>
      </c>
      <c r="Q225" t="s">
        <v>943</v>
      </c>
      <c r="R225" t="s">
        <v>1041</v>
      </c>
      <c r="S225" t="s">
        <v>9787</v>
      </c>
      <c r="T225" t="s">
        <v>1142</v>
      </c>
      <c r="U225" t="s">
        <v>1146</v>
      </c>
      <c r="V225" t="s">
        <v>951</v>
      </c>
      <c r="W225" t="s">
        <v>1048</v>
      </c>
      <c r="X225" t="s">
        <v>1152</v>
      </c>
      <c r="Y225" t="s">
        <v>11720</v>
      </c>
      <c r="Z225" t="s">
        <v>9788</v>
      </c>
      <c r="AA225" t="s">
        <v>1057</v>
      </c>
      <c r="AB225" t="s">
        <v>955</v>
      </c>
      <c r="AC225" t="s">
        <v>1154</v>
      </c>
      <c r="AD225" t="s">
        <v>14374</v>
      </c>
      <c r="AE225" t="s">
        <v>962</v>
      </c>
      <c r="AF225" t="s">
        <v>1168</v>
      </c>
      <c r="AG225" t="s">
        <v>1069</v>
      </c>
      <c r="AH225" t="s">
        <v>1172</v>
      </c>
      <c r="AI225" t="s">
        <v>1176</v>
      </c>
      <c r="AJ225" t="s">
        <v>1072</v>
      </c>
      <c r="AK225" t="s">
        <v>981</v>
      </c>
    </row>
    <row r="226" spans="1:63" customFormat="1" ht="15" x14ac:dyDescent="0.25">
      <c r="A226" t="s">
        <v>709</v>
      </c>
      <c r="B226" t="s">
        <v>708</v>
      </c>
      <c r="C226" t="s">
        <v>14373</v>
      </c>
      <c r="D226" t="s">
        <v>9784</v>
      </c>
      <c r="E226" t="s">
        <v>997</v>
      </c>
      <c r="F226" t="s">
        <v>935</v>
      </c>
      <c r="G226" t="s">
        <v>1001</v>
      </c>
      <c r="H226" t="s">
        <v>1004</v>
      </c>
      <c r="I226" t="s">
        <v>937</v>
      </c>
      <c r="J226" t="s">
        <v>938</v>
      </c>
      <c r="K226" t="s">
        <v>940</v>
      </c>
      <c r="L226" t="s">
        <v>1013</v>
      </c>
      <c r="M226" t="s">
        <v>1026</v>
      </c>
      <c r="N226" t="s">
        <v>10681</v>
      </c>
      <c r="O226" t="s">
        <v>943</v>
      </c>
      <c r="P226" t="s">
        <v>1030</v>
      </c>
      <c r="Q226" t="s">
        <v>1038</v>
      </c>
      <c r="R226" t="s">
        <v>1039</v>
      </c>
      <c r="S226" t="s">
        <v>1042</v>
      </c>
      <c r="T226" t="s">
        <v>1047</v>
      </c>
      <c r="U226" t="s">
        <v>1048</v>
      </c>
      <c r="V226" t="s">
        <v>1049</v>
      </c>
      <c r="W226" t="s">
        <v>1050</v>
      </c>
      <c r="X226" t="s">
        <v>11720</v>
      </c>
      <c r="Y226" t="s">
        <v>9788</v>
      </c>
      <c r="Z226" t="s">
        <v>955</v>
      </c>
      <c r="AA226" t="s">
        <v>14374</v>
      </c>
      <c r="AB226" t="s">
        <v>1072</v>
      </c>
      <c r="AC226" t="s">
        <v>1076</v>
      </c>
      <c r="AD226" t="s">
        <v>1077</v>
      </c>
    </row>
    <row r="227" spans="1:63" customFormat="1" ht="15" x14ac:dyDescent="0.25">
      <c r="A227" t="s">
        <v>711</v>
      </c>
      <c r="B227" t="s">
        <v>710</v>
      </c>
      <c r="C227" t="s">
        <v>1702</v>
      </c>
      <c r="D227" t="s">
        <v>922</v>
      </c>
      <c r="E227" t="s">
        <v>926</v>
      </c>
      <c r="F227" t="s">
        <v>929</v>
      </c>
      <c r="G227" t="s">
        <v>9836</v>
      </c>
      <c r="H227" t="s">
        <v>1709</v>
      </c>
      <c r="I227" t="s">
        <v>983</v>
      </c>
      <c r="J227" t="s">
        <v>989</v>
      </c>
      <c r="K227" t="s">
        <v>933</v>
      </c>
      <c r="L227" t="s">
        <v>1725</v>
      </c>
      <c r="M227" t="s">
        <v>1729</v>
      </c>
      <c r="N227" t="s">
        <v>998</v>
      </c>
      <c r="O227" t="s">
        <v>10638</v>
      </c>
      <c r="P227" t="s">
        <v>10643</v>
      </c>
      <c r="Q227" t="s">
        <v>1739</v>
      </c>
      <c r="R227" t="s">
        <v>1008</v>
      </c>
      <c r="S227" t="s">
        <v>937</v>
      </c>
      <c r="T227" t="s">
        <v>940</v>
      </c>
      <c r="U227" t="s">
        <v>1013</v>
      </c>
      <c r="V227" t="s">
        <v>1740</v>
      </c>
      <c r="W227" t="s">
        <v>1741</v>
      </c>
      <c r="X227" t="s">
        <v>942</v>
      </c>
      <c r="Y227" t="s">
        <v>10681</v>
      </c>
      <c r="Z227" t="s">
        <v>1744</v>
      </c>
      <c r="AA227" t="s">
        <v>1745</v>
      </c>
      <c r="AB227" t="s">
        <v>1749</v>
      </c>
      <c r="AC227" t="s">
        <v>951</v>
      </c>
      <c r="AD227" t="s">
        <v>1048</v>
      </c>
      <c r="AE227" t="s">
        <v>11720</v>
      </c>
      <c r="AF227" t="s">
        <v>955</v>
      </c>
      <c r="AG227" t="s">
        <v>960</v>
      </c>
      <c r="AH227" t="s">
        <v>1766</v>
      </c>
      <c r="AI227" t="s">
        <v>1062</v>
      </c>
      <c r="AJ227" t="s">
        <v>962</v>
      </c>
      <c r="AK227" t="s">
        <v>11667</v>
      </c>
      <c r="AL227" t="s">
        <v>1069</v>
      </c>
      <c r="AM227" t="s">
        <v>10812</v>
      </c>
      <c r="AN227" t="s">
        <v>1072</v>
      </c>
      <c r="AO227" t="s">
        <v>11715</v>
      </c>
    </row>
    <row r="228" spans="1:63" customFormat="1" ht="15" x14ac:dyDescent="0.25">
      <c r="A228" t="s">
        <v>713</v>
      </c>
      <c r="B228" t="s">
        <v>712</v>
      </c>
      <c r="C228" t="s">
        <v>926</v>
      </c>
      <c r="D228" t="s">
        <v>929</v>
      </c>
      <c r="E228" t="s">
        <v>1575</v>
      </c>
      <c r="F228" t="s">
        <v>931</v>
      </c>
      <c r="G228" t="s">
        <v>1581</v>
      </c>
      <c r="H228" t="s">
        <v>933</v>
      </c>
      <c r="I228" t="s">
        <v>935</v>
      </c>
      <c r="J228" t="s">
        <v>10638</v>
      </c>
      <c r="K228" t="s">
        <v>1010</v>
      </c>
      <c r="L228" t="s">
        <v>937</v>
      </c>
      <c r="M228" t="s">
        <v>1013</v>
      </c>
      <c r="N228" t="s">
        <v>10667</v>
      </c>
      <c r="O228" t="s">
        <v>1126</v>
      </c>
      <c r="P228" t="s">
        <v>942</v>
      </c>
      <c r="Q228" t="s">
        <v>1754</v>
      </c>
      <c r="R228" t="s">
        <v>1051</v>
      </c>
      <c r="S228" t="s">
        <v>955</v>
      </c>
      <c r="T228" t="s">
        <v>1765</v>
      </c>
      <c r="U228" t="s">
        <v>960</v>
      </c>
      <c r="V228" t="s">
        <v>1770</v>
      </c>
      <c r="W228" t="s">
        <v>1066</v>
      </c>
      <c r="X228" t="s">
        <v>1778</v>
      </c>
      <c r="Y228" t="s">
        <v>1069</v>
      </c>
      <c r="Z228" t="s">
        <v>1684</v>
      </c>
      <c r="AA228" t="s">
        <v>1793</v>
      </c>
      <c r="AB228" t="s">
        <v>11715</v>
      </c>
    </row>
    <row r="229" spans="1:63" customFormat="1" ht="15" x14ac:dyDescent="0.25">
      <c r="A229" t="s">
        <v>715</v>
      </c>
      <c r="B229" t="s">
        <v>714</v>
      </c>
      <c r="C229" t="s">
        <v>971</v>
      </c>
      <c r="D229" t="s">
        <v>926</v>
      </c>
      <c r="E229" t="s">
        <v>933</v>
      </c>
      <c r="F229" t="s">
        <v>992</v>
      </c>
      <c r="G229" t="s">
        <v>11660</v>
      </c>
      <c r="H229" t="s">
        <v>1001</v>
      </c>
      <c r="I229" t="s">
        <v>10638</v>
      </c>
      <c r="J229" t="s">
        <v>1005</v>
      </c>
      <c r="K229" t="s">
        <v>1010</v>
      </c>
      <c r="L229" t="s">
        <v>937</v>
      </c>
      <c r="M229" t="s">
        <v>1022</v>
      </c>
      <c r="N229" t="s">
        <v>1023</v>
      </c>
      <c r="O229" t="s">
        <v>942</v>
      </c>
      <c r="P229" t="s">
        <v>1026</v>
      </c>
      <c r="Q229" t="s">
        <v>1031</v>
      </c>
      <c r="R229" t="s">
        <v>1038</v>
      </c>
      <c r="S229" t="s">
        <v>1046</v>
      </c>
      <c r="T229" t="s">
        <v>1049</v>
      </c>
      <c r="U229" t="s">
        <v>1051</v>
      </c>
      <c r="V229" t="s">
        <v>953</v>
      </c>
      <c r="W229" t="s">
        <v>11720</v>
      </c>
      <c r="X229" t="s">
        <v>1684</v>
      </c>
    </row>
    <row r="230" spans="1:63" customFormat="1" ht="15" x14ac:dyDescent="0.25">
      <c r="A230" t="s">
        <v>717</v>
      </c>
      <c r="B230" t="s">
        <v>716</v>
      </c>
      <c r="C230" t="s">
        <v>971</v>
      </c>
      <c r="D230" t="s">
        <v>926</v>
      </c>
      <c r="E230" t="s">
        <v>929</v>
      </c>
      <c r="F230" t="s">
        <v>933</v>
      </c>
      <c r="G230" t="s">
        <v>992</v>
      </c>
      <c r="H230" t="s">
        <v>997</v>
      </c>
      <c r="I230" t="s">
        <v>10638</v>
      </c>
      <c r="J230" t="s">
        <v>10647</v>
      </c>
      <c r="K230" t="s">
        <v>937</v>
      </c>
      <c r="L230" t="s">
        <v>940</v>
      </c>
      <c r="M230" t="s">
        <v>1017</v>
      </c>
      <c r="N230" t="s">
        <v>10667</v>
      </c>
      <c r="O230" t="s">
        <v>1126</v>
      </c>
      <c r="P230" t="s">
        <v>1022</v>
      </c>
      <c r="Q230" t="s">
        <v>1023</v>
      </c>
      <c r="R230" t="s">
        <v>942</v>
      </c>
      <c r="S230" t="s">
        <v>1025</v>
      </c>
      <c r="T230" t="s">
        <v>1026</v>
      </c>
      <c r="U230" t="s">
        <v>10681</v>
      </c>
      <c r="V230" t="s">
        <v>1031</v>
      </c>
      <c r="W230" t="s">
        <v>1033</v>
      </c>
      <c r="X230" t="s">
        <v>1038</v>
      </c>
      <c r="Y230" t="s">
        <v>1046</v>
      </c>
      <c r="Z230" t="s">
        <v>951</v>
      </c>
      <c r="AA230" t="s">
        <v>1048</v>
      </c>
      <c r="AB230" t="s">
        <v>1049</v>
      </c>
      <c r="AC230" t="s">
        <v>1051</v>
      </c>
      <c r="AD230" t="s">
        <v>11720</v>
      </c>
      <c r="AE230" t="s">
        <v>9788</v>
      </c>
      <c r="AF230" t="s">
        <v>955</v>
      </c>
      <c r="AG230" t="s">
        <v>14374</v>
      </c>
      <c r="AH230" t="s">
        <v>981</v>
      </c>
    </row>
    <row r="231" spans="1:63" customFormat="1" ht="15" x14ac:dyDescent="0.25">
      <c r="A231" t="s">
        <v>719</v>
      </c>
      <c r="B231" t="s">
        <v>718</v>
      </c>
      <c r="C231" t="s">
        <v>929</v>
      </c>
      <c r="D231" t="s">
        <v>1099</v>
      </c>
      <c r="E231" t="s">
        <v>933</v>
      </c>
      <c r="F231" t="s">
        <v>1113</v>
      </c>
      <c r="G231" t="s">
        <v>1010</v>
      </c>
      <c r="H231" t="s">
        <v>937</v>
      </c>
      <c r="I231" t="s">
        <v>938</v>
      </c>
      <c r="J231" t="s">
        <v>940</v>
      </c>
      <c r="K231" t="s">
        <v>1126</v>
      </c>
      <c r="L231" t="s">
        <v>10681</v>
      </c>
      <c r="M231" t="s">
        <v>1041</v>
      </c>
      <c r="N231" t="s">
        <v>9787</v>
      </c>
      <c r="O231" t="s">
        <v>1141</v>
      </c>
      <c r="P231" t="s">
        <v>951</v>
      </c>
      <c r="Q231" t="s">
        <v>1048</v>
      </c>
      <c r="R231" t="s">
        <v>1051</v>
      </c>
      <c r="S231" t="s">
        <v>1152</v>
      </c>
      <c r="T231" t="s">
        <v>11720</v>
      </c>
      <c r="U231" t="s">
        <v>9788</v>
      </c>
      <c r="V231" t="s">
        <v>1057</v>
      </c>
      <c r="W231" t="s">
        <v>955</v>
      </c>
      <c r="X231" t="s">
        <v>9795</v>
      </c>
      <c r="Y231" t="s">
        <v>14374</v>
      </c>
      <c r="Z231" t="s">
        <v>1172</v>
      </c>
      <c r="AA231" t="s">
        <v>1183</v>
      </c>
    </row>
    <row r="232" spans="1:63" customFormat="1" ht="15" x14ac:dyDescent="0.25">
      <c r="A232" t="s">
        <v>721</v>
      </c>
      <c r="B232" t="s">
        <v>720</v>
      </c>
      <c r="C232" t="s">
        <v>1195</v>
      </c>
      <c r="D232" t="s">
        <v>1564</v>
      </c>
      <c r="E232" t="s">
        <v>1196</v>
      </c>
      <c r="F232" t="s">
        <v>924</v>
      </c>
      <c r="G232" t="s">
        <v>926</v>
      </c>
      <c r="H232" t="s">
        <v>929</v>
      </c>
      <c r="I232" t="s">
        <v>1573</v>
      </c>
      <c r="J232" t="s">
        <v>1575</v>
      </c>
      <c r="K232" t="s">
        <v>931</v>
      </c>
      <c r="L232" t="s">
        <v>9790</v>
      </c>
      <c r="M232" t="s">
        <v>989</v>
      </c>
      <c r="N232" t="s">
        <v>933</v>
      </c>
      <c r="O232" t="s">
        <v>996</v>
      </c>
      <c r="P232" t="s">
        <v>935</v>
      </c>
      <c r="Q232" t="s">
        <v>998</v>
      </c>
      <c r="R232" t="s">
        <v>10624</v>
      </c>
      <c r="S232" t="s">
        <v>10638</v>
      </c>
      <c r="T232" t="s">
        <v>10643</v>
      </c>
      <c r="U232" t="s">
        <v>1010</v>
      </c>
      <c r="V232" t="s">
        <v>1617</v>
      </c>
      <c r="W232" t="s">
        <v>1616</v>
      </c>
      <c r="X232" t="s">
        <v>937</v>
      </c>
      <c r="Y232" t="s">
        <v>938</v>
      </c>
      <c r="Z232" t="s">
        <v>940</v>
      </c>
      <c r="AA232" t="s">
        <v>1122</v>
      </c>
      <c r="AB232" t="s">
        <v>1013</v>
      </c>
      <c r="AC232" t="s">
        <v>11755</v>
      </c>
      <c r="AD232" t="s">
        <v>1025</v>
      </c>
      <c r="AE232" t="s">
        <v>943</v>
      </c>
      <c r="AF232" t="s">
        <v>945</v>
      </c>
      <c r="AG232" t="s">
        <v>949</v>
      </c>
      <c r="AH232" t="s">
        <v>1146</v>
      </c>
      <c r="AI232" t="s">
        <v>951</v>
      </c>
      <c r="AJ232" t="s">
        <v>1646</v>
      </c>
      <c r="AK232" t="s">
        <v>9788</v>
      </c>
      <c r="AL232" t="s">
        <v>1658</v>
      </c>
      <c r="AM232" t="s">
        <v>1660</v>
      </c>
      <c r="AN232" t="s">
        <v>960</v>
      </c>
      <c r="AO232" t="s">
        <v>14374</v>
      </c>
      <c r="AP232" t="s">
        <v>962</v>
      </c>
      <c r="AQ232" t="s">
        <v>964</v>
      </c>
      <c r="AR232" t="s">
        <v>1666</v>
      </c>
      <c r="AS232" t="s">
        <v>1072</v>
      </c>
      <c r="AT232" t="s">
        <v>981</v>
      </c>
    </row>
    <row r="233" spans="1:63" customFormat="1" ht="15" x14ac:dyDescent="0.25">
      <c r="A233" t="s">
        <v>723</v>
      </c>
      <c r="B233" t="s">
        <v>722</v>
      </c>
      <c r="C233" t="s">
        <v>971</v>
      </c>
      <c r="D233" t="s">
        <v>1457</v>
      </c>
      <c r="E233" t="s">
        <v>1461</v>
      </c>
      <c r="F233" t="s">
        <v>985</v>
      </c>
      <c r="G233" t="s">
        <v>1473</v>
      </c>
      <c r="H233" t="s">
        <v>935</v>
      </c>
      <c r="I233" t="s">
        <v>1479</v>
      </c>
      <c r="J233" t="s">
        <v>1416</v>
      </c>
      <c r="K233" t="s">
        <v>1006</v>
      </c>
      <c r="L233" t="s">
        <v>1008</v>
      </c>
      <c r="M233" t="s">
        <v>1009</v>
      </c>
      <c r="N233" t="s">
        <v>937</v>
      </c>
      <c r="O233" t="s">
        <v>1011</v>
      </c>
      <c r="P233" t="s">
        <v>938</v>
      </c>
      <c r="Q233" t="s">
        <v>9819</v>
      </c>
      <c r="R233" t="s">
        <v>1302</v>
      </c>
      <c r="S233" t="s">
        <v>1521</v>
      </c>
      <c r="T233" t="s">
        <v>1046</v>
      </c>
      <c r="U233" t="s">
        <v>951</v>
      </c>
      <c r="V233" t="s">
        <v>1048</v>
      </c>
      <c r="W233" t="s">
        <v>1051</v>
      </c>
      <c r="X233" t="s">
        <v>1529</v>
      </c>
      <c r="Y233" t="s">
        <v>11720</v>
      </c>
      <c r="Z233" t="s">
        <v>1057</v>
      </c>
      <c r="AA233" t="s">
        <v>1075</v>
      </c>
      <c r="AB233" t="s">
        <v>1083</v>
      </c>
    </row>
    <row r="234" spans="1:63" customFormat="1" ht="15" x14ac:dyDescent="0.25">
      <c r="A234" t="s">
        <v>725</v>
      </c>
      <c r="B234" t="s">
        <v>724</v>
      </c>
      <c r="C234" t="s">
        <v>929</v>
      </c>
      <c r="D234" t="s">
        <v>1456</v>
      </c>
      <c r="E234" t="s">
        <v>9790</v>
      </c>
      <c r="F234" t="s">
        <v>9784</v>
      </c>
      <c r="G234" t="s">
        <v>983</v>
      </c>
      <c r="H234" t="s">
        <v>10643</v>
      </c>
      <c r="I234" t="s">
        <v>937</v>
      </c>
      <c r="J234" t="s">
        <v>10652</v>
      </c>
      <c r="K234" t="s">
        <v>1013</v>
      </c>
      <c r="L234" t="s">
        <v>1030</v>
      </c>
      <c r="M234" t="s">
        <v>1044</v>
      </c>
      <c r="N234" t="s">
        <v>11720</v>
      </c>
      <c r="O234" t="s">
        <v>9788</v>
      </c>
      <c r="P234" t="s">
        <v>955</v>
      </c>
      <c r="Q234" t="s">
        <v>14374</v>
      </c>
      <c r="R234" t="s">
        <v>962</v>
      </c>
      <c r="S234" t="s">
        <v>1861</v>
      </c>
      <c r="T234" t="s">
        <v>1865</v>
      </c>
      <c r="U234" t="s">
        <v>1080</v>
      </c>
    </row>
    <row r="235" spans="1:63" customFormat="1" ht="15" x14ac:dyDescent="0.25">
      <c r="A235" t="s">
        <v>727</v>
      </c>
      <c r="B235" t="s">
        <v>726</v>
      </c>
      <c r="C235" t="s">
        <v>971</v>
      </c>
      <c r="D235" t="s">
        <v>929</v>
      </c>
      <c r="E235" t="s">
        <v>1407</v>
      </c>
      <c r="F235" t="s">
        <v>1409</v>
      </c>
      <c r="G235" t="s">
        <v>996</v>
      </c>
      <c r="H235" t="s">
        <v>1415</v>
      </c>
      <c r="I235" t="s">
        <v>1418</v>
      </c>
      <c r="J235" t="s">
        <v>10638</v>
      </c>
      <c r="K235" t="s">
        <v>1009</v>
      </c>
      <c r="L235" t="s">
        <v>937</v>
      </c>
      <c r="M235" t="s">
        <v>938</v>
      </c>
      <c r="N235" t="s">
        <v>940</v>
      </c>
      <c r="O235" t="s">
        <v>11688</v>
      </c>
      <c r="P235" t="s">
        <v>1427</v>
      </c>
      <c r="Q235" t="s">
        <v>1433</v>
      </c>
      <c r="R235" t="s">
        <v>951</v>
      </c>
      <c r="S235" t="s">
        <v>1048</v>
      </c>
      <c r="T235" t="s">
        <v>1436</v>
      </c>
      <c r="U235" t="s">
        <v>955</v>
      </c>
      <c r="V235" t="s">
        <v>1442</v>
      </c>
      <c r="W235" t="s">
        <v>1072</v>
      </c>
      <c r="X235" t="s">
        <v>1180</v>
      </c>
      <c r="Y235" t="s">
        <v>1447</v>
      </c>
    </row>
    <row r="236" spans="1:63" customFormat="1" ht="15" x14ac:dyDescent="0.25">
      <c r="A236" t="s">
        <v>729</v>
      </c>
      <c r="B236" t="s">
        <v>728</v>
      </c>
      <c r="C236" t="s">
        <v>1195</v>
      </c>
      <c r="D236" t="s">
        <v>924</v>
      </c>
      <c r="E236" t="s">
        <v>10568</v>
      </c>
      <c r="F236" t="s">
        <v>926</v>
      </c>
      <c r="G236" t="s">
        <v>929</v>
      </c>
      <c r="H236" t="s">
        <v>931</v>
      </c>
      <c r="I236" t="s">
        <v>9784</v>
      </c>
      <c r="J236" t="s">
        <v>1094</v>
      </c>
      <c r="K236" t="s">
        <v>933</v>
      </c>
      <c r="L236" t="s">
        <v>1416</v>
      </c>
      <c r="M236" t="s">
        <v>10638</v>
      </c>
      <c r="N236" t="s">
        <v>1008</v>
      </c>
      <c r="O236" t="s">
        <v>1613</v>
      </c>
      <c r="P236" t="s">
        <v>937</v>
      </c>
      <c r="Q236" t="s">
        <v>1011</v>
      </c>
      <c r="R236" t="s">
        <v>938</v>
      </c>
      <c r="S236" t="s">
        <v>940</v>
      </c>
      <c r="T236" t="s">
        <v>1012</v>
      </c>
      <c r="U236" t="s">
        <v>1013</v>
      </c>
      <c r="V236" t="s">
        <v>1025</v>
      </c>
      <c r="W236" t="s">
        <v>1628</v>
      </c>
      <c r="X236" t="s">
        <v>945</v>
      </c>
      <c r="Y236" t="s">
        <v>951</v>
      </c>
      <c r="Z236" t="s">
        <v>1048</v>
      </c>
      <c r="AA236" t="s">
        <v>953</v>
      </c>
      <c r="AB236" t="s">
        <v>955</v>
      </c>
      <c r="AC236" t="s">
        <v>1654</v>
      </c>
      <c r="AD236" t="s">
        <v>11663</v>
      </c>
      <c r="AE236" t="s">
        <v>960</v>
      </c>
      <c r="AF236" t="s">
        <v>1062</v>
      </c>
      <c r="AG236" t="s">
        <v>962</v>
      </c>
      <c r="AH236" t="s">
        <v>1066</v>
      </c>
      <c r="AI236" t="s">
        <v>1069</v>
      </c>
      <c r="AJ236" t="s">
        <v>1681</v>
      </c>
      <c r="AK236" t="s">
        <v>966</v>
      </c>
      <c r="AL236" t="s">
        <v>1682</v>
      </c>
      <c r="AM236" t="s">
        <v>1686</v>
      </c>
      <c r="AN236" t="s">
        <v>968</v>
      </c>
      <c r="AO236" t="s">
        <v>1701</v>
      </c>
    </row>
    <row r="237" spans="1:63" customFormat="1" ht="15" x14ac:dyDescent="0.25">
      <c r="A237" t="s">
        <v>731</v>
      </c>
      <c r="B237" t="s">
        <v>730</v>
      </c>
      <c r="C237" t="s">
        <v>929</v>
      </c>
      <c r="D237" t="s">
        <v>14378</v>
      </c>
      <c r="E237" t="s">
        <v>1108</v>
      </c>
      <c r="F237" t="s">
        <v>1100</v>
      </c>
      <c r="G237" t="s">
        <v>989</v>
      </c>
      <c r="H237" t="s">
        <v>935</v>
      </c>
      <c r="I237" t="s">
        <v>11660</v>
      </c>
      <c r="J237" t="s">
        <v>1111</v>
      </c>
      <c r="K237" t="s">
        <v>10638</v>
      </c>
      <c r="L237" t="s">
        <v>1008</v>
      </c>
      <c r="M237" t="s">
        <v>1010</v>
      </c>
      <c r="N237" t="s">
        <v>938</v>
      </c>
      <c r="O237" t="s">
        <v>1120</v>
      </c>
      <c r="P237" t="s">
        <v>1013</v>
      </c>
      <c r="Q237" t="s">
        <v>1126</v>
      </c>
      <c r="R237" t="s">
        <v>1127</v>
      </c>
      <c r="S237" t="s">
        <v>1025</v>
      </c>
      <c r="T237" t="s">
        <v>10681</v>
      </c>
      <c r="U237" t="s">
        <v>943</v>
      </c>
      <c r="V237" t="s">
        <v>945</v>
      </c>
      <c r="W237" t="s">
        <v>1134</v>
      </c>
      <c r="X237" t="s">
        <v>1041</v>
      </c>
      <c r="Y237" t="s">
        <v>1146</v>
      </c>
      <c r="Z237" t="s">
        <v>951</v>
      </c>
      <c r="AA237" t="s">
        <v>11720</v>
      </c>
      <c r="AB237" t="s">
        <v>1056</v>
      </c>
      <c r="AC237" t="s">
        <v>1057</v>
      </c>
      <c r="AD237" t="s">
        <v>955</v>
      </c>
      <c r="AE237" t="s">
        <v>1155</v>
      </c>
      <c r="AF237" t="s">
        <v>1156</v>
      </c>
      <c r="AG237" t="s">
        <v>11663</v>
      </c>
      <c r="AH237" t="s">
        <v>14374</v>
      </c>
      <c r="AI237" t="s">
        <v>1159</v>
      </c>
      <c r="AJ237" t="s">
        <v>1170</v>
      </c>
      <c r="AK237" t="s">
        <v>1069</v>
      </c>
      <c r="AL237" t="s">
        <v>1071</v>
      </c>
      <c r="AM237" t="s">
        <v>1072</v>
      </c>
    </row>
    <row r="238" spans="1:63" customFormat="1" ht="15" x14ac:dyDescent="0.25">
      <c r="A238" t="s">
        <v>733</v>
      </c>
      <c r="B238" t="s">
        <v>732</v>
      </c>
      <c r="C238" t="s">
        <v>1195</v>
      </c>
      <c r="D238" t="s">
        <v>929</v>
      </c>
      <c r="E238" t="s">
        <v>1087</v>
      </c>
      <c r="F238" t="s">
        <v>1204</v>
      </c>
      <c r="G238" t="s">
        <v>1205</v>
      </c>
      <c r="H238" t="s">
        <v>1214</v>
      </c>
      <c r="I238" t="s">
        <v>1215</v>
      </c>
      <c r="J238" t="s">
        <v>1218</v>
      </c>
      <c r="K238" t="s">
        <v>1219</v>
      </c>
      <c r="L238" t="s">
        <v>933</v>
      </c>
      <c r="M238" t="s">
        <v>1474</v>
      </c>
      <c r="N238" t="s">
        <v>1238</v>
      </c>
      <c r="O238" t="s">
        <v>1239</v>
      </c>
      <c r="P238" t="s">
        <v>10638</v>
      </c>
      <c r="Q238" t="s">
        <v>1008</v>
      </c>
      <c r="R238" t="s">
        <v>1262</v>
      </c>
      <c r="S238" t="s">
        <v>1264</v>
      </c>
      <c r="T238" t="s">
        <v>937</v>
      </c>
      <c r="U238" t="s">
        <v>1271</v>
      </c>
      <c r="V238" t="s">
        <v>940</v>
      </c>
      <c r="W238" t="s">
        <v>1273</v>
      </c>
      <c r="X238" t="s">
        <v>1012</v>
      </c>
      <c r="Y238" t="s">
        <v>14385</v>
      </c>
      <c r="Z238" t="s">
        <v>1283</v>
      </c>
      <c r="AA238" t="s">
        <v>11678</v>
      </c>
      <c r="AB238" t="s">
        <v>1127</v>
      </c>
      <c r="AC238" t="s">
        <v>1025</v>
      </c>
      <c r="AD238" t="s">
        <v>1293</v>
      </c>
      <c r="AE238" t="s">
        <v>10681</v>
      </c>
      <c r="AF238" t="s">
        <v>943</v>
      </c>
      <c r="AG238" t="s">
        <v>945</v>
      </c>
      <c r="AH238" t="s">
        <v>1302</v>
      </c>
      <c r="AI238" t="s">
        <v>1305</v>
      </c>
      <c r="AJ238" t="s">
        <v>1134</v>
      </c>
      <c r="AK238" t="s">
        <v>949</v>
      </c>
      <c r="AL238" t="s">
        <v>1135</v>
      </c>
      <c r="AM238" t="s">
        <v>1309</v>
      </c>
      <c r="AN238" t="s">
        <v>1136</v>
      </c>
      <c r="AO238" t="s">
        <v>1140</v>
      </c>
      <c r="AP238" t="s">
        <v>1043</v>
      </c>
      <c r="AQ238" t="s">
        <v>1146</v>
      </c>
      <c r="AR238" t="s">
        <v>11681</v>
      </c>
      <c r="AS238" t="s">
        <v>1327</v>
      </c>
      <c r="AT238" t="s">
        <v>1330</v>
      </c>
      <c r="AU238" t="s">
        <v>1332</v>
      </c>
      <c r="AV238" t="s">
        <v>1336</v>
      </c>
      <c r="AW238" t="s">
        <v>1056</v>
      </c>
      <c r="AX238" t="s">
        <v>955</v>
      </c>
      <c r="AY238" t="s">
        <v>11663</v>
      </c>
      <c r="AZ238" t="s">
        <v>1345</v>
      </c>
      <c r="BA238" t="s">
        <v>1158</v>
      </c>
      <c r="BB238" t="s">
        <v>1350</v>
      </c>
      <c r="BC238" t="s">
        <v>1351</v>
      </c>
      <c r="BD238" t="s">
        <v>1356</v>
      </c>
      <c r="BE238" t="s">
        <v>1069</v>
      </c>
      <c r="BF238" t="s">
        <v>1174</v>
      </c>
      <c r="BG238" t="s">
        <v>1072</v>
      </c>
      <c r="BH238" t="s">
        <v>1182</v>
      </c>
      <c r="BI238" t="s">
        <v>1380</v>
      </c>
      <c r="BJ238" t="s">
        <v>1080</v>
      </c>
      <c r="BK238" t="s">
        <v>1393</v>
      </c>
    </row>
    <row r="239" spans="1:63" customFormat="1" ht="15" x14ac:dyDescent="0.25">
      <c r="A239" t="s">
        <v>735</v>
      </c>
      <c r="B239" t="s">
        <v>734</v>
      </c>
      <c r="C239" t="s">
        <v>1564</v>
      </c>
      <c r="D239" t="s">
        <v>1196</v>
      </c>
      <c r="E239" t="s">
        <v>924</v>
      </c>
      <c r="F239" t="s">
        <v>933</v>
      </c>
      <c r="G239" t="s">
        <v>10638</v>
      </c>
      <c r="H239" t="s">
        <v>940</v>
      </c>
      <c r="I239" t="s">
        <v>1025</v>
      </c>
      <c r="J239" t="s">
        <v>943</v>
      </c>
      <c r="K239" t="s">
        <v>1300</v>
      </c>
      <c r="L239" t="s">
        <v>1134</v>
      </c>
      <c r="M239" t="s">
        <v>949</v>
      </c>
      <c r="N239" t="s">
        <v>1043</v>
      </c>
      <c r="O239" t="s">
        <v>1146</v>
      </c>
      <c r="P239" t="s">
        <v>1652</v>
      </c>
      <c r="Q239" t="s">
        <v>1652</v>
      </c>
      <c r="R239" t="s">
        <v>1155</v>
      </c>
      <c r="S239" t="s">
        <v>1374</v>
      </c>
    </row>
    <row r="240" spans="1:63" customFormat="1" ht="15" x14ac:dyDescent="0.25">
      <c r="A240" t="s">
        <v>737</v>
      </c>
      <c r="B240" t="s">
        <v>736</v>
      </c>
      <c r="C240" t="s">
        <v>924</v>
      </c>
      <c r="D240" t="s">
        <v>929</v>
      </c>
      <c r="E240" t="s">
        <v>9790</v>
      </c>
      <c r="F240" t="s">
        <v>1090</v>
      </c>
      <c r="G240" t="s">
        <v>933</v>
      </c>
      <c r="H240" t="s">
        <v>996</v>
      </c>
      <c r="I240" t="s">
        <v>1000</v>
      </c>
      <c r="J240" t="s">
        <v>1005</v>
      </c>
      <c r="K240" t="s">
        <v>937</v>
      </c>
      <c r="L240" t="s">
        <v>1119</v>
      </c>
      <c r="M240" t="s">
        <v>938</v>
      </c>
      <c r="N240" t="s">
        <v>940</v>
      </c>
      <c r="O240" t="s">
        <v>11755</v>
      </c>
      <c r="P240" t="s">
        <v>1134</v>
      </c>
      <c r="Q240" t="s">
        <v>949</v>
      </c>
      <c r="R240" t="s">
        <v>1142</v>
      </c>
      <c r="S240" t="s">
        <v>1043</v>
      </c>
      <c r="T240" t="s">
        <v>1146</v>
      </c>
      <c r="U240" t="s">
        <v>951</v>
      </c>
      <c r="V240" t="s">
        <v>953</v>
      </c>
      <c r="W240" t="s">
        <v>9788</v>
      </c>
      <c r="X240" t="s">
        <v>1154</v>
      </c>
      <c r="Y240" t="s">
        <v>14380</v>
      </c>
      <c r="Z240" t="s">
        <v>14374</v>
      </c>
      <c r="AA240" t="s">
        <v>1181</v>
      </c>
      <c r="AB240" t="s">
        <v>1185</v>
      </c>
      <c r="AC240" t="s">
        <v>981</v>
      </c>
    </row>
    <row r="241" spans="1:45" customFormat="1" ht="15" x14ac:dyDescent="0.25">
      <c r="A241" t="s">
        <v>739</v>
      </c>
      <c r="B241" t="s">
        <v>738</v>
      </c>
      <c r="C241" t="s">
        <v>971</v>
      </c>
      <c r="D241" t="s">
        <v>1452</v>
      </c>
      <c r="E241" t="s">
        <v>933</v>
      </c>
      <c r="F241" t="s">
        <v>935</v>
      </c>
      <c r="G241" t="s">
        <v>1484</v>
      </c>
      <c r="H241" t="s">
        <v>10638</v>
      </c>
      <c r="I241" t="s">
        <v>1006</v>
      </c>
      <c r="J241" t="s">
        <v>937</v>
      </c>
      <c r="K241" t="s">
        <v>940</v>
      </c>
      <c r="L241" t="s">
        <v>1013</v>
      </c>
      <c r="M241" t="s">
        <v>9819</v>
      </c>
      <c r="N241" t="s">
        <v>1508</v>
      </c>
      <c r="O241" t="s">
        <v>1516</v>
      </c>
      <c r="P241" t="s">
        <v>1520</v>
      </c>
      <c r="Q241" t="s">
        <v>1521</v>
      </c>
      <c r="R241" t="s">
        <v>1046</v>
      </c>
      <c r="S241" t="s">
        <v>951</v>
      </c>
      <c r="T241" t="s">
        <v>1048</v>
      </c>
      <c r="U241" t="s">
        <v>1525</v>
      </c>
      <c r="V241" t="s">
        <v>1051</v>
      </c>
      <c r="W241" t="s">
        <v>1529</v>
      </c>
      <c r="X241" t="s">
        <v>953</v>
      </c>
      <c r="Y241" t="s">
        <v>1056</v>
      </c>
      <c r="Z241" t="s">
        <v>1057</v>
      </c>
      <c r="AA241" t="s">
        <v>955</v>
      </c>
      <c r="AB241" t="s">
        <v>1066</v>
      </c>
      <c r="AC241" t="s">
        <v>1072</v>
      </c>
      <c r="AD241" t="s">
        <v>1553</v>
      </c>
      <c r="AE241" t="s">
        <v>1562</v>
      </c>
      <c r="AF241" t="s">
        <v>1083</v>
      </c>
    </row>
    <row r="242" spans="1:45" customFormat="1" ht="15" x14ac:dyDescent="0.25">
      <c r="A242" t="s">
        <v>741</v>
      </c>
      <c r="B242" t="s">
        <v>740</v>
      </c>
      <c r="C242" t="s">
        <v>926</v>
      </c>
      <c r="D242" t="s">
        <v>1456</v>
      </c>
      <c r="E242" t="s">
        <v>9784</v>
      </c>
      <c r="F242" t="s">
        <v>983</v>
      </c>
      <c r="G242" t="s">
        <v>1812</v>
      </c>
      <c r="H242" t="s">
        <v>10643</v>
      </c>
      <c r="I242" t="s">
        <v>1009</v>
      </c>
      <c r="J242" t="s">
        <v>937</v>
      </c>
      <c r="K242" t="s">
        <v>10652</v>
      </c>
      <c r="L242" t="s">
        <v>1493</v>
      </c>
      <c r="M242" t="s">
        <v>940</v>
      </c>
      <c r="N242" t="s">
        <v>1422</v>
      </c>
      <c r="O242" t="s">
        <v>1013</v>
      </c>
      <c r="P242" t="s">
        <v>1030</v>
      </c>
      <c r="Q242" t="s">
        <v>1049</v>
      </c>
      <c r="R242" t="s">
        <v>11720</v>
      </c>
      <c r="S242" t="s">
        <v>9788</v>
      </c>
      <c r="T242" t="s">
        <v>1057</v>
      </c>
      <c r="U242" t="s">
        <v>955</v>
      </c>
      <c r="V242" t="s">
        <v>14374</v>
      </c>
      <c r="W242" t="s">
        <v>1072</v>
      </c>
      <c r="X242" t="s">
        <v>1861</v>
      </c>
      <c r="Y242" t="s">
        <v>1182</v>
      </c>
      <c r="Z242" t="s">
        <v>1865</v>
      </c>
    </row>
    <row r="243" spans="1:45" customFormat="1" ht="15" x14ac:dyDescent="0.25">
      <c r="A243" t="s">
        <v>743</v>
      </c>
      <c r="B243" t="s">
        <v>742</v>
      </c>
      <c r="C243" t="s">
        <v>929</v>
      </c>
      <c r="D243" t="s">
        <v>1456</v>
      </c>
      <c r="E243" t="s">
        <v>1458</v>
      </c>
      <c r="F243" t="s">
        <v>9784</v>
      </c>
      <c r="G243" t="s">
        <v>1806</v>
      </c>
      <c r="H243" t="s">
        <v>1814</v>
      </c>
      <c r="I243" t="s">
        <v>997</v>
      </c>
      <c r="J243" t="s">
        <v>1817</v>
      </c>
      <c r="K243" t="s">
        <v>1001</v>
      </c>
      <c r="L243" t="s">
        <v>1006</v>
      </c>
      <c r="M243" t="s">
        <v>10643</v>
      </c>
      <c r="N243" t="s">
        <v>1009</v>
      </c>
      <c r="O243" t="s">
        <v>937</v>
      </c>
      <c r="P243" t="s">
        <v>1011</v>
      </c>
      <c r="Q243" t="s">
        <v>1493</v>
      </c>
      <c r="R243" t="s">
        <v>1013</v>
      </c>
      <c r="S243" t="s">
        <v>9819</v>
      </c>
      <c r="T243" t="s">
        <v>1030</v>
      </c>
      <c r="U243" t="s">
        <v>1047</v>
      </c>
      <c r="V243" t="s">
        <v>1525</v>
      </c>
      <c r="W243" t="s">
        <v>11720</v>
      </c>
      <c r="X243" t="s">
        <v>9788</v>
      </c>
      <c r="Y243" t="s">
        <v>955</v>
      </c>
      <c r="Z243" t="s">
        <v>14374</v>
      </c>
      <c r="AA243" t="s">
        <v>1854</v>
      </c>
      <c r="AB243" t="s">
        <v>1861</v>
      </c>
      <c r="AC243" t="s">
        <v>1083</v>
      </c>
    </row>
    <row r="244" spans="1:45" customFormat="1" ht="15" x14ac:dyDescent="0.25">
      <c r="A244" t="s">
        <v>745</v>
      </c>
      <c r="B244" t="s">
        <v>744</v>
      </c>
      <c r="C244" t="s">
        <v>926</v>
      </c>
      <c r="D244" t="s">
        <v>929</v>
      </c>
      <c r="E244" t="s">
        <v>9790</v>
      </c>
      <c r="F244" t="s">
        <v>1090</v>
      </c>
      <c r="G244" t="s">
        <v>9784</v>
      </c>
      <c r="H244" t="s">
        <v>933</v>
      </c>
      <c r="I244" t="s">
        <v>11660</v>
      </c>
      <c r="J244" t="s">
        <v>1416</v>
      </c>
      <c r="K244" t="s">
        <v>1112</v>
      </c>
      <c r="L244" t="s">
        <v>1000</v>
      </c>
      <c r="M244" t="s">
        <v>10638</v>
      </c>
      <c r="N244" t="s">
        <v>1010</v>
      </c>
      <c r="O244" t="s">
        <v>1119</v>
      </c>
      <c r="P244" t="s">
        <v>1011</v>
      </c>
      <c r="Q244" t="s">
        <v>938</v>
      </c>
      <c r="R244" t="s">
        <v>940</v>
      </c>
      <c r="S244" t="s">
        <v>1025</v>
      </c>
      <c r="T244" t="s">
        <v>943</v>
      </c>
      <c r="U244" t="s">
        <v>1134</v>
      </c>
      <c r="V244" t="s">
        <v>949</v>
      </c>
      <c r="W244" t="s">
        <v>1138</v>
      </c>
      <c r="X244" t="s">
        <v>1140</v>
      </c>
      <c r="Y244" t="s">
        <v>1142</v>
      </c>
      <c r="Z244" t="s">
        <v>1146</v>
      </c>
      <c r="AA244" t="s">
        <v>953</v>
      </c>
      <c r="AB244" t="s">
        <v>1154</v>
      </c>
      <c r="AC244" t="s">
        <v>1155</v>
      </c>
      <c r="AD244" t="s">
        <v>14380</v>
      </c>
      <c r="AE244" t="s">
        <v>1069</v>
      </c>
      <c r="AF244" t="s">
        <v>1191</v>
      </c>
      <c r="AG244" t="s">
        <v>981</v>
      </c>
    </row>
    <row r="245" spans="1:45" customFormat="1" ht="15" x14ac:dyDescent="0.25">
      <c r="A245" t="s">
        <v>747</v>
      </c>
      <c r="B245" t="s">
        <v>746</v>
      </c>
      <c r="C245" t="s">
        <v>1016</v>
      </c>
      <c r="D245" t="s">
        <v>929</v>
      </c>
      <c r="E245" t="s">
        <v>1454</v>
      </c>
      <c r="F245" t="s">
        <v>1461</v>
      </c>
      <c r="G245" t="s">
        <v>985</v>
      </c>
      <c r="H245" t="s">
        <v>991</v>
      </c>
      <c r="I245" t="s">
        <v>935</v>
      </c>
      <c r="J245" t="s">
        <v>11660</v>
      </c>
      <c r="K245" t="s">
        <v>1416</v>
      </c>
      <c r="L245" t="s">
        <v>10638</v>
      </c>
      <c r="M245" t="s">
        <v>1006</v>
      </c>
      <c r="N245" t="s">
        <v>1009</v>
      </c>
      <c r="O245" t="s">
        <v>940</v>
      </c>
      <c r="P245" t="s">
        <v>1013</v>
      </c>
      <c r="Q245" t="s">
        <v>1495</v>
      </c>
      <c r="R245" t="s">
        <v>9819</v>
      </c>
      <c r="S245" t="s">
        <v>9820</v>
      </c>
      <c r="T245" t="s">
        <v>1020</v>
      </c>
      <c r="U245" t="s">
        <v>1025</v>
      </c>
      <c r="V245" t="s">
        <v>1516</v>
      </c>
      <c r="W245" t="s">
        <v>1031</v>
      </c>
      <c r="X245" t="s">
        <v>1521</v>
      </c>
      <c r="Y245" t="s">
        <v>1046</v>
      </c>
      <c r="Z245" t="s">
        <v>951</v>
      </c>
      <c r="AA245" t="s">
        <v>1048</v>
      </c>
      <c r="AB245" t="s">
        <v>1051</v>
      </c>
      <c r="AC245" t="s">
        <v>9788</v>
      </c>
      <c r="AD245" t="s">
        <v>14374</v>
      </c>
      <c r="AE245" t="s">
        <v>1545</v>
      </c>
      <c r="AF245" t="s">
        <v>1066</v>
      </c>
      <c r="AG245" t="s">
        <v>1069</v>
      </c>
      <c r="AH245" t="s">
        <v>1072</v>
      </c>
      <c r="AI245" t="s">
        <v>1083</v>
      </c>
    </row>
    <row r="246" spans="1:45" customFormat="1" ht="15" x14ac:dyDescent="0.25">
      <c r="A246" t="s">
        <v>749</v>
      </c>
      <c r="B246" t="s">
        <v>748</v>
      </c>
      <c r="C246" t="s">
        <v>971</v>
      </c>
      <c r="D246" t="s">
        <v>929</v>
      </c>
      <c r="E246" t="s">
        <v>978</v>
      </c>
      <c r="F246" t="s">
        <v>1406</v>
      </c>
      <c r="G246" t="s">
        <v>1407</v>
      </c>
      <c r="H246" t="s">
        <v>1408</v>
      </c>
      <c r="I246" t="s">
        <v>1411</v>
      </c>
      <c r="J246" t="s">
        <v>985</v>
      </c>
      <c r="K246" t="s">
        <v>991</v>
      </c>
      <c r="L246" t="s">
        <v>996</v>
      </c>
      <c r="M246" t="s">
        <v>1008</v>
      </c>
      <c r="N246" t="s">
        <v>1419</v>
      </c>
      <c r="O246" t="s">
        <v>937</v>
      </c>
      <c r="P246" t="s">
        <v>938</v>
      </c>
      <c r="Q246" t="s">
        <v>940</v>
      </c>
      <c r="R246" t="s">
        <v>1427</v>
      </c>
      <c r="S246" t="s">
        <v>1430</v>
      </c>
      <c r="T246" t="s">
        <v>1432</v>
      </c>
      <c r="U246" t="s">
        <v>1433</v>
      </c>
      <c r="V246" t="s">
        <v>951</v>
      </c>
      <c r="W246" t="s">
        <v>1436</v>
      </c>
      <c r="X246" t="s">
        <v>1069</v>
      </c>
      <c r="Y246" t="s">
        <v>1072</v>
      </c>
      <c r="Z246" t="s">
        <v>1180</v>
      </c>
      <c r="AA246" t="s">
        <v>1075</v>
      </c>
    </row>
    <row r="247" spans="1:45" customFormat="1" ht="15" x14ac:dyDescent="0.25">
      <c r="A247" t="s">
        <v>751</v>
      </c>
      <c r="B247" t="s">
        <v>750</v>
      </c>
      <c r="C247" t="s">
        <v>974</v>
      </c>
      <c r="D247" t="s">
        <v>929</v>
      </c>
      <c r="E247" t="s">
        <v>1456</v>
      </c>
      <c r="F247" t="s">
        <v>1212</v>
      </c>
      <c r="G247" t="s">
        <v>1806</v>
      </c>
      <c r="H247" t="s">
        <v>1812</v>
      </c>
      <c r="I247" t="s">
        <v>933</v>
      </c>
      <c r="J247" t="s">
        <v>1817</v>
      </c>
      <c r="K247" t="s">
        <v>10638</v>
      </c>
      <c r="L247" t="s">
        <v>1821</v>
      </c>
      <c r="M247" t="s">
        <v>937</v>
      </c>
      <c r="N247" t="s">
        <v>1011</v>
      </c>
      <c r="O247" t="s">
        <v>1493</v>
      </c>
      <c r="P247" t="s">
        <v>940</v>
      </c>
      <c r="Q247" t="s">
        <v>1013</v>
      </c>
      <c r="R247" t="s">
        <v>9820</v>
      </c>
      <c r="S247" t="s">
        <v>1030</v>
      </c>
      <c r="T247" t="s">
        <v>1033</v>
      </c>
      <c r="U247" t="s">
        <v>1048</v>
      </c>
      <c r="V247" t="s">
        <v>1056</v>
      </c>
      <c r="W247" t="s">
        <v>1057</v>
      </c>
      <c r="X247" t="s">
        <v>955</v>
      </c>
      <c r="Y247" t="s">
        <v>1851</v>
      </c>
      <c r="Z247" t="s">
        <v>11721</v>
      </c>
      <c r="AA247" t="s">
        <v>1353</v>
      </c>
      <c r="AB247" t="s">
        <v>1072</v>
      </c>
      <c r="AC247" t="s">
        <v>1861</v>
      </c>
      <c r="AD247" t="s">
        <v>1080</v>
      </c>
      <c r="AE247" t="s">
        <v>9847</v>
      </c>
      <c r="AF247" t="s">
        <v>1083</v>
      </c>
    </row>
    <row r="248" spans="1:45" customFormat="1" ht="15" x14ac:dyDescent="0.25">
      <c r="A248" t="s">
        <v>753</v>
      </c>
      <c r="B248" t="s">
        <v>752</v>
      </c>
      <c r="C248" t="s">
        <v>926</v>
      </c>
      <c r="D248" t="s">
        <v>9784</v>
      </c>
      <c r="E248" t="s">
        <v>982</v>
      </c>
      <c r="F248" t="s">
        <v>983</v>
      </c>
      <c r="G248" t="s">
        <v>1715</v>
      </c>
      <c r="H248" t="s">
        <v>991</v>
      </c>
      <c r="I248" t="s">
        <v>1485</v>
      </c>
      <c r="J248" t="s">
        <v>10638</v>
      </c>
      <c r="K248" t="s">
        <v>937</v>
      </c>
      <c r="L248" t="s">
        <v>940</v>
      </c>
      <c r="M248" t="s">
        <v>1013</v>
      </c>
      <c r="N248" t="s">
        <v>10667</v>
      </c>
      <c r="O248" t="s">
        <v>1126</v>
      </c>
      <c r="P248" t="s">
        <v>1025</v>
      </c>
      <c r="Q248" t="s">
        <v>1030</v>
      </c>
      <c r="R248" t="s">
        <v>1747</v>
      </c>
      <c r="S248" t="s">
        <v>1041</v>
      </c>
      <c r="T248" t="s">
        <v>9787</v>
      </c>
      <c r="U248" t="s">
        <v>1049</v>
      </c>
      <c r="V248" t="s">
        <v>11720</v>
      </c>
      <c r="W248" t="s">
        <v>9788</v>
      </c>
      <c r="X248" t="s">
        <v>1835</v>
      </c>
      <c r="Y248" t="s">
        <v>1057</v>
      </c>
      <c r="Z248" t="s">
        <v>955</v>
      </c>
      <c r="AA248" t="s">
        <v>14374</v>
      </c>
      <c r="AB248" t="s">
        <v>1848</v>
      </c>
      <c r="AC248" t="s">
        <v>1849</v>
      </c>
      <c r="AD248" t="s">
        <v>962</v>
      </c>
      <c r="AE248" t="s">
        <v>1865</v>
      </c>
      <c r="AF248" t="s">
        <v>1866</v>
      </c>
      <c r="AG248" t="s">
        <v>1867</v>
      </c>
    </row>
    <row r="249" spans="1:45" customFormat="1" ht="15" x14ac:dyDescent="0.25">
      <c r="A249" t="s">
        <v>755</v>
      </c>
      <c r="B249" t="s">
        <v>754</v>
      </c>
      <c r="C249" t="s">
        <v>926</v>
      </c>
      <c r="D249" t="s">
        <v>929</v>
      </c>
      <c r="E249" t="s">
        <v>931</v>
      </c>
      <c r="F249" t="s">
        <v>9790</v>
      </c>
      <c r="G249" t="s">
        <v>1094</v>
      </c>
      <c r="H249" t="s">
        <v>1212</v>
      </c>
      <c r="I249" t="s">
        <v>983</v>
      </c>
      <c r="J249" t="s">
        <v>1590</v>
      </c>
      <c r="K249" t="s">
        <v>996</v>
      </c>
      <c r="L249" t="s">
        <v>1729</v>
      </c>
      <c r="M249" t="s">
        <v>11660</v>
      </c>
      <c r="N249" t="s">
        <v>998</v>
      </c>
      <c r="O249" t="s">
        <v>1000</v>
      </c>
      <c r="P249" t="s">
        <v>1734</v>
      </c>
      <c r="Q249" t="s">
        <v>10635</v>
      </c>
      <c r="R249" t="s">
        <v>1737</v>
      </c>
      <c r="S249" t="s">
        <v>10643</v>
      </c>
      <c r="T249" t="s">
        <v>937</v>
      </c>
      <c r="U249" t="s">
        <v>1011</v>
      </c>
      <c r="V249" t="s">
        <v>938</v>
      </c>
      <c r="W249" t="s">
        <v>940</v>
      </c>
      <c r="X249" t="s">
        <v>942</v>
      </c>
      <c r="Y249" t="s">
        <v>10681</v>
      </c>
      <c r="Z249" t="s">
        <v>1745</v>
      </c>
      <c r="AA249" t="s">
        <v>951</v>
      </c>
      <c r="AB249" t="s">
        <v>1048</v>
      </c>
      <c r="AC249" t="s">
        <v>1049</v>
      </c>
      <c r="AD249" t="s">
        <v>1758</v>
      </c>
      <c r="AE249" t="s">
        <v>11720</v>
      </c>
      <c r="AF249" t="s">
        <v>9788</v>
      </c>
      <c r="AG249" t="s">
        <v>1056</v>
      </c>
      <c r="AH249" t="s">
        <v>1057</v>
      </c>
      <c r="AI249" t="s">
        <v>955</v>
      </c>
      <c r="AJ249" t="s">
        <v>960</v>
      </c>
      <c r="AK249" t="s">
        <v>14374</v>
      </c>
      <c r="AL249" t="s">
        <v>962</v>
      </c>
      <c r="AM249" t="s">
        <v>10810</v>
      </c>
      <c r="AN249" t="s">
        <v>1069</v>
      </c>
      <c r="AO249" t="s">
        <v>1786</v>
      </c>
      <c r="AP249" t="s">
        <v>1072</v>
      </c>
      <c r="AQ249" t="s">
        <v>1078</v>
      </c>
      <c r="AR249" t="s">
        <v>1790</v>
      </c>
      <c r="AS249" t="s">
        <v>1080</v>
      </c>
    </row>
    <row r="250" spans="1:45" customFormat="1" ht="15" x14ac:dyDescent="0.25">
      <c r="A250" t="s">
        <v>757</v>
      </c>
      <c r="B250" t="s">
        <v>756</v>
      </c>
      <c r="C250" t="s">
        <v>971</v>
      </c>
      <c r="D250" t="s">
        <v>1403</v>
      </c>
      <c r="E250" t="s">
        <v>929</v>
      </c>
      <c r="F250" t="s">
        <v>1405</v>
      </c>
      <c r="G250" t="s">
        <v>9790</v>
      </c>
      <c r="H250" t="s">
        <v>1406</v>
      </c>
      <c r="I250" t="s">
        <v>1407</v>
      </c>
      <c r="J250" t="s">
        <v>9784</v>
      </c>
      <c r="K250" t="s">
        <v>1412</v>
      </c>
      <c r="L250" t="s">
        <v>1415</v>
      </c>
      <c r="M250" t="s">
        <v>1416</v>
      </c>
      <c r="N250" t="s">
        <v>1418</v>
      </c>
      <c r="O250" t="s">
        <v>10638</v>
      </c>
      <c r="P250" t="s">
        <v>1419</v>
      </c>
      <c r="Q250" t="s">
        <v>937</v>
      </c>
      <c r="R250" t="s">
        <v>938</v>
      </c>
      <c r="S250" t="s">
        <v>940</v>
      </c>
      <c r="T250" t="s">
        <v>1013</v>
      </c>
      <c r="U250" t="s">
        <v>1425</v>
      </c>
      <c r="V250" t="s">
        <v>1427</v>
      </c>
      <c r="W250" t="s">
        <v>1433</v>
      </c>
      <c r="X250" t="s">
        <v>1435</v>
      </c>
      <c r="Y250" t="s">
        <v>951</v>
      </c>
      <c r="Z250" t="s">
        <v>1048</v>
      </c>
      <c r="AA250" t="s">
        <v>1436</v>
      </c>
      <c r="AB250" t="s">
        <v>953</v>
      </c>
      <c r="AC250" t="s">
        <v>1056</v>
      </c>
      <c r="AD250" t="s">
        <v>955</v>
      </c>
      <c r="AE250" t="s">
        <v>1441</v>
      </c>
      <c r="AF250" t="s">
        <v>1442</v>
      </c>
      <c r="AG250" t="s">
        <v>1066</v>
      </c>
      <c r="AH250" t="s">
        <v>1072</v>
      </c>
      <c r="AI250" t="s">
        <v>1180</v>
      </c>
      <c r="AJ250" t="s">
        <v>1446</v>
      </c>
      <c r="AK250" t="s">
        <v>1448</v>
      </c>
    </row>
    <row r="251" spans="1:45" customFormat="1" ht="15" x14ac:dyDescent="0.25">
      <c r="A251" t="s">
        <v>759</v>
      </c>
      <c r="B251" t="s">
        <v>758</v>
      </c>
      <c r="C251" t="s">
        <v>1564</v>
      </c>
      <c r="D251" t="s">
        <v>1196</v>
      </c>
      <c r="E251" t="s">
        <v>971</v>
      </c>
      <c r="F251" t="s">
        <v>926</v>
      </c>
      <c r="G251" t="s">
        <v>929</v>
      </c>
      <c r="H251" t="s">
        <v>931</v>
      </c>
      <c r="I251" t="s">
        <v>9784</v>
      </c>
      <c r="J251" t="s">
        <v>933</v>
      </c>
      <c r="K251" t="s">
        <v>1416</v>
      </c>
      <c r="L251" t="s">
        <v>937</v>
      </c>
      <c r="M251" t="s">
        <v>938</v>
      </c>
      <c r="N251" t="s">
        <v>1013</v>
      </c>
      <c r="O251" t="s">
        <v>1126</v>
      </c>
      <c r="P251" t="s">
        <v>1025</v>
      </c>
      <c r="Q251" t="s">
        <v>943</v>
      </c>
      <c r="R251" t="s">
        <v>1300</v>
      </c>
      <c r="S251" t="s">
        <v>953</v>
      </c>
      <c r="T251" t="s">
        <v>11663</v>
      </c>
      <c r="U251" t="s">
        <v>960</v>
      </c>
      <c r="V251" t="s">
        <v>962</v>
      </c>
      <c r="W251" t="s">
        <v>1170</v>
      </c>
      <c r="X251" t="s">
        <v>1071</v>
      </c>
      <c r="Y251" t="s">
        <v>1374</v>
      </c>
      <c r="Z251" t="s">
        <v>968</v>
      </c>
      <c r="AA251" t="s">
        <v>1080</v>
      </c>
      <c r="AB251" t="s">
        <v>14377</v>
      </c>
    </row>
    <row r="252" spans="1:45" customFormat="1" ht="15" x14ac:dyDescent="0.25">
      <c r="A252" t="s">
        <v>761</v>
      </c>
      <c r="B252" t="s">
        <v>760</v>
      </c>
      <c r="C252" t="s">
        <v>1196</v>
      </c>
      <c r="D252" t="s">
        <v>1197</v>
      </c>
      <c r="E252" t="s">
        <v>924</v>
      </c>
      <c r="F252" t="s">
        <v>926</v>
      </c>
      <c r="G252" t="s">
        <v>929</v>
      </c>
      <c r="H252" t="s">
        <v>9790</v>
      </c>
      <c r="I252" t="s">
        <v>933</v>
      </c>
      <c r="J252" t="s">
        <v>1227</v>
      </c>
      <c r="K252" t="s">
        <v>1229</v>
      </c>
      <c r="L252" t="s">
        <v>1416</v>
      </c>
      <c r="M252" t="s">
        <v>10638</v>
      </c>
      <c r="N252" t="s">
        <v>938</v>
      </c>
      <c r="O252" t="s">
        <v>940</v>
      </c>
      <c r="P252" t="s">
        <v>1288</v>
      </c>
      <c r="Q252" t="s">
        <v>1126</v>
      </c>
      <c r="R252" t="s">
        <v>1025</v>
      </c>
      <c r="S252" t="s">
        <v>10687</v>
      </c>
      <c r="T252" t="s">
        <v>943</v>
      </c>
      <c r="U252" t="s">
        <v>1297</v>
      </c>
      <c r="V252" t="s">
        <v>945</v>
      </c>
      <c r="W252" t="s">
        <v>1134</v>
      </c>
      <c r="X252" t="s">
        <v>949</v>
      </c>
      <c r="Y252" t="s">
        <v>1136</v>
      </c>
      <c r="Z252" t="s">
        <v>1041</v>
      </c>
      <c r="AA252" t="s">
        <v>9787</v>
      </c>
      <c r="AB252" t="s">
        <v>1146</v>
      </c>
      <c r="AC252" t="s">
        <v>951</v>
      </c>
      <c r="AD252" t="s">
        <v>1051</v>
      </c>
      <c r="AE252" t="s">
        <v>1331</v>
      </c>
      <c r="AF252" t="s">
        <v>953</v>
      </c>
      <c r="AG252" t="s">
        <v>11720</v>
      </c>
      <c r="AH252" t="s">
        <v>9788</v>
      </c>
      <c r="AI252" t="s">
        <v>1155</v>
      </c>
      <c r="AJ252" t="s">
        <v>11663</v>
      </c>
      <c r="AK252" t="s">
        <v>14374</v>
      </c>
      <c r="AL252" t="s">
        <v>1158</v>
      </c>
      <c r="AM252" t="s">
        <v>1349</v>
      </c>
      <c r="AN252" t="s">
        <v>1354</v>
      </c>
      <c r="AO252" t="s">
        <v>1072</v>
      </c>
      <c r="AP252" t="s">
        <v>1374</v>
      </c>
      <c r="AQ252" t="s">
        <v>1380</v>
      </c>
      <c r="AR252" t="s">
        <v>1080</v>
      </c>
    </row>
    <row r="253" spans="1:45" customFormat="1" ht="15" x14ac:dyDescent="0.25">
      <c r="A253" t="s">
        <v>763</v>
      </c>
      <c r="B253" t="s">
        <v>762</v>
      </c>
      <c r="C253" t="s">
        <v>926</v>
      </c>
      <c r="D253" t="s">
        <v>929</v>
      </c>
      <c r="E253" t="s">
        <v>1585</v>
      </c>
      <c r="F253" t="s">
        <v>998</v>
      </c>
      <c r="G253" t="s">
        <v>1249</v>
      </c>
      <c r="H253" t="s">
        <v>1250</v>
      </c>
      <c r="I253" t="s">
        <v>1008</v>
      </c>
      <c r="J253" t="s">
        <v>10651</v>
      </c>
      <c r="K253" t="s">
        <v>1264</v>
      </c>
      <c r="L253" t="s">
        <v>937</v>
      </c>
      <c r="M253" t="s">
        <v>940</v>
      </c>
      <c r="N253" t="s">
        <v>1012</v>
      </c>
      <c r="O253" t="s">
        <v>1025</v>
      </c>
      <c r="P253" t="s">
        <v>1626</v>
      </c>
      <c r="Q253" t="s">
        <v>10681</v>
      </c>
      <c r="R253" t="s">
        <v>1631</v>
      </c>
      <c r="S253" t="s">
        <v>945</v>
      </c>
      <c r="T253" t="s">
        <v>1135</v>
      </c>
      <c r="U253" t="s">
        <v>1041</v>
      </c>
      <c r="V253" t="s">
        <v>9787</v>
      </c>
      <c r="W253" t="s">
        <v>951</v>
      </c>
      <c r="X253" t="s">
        <v>1048</v>
      </c>
      <c r="Y253" t="s">
        <v>953</v>
      </c>
      <c r="Z253" t="s">
        <v>11720</v>
      </c>
      <c r="AA253" t="s">
        <v>9788</v>
      </c>
      <c r="AB253" t="s">
        <v>1057</v>
      </c>
      <c r="AC253" t="s">
        <v>955</v>
      </c>
      <c r="AD253" t="s">
        <v>11663</v>
      </c>
      <c r="AE253" t="s">
        <v>14374</v>
      </c>
      <c r="AF253" t="s">
        <v>9876</v>
      </c>
      <c r="AG253" t="s">
        <v>1072</v>
      </c>
      <c r="AH253" t="s">
        <v>1691</v>
      </c>
    </row>
    <row r="254" spans="1:45" customFormat="1" ht="15" x14ac:dyDescent="0.25">
      <c r="A254" t="s">
        <v>765</v>
      </c>
      <c r="B254" t="s">
        <v>764</v>
      </c>
      <c r="C254" t="s">
        <v>1195</v>
      </c>
      <c r="D254" t="s">
        <v>924</v>
      </c>
      <c r="E254" t="s">
        <v>926</v>
      </c>
      <c r="F254" t="s">
        <v>929</v>
      </c>
      <c r="G254" t="s">
        <v>1575</v>
      </c>
      <c r="H254" t="s">
        <v>931</v>
      </c>
      <c r="I254" t="s">
        <v>10577</v>
      </c>
      <c r="J254" t="s">
        <v>9836</v>
      </c>
      <c r="K254" t="s">
        <v>983</v>
      </c>
      <c r="L254" t="s">
        <v>1590</v>
      </c>
      <c r="M254" t="s">
        <v>1485</v>
      </c>
      <c r="N254" t="s">
        <v>10638</v>
      </c>
      <c r="O254" t="s">
        <v>10643</v>
      </c>
      <c r="P254" t="s">
        <v>1008</v>
      </c>
      <c r="Q254" t="s">
        <v>937</v>
      </c>
      <c r="R254" t="s">
        <v>938</v>
      </c>
      <c r="S254" t="s">
        <v>940</v>
      </c>
      <c r="T254" t="s">
        <v>942</v>
      </c>
      <c r="U254" t="s">
        <v>1025</v>
      </c>
      <c r="V254" t="s">
        <v>10681</v>
      </c>
      <c r="W254" t="s">
        <v>1296</v>
      </c>
      <c r="X254" t="s">
        <v>945</v>
      </c>
      <c r="Y254" t="s">
        <v>951</v>
      </c>
      <c r="Z254" t="s">
        <v>1048</v>
      </c>
      <c r="AA254" t="s">
        <v>11720</v>
      </c>
      <c r="AB254" t="s">
        <v>1056</v>
      </c>
      <c r="AC254" t="s">
        <v>955</v>
      </c>
      <c r="AD254" t="s">
        <v>1660</v>
      </c>
      <c r="AE254" t="s">
        <v>960</v>
      </c>
      <c r="AF254" t="s">
        <v>1062</v>
      </c>
      <c r="AG254" t="s">
        <v>962</v>
      </c>
      <c r="AH254" t="s">
        <v>964</v>
      </c>
      <c r="AI254" t="s">
        <v>1069</v>
      </c>
      <c r="AJ254" t="s">
        <v>1072</v>
      </c>
      <c r="AK254" t="s">
        <v>1794</v>
      </c>
    </row>
    <row r="255" spans="1:45" customFormat="1" ht="15" x14ac:dyDescent="0.25">
      <c r="A255" t="s">
        <v>767</v>
      </c>
      <c r="B255" t="s">
        <v>766</v>
      </c>
      <c r="C255" t="s">
        <v>1016</v>
      </c>
      <c r="D255" t="s">
        <v>971</v>
      </c>
      <c r="E255" t="s">
        <v>974</v>
      </c>
      <c r="F255" t="s">
        <v>926</v>
      </c>
      <c r="G255" t="s">
        <v>929</v>
      </c>
      <c r="H255" t="s">
        <v>1455</v>
      </c>
      <c r="I255" t="s">
        <v>1461</v>
      </c>
      <c r="J255" t="s">
        <v>985</v>
      </c>
      <c r="K255" t="s">
        <v>991</v>
      </c>
      <c r="L255" t="s">
        <v>1480</v>
      </c>
      <c r="M255" t="s">
        <v>1483</v>
      </c>
      <c r="N255" t="s">
        <v>1000</v>
      </c>
      <c r="O255" t="s">
        <v>10638</v>
      </c>
      <c r="P255" t="s">
        <v>1006</v>
      </c>
      <c r="Q255" t="s">
        <v>1009</v>
      </c>
      <c r="R255" t="s">
        <v>937</v>
      </c>
      <c r="S255" t="s">
        <v>1011</v>
      </c>
      <c r="T255" t="s">
        <v>940</v>
      </c>
      <c r="U255" t="s">
        <v>1013</v>
      </c>
      <c r="V255" t="s">
        <v>1495</v>
      </c>
      <c r="W255" t="s">
        <v>1497</v>
      </c>
      <c r="X255" t="s">
        <v>9819</v>
      </c>
      <c r="Y255" t="s">
        <v>9820</v>
      </c>
      <c r="Z255" t="s">
        <v>11696</v>
      </c>
      <c r="AA255" t="s">
        <v>1516</v>
      </c>
      <c r="AB255" t="s">
        <v>1521</v>
      </c>
      <c r="AC255" t="s">
        <v>951</v>
      </c>
      <c r="AD255" t="s">
        <v>1529</v>
      </c>
      <c r="AE255" t="s">
        <v>955</v>
      </c>
      <c r="AF255" t="s">
        <v>1541</v>
      </c>
      <c r="AG255" t="s">
        <v>1069</v>
      </c>
      <c r="AH255" t="s">
        <v>1083</v>
      </c>
    </row>
    <row r="256" spans="1:45" customFormat="1" ht="15" x14ac:dyDescent="0.25">
      <c r="A256" t="s">
        <v>769</v>
      </c>
      <c r="B256" t="s">
        <v>768</v>
      </c>
      <c r="C256" t="s">
        <v>929</v>
      </c>
      <c r="D256" t="s">
        <v>983</v>
      </c>
      <c r="E256" t="s">
        <v>1715</v>
      </c>
      <c r="F256" t="s">
        <v>933</v>
      </c>
      <c r="G256" t="s">
        <v>997</v>
      </c>
      <c r="H256" t="s">
        <v>935</v>
      </c>
      <c r="I256" t="s">
        <v>10638</v>
      </c>
      <c r="J256" t="s">
        <v>1006</v>
      </c>
      <c r="K256" t="s">
        <v>1013</v>
      </c>
      <c r="L256" t="s">
        <v>1126</v>
      </c>
      <c r="M256" t="s">
        <v>10681</v>
      </c>
      <c r="N256" t="s">
        <v>943</v>
      </c>
      <c r="O256" t="s">
        <v>1030</v>
      </c>
      <c r="P256" t="s">
        <v>1041</v>
      </c>
      <c r="Q256" t="s">
        <v>9787</v>
      </c>
      <c r="R256" t="s">
        <v>1048</v>
      </c>
      <c r="S256" t="s">
        <v>1049</v>
      </c>
      <c r="T256" t="s">
        <v>9788</v>
      </c>
      <c r="U256" t="s">
        <v>14374</v>
      </c>
      <c r="V256" t="s">
        <v>1852</v>
      </c>
      <c r="W256" t="s">
        <v>1072</v>
      </c>
      <c r="X256" t="s">
        <v>1077</v>
      </c>
      <c r="Y256" t="s">
        <v>1865</v>
      </c>
    </row>
    <row r="257" spans="1:54" customFormat="1" ht="15" x14ac:dyDescent="0.25">
      <c r="A257" t="s">
        <v>771</v>
      </c>
      <c r="B257" t="s">
        <v>770</v>
      </c>
      <c r="C257" t="s">
        <v>1195</v>
      </c>
      <c r="D257" t="s">
        <v>1196</v>
      </c>
      <c r="E257" t="s">
        <v>1566</v>
      </c>
      <c r="F257" t="s">
        <v>926</v>
      </c>
      <c r="G257" t="s">
        <v>933</v>
      </c>
      <c r="H257" t="s">
        <v>998</v>
      </c>
      <c r="I257" t="s">
        <v>10638</v>
      </c>
      <c r="J257" t="s">
        <v>1610</v>
      </c>
      <c r="K257" t="s">
        <v>1008</v>
      </c>
      <c r="L257" t="s">
        <v>1009</v>
      </c>
      <c r="M257" t="s">
        <v>11703</v>
      </c>
      <c r="N257" t="s">
        <v>1123</v>
      </c>
      <c r="O257" t="s">
        <v>1012</v>
      </c>
      <c r="P257" t="s">
        <v>1025</v>
      </c>
      <c r="Q257" t="s">
        <v>943</v>
      </c>
      <c r="R257" t="s">
        <v>1300</v>
      </c>
      <c r="S257" t="s">
        <v>1330</v>
      </c>
      <c r="T257" t="s">
        <v>1331</v>
      </c>
      <c r="U257" t="s">
        <v>953</v>
      </c>
      <c r="V257" t="s">
        <v>1155</v>
      </c>
      <c r="W257" t="s">
        <v>11663</v>
      </c>
      <c r="X257" t="s">
        <v>962</v>
      </c>
      <c r="Y257" t="s">
        <v>1170</v>
      </c>
      <c r="Z257" t="s">
        <v>1069</v>
      </c>
      <c r="AA257" t="s">
        <v>9880</v>
      </c>
      <c r="AB257" t="s">
        <v>1072</v>
      </c>
      <c r="AC257" t="s">
        <v>1684</v>
      </c>
      <c r="AD257" t="s">
        <v>1374</v>
      </c>
    </row>
    <row r="258" spans="1:54" customFormat="1" ht="15" x14ac:dyDescent="0.25">
      <c r="A258" t="s">
        <v>773</v>
      </c>
      <c r="B258" t="s">
        <v>772</v>
      </c>
      <c r="C258" t="s">
        <v>926</v>
      </c>
      <c r="D258" t="s">
        <v>929</v>
      </c>
      <c r="E258" t="s">
        <v>931</v>
      </c>
      <c r="F258" t="s">
        <v>9784</v>
      </c>
      <c r="G258" t="s">
        <v>933</v>
      </c>
      <c r="H258" t="s">
        <v>1720</v>
      </c>
      <c r="I258" t="s">
        <v>935</v>
      </c>
      <c r="J258" t="s">
        <v>11660</v>
      </c>
      <c r="K258" t="s">
        <v>10638</v>
      </c>
      <c r="L258" t="s">
        <v>1010</v>
      </c>
      <c r="M258" t="s">
        <v>937</v>
      </c>
      <c r="N258" t="s">
        <v>1020</v>
      </c>
      <c r="O258" t="s">
        <v>942</v>
      </c>
      <c r="P258" t="s">
        <v>943</v>
      </c>
      <c r="Q258" t="s">
        <v>945</v>
      </c>
      <c r="R258" t="s">
        <v>1051</v>
      </c>
      <c r="S258" t="s">
        <v>1756</v>
      </c>
      <c r="T258" t="s">
        <v>11720</v>
      </c>
      <c r="U258" t="s">
        <v>1057</v>
      </c>
      <c r="V258" t="s">
        <v>955</v>
      </c>
      <c r="W258" t="s">
        <v>1765</v>
      </c>
      <c r="X258" t="s">
        <v>960</v>
      </c>
      <c r="Y258" t="s">
        <v>962</v>
      </c>
      <c r="Z258" t="s">
        <v>964</v>
      </c>
      <c r="AA258" t="s">
        <v>1770</v>
      </c>
      <c r="AB258" t="s">
        <v>10757</v>
      </c>
      <c r="AC258" t="s">
        <v>1069</v>
      </c>
      <c r="AD258" t="s">
        <v>1793</v>
      </c>
      <c r="AE258" t="s">
        <v>11715</v>
      </c>
    </row>
    <row r="259" spans="1:54" customFormat="1" ht="15" x14ac:dyDescent="0.25">
      <c r="A259" t="s">
        <v>775</v>
      </c>
      <c r="B259" t="s">
        <v>774</v>
      </c>
      <c r="C259" t="s">
        <v>1452</v>
      </c>
      <c r="D259" t="s">
        <v>929</v>
      </c>
      <c r="E259" t="s">
        <v>9790</v>
      </c>
      <c r="F259" t="s">
        <v>1095</v>
      </c>
      <c r="G259" t="s">
        <v>10584</v>
      </c>
      <c r="H259" t="s">
        <v>1804</v>
      </c>
      <c r="I259" t="s">
        <v>983</v>
      </c>
      <c r="J259" t="s">
        <v>9841</v>
      </c>
      <c r="K259" t="s">
        <v>991</v>
      </c>
      <c r="L259" t="s">
        <v>996</v>
      </c>
      <c r="M259" t="s">
        <v>10638</v>
      </c>
      <c r="N259" t="s">
        <v>10643</v>
      </c>
      <c r="O259" t="s">
        <v>1008</v>
      </c>
      <c r="P259" t="s">
        <v>1009</v>
      </c>
      <c r="Q259" t="s">
        <v>937</v>
      </c>
      <c r="R259" t="s">
        <v>938</v>
      </c>
      <c r="S259" t="s">
        <v>10652</v>
      </c>
      <c r="T259" t="s">
        <v>940</v>
      </c>
      <c r="U259" t="s">
        <v>1013</v>
      </c>
      <c r="V259" t="s">
        <v>1030</v>
      </c>
      <c r="W259" t="s">
        <v>9827</v>
      </c>
      <c r="X259" t="s">
        <v>951</v>
      </c>
      <c r="Y259" t="s">
        <v>1051</v>
      </c>
      <c r="Z259" t="s">
        <v>953</v>
      </c>
      <c r="AA259" t="s">
        <v>11720</v>
      </c>
      <c r="AB259" t="s">
        <v>1057</v>
      </c>
      <c r="AC259" t="s">
        <v>955</v>
      </c>
      <c r="AD259" t="s">
        <v>1841</v>
      </c>
      <c r="AE259" t="s">
        <v>1861</v>
      </c>
      <c r="AF259" t="s">
        <v>1077</v>
      </c>
      <c r="AG259" t="s">
        <v>1865</v>
      </c>
    </row>
    <row r="260" spans="1:54" customFormat="1" ht="15" x14ac:dyDescent="0.25">
      <c r="A260" t="s">
        <v>777</v>
      </c>
      <c r="B260" t="s">
        <v>776</v>
      </c>
      <c r="C260" t="s">
        <v>926</v>
      </c>
      <c r="D260" t="s">
        <v>929</v>
      </c>
      <c r="E260" t="s">
        <v>9790</v>
      </c>
      <c r="F260" t="s">
        <v>1100</v>
      </c>
      <c r="G260" t="s">
        <v>933</v>
      </c>
      <c r="H260" t="s">
        <v>996</v>
      </c>
      <c r="I260" t="s">
        <v>1110</v>
      </c>
      <c r="J260" t="s">
        <v>935</v>
      </c>
      <c r="K260" t="s">
        <v>998</v>
      </c>
      <c r="L260" t="s">
        <v>1111</v>
      </c>
      <c r="M260" t="s">
        <v>1113</v>
      </c>
      <c r="N260" t="s">
        <v>10630</v>
      </c>
      <c r="O260" t="s">
        <v>10638</v>
      </c>
      <c r="P260" t="s">
        <v>1009</v>
      </c>
      <c r="Q260" t="s">
        <v>1010</v>
      </c>
      <c r="R260" t="s">
        <v>937</v>
      </c>
      <c r="S260" t="s">
        <v>938</v>
      </c>
      <c r="T260" t="s">
        <v>940</v>
      </c>
      <c r="U260" t="s">
        <v>1013</v>
      </c>
      <c r="V260" t="s">
        <v>10667</v>
      </c>
      <c r="W260" t="s">
        <v>1126</v>
      </c>
      <c r="X260" t="s">
        <v>1020</v>
      </c>
      <c r="Y260" t="s">
        <v>1025</v>
      </c>
      <c r="Z260" t="s">
        <v>10681</v>
      </c>
      <c r="AA260" t="s">
        <v>1033</v>
      </c>
      <c r="AB260" t="s">
        <v>1141</v>
      </c>
      <c r="AC260" t="s">
        <v>1146</v>
      </c>
      <c r="AD260" t="s">
        <v>951</v>
      </c>
      <c r="AE260" t="s">
        <v>1051</v>
      </c>
      <c r="AF260" t="s">
        <v>953</v>
      </c>
      <c r="AG260" t="s">
        <v>1152</v>
      </c>
      <c r="AH260" t="s">
        <v>11720</v>
      </c>
      <c r="AI260" t="s">
        <v>9788</v>
      </c>
      <c r="AJ260" t="s">
        <v>1056</v>
      </c>
      <c r="AK260" t="s">
        <v>1057</v>
      </c>
      <c r="AL260" t="s">
        <v>955</v>
      </c>
      <c r="AM260" t="s">
        <v>14374</v>
      </c>
      <c r="AN260" t="s">
        <v>1159</v>
      </c>
      <c r="AO260" t="s">
        <v>1069</v>
      </c>
      <c r="AP260" t="s">
        <v>1072</v>
      </c>
    </row>
    <row r="261" spans="1:54" customFormat="1" ht="15" x14ac:dyDescent="0.25">
      <c r="A261" t="s">
        <v>779</v>
      </c>
      <c r="B261" t="s">
        <v>778</v>
      </c>
      <c r="C261" t="s">
        <v>922</v>
      </c>
      <c r="D261" t="s">
        <v>10568</v>
      </c>
      <c r="E261" t="s">
        <v>926</v>
      </c>
      <c r="F261" t="s">
        <v>929</v>
      </c>
      <c r="G261" t="s">
        <v>1575</v>
      </c>
      <c r="H261" t="s">
        <v>931</v>
      </c>
      <c r="I261" t="s">
        <v>933</v>
      </c>
      <c r="J261" t="s">
        <v>996</v>
      </c>
      <c r="K261" t="s">
        <v>998</v>
      </c>
      <c r="L261" t="s">
        <v>1601</v>
      </c>
      <c r="M261" t="s">
        <v>938</v>
      </c>
      <c r="N261" t="s">
        <v>940</v>
      </c>
      <c r="O261" t="s">
        <v>942</v>
      </c>
      <c r="P261" t="s">
        <v>1025</v>
      </c>
      <c r="Q261" t="s">
        <v>10681</v>
      </c>
      <c r="R261" t="s">
        <v>945</v>
      </c>
      <c r="S261" t="s">
        <v>1044</v>
      </c>
      <c r="T261" t="s">
        <v>951</v>
      </c>
      <c r="U261" t="s">
        <v>1048</v>
      </c>
      <c r="V261" t="s">
        <v>11720</v>
      </c>
      <c r="W261" t="s">
        <v>9788</v>
      </c>
      <c r="X261" t="s">
        <v>1056</v>
      </c>
      <c r="Y261" t="s">
        <v>955</v>
      </c>
      <c r="Z261" t="s">
        <v>960</v>
      </c>
      <c r="AA261" t="s">
        <v>14374</v>
      </c>
      <c r="AB261" t="s">
        <v>962</v>
      </c>
      <c r="AC261" t="s">
        <v>964</v>
      </c>
      <c r="AD261" t="s">
        <v>1674</v>
      </c>
      <c r="AE261" t="s">
        <v>966</v>
      </c>
      <c r="AF261" t="s">
        <v>1686</v>
      </c>
      <c r="AG261" t="s">
        <v>968</v>
      </c>
    </row>
    <row r="262" spans="1:54" customFormat="1" ht="15" x14ac:dyDescent="0.25">
      <c r="A262" t="s">
        <v>781</v>
      </c>
      <c r="B262" t="s">
        <v>780</v>
      </c>
      <c r="C262" t="s">
        <v>926</v>
      </c>
      <c r="D262" t="s">
        <v>929</v>
      </c>
      <c r="E262" t="s">
        <v>931</v>
      </c>
      <c r="F262" t="s">
        <v>983</v>
      </c>
      <c r="G262" t="s">
        <v>1715</v>
      </c>
      <c r="H262" t="s">
        <v>1590</v>
      </c>
      <c r="I262" t="s">
        <v>998</v>
      </c>
      <c r="J262" t="s">
        <v>1737</v>
      </c>
      <c r="K262" t="s">
        <v>10638</v>
      </c>
      <c r="L262" t="s">
        <v>10643</v>
      </c>
      <c r="M262" t="s">
        <v>937</v>
      </c>
      <c r="N262" t="s">
        <v>940</v>
      </c>
      <c r="O262" t="s">
        <v>1018</v>
      </c>
      <c r="P262" t="s">
        <v>942</v>
      </c>
      <c r="Q262" t="s">
        <v>10681</v>
      </c>
      <c r="R262" t="s">
        <v>1745</v>
      </c>
      <c r="S262" t="s">
        <v>945</v>
      </c>
      <c r="T262" t="s">
        <v>1049</v>
      </c>
      <c r="U262" t="s">
        <v>1758</v>
      </c>
      <c r="V262" t="s">
        <v>11720</v>
      </c>
      <c r="W262" t="s">
        <v>955</v>
      </c>
      <c r="X262" t="s">
        <v>960</v>
      </c>
      <c r="Y262" t="s">
        <v>14374</v>
      </c>
      <c r="Z262" t="s">
        <v>962</v>
      </c>
      <c r="AA262" t="s">
        <v>1069</v>
      </c>
      <c r="AB262" t="s">
        <v>1790</v>
      </c>
      <c r="AC262" t="s">
        <v>1080</v>
      </c>
    </row>
    <row r="263" spans="1:54" customFormat="1" ht="15" x14ac:dyDescent="0.25">
      <c r="A263" t="s">
        <v>783</v>
      </c>
      <c r="B263" t="s">
        <v>782</v>
      </c>
      <c r="C263" t="s">
        <v>926</v>
      </c>
      <c r="D263" t="s">
        <v>929</v>
      </c>
      <c r="E263" t="s">
        <v>9784</v>
      </c>
      <c r="F263" t="s">
        <v>1416</v>
      </c>
      <c r="G263" t="s">
        <v>10638</v>
      </c>
      <c r="H263" t="s">
        <v>1009</v>
      </c>
      <c r="I263" t="s">
        <v>937</v>
      </c>
      <c r="J263" t="s">
        <v>938</v>
      </c>
      <c r="K263" t="s">
        <v>940</v>
      </c>
      <c r="L263" t="s">
        <v>1013</v>
      </c>
      <c r="M263" t="s">
        <v>1125</v>
      </c>
      <c r="N263" t="s">
        <v>1126</v>
      </c>
      <c r="O263" t="s">
        <v>1025</v>
      </c>
      <c r="P263" t="s">
        <v>945</v>
      </c>
      <c r="Q263" t="s">
        <v>1302</v>
      </c>
      <c r="R263" t="s">
        <v>1041</v>
      </c>
      <c r="S263" t="s">
        <v>9787</v>
      </c>
      <c r="T263" t="s">
        <v>951</v>
      </c>
      <c r="U263" t="s">
        <v>953</v>
      </c>
      <c r="V263" t="s">
        <v>10809</v>
      </c>
      <c r="W263" t="s">
        <v>11720</v>
      </c>
      <c r="X263" t="s">
        <v>955</v>
      </c>
      <c r="Y263" t="s">
        <v>11663</v>
      </c>
      <c r="Z263" t="s">
        <v>1066</v>
      </c>
      <c r="AA263" t="s">
        <v>1072</v>
      </c>
      <c r="AB263" t="s">
        <v>1684</v>
      </c>
      <c r="AC263" t="s">
        <v>1691</v>
      </c>
      <c r="AD263" t="s">
        <v>1080</v>
      </c>
    </row>
    <row r="264" spans="1:54" customFormat="1" ht="15" x14ac:dyDescent="0.25">
      <c r="A264" t="s">
        <v>785</v>
      </c>
      <c r="B264" t="s">
        <v>784</v>
      </c>
      <c r="C264" t="s">
        <v>929</v>
      </c>
      <c r="D264" t="s">
        <v>933</v>
      </c>
      <c r="E264" t="s">
        <v>1005</v>
      </c>
      <c r="F264" t="s">
        <v>1008</v>
      </c>
      <c r="G264" t="s">
        <v>1119</v>
      </c>
      <c r="H264" t="s">
        <v>938</v>
      </c>
      <c r="I264" t="s">
        <v>940</v>
      </c>
      <c r="J264" t="s">
        <v>943</v>
      </c>
      <c r="K264" t="s">
        <v>1134</v>
      </c>
      <c r="L264" t="s">
        <v>949</v>
      </c>
      <c r="M264" t="s">
        <v>1138</v>
      </c>
      <c r="N264" t="s">
        <v>1140</v>
      </c>
      <c r="O264" t="s">
        <v>1142</v>
      </c>
      <c r="P264" t="s">
        <v>1146</v>
      </c>
      <c r="Q264" t="s">
        <v>951</v>
      </c>
      <c r="R264" t="s">
        <v>1048</v>
      </c>
      <c r="S264" t="s">
        <v>1150</v>
      </c>
      <c r="T264" t="s">
        <v>955</v>
      </c>
      <c r="U264" t="s">
        <v>1154</v>
      </c>
      <c r="V264" t="s">
        <v>1155</v>
      </c>
      <c r="W264" t="s">
        <v>14380</v>
      </c>
      <c r="X264" t="s">
        <v>1166</v>
      </c>
      <c r="Y264" t="s">
        <v>1072</v>
      </c>
      <c r="Z264" t="s">
        <v>1181</v>
      </c>
      <c r="AA264" t="s">
        <v>1185</v>
      </c>
    </row>
    <row r="265" spans="1:54" customFormat="1" ht="15" x14ac:dyDescent="0.25">
      <c r="A265" t="s">
        <v>787</v>
      </c>
      <c r="B265" t="s">
        <v>786</v>
      </c>
      <c r="C265" t="s">
        <v>929</v>
      </c>
      <c r="D265" t="s">
        <v>9784</v>
      </c>
      <c r="E265" t="s">
        <v>1094</v>
      </c>
      <c r="F265" t="s">
        <v>1108</v>
      </c>
      <c r="G265" t="s">
        <v>1100</v>
      </c>
      <c r="H265" t="s">
        <v>933</v>
      </c>
      <c r="I265" t="s">
        <v>1111</v>
      </c>
      <c r="J265" t="s">
        <v>937</v>
      </c>
      <c r="K265" t="s">
        <v>1126</v>
      </c>
      <c r="L265" t="s">
        <v>1127</v>
      </c>
      <c r="M265" t="s">
        <v>1025</v>
      </c>
      <c r="N265" t="s">
        <v>945</v>
      </c>
      <c r="O265" t="s">
        <v>1134</v>
      </c>
      <c r="P265" t="s">
        <v>1041</v>
      </c>
      <c r="Q265" t="s">
        <v>1146</v>
      </c>
      <c r="R265" t="s">
        <v>951</v>
      </c>
      <c r="S265" t="s">
        <v>9788</v>
      </c>
      <c r="T265" t="s">
        <v>955</v>
      </c>
      <c r="U265" t="s">
        <v>11663</v>
      </c>
      <c r="V265" t="s">
        <v>14374</v>
      </c>
      <c r="W265" t="s">
        <v>1159</v>
      </c>
      <c r="X265" t="s">
        <v>1072</v>
      </c>
    </row>
    <row r="266" spans="1:54" customFormat="1" ht="15" x14ac:dyDescent="0.25">
      <c r="A266" t="s">
        <v>789</v>
      </c>
      <c r="B266" t="s">
        <v>788</v>
      </c>
      <c r="C266" t="s">
        <v>1195</v>
      </c>
      <c r="D266" t="s">
        <v>926</v>
      </c>
      <c r="E266" t="s">
        <v>1570</v>
      </c>
      <c r="F266" t="s">
        <v>929</v>
      </c>
      <c r="G266" t="s">
        <v>1095</v>
      </c>
      <c r="H266" t="s">
        <v>1580</v>
      </c>
      <c r="I266" t="s">
        <v>933</v>
      </c>
      <c r="J266" t="s">
        <v>14395</v>
      </c>
      <c r="K266" t="s">
        <v>1000</v>
      </c>
      <c r="L266" t="s">
        <v>1249</v>
      </c>
      <c r="M266" t="s">
        <v>1614</v>
      </c>
      <c r="N266" t="s">
        <v>938</v>
      </c>
      <c r="O266" t="s">
        <v>940</v>
      </c>
      <c r="P266" t="s">
        <v>1012</v>
      </c>
      <c r="Q266" t="s">
        <v>1126</v>
      </c>
      <c r="R266" t="s">
        <v>942</v>
      </c>
      <c r="S266" t="s">
        <v>1025</v>
      </c>
      <c r="T266" t="s">
        <v>10681</v>
      </c>
      <c r="U266" t="s">
        <v>945</v>
      </c>
      <c r="V266" t="s">
        <v>1041</v>
      </c>
      <c r="W266" t="s">
        <v>9787</v>
      </c>
      <c r="X266" t="s">
        <v>1044</v>
      </c>
      <c r="Y266" t="s">
        <v>951</v>
      </c>
      <c r="Z266" t="s">
        <v>1048</v>
      </c>
      <c r="AA266" t="s">
        <v>953</v>
      </c>
      <c r="AB266" t="s">
        <v>11720</v>
      </c>
      <c r="AC266" t="s">
        <v>9788</v>
      </c>
      <c r="AD266" t="s">
        <v>1057</v>
      </c>
      <c r="AE266" t="s">
        <v>955</v>
      </c>
      <c r="AF266" t="s">
        <v>11663</v>
      </c>
      <c r="AG266" t="s">
        <v>1679</v>
      </c>
      <c r="AH266" t="s">
        <v>1072</v>
      </c>
      <c r="AI266" t="s">
        <v>14396</v>
      </c>
      <c r="AJ266" t="s">
        <v>1684</v>
      </c>
      <c r="AK266" t="s">
        <v>1691</v>
      </c>
      <c r="AL266" t="s">
        <v>1399</v>
      </c>
    </row>
    <row r="267" spans="1:54" customFormat="1" ht="15" x14ac:dyDescent="0.25">
      <c r="A267" t="s">
        <v>791</v>
      </c>
      <c r="B267" t="s">
        <v>790</v>
      </c>
      <c r="C267" t="s">
        <v>926</v>
      </c>
      <c r="D267" t="s">
        <v>929</v>
      </c>
      <c r="E267" t="s">
        <v>931</v>
      </c>
      <c r="F267" t="s">
        <v>9784</v>
      </c>
      <c r="G267" t="s">
        <v>10638</v>
      </c>
      <c r="H267" t="s">
        <v>937</v>
      </c>
      <c r="I267" t="s">
        <v>1011</v>
      </c>
      <c r="J267" t="s">
        <v>938</v>
      </c>
      <c r="K267" t="s">
        <v>1018</v>
      </c>
      <c r="L267" t="s">
        <v>10667</v>
      </c>
      <c r="M267" t="s">
        <v>1126</v>
      </c>
      <c r="N267" t="s">
        <v>1020</v>
      </c>
      <c r="O267" t="s">
        <v>942</v>
      </c>
      <c r="P267" t="s">
        <v>1743</v>
      </c>
      <c r="Q267" t="s">
        <v>945</v>
      </c>
      <c r="R267" t="s">
        <v>1135</v>
      </c>
      <c r="S267" t="s">
        <v>1048</v>
      </c>
      <c r="T267" t="s">
        <v>1051</v>
      </c>
      <c r="U267" t="s">
        <v>953</v>
      </c>
      <c r="V267" t="s">
        <v>1056</v>
      </c>
      <c r="W267" t="s">
        <v>1057</v>
      </c>
      <c r="X267" t="s">
        <v>955</v>
      </c>
      <c r="Y267" t="s">
        <v>960</v>
      </c>
      <c r="Z267" t="s">
        <v>1062</v>
      </c>
      <c r="AA267" t="s">
        <v>962</v>
      </c>
      <c r="AB267" t="s">
        <v>1353</v>
      </c>
      <c r="AC267" t="s">
        <v>1778</v>
      </c>
      <c r="AD267" t="s">
        <v>1069</v>
      </c>
      <c r="AE267" t="s">
        <v>9840</v>
      </c>
      <c r="AF267" t="s">
        <v>1793</v>
      </c>
    </row>
    <row r="268" spans="1:54" customFormat="1" ht="15" x14ac:dyDescent="0.25">
      <c r="A268" t="s">
        <v>793</v>
      </c>
      <c r="B268" t="s">
        <v>792</v>
      </c>
      <c r="C268" t="s">
        <v>926</v>
      </c>
      <c r="D268" t="s">
        <v>978</v>
      </c>
      <c r="E268" t="s">
        <v>1575</v>
      </c>
      <c r="F268" t="s">
        <v>931</v>
      </c>
      <c r="G268" t="s">
        <v>9790</v>
      </c>
      <c r="H268" t="s">
        <v>9784</v>
      </c>
      <c r="I268" t="s">
        <v>1416</v>
      </c>
      <c r="J268" t="s">
        <v>10638</v>
      </c>
      <c r="K268" t="s">
        <v>1010</v>
      </c>
      <c r="L268" t="s">
        <v>937</v>
      </c>
      <c r="M268" t="s">
        <v>942</v>
      </c>
      <c r="N268" t="s">
        <v>945</v>
      </c>
      <c r="O268" t="s">
        <v>1748</v>
      </c>
      <c r="P268" t="s">
        <v>951</v>
      </c>
      <c r="Q268" t="s">
        <v>1048</v>
      </c>
      <c r="R268" t="s">
        <v>1757</v>
      </c>
      <c r="S268" t="s">
        <v>11720</v>
      </c>
      <c r="T268" t="s">
        <v>1057</v>
      </c>
      <c r="U268" t="s">
        <v>955</v>
      </c>
      <c r="V268" t="s">
        <v>960</v>
      </c>
      <c r="W268" t="s">
        <v>1775</v>
      </c>
      <c r="X268" t="s">
        <v>1778</v>
      </c>
      <c r="Y268" t="s">
        <v>1793</v>
      </c>
      <c r="Z268" t="s">
        <v>11715</v>
      </c>
      <c r="AA268" t="s">
        <v>10786</v>
      </c>
    </row>
    <row r="269" spans="1:54" customFormat="1" ht="15" x14ac:dyDescent="0.25">
      <c r="A269" t="s">
        <v>795</v>
      </c>
      <c r="B269" t="s">
        <v>794</v>
      </c>
      <c r="C269" t="s">
        <v>1195</v>
      </c>
      <c r="D269" t="s">
        <v>1199</v>
      </c>
      <c r="E269" t="s">
        <v>1087</v>
      </c>
      <c r="F269" t="s">
        <v>1210</v>
      </c>
      <c r="G269" t="s">
        <v>933</v>
      </c>
      <c r="H269" t="s">
        <v>1105</v>
      </c>
      <c r="I269" t="s">
        <v>1227</v>
      </c>
      <c r="J269" t="s">
        <v>1235</v>
      </c>
      <c r="K269" t="s">
        <v>1115</v>
      </c>
      <c r="L269" t="s">
        <v>1247</v>
      </c>
      <c r="M269" t="s">
        <v>1251</v>
      </c>
      <c r="N269" t="s">
        <v>1008</v>
      </c>
      <c r="O269" t="s">
        <v>937</v>
      </c>
      <c r="P269" t="s">
        <v>938</v>
      </c>
      <c r="Q269" t="s">
        <v>940</v>
      </c>
      <c r="R269" t="s">
        <v>1278</v>
      </c>
      <c r="S269" t="s">
        <v>1282</v>
      </c>
      <c r="T269" t="s">
        <v>1126</v>
      </c>
      <c r="U269" t="s">
        <v>1127</v>
      </c>
      <c r="V269" t="s">
        <v>1025</v>
      </c>
      <c r="W269" t="s">
        <v>1293</v>
      </c>
      <c r="X269" t="s">
        <v>10681</v>
      </c>
      <c r="Y269" t="s">
        <v>943</v>
      </c>
      <c r="Z269" t="s">
        <v>1131</v>
      </c>
      <c r="AA269" t="s">
        <v>1307</v>
      </c>
      <c r="AB269" t="s">
        <v>1134</v>
      </c>
      <c r="AC269" t="s">
        <v>949</v>
      </c>
      <c r="AD269" t="s">
        <v>1135</v>
      </c>
      <c r="AE269" t="s">
        <v>1041</v>
      </c>
      <c r="AF269" t="s">
        <v>1140</v>
      </c>
      <c r="AG269" t="s">
        <v>1043</v>
      </c>
      <c r="AH269" t="s">
        <v>1146</v>
      </c>
      <c r="AI269" t="s">
        <v>1322</v>
      </c>
      <c r="AJ269" t="s">
        <v>951</v>
      </c>
      <c r="AK269" t="s">
        <v>1325</v>
      </c>
      <c r="AL269" t="s">
        <v>1327</v>
      </c>
      <c r="AM269" t="s">
        <v>1056</v>
      </c>
      <c r="AN269" t="s">
        <v>955</v>
      </c>
      <c r="AO269" t="s">
        <v>10724</v>
      </c>
      <c r="AP269" t="s">
        <v>1341</v>
      </c>
      <c r="AQ269" t="s">
        <v>11663</v>
      </c>
      <c r="AR269" t="s">
        <v>14380</v>
      </c>
      <c r="AS269" t="s">
        <v>1343</v>
      </c>
      <c r="AT269" t="s">
        <v>1159</v>
      </c>
      <c r="AU269" t="s">
        <v>1352</v>
      </c>
      <c r="AV269" t="s">
        <v>1069</v>
      </c>
      <c r="AW269" t="s">
        <v>1174</v>
      </c>
      <c r="AX269" t="s">
        <v>10764</v>
      </c>
      <c r="AY269" t="s">
        <v>1072</v>
      </c>
      <c r="AZ269" t="s">
        <v>1372</v>
      </c>
      <c r="BA269" t="s">
        <v>1376</v>
      </c>
      <c r="BB269" t="s">
        <v>9814</v>
      </c>
    </row>
    <row r="270" spans="1:54" customFormat="1" ht="15" x14ac:dyDescent="0.25">
      <c r="A270" t="s">
        <v>797</v>
      </c>
      <c r="B270" t="s">
        <v>796</v>
      </c>
      <c r="C270" t="s">
        <v>1016</v>
      </c>
      <c r="D270" t="s">
        <v>929</v>
      </c>
      <c r="E270" t="s">
        <v>1454</v>
      </c>
      <c r="F270" t="s">
        <v>9784</v>
      </c>
      <c r="G270" t="s">
        <v>1461</v>
      </c>
      <c r="H270" t="s">
        <v>991</v>
      </c>
      <c r="I270" t="s">
        <v>11660</v>
      </c>
      <c r="J270" t="s">
        <v>1484</v>
      </c>
      <c r="K270" t="s">
        <v>1485</v>
      </c>
      <c r="L270" t="s">
        <v>10638</v>
      </c>
      <c r="M270" t="s">
        <v>1006</v>
      </c>
      <c r="N270" t="s">
        <v>937</v>
      </c>
      <c r="O270" t="s">
        <v>1011</v>
      </c>
      <c r="P270" t="s">
        <v>940</v>
      </c>
      <c r="Q270" t="s">
        <v>1013</v>
      </c>
      <c r="R270" t="s">
        <v>1495</v>
      </c>
      <c r="S270" t="s">
        <v>9819</v>
      </c>
      <c r="T270" t="s">
        <v>1020</v>
      </c>
      <c r="U270" t="s">
        <v>1025</v>
      </c>
      <c r="V270" t="s">
        <v>1516</v>
      </c>
      <c r="W270" t="s">
        <v>1302</v>
      </c>
      <c r="X270" t="s">
        <v>1519</v>
      </c>
      <c r="Y270" t="s">
        <v>1521</v>
      </c>
      <c r="Z270" t="s">
        <v>1046</v>
      </c>
      <c r="AA270" t="s">
        <v>951</v>
      </c>
      <c r="AB270" t="s">
        <v>1051</v>
      </c>
      <c r="AC270" t="s">
        <v>1529</v>
      </c>
      <c r="AD270" t="s">
        <v>11720</v>
      </c>
      <c r="AE270" t="s">
        <v>1532</v>
      </c>
      <c r="AF270" t="s">
        <v>1056</v>
      </c>
      <c r="AG270" t="s">
        <v>11698</v>
      </c>
      <c r="AH270" t="s">
        <v>1541</v>
      </c>
      <c r="AI270" t="s">
        <v>1069</v>
      </c>
      <c r="AJ270" t="s">
        <v>1072</v>
      </c>
      <c r="AK270" t="s">
        <v>11699</v>
      </c>
      <c r="AL270" t="s">
        <v>1083</v>
      </c>
    </row>
    <row r="271" spans="1:54" customFormat="1" ht="15" x14ac:dyDescent="0.25">
      <c r="A271" t="s">
        <v>799</v>
      </c>
      <c r="B271" t="s">
        <v>798</v>
      </c>
      <c r="C271" t="s">
        <v>1195</v>
      </c>
      <c r="D271" t="s">
        <v>1565</v>
      </c>
      <c r="E271" t="s">
        <v>926</v>
      </c>
      <c r="F271" t="s">
        <v>929</v>
      </c>
      <c r="G271" t="s">
        <v>1578</v>
      </c>
      <c r="H271" t="s">
        <v>933</v>
      </c>
      <c r="I271" t="s">
        <v>1105</v>
      </c>
      <c r="J271" t="s">
        <v>1598</v>
      </c>
      <c r="K271" t="s">
        <v>998</v>
      </c>
      <c r="L271" t="s">
        <v>10638</v>
      </c>
      <c r="M271" t="s">
        <v>1249</v>
      </c>
      <c r="N271" t="s">
        <v>1008</v>
      </c>
      <c r="O271" t="s">
        <v>1010</v>
      </c>
      <c r="P271" t="s">
        <v>1614</v>
      </c>
      <c r="Q271" t="s">
        <v>937</v>
      </c>
      <c r="R271" t="s">
        <v>938</v>
      </c>
      <c r="S271" t="s">
        <v>1012</v>
      </c>
      <c r="T271" t="s">
        <v>945</v>
      </c>
      <c r="U271" t="s">
        <v>1135</v>
      </c>
      <c r="V271" t="s">
        <v>1041</v>
      </c>
      <c r="W271" t="s">
        <v>9787</v>
      </c>
      <c r="X271" t="s">
        <v>1044</v>
      </c>
      <c r="Y271" t="s">
        <v>1144</v>
      </c>
      <c r="Z271" t="s">
        <v>1330</v>
      </c>
      <c r="AA271" t="s">
        <v>1331</v>
      </c>
      <c r="AB271" t="s">
        <v>11720</v>
      </c>
      <c r="AC271" t="s">
        <v>9788</v>
      </c>
      <c r="AD271" t="s">
        <v>1056</v>
      </c>
      <c r="AE271" t="s">
        <v>955</v>
      </c>
      <c r="AF271" t="s">
        <v>1656</v>
      </c>
      <c r="AG271" t="s">
        <v>14374</v>
      </c>
      <c r="AH271" t="s">
        <v>1680</v>
      </c>
      <c r="AI271" t="s">
        <v>1072</v>
      </c>
      <c r="AJ271" t="s">
        <v>1684</v>
      </c>
      <c r="AK271" t="s">
        <v>1691</v>
      </c>
      <c r="AL271" t="s">
        <v>1080</v>
      </c>
      <c r="AM271" t="s">
        <v>1399</v>
      </c>
    </row>
    <row r="272" spans="1:54" customFormat="1" ht="15" x14ac:dyDescent="0.25">
      <c r="A272" t="s">
        <v>801</v>
      </c>
      <c r="B272" t="s">
        <v>800</v>
      </c>
      <c r="C272" t="s">
        <v>971</v>
      </c>
      <c r="D272" t="s">
        <v>929</v>
      </c>
      <c r="E272" t="s">
        <v>1090</v>
      </c>
      <c r="F272" t="s">
        <v>1100</v>
      </c>
      <c r="G272" t="s">
        <v>933</v>
      </c>
      <c r="H272" t="s">
        <v>996</v>
      </c>
      <c r="I272" t="s">
        <v>1110</v>
      </c>
      <c r="J272" t="s">
        <v>998</v>
      </c>
      <c r="K272" t="s">
        <v>1111</v>
      </c>
      <c r="L272" t="s">
        <v>1113</v>
      </c>
      <c r="M272" t="s">
        <v>10638</v>
      </c>
      <c r="N272" t="s">
        <v>1008</v>
      </c>
      <c r="O272" t="s">
        <v>1009</v>
      </c>
      <c r="P272" t="s">
        <v>1010</v>
      </c>
      <c r="Q272" t="s">
        <v>938</v>
      </c>
      <c r="R272" t="s">
        <v>940</v>
      </c>
      <c r="S272" t="s">
        <v>1123</v>
      </c>
      <c r="T272" t="s">
        <v>1013</v>
      </c>
      <c r="U272" t="s">
        <v>1126</v>
      </c>
      <c r="V272" t="s">
        <v>1025</v>
      </c>
      <c r="W272" t="s">
        <v>10681</v>
      </c>
      <c r="X272" t="s">
        <v>943</v>
      </c>
      <c r="Y272" t="s">
        <v>945</v>
      </c>
      <c r="Z272" t="s">
        <v>1041</v>
      </c>
      <c r="AA272" t="s">
        <v>1146</v>
      </c>
      <c r="AB272" t="s">
        <v>951</v>
      </c>
      <c r="AC272" t="s">
        <v>953</v>
      </c>
      <c r="AD272" t="s">
        <v>11720</v>
      </c>
      <c r="AE272" t="s">
        <v>9788</v>
      </c>
      <c r="AF272" t="s">
        <v>1057</v>
      </c>
      <c r="AG272" t="s">
        <v>14374</v>
      </c>
      <c r="AH272" t="s">
        <v>1159</v>
      </c>
      <c r="AI272" t="s">
        <v>1168</v>
      </c>
    </row>
    <row r="273" spans="1:52" customFormat="1" ht="15" x14ac:dyDescent="0.25">
      <c r="A273" t="s">
        <v>803</v>
      </c>
      <c r="B273" t="s">
        <v>802</v>
      </c>
      <c r="C273" t="s">
        <v>1195</v>
      </c>
      <c r="D273" t="s">
        <v>926</v>
      </c>
      <c r="E273" t="s">
        <v>929</v>
      </c>
      <c r="F273" t="s">
        <v>931</v>
      </c>
      <c r="G273" t="s">
        <v>9790</v>
      </c>
      <c r="H273" t="s">
        <v>989</v>
      </c>
      <c r="I273" t="s">
        <v>1587</v>
      </c>
      <c r="J273" t="s">
        <v>933</v>
      </c>
      <c r="K273" t="s">
        <v>996</v>
      </c>
      <c r="L273" t="s">
        <v>1597</v>
      </c>
      <c r="M273" t="s">
        <v>935</v>
      </c>
      <c r="N273" t="s">
        <v>1005</v>
      </c>
      <c r="O273" t="s">
        <v>10643</v>
      </c>
      <c r="P273" t="s">
        <v>937</v>
      </c>
      <c r="Q273" t="s">
        <v>1011</v>
      </c>
      <c r="R273" t="s">
        <v>938</v>
      </c>
      <c r="S273" t="s">
        <v>10667</v>
      </c>
      <c r="T273" t="s">
        <v>1126</v>
      </c>
      <c r="U273" t="s">
        <v>1025</v>
      </c>
      <c r="V273" t="s">
        <v>943</v>
      </c>
      <c r="W273" t="s">
        <v>945</v>
      </c>
      <c r="X273" t="s">
        <v>10694</v>
      </c>
      <c r="Y273" t="s">
        <v>1146</v>
      </c>
      <c r="Z273" t="s">
        <v>1049</v>
      </c>
      <c r="AA273" t="s">
        <v>11720</v>
      </c>
      <c r="AB273" t="s">
        <v>955</v>
      </c>
      <c r="AC273" t="s">
        <v>1658</v>
      </c>
      <c r="AD273" t="s">
        <v>1660</v>
      </c>
      <c r="AE273" t="s">
        <v>960</v>
      </c>
      <c r="AF273" t="s">
        <v>962</v>
      </c>
      <c r="AG273" t="s">
        <v>964</v>
      </c>
      <c r="AH273" t="s">
        <v>1069</v>
      </c>
      <c r="AI273" t="s">
        <v>981</v>
      </c>
    </row>
    <row r="274" spans="1:52" customFormat="1" ht="15" x14ac:dyDescent="0.25">
      <c r="A274" t="s">
        <v>805</v>
      </c>
      <c r="B274" t="s">
        <v>804</v>
      </c>
      <c r="C274" t="s">
        <v>11723</v>
      </c>
      <c r="D274" t="s">
        <v>971</v>
      </c>
      <c r="E274" t="s">
        <v>929</v>
      </c>
      <c r="F274" t="s">
        <v>978</v>
      </c>
      <c r="G274" t="s">
        <v>9790</v>
      </c>
      <c r="H274" t="s">
        <v>9784</v>
      </c>
      <c r="I274" t="s">
        <v>1874</v>
      </c>
      <c r="J274" t="s">
        <v>1879</v>
      </c>
      <c r="K274" t="s">
        <v>1882</v>
      </c>
      <c r="L274" t="s">
        <v>11660</v>
      </c>
      <c r="M274" t="s">
        <v>10638</v>
      </c>
      <c r="N274" t="s">
        <v>1006</v>
      </c>
      <c r="O274" t="s">
        <v>1008</v>
      </c>
      <c r="P274" t="s">
        <v>937</v>
      </c>
      <c r="Q274" t="s">
        <v>1891</v>
      </c>
      <c r="R274" t="s">
        <v>938</v>
      </c>
      <c r="S274" t="s">
        <v>940</v>
      </c>
      <c r="T274" t="s">
        <v>1423</v>
      </c>
      <c r="U274" t="s">
        <v>1013</v>
      </c>
      <c r="V274" t="s">
        <v>1897</v>
      </c>
      <c r="W274" t="s">
        <v>1427</v>
      </c>
      <c r="X274" t="s">
        <v>1018</v>
      </c>
      <c r="Y274" t="s">
        <v>1019</v>
      </c>
      <c r="Z274" t="s">
        <v>10681</v>
      </c>
      <c r="AA274" t="s">
        <v>951</v>
      </c>
      <c r="AB274" t="s">
        <v>1050</v>
      </c>
      <c r="AC274" t="s">
        <v>11720</v>
      </c>
      <c r="AD274" t="s">
        <v>9788</v>
      </c>
      <c r="AE274" t="s">
        <v>1060</v>
      </c>
      <c r="AF274" t="s">
        <v>14374</v>
      </c>
      <c r="AG274" t="s">
        <v>962</v>
      </c>
      <c r="AH274" t="s">
        <v>14406</v>
      </c>
      <c r="AI274" t="s">
        <v>1069</v>
      </c>
      <c r="AJ274" t="s">
        <v>1072</v>
      </c>
      <c r="AK274" t="s">
        <v>1075</v>
      </c>
      <c r="AL274" t="s">
        <v>1920</v>
      </c>
      <c r="AM274" t="s">
        <v>1921</v>
      </c>
      <c r="AN274" t="s">
        <v>1080</v>
      </c>
      <c r="AO274" t="s">
        <v>1563</v>
      </c>
      <c r="AP274" t="s">
        <v>1083</v>
      </c>
    </row>
    <row r="275" spans="1:52" customFormat="1" ht="15" x14ac:dyDescent="0.25">
      <c r="A275" t="s">
        <v>807</v>
      </c>
      <c r="B275" t="s">
        <v>806</v>
      </c>
      <c r="C275" t="s">
        <v>929</v>
      </c>
      <c r="D275" t="s">
        <v>9790</v>
      </c>
      <c r="E275" t="s">
        <v>1802</v>
      </c>
      <c r="F275" t="s">
        <v>983</v>
      </c>
      <c r="G275" t="s">
        <v>1811</v>
      </c>
      <c r="H275" t="s">
        <v>1715</v>
      </c>
      <c r="I275" t="s">
        <v>933</v>
      </c>
      <c r="J275" t="s">
        <v>10638</v>
      </c>
      <c r="K275" t="s">
        <v>10643</v>
      </c>
      <c r="L275" t="s">
        <v>1009</v>
      </c>
      <c r="M275" t="s">
        <v>1820</v>
      </c>
      <c r="N275" t="s">
        <v>10652</v>
      </c>
      <c r="O275" t="s">
        <v>940</v>
      </c>
      <c r="P275" t="s">
        <v>1013</v>
      </c>
      <c r="Q275" t="s">
        <v>1026</v>
      </c>
      <c r="R275" t="s">
        <v>1828</v>
      </c>
      <c r="S275" t="s">
        <v>1030</v>
      </c>
      <c r="T275" t="s">
        <v>1829</v>
      </c>
      <c r="U275" t="s">
        <v>1302</v>
      </c>
      <c r="V275" t="s">
        <v>1831</v>
      </c>
      <c r="W275" t="s">
        <v>1049</v>
      </c>
      <c r="X275" t="s">
        <v>1057</v>
      </c>
      <c r="Y275" t="s">
        <v>955</v>
      </c>
      <c r="Z275" t="s">
        <v>11663</v>
      </c>
      <c r="AA275" t="s">
        <v>962</v>
      </c>
      <c r="AB275" t="s">
        <v>10758</v>
      </c>
      <c r="AC275" t="s">
        <v>1077</v>
      </c>
      <c r="AD275" t="s">
        <v>1078</v>
      </c>
      <c r="AE275" t="s">
        <v>1865</v>
      </c>
      <c r="AF275" t="s">
        <v>11684</v>
      </c>
      <c r="AG275" t="s">
        <v>14377</v>
      </c>
      <c r="AH275" t="s">
        <v>1871</v>
      </c>
    </row>
    <row r="276" spans="1:52" customFormat="1" ht="15" x14ac:dyDescent="0.25">
      <c r="A276" t="s">
        <v>809</v>
      </c>
      <c r="B276" t="s">
        <v>808</v>
      </c>
      <c r="C276" t="s">
        <v>1195</v>
      </c>
      <c r="D276" t="s">
        <v>929</v>
      </c>
      <c r="E276" t="s">
        <v>9802</v>
      </c>
      <c r="F276" t="s">
        <v>1219</v>
      </c>
      <c r="G276" t="s">
        <v>1224</v>
      </c>
      <c r="H276" t="s">
        <v>933</v>
      </c>
      <c r="I276" t="s">
        <v>1227</v>
      </c>
      <c r="J276" t="s">
        <v>1008</v>
      </c>
      <c r="K276" t="s">
        <v>938</v>
      </c>
      <c r="L276" t="s">
        <v>1269</v>
      </c>
      <c r="M276" t="s">
        <v>940</v>
      </c>
      <c r="N276" t="s">
        <v>1274</v>
      </c>
      <c r="O276" t="s">
        <v>1278</v>
      </c>
      <c r="P276" t="s">
        <v>1282</v>
      </c>
      <c r="Q276" t="s">
        <v>1291</v>
      </c>
      <c r="R276" t="s">
        <v>1127</v>
      </c>
      <c r="S276" t="s">
        <v>1025</v>
      </c>
      <c r="T276" t="s">
        <v>1293</v>
      </c>
      <c r="U276" t="s">
        <v>943</v>
      </c>
      <c r="V276" t="s">
        <v>1131</v>
      </c>
      <c r="W276" t="s">
        <v>1307</v>
      </c>
      <c r="X276" t="s">
        <v>1134</v>
      </c>
      <c r="Y276" t="s">
        <v>949</v>
      </c>
      <c r="Z276" t="s">
        <v>1041</v>
      </c>
      <c r="AA276" t="s">
        <v>1043</v>
      </c>
      <c r="AB276" t="s">
        <v>1146</v>
      </c>
      <c r="AC276" t="s">
        <v>1322</v>
      </c>
      <c r="AD276" t="s">
        <v>951</v>
      </c>
      <c r="AE276" t="s">
        <v>1048</v>
      </c>
      <c r="AF276" t="s">
        <v>953</v>
      </c>
      <c r="AG276" t="s">
        <v>10809</v>
      </c>
      <c r="AH276" t="s">
        <v>11720</v>
      </c>
      <c r="AI276" t="s">
        <v>1056</v>
      </c>
      <c r="AJ276" t="s">
        <v>1057</v>
      </c>
      <c r="AK276" t="s">
        <v>955</v>
      </c>
      <c r="AL276" t="s">
        <v>1155</v>
      </c>
      <c r="AM276" t="s">
        <v>11663</v>
      </c>
      <c r="AN276" t="s">
        <v>14380</v>
      </c>
      <c r="AO276" t="s">
        <v>1159</v>
      </c>
      <c r="AP276" t="s">
        <v>1160</v>
      </c>
      <c r="AQ276" t="s">
        <v>1353</v>
      </c>
      <c r="AR276" t="s">
        <v>1071</v>
      </c>
      <c r="AS276" t="s">
        <v>1072</v>
      </c>
      <c r="AT276" t="s">
        <v>1379</v>
      </c>
      <c r="AU276" t="s">
        <v>1080</v>
      </c>
      <c r="AV276" t="s">
        <v>1398</v>
      </c>
    </row>
    <row r="277" spans="1:52" customFormat="1" ht="15" x14ac:dyDescent="0.25">
      <c r="A277" t="s">
        <v>811</v>
      </c>
      <c r="B277" t="s">
        <v>810</v>
      </c>
      <c r="C277" t="s">
        <v>1195</v>
      </c>
      <c r="D277" t="s">
        <v>1564</v>
      </c>
      <c r="E277" t="s">
        <v>1196</v>
      </c>
      <c r="F277" t="s">
        <v>929</v>
      </c>
      <c r="G277" t="s">
        <v>9790</v>
      </c>
      <c r="H277" t="s">
        <v>1208</v>
      </c>
      <c r="I277" t="s">
        <v>1213</v>
      </c>
      <c r="J277" t="s">
        <v>1218</v>
      </c>
      <c r="K277" t="s">
        <v>933</v>
      </c>
      <c r="L277" t="s">
        <v>1227</v>
      </c>
      <c r="M277" t="s">
        <v>1239</v>
      </c>
      <c r="N277" t="s">
        <v>10638</v>
      </c>
      <c r="O277" t="s">
        <v>1008</v>
      </c>
      <c r="P277" t="s">
        <v>1274</v>
      </c>
      <c r="Q277" t="s">
        <v>1012</v>
      </c>
      <c r="R277" t="s">
        <v>1277</v>
      </c>
      <c r="S277" t="s">
        <v>1025</v>
      </c>
      <c r="T277" t="s">
        <v>1296</v>
      </c>
      <c r="U277" t="s">
        <v>943</v>
      </c>
      <c r="V277" t="s">
        <v>1033</v>
      </c>
      <c r="W277" t="s">
        <v>1305</v>
      </c>
      <c r="X277" t="s">
        <v>1134</v>
      </c>
      <c r="Y277" t="s">
        <v>949</v>
      </c>
      <c r="Z277" t="s">
        <v>1135</v>
      </c>
      <c r="AA277" t="s">
        <v>1309</v>
      </c>
      <c r="AB277" t="s">
        <v>1140</v>
      </c>
      <c r="AC277" t="s">
        <v>1043</v>
      </c>
      <c r="AD277" t="s">
        <v>1145</v>
      </c>
      <c r="AE277" t="s">
        <v>1146</v>
      </c>
      <c r="AF277" t="s">
        <v>1056</v>
      </c>
      <c r="AG277" t="s">
        <v>955</v>
      </c>
      <c r="AH277" t="s">
        <v>1155</v>
      </c>
      <c r="AI277" t="s">
        <v>11663</v>
      </c>
      <c r="AJ277" t="s">
        <v>1342</v>
      </c>
      <c r="AK277" t="s">
        <v>14380</v>
      </c>
      <c r="AL277" t="s">
        <v>1354</v>
      </c>
      <c r="AM277" t="s">
        <v>1357</v>
      </c>
      <c r="AN277" t="s">
        <v>1072</v>
      </c>
      <c r="AO277" t="s">
        <v>1371</v>
      </c>
      <c r="AP277" t="s">
        <v>1380</v>
      </c>
      <c r="AQ277" t="s">
        <v>1080</v>
      </c>
      <c r="AR277" t="s">
        <v>1396</v>
      </c>
    </row>
    <row r="278" spans="1:52" customFormat="1" ht="15" x14ac:dyDescent="0.25">
      <c r="A278" t="s">
        <v>813</v>
      </c>
      <c r="B278" t="s">
        <v>812</v>
      </c>
      <c r="C278" t="s">
        <v>971</v>
      </c>
      <c r="D278" t="s">
        <v>929</v>
      </c>
      <c r="E278" t="s">
        <v>1459</v>
      </c>
      <c r="F278" t="s">
        <v>985</v>
      </c>
      <c r="G278" t="s">
        <v>933</v>
      </c>
      <c r="H278" t="s">
        <v>991</v>
      </c>
      <c r="I278" t="s">
        <v>11660</v>
      </c>
      <c r="J278" t="s">
        <v>1000</v>
      </c>
      <c r="K278" t="s">
        <v>1485</v>
      </c>
      <c r="L278" t="s">
        <v>10638</v>
      </c>
      <c r="M278" t="s">
        <v>1006</v>
      </c>
      <c r="N278" t="s">
        <v>1009</v>
      </c>
      <c r="O278" t="s">
        <v>1487</v>
      </c>
      <c r="P278" t="s">
        <v>937</v>
      </c>
      <c r="Q278" t="s">
        <v>940</v>
      </c>
      <c r="R278" t="s">
        <v>1013</v>
      </c>
      <c r="S278" t="s">
        <v>9819</v>
      </c>
      <c r="T278" t="s">
        <v>1516</v>
      </c>
      <c r="U278" t="s">
        <v>1031</v>
      </c>
      <c r="V278" t="s">
        <v>1032</v>
      </c>
      <c r="W278" t="s">
        <v>949</v>
      </c>
      <c r="X278" t="s">
        <v>1520</v>
      </c>
      <c r="Y278" t="s">
        <v>1521</v>
      </c>
      <c r="Z278" t="s">
        <v>951</v>
      </c>
      <c r="AA278" t="s">
        <v>1048</v>
      </c>
      <c r="AB278" t="s">
        <v>1525</v>
      </c>
      <c r="AC278" t="s">
        <v>9788</v>
      </c>
      <c r="AD278" t="s">
        <v>955</v>
      </c>
      <c r="AE278" t="s">
        <v>14374</v>
      </c>
      <c r="AF278" t="s">
        <v>1553</v>
      </c>
      <c r="AG278" t="s">
        <v>1556</v>
      </c>
      <c r="AH278" t="s">
        <v>1557</v>
      </c>
      <c r="AI278" t="s">
        <v>1083</v>
      </c>
    </row>
    <row r="279" spans="1:52" customFormat="1" ht="15" x14ac:dyDescent="0.25">
      <c r="A279" t="s">
        <v>815</v>
      </c>
      <c r="B279" t="s">
        <v>814</v>
      </c>
      <c r="C279" t="s">
        <v>926</v>
      </c>
      <c r="D279" t="s">
        <v>983</v>
      </c>
      <c r="E279" t="s">
        <v>1715</v>
      </c>
      <c r="F279" t="s">
        <v>933</v>
      </c>
      <c r="G279" t="s">
        <v>991</v>
      </c>
      <c r="H279" t="s">
        <v>996</v>
      </c>
      <c r="I279" t="s">
        <v>11660</v>
      </c>
      <c r="J279" t="s">
        <v>1603</v>
      </c>
      <c r="K279" t="s">
        <v>10638</v>
      </c>
      <c r="L279" t="s">
        <v>10643</v>
      </c>
      <c r="M279" t="s">
        <v>937</v>
      </c>
      <c r="N279" t="s">
        <v>940</v>
      </c>
      <c r="O279" t="s">
        <v>1423</v>
      </c>
      <c r="P279" t="s">
        <v>1013</v>
      </c>
      <c r="Q279" t="s">
        <v>1126</v>
      </c>
      <c r="R279" t="s">
        <v>1025</v>
      </c>
      <c r="S279" t="s">
        <v>1026</v>
      </c>
      <c r="T279" t="s">
        <v>1028</v>
      </c>
      <c r="U279" t="s">
        <v>1030</v>
      </c>
      <c r="V279" t="s">
        <v>1041</v>
      </c>
      <c r="W279" t="s">
        <v>9787</v>
      </c>
      <c r="X279" t="s">
        <v>1049</v>
      </c>
      <c r="Y279" t="s">
        <v>11720</v>
      </c>
      <c r="Z279" t="s">
        <v>9788</v>
      </c>
      <c r="AA279" t="s">
        <v>1056</v>
      </c>
      <c r="AB279" t="s">
        <v>1057</v>
      </c>
      <c r="AC279" t="s">
        <v>11663</v>
      </c>
      <c r="AD279" t="s">
        <v>14374</v>
      </c>
      <c r="AE279" t="s">
        <v>1848</v>
      </c>
      <c r="AF279" t="s">
        <v>1062</v>
      </c>
      <c r="AG279" t="s">
        <v>962</v>
      </c>
      <c r="AH279" t="s">
        <v>1865</v>
      </c>
      <c r="AI279" t="s">
        <v>1866</v>
      </c>
    </row>
    <row r="280" spans="1:52" customFormat="1" ht="15" x14ac:dyDescent="0.25">
      <c r="A280" t="s">
        <v>817</v>
      </c>
      <c r="B280" t="s">
        <v>816</v>
      </c>
      <c r="C280" t="s">
        <v>1564</v>
      </c>
      <c r="D280" t="s">
        <v>929</v>
      </c>
      <c r="E280" t="s">
        <v>978</v>
      </c>
      <c r="F280" t="s">
        <v>989</v>
      </c>
      <c r="G280" t="s">
        <v>933</v>
      </c>
      <c r="H280" t="s">
        <v>1416</v>
      </c>
      <c r="I280" t="s">
        <v>1000</v>
      </c>
      <c r="J280" t="s">
        <v>1119</v>
      </c>
      <c r="K280" t="s">
        <v>938</v>
      </c>
      <c r="L280" t="s">
        <v>10667</v>
      </c>
      <c r="M280" t="s">
        <v>1126</v>
      </c>
      <c r="N280" t="s">
        <v>1025</v>
      </c>
      <c r="O280" t="s">
        <v>943</v>
      </c>
      <c r="P280" t="s">
        <v>949</v>
      </c>
      <c r="Q280" t="s">
        <v>1138</v>
      </c>
      <c r="R280" t="s">
        <v>1139</v>
      </c>
      <c r="S280" t="s">
        <v>1140</v>
      </c>
      <c r="T280" t="s">
        <v>1142</v>
      </c>
      <c r="U280" t="s">
        <v>1043</v>
      </c>
      <c r="V280" t="s">
        <v>1044</v>
      </c>
      <c r="W280" t="s">
        <v>1146</v>
      </c>
      <c r="X280" t="s">
        <v>951</v>
      </c>
      <c r="Y280" t="s">
        <v>1048</v>
      </c>
      <c r="Z280" t="s">
        <v>953</v>
      </c>
      <c r="AA280" t="s">
        <v>11720</v>
      </c>
      <c r="AB280" t="s">
        <v>9788</v>
      </c>
      <c r="AC280" t="s">
        <v>1056</v>
      </c>
      <c r="AD280" t="s">
        <v>955</v>
      </c>
      <c r="AE280" t="s">
        <v>1154</v>
      </c>
      <c r="AF280" t="s">
        <v>11663</v>
      </c>
      <c r="AG280" t="s">
        <v>14380</v>
      </c>
      <c r="AH280" t="s">
        <v>1072</v>
      </c>
      <c r="AI280" t="s">
        <v>1181</v>
      </c>
      <c r="AJ280" t="s">
        <v>1185</v>
      </c>
    </row>
    <row r="281" spans="1:52" customFormat="1" ht="15" x14ac:dyDescent="0.25">
      <c r="A281" t="s">
        <v>819</v>
      </c>
      <c r="B281" t="s">
        <v>818</v>
      </c>
      <c r="C281" t="s">
        <v>1564</v>
      </c>
      <c r="D281" t="s">
        <v>1196</v>
      </c>
      <c r="E281" t="s">
        <v>1566</v>
      </c>
      <c r="F281" t="s">
        <v>924</v>
      </c>
      <c r="G281" t="s">
        <v>971</v>
      </c>
      <c r="H281" t="s">
        <v>926</v>
      </c>
      <c r="I281" t="s">
        <v>1575</v>
      </c>
      <c r="J281" t="s">
        <v>931</v>
      </c>
      <c r="K281" t="s">
        <v>933</v>
      </c>
      <c r="L281" t="s">
        <v>998</v>
      </c>
      <c r="M281" t="s">
        <v>10638</v>
      </c>
      <c r="N281" t="s">
        <v>1618</v>
      </c>
      <c r="O281" t="s">
        <v>937</v>
      </c>
      <c r="P281" t="s">
        <v>1012</v>
      </c>
      <c r="Q281" t="s">
        <v>1126</v>
      </c>
      <c r="R281" t="s">
        <v>1025</v>
      </c>
      <c r="S281" t="s">
        <v>943</v>
      </c>
      <c r="T281" t="s">
        <v>1300</v>
      </c>
      <c r="U281" t="s">
        <v>9788</v>
      </c>
      <c r="V281" t="s">
        <v>1341</v>
      </c>
      <c r="W281" t="s">
        <v>11663</v>
      </c>
      <c r="X281" t="s">
        <v>960</v>
      </c>
      <c r="Y281" t="s">
        <v>14374</v>
      </c>
      <c r="Z281" t="s">
        <v>1062</v>
      </c>
      <c r="AA281" t="s">
        <v>962</v>
      </c>
      <c r="AB281" t="s">
        <v>964</v>
      </c>
      <c r="AC281" t="s">
        <v>1072</v>
      </c>
      <c r="AD281" t="s">
        <v>966</v>
      </c>
      <c r="AE281" t="s">
        <v>1374</v>
      </c>
      <c r="AF281" t="s">
        <v>968</v>
      </c>
      <c r="AG281" t="s">
        <v>1080</v>
      </c>
      <c r="AH281" t="s">
        <v>1693</v>
      </c>
      <c r="AI281" t="s">
        <v>14377</v>
      </c>
    </row>
    <row r="282" spans="1:52" customFormat="1" ht="15" x14ac:dyDescent="0.25">
      <c r="A282" t="s">
        <v>821</v>
      </c>
      <c r="B282" t="s">
        <v>820</v>
      </c>
      <c r="C282" t="s">
        <v>1196</v>
      </c>
      <c r="D282" t="s">
        <v>1565</v>
      </c>
      <c r="E282" t="s">
        <v>929</v>
      </c>
      <c r="F282" t="s">
        <v>933</v>
      </c>
      <c r="G282" t="s">
        <v>1249</v>
      </c>
      <c r="H282" t="s">
        <v>1008</v>
      </c>
      <c r="I282" t="s">
        <v>1010</v>
      </c>
      <c r="J282" t="s">
        <v>937</v>
      </c>
      <c r="K282" t="s">
        <v>1011</v>
      </c>
      <c r="L282" t="s">
        <v>938</v>
      </c>
      <c r="M282" t="s">
        <v>10667</v>
      </c>
      <c r="N282" t="s">
        <v>1126</v>
      </c>
      <c r="O282" t="s">
        <v>1025</v>
      </c>
      <c r="P282" t="s">
        <v>10681</v>
      </c>
      <c r="Q282" t="s">
        <v>945</v>
      </c>
      <c r="R282" t="s">
        <v>1041</v>
      </c>
      <c r="S282" t="s">
        <v>9787</v>
      </c>
      <c r="T282" t="s">
        <v>1144</v>
      </c>
      <c r="U282" t="s">
        <v>951</v>
      </c>
      <c r="V282" t="s">
        <v>11720</v>
      </c>
      <c r="W282" t="s">
        <v>9788</v>
      </c>
      <c r="X282" t="s">
        <v>955</v>
      </c>
      <c r="Y282" t="s">
        <v>1654</v>
      </c>
      <c r="Z282" t="s">
        <v>1661</v>
      </c>
      <c r="AA282" t="s">
        <v>11663</v>
      </c>
      <c r="AB282" t="s">
        <v>14374</v>
      </c>
      <c r="AC282" t="s">
        <v>962</v>
      </c>
      <c r="AD282" t="s">
        <v>11709</v>
      </c>
      <c r="AE282" t="s">
        <v>1684</v>
      </c>
      <c r="AF282" t="s">
        <v>9833</v>
      </c>
    </row>
    <row r="283" spans="1:52" customFormat="1" ht="15" x14ac:dyDescent="0.25">
      <c r="A283" t="s">
        <v>823</v>
      </c>
      <c r="B283" t="s">
        <v>822</v>
      </c>
      <c r="C283" t="s">
        <v>1085</v>
      </c>
      <c r="D283" t="s">
        <v>929</v>
      </c>
      <c r="E283" t="s">
        <v>9790</v>
      </c>
      <c r="F283" t="s">
        <v>1090</v>
      </c>
      <c r="G283" t="s">
        <v>933</v>
      </c>
      <c r="H283" t="s">
        <v>1105</v>
      </c>
      <c r="I283" t="s">
        <v>1112</v>
      </c>
      <c r="J283" t="s">
        <v>10638</v>
      </c>
      <c r="K283" t="s">
        <v>1005</v>
      </c>
      <c r="L283" t="s">
        <v>937</v>
      </c>
      <c r="M283" t="s">
        <v>1119</v>
      </c>
      <c r="N283" t="s">
        <v>938</v>
      </c>
      <c r="O283" t="s">
        <v>1013</v>
      </c>
      <c r="P283" t="s">
        <v>1025</v>
      </c>
      <c r="Q283" t="s">
        <v>943</v>
      </c>
      <c r="R283" t="s">
        <v>945</v>
      </c>
      <c r="S283" t="s">
        <v>1134</v>
      </c>
      <c r="T283" t="s">
        <v>1138</v>
      </c>
      <c r="U283" t="s">
        <v>1140</v>
      </c>
      <c r="V283" t="s">
        <v>1142</v>
      </c>
      <c r="W283" t="s">
        <v>1146</v>
      </c>
      <c r="X283" t="s">
        <v>951</v>
      </c>
      <c r="Y283" t="s">
        <v>1048</v>
      </c>
      <c r="Z283" t="s">
        <v>955</v>
      </c>
      <c r="AA283" t="s">
        <v>1154</v>
      </c>
      <c r="AB283" t="s">
        <v>11663</v>
      </c>
      <c r="AC283" t="s">
        <v>14380</v>
      </c>
      <c r="AD283" t="s">
        <v>1069</v>
      </c>
      <c r="AE283" t="s">
        <v>1181</v>
      </c>
      <c r="AF283" t="s">
        <v>1185</v>
      </c>
    </row>
    <row r="284" spans="1:52" customFormat="1" ht="15" x14ac:dyDescent="0.25">
      <c r="A284" t="s">
        <v>825</v>
      </c>
      <c r="B284" t="s">
        <v>824</v>
      </c>
      <c r="C284" t="s">
        <v>1195</v>
      </c>
      <c r="D284" t="s">
        <v>1564</v>
      </c>
      <c r="E284" t="s">
        <v>1196</v>
      </c>
      <c r="F284" t="s">
        <v>924</v>
      </c>
      <c r="G284" t="s">
        <v>10568</v>
      </c>
      <c r="H284" t="s">
        <v>926</v>
      </c>
      <c r="I284" t="s">
        <v>929</v>
      </c>
      <c r="J284" t="s">
        <v>1575</v>
      </c>
      <c r="K284" t="s">
        <v>931</v>
      </c>
      <c r="L284" t="s">
        <v>933</v>
      </c>
      <c r="M284" t="s">
        <v>998</v>
      </c>
      <c r="N284" t="s">
        <v>1002</v>
      </c>
      <c r="O284" t="s">
        <v>10638</v>
      </c>
      <c r="P284" t="s">
        <v>1008</v>
      </c>
      <c r="Q284" t="s">
        <v>937</v>
      </c>
      <c r="R284" t="s">
        <v>938</v>
      </c>
      <c r="S284" t="s">
        <v>940</v>
      </c>
      <c r="T284" t="s">
        <v>1122</v>
      </c>
      <c r="U284" t="s">
        <v>1025</v>
      </c>
      <c r="V284" t="s">
        <v>943</v>
      </c>
      <c r="W284" t="s">
        <v>949</v>
      </c>
      <c r="X284" t="s">
        <v>1140</v>
      </c>
      <c r="Y284" t="s">
        <v>1146</v>
      </c>
      <c r="Z284" t="s">
        <v>951</v>
      </c>
      <c r="AA284" t="s">
        <v>9788</v>
      </c>
      <c r="AB284" t="s">
        <v>955</v>
      </c>
      <c r="AC284" t="s">
        <v>1658</v>
      </c>
      <c r="AD284" t="s">
        <v>11663</v>
      </c>
      <c r="AE284" t="s">
        <v>960</v>
      </c>
      <c r="AF284" t="s">
        <v>14374</v>
      </c>
      <c r="AG284" t="s">
        <v>962</v>
      </c>
      <c r="AH284" t="s">
        <v>964</v>
      </c>
      <c r="AI284" t="s">
        <v>1675</v>
      </c>
      <c r="AJ284" t="s">
        <v>1072</v>
      </c>
      <c r="AK284" t="s">
        <v>966</v>
      </c>
      <c r="AL284" t="s">
        <v>1686</v>
      </c>
      <c r="AM284" t="s">
        <v>968</v>
      </c>
      <c r="AN284" t="s">
        <v>1080</v>
      </c>
    </row>
    <row r="285" spans="1:52" customFormat="1" ht="15" x14ac:dyDescent="0.25">
      <c r="A285" t="s">
        <v>827</v>
      </c>
      <c r="B285" t="s">
        <v>826</v>
      </c>
      <c r="C285" t="s">
        <v>14399</v>
      </c>
      <c r="D285" t="s">
        <v>926</v>
      </c>
      <c r="E285" t="s">
        <v>929</v>
      </c>
      <c r="F285" t="s">
        <v>931</v>
      </c>
      <c r="G285" t="s">
        <v>9790</v>
      </c>
      <c r="H285" t="s">
        <v>1416</v>
      </c>
      <c r="I285" t="s">
        <v>1733</v>
      </c>
      <c r="J285" t="s">
        <v>10638</v>
      </c>
      <c r="K285" t="s">
        <v>1010</v>
      </c>
      <c r="L285" t="s">
        <v>937</v>
      </c>
      <c r="M285" t="s">
        <v>10667</v>
      </c>
      <c r="N285" t="s">
        <v>1126</v>
      </c>
      <c r="O285" t="s">
        <v>942</v>
      </c>
      <c r="P285" t="s">
        <v>951</v>
      </c>
      <c r="Q285" t="s">
        <v>1048</v>
      </c>
      <c r="R285" t="s">
        <v>1754</v>
      </c>
      <c r="S285" t="s">
        <v>955</v>
      </c>
      <c r="T285" t="s">
        <v>1765</v>
      </c>
      <c r="U285" t="s">
        <v>960</v>
      </c>
      <c r="V285" t="s">
        <v>1770</v>
      </c>
      <c r="W285" t="s">
        <v>1774</v>
      </c>
      <c r="X285" t="s">
        <v>1069</v>
      </c>
      <c r="Y285" t="s">
        <v>1080</v>
      </c>
      <c r="Z285" t="s">
        <v>1793</v>
      </c>
      <c r="AA285" t="s">
        <v>11715</v>
      </c>
    </row>
    <row r="286" spans="1:52" customFormat="1" ht="15" x14ac:dyDescent="0.25">
      <c r="A286" t="s">
        <v>829</v>
      </c>
      <c r="B286" t="s">
        <v>828</v>
      </c>
      <c r="C286" t="s">
        <v>929</v>
      </c>
      <c r="D286" t="s">
        <v>1457</v>
      </c>
      <c r="E286" t="s">
        <v>1458</v>
      </c>
      <c r="F286" t="s">
        <v>1461</v>
      </c>
      <c r="G286" t="s">
        <v>1463</v>
      </c>
      <c r="H286" t="s">
        <v>985</v>
      </c>
      <c r="I286" t="s">
        <v>1473</v>
      </c>
      <c r="J286" t="s">
        <v>935</v>
      </c>
      <c r="K286" t="s">
        <v>1006</v>
      </c>
      <c r="L286" t="s">
        <v>1009</v>
      </c>
      <c r="M286" t="s">
        <v>937</v>
      </c>
      <c r="N286" t="s">
        <v>940</v>
      </c>
      <c r="O286" t="s">
        <v>1495</v>
      </c>
      <c r="P286" t="s">
        <v>9819</v>
      </c>
      <c r="Q286" t="s">
        <v>1508</v>
      </c>
      <c r="R286" t="s">
        <v>1025</v>
      </c>
      <c r="S286" t="s">
        <v>1031</v>
      </c>
      <c r="T286" t="s">
        <v>1302</v>
      </c>
      <c r="U286" t="s">
        <v>1520</v>
      </c>
      <c r="V286" t="s">
        <v>1521</v>
      </c>
      <c r="W286" t="s">
        <v>1046</v>
      </c>
      <c r="X286" t="s">
        <v>951</v>
      </c>
      <c r="Y286" t="s">
        <v>1525</v>
      </c>
      <c r="Z286" t="s">
        <v>1051</v>
      </c>
      <c r="AA286" t="s">
        <v>1529</v>
      </c>
      <c r="AB286" t="s">
        <v>11720</v>
      </c>
      <c r="AC286" t="s">
        <v>9788</v>
      </c>
      <c r="AD286" t="s">
        <v>1056</v>
      </c>
      <c r="AE286" t="s">
        <v>955</v>
      </c>
      <c r="AF286" t="s">
        <v>1072</v>
      </c>
      <c r="AG286" t="s">
        <v>1368</v>
      </c>
      <c r="AH286" t="s">
        <v>10766</v>
      </c>
      <c r="AI286" t="s">
        <v>1553</v>
      </c>
      <c r="AJ286" t="s">
        <v>1083</v>
      </c>
    </row>
    <row r="287" spans="1:52" customFormat="1" ht="15" x14ac:dyDescent="0.25">
      <c r="A287" t="s">
        <v>831</v>
      </c>
      <c r="B287" t="s">
        <v>830</v>
      </c>
      <c r="C287" t="s">
        <v>972</v>
      </c>
      <c r="D287" t="s">
        <v>926</v>
      </c>
      <c r="E287" t="s">
        <v>929</v>
      </c>
      <c r="F287" t="s">
        <v>1001</v>
      </c>
      <c r="G287" t="s">
        <v>10638</v>
      </c>
      <c r="H287" t="s">
        <v>937</v>
      </c>
      <c r="I287" t="s">
        <v>1017</v>
      </c>
      <c r="J287" t="s">
        <v>1022</v>
      </c>
      <c r="K287" t="s">
        <v>1023</v>
      </c>
      <c r="L287" t="s">
        <v>1026</v>
      </c>
      <c r="M287" t="s">
        <v>10681</v>
      </c>
      <c r="N287" t="s">
        <v>1039</v>
      </c>
      <c r="O287" t="s">
        <v>1042</v>
      </c>
      <c r="P287" t="s">
        <v>1044</v>
      </c>
      <c r="Q287" t="s">
        <v>951</v>
      </c>
      <c r="R287" t="s">
        <v>1048</v>
      </c>
      <c r="S287" t="s">
        <v>1049</v>
      </c>
      <c r="T287" t="s">
        <v>1051</v>
      </c>
      <c r="U287" t="s">
        <v>953</v>
      </c>
      <c r="V287" t="s">
        <v>955</v>
      </c>
      <c r="W287" t="s">
        <v>1075</v>
      </c>
    </row>
    <row r="288" spans="1:52" customFormat="1" ht="15" x14ac:dyDescent="0.25">
      <c r="A288" t="s">
        <v>10561</v>
      </c>
      <c r="B288" t="s">
        <v>10560</v>
      </c>
      <c r="C288" t="s">
        <v>971</v>
      </c>
      <c r="D288" t="s">
        <v>926</v>
      </c>
      <c r="E288" t="s">
        <v>929</v>
      </c>
      <c r="F288" t="s">
        <v>9790</v>
      </c>
      <c r="G288" t="s">
        <v>983</v>
      </c>
      <c r="H288" t="s">
        <v>933</v>
      </c>
      <c r="I288" t="s">
        <v>997</v>
      </c>
      <c r="J288" t="s">
        <v>10624</v>
      </c>
      <c r="K288" t="s">
        <v>1003</v>
      </c>
      <c r="L288" t="s">
        <v>1004</v>
      </c>
      <c r="M288" t="s">
        <v>1005</v>
      </c>
      <c r="N288" t="s">
        <v>1007</v>
      </c>
      <c r="O288" t="s">
        <v>10643</v>
      </c>
      <c r="P288" t="s">
        <v>937</v>
      </c>
      <c r="Q288" t="s">
        <v>938</v>
      </c>
      <c r="R288" t="s">
        <v>940</v>
      </c>
      <c r="S288" t="s">
        <v>1012</v>
      </c>
      <c r="T288" t="s">
        <v>1013</v>
      </c>
      <c r="U288" t="s">
        <v>1018</v>
      </c>
      <c r="V288" t="s">
        <v>10667</v>
      </c>
      <c r="W288" t="s">
        <v>1126</v>
      </c>
      <c r="X288" t="s">
        <v>1026</v>
      </c>
      <c r="Y288" t="s">
        <v>10681</v>
      </c>
      <c r="Z288" t="s">
        <v>943</v>
      </c>
      <c r="AA288" t="s">
        <v>1030</v>
      </c>
      <c r="AB288" t="s">
        <v>1031</v>
      </c>
      <c r="AC288" t="s">
        <v>1035</v>
      </c>
      <c r="AD288" t="s">
        <v>1038</v>
      </c>
      <c r="AE288" t="s">
        <v>1041</v>
      </c>
      <c r="AF288" t="s">
        <v>9787</v>
      </c>
      <c r="AG288" t="s">
        <v>1043</v>
      </c>
      <c r="AH288" t="s">
        <v>1146</v>
      </c>
      <c r="AI288" t="s">
        <v>951</v>
      </c>
      <c r="AJ288" t="s">
        <v>1048</v>
      </c>
      <c r="AK288" t="s">
        <v>1049</v>
      </c>
      <c r="AL288" t="s">
        <v>953</v>
      </c>
      <c r="AM288" t="s">
        <v>11720</v>
      </c>
      <c r="AN288" t="s">
        <v>9788</v>
      </c>
      <c r="AO288" t="s">
        <v>955</v>
      </c>
      <c r="AP288" t="s">
        <v>11663</v>
      </c>
      <c r="AQ288" t="s">
        <v>14374</v>
      </c>
      <c r="AR288" t="s">
        <v>962</v>
      </c>
      <c r="AS288" t="s">
        <v>1066</v>
      </c>
      <c r="AT288" t="s">
        <v>1069</v>
      </c>
      <c r="AU288" t="s">
        <v>1072</v>
      </c>
      <c r="AV288" t="s">
        <v>1181</v>
      </c>
      <c r="AW288" t="s">
        <v>1078</v>
      </c>
      <c r="AX288" t="s">
        <v>1080</v>
      </c>
      <c r="AY288" t="s">
        <v>14376</v>
      </c>
      <c r="AZ288" t="s">
        <v>981</v>
      </c>
    </row>
    <row r="289" spans="1:62" customFormat="1" ht="15" x14ac:dyDescent="0.25">
      <c r="A289" t="s">
        <v>833</v>
      </c>
      <c r="B289" t="s">
        <v>832</v>
      </c>
      <c r="C289" t="s">
        <v>1195</v>
      </c>
      <c r="D289" t="s">
        <v>926</v>
      </c>
      <c r="E289" t="s">
        <v>929</v>
      </c>
      <c r="F289" t="s">
        <v>931</v>
      </c>
      <c r="G289" t="s">
        <v>9790</v>
      </c>
      <c r="H289" t="s">
        <v>933</v>
      </c>
      <c r="I289" t="s">
        <v>1589</v>
      </c>
      <c r="J289" t="s">
        <v>1590</v>
      </c>
      <c r="K289" t="s">
        <v>998</v>
      </c>
      <c r="L289" t="s">
        <v>10638</v>
      </c>
      <c r="M289" t="s">
        <v>1005</v>
      </c>
      <c r="N289" t="s">
        <v>10643</v>
      </c>
      <c r="O289" t="s">
        <v>937</v>
      </c>
      <c r="P289" t="s">
        <v>938</v>
      </c>
      <c r="Q289" t="s">
        <v>940</v>
      </c>
      <c r="R289" t="s">
        <v>1025</v>
      </c>
      <c r="S289" t="s">
        <v>10681</v>
      </c>
      <c r="T289" t="s">
        <v>945</v>
      </c>
      <c r="U289" t="s">
        <v>1041</v>
      </c>
      <c r="V289" t="s">
        <v>1146</v>
      </c>
      <c r="W289" t="s">
        <v>1049</v>
      </c>
      <c r="X289" t="s">
        <v>11720</v>
      </c>
      <c r="Y289" t="s">
        <v>9788</v>
      </c>
      <c r="Z289" t="s">
        <v>955</v>
      </c>
      <c r="AA289" t="s">
        <v>1660</v>
      </c>
      <c r="AB289" t="s">
        <v>960</v>
      </c>
      <c r="AC289" t="s">
        <v>14374</v>
      </c>
      <c r="AD289" t="s">
        <v>962</v>
      </c>
      <c r="AE289" t="s">
        <v>1066</v>
      </c>
    </row>
    <row r="290" spans="1:62" customFormat="1" ht="15" x14ac:dyDescent="0.25">
      <c r="A290" t="s">
        <v>835</v>
      </c>
      <c r="B290" t="s">
        <v>834</v>
      </c>
      <c r="C290" t="s">
        <v>929</v>
      </c>
      <c r="D290" t="s">
        <v>10588</v>
      </c>
      <c r="E290" t="s">
        <v>1099</v>
      </c>
      <c r="F290" t="s">
        <v>933</v>
      </c>
      <c r="G290" t="s">
        <v>1104</v>
      </c>
      <c r="H290" t="s">
        <v>1113</v>
      </c>
      <c r="I290" t="s">
        <v>10638</v>
      </c>
      <c r="J290" t="s">
        <v>1010</v>
      </c>
      <c r="K290" t="s">
        <v>937</v>
      </c>
      <c r="L290" t="s">
        <v>938</v>
      </c>
      <c r="M290" t="s">
        <v>940</v>
      </c>
      <c r="N290" t="s">
        <v>1013</v>
      </c>
      <c r="O290" t="s">
        <v>10667</v>
      </c>
      <c r="P290" t="s">
        <v>1126</v>
      </c>
      <c r="Q290" t="s">
        <v>1025</v>
      </c>
      <c r="R290" t="s">
        <v>10681</v>
      </c>
      <c r="S290" t="s">
        <v>943</v>
      </c>
      <c r="T290" t="s">
        <v>1041</v>
      </c>
      <c r="U290" t="s">
        <v>9787</v>
      </c>
      <c r="V290" t="s">
        <v>1141</v>
      </c>
      <c r="W290" t="s">
        <v>1144</v>
      </c>
      <c r="X290" t="s">
        <v>1146</v>
      </c>
      <c r="Y290" t="s">
        <v>1906</v>
      </c>
      <c r="Z290" t="s">
        <v>1048</v>
      </c>
      <c r="AA290" t="s">
        <v>953</v>
      </c>
      <c r="AB290" t="s">
        <v>1152</v>
      </c>
      <c r="AC290" t="s">
        <v>11720</v>
      </c>
      <c r="AD290" t="s">
        <v>9788</v>
      </c>
      <c r="AE290" t="s">
        <v>1057</v>
      </c>
      <c r="AF290" t="s">
        <v>955</v>
      </c>
      <c r="AG290" t="s">
        <v>11663</v>
      </c>
      <c r="AH290" t="s">
        <v>14374</v>
      </c>
      <c r="AI290" t="s">
        <v>962</v>
      </c>
      <c r="AJ290" t="s">
        <v>1168</v>
      </c>
      <c r="AK290" t="s">
        <v>1172</v>
      </c>
      <c r="AL290" t="s">
        <v>1176</v>
      </c>
      <c r="AM290" t="s">
        <v>1071</v>
      </c>
      <c r="AN290" t="s">
        <v>1072</v>
      </c>
      <c r="AO290" t="s">
        <v>981</v>
      </c>
    </row>
    <row r="291" spans="1:62" customFormat="1" ht="15" x14ac:dyDescent="0.25">
      <c r="A291" t="s">
        <v>837</v>
      </c>
      <c r="B291" t="s">
        <v>836</v>
      </c>
      <c r="C291" t="s">
        <v>1195</v>
      </c>
      <c r="D291" t="s">
        <v>929</v>
      </c>
      <c r="E291" t="s">
        <v>1087</v>
      </c>
      <c r="F291" t="s">
        <v>1218</v>
      </c>
      <c r="G291" t="s">
        <v>1219</v>
      </c>
      <c r="H291" t="s">
        <v>1222</v>
      </c>
      <c r="I291" t="s">
        <v>933</v>
      </c>
      <c r="J291" t="s">
        <v>996</v>
      </c>
      <c r="K291" t="s">
        <v>14383</v>
      </c>
      <c r="L291" t="s">
        <v>1259</v>
      </c>
      <c r="M291" t="s">
        <v>940</v>
      </c>
      <c r="N291" t="s">
        <v>1273</v>
      </c>
      <c r="O291" t="s">
        <v>1125</v>
      </c>
      <c r="P291" t="s">
        <v>1025</v>
      </c>
      <c r="Q291" t="s">
        <v>1293</v>
      </c>
      <c r="R291" t="s">
        <v>943</v>
      </c>
      <c r="S291" t="s">
        <v>1299</v>
      </c>
      <c r="T291" t="s">
        <v>1134</v>
      </c>
      <c r="U291" t="s">
        <v>949</v>
      </c>
      <c r="V291" t="s">
        <v>1309</v>
      </c>
      <c r="W291" t="s">
        <v>1140</v>
      </c>
      <c r="X291" t="s">
        <v>9808</v>
      </c>
      <c r="Y291" t="s">
        <v>1146</v>
      </c>
      <c r="Z291" t="s">
        <v>951</v>
      </c>
      <c r="AA291" t="s">
        <v>1326</v>
      </c>
      <c r="AB291" t="s">
        <v>1056</v>
      </c>
      <c r="AC291" t="s">
        <v>955</v>
      </c>
      <c r="AD291" t="s">
        <v>10724</v>
      </c>
      <c r="AE291" t="s">
        <v>1337</v>
      </c>
      <c r="AF291" t="s">
        <v>1339</v>
      </c>
      <c r="AG291" t="s">
        <v>11663</v>
      </c>
      <c r="AH291" t="s">
        <v>14380</v>
      </c>
      <c r="AI291" t="s">
        <v>1158</v>
      </c>
      <c r="AJ291" t="s">
        <v>1072</v>
      </c>
      <c r="AK291" t="s">
        <v>1378</v>
      </c>
      <c r="AL291" t="s">
        <v>1386</v>
      </c>
      <c r="AM291" t="s">
        <v>1389</v>
      </c>
      <c r="AN291" t="s">
        <v>1390</v>
      </c>
      <c r="AO291" t="s">
        <v>1396</v>
      </c>
    </row>
    <row r="292" spans="1:62" customFormat="1" ht="15" x14ac:dyDescent="0.25">
      <c r="A292" t="s">
        <v>14372</v>
      </c>
      <c r="B292" t="s">
        <v>14371</v>
      </c>
      <c r="C292" t="s">
        <v>1016</v>
      </c>
      <c r="D292" t="s">
        <v>971</v>
      </c>
      <c r="E292" t="s">
        <v>929</v>
      </c>
      <c r="F292" t="s">
        <v>985</v>
      </c>
      <c r="G292" t="s">
        <v>1412</v>
      </c>
      <c r="H292" t="s">
        <v>991</v>
      </c>
      <c r="I292" t="s">
        <v>10614</v>
      </c>
      <c r="J292" t="s">
        <v>996</v>
      </c>
      <c r="K292" t="s">
        <v>1478</v>
      </c>
      <c r="L292" t="s">
        <v>935</v>
      </c>
      <c r="M292" t="s">
        <v>11660</v>
      </c>
      <c r="N292" t="s">
        <v>10638</v>
      </c>
      <c r="O292" t="s">
        <v>937</v>
      </c>
      <c r="P292" t="s">
        <v>1011</v>
      </c>
      <c r="Q292" t="s">
        <v>938</v>
      </c>
      <c r="R292" t="s">
        <v>940</v>
      </c>
      <c r="S292" t="s">
        <v>1013</v>
      </c>
      <c r="T292" t="s">
        <v>1499</v>
      </c>
      <c r="U292" t="s">
        <v>1511</v>
      </c>
      <c r="V292" t="s">
        <v>1515</v>
      </c>
      <c r="W292" t="s">
        <v>1302</v>
      </c>
      <c r="X292" t="s">
        <v>951</v>
      </c>
      <c r="Y292" t="s">
        <v>1051</v>
      </c>
      <c r="Z292" t="s">
        <v>1057</v>
      </c>
      <c r="AA292" t="s">
        <v>955</v>
      </c>
      <c r="AB292" t="s">
        <v>1537</v>
      </c>
      <c r="AC292" t="s">
        <v>1546</v>
      </c>
      <c r="AD292" t="s">
        <v>1066</v>
      </c>
      <c r="AE292" t="s">
        <v>9816</v>
      </c>
      <c r="AF292" t="s">
        <v>1072</v>
      </c>
    </row>
    <row r="293" spans="1:62" customFormat="1" ht="15" x14ac:dyDescent="0.25">
      <c r="A293" t="s">
        <v>839</v>
      </c>
      <c r="B293" t="s">
        <v>838</v>
      </c>
      <c r="C293" t="s">
        <v>929</v>
      </c>
      <c r="D293" t="s">
        <v>1458</v>
      </c>
      <c r="E293" t="s">
        <v>9784</v>
      </c>
      <c r="F293" t="s">
        <v>1461</v>
      </c>
      <c r="G293" t="s">
        <v>985</v>
      </c>
      <c r="H293" t="s">
        <v>935</v>
      </c>
      <c r="I293" t="s">
        <v>1006</v>
      </c>
      <c r="J293" t="s">
        <v>1009</v>
      </c>
      <c r="K293" t="s">
        <v>937</v>
      </c>
      <c r="L293" t="s">
        <v>1011</v>
      </c>
      <c r="M293" t="s">
        <v>940</v>
      </c>
      <c r="N293" t="s">
        <v>1013</v>
      </c>
      <c r="O293" t="s">
        <v>9819</v>
      </c>
      <c r="P293" t="s">
        <v>10667</v>
      </c>
      <c r="Q293" t="s">
        <v>1126</v>
      </c>
      <c r="R293" t="s">
        <v>1020</v>
      </c>
      <c r="S293" t="s">
        <v>1032</v>
      </c>
      <c r="T293" t="s">
        <v>1302</v>
      </c>
      <c r="U293" t="s">
        <v>1520</v>
      </c>
      <c r="V293" t="s">
        <v>1046</v>
      </c>
      <c r="W293" t="s">
        <v>951</v>
      </c>
      <c r="X293" t="s">
        <v>1048</v>
      </c>
      <c r="Y293" t="s">
        <v>1050</v>
      </c>
      <c r="Z293" t="s">
        <v>1525</v>
      </c>
      <c r="AA293" t="s">
        <v>1051</v>
      </c>
      <c r="AB293" t="s">
        <v>955</v>
      </c>
      <c r="AC293" t="s">
        <v>1068</v>
      </c>
      <c r="AD293" t="s">
        <v>1069</v>
      </c>
      <c r="AE293" t="s">
        <v>1072</v>
      </c>
      <c r="AF293" t="s">
        <v>1075</v>
      </c>
      <c r="AG293" t="s">
        <v>1553</v>
      </c>
      <c r="AH293" t="s">
        <v>1083</v>
      </c>
    </row>
    <row r="294" spans="1:62" customFormat="1" ht="15" x14ac:dyDescent="0.25">
      <c r="A294" t="s">
        <v>841</v>
      </c>
      <c r="B294" t="s">
        <v>840</v>
      </c>
      <c r="C294" t="s">
        <v>1196</v>
      </c>
      <c r="D294" t="s">
        <v>10568</v>
      </c>
      <c r="E294" t="s">
        <v>926</v>
      </c>
      <c r="F294" t="s">
        <v>929</v>
      </c>
      <c r="G294" t="s">
        <v>1575</v>
      </c>
      <c r="H294" t="s">
        <v>931</v>
      </c>
      <c r="I294" t="s">
        <v>9784</v>
      </c>
      <c r="J294" t="s">
        <v>1581</v>
      </c>
      <c r="K294" t="s">
        <v>983</v>
      </c>
      <c r="L294" t="s">
        <v>933</v>
      </c>
      <c r="M294" t="s">
        <v>1590</v>
      </c>
      <c r="N294" t="s">
        <v>1725</v>
      </c>
      <c r="O294" t="s">
        <v>1726</v>
      </c>
      <c r="P294" t="s">
        <v>996</v>
      </c>
      <c r="Q294" t="s">
        <v>935</v>
      </c>
      <c r="R294" t="s">
        <v>998</v>
      </c>
      <c r="S294" t="s">
        <v>1416</v>
      </c>
      <c r="T294" t="s">
        <v>1485</v>
      </c>
      <c r="U294" t="s">
        <v>10638</v>
      </c>
      <c r="V294" t="s">
        <v>10643</v>
      </c>
      <c r="W294" t="s">
        <v>1739</v>
      </c>
      <c r="X294" t="s">
        <v>1008</v>
      </c>
      <c r="Y294" t="s">
        <v>1010</v>
      </c>
      <c r="Z294" t="s">
        <v>937</v>
      </c>
      <c r="AA294" t="s">
        <v>938</v>
      </c>
      <c r="AB294" t="s">
        <v>940</v>
      </c>
      <c r="AC294" t="s">
        <v>1013</v>
      </c>
      <c r="AD294" t="s">
        <v>1740</v>
      </c>
      <c r="AE294" t="s">
        <v>942</v>
      </c>
      <c r="AF294" t="s">
        <v>1025</v>
      </c>
      <c r="AG294" t="s">
        <v>11713</v>
      </c>
      <c r="AH294" t="s">
        <v>1745</v>
      </c>
      <c r="AI294" t="s">
        <v>945</v>
      </c>
      <c r="AJ294" t="s">
        <v>1135</v>
      </c>
      <c r="AK294" t="s">
        <v>951</v>
      </c>
      <c r="AL294" t="s">
        <v>1048</v>
      </c>
      <c r="AM294" t="s">
        <v>11720</v>
      </c>
      <c r="AN294" t="s">
        <v>9788</v>
      </c>
      <c r="AO294" t="s">
        <v>1759</v>
      </c>
      <c r="AP294" t="s">
        <v>1056</v>
      </c>
      <c r="AQ294" t="s">
        <v>955</v>
      </c>
      <c r="AR294" t="s">
        <v>1760</v>
      </c>
      <c r="AS294" t="s">
        <v>1660</v>
      </c>
      <c r="AT294" t="s">
        <v>960</v>
      </c>
      <c r="AU294" t="s">
        <v>14374</v>
      </c>
      <c r="AV294" t="s">
        <v>1062</v>
      </c>
      <c r="AW294" t="s">
        <v>962</v>
      </c>
      <c r="AX294" t="s">
        <v>964</v>
      </c>
      <c r="AY294" t="s">
        <v>1773</v>
      </c>
      <c r="AZ294" t="s">
        <v>1066</v>
      </c>
      <c r="BA294" t="s">
        <v>1782</v>
      </c>
      <c r="BB294" t="s">
        <v>1783</v>
      </c>
      <c r="BC294" t="s">
        <v>1069</v>
      </c>
      <c r="BD294" t="s">
        <v>966</v>
      </c>
      <c r="BE294" t="s">
        <v>1684</v>
      </c>
      <c r="BF294" t="s">
        <v>968</v>
      </c>
      <c r="BG294" t="s">
        <v>1793</v>
      </c>
      <c r="BH294" t="s">
        <v>1794</v>
      </c>
      <c r="BI294" t="s">
        <v>11715</v>
      </c>
      <c r="BJ294" t="s">
        <v>981</v>
      </c>
    </row>
    <row r="295" spans="1:62" customFormat="1" ht="15" x14ac:dyDescent="0.25">
      <c r="A295" t="s">
        <v>843</v>
      </c>
      <c r="B295" t="s">
        <v>842</v>
      </c>
      <c r="C295" t="s">
        <v>1564</v>
      </c>
      <c r="D295" t="s">
        <v>1196</v>
      </c>
      <c r="E295" t="s">
        <v>924</v>
      </c>
      <c r="F295" t="s">
        <v>10568</v>
      </c>
      <c r="G295" t="s">
        <v>926</v>
      </c>
      <c r="H295" t="s">
        <v>929</v>
      </c>
      <c r="I295" t="s">
        <v>1575</v>
      </c>
      <c r="J295" t="s">
        <v>931</v>
      </c>
      <c r="K295" t="s">
        <v>9784</v>
      </c>
      <c r="L295" t="s">
        <v>1581</v>
      </c>
      <c r="M295" t="s">
        <v>1416</v>
      </c>
      <c r="N295" t="s">
        <v>10638</v>
      </c>
      <c r="O295" t="s">
        <v>1250</v>
      </c>
      <c r="P295" t="s">
        <v>937</v>
      </c>
      <c r="Q295" t="s">
        <v>938</v>
      </c>
      <c r="R295" t="s">
        <v>940</v>
      </c>
      <c r="S295" t="s">
        <v>1012</v>
      </c>
      <c r="T295" t="s">
        <v>1018</v>
      </c>
      <c r="U295" t="s">
        <v>1126</v>
      </c>
      <c r="V295" t="s">
        <v>1628</v>
      </c>
      <c r="W295" t="s">
        <v>11720</v>
      </c>
      <c r="X295" t="s">
        <v>955</v>
      </c>
      <c r="Y295" t="s">
        <v>960</v>
      </c>
      <c r="Z295" t="s">
        <v>1062</v>
      </c>
      <c r="AA295" t="s">
        <v>962</v>
      </c>
      <c r="AB295" t="s">
        <v>964</v>
      </c>
      <c r="AC295" t="s">
        <v>11710</v>
      </c>
      <c r="AD295" t="s">
        <v>1069</v>
      </c>
      <c r="AE295" t="s">
        <v>966</v>
      </c>
      <c r="AF295" t="s">
        <v>1686</v>
      </c>
      <c r="AG295" t="s">
        <v>968</v>
      </c>
      <c r="AH295" t="s">
        <v>1694</v>
      </c>
      <c r="AI295" t="s">
        <v>1695</v>
      </c>
    </row>
    <row r="296" spans="1:62" customFormat="1" ht="15" x14ac:dyDescent="0.25">
      <c r="A296" t="s">
        <v>845</v>
      </c>
      <c r="B296" t="s">
        <v>844</v>
      </c>
      <c r="C296" t="s">
        <v>1564</v>
      </c>
      <c r="D296" t="s">
        <v>1196</v>
      </c>
      <c r="E296" t="s">
        <v>10568</v>
      </c>
      <c r="F296" t="s">
        <v>926</v>
      </c>
      <c r="G296" t="s">
        <v>929</v>
      </c>
      <c r="H296" t="s">
        <v>1094</v>
      </c>
      <c r="I296" t="s">
        <v>938</v>
      </c>
      <c r="J296" t="s">
        <v>1122</v>
      </c>
      <c r="K296" t="s">
        <v>10663</v>
      </c>
      <c r="L296" t="s">
        <v>1025</v>
      </c>
      <c r="M296" t="s">
        <v>1293</v>
      </c>
      <c r="N296" t="s">
        <v>943</v>
      </c>
      <c r="O296" t="s">
        <v>945</v>
      </c>
      <c r="P296" t="s">
        <v>949</v>
      </c>
      <c r="Q296" t="s">
        <v>9806</v>
      </c>
      <c r="R296" t="s">
        <v>1142</v>
      </c>
      <c r="S296" t="s">
        <v>1146</v>
      </c>
      <c r="T296" t="s">
        <v>951</v>
      </c>
      <c r="U296" t="s">
        <v>960</v>
      </c>
      <c r="V296" t="s">
        <v>14374</v>
      </c>
      <c r="W296" t="s">
        <v>1072</v>
      </c>
      <c r="X296" t="s">
        <v>966</v>
      </c>
    </row>
    <row r="297" spans="1:62" customFormat="1" ht="15" x14ac:dyDescent="0.25">
      <c r="A297" t="s">
        <v>847</v>
      </c>
      <c r="B297" t="s">
        <v>846</v>
      </c>
      <c r="C297" t="s">
        <v>1452</v>
      </c>
      <c r="D297" t="s">
        <v>929</v>
      </c>
      <c r="E297" t="s">
        <v>9790</v>
      </c>
      <c r="F297" t="s">
        <v>9784</v>
      </c>
      <c r="G297" t="s">
        <v>1459</v>
      </c>
      <c r="H297" t="s">
        <v>989</v>
      </c>
      <c r="I297" t="s">
        <v>11660</v>
      </c>
      <c r="J297" t="s">
        <v>1479</v>
      </c>
      <c r="K297" t="s">
        <v>1481</v>
      </c>
      <c r="L297" t="s">
        <v>1000</v>
      </c>
      <c r="M297" t="s">
        <v>1485</v>
      </c>
      <c r="N297" t="s">
        <v>10638</v>
      </c>
      <c r="O297" t="s">
        <v>1006</v>
      </c>
      <c r="P297" t="s">
        <v>1009</v>
      </c>
      <c r="Q297" t="s">
        <v>1489</v>
      </c>
      <c r="R297" t="s">
        <v>937</v>
      </c>
      <c r="S297" t="s">
        <v>1011</v>
      </c>
      <c r="T297" t="s">
        <v>940</v>
      </c>
      <c r="U297" t="s">
        <v>1013</v>
      </c>
      <c r="V297" t="s">
        <v>9819</v>
      </c>
      <c r="W297" t="s">
        <v>1512</v>
      </c>
      <c r="X297" t="s">
        <v>1296</v>
      </c>
      <c r="Y297" t="s">
        <v>1520</v>
      </c>
      <c r="Z297" t="s">
        <v>1521</v>
      </c>
      <c r="AA297" t="s">
        <v>1524</v>
      </c>
      <c r="AB297" t="s">
        <v>1048</v>
      </c>
      <c r="AC297" t="s">
        <v>1525</v>
      </c>
      <c r="AD297" t="s">
        <v>10707</v>
      </c>
      <c r="AE297" t="s">
        <v>1528</v>
      </c>
      <c r="AF297" t="s">
        <v>1529</v>
      </c>
      <c r="AG297" t="s">
        <v>953</v>
      </c>
      <c r="AH297" t="s">
        <v>1057</v>
      </c>
      <c r="AI297" t="s">
        <v>955</v>
      </c>
      <c r="AJ297" t="s">
        <v>1072</v>
      </c>
      <c r="AK297" t="s">
        <v>1553</v>
      </c>
      <c r="AL297" t="s">
        <v>1078</v>
      </c>
      <c r="AM297" t="s">
        <v>1561</v>
      </c>
    </row>
    <row r="298" spans="1:62" customFormat="1" ht="15" x14ac:dyDescent="0.25">
      <c r="A298" t="s">
        <v>849</v>
      </c>
      <c r="B298" t="s">
        <v>848</v>
      </c>
      <c r="C298" t="s">
        <v>1564</v>
      </c>
      <c r="D298" t="s">
        <v>1196</v>
      </c>
      <c r="E298" t="s">
        <v>924</v>
      </c>
      <c r="F298" t="s">
        <v>10568</v>
      </c>
      <c r="G298" t="s">
        <v>971</v>
      </c>
      <c r="H298" t="s">
        <v>926</v>
      </c>
      <c r="I298" t="s">
        <v>929</v>
      </c>
      <c r="J298" t="s">
        <v>933</v>
      </c>
      <c r="K298" t="s">
        <v>11660</v>
      </c>
      <c r="L298" t="s">
        <v>1000</v>
      </c>
      <c r="M298" t="s">
        <v>10638</v>
      </c>
      <c r="N298" t="s">
        <v>1610</v>
      </c>
      <c r="O298" t="s">
        <v>938</v>
      </c>
      <c r="P298" t="s">
        <v>940</v>
      </c>
      <c r="Q298" t="s">
        <v>1012</v>
      </c>
      <c r="R298" t="s">
        <v>11755</v>
      </c>
      <c r="S298" t="s">
        <v>943</v>
      </c>
      <c r="T298" t="s">
        <v>945</v>
      </c>
      <c r="U298" t="s">
        <v>1300</v>
      </c>
      <c r="V298" t="s">
        <v>1043</v>
      </c>
      <c r="W298" t="s">
        <v>1331</v>
      </c>
      <c r="X298" t="s">
        <v>955</v>
      </c>
      <c r="Y298" t="s">
        <v>1155</v>
      </c>
      <c r="Z298" t="s">
        <v>11663</v>
      </c>
      <c r="AA298" t="s">
        <v>962</v>
      </c>
      <c r="AB298" t="s">
        <v>1354</v>
      </c>
      <c r="AC298" t="s">
        <v>1676</v>
      </c>
      <c r="AD298" t="s">
        <v>1069</v>
      </c>
      <c r="AE298" t="s">
        <v>1072</v>
      </c>
      <c r="AF298" t="s">
        <v>1374</v>
      </c>
      <c r="AG298" t="s">
        <v>1078</v>
      </c>
    </row>
    <row r="299" spans="1:62" customFormat="1" ht="15" x14ac:dyDescent="0.25">
      <c r="A299" t="s">
        <v>851</v>
      </c>
      <c r="B299" t="s">
        <v>850</v>
      </c>
      <c r="C299" t="s">
        <v>1195</v>
      </c>
      <c r="D299" t="s">
        <v>1196</v>
      </c>
      <c r="E299" t="s">
        <v>924</v>
      </c>
      <c r="F299" t="s">
        <v>10568</v>
      </c>
      <c r="G299" t="s">
        <v>926</v>
      </c>
      <c r="H299" t="s">
        <v>929</v>
      </c>
      <c r="I299" t="s">
        <v>1218</v>
      </c>
      <c r="J299" t="s">
        <v>11660</v>
      </c>
      <c r="K299" t="s">
        <v>1603</v>
      </c>
      <c r="L299" t="s">
        <v>1485</v>
      </c>
      <c r="M299" t="s">
        <v>1010</v>
      </c>
      <c r="N299" t="s">
        <v>937</v>
      </c>
      <c r="O299" t="s">
        <v>938</v>
      </c>
      <c r="P299" t="s">
        <v>940</v>
      </c>
      <c r="Q299" t="s">
        <v>1122</v>
      </c>
      <c r="R299" t="s">
        <v>1624</v>
      </c>
      <c r="S299" t="s">
        <v>1025</v>
      </c>
      <c r="T299" t="s">
        <v>10681</v>
      </c>
      <c r="U299" t="s">
        <v>943</v>
      </c>
      <c r="V299" t="s">
        <v>945</v>
      </c>
      <c r="W299" t="s">
        <v>1031</v>
      </c>
      <c r="X299" t="s">
        <v>1146</v>
      </c>
      <c r="Y299" t="s">
        <v>951</v>
      </c>
      <c r="Z299" t="s">
        <v>9788</v>
      </c>
      <c r="AA299" t="s">
        <v>955</v>
      </c>
      <c r="AB299" t="s">
        <v>1658</v>
      </c>
      <c r="AC299" t="s">
        <v>11663</v>
      </c>
      <c r="AD299" t="s">
        <v>960</v>
      </c>
      <c r="AE299" t="s">
        <v>14374</v>
      </c>
      <c r="AF299" t="s">
        <v>962</v>
      </c>
      <c r="AG299" t="s">
        <v>966</v>
      </c>
      <c r="AH299" t="s">
        <v>968</v>
      </c>
      <c r="AI299" t="s">
        <v>1689</v>
      </c>
      <c r="AJ299" t="s">
        <v>1696</v>
      </c>
    </row>
    <row r="300" spans="1:62" customFormat="1" ht="15" x14ac:dyDescent="0.25">
      <c r="A300" t="s">
        <v>853</v>
      </c>
      <c r="B300" t="s">
        <v>852</v>
      </c>
      <c r="C300" t="s">
        <v>929</v>
      </c>
      <c r="D300" t="s">
        <v>1703</v>
      </c>
      <c r="E300" t="s">
        <v>9790</v>
      </c>
      <c r="F300" t="s">
        <v>9784</v>
      </c>
      <c r="G300" t="s">
        <v>1802</v>
      </c>
      <c r="H300" t="s">
        <v>983</v>
      </c>
      <c r="I300" t="s">
        <v>989</v>
      </c>
      <c r="J300" t="s">
        <v>1715</v>
      </c>
      <c r="K300" t="s">
        <v>933</v>
      </c>
      <c r="L300" t="s">
        <v>11660</v>
      </c>
      <c r="M300" t="s">
        <v>10638</v>
      </c>
      <c r="N300" t="s">
        <v>10643</v>
      </c>
      <c r="O300" t="s">
        <v>1009</v>
      </c>
      <c r="P300" t="s">
        <v>937</v>
      </c>
      <c r="Q300" t="s">
        <v>1824</v>
      </c>
      <c r="R300" t="s">
        <v>938</v>
      </c>
      <c r="S300" t="s">
        <v>940</v>
      </c>
      <c r="T300" t="s">
        <v>1013</v>
      </c>
      <c r="U300" t="s">
        <v>1126</v>
      </c>
      <c r="V300" t="s">
        <v>1296</v>
      </c>
      <c r="W300" t="s">
        <v>1030</v>
      </c>
      <c r="X300" t="s">
        <v>1829</v>
      </c>
      <c r="Y300" t="s">
        <v>1041</v>
      </c>
      <c r="Z300" t="s">
        <v>1042</v>
      </c>
      <c r="AA300" t="s">
        <v>1044</v>
      </c>
      <c r="AB300" t="s">
        <v>1049</v>
      </c>
      <c r="AC300" t="s">
        <v>11720</v>
      </c>
      <c r="AD300" t="s">
        <v>955</v>
      </c>
      <c r="AE300" t="s">
        <v>1066</v>
      </c>
      <c r="AF300" t="s">
        <v>1861</v>
      </c>
      <c r="AG300" t="s">
        <v>1865</v>
      </c>
      <c r="AH300" t="s">
        <v>9846</v>
      </c>
      <c r="AI300" t="s">
        <v>1871</v>
      </c>
    </row>
    <row r="301" spans="1:62" customFormat="1" ht="15" x14ac:dyDescent="0.25">
      <c r="A301" t="s">
        <v>855</v>
      </c>
      <c r="B301" t="s">
        <v>854</v>
      </c>
      <c r="C301" t="s">
        <v>926</v>
      </c>
      <c r="D301" t="s">
        <v>929</v>
      </c>
      <c r="E301" t="s">
        <v>9790</v>
      </c>
      <c r="F301" t="s">
        <v>1212</v>
      </c>
      <c r="G301" t="s">
        <v>983</v>
      </c>
      <c r="H301" t="s">
        <v>1715</v>
      </c>
      <c r="I301" t="s">
        <v>933</v>
      </c>
      <c r="J301" t="s">
        <v>996</v>
      </c>
      <c r="K301" t="s">
        <v>1416</v>
      </c>
      <c r="L301" t="s">
        <v>10638</v>
      </c>
      <c r="M301" t="s">
        <v>10643</v>
      </c>
      <c r="N301" t="s">
        <v>937</v>
      </c>
      <c r="O301" t="s">
        <v>938</v>
      </c>
      <c r="P301" t="s">
        <v>940</v>
      </c>
      <c r="Q301" t="s">
        <v>1423</v>
      </c>
      <c r="R301" t="s">
        <v>1013</v>
      </c>
      <c r="S301" t="s">
        <v>1030</v>
      </c>
      <c r="T301" t="s">
        <v>1031</v>
      </c>
      <c r="U301" t="s">
        <v>1041</v>
      </c>
      <c r="V301" t="s">
        <v>9787</v>
      </c>
      <c r="W301" t="s">
        <v>1832</v>
      </c>
      <c r="X301" t="s">
        <v>1049</v>
      </c>
      <c r="Y301" t="s">
        <v>1758</v>
      </c>
      <c r="Z301" t="s">
        <v>1057</v>
      </c>
      <c r="AA301" t="s">
        <v>955</v>
      </c>
      <c r="AB301" t="s">
        <v>962</v>
      </c>
      <c r="AC301" t="s">
        <v>1068</v>
      </c>
      <c r="AD301" t="s">
        <v>1078</v>
      </c>
      <c r="AE301" t="s">
        <v>1865</v>
      </c>
      <c r="AF301" t="s">
        <v>1080</v>
      </c>
      <c r="AG301" t="s">
        <v>1868</v>
      </c>
      <c r="AH301" t="s">
        <v>1869</v>
      </c>
    </row>
    <row r="302" spans="1:62" customFormat="1" ht="15" x14ac:dyDescent="0.25">
      <c r="A302" t="s">
        <v>857</v>
      </c>
      <c r="B302" t="s">
        <v>856</v>
      </c>
      <c r="C302" t="s">
        <v>924</v>
      </c>
      <c r="D302" t="s">
        <v>929</v>
      </c>
      <c r="E302" t="s">
        <v>933</v>
      </c>
      <c r="F302" t="s">
        <v>10638</v>
      </c>
      <c r="G302" t="s">
        <v>1611</v>
      </c>
      <c r="H302" t="s">
        <v>938</v>
      </c>
      <c r="I302" t="s">
        <v>940</v>
      </c>
      <c r="J302" t="s">
        <v>1012</v>
      </c>
      <c r="K302" t="s">
        <v>1013</v>
      </c>
      <c r="L302" t="s">
        <v>1025</v>
      </c>
      <c r="M302" t="s">
        <v>945</v>
      </c>
      <c r="N302" t="s">
        <v>1640</v>
      </c>
      <c r="O302" t="s">
        <v>951</v>
      </c>
      <c r="P302" t="s">
        <v>955</v>
      </c>
      <c r="Q302" t="s">
        <v>1654</v>
      </c>
      <c r="R302" t="s">
        <v>1661</v>
      </c>
      <c r="S302" t="s">
        <v>11663</v>
      </c>
      <c r="T302" t="s">
        <v>962</v>
      </c>
      <c r="U302" t="s">
        <v>1676</v>
      </c>
      <c r="V302" t="s">
        <v>1069</v>
      </c>
      <c r="W302" t="s">
        <v>1697</v>
      </c>
      <c r="X302" t="s">
        <v>1699</v>
      </c>
    </row>
    <row r="303" spans="1:62" customFormat="1" ht="15" x14ac:dyDescent="0.25">
      <c r="A303" t="s">
        <v>859</v>
      </c>
      <c r="B303" t="s">
        <v>858</v>
      </c>
      <c r="C303" t="s">
        <v>926</v>
      </c>
      <c r="D303" t="s">
        <v>929</v>
      </c>
      <c r="E303" t="s">
        <v>982</v>
      </c>
      <c r="F303" t="s">
        <v>983</v>
      </c>
      <c r="G303" t="s">
        <v>1808</v>
      </c>
      <c r="H303" t="s">
        <v>1715</v>
      </c>
      <c r="I303" t="s">
        <v>1590</v>
      </c>
      <c r="J303" t="s">
        <v>937</v>
      </c>
      <c r="K303" t="s">
        <v>940</v>
      </c>
      <c r="L303" t="s">
        <v>1013</v>
      </c>
      <c r="M303" t="s">
        <v>1745</v>
      </c>
      <c r="N303" t="s">
        <v>1030</v>
      </c>
      <c r="O303" t="s">
        <v>1049</v>
      </c>
      <c r="P303" t="s">
        <v>1758</v>
      </c>
      <c r="Q303" t="s">
        <v>1057</v>
      </c>
      <c r="R303" t="s">
        <v>955</v>
      </c>
      <c r="S303" t="s">
        <v>1848</v>
      </c>
      <c r="T303" t="s">
        <v>962</v>
      </c>
      <c r="U303" t="s">
        <v>1857</v>
      </c>
      <c r="V303" t="s">
        <v>1069</v>
      </c>
      <c r="W303" t="s">
        <v>1077</v>
      </c>
      <c r="X303" t="s">
        <v>1078</v>
      </c>
      <c r="Y303" t="s">
        <v>1865</v>
      </c>
      <c r="Z303" t="s">
        <v>1080</v>
      </c>
    </row>
    <row r="304" spans="1:62" customFormat="1" ht="15" x14ac:dyDescent="0.25">
      <c r="A304" t="s">
        <v>861</v>
      </c>
      <c r="B304" t="s">
        <v>860</v>
      </c>
      <c r="C304" t="s">
        <v>971</v>
      </c>
      <c r="D304" t="s">
        <v>926</v>
      </c>
      <c r="E304" t="s">
        <v>978</v>
      </c>
      <c r="F304" t="s">
        <v>1457</v>
      </c>
      <c r="G304" t="s">
        <v>1458</v>
      </c>
      <c r="H304" t="s">
        <v>9784</v>
      </c>
      <c r="I304" t="s">
        <v>1095</v>
      </c>
      <c r="J304" t="s">
        <v>985</v>
      </c>
      <c r="K304" t="s">
        <v>991</v>
      </c>
      <c r="L304" t="s">
        <v>935</v>
      </c>
      <c r="M304" t="s">
        <v>11660</v>
      </c>
      <c r="N304" t="s">
        <v>1416</v>
      </c>
      <c r="O304" t="s">
        <v>1006</v>
      </c>
      <c r="P304" t="s">
        <v>1009</v>
      </c>
      <c r="Q304" t="s">
        <v>937</v>
      </c>
      <c r="R304" t="s">
        <v>1013</v>
      </c>
      <c r="S304" t="s">
        <v>9819</v>
      </c>
      <c r="T304" t="s">
        <v>1018</v>
      </c>
      <c r="U304" t="s">
        <v>10667</v>
      </c>
      <c r="V304" t="s">
        <v>1126</v>
      </c>
      <c r="W304" t="s">
        <v>1025</v>
      </c>
      <c r="X304" t="s">
        <v>1510</v>
      </c>
      <c r="Y304" t="s">
        <v>10681</v>
      </c>
      <c r="Z304" t="s">
        <v>1031</v>
      </c>
      <c r="AA304" t="s">
        <v>1520</v>
      </c>
      <c r="AB304" t="s">
        <v>1044</v>
      </c>
      <c r="AC304" t="s">
        <v>1046</v>
      </c>
      <c r="AD304" t="s">
        <v>951</v>
      </c>
      <c r="AE304" t="s">
        <v>1051</v>
      </c>
      <c r="AF304" t="s">
        <v>1529</v>
      </c>
      <c r="AG304" t="s">
        <v>14374</v>
      </c>
      <c r="AH304" t="s">
        <v>1066</v>
      </c>
      <c r="AI304" t="s">
        <v>1069</v>
      </c>
      <c r="AJ304" t="s">
        <v>1083</v>
      </c>
    </row>
    <row r="305" spans="1:33" customFormat="1" ht="15" x14ac:dyDescent="0.25">
      <c r="A305" t="s">
        <v>863</v>
      </c>
      <c r="B305" t="s">
        <v>862</v>
      </c>
      <c r="C305" t="s">
        <v>9790</v>
      </c>
      <c r="D305" t="s">
        <v>983</v>
      </c>
      <c r="E305" t="s">
        <v>1808</v>
      </c>
      <c r="F305" t="s">
        <v>1715</v>
      </c>
      <c r="G305" t="s">
        <v>935</v>
      </c>
      <c r="H305" t="s">
        <v>10643</v>
      </c>
      <c r="I305" t="s">
        <v>938</v>
      </c>
      <c r="J305" t="s">
        <v>1013</v>
      </c>
      <c r="K305" t="s">
        <v>1030</v>
      </c>
      <c r="L305" t="s">
        <v>1049</v>
      </c>
      <c r="M305" t="s">
        <v>1758</v>
      </c>
      <c r="N305" t="s">
        <v>955</v>
      </c>
      <c r="O305" t="s">
        <v>962</v>
      </c>
      <c r="P305" t="s">
        <v>1857</v>
      </c>
      <c r="Q305" t="s">
        <v>1080</v>
      </c>
    </row>
    <row r="306" spans="1:33" customFormat="1" ht="15" x14ac:dyDescent="0.25">
      <c r="A306" t="s">
        <v>865</v>
      </c>
      <c r="B306" t="s">
        <v>864</v>
      </c>
      <c r="C306" t="s">
        <v>11723</v>
      </c>
      <c r="D306" t="s">
        <v>971</v>
      </c>
      <c r="E306" t="s">
        <v>926</v>
      </c>
      <c r="F306" t="s">
        <v>929</v>
      </c>
      <c r="G306" t="s">
        <v>9784</v>
      </c>
      <c r="H306" t="s">
        <v>1095</v>
      </c>
      <c r="I306" t="s">
        <v>1212</v>
      </c>
      <c r="J306" t="s">
        <v>1411</v>
      </c>
      <c r="K306" t="s">
        <v>933</v>
      </c>
      <c r="L306" t="s">
        <v>1878</v>
      </c>
      <c r="M306" t="s">
        <v>996</v>
      </c>
      <c r="N306" t="s">
        <v>10638</v>
      </c>
      <c r="O306" t="s">
        <v>1008</v>
      </c>
      <c r="P306" t="s">
        <v>938</v>
      </c>
      <c r="Q306" t="s">
        <v>940</v>
      </c>
      <c r="R306" t="s">
        <v>1013</v>
      </c>
      <c r="S306" t="s">
        <v>1426</v>
      </c>
      <c r="T306" t="s">
        <v>1427</v>
      </c>
      <c r="U306" t="s">
        <v>1296</v>
      </c>
      <c r="V306" t="s">
        <v>951</v>
      </c>
      <c r="W306" t="s">
        <v>1051</v>
      </c>
      <c r="X306" t="s">
        <v>1436</v>
      </c>
      <c r="Y306" t="s">
        <v>1442</v>
      </c>
      <c r="Z306" t="s">
        <v>1913</v>
      </c>
      <c r="AA306" t="s">
        <v>1069</v>
      </c>
      <c r="AB306" t="s">
        <v>1072</v>
      </c>
      <c r="AC306" t="s">
        <v>1918</v>
      </c>
      <c r="AD306" t="s">
        <v>1180</v>
      </c>
      <c r="AE306" t="s">
        <v>1075</v>
      </c>
      <c r="AF306" t="s">
        <v>1920</v>
      </c>
      <c r="AG306" t="s">
        <v>1563</v>
      </c>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8FD04FC-2556-4FE7-9607-A98B27AE39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EEB93C-9B0B-4166-8240-B20ED623B5BD}">
  <ds:schemaRefs>
    <ds:schemaRef ds:uri="http://schemas.microsoft.com/sharepoint/v3/contenttype/forms"/>
  </ds:schemaRefs>
</ds:datastoreItem>
</file>

<file path=customXml/itemProps3.xml><?xml version="1.0" encoding="utf-8"?>
<ds:datastoreItem xmlns:ds="http://schemas.openxmlformats.org/officeDocument/2006/customXml" ds:itemID="{4AC394CC-5BD8-4703-A0B4-BAF178656BC6}">
  <ds:schemaRefs>
    <ds:schemaRef ds:uri="ca0888e1-ea96-4789-bf97-35736e00a9ce"/>
    <ds:schemaRef ds:uri="http://www.w3.org/XML/1998/namespace"/>
    <ds:schemaRef ds:uri="d9c622cc-8e44-42df-8592-1faa16b6fa1e"/>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Introduction and contents</vt:lpstr>
      <vt:lpstr>Glossary</vt:lpstr>
      <vt:lpstr>Version History</vt:lpstr>
      <vt:lpstr>Area summary</vt:lpstr>
      <vt:lpstr>PRPs in area</vt:lpstr>
      <vt:lpstr>How to use the search function</vt:lpstr>
      <vt:lpstr>LA_Data</vt:lpstr>
      <vt:lpstr>Lookup_Source</vt:lpstr>
      <vt:lpstr>'Area summary'!Print_Area</vt:lpstr>
      <vt:lpstr>Stock_By_LA</vt:lpstr>
      <vt:lpstr>Totals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Paul Kester</cp:lastModifiedBy>
  <cp:lastPrinted>2024-10-15T08:20:13Z</cp:lastPrinted>
  <dcterms:created xsi:type="dcterms:W3CDTF">2021-04-07T09:14:16Z</dcterms:created>
  <dcterms:modified xsi:type="dcterms:W3CDTF">2025-02-06T09:55:45Z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0x010100E6D1ED10495DE94DB1659A33E5BC6327</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2021-09-14T08:11:01.3015793Z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718a7994-6e62-4220-96cf-e7cbc8087b4c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